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15.xml"/>
  <Override ContentType="application/vnd.openxmlformats-officedocument.spreadsheetml.externalLink+xml" PartName="/xl/externalLinks/externalLink16.xml"/>
  <Override ContentType="application/vnd.openxmlformats-officedocument.spreadsheetml.externalLink+xml" PartName="/xl/externalLinks/externalLink17.xml"/>
  <Override ContentType="application/vnd.openxmlformats-officedocument.spreadsheetml.externalLink+xml" PartName="/xl/externalLinks/externalLink18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135" windowWidth="16140" windowHeight="9990" tabRatio="711" firstSheet="1" activeTab="1"/>
  </bookViews>
  <sheets>
    <sheet name="__FDSCACHE__" sheetId="39" state="veryHidden" r:id="rId1"/>
    <sheet name="ImportantDisclosures" sheetId="74" r:id="rId2"/>
    <sheet name="Cover" sheetId="60" r:id="rId3"/>
    <sheet name="Valuation" sheetId="64" r:id="rId4"/>
    <sheet name="Financial" sheetId="65" r:id="rId5"/>
    <sheet name="ETR" sheetId="46" r:id="rId6"/>
    <sheet name="Utility" sheetId="47" r:id="rId7"/>
    <sheet name="EWC" sheetId="15" r:id="rId8"/>
    <sheet name="Parent" sheetId="51" r:id="rId9"/>
    <sheet name="Debt" sheetId="72" r:id="rId10"/>
    <sheet name="Market Prices" sheetId="67" r:id="rId11"/>
    <sheet name="IndexInformation" sheetId="75" r:id="rId12"/>
    <sheet name="ModPubIndex" sheetId="76" r:id="rId13"/>
    <sheet name="MW-Cache" sheetId="23" state="veryHidden" r:id="rId14"/>
  </sheets>
  <functionGroups builtInGroupCount="17"/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FDS_HYPERLINK_TOGGLE_STATE__" hidden="1">"ON"</definedName>
    <definedName name="__FDS_UNIQUE_RANGE_ID_GENERATOR_COUNTER" hidden="1">1</definedName>
    <definedName name="__FDS_USED_FOR_REUSING_RANGE_IDS_RECYCLE" localSheetId="4" hidden="1">{1,1,1,1,1,1,1,1,1,1,1,1,1,1,1,1,1,1,1,1,1,1,1,1,1,1,1,1,1,1}</definedName>
    <definedName name="__FDS_USED_FOR_REUSING_RANGE_IDS_RECYCLE" localSheetId="10" hidden="1">{1,1,1,1,1,1,1,1,1,1,1,1,1,1,1,1,1,1,1,1,1,1,1,1,1,1,1,1,1,1}</definedName>
    <definedName name="__FDS_USED_FOR_REUSING_RANGE_IDS_RECYCLE" localSheetId="3" hidden="1">{1,1,1,1,1,1,1,1,1,1,1,1,1,1,1,1,1,1,1,1,1,1,1,1,1,1,1,1,1,1}</definedName>
    <definedName name="__FDS_USED_FOR_REUSING_RANGE_IDS_RECYCLE" hidden="1">{1,1,1,1,1,1,1,1,1,1,1,1,1,1,1,1,1,1,1,1,1,1,1,1,1,1,1,1,1,1}</definedName>
    <definedName name="_1__FDSAUDITLINK__" localSheetId="4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10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3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0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4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10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3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4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10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3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4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10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3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4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10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3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4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10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3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7__FDSAUDITLINK__" localSheetId="4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10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3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8__FDSAUDITLINK__" localSheetId="4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10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3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4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10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3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__FDSAUDITLINK__" localSheetId="4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10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3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0__FDSAUDITLINK__" localSheetId="4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10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3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4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10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3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4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10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3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4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10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3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4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10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3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4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10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3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4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10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3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4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10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3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4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10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3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3__FDSAUDITLINK__" localSheetId="4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10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3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4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4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4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bdm.02E29E7B1053433EA3CCCBE4E5141596.edm" hidden="1">[1]Sheet1!$A:$IV</definedName>
    <definedName name="_bdm.261112BAE8204F8280374C78A1E02552.edm" hidden="1" xml:space="preserve"> '[2]Capex Chart'!$A:$IV</definedName>
    <definedName name="_bdm.48BD514DC04A4AB4891E926213491EC9.edm" localSheetId="4">Financial!$A$5:$CG$54</definedName>
    <definedName name="_bdm.530488839E8A407C8F1C1B550BFC2836.edm" localSheetId="4">Financial!$A$5:$CG$52</definedName>
    <definedName name="_bdm.5C8302ADDFAB47CFA0BC58B537A8ADEE.edm" localSheetId="4" hidden="1">Financial!$B$5:$DC$56</definedName>
    <definedName name="_bdm.6AFA43F0E39A44E1A1138F4D6AB6937E.edm" hidden="1">'[3]Financial Summary'!$A:$IV</definedName>
    <definedName name="_bdm.7264DC3258CD40029D96B7569D540AD9.edm" localSheetId="4">Financial!$A$5:$CG$54</definedName>
    <definedName name="_bdm.95D97703F0B44275930D649261210A38.edm" hidden="1">'[2]Capex Chart'!$A:$IV</definedName>
    <definedName name="_bdm.9CF1EC782CA246C5B743B60E78EFF75A.edm" hidden="1">'[4]New Resources'!$A:$IV</definedName>
    <definedName name="_bdm.A552EFC7BDCB4B65921447ED0EB2DE33.edm" hidden="1">Financial!$1:$1048576</definedName>
    <definedName name="_bdm.BB11A2CB11314C6E9BE7E6722D945EB9.edm" hidden="1">'[2]FCF-Div. Working Chart'!$A:$IV</definedName>
    <definedName name="_bdm.E967D92EDBF846E2B7B774FBF88F28E1.edm" localSheetId="4">Financial!$B$6:$CF$52</definedName>
    <definedName name="_bdm.F7E901476B1C4A78A8384B81CD6FDDBF.edm" hidden="1">'[2]MWA RR'!$A:$IV</definedName>
    <definedName name="_Order1" hidden="1">255</definedName>
    <definedName name="AdditionalInstructions">IndexInformation!$B$42</definedName>
    <definedName name="Address" localSheetId="1">ImportantDisclosures!$A$2:$A$2</definedName>
    <definedName name="ANA" localSheetId="12">ModPubIndex!$A$7</definedName>
    <definedName name="Analyst_Detail" localSheetId="4">'[6]Income Statement'!$O$1</definedName>
    <definedName name="Analyst_Detail" localSheetId="10">'[7]Income Statement'!$O$1</definedName>
    <definedName name="Analyst_Detail">'[6]Income Statement'!$O$1</definedName>
    <definedName name="anscount" hidden="1">1</definedName>
    <definedName name="Authors" localSheetId="1">ImportantDisclosures!$A$7</definedName>
    <definedName name="Authors" localSheetId="11">IndexInformation!$B$18</definedName>
    <definedName name="Average_Cost_of_Total_Debt" localSheetId="4">'[8]Fin Stats'!$B$59:$M$59</definedName>
    <definedName name="Average_Cost_of_Total_Debt" localSheetId="10">'[9]Fin Stats'!$B$59:$M$59</definedName>
    <definedName name="Average_Cost_of_Total_Debt">'[8]Fin Stats'!$B$59:$M$59</definedName>
    <definedName name="basept" localSheetId="3">Valuation!$CG$24</definedName>
    <definedName name="bearpt" localSheetId="3">Valuation!$CB$24</definedName>
    <definedName name="BRO" localSheetId="12">ModPubIndex!$A$1</definedName>
    <definedName name="bullpt" localSheetId="3">Valuation!$CL$24</definedName>
    <definedName name="Capital_Expenditures" localSheetId="4">'[8]Fin Stats'!$B$111:$M$111</definedName>
    <definedName name="Capital_Expenditures" localSheetId="10">'[9]Fin Stats'!$B$111:$M$111</definedName>
    <definedName name="Capital_Expenditures">'[8]Fin Stats'!$B$111:$M$111</definedName>
    <definedName name="Cash_Flow" localSheetId="4">'[8]Fin Stats'!$B$113:$M$113</definedName>
    <definedName name="Cash_Flow" localSheetId="10">'[9]Fin Stats'!$B$113:$M$113</definedName>
    <definedName name="Cash_Flow">'[8]Fin Stats'!$B$113:$M$113</definedName>
    <definedName name="Cash_Flow_per_Share" localSheetId="4">'[8]Fin Stats'!$B$116:$M$116</definedName>
    <definedName name="Cash_Flow_per_Share" localSheetId="10">'[9]Fin Stats'!$B$116:$M$116</definedName>
    <definedName name="Cash_Flow_per_Share">'[8]Fin Stats'!$B$116:$M$116</definedName>
    <definedName name="CFO_Assets" localSheetId="4">'[8]Fin Stats'!$B$67:$M$67</definedName>
    <definedName name="CFO_Assets" localSheetId="10">'[9]Fin Stats'!$B$67:$M$67</definedName>
    <definedName name="CFO_Assets">'[8]Fin Stats'!$B$67:$M$67</definedName>
    <definedName name="CFO_Total_Debt" localSheetId="4">'[8]Fin Stats'!$B$78:$M$78</definedName>
    <definedName name="CFO_Total_Debt" localSheetId="10">'[9]Fin Stats'!$B$78:$M$78</definedName>
    <definedName name="CFO_Total_Debt">'[8]Fin Stats'!$B$78:$M$78</definedName>
    <definedName name="Common_equity" localSheetId="4">'[8]Fin Stats'!$B$38:$M$38</definedName>
    <definedName name="Common_equity" localSheetId="10">'[9]Fin Stats'!$B$38:$M$38</definedName>
    <definedName name="Common_equity">'[8]Fin Stats'!$B$38:$M$38</definedName>
    <definedName name="Company_Name" localSheetId="4">'[10]Income Statement'!$A$1</definedName>
    <definedName name="Company_Name" localSheetId="10">'[11]Income Statement'!$A$1</definedName>
    <definedName name="Company_Name">'[10]Income Statement'!$A$1</definedName>
    <definedName name="CopyrightStamp">ImportantDisclosures!$A$27</definedName>
    <definedName name="COU" localSheetId="12">ModPubIndex!$A$5</definedName>
    <definedName name="CQEnd" localSheetId="11">IndexInformation!$B$31</definedName>
    <definedName name="Currency" localSheetId="11">IndexInformation!$B$24</definedName>
    <definedName name="CurrentStockPrice" localSheetId="11">IndexInformation!$B$23</definedName>
    <definedName name="CurrQtrEPS" localSheetId="11">IndexInformation!$B$29</definedName>
    <definedName name="CurrYearEPS" localSheetId="11">IndexInformation!$B$11</definedName>
    <definedName name="CurrYearTotalRevenue" localSheetId="11">IndexInformation!$B$10</definedName>
    <definedName name="CurrYearTotalRevenueActual" localSheetId="11">IndexInformation!$B$32</definedName>
    <definedName name="CUSIP" localSheetId="11">IndexInformation!$B$20</definedName>
    <definedName name="CYEnd" localSheetId="11">IndexInformation!$B$30</definedName>
    <definedName name="dataseries1" localSheetId="10">#N/A</definedName>
    <definedName name="dataseries4">OFFSET([12]c1!$G$12,0,0,COUNTA([12]c1!$G$12:$G$31),1)</definedName>
    <definedName name="Date" localSheetId="1">ImportantDisclosures!$A$8</definedName>
    <definedName name="Debt_Equity" localSheetId="4">'[8]Fin Stats'!$B$60:$M$60</definedName>
    <definedName name="Debt_Equity" localSheetId="10">'[9]Fin Stats'!$B$60:$M$60</definedName>
    <definedName name="Debt_Equity">'[8]Fin Stats'!$B$60:$M$60</definedName>
    <definedName name="Debt_Total_Capital" localSheetId="4">'[8]Fin Stats'!$B$61:$M$61</definedName>
    <definedName name="Debt_Total_Capital" localSheetId="10">'[9]Fin Stats'!$B$61:$M$61</definedName>
    <definedName name="Debt_Total_Capital">'[8]Fin Stats'!$B$61:$M$61</definedName>
    <definedName name="Deleted" localSheetId="11">IndexInformation!$B$27</definedName>
    <definedName name="Depreciation__D___A" localSheetId="4">'[8]Fin Stats'!$B$110:$M$110</definedName>
    <definedName name="Depreciation__D___A" localSheetId="10">'[9]Fin Stats'!$B$110:$M$110</definedName>
    <definedName name="Depreciation__D___A">'[8]Fin Stats'!$B$110:$M$110</definedName>
    <definedName name="Description" localSheetId="11">IndexInformation!$B$7</definedName>
    <definedName name="Discipline" localSheetId="11">IndexInformation!$B$3</definedName>
    <definedName name="DISCIPLINE" localSheetId="12">ModPubIndex!$A$12</definedName>
    <definedName name="DisclosuresText">ImportantDisclosures!$A$22</definedName>
    <definedName name="Distribution" localSheetId="11">IndexInformation!$B$26</definedName>
    <definedName name="DistTable" localSheetId="1">ImportantDisclosures!#REF!</definedName>
    <definedName name="DistTablePreamble" localSheetId="1">ImportantDisclosures!#REF!</definedName>
    <definedName name="Dividends_per_Share" localSheetId="4">'[8]Fin Stats'!$B$118:$M$118</definedName>
    <definedName name="Dividends_per_Share" localSheetId="10">'[9]Fin Stats'!$B$118:$M$118</definedName>
    <definedName name="Dividends_per_Share">'[8]Fin Stats'!$B$118:$M$118</definedName>
    <definedName name="DOCDAT" localSheetId="12">ModPubIndex!$A$2</definedName>
    <definedName name="DOCTIME" localSheetId="12">ModPubIndex!$A$3</definedName>
    <definedName name="DocType" localSheetId="11">IndexInformation!$B$5</definedName>
    <definedName name="Earnings" localSheetId="4">'[8]Fin Stats'!$B$106:$M$106</definedName>
    <definedName name="Earnings" localSheetId="10">'[9]Fin Stats'!$B$106:$M$106</definedName>
    <definedName name="Earnings">'[8]Fin Stats'!$B$106:$M$106</definedName>
    <definedName name="Earnings_per_Share" localSheetId="4">'[8]Fin Stats'!$B$107:$M$107</definedName>
    <definedName name="Earnings_per_Share" localSheetId="10">'[9]Fin Stats'!$B$107:$M$107</definedName>
    <definedName name="Earnings_per_Share">'[8]Fin Stats'!$B$107:$M$107</definedName>
    <definedName name="EBIT" localSheetId="4">'[8]Fin Stats'!$B$101:$M$101</definedName>
    <definedName name="EBIT" localSheetId="10">'[9]Fin Stats'!$B$101:$M$101</definedName>
    <definedName name="EBIT">'[8]Fin Stats'!$B$101:$M$101</definedName>
    <definedName name="EBIT_Assets" localSheetId="4">'[8]Fin Stats'!$B$66:$M$66</definedName>
    <definedName name="EBIT_Assets" localSheetId="10">'[9]Fin Stats'!$B$66:$M$66</definedName>
    <definedName name="EBIT_Assets">'[8]Fin Stats'!$B$66:$M$66</definedName>
    <definedName name="EBIT_Margin" localSheetId="4">'[8]Fin Stats'!$B$24:$M$24</definedName>
    <definedName name="EBIT_Margin" localSheetId="10">'[9]Fin Stats'!$B$24:$M$24</definedName>
    <definedName name="EBIT_Margin">'[8]Fin Stats'!$B$24:$M$24</definedName>
    <definedName name="EBIT_to_Interest_Expense" localSheetId="4">'[8]Fin Stats'!$B$45:$M$45</definedName>
    <definedName name="EBIT_to_Interest_Expense" localSheetId="10">'[9]Fin Stats'!$B$45:$M$45</definedName>
    <definedName name="EBIT_to_Interest_Expense">'[8]Fin Stats'!$B$45:$M$45</definedName>
    <definedName name="EBITDA" localSheetId="4">'[8]Fin Stats'!$B$100:$M$100</definedName>
    <definedName name="EBITDA" localSheetId="10">'[9]Fin Stats'!$B$100:$M$100</definedName>
    <definedName name="EBITDA">'[8]Fin Stats'!$B$100:$M$100</definedName>
    <definedName name="EBITDA_Interest" localSheetId="4">'[8]Fin Stats'!$B$75:$M$75</definedName>
    <definedName name="EBITDA_Interest" localSheetId="10">'[9]Fin Stats'!$B$75:$M$75</definedName>
    <definedName name="EBITDA_Interest">'[8]Fin Stats'!$B$75:$M$75</definedName>
    <definedName name="EMAIL_ALERT" localSheetId="12">ModPubIndex!$A$10</definedName>
    <definedName name="EmailAlert" localSheetId="11">IndexInformation!$B$28</definedName>
    <definedName name="Energy">[13]Data!$P$9:$Q$29</definedName>
    <definedName name="EnergyGrowth">[13]Data!$U$58:$X$76</definedName>
    <definedName name="Enterprise_Value" localSheetId="4">'[8]Fin Stats'!$B$57:$M$57</definedName>
    <definedName name="Enterprise_Value" localSheetId="10">'[9]Fin Stats'!$B$57:$M$57</definedName>
    <definedName name="Enterprise_Value">'[8]Fin Stats'!$B$57:$M$57</definedName>
    <definedName name="EPS">ETR!$N$50:$BA$50</definedName>
    <definedName name="Equity_to_Capital" localSheetId="4">'[8]Fin Stats'!$B$43:$M$43</definedName>
    <definedName name="Equity_to_Capital" localSheetId="10">'[9]Fin Stats'!$B$43:$M$43</definedName>
    <definedName name="Equity_to_Capital">'[8]Fin Stats'!$B$43:$M$43</definedName>
    <definedName name="ev.Calculation" hidden="1">-4105</definedName>
    <definedName name="ev.Initialized" hidden="1">FALSE</definedName>
    <definedName name="EV_EBITDA_Current_Year" localSheetId="4">'[8]Fin Stats'!$B$85:$M$85</definedName>
    <definedName name="EV_EBITDA_Current_Year" localSheetId="10">'[9]Fin Stats'!$B$85:$M$85</definedName>
    <definedName name="EV_EBITDA_Current_Year">'[8]Fin Stats'!$B$85:$M$85</definedName>
    <definedName name="EV_EBITDA_Forward_Year" localSheetId="4">'[8]Fin Stats'!$B$86:$M$86</definedName>
    <definedName name="EV_EBITDA_Forward_Year" localSheetId="10">'[9]Fin Stats'!$B$86:$M$86</definedName>
    <definedName name="EV_EBITDA_Forward_Year">'[8]Fin Stats'!$B$86:$M$86</definedName>
    <definedName name="EV_Sales_Current_Year" localSheetId="4">'[8]Fin Stats'!$B$82:$M$82</definedName>
    <definedName name="EV_Sales_Current_Year" localSheetId="10">'[9]Fin Stats'!$B$82:$M$82</definedName>
    <definedName name="EV_Sales_Current_Year">'[8]Fin Stats'!$B$82:$M$82</definedName>
    <definedName name="EV_Sales_Forward_Year" localSheetId="4">'[8]Fin Stats'!$B$83:$M$83</definedName>
    <definedName name="EV_Sales_Forward_Year" localSheetId="10">'[9]Fin Stats'!$B$83:$M$83</definedName>
    <definedName name="EV_Sales_Forward_Year">'[8]Fin Stats'!$B$83:$M$83</definedName>
    <definedName name="FFO_Coverage" localSheetId="4">'[8]Fin Stats'!$B$76:$M$76</definedName>
    <definedName name="FFO_Coverage" localSheetId="10">'[9]Fin Stats'!$B$76:$M$76</definedName>
    <definedName name="FFO_Coverage">'[8]Fin Stats'!$B$76:$M$76</definedName>
    <definedName name="FFO_Total_Debt" localSheetId="4">'[8]Fin Stats'!$B$77:$M$77</definedName>
    <definedName name="FFO_Total_Debt" localSheetId="10">'[9]Fin Stats'!$B$77:$M$77</definedName>
    <definedName name="FFO_Total_Debt">'[8]Fin Stats'!$B$77:$M$77</definedName>
    <definedName name="FiveYearGrowthRate" localSheetId="11">IndexInformation!$B$16</definedName>
    <definedName name="FollowingYearEPS" localSheetId="11">IndexInformation!$B$15</definedName>
    <definedName name="FollowingYearTotalRevenue" localSheetId="11">IndexInformation!$B$14</definedName>
    <definedName name="FollowingYearTotalRevenueActual" localSheetId="11">IndexInformation!$B$34</definedName>
    <definedName name="Free_Cash_Flow" localSheetId="4">'[8]Fin Stats'!$B$114:$M$114</definedName>
    <definedName name="Free_Cash_Flow" localSheetId="10">'[9]Fin Stats'!$B$114:$M$114</definedName>
    <definedName name="Free_Cash_Flow">'[8]Fin Stats'!$B$114:$M$114</definedName>
    <definedName name="GasPaste" localSheetId="4">[14]Gas!$D$7</definedName>
    <definedName name="GasPaste" localSheetId="10">[14]Gas!$D$7</definedName>
    <definedName name="GasPaste">[15]Gas!$D$7</definedName>
    <definedName name="GenCo">Valuation!$CG$18</definedName>
    <definedName name="Generation">[13]Data!$P$34:$Q$54</definedName>
    <definedName name="Gross_Margin" localSheetId="4">'[8]Fin Stats'!$B$22:$M$22</definedName>
    <definedName name="Gross_Margin" localSheetId="10">'[9]Fin Stats'!$B$22:$M$22</definedName>
    <definedName name="Gross_Margin">'[8]Fin Stats'!$B$22:$M$22</definedName>
    <definedName name="Growth_ROIC" localSheetId="4">OFFSET([0]!XRange,10,0)</definedName>
    <definedName name="Growth_ROIC" localSheetId="10">OFFSET([0]!XRange,10,0)</definedName>
    <definedName name="Growth_ROIC" localSheetId="3">OFFSET(Valuation!XRange,10,0)</definedName>
    <definedName name="Growth_ROIC">OFFSET([0]!XRange,10,0)</definedName>
    <definedName name="highmid_gas_cf">'[4]Valuation Summary'!$AQ$28</definedName>
    <definedName name="highmidmargin">'[4]Valuation Summary'!$AN$28</definedName>
    <definedName name="HL" localSheetId="12">ModPubIndex!$A$8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uge_gas_cf">'[4]Valuation Summary'!$AQ$27</definedName>
    <definedName name="hugemargin">'[4]Valuation Summary'!$AN$27</definedName>
    <definedName name="Img_ML_7g5e5e2b" hidden="1">"IMG_12"</definedName>
    <definedName name="IND" localSheetId="12">ModPubIndex!$A$9</definedName>
    <definedName name="Industry" localSheetId="1">ImportantDisclosures!$A$12</definedName>
    <definedName name="IndustryId" localSheetId="10">[16]IndexInformation!$B$40</definedName>
    <definedName name="IndustryId">IndexInformation!$B$40</definedName>
    <definedName name="IndustryRating" localSheetId="1">ImportantDisclosures!$A$13</definedName>
    <definedName name="Interest_Expense" localSheetId="4">'[8]Fin Stats'!$B$103:$M$103</definedName>
    <definedName name="Interest_Expense" localSheetId="10">'[9]Fin Stats'!$B$103:$M$103</definedName>
    <definedName name="Interest_Expense">'[8]Fin Stats'!$B$103:$M$103</definedName>
    <definedName name="InvestCapGrowth" localSheetId="4">OFFSET([0]!XRange2,4,0)</definedName>
    <definedName name="InvestCapGrowth" localSheetId="10">OFFSET([0]!XRange2,4,0)</definedName>
    <definedName name="InvestCapGrowth" localSheetId="3">OFFSET(Valuation!XRange2,4,0)</definedName>
    <definedName name="InvestCapGrowth">OFFSET([0]!XRange2,4,0)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40521.6808449074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39177.4967361111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"iQShowAll"</definedName>
    <definedName name="KeepVersions" localSheetId="11">IndexInformation!$B$8</definedName>
    <definedName name="LanguageCode" localSheetId="10">[16]IndexInformation!$B$38</definedName>
    <definedName name="LanguageCode">IndexInformation!$B$38</definedName>
    <definedName name="LastCell" localSheetId="1">ImportantDisclosures!$A$22</definedName>
    <definedName name="Linking_1">Utility!$BS$66:$BV$74</definedName>
    <definedName name="Linking_Range_1" localSheetId="4">Financial!$B$5:$DC$56</definedName>
    <definedName name="Linking_Range_14">Financial!$B$5:$DC$58</definedName>
    <definedName name="Linking_Range_15">Financial!$B$4:$DC$58</definedName>
    <definedName name="Linking_Range_17">'[17]Chart Data'!$N$7:$R$20</definedName>
    <definedName name="Linking_Range_18">'[17]Chart Data'!$H$21:$L$26</definedName>
    <definedName name="Linking_Range_19">'[17]Chart Data'!$N$52:$R$63</definedName>
    <definedName name="Linking_Range_7">Financial!$B$4:$DC$56</definedName>
    <definedName name="Linking_Range_8">Financial!$B$5:$DC$56</definedName>
    <definedName name="Linking_Range_9">Financial!$B$5:$DM$56</definedName>
    <definedName name="Long_term_debt" localSheetId="4">'[8]Fin Stats'!$B$36:$M$36</definedName>
    <definedName name="Long_term_debt" localSheetId="10">'[9]Fin Stats'!$B$36:$M$36</definedName>
    <definedName name="Long_term_debt">'[8]Fin Stats'!$B$36:$M$36</definedName>
    <definedName name="Long_term_Debt_to_Capital" localSheetId="4">'[8]Fin Stats'!$B$41:$M$41</definedName>
    <definedName name="Long_term_Debt_to_Capital" localSheetId="10">'[9]Fin Stats'!$B$41:$M$41</definedName>
    <definedName name="Long_term_Debt_to_Capital">'[8]Fin Stats'!$B$41:$M$41</definedName>
    <definedName name="lowmid_gas_cf">'[4]Valuation Summary'!$AQ$29</definedName>
    <definedName name="lowmidmargin">'[4]Valuation Summary'!$AN$29</definedName>
    <definedName name="MacroVersion" localSheetId="11">IndexInformation!$B$1</definedName>
    <definedName name="Market_Value" localSheetId="4">'[8]Fin Stats'!$B$56:$M$56</definedName>
    <definedName name="Market_Value" localSheetId="10">'[9]Fin Stats'!$B$56:$M$56</definedName>
    <definedName name="Market_Value">'[8]Fin Stats'!$B$56:$M$56</definedName>
    <definedName name="Minority_Interest" localSheetId="4">'[8]Fin Stats'!$B$53:$M$53</definedName>
    <definedName name="Minority_Interest" localSheetId="10">'[9]Fin Stats'!$B$53:$M$53</definedName>
    <definedName name="Minority_Interest">'[8]Fin Stats'!$B$53:$M$53</definedName>
    <definedName name="ModelPrice" localSheetId="1">ImportantDisclosures!$A$14</definedName>
    <definedName name="Multiplier" localSheetId="11">IndexInformation!$B$35</definedName>
    <definedName name="Net_Debt" localSheetId="4">'[8]Fin Stats'!$B$51:$M$51</definedName>
    <definedName name="Net_Debt" localSheetId="10">'[9]Fin Stats'!$B$51:$M$51</definedName>
    <definedName name="Net_Debt">'[8]Fin Stats'!$B$51:$M$51</definedName>
    <definedName name="Net_Income_Margin" localSheetId="4">'[8]Fin Stats'!$B$26:$M$26</definedName>
    <definedName name="Net_Income_Margin" localSheetId="10">'[9]Fin Stats'!$B$26:$M$26</definedName>
    <definedName name="Net_Income_Margin">'[8]Fin Stats'!$B$26:$M$26</definedName>
    <definedName name="NextYearEPS" localSheetId="11">IndexInformation!$B$13</definedName>
    <definedName name="NextYearTotalRevenue" localSheetId="11">IndexInformation!$B$12</definedName>
    <definedName name="NextYearTotalRevenueActual" localSheetId="11">IndexInformation!$B$33</definedName>
    <definedName name="NM">"NM"</definedName>
    <definedName name="ObjectType" localSheetId="10">[16]IndexInformation!$B$37</definedName>
    <definedName name="ObjectType">IndexInformation!$B$37</definedName>
    <definedName name="Operating_Margin" localSheetId="4">'[8]Fin Stats'!$B$23:$M$23</definedName>
    <definedName name="Operating_Margin" localSheetId="10">'[9]Fin Stats'!$B$23:$M$23</definedName>
    <definedName name="Operating_Margin">'[8]Fin Stats'!$B$23:$M$23</definedName>
    <definedName name="OPkPaste" localSheetId="4">'[14]Off Peak'!$D$7</definedName>
    <definedName name="OPkPaste" localSheetId="10">'[14]Off Peak'!$D$7</definedName>
    <definedName name="OPkPaste">'[15]Off Peak'!$D$7</definedName>
    <definedName name="OpMargin" localSheetId="4">OFFSET([0]!XRange2,5,0)</definedName>
    <definedName name="OpMargin" localSheetId="10">OFFSET([0]!XRange2,5,0)</definedName>
    <definedName name="OpMargin" localSheetId="3">OFFSET(Valuation!XRange2,5,0)</definedName>
    <definedName name="OpMargin">OFFSET([0]!XRange2,5,0)</definedName>
    <definedName name="PANA" localSheetId="12">ModPubIndex!$A$11</definedName>
    <definedName name="PathName" localSheetId="11">IndexInformation!$B$25</definedName>
    <definedName name="Payout_ratio" localSheetId="4">'[8]Fin Stats'!$B$119:$M$119</definedName>
    <definedName name="Payout_ratio" localSheetId="10">'[9]Fin Stats'!$B$119:$M$119</definedName>
    <definedName name="Payout_ratio">'[8]Fin Stats'!$B$119:$M$119</definedName>
    <definedName name="PeakGrowth">[13]Data!$P$56:$S$74</definedName>
    <definedName name="Phase1NPVFCF" localSheetId="4">OFFSET([0]!XRange,39,0)</definedName>
    <definedName name="Phase1NPVFCF" localSheetId="10">OFFSET([0]!XRange,39,0)</definedName>
    <definedName name="Phase1NPVFCF" localSheetId="3">OFFSET(Valuation!XRange,39,0)</definedName>
    <definedName name="Phase1NPVFCF">OFFSET([0]!XRange,39,0)</definedName>
    <definedName name="Phase2NPVFCF" localSheetId="4">OFFSET([0]!XRange,40,0)</definedName>
    <definedName name="Phase2NPVFCF" localSheetId="10">OFFSET([0]!XRange,40,0)</definedName>
    <definedName name="Phase2NPVFCF" localSheetId="3">OFFSET(Valuation!XRange,40,0)</definedName>
    <definedName name="Phase2NPVFCF">OFFSET([0]!XRange,40,0)</definedName>
    <definedName name="Phase3NPVFCF" localSheetId="4">OFFSET([0]!XRange,41,0)</definedName>
    <definedName name="Phase3NPVFCF" localSheetId="10">OFFSET([0]!XRange,41,0)</definedName>
    <definedName name="Phase3NPVFCF" localSheetId="3">OFFSET(Valuation!XRange,41,0)</definedName>
    <definedName name="Phase3NPVFCF">OFFSET([0]!XRange,41,0)</definedName>
    <definedName name="PkPaste" localSheetId="4">[14]Peak!$D$7</definedName>
    <definedName name="PkPaste" localSheetId="10">[14]Peak!$D$7</definedName>
    <definedName name="PkPaste">[15]Peak!$D$7</definedName>
    <definedName name="Preferred_Equity" localSheetId="4">'[8]Fin Stats'!$B$52:$M$52</definedName>
    <definedName name="Preferred_Equity" localSheetId="10">'[9]Fin Stats'!$B$52:$M$52</definedName>
    <definedName name="Preferred_Equity">'[8]Fin Stats'!$B$52:$M$52</definedName>
    <definedName name="Preferred_stock" localSheetId="4">'[8]Fin Stats'!$B$37:$M$37</definedName>
    <definedName name="Preferred_stock" localSheetId="10">'[9]Fin Stats'!$B$37:$M$37</definedName>
    <definedName name="Preferred_stock">'[8]Fin Stats'!$B$37:$M$37</definedName>
    <definedName name="Preferred_to_Capital" localSheetId="4">'[8]Fin Stats'!$B$44:$M$44</definedName>
    <definedName name="Preferred_to_Capital" localSheetId="10">'[9]Fin Stats'!$B$44:$M$44</definedName>
    <definedName name="Preferred_to_Capital">'[8]Fin Stats'!$B$44:$M$44</definedName>
    <definedName name="Premium">Valuation!$CG$13</definedName>
    <definedName name="Pretax_Income" localSheetId="4">'[8]Fin Stats'!$B$104:$M$104</definedName>
    <definedName name="Pretax_Income" localSheetId="10">'[9]Fin Stats'!$B$104:$M$104</definedName>
    <definedName name="Pretax_Income">'[8]Fin Stats'!$B$104:$M$104</definedName>
    <definedName name="Pretax_Margin" localSheetId="4">'[8]Fin Stats'!$B$25:$M$25</definedName>
    <definedName name="Pretax_Margin" localSheetId="10">'[9]Fin Stats'!$B$25:$M$25</definedName>
    <definedName name="Pretax_Margin">'[8]Fin Stats'!$B$25:$M$25</definedName>
    <definedName name="Price_Book" localSheetId="4">'[8]Fin Stats'!$B$94:$M$94</definedName>
    <definedName name="Price_Book" localSheetId="10">'[9]Fin Stats'!$B$94:$M$94</definedName>
    <definedName name="Price_Book">'[8]Fin Stats'!$B$94:$M$94</definedName>
    <definedName name="Price_Cash_Flow" localSheetId="4">'[8]Fin Stats'!$B$88:$M$88</definedName>
    <definedName name="Price_Cash_Flow" localSheetId="10">'[9]Fin Stats'!$B$88:$M$88</definedName>
    <definedName name="Price_Cash_Flow">'[8]Fin Stats'!$B$88:$M$88</definedName>
    <definedName name="Price_Earnings" localSheetId="4">'[8]Fin Stats'!$B$91:$M$91</definedName>
    <definedName name="Price_Earnings" localSheetId="10">'[9]Fin Stats'!$B$91:$M$91</definedName>
    <definedName name="Price_Earnings">'[8]Fin Stats'!$B$91:$M$91</definedName>
    <definedName name="_xlnm.Print_Area" localSheetId="5">ETR!$A$2:$AR$240</definedName>
    <definedName name="_xlnm.Print_Area" localSheetId="4">Financial!$A$1:$DC$54</definedName>
    <definedName name="_xlnm.Print_Area" localSheetId="6">Utility!$A$2:$AR$313</definedName>
    <definedName name="_xlnm.Print_Area" localSheetId="3">Valuation!$B$1:$CQ$94</definedName>
    <definedName name="_xlnm.Print_Area">#REF!</definedName>
    <definedName name="_xlnm.Print_Titles" localSheetId="5">ETR!$2:$5</definedName>
    <definedName name="_xlnm.Print_Titles" localSheetId="7">EWC!$2:$5</definedName>
    <definedName name="_xlnm.Print_Titles" localSheetId="6">Utility!$2:$5</definedName>
    <definedName name="_xlnm.Print_Titles">#REF!</definedName>
    <definedName name="PRODUCT" localSheetId="12">ModPubIndex!$A$6</definedName>
    <definedName name="ProjectName" localSheetId="4">{"Client Name or Project Name"}</definedName>
    <definedName name="ProjectName" localSheetId="10">{"Client Name or Project Name"}</definedName>
    <definedName name="ProjectName" localSheetId="3">{"Client Name or Project Name"}</definedName>
    <definedName name="ProjectName">{"Client Name or Project Name"}</definedName>
    <definedName name="ProjectName_1" localSheetId="4">{"Client Name or Project Name"}</definedName>
    <definedName name="ProjectName_1" localSheetId="10">{"Client Name or Project Name"}</definedName>
    <definedName name="ProjectName_1" localSheetId="3">{"Client Name or Project Name"}</definedName>
    <definedName name="ProjectName_1">{"Client Name or Project Name"}</definedName>
    <definedName name="PSYM" localSheetId="12">ModPubIndex!$A$4</definedName>
    <definedName name="PublishDate" localSheetId="11">IndexInformation!$B$2</definedName>
    <definedName name="Rate_Case_2004" localSheetId="4">'[8]Income Statement'!$K$1</definedName>
    <definedName name="Rate_Case_2004" localSheetId="10">'[9]Income Statement'!$K$1</definedName>
    <definedName name="Rate_Case_2004">'[8]Income Statement'!$K$1</definedName>
    <definedName name="Rate_Case_2005" localSheetId="4">'[8]Income Statement'!$K$2</definedName>
    <definedName name="Rate_Case_2005" localSheetId="10">'[9]Income Statement'!$K$2</definedName>
    <definedName name="Rate_Case_2005">'[8]Income Statement'!$K$2</definedName>
    <definedName name="Rating" localSheetId="11">IndexInformation!$B$9</definedName>
    <definedName name="RatingsDefined" localSheetId="1">ImportantDisclosures!$A$21</definedName>
    <definedName name="RatingsDefs" localSheetId="1">ImportantDisclosures!#REF!</definedName>
    <definedName name="RCF_Total_Debt" localSheetId="4">'[8]Fin Stats'!$B$79:$M$79</definedName>
    <definedName name="RCF_Total_Debt" localSheetId="10">'[9]Fin Stats'!$B$79:$M$79</definedName>
    <definedName name="RCF_Total_Debt">'[8]Fin Stats'!$B$79:$M$79</definedName>
    <definedName name="RegACDisclosure" localSheetId="1">ImportantDisclosures!#REF!</definedName>
    <definedName name="RegPct" localSheetId="4">Financial!$D$10</definedName>
    <definedName name="Rem_Bus_ROIC" localSheetId="4">OFFSET([0]!XRange,11,0)</definedName>
    <definedName name="Rem_Bus_ROIC" localSheetId="10">OFFSET([0]!XRange,11,0)</definedName>
    <definedName name="Rem_Bus_ROIC" localSheetId="3">OFFSET(Valuation!XRange,11,0)</definedName>
    <definedName name="Rem_Bus_ROIC">OFFSET([0]!XRange,11,0)</definedName>
    <definedName name="ResearchTopic" localSheetId="11">IndexInformation!$B$4</definedName>
    <definedName name="Return_on_Assets" localSheetId="4">'[8]Fin Stats'!$B$29:$M$29</definedName>
    <definedName name="Return_on_Assets" localSheetId="10">'[9]Fin Stats'!$B$29:$M$29</definedName>
    <definedName name="Return_on_Assets">'[8]Fin Stats'!$B$29:$M$29</definedName>
    <definedName name="Return_on_Equity" localSheetId="4">'[8]Fin Stats'!$B$30:$M$30</definedName>
    <definedName name="Return_on_Equity" localSheetId="10">'[9]Fin Stats'!$B$30:$M$30</definedName>
    <definedName name="Return_on_Equity">'[8]Fin Stats'!$B$30:$M$30</definedName>
    <definedName name="Return_on_Invested_Capital" localSheetId="4">'[8]Fin Stats'!$B$31:$M$31</definedName>
    <definedName name="Return_on_Invested_Capital" localSheetId="10">'[9]Fin Stats'!$B$31:$M$31</definedName>
    <definedName name="Return_on_Invested_Capital">'[8]Fin Stats'!$B$31:$M$31</definedName>
    <definedName name="Return_Relative_to_S_P_500" localSheetId="4">'[8]Fin Stats'!$B$133:$M$133</definedName>
    <definedName name="Return_Relative_to_S_P_500" localSheetId="10">'[9]Fin Stats'!$B$133:$M$133</definedName>
    <definedName name="Return_Relative_to_S_P_500">'[8]Fin Stats'!$B$133:$M$133</definedName>
    <definedName name="Revenues" localSheetId="4">'[8]Fin Stats'!$B$99:$M$99</definedName>
    <definedName name="Revenues" localSheetId="10">'[9]Fin Stats'!$B$99:$M$99</definedName>
    <definedName name="Revenues">'[8]Fin Stats'!$B$99:$M$99</definedName>
    <definedName name="RIC" localSheetId="11">IndexInformation!$B$21</definedName>
    <definedName name="SECSettlement" localSheetId="1">ImportantDisclosures!#REF!</definedName>
    <definedName name="SEDOL" localSheetId="11">IndexInformation!$B$22</definedName>
    <definedName name="Shareholder_Return" localSheetId="4">'[8]Fin Stats'!$B$32:$M$32</definedName>
    <definedName name="Shareholder_Return" localSheetId="10">'[9]Fin Stats'!$B$32:$M$32</definedName>
    <definedName name="Shareholder_Return">'[8]Fin Stats'!$B$32:$M$32</definedName>
    <definedName name="SharePrice" localSheetId="4">'[5]Valuation Summary'!$BO$11</definedName>
    <definedName name="SharePrice" localSheetId="10">'[5]Valuation Summary'!$BO$11</definedName>
    <definedName name="Shares_Outstanding" localSheetId="4">'[8]Fin Stats'!$B$54:$M$54</definedName>
    <definedName name="Shares_Outstanding" localSheetId="10">'[9]Fin Stats'!$B$54:$M$54</definedName>
    <definedName name="Shares_Outstanding">'[8]Fin Stats'!$B$54:$M$54</definedName>
    <definedName name="Short_term_debt" localSheetId="4">'[8]Fin Stats'!$B$35:$M$35</definedName>
    <definedName name="Short_term_debt" localSheetId="10">'[9]Fin Stats'!$B$35:$M$35</definedName>
    <definedName name="Short_term_debt">'[8]Fin Stats'!$B$35:$M$35</definedName>
    <definedName name="SO" localSheetId="4">Financial!$AM$27</definedName>
    <definedName name="SourceDefined" localSheetId="1">ImportantDisclosures!$A$19</definedName>
    <definedName name="SPWS_WBID">"AB974E08-D2D4-47A3-BC27-DEDF1C76035D"</definedName>
    <definedName name="StockRating" localSheetId="1">ImportantDisclosures!$A$11</definedName>
    <definedName name="SubjectCode" localSheetId="11">IndexInformation!$B$6</definedName>
    <definedName name="SubmitterUserId" localSheetId="10">[16]IndexInformation!$B$39</definedName>
    <definedName name="SubmitterUserId">IndexInformation!$B$39</definedName>
    <definedName name="Subs" localSheetId="4">Financial!$C$10</definedName>
    <definedName name="SUPPRESSED" localSheetId="12">ModPubIndex!$A$13</definedName>
    <definedName name="TargetPrice" localSheetId="1">ImportantDisclosures!$A$15</definedName>
    <definedName name="Tax" localSheetId="4">'[5]Valuation Summary'!$BO$8</definedName>
    <definedName name="Tax" localSheetId="10">'[5]Valuation Summary'!$BO$8</definedName>
    <definedName name="TemplateRegion" localSheetId="10">[16]IndexInformation!$B$36</definedName>
    <definedName name="TemplateRegion">IndexInformation!$B$36</definedName>
    <definedName name="Ticker" localSheetId="1">ImportantDisclosures!$A$10</definedName>
    <definedName name="ticker" localSheetId="3">Valuation!$N$2</definedName>
    <definedName name="TickerRegion">IndexInformation!$B$41</definedName>
    <definedName name="Tickers" localSheetId="11">IndexInformation!$B$19</definedName>
    <definedName name="Total_Bus_ROIC" localSheetId="4">OFFSET([0]!XRange,12,0)</definedName>
    <definedName name="Total_Bus_ROIC" localSheetId="10">OFFSET([0]!XRange,12,0)</definedName>
    <definedName name="Total_Bus_ROIC" localSheetId="3">OFFSET(Valuation!XRange,12,0)</definedName>
    <definedName name="Total_Bus_ROIC">OFFSET([0]!XRange,12,0)</definedName>
    <definedName name="Total_Capital" localSheetId="4">'[8]Fin Stats'!$B$39:$M$39</definedName>
    <definedName name="Total_Capital" localSheetId="10">'[9]Fin Stats'!$B$39:$M$39</definedName>
    <definedName name="Total_Capital">'[8]Fin Stats'!$B$39:$M$39</definedName>
    <definedName name="Total_Debt_EBITDA" localSheetId="4">'[8]Fin Stats'!$B$74:$M$74</definedName>
    <definedName name="Total_Debt_EBITDA" localSheetId="10">'[9]Fin Stats'!$B$74:$M$74</definedName>
    <definedName name="Total_Debt_EBITDA">'[8]Fin Stats'!$B$74:$M$74</definedName>
    <definedName name="Total_Debt_Outstanding" localSheetId="4">'[8]Fin Stats'!$B$50:$M$50</definedName>
    <definedName name="Total_Debt_Outstanding" localSheetId="10">'[9]Fin Stats'!$B$50:$M$50</definedName>
    <definedName name="Total_Debt_Outstanding">'[8]Fin Stats'!$B$50:$M$50</definedName>
    <definedName name="Total_Debt_to_Capital" localSheetId="4">'[8]Fin Stats'!$B$42:$M$42</definedName>
    <definedName name="Total_Debt_to_Capital" localSheetId="10">'[9]Fin Stats'!$B$42:$M$42</definedName>
    <definedName name="Total_Debt_to_Capital">'[8]Fin Stats'!$B$42:$M$42</definedName>
    <definedName name="Total_Debt_Total_Market_Cap" localSheetId="4">'[8]Fin Stats'!$B$62:$M$62</definedName>
    <definedName name="Total_Debt_Total_Market_Cap" localSheetId="10">'[9]Fin Stats'!$B$62:$M$62</definedName>
    <definedName name="Total_Debt_Total_Market_Cap">'[8]Fin Stats'!$B$62:$M$62</definedName>
    <definedName name="trc_XLS_DATASHEET_ProtectDate" localSheetId="4">36879.7503587963</definedName>
    <definedName name="trc_XLS_DATASHEET_ProtectDate" localSheetId="10">36879.7503587963</definedName>
    <definedName name="trc_XLS_DATASHEET_ProtectDate" localSheetId="3">36879.7503587963</definedName>
    <definedName name="trc_XLS_DATASHEET_ProtectDate">36879.7503587963</definedName>
    <definedName name="trc_XLS_DATASHEET_ProtectDate_1">36879.7503587963</definedName>
    <definedName name="Update_This">[18]!Update_This</definedName>
    <definedName name="UpdateReason" localSheetId="11">IndexInformation!$B$17</definedName>
    <definedName name="Uplift" localSheetId="10">'Market Prices'!$D$4</definedName>
    <definedName name="USRegDisclosures" localSheetId="1">ImportantDisclosures!#REF!</definedName>
    <definedName name="UtilityEPS">Valuation!$CG$10</definedName>
    <definedName name="UtilityPE">Valuation!$CG$12</definedName>
    <definedName name="Version">"June 29, 2004"</definedName>
    <definedName name="WACC" localSheetId="4">OFFSET([0]!XRange,13,0)</definedName>
    <definedName name="WACC" localSheetId="10">OFFSET([0]!XRange,13,0)</definedName>
    <definedName name="WACC" localSheetId="3">OFFSET(Valuation!XRange,13,0)</definedName>
    <definedName name="WACC">OFFSET([0]!XRange,13,0)</definedName>
    <definedName name="wrn.Earnings._.Model." localSheetId="4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1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3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xaxis">#N/A</definedName>
    <definedName name="Year_End_Market_Price" localSheetId="4">'[8]Fin Stats'!$B$55:$M$55</definedName>
    <definedName name="Year_End_Market_Price" localSheetId="10">'[9]Fin Stats'!$B$55:$M$55</definedName>
    <definedName name="Year_End_Market_Price">'[8]Fin Stats'!$B$55:$M$55</definedName>
  </definedNames>
  <calcPr calcId="145621" calcMode="manual" iterate="1"/>
</workbook>
</file>

<file path=xl/calcChain.xml><?xml version="1.0" encoding="utf-8"?>
<calcChain xmlns="http://schemas.openxmlformats.org/spreadsheetml/2006/main">
  <c r="AX36" i="46" l="1"/>
  <c r="AX32" i="15"/>
  <c r="AY15" i="15" l="1"/>
  <c r="AW399" i="15"/>
  <c r="AW404" i="15"/>
  <c r="BW76" i="64" l="1"/>
  <c r="DU14" i="64"/>
  <c r="BA67" i="47" l="1"/>
  <c r="BH174" i="15" l="1"/>
  <c r="BN228" i="15"/>
  <c r="AX183" i="47"/>
  <c r="AS124" i="47"/>
  <c r="AT124" i="47"/>
  <c r="AY67" i="47" s="1"/>
  <c r="AU124" i="47"/>
  <c r="AV124" i="47"/>
  <c r="BL180" i="15"/>
  <c r="BL239" i="15"/>
  <c r="BL391" i="15"/>
  <c r="BB391" i="15"/>
  <c r="BF24" i="47" l="1"/>
  <c r="AV388" i="15" l="1"/>
  <c r="F112" i="72"/>
  <c r="AW411" i="15"/>
  <c r="AW412" i="15" s="1"/>
  <c r="AV411" i="15"/>
  <c r="AV412" i="15" s="1"/>
  <c r="AV409" i="15"/>
  <c r="AW408" i="15"/>
  <c r="AV408" i="15"/>
  <c r="AW401" i="15"/>
  <c r="AW397" i="15"/>
  <c r="AW398" i="15" s="1"/>
  <c r="AV397" i="15"/>
  <c r="AV398" i="15" s="1"/>
  <c r="AV395" i="15"/>
  <c r="AW394" i="15"/>
  <c r="AV394" i="15"/>
  <c r="AV389" i="15"/>
  <c r="AW385" i="15"/>
  <c r="AW386" i="15" s="1"/>
  <c r="AV383" i="15"/>
  <c r="AW382" i="15"/>
  <c r="AV382" i="15"/>
  <c r="AV385" i="15" s="1"/>
  <c r="AV386" i="15" s="1"/>
  <c r="AW56" i="15"/>
  <c r="AV56" i="15"/>
  <c r="AW55" i="15"/>
  <c r="AV55" i="15"/>
  <c r="AW54" i="15"/>
  <c r="AV54" i="15"/>
  <c r="AW53" i="15"/>
  <c r="AV53" i="15"/>
  <c r="AW52" i="15"/>
  <c r="AV52" i="15"/>
  <c r="AW51" i="15"/>
  <c r="AW57" i="15" s="1"/>
  <c r="AV51" i="15"/>
  <c r="AV57" i="15" s="1"/>
  <c r="AX24" i="47"/>
  <c r="AY24" i="47"/>
  <c r="AZ24" i="47"/>
  <c r="BA24" i="47"/>
  <c r="AW187" i="47"/>
  <c r="AW186" i="47"/>
  <c r="AV186" i="47"/>
  <c r="AV187" i="47" s="1"/>
  <c r="AW184" i="47"/>
  <c r="AW183" i="47"/>
  <c r="AV183" i="47"/>
  <c r="AV184" i="47" s="1"/>
  <c r="AV145" i="47"/>
  <c r="AV146" i="47" s="1"/>
  <c r="AV147" i="47" s="1"/>
  <c r="AV80" i="47" s="1"/>
  <c r="AW144" i="47"/>
  <c r="AW146" i="47" s="1"/>
  <c r="AW147" i="47" s="1"/>
  <c r="AW80" i="47" s="1"/>
  <c r="AV144" i="47"/>
  <c r="AV140" i="47"/>
  <c r="AW139" i="47"/>
  <c r="AW141" i="47" s="1"/>
  <c r="AW142" i="47" s="1"/>
  <c r="AW79" i="47" s="1"/>
  <c r="AV139" i="47"/>
  <c r="AV141" i="47" s="1"/>
  <c r="AV142" i="47" s="1"/>
  <c r="AV79" i="47" s="1"/>
  <c r="AV135" i="47"/>
  <c r="AV134" i="47"/>
  <c r="AV136" i="47" s="1"/>
  <c r="AV137" i="47" s="1"/>
  <c r="AV78" i="47" s="1"/>
  <c r="AW132" i="47"/>
  <c r="AW131" i="47"/>
  <c r="AV131" i="47"/>
  <c r="AV132" i="47" s="1"/>
  <c r="AV77" i="47" s="1"/>
  <c r="AV130" i="47"/>
  <c r="AW129" i="47"/>
  <c r="AV129" i="47"/>
  <c r="AW85" i="47"/>
  <c r="AV85" i="47" s="1"/>
  <c r="AW83" i="47"/>
  <c r="AW82" i="47"/>
  <c r="AW77" i="47"/>
  <c r="AV67" i="47"/>
  <c r="AV82" i="47"/>
  <c r="AV83" i="47"/>
  <c r="AW109" i="46"/>
  <c r="AV109" i="46"/>
  <c r="AW107" i="46"/>
  <c r="AV107" i="46"/>
  <c r="AW106" i="46"/>
  <c r="AW108" i="46" s="1"/>
  <c r="AV106" i="46"/>
  <c r="AV108" i="46" s="1"/>
  <c r="AW100" i="46"/>
  <c r="AV100" i="46"/>
  <c r="AW99" i="46"/>
  <c r="AV99" i="46"/>
  <c r="AV79" i="46"/>
  <c r="AW79" i="46"/>
  <c r="AV80" i="46"/>
  <c r="AW80" i="46"/>
  <c r="AV81" i="46"/>
  <c r="AW81" i="46"/>
  <c r="AV82" i="46"/>
  <c r="AW82" i="46"/>
  <c r="AV87" i="46"/>
  <c r="AW87" i="46"/>
  <c r="AV88" i="46"/>
  <c r="AW88" i="46"/>
  <c r="AW68" i="46"/>
  <c r="AV68" i="46"/>
  <c r="AW62" i="46"/>
  <c r="AV62" i="46"/>
  <c r="AW60" i="46"/>
  <c r="AV60" i="46"/>
  <c r="AW59" i="46"/>
  <c r="AV59" i="46"/>
  <c r="AW134" i="47" l="1"/>
  <c r="AW136" i="47" s="1"/>
  <c r="AW137" i="47" s="1"/>
  <c r="AW78" i="47" s="1"/>
  <c r="DU105" i="72"/>
  <c r="DT105" i="72"/>
  <c r="DS105" i="72"/>
  <c r="DR105" i="72"/>
  <c r="DP105" i="72"/>
  <c r="DO105" i="72"/>
  <c r="DN105" i="72"/>
  <c r="DM105" i="72"/>
  <c r="DK105" i="72"/>
  <c r="DJ105" i="72"/>
  <c r="DI105" i="72"/>
  <c r="DH105" i="72"/>
  <c r="DF105" i="72"/>
  <c r="DE105" i="72"/>
  <c r="DD105" i="72"/>
  <c r="DC105" i="72"/>
  <c r="DA105" i="72"/>
  <c r="CZ105" i="72"/>
  <c r="CY105" i="72"/>
  <c r="CX105" i="72"/>
  <c r="CV105" i="72"/>
  <c r="CU105" i="72"/>
  <c r="CT105" i="72"/>
  <c r="CS105" i="72"/>
  <c r="CQ105" i="72"/>
  <c r="CP105" i="72"/>
  <c r="CO105" i="72"/>
  <c r="CN105" i="72"/>
  <c r="CL105" i="72"/>
  <c r="CK105" i="72"/>
  <c r="CJ105" i="72"/>
  <c r="CI105" i="72"/>
  <c r="CG105" i="72"/>
  <c r="CF105" i="72"/>
  <c r="CE105" i="72"/>
  <c r="CD105" i="72"/>
  <c r="CB105" i="72"/>
  <c r="CA105" i="72"/>
  <c r="BZ105" i="72"/>
  <c r="BY105" i="72"/>
  <c r="BW105" i="72"/>
  <c r="BV105" i="72"/>
  <c r="BU105" i="72"/>
  <c r="BT105" i="72"/>
  <c r="BR105" i="72"/>
  <c r="BS105" i="72" s="1"/>
  <c r="BX105" i="72" s="1"/>
  <c r="CC105" i="72" s="1"/>
  <c r="CH105" i="72" s="1"/>
  <c r="CM105" i="72" s="1"/>
  <c r="CR105" i="72" s="1"/>
  <c r="CW105" i="72" s="1"/>
  <c r="DB105" i="72" s="1"/>
  <c r="DG105" i="72" s="1"/>
  <c r="DL105" i="72" s="1"/>
  <c r="DQ105" i="72" s="1"/>
  <c r="DV105" i="72" s="1"/>
  <c r="BP105" i="72"/>
  <c r="BO105" i="72" s="1"/>
  <c r="BK105" i="72"/>
  <c r="BJ105" i="72" s="1"/>
  <c r="BF105" i="72"/>
  <c r="BE105" i="72" s="1"/>
  <c r="BD105" i="72"/>
  <c r="BA105" i="72"/>
  <c r="AZ105" i="72" s="1"/>
  <c r="AY105" i="72"/>
  <c r="AW105" i="72"/>
  <c r="AV105" i="72"/>
  <c r="AU105" i="72" s="1"/>
  <c r="AQ105" i="72"/>
  <c r="AP105" i="72" s="1"/>
  <c r="AO105" i="72"/>
  <c r="AL105" i="72"/>
  <c r="AK105" i="72" s="1"/>
  <c r="AG105" i="72"/>
  <c r="AF105" i="72" s="1"/>
  <c r="AB105" i="72"/>
  <c r="AA105" i="72" s="1"/>
  <c r="W105" i="72"/>
  <c r="V105" i="72" s="1"/>
  <c r="R105" i="72"/>
  <c r="Q105" i="72" s="1"/>
  <c r="M105" i="72"/>
  <c r="L105" i="72"/>
  <c r="E105" i="72"/>
  <c r="BB105" i="72" l="1"/>
  <c r="AC105" i="72"/>
  <c r="U105" i="72"/>
  <c r="AE105" i="72"/>
  <c r="AJ105" i="72"/>
  <c r="N105" i="72"/>
  <c r="P105" i="72"/>
  <c r="AH105" i="72"/>
  <c r="BI105" i="72"/>
  <c r="X105" i="72"/>
  <c r="AR105" i="72"/>
  <c r="BL105" i="72"/>
  <c r="S105" i="72"/>
  <c r="Z105" i="72"/>
  <c r="AM105" i="72"/>
  <c r="AT105" i="72"/>
  <c r="BG105" i="72"/>
  <c r="BN105" i="72"/>
  <c r="O105" i="72"/>
  <c r="Y105" i="72"/>
  <c r="AI105" i="72"/>
  <c r="AS105" i="72"/>
  <c r="BC105" i="72"/>
  <c r="BM105" i="72"/>
  <c r="T105" i="72"/>
  <c r="AD105" i="72"/>
  <c r="AN105" i="72"/>
  <c r="AX105" i="72"/>
  <c r="BH105" i="72"/>
  <c r="AV61" i="51" l="1"/>
  <c r="AV59" i="51"/>
  <c r="AV57" i="51"/>
  <c r="AW42" i="51"/>
  <c r="AV42" i="51"/>
  <c r="AW41" i="51"/>
  <c r="AV41" i="51"/>
  <c r="AW38" i="51"/>
  <c r="AW35" i="51"/>
  <c r="AV35" i="51"/>
  <c r="AW32" i="51"/>
  <c r="AV32" i="51"/>
  <c r="AW29" i="51"/>
  <c r="AV29" i="51"/>
  <c r="AW24" i="51"/>
  <c r="AV24" i="51"/>
  <c r="AW23" i="51"/>
  <c r="AV23" i="51"/>
  <c r="AW22" i="51"/>
  <c r="AV22" i="51"/>
  <c r="AW17" i="51"/>
  <c r="AV17" i="51"/>
  <c r="AW16" i="51"/>
  <c r="AV16" i="51"/>
  <c r="AW15" i="51"/>
  <c r="AV15" i="51"/>
  <c r="AW14" i="51"/>
  <c r="AV14" i="51"/>
  <c r="AW13" i="51"/>
  <c r="AV13" i="51"/>
  <c r="AW10" i="51"/>
  <c r="AW18" i="51" s="1"/>
  <c r="AV10" i="51"/>
  <c r="AV18" i="51" s="1"/>
  <c r="AW9" i="51"/>
  <c r="AW20" i="51" s="1"/>
  <c r="AW26" i="51" s="1"/>
  <c r="AV9" i="51"/>
  <c r="AV20" i="51" s="1"/>
  <c r="AV26" i="51" s="1"/>
  <c r="AW505" i="15"/>
  <c r="AV505" i="15"/>
  <c r="AW504" i="15"/>
  <c r="AV504" i="15"/>
  <c r="AW500" i="15"/>
  <c r="AV500" i="15"/>
  <c r="AW499" i="15"/>
  <c r="AW506" i="15" s="1"/>
  <c r="AV499" i="15"/>
  <c r="AV506" i="15" s="1"/>
  <c r="AW498" i="15"/>
  <c r="AW511" i="15" s="1"/>
  <c r="AV498" i="15"/>
  <c r="AV511" i="15" s="1"/>
  <c r="AW474" i="15"/>
  <c r="AW456" i="15"/>
  <c r="AV455" i="15"/>
  <c r="AW455" i="15" s="1"/>
  <c r="AV454" i="15"/>
  <c r="AV458" i="15"/>
  <c r="AW436" i="15"/>
  <c r="AV457" i="15" l="1"/>
  <c r="AW30" i="51"/>
  <c r="AW33" i="51" s="1"/>
  <c r="AW37" i="51" s="1"/>
  <c r="AW27" i="51"/>
  <c r="AV30" i="51"/>
  <c r="AV33" i="51" s="1"/>
  <c r="AV37" i="51" s="1"/>
  <c r="AV27" i="51"/>
  <c r="AW11" i="51"/>
  <c r="AV11" i="51"/>
  <c r="AW454" i="15"/>
  <c r="AW42" i="15"/>
  <c r="AV42" i="15"/>
  <c r="AW41" i="15"/>
  <c r="AV41" i="15"/>
  <c r="AW260" i="47"/>
  <c r="AW259" i="47"/>
  <c r="AW255" i="47"/>
  <c r="AW254" i="47"/>
  <c r="AW261" i="47" s="1"/>
  <c r="AW253" i="47"/>
  <c r="AW266" i="47" s="1"/>
  <c r="AW228" i="47"/>
  <c r="AV211" i="47"/>
  <c r="AW209" i="47"/>
  <c r="AV209" i="47"/>
  <c r="AW208" i="47"/>
  <c r="AV208" i="47"/>
  <c r="AW207" i="47"/>
  <c r="AV207" i="47"/>
  <c r="AW124" i="47"/>
  <c r="AV44" i="51" l="1"/>
  <c r="AW44" i="51"/>
  <c r="AW39" i="51"/>
  <c r="AW45" i="51" s="1"/>
  <c r="AW75" i="46" s="1"/>
  <c r="AV44" i="15"/>
  <c r="AW44" i="15"/>
  <c r="AW248" i="46"/>
  <c r="AV248" i="46"/>
  <c r="AU248" i="46"/>
  <c r="AT248" i="46"/>
  <c r="AS248" i="46"/>
  <c r="AW247" i="46"/>
  <c r="AV247" i="46"/>
  <c r="AU247" i="46"/>
  <c r="AT247" i="46"/>
  <c r="AS247" i="46"/>
  <c r="AW246" i="46"/>
  <c r="AV246" i="46"/>
  <c r="AU246" i="46"/>
  <c r="AT246" i="46"/>
  <c r="AS246" i="46"/>
  <c r="AW245" i="46"/>
  <c r="AT245" i="46"/>
  <c r="AU245" i="46" s="1"/>
  <c r="AV245" i="46" s="1"/>
  <c r="AS245" i="46"/>
  <c r="AS244" i="46"/>
  <c r="AW244" i="46"/>
  <c r="AW230" i="46"/>
  <c r="AW229" i="46"/>
  <c r="AW226" i="46"/>
  <c r="AW223" i="46"/>
  <c r="AW222" i="46"/>
  <c r="AW231" i="46" s="1"/>
  <c r="AW221" i="46"/>
  <c r="AW240" i="46" s="1"/>
  <c r="AW119" i="46"/>
  <c r="AW118" i="46"/>
  <c r="AV118" i="46"/>
  <c r="AW117" i="46"/>
  <c r="AV117" i="46"/>
  <c r="AV116" i="46"/>
  <c r="AW116" i="46" s="1"/>
  <c r="AV115" i="46"/>
  <c r="AW115" i="46" s="1"/>
  <c r="AW114" i="46"/>
  <c r="AV114" i="46"/>
  <c r="AW113" i="46"/>
  <c r="AV113" i="46"/>
  <c r="AW211" i="46"/>
  <c r="AV211" i="46"/>
  <c r="AU211" i="46"/>
  <c r="AT211" i="46"/>
  <c r="AS211" i="46"/>
  <c r="AW208" i="46"/>
  <c r="AV208" i="46"/>
  <c r="AU208" i="46"/>
  <c r="AT208" i="46"/>
  <c r="AS208" i="46"/>
  <c r="AW204" i="46"/>
  <c r="AV204" i="46"/>
  <c r="AU204" i="46"/>
  <c r="AT204" i="46"/>
  <c r="AS204" i="46"/>
  <c r="AW203" i="46"/>
  <c r="AW205" i="46" s="1"/>
  <c r="AV203" i="46"/>
  <c r="AV205" i="46" s="1"/>
  <c r="AU203" i="46"/>
  <c r="AU205" i="46" s="1"/>
  <c r="AT203" i="46"/>
  <c r="AT205" i="46" s="1"/>
  <c r="AS203" i="46"/>
  <c r="AS205" i="46" s="1"/>
  <c r="AW201" i="46"/>
  <c r="AV201" i="46"/>
  <c r="AU201" i="46"/>
  <c r="AT201" i="46"/>
  <c r="AS201" i="46"/>
  <c r="DU175" i="72"/>
  <c r="DT175" i="72"/>
  <c r="DS175" i="72"/>
  <c r="DR175" i="72"/>
  <c r="DP175" i="72"/>
  <c r="DO175" i="72"/>
  <c r="DN175" i="72"/>
  <c r="DM175" i="72"/>
  <c r="DK175" i="72"/>
  <c r="DJ175" i="72"/>
  <c r="DI175" i="72"/>
  <c r="DH175" i="72"/>
  <c r="CV175" i="72"/>
  <c r="CU175" i="72"/>
  <c r="CT175" i="72"/>
  <c r="CS175" i="72"/>
  <c r="CQ175" i="72"/>
  <c r="CP175" i="72"/>
  <c r="CO175" i="72"/>
  <c r="CN175" i="72"/>
  <c r="CL175" i="72"/>
  <c r="CK175" i="72"/>
  <c r="CJ175" i="72"/>
  <c r="CI175" i="72"/>
  <c r="CG175" i="72"/>
  <c r="CF175" i="72"/>
  <c r="CE175" i="72"/>
  <c r="CD175" i="72"/>
  <c r="CB175" i="72"/>
  <c r="CA175" i="72"/>
  <c r="BZ175" i="72"/>
  <c r="BY175" i="72"/>
  <c r="BW175" i="72"/>
  <c r="BV175" i="72"/>
  <c r="BU175" i="72"/>
  <c r="BT175" i="72"/>
  <c r="BR175" i="72"/>
  <c r="BS175" i="72" s="1"/>
  <c r="BX175" i="72" s="1"/>
  <c r="CC175" i="72" s="1"/>
  <c r="CH175" i="72" s="1"/>
  <c r="CM175" i="72" s="1"/>
  <c r="CR175" i="72" s="1"/>
  <c r="CW175" i="72" s="1"/>
  <c r="DB175" i="72" s="1"/>
  <c r="BP175" i="72"/>
  <c r="BN175" i="72" s="1"/>
  <c r="BO175" i="72"/>
  <c r="BM175" i="72"/>
  <c r="BL175" i="72"/>
  <c r="BK175" i="72"/>
  <c r="BJ175" i="72" s="1"/>
  <c r="BF175" i="72"/>
  <c r="BE175" i="72" s="1"/>
  <c r="BD175" i="72"/>
  <c r="BB175" i="72"/>
  <c r="BA175" i="72"/>
  <c r="AZ175" i="72" s="1"/>
  <c r="AV175" i="72"/>
  <c r="AU175" i="72" s="1"/>
  <c r="AT175" i="72"/>
  <c r="AQ175" i="72"/>
  <c r="AP175" i="72" s="1"/>
  <c r="AL175" i="72"/>
  <c r="AK175" i="72" s="1"/>
  <c r="AH175" i="72"/>
  <c r="AG175" i="72"/>
  <c r="AF175" i="72" s="1"/>
  <c r="AB175" i="72"/>
  <c r="Z175" i="72" s="1"/>
  <c r="AA175" i="72"/>
  <c r="Y175" i="72"/>
  <c r="X175" i="72"/>
  <c r="W175" i="72"/>
  <c r="V175" i="72" s="1"/>
  <c r="R175" i="72"/>
  <c r="DU174" i="72"/>
  <c r="DT174" i="72"/>
  <c r="DS174" i="72"/>
  <c r="DR174" i="72"/>
  <c r="DP174" i="72"/>
  <c r="DO174" i="72"/>
  <c r="DN174" i="72"/>
  <c r="DM174" i="72"/>
  <c r="DK174" i="72"/>
  <c r="DJ174" i="72"/>
  <c r="DI174" i="72"/>
  <c r="DH174" i="72"/>
  <c r="CV174" i="72"/>
  <c r="CU174" i="72"/>
  <c r="CT174" i="72"/>
  <c r="CS174" i="72"/>
  <c r="CQ174" i="72"/>
  <c r="CP174" i="72"/>
  <c r="CO174" i="72"/>
  <c r="CN174" i="72"/>
  <c r="CL174" i="72"/>
  <c r="CK174" i="72"/>
  <c r="CJ174" i="72"/>
  <c r="CI174" i="72"/>
  <c r="CG174" i="72"/>
  <c r="CF174" i="72"/>
  <c r="CE174" i="72"/>
  <c r="CD174" i="72"/>
  <c r="CB174" i="72"/>
  <c r="CA174" i="72"/>
  <c r="BZ174" i="72"/>
  <c r="BY174" i="72"/>
  <c r="BW174" i="72"/>
  <c r="BV174" i="72"/>
  <c r="BU174" i="72"/>
  <c r="BT174" i="72"/>
  <c r="BR174" i="72"/>
  <c r="BS174" i="72" s="1"/>
  <c r="BX174" i="72" s="1"/>
  <c r="CC174" i="72" s="1"/>
  <c r="CH174" i="72" s="1"/>
  <c r="CM174" i="72" s="1"/>
  <c r="CR174" i="72" s="1"/>
  <c r="CW174" i="72" s="1"/>
  <c r="DB174" i="72" s="1"/>
  <c r="BP174" i="72"/>
  <c r="BO174" i="72" s="1"/>
  <c r="BK174" i="72"/>
  <c r="BJ174" i="72" s="1"/>
  <c r="BF174" i="72"/>
  <c r="BE174" i="72" s="1"/>
  <c r="BD174" i="72"/>
  <c r="BA174" i="72"/>
  <c r="AZ174" i="72" s="1"/>
  <c r="AV174" i="72"/>
  <c r="AU174" i="72" s="1"/>
  <c r="AR174" i="72"/>
  <c r="AQ174" i="72"/>
  <c r="AP174" i="72" s="1"/>
  <c r="AL174" i="72"/>
  <c r="AK174" i="72" s="1"/>
  <c r="AG174" i="72"/>
  <c r="AF174" i="72" s="1"/>
  <c r="AB174" i="72"/>
  <c r="AA174" i="72" s="1"/>
  <c r="W174" i="72"/>
  <c r="V174" i="72" s="1"/>
  <c r="R174" i="72"/>
  <c r="DU141" i="72"/>
  <c r="DT141" i="72"/>
  <c r="DS141" i="72"/>
  <c r="DR141" i="72"/>
  <c r="DP141" i="72"/>
  <c r="DO141" i="72"/>
  <c r="DN141" i="72"/>
  <c r="DM141" i="72"/>
  <c r="DK141" i="72"/>
  <c r="DJ141" i="72"/>
  <c r="DI141" i="72"/>
  <c r="DH141" i="72"/>
  <c r="DF141" i="72"/>
  <c r="DE141" i="72"/>
  <c r="DD141" i="72"/>
  <c r="DC141" i="72"/>
  <c r="DA141" i="72"/>
  <c r="CZ141" i="72"/>
  <c r="CY141" i="72"/>
  <c r="CX141" i="72"/>
  <c r="CV141" i="72"/>
  <c r="CU141" i="72"/>
  <c r="CT141" i="72"/>
  <c r="CS141" i="72"/>
  <c r="CQ141" i="72"/>
  <c r="CP141" i="72"/>
  <c r="CO141" i="72"/>
  <c r="CN141" i="72"/>
  <c r="CL141" i="72"/>
  <c r="CK141" i="72"/>
  <c r="CJ141" i="72"/>
  <c r="CI141" i="72"/>
  <c r="CG141" i="72"/>
  <c r="CF141" i="72"/>
  <c r="CE141" i="72"/>
  <c r="CD141" i="72"/>
  <c r="CB141" i="72"/>
  <c r="CA141" i="72"/>
  <c r="BZ141" i="72"/>
  <c r="BY141" i="72"/>
  <c r="BW141" i="72"/>
  <c r="BV141" i="72"/>
  <c r="BU141" i="72"/>
  <c r="BT141" i="72"/>
  <c r="BR141" i="72"/>
  <c r="BS141" i="72" s="1"/>
  <c r="BX141" i="72" s="1"/>
  <c r="CC141" i="72" s="1"/>
  <c r="CH141" i="72" s="1"/>
  <c r="CM141" i="72" s="1"/>
  <c r="CR141" i="72" s="1"/>
  <c r="CW141" i="72" s="1"/>
  <c r="DB141" i="72" s="1"/>
  <c r="DG141" i="72" s="1"/>
  <c r="DL141" i="72" s="1"/>
  <c r="DQ141" i="72" s="1"/>
  <c r="DV141" i="72" s="1"/>
  <c r="BP141" i="72"/>
  <c r="BO141" i="72" s="1"/>
  <c r="BK141" i="72"/>
  <c r="BJ141" i="72" s="1"/>
  <c r="BF141" i="72"/>
  <c r="BE141" i="72" s="1"/>
  <c r="BA141" i="72"/>
  <c r="AZ141" i="72" s="1"/>
  <c r="AV141" i="72"/>
  <c r="AU141" i="72" s="1"/>
  <c r="AQ141" i="72"/>
  <c r="AP141" i="72" s="1"/>
  <c r="AL141" i="72"/>
  <c r="AK141" i="72" s="1"/>
  <c r="AG141" i="72"/>
  <c r="AF141" i="72" s="1"/>
  <c r="AB141" i="72"/>
  <c r="AA141" i="72" s="1"/>
  <c r="W141" i="72"/>
  <c r="V141" i="72" s="1"/>
  <c r="R141" i="72"/>
  <c r="Q141" i="72" s="1"/>
  <c r="M141" i="72"/>
  <c r="L141" i="72"/>
  <c r="E141" i="72"/>
  <c r="DU120" i="72"/>
  <c r="DT120" i="72"/>
  <c r="DS120" i="72"/>
  <c r="DR120" i="72"/>
  <c r="DP120" i="72"/>
  <c r="DO120" i="72"/>
  <c r="DN120" i="72"/>
  <c r="DM120" i="72"/>
  <c r="DK120" i="72"/>
  <c r="DJ120" i="72"/>
  <c r="DI120" i="72"/>
  <c r="DH120" i="72"/>
  <c r="DF120" i="72"/>
  <c r="DE120" i="72"/>
  <c r="DD120" i="72"/>
  <c r="DC120" i="72"/>
  <c r="DA120" i="72"/>
  <c r="CZ120" i="72"/>
  <c r="CY120" i="72"/>
  <c r="CX120" i="72"/>
  <c r="CV120" i="72"/>
  <c r="CU120" i="72"/>
  <c r="CT120" i="72"/>
  <c r="CS120" i="72"/>
  <c r="CQ120" i="72"/>
  <c r="CP120" i="72"/>
  <c r="CO120" i="72"/>
  <c r="CN120" i="72"/>
  <c r="CL120" i="72"/>
  <c r="CK120" i="72"/>
  <c r="CJ120" i="72"/>
  <c r="CI120" i="72"/>
  <c r="CG120" i="72"/>
  <c r="CF120" i="72"/>
  <c r="CE120" i="72"/>
  <c r="CD120" i="72"/>
  <c r="CB120" i="72"/>
  <c r="CA120" i="72"/>
  <c r="BZ120" i="72"/>
  <c r="BY120" i="72"/>
  <c r="BW120" i="72"/>
  <c r="BV120" i="72"/>
  <c r="BU120" i="72"/>
  <c r="BT120" i="72"/>
  <c r="BR120" i="72"/>
  <c r="BS120" i="72" s="1"/>
  <c r="BX120" i="72" s="1"/>
  <c r="CC120" i="72" s="1"/>
  <c r="CH120" i="72" s="1"/>
  <c r="CM120" i="72" s="1"/>
  <c r="CR120" i="72" s="1"/>
  <c r="CW120" i="72" s="1"/>
  <c r="DB120" i="72" s="1"/>
  <c r="DG120" i="72" s="1"/>
  <c r="DL120" i="72" s="1"/>
  <c r="DQ120" i="72" s="1"/>
  <c r="DV120" i="72" s="1"/>
  <c r="BP120" i="72"/>
  <c r="BO120" i="72" s="1"/>
  <c r="BK120" i="72"/>
  <c r="BJ120" i="72" s="1"/>
  <c r="BF120" i="72"/>
  <c r="BE120" i="72" s="1"/>
  <c r="BA120" i="72"/>
  <c r="AZ120" i="72" s="1"/>
  <c r="AV120" i="72"/>
  <c r="AU120" i="72" s="1"/>
  <c r="AQ120" i="72"/>
  <c r="AP120" i="72" s="1"/>
  <c r="AL120" i="72"/>
  <c r="AK120" i="72" s="1"/>
  <c r="AG120" i="72"/>
  <c r="AF120" i="72" s="1"/>
  <c r="AB120" i="72"/>
  <c r="AA120" i="72" s="1"/>
  <c r="W120" i="72"/>
  <c r="V120" i="72" s="1"/>
  <c r="R120" i="72"/>
  <c r="Q120" i="72" s="1"/>
  <c r="M120" i="72"/>
  <c r="L120" i="72"/>
  <c r="E120" i="72"/>
  <c r="AC175" i="72" l="1"/>
  <c r="AH174" i="72"/>
  <c r="BN174" i="72"/>
  <c r="AR120" i="72"/>
  <c r="X174" i="72"/>
  <c r="AJ174" i="72"/>
  <c r="BB174" i="72"/>
  <c r="BL174" i="72"/>
  <c r="AR175" i="72"/>
  <c r="Z174" i="72"/>
  <c r="AI174" i="72"/>
  <c r="AM174" i="72"/>
  <c r="AJ175" i="72"/>
  <c r="AS175" i="72"/>
  <c r="AW175" i="72"/>
  <c r="AM141" i="72"/>
  <c r="S175" i="72"/>
  <c r="AI175" i="72"/>
  <c r="AM175" i="72"/>
  <c r="BC175" i="72"/>
  <c r="BG175" i="72"/>
  <c r="AV120" i="46"/>
  <c r="AS214" i="46"/>
  <c r="AU214" i="46"/>
  <c r="AW214" i="46"/>
  <c r="AV212" i="46"/>
  <c r="AT214" i="46"/>
  <c r="AT215" i="46" s="1"/>
  <c r="AT206" i="46"/>
  <c r="AV214" i="46"/>
  <c r="AV215" i="46" s="1"/>
  <c r="AV206" i="46"/>
  <c r="AT209" i="46"/>
  <c r="AV209" i="46"/>
  <c r="N120" i="72"/>
  <c r="BB120" i="72"/>
  <c r="BH141" i="72"/>
  <c r="U175" i="72"/>
  <c r="AE175" i="72"/>
  <c r="AO175" i="72"/>
  <c r="AY175" i="72"/>
  <c r="BI175" i="72"/>
  <c r="DF175" i="72"/>
  <c r="DD175" i="72"/>
  <c r="CZ175" i="72"/>
  <c r="CX175" i="72"/>
  <c r="DG175" i="72"/>
  <c r="DL175" i="72" s="1"/>
  <c r="DQ175" i="72" s="1"/>
  <c r="DV175" i="72" s="1"/>
  <c r="DE175" i="72"/>
  <c r="DC175" i="72"/>
  <c r="DA175" i="72"/>
  <c r="CY175" i="72"/>
  <c r="X120" i="72"/>
  <c r="AT120" i="72"/>
  <c r="S141" i="72"/>
  <c r="BG141" i="72"/>
  <c r="BI141" i="72"/>
  <c r="BL141" i="72"/>
  <c r="S174" i="72"/>
  <c r="AT174" i="72"/>
  <c r="BC174" i="72"/>
  <c r="BG174" i="72"/>
  <c r="T175" i="72"/>
  <c r="AD175" i="72"/>
  <c r="AN175" i="72"/>
  <c r="AX175" i="72"/>
  <c r="BH175" i="72"/>
  <c r="BD120" i="72"/>
  <c r="AH120" i="72"/>
  <c r="P120" i="72"/>
  <c r="Z120" i="72"/>
  <c r="AJ120" i="72"/>
  <c r="AS120" i="72"/>
  <c r="BC120" i="72"/>
  <c r="BG120" i="72"/>
  <c r="BL120" i="72"/>
  <c r="U141" i="72"/>
  <c r="AW141" i="72"/>
  <c r="Y174" i="72"/>
  <c r="AC174" i="72"/>
  <c r="AS174" i="72"/>
  <c r="AW174" i="72"/>
  <c r="BM174" i="72"/>
  <c r="U174" i="72"/>
  <c r="AE174" i="72"/>
  <c r="AO174" i="72"/>
  <c r="AY174" i="72"/>
  <c r="BI174" i="72"/>
  <c r="DF174" i="72"/>
  <c r="DD174" i="72"/>
  <c r="CZ174" i="72"/>
  <c r="CX174" i="72"/>
  <c r="DG174" i="72"/>
  <c r="DL174" i="72" s="1"/>
  <c r="DQ174" i="72" s="1"/>
  <c r="DV174" i="72" s="1"/>
  <c r="DE174" i="72"/>
  <c r="DC174" i="72"/>
  <c r="DA174" i="72"/>
  <c r="CY174" i="72"/>
  <c r="T174" i="72"/>
  <c r="AD174" i="72"/>
  <c r="AN174" i="72"/>
  <c r="AX174" i="72"/>
  <c r="BH174" i="72"/>
  <c r="T141" i="72"/>
  <c r="X141" i="72"/>
  <c r="AC141" i="72"/>
  <c r="AO141" i="72"/>
  <c r="AY141" i="72"/>
  <c r="AE141" i="72"/>
  <c r="AN141" i="72"/>
  <c r="AR141" i="72"/>
  <c r="BN120" i="72"/>
  <c r="O120" i="72"/>
  <c r="Y120" i="72"/>
  <c r="AI120" i="72"/>
  <c r="AM120" i="72"/>
  <c r="BM120" i="72"/>
  <c r="N141" i="72"/>
  <c r="AD141" i="72"/>
  <c r="AH141" i="72"/>
  <c r="AX141" i="72"/>
  <c r="BB141" i="72"/>
  <c r="BN141" i="72"/>
  <c r="S120" i="72"/>
  <c r="U120" i="72"/>
  <c r="AE120" i="72"/>
  <c r="AO120" i="72"/>
  <c r="AY120" i="72"/>
  <c r="BI120" i="72"/>
  <c r="P141" i="72"/>
  <c r="Z141" i="72"/>
  <c r="AJ141" i="72"/>
  <c r="AT141" i="72"/>
  <c r="BD141" i="72"/>
  <c r="AC120" i="72"/>
  <c r="AW120" i="72"/>
  <c r="T120" i="72"/>
  <c r="AD120" i="72"/>
  <c r="AN120" i="72"/>
  <c r="AX120" i="72"/>
  <c r="BH120" i="72"/>
  <c r="O141" i="72"/>
  <c r="Y141" i="72"/>
  <c r="AI141" i="72"/>
  <c r="AS141" i="72"/>
  <c r="BC141" i="72"/>
  <c r="BM141" i="72"/>
  <c r="F167" i="72"/>
  <c r="E97" i="72"/>
  <c r="E96" i="72"/>
  <c r="E95" i="72"/>
  <c r="AW215" i="46" l="1"/>
  <c r="AW212" i="46"/>
  <c r="AW209" i="46"/>
  <c r="AU215" i="46"/>
  <c r="AU212" i="46"/>
  <c r="AU209" i="46"/>
  <c r="AS215" i="46"/>
  <c r="AS212" i="46"/>
  <c r="AS209" i="46"/>
  <c r="AT212" i="46"/>
  <c r="AW206" i="46"/>
  <c r="AU206" i="46"/>
  <c r="AS206" i="46"/>
  <c r="G199" i="72"/>
  <c r="G191" i="72"/>
  <c r="G112" i="72"/>
  <c r="G30" i="72"/>
  <c r="G22" i="72"/>
  <c r="G11" i="72" l="1"/>
  <c r="AW9" i="46"/>
  <c r="AW50" i="47"/>
  <c r="G169" i="72" l="1"/>
  <c r="G10" i="72" s="1"/>
  <c r="G12" i="72" s="1"/>
  <c r="AV436" i="15"/>
  <c r="AV120" i="47"/>
  <c r="AW120" i="47" s="1"/>
  <c r="AV235" i="47"/>
  <c r="AW161" i="47"/>
  <c r="AV161" i="47"/>
  <c r="AW426" i="15"/>
  <c r="AW424" i="15"/>
  <c r="AW422" i="15"/>
  <c r="AW419" i="15"/>
  <c r="AW418" i="15"/>
  <c r="AW420" i="15" s="1"/>
  <c r="AW417" i="15"/>
  <c r="AV426" i="15"/>
  <c r="AV38" i="15"/>
  <c r="AV58" i="15" s="1"/>
  <c r="AW38" i="15"/>
  <c r="AW23" i="15"/>
  <c r="AV23" i="15" s="1"/>
  <c r="AW10" i="15"/>
  <c r="AW18" i="15" s="1"/>
  <c r="AW20" i="15" s="1"/>
  <c r="AV35" i="15"/>
  <c r="AV32" i="15"/>
  <c r="AV28" i="15"/>
  <c r="AV22" i="15"/>
  <c r="AV17" i="15"/>
  <c r="AV16" i="15"/>
  <c r="AV15" i="15"/>
  <c r="AV14" i="15"/>
  <c r="AV13" i="15"/>
  <c r="AV10" i="15"/>
  <c r="AV9" i="15"/>
  <c r="AS248" i="47"/>
  <c r="AT248" i="47" s="1"/>
  <c r="AU248" i="47" s="1"/>
  <c r="AV248" i="47" s="1"/>
  <c r="AV236" i="47" s="1"/>
  <c r="AV245" i="47" s="1"/>
  <c r="AV246" i="47" s="1"/>
  <c r="AW159" i="47"/>
  <c r="AV159" i="47"/>
  <c r="AV152" i="47"/>
  <c r="AW117" i="47"/>
  <c r="AV117" i="47"/>
  <c r="AW114" i="47"/>
  <c r="AW100" i="47"/>
  <c r="AW98" i="47"/>
  <c r="AV97" i="47"/>
  <c r="AV96" i="47"/>
  <c r="AV95" i="47"/>
  <c r="AV94" i="47"/>
  <c r="AV115" i="47"/>
  <c r="AV100" i="47" s="1"/>
  <c r="AV113" i="47"/>
  <c r="AV104" i="47"/>
  <c r="AW106" i="47"/>
  <c r="AW105" i="47"/>
  <c r="AW104" i="47"/>
  <c r="AW103" i="47"/>
  <c r="AW107" i="47" s="1"/>
  <c r="AW67" i="47" s="1"/>
  <c r="AV107" i="47"/>
  <c r="AQ61" i="47"/>
  <c r="AW54" i="47"/>
  <c r="AV54" i="47"/>
  <c r="AW53" i="47"/>
  <c r="AV53" i="47"/>
  <c r="AV50" i="47"/>
  <c r="AV47" i="47"/>
  <c r="AV43" i="47"/>
  <c r="AW39" i="47"/>
  <c r="AV38" i="47"/>
  <c r="AV37" i="47"/>
  <c r="AW32" i="47"/>
  <c r="AV31" i="47"/>
  <c r="AV30" i="47"/>
  <c r="AV29" i="47"/>
  <c r="AV24" i="47"/>
  <c r="AV23" i="47"/>
  <c r="AV22" i="47"/>
  <c r="AV21" i="47"/>
  <c r="AV20" i="47"/>
  <c r="AV19" i="47"/>
  <c r="AW15" i="47"/>
  <c r="AW25" i="47" s="1"/>
  <c r="AV14" i="47"/>
  <c r="AV13" i="47"/>
  <c r="AV15" i="47" s="1"/>
  <c r="AV25" i="47" s="1"/>
  <c r="AW11" i="47"/>
  <c r="AV10" i="47"/>
  <c r="AV9" i="47"/>
  <c r="AV192" i="46"/>
  <c r="AV181" i="46"/>
  <c r="AV183" i="46"/>
  <c r="AV176" i="46"/>
  <c r="AV168" i="46"/>
  <c r="AW168" i="46" s="1"/>
  <c r="AV161" i="46"/>
  <c r="AV164" i="46" s="1"/>
  <c r="AV158" i="46"/>
  <c r="AW158" i="46" s="1"/>
  <c r="AV157" i="46"/>
  <c r="AW194" i="46"/>
  <c r="AV193" i="46"/>
  <c r="AW191" i="46"/>
  <c r="AW190" i="46"/>
  <c r="AW189" i="46"/>
  <c r="AW187" i="46"/>
  <c r="AW186" i="46"/>
  <c r="AW183" i="46"/>
  <c r="AW182" i="46"/>
  <c r="AW181" i="46"/>
  <c r="AW180" i="46"/>
  <c r="AW179" i="46"/>
  <c r="AV177" i="46"/>
  <c r="AW175" i="46"/>
  <c r="AW174" i="46"/>
  <c r="AW173" i="46"/>
  <c r="AW170" i="46"/>
  <c r="AW169" i="46"/>
  <c r="AW167" i="46"/>
  <c r="AW166" i="46"/>
  <c r="AW163" i="46"/>
  <c r="AW162" i="46"/>
  <c r="AW161" i="46"/>
  <c r="AW157" i="46"/>
  <c r="AV159" i="46"/>
  <c r="AW156" i="46"/>
  <c r="AW155" i="46"/>
  <c r="AV139" i="46"/>
  <c r="AV142" i="46"/>
  <c r="AW141" i="46"/>
  <c r="AV133" i="46"/>
  <c r="AV134" i="46" s="1"/>
  <c r="AV132" i="46"/>
  <c r="AW132" i="46" s="1"/>
  <c r="AV128" i="46"/>
  <c r="AW128" i="46" s="1"/>
  <c r="AW149" i="46"/>
  <c r="AV149" i="46"/>
  <c r="AW145" i="46"/>
  <c r="AW142" i="46"/>
  <c r="AV143" i="46"/>
  <c r="AW143" i="46" s="1"/>
  <c r="AW140" i="46"/>
  <c r="AW139" i="46"/>
  <c r="AW138" i="46"/>
  <c r="AW137" i="46"/>
  <c r="AW136" i="46"/>
  <c r="AW133" i="46"/>
  <c r="AW131" i="46"/>
  <c r="AW127" i="46"/>
  <c r="AW126" i="46"/>
  <c r="AW125" i="46"/>
  <c r="AW124" i="46"/>
  <c r="AV58" i="46"/>
  <c r="AV45" i="46"/>
  <c r="AV42" i="46"/>
  <c r="AV38" i="51" s="1"/>
  <c r="AV39" i="51" s="1"/>
  <c r="AV45" i="51" s="1"/>
  <c r="AV75" i="46" s="1"/>
  <c r="AV39" i="46"/>
  <c r="AV36" i="46"/>
  <c r="AV31" i="46"/>
  <c r="AV30" i="46"/>
  <c r="AV32" i="46" s="1"/>
  <c r="AV24" i="46"/>
  <c r="AV23" i="46"/>
  <c r="AV22" i="46"/>
  <c r="AV25" i="46" s="1"/>
  <c r="AV17" i="46"/>
  <c r="AV16" i="46"/>
  <c r="AV15" i="46"/>
  <c r="AV14" i="46"/>
  <c r="AV13" i="46"/>
  <c r="AV12" i="46"/>
  <c r="AV9" i="46"/>
  <c r="AV18" i="46" s="1"/>
  <c r="AV8" i="46"/>
  <c r="AV20" i="46" s="1"/>
  <c r="AV27" i="46" s="1"/>
  <c r="AW45" i="46"/>
  <c r="AW24" i="46"/>
  <c r="AW10" i="46"/>
  <c r="AW32" i="46"/>
  <c r="AW25" i="46"/>
  <c r="AW18" i="46"/>
  <c r="AW20" i="46" s="1"/>
  <c r="AW58" i="15" l="1"/>
  <c r="AW59" i="15" s="1"/>
  <c r="AV59" i="15"/>
  <c r="AW109" i="47"/>
  <c r="AV114" i="47"/>
  <c r="AV98" i="47"/>
  <c r="AW121" i="47"/>
  <c r="AV99" i="47"/>
  <c r="AW99" i="47"/>
  <c r="AV109" i="47"/>
  <c r="AV121" i="47"/>
  <c r="AW25" i="15"/>
  <c r="AW30" i="15" s="1"/>
  <c r="AW33" i="15" s="1"/>
  <c r="AW37" i="15" s="1"/>
  <c r="AV18" i="15"/>
  <c r="AV20" i="15" s="1"/>
  <c r="AV25" i="15" s="1"/>
  <c r="AV11" i="15"/>
  <c r="AW11" i="15"/>
  <c r="AV39" i="47"/>
  <c r="AV32" i="47"/>
  <c r="AV11" i="47"/>
  <c r="AV27" i="47" s="1"/>
  <c r="AV17" i="47"/>
  <c r="AW27" i="47"/>
  <c r="AW34" i="47" s="1"/>
  <c r="AW17" i="47"/>
  <c r="AV184" i="46"/>
  <c r="AW164" i="46"/>
  <c r="AV171" i="46"/>
  <c r="AW159" i="46"/>
  <c r="AV195" i="46"/>
  <c r="AW193" i="46"/>
  <c r="AW176" i="46"/>
  <c r="AW177" i="46" s="1"/>
  <c r="AW184" i="46" s="1"/>
  <c r="AW192" i="46"/>
  <c r="AW134" i="46"/>
  <c r="AW129" i="46"/>
  <c r="AV129" i="46"/>
  <c r="AV147" i="46" s="1"/>
  <c r="AV151" i="46" s="1"/>
  <c r="AW151" i="46" s="1"/>
  <c r="AV34" i="46"/>
  <c r="AV37" i="46" s="1"/>
  <c r="AV41" i="46" s="1"/>
  <c r="AV28" i="46"/>
  <c r="AV10" i="46"/>
  <c r="AW27" i="46"/>
  <c r="AW34" i="46" s="1"/>
  <c r="AW37" i="46" s="1"/>
  <c r="AW41" i="46" s="1"/>
  <c r="BU79" i="47"/>
  <c r="BV74" i="47"/>
  <c r="DF55" i="64"/>
  <c r="DA55" i="64"/>
  <c r="CV55" i="64"/>
  <c r="CQ55" i="64"/>
  <c r="BQ468" i="15"/>
  <c r="BL468" i="15"/>
  <c r="BG468" i="15"/>
  <c r="BB468" i="15"/>
  <c r="AW26" i="15" l="1"/>
  <c r="AV26" i="15"/>
  <c r="AV30" i="15"/>
  <c r="AV33" i="15" s="1"/>
  <c r="AV37" i="15" s="1"/>
  <c r="AW39" i="15"/>
  <c r="AW45" i="15" s="1"/>
  <c r="AV34" i="47"/>
  <c r="AV41" i="47" s="1"/>
  <c r="AV45" i="47" s="1"/>
  <c r="AV49" i="47" s="1"/>
  <c r="AW41" i="47"/>
  <c r="AW45" i="47" s="1"/>
  <c r="AW49" i="47" s="1"/>
  <c r="AW35" i="47"/>
  <c r="AV197" i="46"/>
  <c r="AW171" i="46"/>
  <c r="AW195" i="46"/>
  <c r="AW147" i="46"/>
  <c r="AV49" i="46"/>
  <c r="AV43" i="46"/>
  <c r="AV50" i="46" s="1"/>
  <c r="AW28" i="46"/>
  <c r="AW49" i="46"/>
  <c r="AW43" i="46"/>
  <c r="BM426" i="15"/>
  <c r="BN426" i="15" s="1"/>
  <c r="BO426" i="15" s="1"/>
  <c r="BP426" i="15" s="1"/>
  <c r="BH426" i="15"/>
  <c r="BI426" i="15" s="1"/>
  <c r="BJ426" i="15" s="1"/>
  <c r="BK426" i="15" s="1"/>
  <c r="BA242" i="15"/>
  <c r="BB242" i="15" s="1"/>
  <c r="BC242" i="15" s="1"/>
  <c r="BD242" i="15" s="1"/>
  <c r="BE242" i="15" s="1"/>
  <c r="BF242" i="15" s="1"/>
  <c r="BG242" i="15" s="1"/>
  <c r="BH242" i="15" s="1"/>
  <c r="BI242" i="15" s="1"/>
  <c r="BJ242" i="15" s="1"/>
  <c r="BK242" i="15" s="1"/>
  <c r="BL242" i="15" s="1"/>
  <c r="BM242" i="15" s="1"/>
  <c r="BN242" i="15" s="1"/>
  <c r="BO242" i="15" s="1"/>
  <c r="BP242" i="15" s="1"/>
  <c r="BQ242" i="15" s="1"/>
  <c r="AW46" i="15" l="1"/>
  <c r="AW74" i="46"/>
  <c r="AW50" i="46"/>
  <c r="AW224" i="46"/>
  <c r="AW219" i="46"/>
  <c r="AV51" i="46"/>
  <c r="AV63" i="46"/>
  <c r="AV39" i="15"/>
  <c r="AV35" i="47"/>
  <c r="AV56" i="47"/>
  <c r="AV51" i="47"/>
  <c r="AV206" i="47" s="1"/>
  <c r="AW56" i="47"/>
  <c r="AW51" i="47"/>
  <c r="AW197" i="46"/>
  <c r="AV275" i="47"/>
  <c r="AQ124" i="47"/>
  <c r="AV501" i="15" l="1"/>
  <c r="AW501" i="15" s="1"/>
  <c r="AV497" i="15"/>
  <c r="AV45" i="15"/>
  <c r="AW57" i="47"/>
  <c r="AW256" i="47"/>
  <c r="AW252" i="47"/>
  <c r="AV210" i="47"/>
  <c r="AV56" i="51"/>
  <c r="AV58" i="51" s="1"/>
  <c r="AW206" i="47"/>
  <c r="AW210" i="47" s="1"/>
  <c r="AW237" i="46"/>
  <c r="AW232" i="46"/>
  <c r="AW238" i="46"/>
  <c r="AW233" i="46"/>
  <c r="AW51" i="46"/>
  <c r="AW63" i="46"/>
  <c r="AV57" i="47"/>
  <c r="AU61" i="47"/>
  <c r="AV46" i="15" l="1"/>
  <c r="AV74" i="46"/>
  <c r="AV510" i="15"/>
  <c r="AW497" i="15"/>
  <c r="AV507" i="15"/>
  <c r="AW262" i="47"/>
  <c r="AW265" i="47"/>
  <c r="AV58" i="47"/>
  <c r="AV73" i="46"/>
  <c r="AW58" i="47"/>
  <c r="AW73" i="46"/>
  <c r="AW76" i="46" s="1"/>
  <c r="AU98" i="47"/>
  <c r="AU99" i="47" s="1"/>
  <c r="AU100" i="47"/>
  <c r="AU104" i="47"/>
  <c r="AU107" i="47" s="1"/>
  <c r="AU114" i="47"/>
  <c r="AU117" i="47"/>
  <c r="AU120" i="47"/>
  <c r="AU23" i="15"/>
  <c r="AW510" i="15" l="1"/>
  <c r="AW507" i="15"/>
  <c r="AV76" i="46"/>
  <c r="AU109" i="47"/>
  <c r="AU121" i="47"/>
  <c r="DK97" i="72" l="1"/>
  <c r="DJ97" i="72"/>
  <c r="DI97" i="72"/>
  <c r="DH97" i="72"/>
  <c r="CV97" i="72"/>
  <c r="CU97" i="72"/>
  <c r="CT97" i="72"/>
  <c r="CS97" i="72"/>
  <c r="CQ97" i="72"/>
  <c r="CP97" i="72"/>
  <c r="CO97" i="72"/>
  <c r="CN97" i="72"/>
  <c r="CL97" i="72"/>
  <c r="CK97" i="72"/>
  <c r="CJ97" i="72"/>
  <c r="CI97" i="72"/>
  <c r="CG97" i="72"/>
  <c r="CF97" i="72"/>
  <c r="CE97" i="72"/>
  <c r="CD97" i="72"/>
  <c r="CB97" i="72"/>
  <c r="CA97" i="72"/>
  <c r="BZ97" i="72"/>
  <c r="BY97" i="72"/>
  <c r="BW97" i="72"/>
  <c r="BV97" i="72"/>
  <c r="BU97" i="72"/>
  <c r="BT97" i="72"/>
  <c r="BR97" i="72"/>
  <c r="BS97" i="72" s="1"/>
  <c r="BX97" i="72" s="1"/>
  <c r="CC97" i="72" s="1"/>
  <c r="CH97" i="72" s="1"/>
  <c r="CM97" i="72" s="1"/>
  <c r="CR97" i="72" s="1"/>
  <c r="CW97" i="72" s="1"/>
  <c r="DB97" i="72" s="1"/>
  <c r="BP97" i="72"/>
  <c r="BO97" i="72" s="1"/>
  <c r="BK97" i="72"/>
  <c r="BJ97" i="72" s="1"/>
  <c r="BF97" i="72"/>
  <c r="BE97" i="72" s="1"/>
  <c r="BA97" i="72"/>
  <c r="AZ97" i="72" s="1"/>
  <c r="AV97" i="72"/>
  <c r="AU97" i="72" s="1"/>
  <c r="AQ97" i="72"/>
  <c r="AP97" i="72" s="1"/>
  <c r="AL97" i="72"/>
  <c r="AK97" i="72" s="1"/>
  <c r="AG97" i="72"/>
  <c r="AF97" i="72" s="1"/>
  <c r="AB97" i="72"/>
  <c r="AA97" i="72" s="1"/>
  <c r="W97" i="72"/>
  <c r="V97" i="72" s="1"/>
  <c r="R97" i="72"/>
  <c r="Q97" i="72" s="1"/>
  <c r="M97" i="72"/>
  <c r="L97" i="72"/>
  <c r="DK96" i="72"/>
  <c r="DJ96" i="72"/>
  <c r="DI96" i="72"/>
  <c r="DH96" i="72"/>
  <c r="CV96" i="72"/>
  <c r="CU96" i="72"/>
  <c r="CT96" i="72"/>
  <c r="CS96" i="72"/>
  <c r="CQ96" i="72"/>
  <c r="CP96" i="72"/>
  <c r="CO96" i="72"/>
  <c r="CN96" i="72"/>
  <c r="CL96" i="72"/>
  <c r="CK96" i="72"/>
  <c r="CJ96" i="72"/>
  <c r="CI96" i="72"/>
  <c r="CG96" i="72"/>
  <c r="CF96" i="72"/>
  <c r="CE96" i="72"/>
  <c r="CD96" i="72"/>
  <c r="CB96" i="72"/>
  <c r="CA96" i="72"/>
  <c r="BZ96" i="72"/>
  <c r="BY96" i="72"/>
  <c r="BW96" i="72"/>
  <c r="BV96" i="72"/>
  <c r="BU96" i="72"/>
  <c r="BT96" i="72"/>
  <c r="BR96" i="72"/>
  <c r="BS96" i="72" s="1"/>
  <c r="BX96" i="72" s="1"/>
  <c r="CC96" i="72" s="1"/>
  <c r="CH96" i="72" s="1"/>
  <c r="CM96" i="72" s="1"/>
  <c r="CR96" i="72" s="1"/>
  <c r="CW96" i="72" s="1"/>
  <c r="DB96" i="72" s="1"/>
  <c r="BP96" i="72"/>
  <c r="BO96" i="72" s="1"/>
  <c r="BK96" i="72"/>
  <c r="BJ96" i="72" s="1"/>
  <c r="BF96" i="72"/>
  <c r="BE96" i="72" s="1"/>
  <c r="BA96" i="72"/>
  <c r="AZ96" i="72" s="1"/>
  <c r="AV96" i="72"/>
  <c r="AU96" i="72" s="1"/>
  <c r="AQ96" i="72"/>
  <c r="AP96" i="72" s="1"/>
  <c r="AL96" i="72"/>
  <c r="AK96" i="72" s="1"/>
  <c r="AG96" i="72"/>
  <c r="AF96" i="72" s="1"/>
  <c r="AB96" i="72"/>
  <c r="AA96" i="72" s="1"/>
  <c r="W96" i="72"/>
  <c r="V96" i="72" s="1"/>
  <c r="R96" i="72"/>
  <c r="Q96" i="72" s="1"/>
  <c r="M96" i="72"/>
  <c r="L96" i="72"/>
  <c r="BN97" i="72" l="1"/>
  <c r="N96" i="72"/>
  <c r="Z96" i="72"/>
  <c r="AW96" i="72"/>
  <c r="N97" i="72"/>
  <c r="AC97" i="72"/>
  <c r="AT97" i="72"/>
  <c r="AW97" i="72"/>
  <c r="BB97" i="72"/>
  <c r="AC96" i="72"/>
  <c r="Z97" i="72"/>
  <c r="AH97" i="72"/>
  <c r="AR96" i="72"/>
  <c r="BL96" i="72"/>
  <c r="X96" i="72"/>
  <c r="AT96" i="72"/>
  <c r="BB96" i="72"/>
  <c r="BN96" i="72"/>
  <c r="X97" i="72"/>
  <c r="AR97" i="72"/>
  <c r="BL97" i="72"/>
  <c r="P97" i="72"/>
  <c r="S97" i="72"/>
  <c r="AJ97" i="72"/>
  <c r="AM97" i="72"/>
  <c r="BD97" i="72"/>
  <c r="BG97" i="72"/>
  <c r="AH96" i="72"/>
  <c r="P96" i="72"/>
  <c r="S96" i="72"/>
  <c r="AJ96" i="72"/>
  <c r="AM96" i="72"/>
  <c r="BD96" i="72"/>
  <c r="BG96" i="72"/>
  <c r="U96" i="72"/>
  <c r="AE96" i="72"/>
  <c r="AO96" i="72"/>
  <c r="AY96" i="72"/>
  <c r="BI96" i="72"/>
  <c r="U97" i="72"/>
  <c r="AE97" i="72"/>
  <c r="AO97" i="72"/>
  <c r="AY97" i="72"/>
  <c r="BI97" i="72"/>
  <c r="DG97" i="72"/>
  <c r="DL97" i="72" s="1"/>
  <c r="DQ97" i="72" s="1"/>
  <c r="DF97" i="72"/>
  <c r="DD97" i="72"/>
  <c r="DA97" i="72"/>
  <c r="CY97" i="72"/>
  <c r="DE97" i="72"/>
  <c r="DC97" i="72"/>
  <c r="CZ97" i="72"/>
  <c r="CX97" i="72"/>
  <c r="DG96" i="72"/>
  <c r="DL96" i="72" s="1"/>
  <c r="DQ96" i="72" s="1"/>
  <c r="DE96" i="72"/>
  <c r="DC96" i="72"/>
  <c r="CZ96" i="72"/>
  <c r="CX96" i="72"/>
  <c r="DF96" i="72"/>
  <c r="DD96" i="72"/>
  <c r="DA96" i="72"/>
  <c r="CY96" i="72"/>
  <c r="T96" i="72"/>
  <c r="AD96" i="72"/>
  <c r="AN96" i="72"/>
  <c r="AX96" i="72"/>
  <c r="BH96" i="72"/>
  <c r="T97" i="72"/>
  <c r="AD97" i="72"/>
  <c r="AN97" i="72"/>
  <c r="AX97" i="72"/>
  <c r="BH97" i="72"/>
  <c r="O96" i="72"/>
  <c r="Y96" i="72"/>
  <c r="AI96" i="72"/>
  <c r="AS96" i="72"/>
  <c r="BC96" i="72"/>
  <c r="BM96" i="72"/>
  <c r="O97" i="72"/>
  <c r="Y97" i="72"/>
  <c r="AI97" i="72"/>
  <c r="AS97" i="72"/>
  <c r="BC97" i="72"/>
  <c r="BM97" i="72"/>
  <c r="AU80" i="47"/>
  <c r="AU79" i="47"/>
  <c r="AU78" i="47"/>
  <c r="AU67" i="47"/>
  <c r="DV97" i="72" l="1"/>
  <c r="DU97" i="72"/>
  <c r="DS97" i="72"/>
  <c r="DP97" i="72"/>
  <c r="DN97" i="72"/>
  <c r="DT97" i="72"/>
  <c r="DR97" i="72"/>
  <c r="DO97" i="72"/>
  <c r="DM97" i="72"/>
  <c r="DV96" i="72"/>
  <c r="DT96" i="72"/>
  <c r="DR96" i="72"/>
  <c r="DO96" i="72"/>
  <c r="DM96" i="72"/>
  <c r="DU96" i="72"/>
  <c r="DS96" i="72"/>
  <c r="DP96" i="72"/>
  <c r="DN96" i="72"/>
  <c r="AU57" i="51"/>
  <c r="AU42" i="51"/>
  <c r="AU41" i="51"/>
  <c r="AU38" i="51"/>
  <c r="AU35" i="51"/>
  <c r="AU32" i="51"/>
  <c r="AU29" i="51"/>
  <c r="AU24" i="51"/>
  <c r="AU23" i="51"/>
  <c r="AU22" i="51"/>
  <c r="AU17" i="51"/>
  <c r="AU16" i="51"/>
  <c r="AU15" i="51"/>
  <c r="AU14" i="51"/>
  <c r="AU13" i="51"/>
  <c r="AU9" i="51"/>
  <c r="AU500" i="15"/>
  <c r="AU483" i="15"/>
  <c r="AU455" i="15"/>
  <c r="AU426" i="15"/>
  <c r="AU420" i="15"/>
  <c r="AU408" i="15"/>
  <c r="AU411" i="15" s="1"/>
  <c r="AU412" i="15" s="1"/>
  <c r="AU394" i="15"/>
  <c r="AU397" i="15" s="1"/>
  <c r="AU398" i="15" s="1"/>
  <c r="AU391" i="15"/>
  <c r="AU392" i="15" s="1"/>
  <c r="AU388" i="15"/>
  <c r="AU385" i="15"/>
  <c r="AU386" i="15" s="1"/>
  <c r="AU382" i="15"/>
  <c r="AU376" i="15"/>
  <c r="AU354" i="15"/>
  <c r="AU343" i="15"/>
  <c r="AU342" i="15"/>
  <c r="AU323" i="15"/>
  <c r="AU308" i="15"/>
  <c r="AU290" i="15"/>
  <c r="AU288" i="15"/>
  <c r="AU268" i="15"/>
  <c r="AU259" i="15"/>
  <c r="AU242" i="15"/>
  <c r="AU240" i="15"/>
  <c r="AU239" i="15"/>
  <c r="AU228" i="15"/>
  <c r="AU226" i="15"/>
  <c r="AU204" i="15"/>
  <c r="AU202" i="15"/>
  <c r="AU200" i="15"/>
  <c r="AU213" i="15" s="1"/>
  <c r="AU180" i="15"/>
  <c r="AU165" i="15"/>
  <c r="AU157" i="15"/>
  <c r="AU156" i="15"/>
  <c r="AU103" i="15"/>
  <c r="AU68" i="15"/>
  <c r="AU67" i="15"/>
  <c r="AU58" i="15"/>
  <c r="AU56" i="15"/>
  <c r="AU55" i="15"/>
  <c r="AU54" i="15"/>
  <c r="AU53" i="15"/>
  <c r="AU52" i="15"/>
  <c r="AU42" i="15"/>
  <c r="AU41" i="15"/>
  <c r="AU18" i="15"/>
  <c r="AU10" i="15"/>
  <c r="AU11" i="15" s="1"/>
  <c r="AU275" i="47"/>
  <c r="AU273" i="47"/>
  <c r="AU272" i="47"/>
  <c r="AU235" i="47"/>
  <c r="AU236" i="47" s="1"/>
  <c r="AU245" i="47" s="1"/>
  <c r="AU243" i="47" s="1"/>
  <c r="AU209" i="47"/>
  <c r="AU208" i="47"/>
  <c r="AU207" i="47"/>
  <c r="AU202" i="47"/>
  <c r="AU187" i="47"/>
  <c r="AU186" i="47"/>
  <c r="AU184" i="47"/>
  <c r="AU183" i="47"/>
  <c r="AU177" i="47"/>
  <c r="AU176" i="47"/>
  <c r="AU175" i="47"/>
  <c r="AU174" i="47"/>
  <c r="AU173" i="47"/>
  <c r="AU171" i="47"/>
  <c r="AU167" i="47"/>
  <c r="AU166" i="47"/>
  <c r="AU165" i="47"/>
  <c r="AU164" i="47"/>
  <c r="AU168" i="47" s="1"/>
  <c r="AU213" i="47" s="1"/>
  <c r="AU161" i="47"/>
  <c r="AU159" i="47"/>
  <c r="AU152" i="47"/>
  <c r="AU144" i="47"/>
  <c r="AU146" i="47" s="1"/>
  <c r="AU147" i="47" s="1"/>
  <c r="AU141" i="47"/>
  <c r="AU142" i="47" s="1"/>
  <c r="AU139" i="47"/>
  <c r="AU134" i="47"/>
  <c r="AU136" i="47" s="1"/>
  <c r="AU137" i="47" s="1"/>
  <c r="AU131" i="47"/>
  <c r="AU132" i="47" s="1"/>
  <c r="AU77" i="47" s="1"/>
  <c r="AU129" i="47"/>
  <c r="AU54" i="47"/>
  <c r="AU53" i="47"/>
  <c r="AU11" i="47"/>
  <c r="AU197" i="46"/>
  <c r="AU192" i="46"/>
  <c r="AU183" i="46"/>
  <c r="AU181" i="46"/>
  <c r="AU176" i="46"/>
  <c r="AU168" i="46"/>
  <c r="AU161" i="46"/>
  <c r="AU158" i="46"/>
  <c r="AU157" i="46"/>
  <c r="AU147" i="46"/>
  <c r="AU142" i="46"/>
  <c r="AU133" i="46"/>
  <c r="AU132" i="46"/>
  <c r="AU128" i="46"/>
  <c r="AU118" i="46"/>
  <c r="AU117" i="46"/>
  <c r="AU114" i="46"/>
  <c r="AU100" i="46"/>
  <c r="AU99" i="46"/>
  <c r="AU62" i="46"/>
  <c r="AU60" i="46"/>
  <c r="AU59" i="46"/>
  <c r="AU49" i="46"/>
  <c r="AU45" i="46"/>
  <c r="AU24" i="46"/>
  <c r="AU9" i="46"/>
  <c r="AU271" i="47" l="1"/>
  <c r="AU178" i="47"/>
  <c r="AU179" i="47" s="1"/>
  <c r="AU370" i="15"/>
  <c r="AU205" i="15"/>
  <c r="AU365" i="15"/>
  <c r="AU375" i="15"/>
  <c r="AU377" i="15" s="1"/>
  <c r="AU492" i="15"/>
  <c r="AU490" i="15"/>
  <c r="AU155" i="15"/>
  <c r="AU276" i="15"/>
  <c r="AU291" i="15"/>
  <c r="AU246" i="47"/>
  <c r="BB127" i="46"/>
  <c r="BG127" i="46"/>
  <c r="BC127" i="46" s="1"/>
  <c r="BL127" i="46"/>
  <c r="BJ127" i="46" s="1"/>
  <c r="BQ127" i="46"/>
  <c r="BO127" i="46" s="1"/>
  <c r="AU493" i="15" l="1"/>
  <c r="AU504" i="15"/>
  <c r="AU505" i="15"/>
  <c r="BH127" i="46"/>
  <c r="BI127" i="46"/>
  <c r="BE127" i="46"/>
  <c r="BK127" i="46"/>
  <c r="BM127" i="46"/>
  <c r="BP127" i="46"/>
  <c r="BN127" i="46"/>
  <c r="BD127" i="46"/>
  <c r="BF127" i="46"/>
  <c r="BC172" i="15" l="1"/>
  <c r="BF176" i="15"/>
  <c r="BE176" i="15" s="1"/>
  <c r="BD176" i="15" s="1"/>
  <c r="BC176" i="15" s="1"/>
  <c r="AV176" i="15" l="1"/>
  <c r="AU176" i="15" s="1"/>
  <c r="DU173" i="72" l="1"/>
  <c r="DT173" i="72"/>
  <c r="DS173" i="72"/>
  <c r="DR173" i="72"/>
  <c r="DP173" i="72"/>
  <c r="DO173" i="72"/>
  <c r="DN173" i="72"/>
  <c r="DM173" i="72"/>
  <c r="DK173" i="72"/>
  <c r="DJ173" i="72"/>
  <c r="DI173" i="72"/>
  <c r="DH173" i="72"/>
  <c r="CV173" i="72"/>
  <c r="CU173" i="72"/>
  <c r="CT173" i="72"/>
  <c r="CS173" i="72"/>
  <c r="CQ173" i="72"/>
  <c r="CP173" i="72"/>
  <c r="CO173" i="72"/>
  <c r="CN173" i="72"/>
  <c r="CL173" i="72"/>
  <c r="CK173" i="72"/>
  <c r="CJ173" i="72"/>
  <c r="CI173" i="72"/>
  <c r="CG173" i="72"/>
  <c r="CF173" i="72"/>
  <c r="CE173" i="72"/>
  <c r="CD173" i="72"/>
  <c r="CB173" i="72"/>
  <c r="CA173" i="72"/>
  <c r="BZ173" i="72"/>
  <c r="BY173" i="72"/>
  <c r="BW173" i="72"/>
  <c r="BV173" i="72"/>
  <c r="BU173" i="72"/>
  <c r="BT173" i="72"/>
  <c r="BR173" i="72"/>
  <c r="BS173" i="72" s="1"/>
  <c r="BX173" i="72" s="1"/>
  <c r="CC173" i="72" s="1"/>
  <c r="CH173" i="72" s="1"/>
  <c r="CM173" i="72" s="1"/>
  <c r="CR173" i="72" s="1"/>
  <c r="CW173" i="72" s="1"/>
  <c r="DB173" i="72" s="1"/>
  <c r="BP173" i="72"/>
  <c r="BO173" i="72" s="1"/>
  <c r="BK173" i="72"/>
  <c r="BI173" i="72" s="1"/>
  <c r="BF173" i="72"/>
  <c r="BC173" i="72" s="1"/>
  <c r="BA173" i="72"/>
  <c r="AW173" i="72" s="1"/>
  <c r="AV173" i="72"/>
  <c r="AU173" i="72" s="1"/>
  <c r="AQ173" i="72"/>
  <c r="AP173" i="72" s="1"/>
  <c r="AL173" i="72"/>
  <c r="AI173" i="72" s="1"/>
  <c r="AG173" i="72"/>
  <c r="AF173" i="72" s="1"/>
  <c r="AB173" i="72"/>
  <c r="AA173" i="72" s="1"/>
  <c r="W173" i="72"/>
  <c r="V173" i="72" s="1"/>
  <c r="R173" i="72"/>
  <c r="AH173" i="72" l="1"/>
  <c r="Y173" i="72"/>
  <c r="AJ173" i="72"/>
  <c r="AR173" i="72"/>
  <c r="BG173" i="72"/>
  <c r="S173" i="72"/>
  <c r="T173" i="72"/>
  <c r="AM173" i="72"/>
  <c r="U173" i="72"/>
  <c r="BJ173" i="72"/>
  <c r="AN173" i="72"/>
  <c r="BB173" i="72"/>
  <c r="AC173" i="72"/>
  <c r="AK173" i="72"/>
  <c r="AO173" i="72"/>
  <c r="AS173" i="72"/>
  <c r="BD173" i="72"/>
  <c r="BH173" i="72"/>
  <c r="BL173" i="72"/>
  <c r="X173" i="72"/>
  <c r="BE173" i="72"/>
  <c r="BM173" i="72"/>
  <c r="DF173" i="72"/>
  <c r="CX173" i="72"/>
  <c r="DE173" i="72"/>
  <c r="DA173" i="72"/>
  <c r="DD173" i="72"/>
  <c r="CZ173" i="72"/>
  <c r="DG173" i="72"/>
  <c r="DL173" i="72" s="1"/>
  <c r="DQ173" i="72" s="1"/>
  <c r="DV173" i="72" s="1"/>
  <c r="DC173" i="72"/>
  <c r="CY173" i="72"/>
  <c r="Z173" i="72"/>
  <c r="AD173" i="72"/>
  <c r="AT173" i="72"/>
  <c r="AX173" i="72"/>
  <c r="BN173" i="72"/>
  <c r="AE173" i="72"/>
  <c r="AY173" i="72"/>
  <c r="AZ173" i="72"/>
  <c r="DU95" i="72" l="1"/>
  <c r="DT95" i="72"/>
  <c r="DS95" i="72"/>
  <c r="DR95" i="72"/>
  <c r="DP95" i="72"/>
  <c r="DO95" i="72"/>
  <c r="DN95" i="72"/>
  <c r="DM95" i="72"/>
  <c r="DK95" i="72"/>
  <c r="DJ95" i="72"/>
  <c r="DI95" i="72"/>
  <c r="DH95" i="72"/>
  <c r="CV95" i="72"/>
  <c r="CU95" i="72"/>
  <c r="CT95" i="72"/>
  <c r="CS95" i="72"/>
  <c r="CQ95" i="72"/>
  <c r="CP95" i="72"/>
  <c r="CO95" i="72"/>
  <c r="CN95" i="72"/>
  <c r="CL95" i="72"/>
  <c r="CK95" i="72"/>
  <c r="CJ95" i="72"/>
  <c r="CI95" i="72"/>
  <c r="CG95" i="72"/>
  <c r="CF95" i="72"/>
  <c r="CE95" i="72"/>
  <c r="CD95" i="72"/>
  <c r="CB95" i="72"/>
  <c r="CA95" i="72"/>
  <c r="BZ95" i="72"/>
  <c r="BY95" i="72"/>
  <c r="BW95" i="72"/>
  <c r="BV95" i="72"/>
  <c r="BU95" i="72"/>
  <c r="BT95" i="72"/>
  <c r="BR95" i="72"/>
  <c r="BS95" i="72" s="1"/>
  <c r="BX95" i="72" s="1"/>
  <c r="CC95" i="72" s="1"/>
  <c r="CH95" i="72" s="1"/>
  <c r="CM95" i="72" s="1"/>
  <c r="CR95" i="72" s="1"/>
  <c r="CW95" i="72" s="1"/>
  <c r="DB95" i="72" s="1"/>
  <c r="DG95" i="72" s="1"/>
  <c r="DL95" i="72" s="1"/>
  <c r="DQ95" i="72" s="1"/>
  <c r="DV95" i="72" s="1"/>
  <c r="BP95" i="72"/>
  <c r="BO95" i="72" s="1"/>
  <c r="BK95" i="72"/>
  <c r="BJ95" i="72" s="1"/>
  <c r="BF95" i="72"/>
  <c r="BE95" i="72" s="1"/>
  <c r="BA95" i="72"/>
  <c r="AZ95" i="72" s="1"/>
  <c r="AV95" i="72"/>
  <c r="AU95" i="72" s="1"/>
  <c r="AQ95" i="72"/>
  <c r="AP95" i="72" s="1"/>
  <c r="AL95" i="72"/>
  <c r="AK95" i="72" s="1"/>
  <c r="AG95" i="72"/>
  <c r="AF95" i="72" s="1"/>
  <c r="AB95" i="72"/>
  <c r="AA95" i="72" s="1"/>
  <c r="W95" i="72"/>
  <c r="V95" i="72" s="1"/>
  <c r="R95" i="72"/>
  <c r="Q95" i="72" s="1"/>
  <c r="M95" i="72"/>
  <c r="L95" i="72"/>
  <c r="DU172" i="72"/>
  <c r="DT172" i="72"/>
  <c r="DS172" i="72"/>
  <c r="DR172" i="72"/>
  <c r="DP172" i="72"/>
  <c r="DO172" i="72"/>
  <c r="DN172" i="72"/>
  <c r="DM172" i="72"/>
  <c r="DK172" i="72"/>
  <c r="DJ172" i="72"/>
  <c r="DI172" i="72"/>
  <c r="DH172" i="72"/>
  <c r="CQ172" i="72"/>
  <c r="CP172" i="72"/>
  <c r="CO172" i="72"/>
  <c r="CN172" i="72"/>
  <c r="CL172" i="72"/>
  <c r="CK172" i="72"/>
  <c r="CJ172" i="72"/>
  <c r="CI172" i="72"/>
  <c r="CG172" i="72"/>
  <c r="CF172" i="72"/>
  <c r="CE172" i="72"/>
  <c r="CD172" i="72"/>
  <c r="CB172" i="72"/>
  <c r="CA172" i="72"/>
  <c r="BZ172" i="72"/>
  <c r="BY172" i="72"/>
  <c r="BW172" i="72"/>
  <c r="BV172" i="72"/>
  <c r="BU172" i="72"/>
  <c r="BT172" i="72"/>
  <c r="BR172" i="72"/>
  <c r="BS172" i="72" s="1"/>
  <c r="BX172" i="72" s="1"/>
  <c r="CC172" i="72" s="1"/>
  <c r="CH172" i="72" s="1"/>
  <c r="CM172" i="72" s="1"/>
  <c r="CR172" i="72" s="1"/>
  <c r="CW172" i="72" s="1"/>
  <c r="BP172" i="72"/>
  <c r="BN172" i="72" s="1"/>
  <c r="BK172" i="72"/>
  <c r="BJ172" i="72" s="1"/>
  <c r="BF172" i="72"/>
  <c r="BE172" i="72" s="1"/>
  <c r="BA172" i="72"/>
  <c r="AZ172" i="72" s="1"/>
  <c r="AV172" i="72"/>
  <c r="AT172" i="72" s="1"/>
  <c r="AQ172" i="72"/>
  <c r="AP172" i="72" s="1"/>
  <c r="AL172" i="72"/>
  <c r="AJ172" i="72" s="1"/>
  <c r="AG172" i="72"/>
  <c r="AF172" i="72" s="1"/>
  <c r="AB172" i="72"/>
  <c r="AA172" i="72" s="1"/>
  <c r="W172" i="72"/>
  <c r="V172" i="72" s="1"/>
  <c r="R172" i="72"/>
  <c r="Q172" i="72" s="1"/>
  <c r="M172" i="72"/>
  <c r="L172" i="72"/>
  <c r="BB172" i="72" l="1"/>
  <c r="AR95" i="72"/>
  <c r="AT95" i="72"/>
  <c r="AH95" i="72"/>
  <c r="AH172" i="72"/>
  <c r="AR172" i="72"/>
  <c r="Z172" i="72"/>
  <c r="AI172" i="72"/>
  <c r="AU172" i="72"/>
  <c r="X95" i="72"/>
  <c r="AK172" i="72"/>
  <c r="BC172" i="72"/>
  <c r="BL95" i="72"/>
  <c r="BD172" i="72"/>
  <c r="BL172" i="72"/>
  <c r="BB95" i="72"/>
  <c r="BN95" i="72"/>
  <c r="BO172" i="72"/>
  <c r="P172" i="72"/>
  <c r="N95" i="72"/>
  <c r="Z95" i="72"/>
  <c r="AS172" i="72"/>
  <c r="BM172" i="72"/>
  <c r="N172" i="72"/>
  <c r="X172" i="72"/>
  <c r="AC95" i="72"/>
  <c r="AW95" i="72"/>
  <c r="CX95" i="72"/>
  <c r="CZ95" i="72"/>
  <c r="DC95" i="72"/>
  <c r="DE95" i="72"/>
  <c r="CY95" i="72"/>
  <c r="DA95" i="72"/>
  <c r="DD95" i="72"/>
  <c r="DF95" i="72"/>
  <c r="P95" i="72"/>
  <c r="S95" i="72"/>
  <c r="AJ95" i="72"/>
  <c r="AM95" i="72"/>
  <c r="BD95" i="72"/>
  <c r="BG95" i="72"/>
  <c r="U95" i="72"/>
  <c r="AE95" i="72"/>
  <c r="AO95" i="72"/>
  <c r="AY95" i="72"/>
  <c r="BI95" i="72"/>
  <c r="T95" i="72"/>
  <c r="AD95" i="72"/>
  <c r="AN95" i="72"/>
  <c r="AX95" i="72"/>
  <c r="BH95" i="72"/>
  <c r="O95" i="72"/>
  <c r="Y95" i="72"/>
  <c r="AI95" i="72"/>
  <c r="AS95" i="72"/>
  <c r="BC95" i="72"/>
  <c r="BM95" i="72"/>
  <c r="O172" i="72"/>
  <c r="S172" i="72"/>
  <c r="AM172" i="72"/>
  <c r="AW172" i="72"/>
  <c r="BG172" i="72"/>
  <c r="Y172" i="72"/>
  <c r="AC172" i="72"/>
  <c r="AO172" i="72"/>
  <c r="AY172" i="72"/>
  <c r="BI172" i="72"/>
  <c r="DB172" i="72"/>
  <c r="CZ172" i="72" s="1"/>
  <c r="CV172" i="72"/>
  <c r="CT172" i="72"/>
  <c r="CU172" i="72"/>
  <c r="CS172" i="72"/>
  <c r="U172" i="72"/>
  <c r="AE172" i="72"/>
  <c r="T172" i="72"/>
  <c r="AD172" i="72"/>
  <c r="AN172" i="72"/>
  <c r="AX172" i="72"/>
  <c r="BH172" i="72"/>
  <c r="CY172" i="72" l="1"/>
  <c r="CX172" i="72"/>
  <c r="DA172" i="72"/>
  <c r="DG172" i="72"/>
  <c r="DL172" i="72" s="1"/>
  <c r="DQ172" i="72" s="1"/>
  <c r="DV172" i="72" s="1"/>
  <c r="DF172" i="72"/>
  <c r="DD172" i="72"/>
  <c r="DE172" i="72"/>
  <c r="DC172" i="72"/>
  <c r="AT144" i="47" l="1"/>
  <c r="AT146" i="47" s="1"/>
  <c r="AT139" i="47"/>
  <c r="AT141" i="47" s="1"/>
  <c r="AT134" i="47"/>
  <c r="AT136" i="47" s="1"/>
  <c r="AT129" i="47"/>
  <c r="AT131" i="47" s="1"/>
  <c r="AT118" i="46"/>
  <c r="AT117" i="46"/>
  <c r="AT115" i="46"/>
  <c r="AT87" i="46"/>
  <c r="AT88" i="46"/>
  <c r="AT82" i="46"/>
  <c r="AT56" i="15" l="1"/>
  <c r="AT55" i="15"/>
  <c r="AT54" i="15"/>
  <c r="AT53" i="15"/>
  <c r="AT52" i="15"/>
  <c r="AT275" i="47"/>
  <c r="AT209" i="47"/>
  <c r="AT273" i="47" s="1"/>
  <c r="AT208" i="47"/>
  <c r="AT207" i="47"/>
  <c r="AT186" i="47"/>
  <c r="AT187" i="47" s="1"/>
  <c r="AT183" i="47"/>
  <c r="AT184" i="47" s="1"/>
  <c r="AT177" i="47"/>
  <c r="AT176" i="47"/>
  <c r="AT175" i="47"/>
  <c r="AT171" i="47"/>
  <c r="AT166" i="47"/>
  <c r="AT167" i="47"/>
  <c r="AT165" i="47"/>
  <c r="AT164" i="47"/>
  <c r="AT120" i="47"/>
  <c r="AT128" i="46"/>
  <c r="AT68" i="46"/>
  <c r="AT62" i="46"/>
  <c r="AT42" i="51"/>
  <c r="AT41" i="51"/>
  <c r="AT38" i="51"/>
  <c r="AT35" i="51"/>
  <c r="AT32" i="51"/>
  <c r="AT23" i="51"/>
  <c r="AT22" i="51"/>
  <c r="AT17" i="51"/>
  <c r="AT16" i="51"/>
  <c r="AT15" i="51"/>
  <c r="AT14" i="51"/>
  <c r="AT13" i="51"/>
  <c r="AT483" i="15"/>
  <c r="AT455" i="15"/>
  <c r="AT57" i="51" s="1"/>
  <c r="AT426" i="15"/>
  <c r="AT420" i="15"/>
  <c r="AU427" i="15" s="1"/>
  <c r="AT408" i="15"/>
  <c r="AT411" i="15" s="1"/>
  <c r="AS408" i="15"/>
  <c r="AT394" i="15"/>
  <c r="AT397" i="15" s="1"/>
  <c r="AT388" i="15"/>
  <c r="AT391" i="15" s="1"/>
  <c r="AT382" i="15"/>
  <c r="AT385" i="15" s="1"/>
  <c r="AT360" i="15"/>
  <c r="AT161" i="15" s="1"/>
  <c r="AT172" i="15"/>
  <c r="AT109" i="46" l="1"/>
  <c r="AT107" i="46"/>
  <c r="AT492" i="15"/>
  <c r="AT493" i="15" s="1"/>
  <c r="AT168" i="47"/>
  <c r="AT490" i="15" l="1"/>
  <c r="AT505" i="15"/>
  <c r="AT504" i="15"/>
  <c r="AT42" i="15" l="1"/>
  <c r="AT41" i="15"/>
  <c r="AT23" i="15"/>
  <c r="AT10" i="15"/>
  <c r="AT18" i="15" s="1"/>
  <c r="AT20" i="15" s="1"/>
  <c r="AT235" i="47"/>
  <c r="AQ235" i="47"/>
  <c r="AT213" i="47"/>
  <c r="AT202" i="47"/>
  <c r="AT174" i="47"/>
  <c r="AT173" i="47"/>
  <c r="AT159" i="47"/>
  <c r="AT152" i="47"/>
  <c r="AO152" i="47"/>
  <c r="AT117" i="47"/>
  <c r="AT114" i="47"/>
  <c r="AT104" i="47"/>
  <c r="AT107" i="47" s="1"/>
  <c r="AT98" i="47"/>
  <c r="AT39" i="47"/>
  <c r="AT32" i="47"/>
  <c r="AT15" i="47"/>
  <c r="AT11" i="47"/>
  <c r="AT25" i="15" l="1"/>
  <c r="AT26" i="15" s="1"/>
  <c r="AT11" i="15"/>
  <c r="AT178" i="47"/>
  <c r="AT179" i="47" s="1"/>
  <c r="AT79" i="46"/>
  <c r="AT271" i="47"/>
  <c r="AT121" i="47"/>
  <c r="AT9" i="51"/>
  <c r="AT25" i="47"/>
  <c r="AT27" i="47" s="1"/>
  <c r="AT34" i="47" s="1"/>
  <c r="AT17" i="47"/>
  <c r="AT272" i="47"/>
  <c r="AT30" i="15" l="1"/>
  <c r="AT436" i="15" s="1"/>
  <c r="AT35" i="47"/>
  <c r="AT41" i="47"/>
  <c r="AT192" i="46"/>
  <c r="AT183" i="46"/>
  <c r="AT181" i="46"/>
  <c r="AT176" i="46"/>
  <c r="AT168" i="46"/>
  <c r="AQ168" i="46"/>
  <c r="AT161" i="46"/>
  <c r="AT158" i="46"/>
  <c r="AT157" i="46"/>
  <c r="AT142" i="46"/>
  <c r="AT133" i="46"/>
  <c r="AT132" i="46"/>
  <c r="AT60" i="46"/>
  <c r="AT59" i="46"/>
  <c r="AT45" i="46"/>
  <c r="AT32" i="46"/>
  <c r="AT24" i="46"/>
  <c r="AT24" i="51" s="1"/>
  <c r="AT9" i="46"/>
  <c r="AT10" i="51" s="1"/>
  <c r="AT18" i="51" s="1"/>
  <c r="AT20" i="51" s="1"/>
  <c r="AT26" i="51" l="1"/>
  <c r="AT27" i="51" s="1"/>
  <c r="AT18" i="46"/>
  <c r="AT20" i="46" s="1"/>
  <c r="AT29" i="51"/>
  <c r="AT11" i="51"/>
  <c r="AT25" i="46"/>
  <c r="AT82" i="47"/>
  <c r="AT83" i="47"/>
  <c r="AT30" i="51" l="1"/>
  <c r="AT33" i="51" s="1"/>
  <c r="AT37" i="51" s="1"/>
  <c r="AT116" i="46" s="1"/>
  <c r="AT27" i="46"/>
  <c r="AT28" i="46" s="1"/>
  <c r="CG12" i="64"/>
  <c r="AT44" i="51" l="1"/>
  <c r="AT39" i="51"/>
  <c r="AT45" i="51" s="1"/>
  <c r="AT75" i="46" s="1"/>
  <c r="AT34" i="46"/>
  <c r="AT100" i="46" s="1"/>
  <c r="AT99" i="46" l="1"/>
  <c r="AS58" i="15"/>
  <c r="AS56" i="15"/>
  <c r="AS55" i="15"/>
  <c r="AS54" i="15"/>
  <c r="AS53" i="15"/>
  <c r="AS52" i="15"/>
  <c r="AS186" i="47"/>
  <c r="AS187" i="47" s="1"/>
  <c r="AS183" i="47"/>
  <c r="AS184" i="47" s="1"/>
  <c r="AS144" i="47"/>
  <c r="AS146" i="47" s="1"/>
  <c r="AS139" i="47"/>
  <c r="AS141" i="47" s="1"/>
  <c r="AS134" i="47"/>
  <c r="AS136" i="47" s="1"/>
  <c r="AS129" i="47"/>
  <c r="AS131" i="47" s="1"/>
  <c r="AS120" i="47"/>
  <c r="AS117" i="47"/>
  <c r="AX67" i="47"/>
  <c r="AS42" i="51"/>
  <c r="AS41" i="51"/>
  <c r="AS38" i="51"/>
  <c r="AS35" i="51"/>
  <c r="AS32" i="51"/>
  <c r="AS23" i="51"/>
  <c r="AS22" i="51"/>
  <c r="AS17" i="51"/>
  <c r="AS16" i="51"/>
  <c r="AS15" i="51"/>
  <c r="AS14" i="51"/>
  <c r="AS13" i="51"/>
  <c r="AS88" i="46"/>
  <c r="AS87" i="46"/>
  <c r="AS68" i="46"/>
  <c r="AS62" i="46"/>
  <c r="AS60" i="46"/>
  <c r="AS59" i="46"/>
  <c r="AS167" i="47" l="1"/>
  <c r="AS166" i="47"/>
  <c r="AS165" i="47"/>
  <c r="AS164" i="47"/>
  <c r="AS159" i="47"/>
  <c r="AS82" i="46"/>
  <c r="AS115" i="46"/>
  <c r="AS117" i="46"/>
  <c r="AS118" i="46"/>
  <c r="AS168" i="47" l="1"/>
  <c r="AS426" i="15"/>
  <c r="AS411" i="15"/>
  <c r="AS213" i="47" l="1"/>
  <c r="AS114" i="46"/>
  <c r="AS79" i="46" l="1"/>
  <c r="AT236" i="47" l="1"/>
  <c r="AT245" i="47" l="1"/>
  <c r="AT243" i="47" s="1"/>
  <c r="AT106" i="46"/>
  <c r="AT108" i="46" s="1"/>
  <c r="AT246" i="47" l="1"/>
  <c r="AS483" i="15"/>
  <c r="AS107" i="46" s="1"/>
  <c r="AS455" i="15"/>
  <c r="AS420" i="15"/>
  <c r="AT427" i="15" s="1"/>
  <c r="AS394" i="15"/>
  <c r="AS397" i="15" s="1"/>
  <c r="AS388" i="15"/>
  <c r="AS391" i="15" s="1"/>
  <c r="AS382" i="15"/>
  <c r="AS385" i="15" s="1"/>
  <c r="AS42" i="15"/>
  <c r="AS41" i="15"/>
  <c r="AS23" i="15"/>
  <c r="AS10" i="15"/>
  <c r="AS11" i="15" s="1"/>
  <c r="AS235" i="47"/>
  <c r="AS209" i="47"/>
  <c r="AS208" i="47"/>
  <c r="AS207" i="47"/>
  <c r="AS57" i="51" s="1"/>
  <c r="AW57" i="51" s="1"/>
  <c r="AS202" i="47"/>
  <c r="AS178" i="47"/>
  <c r="AS179" i="47" s="1"/>
  <c r="AS152" i="47"/>
  <c r="AS154" i="47" s="1"/>
  <c r="AS114" i="47"/>
  <c r="AS104" i="47"/>
  <c r="AS107" i="47" s="1"/>
  <c r="AS100" i="47"/>
  <c r="AS98" i="47"/>
  <c r="AS54" i="47"/>
  <c r="AS53" i="47"/>
  <c r="AS39" i="47"/>
  <c r="AS32" i="47"/>
  <c r="AS15" i="47"/>
  <c r="AS11" i="47"/>
  <c r="AS9" i="51" s="1"/>
  <c r="AS192" i="46"/>
  <c r="AS193" i="46" s="1"/>
  <c r="AS183" i="46"/>
  <c r="AS181" i="46"/>
  <c r="AS176" i="46"/>
  <c r="AS177" i="46" s="1"/>
  <c r="AS168" i="46"/>
  <c r="AS161" i="46"/>
  <c r="AS164" i="46" s="1"/>
  <c r="AS158" i="46"/>
  <c r="AS157" i="46"/>
  <c r="AS142" i="46"/>
  <c r="AS143" i="46" s="1"/>
  <c r="AS133" i="46"/>
  <c r="AS132" i="46"/>
  <c r="AS128" i="46"/>
  <c r="AS129" i="46" s="1"/>
  <c r="AS45" i="46"/>
  <c r="AS24" i="46"/>
  <c r="AS9" i="46"/>
  <c r="AS18" i="46" s="1"/>
  <c r="AS20" i="46" s="1"/>
  <c r="AS32" i="46"/>
  <c r="AS24" i="51" l="1"/>
  <c r="AS134" i="46"/>
  <c r="AS147" i="46" s="1"/>
  <c r="AS159" i="46"/>
  <c r="AS171" i="46" s="1"/>
  <c r="AS184" i="46"/>
  <c r="AS195" i="46" s="1"/>
  <c r="AS10" i="46"/>
  <c r="AS25" i="46"/>
  <c r="AS27" i="46" s="1"/>
  <c r="AS109" i="46"/>
  <c r="AS29" i="51"/>
  <c r="AS109" i="47"/>
  <c r="AS121" i="47"/>
  <c r="AS25" i="47"/>
  <c r="AS27" i="47" s="1"/>
  <c r="AS34" i="47" s="1"/>
  <c r="AS41" i="47" s="1"/>
  <c r="AS10" i="51"/>
  <c r="AS18" i="51" s="1"/>
  <c r="AS20" i="51" s="1"/>
  <c r="AS492" i="15"/>
  <c r="AS493" i="15" s="1"/>
  <c r="AS18" i="15"/>
  <c r="AS20" i="15" s="1"/>
  <c r="AS25" i="15" s="1"/>
  <c r="AS99" i="47"/>
  <c r="AS17" i="47"/>
  <c r="AS26" i="51" l="1"/>
  <c r="AS27" i="51" s="1"/>
  <c r="AS484" i="15"/>
  <c r="AS197" i="46"/>
  <c r="AS34" i="46"/>
  <c r="AS37" i="46" s="1"/>
  <c r="AS41" i="46" s="1"/>
  <c r="AS43" i="46" s="1"/>
  <c r="AS50" i="46" s="1"/>
  <c r="AS63" i="46" s="1"/>
  <c r="AS28" i="46"/>
  <c r="AS45" i="47"/>
  <c r="AS49" i="47" s="1"/>
  <c r="AS56" i="47" s="1"/>
  <c r="AS83" i="47"/>
  <c r="AS82" i="47"/>
  <c r="AS11" i="51"/>
  <c r="AS490" i="15"/>
  <c r="AS487" i="15"/>
  <c r="AS30" i="15"/>
  <c r="AS26" i="15"/>
  <c r="AS35" i="47"/>
  <c r="AS30" i="51" l="1"/>
  <c r="AS33" i="51" s="1"/>
  <c r="AS37" i="51" s="1"/>
  <c r="AS116" i="46" s="1"/>
  <c r="AS100" i="46"/>
  <c r="AS99" i="46"/>
  <c r="AS51" i="47"/>
  <c r="AS206" i="47" s="1"/>
  <c r="AS33" i="15"/>
  <c r="AS37" i="15" s="1"/>
  <c r="AS39" i="15" s="1"/>
  <c r="AS436" i="15"/>
  <c r="AS49" i="46"/>
  <c r="EC19" i="64"/>
  <c r="EB19" i="64"/>
  <c r="EA19" i="64"/>
  <c r="DZ19" i="64"/>
  <c r="DY19" i="64"/>
  <c r="DX19" i="64"/>
  <c r="DW19" i="64"/>
  <c r="DV19" i="64"/>
  <c r="AS45" i="15" l="1"/>
  <c r="AS44" i="51"/>
  <c r="AS39" i="51"/>
  <c r="AS45" i="51" s="1"/>
  <c r="AS75" i="46" s="1"/>
  <c r="AS57" i="47"/>
  <c r="AS73" i="46" s="1"/>
  <c r="AS74" i="46"/>
  <c r="AS51" i="15"/>
  <c r="AS57" i="15" s="1"/>
  <c r="AS59" i="15" s="1"/>
  <c r="AS454" i="15"/>
  <c r="AS457" i="15" s="1"/>
  <c r="AS44" i="15"/>
  <c r="AS210" i="47"/>
  <c r="AS76" i="46" l="1"/>
  <c r="AS56" i="51"/>
  <c r="AN124" i="47"/>
  <c r="AO124" i="47"/>
  <c r="AS58" i="51" l="1"/>
  <c r="DS19" i="64"/>
  <c r="DV9" i="64"/>
  <c r="DU8" i="64"/>
  <c r="AR404" i="15"/>
  <c r="AR399" i="15"/>
  <c r="BB200" i="15"/>
  <c r="BB404" i="15" l="1"/>
  <c r="BB406" i="15" s="1"/>
  <c r="BB399" i="15"/>
  <c r="BQ412" i="15"/>
  <c r="BL412" i="15"/>
  <c r="BG412" i="15"/>
  <c r="BB412" i="15"/>
  <c r="BM411" i="15"/>
  <c r="BN411" i="15" s="1"/>
  <c r="BO411" i="15" s="1"/>
  <c r="BH411" i="15"/>
  <c r="BC411" i="15"/>
  <c r="BD411" i="15" s="1"/>
  <c r="AX411" i="15"/>
  <c r="BQ410" i="15"/>
  <c r="BL410" i="15"/>
  <c r="BG410" i="15"/>
  <c r="BB410" i="15"/>
  <c r="BQ390" i="15"/>
  <c r="BL390" i="15"/>
  <c r="BG390" i="15"/>
  <c r="BG404" i="15" l="1"/>
  <c r="BG399" i="15"/>
  <c r="BB401" i="15"/>
  <c r="BB397" i="15" s="1"/>
  <c r="AX397" i="15" s="1"/>
  <c r="AY397" i="15" s="1"/>
  <c r="BH412" i="15"/>
  <c r="BI411" i="15"/>
  <c r="BI412" i="15" s="1"/>
  <c r="BM412" i="15"/>
  <c r="AY411" i="15"/>
  <c r="AZ411" i="15" s="1"/>
  <c r="BC412" i="15"/>
  <c r="BP411" i="15"/>
  <c r="BE411" i="15"/>
  <c r="AZ397" i="15" l="1"/>
  <c r="AZ394" i="15" s="1"/>
  <c r="BG403" i="15"/>
  <c r="BG406" i="15"/>
  <c r="BL404" i="15"/>
  <c r="BN412" i="15"/>
  <c r="BJ411" i="15"/>
  <c r="BJ412" i="15" s="1"/>
  <c r="BB403" i="15"/>
  <c r="AX403" i="15" s="1"/>
  <c r="AX406" i="15"/>
  <c r="AY406" i="15" s="1"/>
  <c r="AZ406" i="15" s="1"/>
  <c r="BA406" i="15" s="1"/>
  <c r="BC406" i="15"/>
  <c r="BD406" i="15" s="1"/>
  <c r="BE406" i="15" s="1"/>
  <c r="BF406" i="15" s="1"/>
  <c r="BL399" i="15"/>
  <c r="BG401" i="15"/>
  <c r="BG397" i="15" s="1"/>
  <c r="BD412" i="15"/>
  <c r="BA411" i="15"/>
  <c r="BE412" i="15"/>
  <c r="BF411" i="15"/>
  <c r="BA397" i="15" l="1"/>
  <c r="BL406" i="15"/>
  <c r="BL403" i="15" s="1"/>
  <c r="BH403" i="15" s="1"/>
  <c r="BQ404" i="15"/>
  <c r="BH406" i="15"/>
  <c r="BI406" i="15" s="1"/>
  <c r="BJ406" i="15" s="1"/>
  <c r="BK406" i="15" s="1"/>
  <c r="BF412" i="15"/>
  <c r="BO412" i="15"/>
  <c r="BK411" i="15"/>
  <c r="BP412" i="15" s="1"/>
  <c r="AY403" i="15"/>
  <c r="AY22" i="15" s="1"/>
  <c r="AX22" i="15"/>
  <c r="BC403" i="15"/>
  <c r="BC397" i="15"/>
  <c r="BD397" i="15" s="1"/>
  <c r="BE397" i="15" s="1"/>
  <c r="BF397" i="15" s="1"/>
  <c r="BQ399" i="15"/>
  <c r="BQ401" i="15" s="1"/>
  <c r="BL401" i="15"/>
  <c r="BL397" i="15" s="1"/>
  <c r="BQ403" i="15" l="1"/>
  <c r="BM403" i="15" s="1"/>
  <c r="BM22" i="15" s="1"/>
  <c r="BQ406" i="15"/>
  <c r="BM406" i="15"/>
  <c r="BN406" i="15" s="1"/>
  <c r="BO406" i="15" s="1"/>
  <c r="BP406" i="15" s="1"/>
  <c r="BK412" i="15"/>
  <c r="BD403" i="15"/>
  <c r="BC22" i="15"/>
  <c r="BI403" i="15"/>
  <c r="BH22" i="15"/>
  <c r="BN403" i="15"/>
  <c r="AZ403" i="15"/>
  <c r="AZ22" i="15" s="1"/>
  <c r="BQ397" i="15"/>
  <c r="BM397" i="15" s="1"/>
  <c r="BN397" i="15" s="1"/>
  <c r="BO397" i="15" s="1"/>
  <c r="BP397" i="15" s="1"/>
  <c r="BH397" i="15"/>
  <c r="BI397" i="15" s="1"/>
  <c r="BJ397" i="15" s="1"/>
  <c r="BK397" i="15" s="1"/>
  <c r="BA403" i="15" l="1"/>
  <c r="BA22" i="15" s="1"/>
  <c r="BJ403" i="15"/>
  <c r="BI22" i="15"/>
  <c r="BO403" i="15"/>
  <c r="BN22" i="15"/>
  <c r="BE403" i="15"/>
  <c r="BD22" i="15"/>
  <c r="BP403" i="15" l="1"/>
  <c r="BP22" i="15" s="1"/>
  <c r="BO22" i="15"/>
  <c r="BK403" i="15"/>
  <c r="BK22" i="15" s="1"/>
  <c r="BJ22" i="15"/>
  <c r="BF403" i="15"/>
  <c r="BF22" i="15" s="1"/>
  <c r="BE22" i="15"/>
  <c r="E20" i="72"/>
  <c r="E113" i="72" l="1"/>
  <c r="E101" i="72"/>
  <c r="E100" i="72"/>
  <c r="E94" i="72"/>
  <c r="E93" i="72"/>
  <c r="E92" i="72"/>
  <c r="E91" i="72"/>
  <c r="DU91" i="72"/>
  <c r="DT91" i="72"/>
  <c r="DS91" i="72"/>
  <c r="DR91" i="72"/>
  <c r="DP91" i="72"/>
  <c r="DO91" i="72"/>
  <c r="DN91" i="72"/>
  <c r="DM91" i="72"/>
  <c r="DK91" i="72"/>
  <c r="DJ91" i="72"/>
  <c r="DI91" i="72"/>
  <c r="DH91" i="72"/>
  <c r="DF91" i="72"/>
  <c r="DE91" i="72"/>
  <c r="DD91" i="72"/>
  <c r="DC91" i="72"/>
  <c r="DA91" i="72"/>
  <c r="CZ91" i="72"/>
  <c r="CY91" i="72"/>
  <c r="CX91" i="72"/>
  <c r="CV91" i="72"/>
  <c r="CU91" i="72"/>
  <c r="CT91" i="72"/>
  <c r="CS91" i="72"/>
  <c r="CQ91" i="72"/>
  <c r="CP91" i="72"/>
  <c r="CO91" i="72"/>
  <c r="CN91" i="72"/>
  <c r="CL91" i="72"/>
  <c r="CK91" i="72"/>
  <c r="CJ91" i="72"/>
  <c r="CI91" i="72"/>
  <c r="CG91" i="72"/>
  <c r="CF91" i="72"/>
  <c r="CE91" i="72"/>
  <c r="CD91" i="72"/>
  <c r="CB91" i="72"/>
  <c r="CA91" i="72"/>
  <c r="BZ91" i="72"/>
  <c r="BY91" i="72"/>
  <c r="BW91" i="72"/>
  <c r="BV91" i="72"/>
  <c r="BU91" i="72"/>
  <c r="BT91" i="72"/>
  <c r="BR91" i="72"/>
  <c r="BS91" i="72" s="1"/>
  <c r="BX91" i="72" s="1"/>
  <c r="CC91" i="72" s="1"/>
  <c r="CH91" i="72" s="1"/>
  <c r="CM91" i="72" s="1"/>
  <c r="CR91" i="72" s="1"/>
  <c r="CW91" i="72" s="1"/>
  <c r="DB91" i="72" s="1"/>
  <c r="DG91" i="72" s="1"/>
  <c r="DL91" i="72" s="1"/>
  <c r="DQ91" i="72" s="1"/>
  <c r="DV91" i="72" s="1"/>
  <c r="BP91" i="72"/>
  <c r="BO91" i="72" s="1"/>
  <c r="BK91" i="72"/>
  <c r="BJ91" i="72" s="1"/>
  <c r="BF91" i="72"/>
  <c r="BE91" i="72" s="1"/>
  <c r="BA91" i="72"/>
  <c r="AZ91" i="72" s="1"/>
  <c r="AV91" i="72"/>
  <c r="AQ91" i="72"/>
  <c r="AP91" i="72" s="1"/>
  <c r="AL91" i="72"/>
  <c r="AK91" i="72" s="1"/>
  <c r="AG91" i="72"/>
  <c r="AF91" i="72" s="1"/>
  <c r="AB91" i="72"/>
  <c r="AA91" i="72" s="1"/>
  <c r="W91" i="72"/>
  <c r="V91" i="72" s="1"/>
  <c r="R91" i="72"/>
  <c r="Q91" i="72" s="1"/>
  <c r="M91" i="72"/>
  <c r="L91" i="72"/>
  <c r="E143" i="72"/>
  <c r="E131" i="72"/>
  <c r="E132" i="72"/>
  <c r="DU122" i="72"/>
  <c r="DT122" i="72"/>
  <c r="DS122" i="72"/>
  <c r="DR122" i="72"/>
  <c r="DP122" i="72"/>
  <c r="DO122" i="72"/>
  <c r="DN122" i="72"/>
  <c r="DM122" i="72"/>
  <c r="DK122" i="72"/>
  <c r="DJ122" i="72"/>
  <c r="DI122" i="72"/>
  <c r="DH122" i="72"/>
  <c r="DF122" i="72"/>
  <c r="DE122" i="72"/>
  <c r="DD122" i="72"/>
  <c r="DC122" i="72"/>
  <c r="DA122" i="72"/>
  <c r="CZ122" i="72"/>
  <c r="CY122" i="72"/>
  <c r="CX122" i="72"/>
  <c r="CV122" i="72"/>
  <c r="CU122" i="72"/>
  <c r="CT122" i="72"/>
  <c r="CS122" i="72"/>
  <c r="CQ122" i="72"/>
  <c r="CP122" i="72"/>
  <c r="CO122" i="72"/>
  <c r="CN122" i="72"/>
  <c r="CL122" i="72"/>
  <c r="CK122" i="72"/>
  <c r="CJ122" i="72"/>
  <c r="CI122" i="72"/>
  <c r="CG122" i="72"/>
  <c r="CF122" i="72"/>
  <c r="CE122" i="72"/>
  <c r="CD122" i="72"/>
  <c r="CB122" i="72"/>
  <c r="CA122" i="72"/>
  <c r="BZ122" i="72"/>
  <c r="BY122" i="72"/>
  <c r="BW122" i="72"/>
  <c r="BV122" i="72"/>
  <c r="BU122" i="72"/>
  <c r="BT122" i="72"/>
  <c r="BR122" i="72"/>
  <c r="BS122" i="72" s="1"/>
  <c r="BX122" i="72" s="1"/>
  <c r="CC122" i="72" s="1"/>
  <c r="CH122" i="72" s="1"/>
  <c r="CM122" i="72" s="1"/>
  <c r="CR122" i="72" s="1"/>
  <c r="CW122" i="72" s="1"/>
  <c r="DB122" i="72" s="1"/>
  <c r="DG122" i="72" s="1"/>
  <c r="DL122" i="72" s="1"/>
  <c r="DQ122" i="72" s="1"/>
  <c r="DV122" i="72" s="1"/>
  <c r="BP122" i="72"/>
  <c r="BO122" i="72" s="1"/>
  <c r="BK122" i="72"/>
  <c r="BJ122" i="72" s="1"/>
  <c r="BF122" i="72"/>
  <c r="BE122" i="72" s="1"/>
  <c r="BA122" i="72"/>
  <c r="AZ122" i="72" s="1"/>
  <c r="AV122" i="72"/>
  <c r="AQ122" i="72"/>
  <c r="AP122" i="72" s="1"/>
  <c r="AL122" i="72"/>
  <c r="AK122" i="72" s="1"/>
  <c r="AG122" i="72"/>
  <c r="AF122" i="72" s="1"/>
  <c r="AB122" i="72"/>
  <c r="AA122" i="72" s="1"/>
  <c r="W122" i="72"/>
  <c r="V122" i="72" s="1"/>
  <c r="R122" i="72"/>
  <c r="Q122" i="72" s="1"/>
  <c r="M122" i="72"/>
  <c r="L122" i="72"/>
  <c r="E122" i="72"/>
  <c r="E121" i="72"/>
  <c r="BM91" i="72" l="1"/>
  <c r="AU91" i="72"/>
  <c r="AS91" i="72"/>
  <c r="AU122" i="72"/>
  <c r="AS122" i="72"/>
  <c r="BL91" i="72"/>
  <c r="BN91" i="72"/>
  <c r="AR91" i="72"/>
  <c r="S122" i="72"/>
  <c r="X91" i="72"/>
  <c r="BB91" i="72"/>
  <c r="N91" i="72"/>
  <c r="Z91" i="72"/>
  <c r="AT91" i="72"/>
  <c r="BD91" i="72"/>
  <c r="AC122" i="72"/>
  <c r="U122" i="72"/>
  <c r="AE122" i="72"/>
  <c r="AH122" i="72"/>
  <c r="AM122" i="72"/>
  <c r="AR122" i="72"/>
  <c r="AW122" i="72"/>
  <c r="BG122" i="72"/>
  <c r="P91" i="72"/>
  <c r="Y91" i="72"/>
  <c r="AC91" i="72"/>
  <c r="AH91" i="72"/>
  <c r="AY122" i="72"/>
  <c r="BI122" i="72"/>
  <c r="BL122" i="72"/>
  <c r="AJ91" i="72"/>
  <c r="AW91" i="72"/>
  <c r="O91" i="72"/>
  <c r="S91" i="72"/>
  <c r="AI91" i="72"/>
  <c r="AM91" i="72"/>
  <c r="BC91" i="72"/>
  <c r="BG91" i="72"/>
  <c r="BB122" i="72"/>
  <c r="AO122" i="72"/>
  <c r="U91" i="72"/>
  <c r="AE91" i="72"/>
  <c r="AO91" i="72"/>
  <c r="AY91" i="72"/>
  <c r="BI91" i="72"/>
  <c r="T122" i="72"/>
  <c r="X122" i="72"/>
  <c r="AJ122" i="72"/>
  <c r="AT122" i="72"/>
  <c r="BD122" i="72"/>
  <c r="BN122" i="72"/>
  <c r="T91" i="72"/>
  <c r="AD91" i="72"/>
  <c r="AN91" i="72"/>
  <c r="AX91" i="72"/>
  <c r="BH91" i="72"/>
  <c r="N122" i="72"/>
  <c r="AD122" i="72"/>
  <c r="AN122" i="72"/>
  <c r="AX122" i="72"/>
  <c r="BH122" i="72"/>
  <c r="P122" i="72"/>
  <c r="Z122" i="72"/>
  <c r="O122" i="72"/>
  <c r="Y122" i="72"/>
  <c r="AI122" i="72"/>
  <c r="BC122" i="72"/>
  <c r="BM122" i="72"/>
  <c r="DP54" i="72"/>
  <c r="DO54" i="72"/>
  <c r="DN54" i="72"/>
  <c r="DM54" i="72"/>
  <c r="DK54" i="72"/>
  <c r="DJ54" i="72"/>
  <c r="DI54" i="72"/>
  <c r="DH54" i="72"/>
  <c r="DF54" i="72"/>
  <c r="DE54" i="72"/>
  <c r="DD54" i="72"/>
  <c r="DC54" i="72"/>
  <c r="DA54" i="72"/>
  <c r="CZ54" i="72"/>
  <c r="CY54" i="72"/>
  <c r="CX54" i="72"/>
  <c r="CV54" i="72"/>
  <c r="CU54" i="72"/>
  <c r="CT54" i="72"/>
  <c r="CS54" i="72"/>
  <c r="CQ54" i="72"/>
  <c r="CP54" i="72"/>
  <c r="CO54" i="72"/>
  <c r="CN54" i="72"/>
  <c r="CL54" i="72"/>
  <c r="CK54" i="72"/>
  <c r="CJ54" i="72"/>
  <c r="CI54" i="72"/>
  <c r="CG54" i="72"/>
  <c r="CF54" i="72"/>
  <c r="CE54" i="72"/>
  <c r="CD54" i="72"/>
  <c r="CB54" i="72"/>
  <c r="CA54" i="72"/>
  <c r="BZ54" i="72"/>
  <c r="BY54" i="72"/>
  <c r="BW54" i="72"/>
  <c r="BV54" i="72"/>
  <c r="BU54" i="72"/>
  <c r="BT54" i="72"/>
  <c r="BR54" i="72"/>
  <c r="BS54" i="72" s="1"/>
  <c r="BX54" i="72" s="1"/>
  <c r="CC54" i="72" s="1"/>
  <c r="CH54" i="72" s="1"/>
  <c r="CM54" i="72" s="1"/>
  <c r="CR54" i="72" s="1"/>
  <c r="CW54" i="72" s="1"/>
  <c r="DB54" i="72" s="1"/>
  <c r="DG54" i="72" s="1"/>
  <c r="DL54" i="72" s="1"/>
  <c r="DQ54" i="72" s="1"/>
  <c r="BK54" i="72"/>
  <c r="BJ54" i="72" s="1"/>
  <c r="BF54" i="72"/>
  <c r="BE54" i="72" s="1"/>
  <c r="BA54" i="72"/>
  <c r="AZ54" i="72" s="1"/>
  <c r="AV54" i="72"/>
  <c r="AQ54" i="72"/>
  <c r="AP54" i="72" s="1"/>
  <c r="AL54" i="72"/>
  <c r="AK54" i="72" s="1"/>
  <c r="AG54" i="72"/>
  <c r="AF54" i="72" s="1"/>
  <c r="AB54" i="72"/>
  <c r="AA54" i="72" s="1"/>
  <c r="W54" i="72"/>
  <c r="V54" i="72" s="1"/>
  <c r="R54" i="72"/>
  <c r="Q54" i="72" s="1"/>
  <c r="M54" i="72"/>
  <c r="L54" i="72"/>
  <c r="E54" i="72"/>
  <c r="BP54" i="72" s="1"/>
  <c r="E45" i="72"/>
  <c r="E41" i="72"/>
  <c r="AR38" i="15"/>
  <c r="AR38" i="51" s="1"/>
  <c r="AQ59" i="51"/>
  <c r="AR42" i="51"/>
  <c r="AQ42" i="51"/>
  <c r="AR41" i="51"/>
  <c r="AQ41" i="51"/>
  <c r="AR35" i="51"/>
  <c r="AR32" i="51"/>
  <c r="AR23" i="51"/>
  <c r="AR22" i="51"/>
  <c r="AR17" i="51"/>
  <c r="AR16" i="51"/>
  <c r="AR15" i="51"/>
  <c r="AR14" i="51"/>
  <c r="AR13" i="51"/>
  <c r="AR489" i="15"/>
  <c r="AR486" i="15"/>
  <c r="AR482" i="15"/>
  <c r="AR481" i="15"/>
  <c r="AR479" i="15"/>
  <c r="AR474" i="15" s="1"/>
  <c r="AQ458" i="15"/>
  <c r="AR456" i="15"/>
  <c r="AR424" i="15"/>
  <c r="AR422" i="15"/>
  <c r="AQ420" i="15"/>
  <c r="AR419" i="15"/>
  <c r="AR418" i="15"/>
  <c r="AR417" i="15"/>
  <c r="AQ409" i="15"/>
  <c r="AR408" i="15"/>
  <c r="AR411" i="15" s="1"/>
  <c r="AQ395" i="15"/>
  <c r="AR394" i="15"/>
  <c r="AR397" i="15" s="1"/>
  <c r="AQ389" i="15"/>
  <c r="AR388" i="15"/>
  <c r="AR391" i="15" s="1"/>
  <c r="AQ383" i="15"/>
  <c r="AR382" i="15"/>
  <c r="AR385" i="15" s="1"/>
  <c r="AR23" i="15"/>
  <c r="AR10" i="15"/>
  <c r="AR18" i="15" s="1"/>
  <c r="AR20" i="15" s="1"/>
  <c r="AR42" i="15"/>
  <c r="AQ42" i="15"/>
  <c r="AR41" i="15"/>
  <c r="AQ41" i="15"/>
  <c r="AQ35" i="15"/>
  <c r="AQ32" i="15"/>
  <c r="AQ28" i="15"/>
  <c r="AT500" i="15" s="1"/>
  <c r="AQ22" i="15"/>
  <c r="AQ17" i="15"/>
  <c r="AQ16" i="15"/>
  <c r="AQ408" i="15" s="1"/>
  <c r="AQ15" i="15"/>
  <c r="AQ394" i="15" s="1"/>
  <c r="AQ14" i="15"/>
  <c r="AQ388" i="15" s="1"/>
  <c r="AQ9" i="15"/>
  <c r="AN248" i="47"/>
  <c r="AR242" i="47"/>
  <c r="AR239" i="47"/>
  <c r="AR235" i="47"/>
  <c r="AR234" i="47"/>
  <c r="AR232" i="47"/>
  <c r="AQ211" i="47"/>
  <c r="AR209" i="47"/>
  <c r="AR186" i="47"/>
  <c r="AR183" i="47"/>
  <c r="AR159" i="47"/>
  <c r="AQ152" i="47"/>
  <c r="AR152" i="47" s="1"/>
  <c r="AR157" i="47"/>
  <c r="AR156" i="47"/>
  <c r="AR153" i="47"/>
  <c r="AQ145" i="47"/>
  <c r="AR144" i="47"/>
  <c r="AR146" i="47" s="1"/>
  <c r="AQ140" i="47"/>
  <c r="AR139" i="47"/>
  <c r="AR141" i="47" s="1"/>
  <c r="AQ135" i="47"/>
  <c r="AQ130" i="47"/>
  <c r="AR129" i="47"/>
  <c r="AR131" i="47" s="1"/>
  <c r="AR124" i="47"/>
  <c r="AQ115" i="47"/>
  <c r="AR114" i="47"/>
  <c r="AQ113" i="47"/>
  <c r="AR100" i="47"/>
  <c r="AR98" i="47"/>
  <c r="AR106" i="47"/>
  <c r="AR105" i="47"/>
  <c r="AR103" i="47"/>
  <c r="AQ104" i="47"/>
  <c r="AQ107" i="47" s="1"/>
  <c r="AQ97" i="47"/>
  <c r="AQ96" i="47"/>
  <c r="AQ95" i="47"/>
  <c r="AQ94" i="47"/>
  <c r="AR54" i="47"/>
  <c r="AQ54" i="47"/>
  <c r="AR53" i="47"/>
  <c r="AQ53" i="47"/>
  <c r="AQ50" i="47"/>
  <c r="AQ47" i="47"/>
  <c r="AQ43" i="47"/>
  <c r="AQ209" i="47" s="1"/>
  <c r="AR39" i="47"/>
  <c r="AQ38" i="47"/>
  <c r="AQ186" i="47" s="1"/>
  <c r="AQ187" i="47" s="1"/>
  <c r="AQ37" i="47"/>
  <c r="AQ31" i="47"/>
  <c r="AQ30" i="47"/>
  <c r="AQ29" i="47"/>
  <c r="AQ208" i="47" s="1"/>
  <c r="AQ24" i="47"/>
  <c r="AQ23" i="47"/>
  <c r="AQ207" i="47" s="1"/>
  <c r="AQ22" i="47"/>
  <c r="AQ144" i="47" s="1"/>
  <c r="AQ21" i="47"/>
  <c r="AQ20" i="47"/>
  <c r="AQ134" i="47" s="1"/>
  <c r="AQ19" i="47"/>
  <c r="AQ129" i="47" s="1"/>
  <c r="AR15" i="47"/>
  <c r="AR25" i="47" s="1"/>
  <c r="AQ14" i="47"/>
  <c r="AQ13" i="47"/>
  <c r="AR11" i="47"/>
  <c r="AR9" i="51" s="1"/>
  <c r="AQ10" i="47"/>
  <c r="AQ117" i="47" s="1"/>
  <c r="AQ9" i="47"/>
  <c r="AH244" i="46"/>
  <c r="AD244" i="46" s="1"/>
  <c r="AM244" i="46"/>
  <c r="AI244" i="46" s="1"/>
  <c r="AR244" i="46"/>
  <c r="AT244" i="46" s="1"/>
  <c r="AU244" i="46" s="1"/>
  <c r="AQ208" i="46"/>
  <c r="AQ204" i="46"/>
  <c r="AQ203" i="46"/>
  <c r="AQ201" i="46"/>
  <c r="AQ192" i="46"/>
  <c r="AQ193" i="46" s="1"/>
  <c r="AQ211" i="46" s="1"/>
  <c r="AQ183" i="46"/>
  <c r="AR183" i="46" s="1"/>
  <c r="AQ181" i="46"/>
  <c r="AR181" i="46" s="1"/>
  <c r="AQ176" i="46"/>
  <c r="AQ177" i="46" s="1"/>
  <c r="AQ161" i="46"/>
  <c r="AR161" i="46" s="1"/>
  <c r="AQ158" i="46"/>
  <c r="AR158" i="46" s="1"/>
  <c r="AQ157" i="46"/>
  <c r="AR157" i="46" s="1"/>
  <c r="AR194" i="46"/>
  <c r="AR192" i="46"/>
  <c r="AR191" i="46"/>
  <c r="AR190" i="46"/>
  <c r="AR189" i="46"/>
  <c r="AR187" i="46"/>
  <c r="AR208" i="46" s="1"/>
  <c r="AR186" i="46"/>
  <c r="AR182" i="46"/>
  <c r="AR180" i="46"/>
  <c r="AR179" i="46"/>
  <c r="AR175" i="46"/>
  <c r="AR174" i="46"/>
  <c r="AR203" i="46" s="1"/>
  <c r="AR173" i="46"/>
  <c r="AR170" i="46"/>
  <c r="AR169" i="46"/>
  <c r="AR168" i="46"/>
  <c r="AR167" i="46"/>
  <c r="AR166" i="46"/>
  <c r="AR163" i="46"/>
  <c r="AR162" i="46"/>
  <c r="AR156" i="46"/>
  <c r="AR155" i="46"/>
  <c r="AR201" i="46" s="1"/>
  <c r="AQ142" i="46"/>
  <c r="AQ143" i="46" s="1"/>
  <c r="AQ133" i="46"/>
  <c r="AQ132" i="46"/>
  <c r="AQ128" i="46"/>
  <c r="AQ129" i="46" s="1"/>
  <c r="AR145" i="46"/>
  <c r="AR140" i="46"/>
  <c r="AR139" i="46"/>
  <c r="AR138" i="46"/>
  <c r="AR137" i="46"/>
  <c r="AR136" i="46"/>
  <c r="AR131" i="46"/>
  <c r="AR127" i="46"/>
  <c r="AR126" i="46"/>
  <c r="AR125" i="46"/>
  <c r="AR124" i="46"/>
  <c r="AR119" i="46"/>
  <c r="AQ118" i="46"/>
  <c r="AR117" i="46"/>
  <c r="AQ117" i="46"/>
  <c r="AR114" i="46"/>
  <c r="AQ114" i="46"/>
  <c r="AR113" i="46"/>
  <c r="AQ113" i="46"/>
  <c r="AQ80" i="46"/>
  <c r="AR60" i="46"/>
  <c r="AR59" i="46"/>
  <c r="AQ58" i="46"/>
  <c r="AQ62" i="46" s="1"/>
  <c r="AR45" i="46"/>
  <c r="AQ45" i="46" s="1"/>
  <c r="AR24" i="46"/>
  <c r="AR9" i="46"/>
  <c r="AQ42" i="46"/>
  <c r="AQ39" i="46"/>
  <c r="AQ36" i="46"/>
  <c r="AR32" i="46"/>
  <c r="AQ31" i="46"/>
  <c r="AQ30" i="46"/>
  <c r="AQ23" i="46"/>
  <c r="AQ22" i="46"/>
  <c r="AQ17" i="46"/>
  <c r="AQ16" i="46"/>
  <c r="AQ15" i="46"/>
  <c r="AQ14" i="46"/>
  <c r="AQ13" i="46"/>
  <c r="AQ12" i="46"/>
  <c r="AQ8" i="46"/>
  <c r="AR24" i="51" l="1"/>
  <c r="AQ391" i="15"/>
  <c r="AR25" i="15"/>
  <c r="AR30" i="15" s="1"/>
  <c r="AQ100" i="47"/>
  <c r="AQ109" i="47" s="1"/>
  <c r="AQ136" i="47"/>
  <c r="AQ146" i="47"/>
  <c r="AQ32" i="46"/>
  <c r="AQ134" i="46"/>
  <c r="AQ147" i="46" s="1"/>
  <c r="AR483" i="15"/>
  <c r="AR492" i="15" s="1"/>
  <c r="AR493" i="15" s="1"/>
  <c r="AR204" i="46"/>
  <c r="AR205" i="46" s="1"/>
  <c r="AR176" i="46"/>
  <c r="AR177" i="46" s="1"/>
  <c r="AR184" i="46" s="1"/>
  <c r="AQ131" i="47"/>
  <c r="AQ114" i="47"/>
  <c r="AQ397" i="15"/>
  <c r="AQ23" i="51"/>
  <c r="AR29" i="51"/>
  <c r="AQ205" i="46"/>
  <c r="AQ214" i="46" s="1"/>
  <c r="AQ215" i="46" s="1"/>
  <c r="AN244" i="46"/>
  <c r="AQ120" i="47"/>
  <c r="AQ121" i="47" s="1"/>
  <c r="AQ39" i="47"/>
  <c r="AQ35" i="51"/>
  <c r="AQ15" i="51"/>
  <c r="BA15" i="51" s="1"/>
  <c r="BF15" i="51" s="1"/>
  <c r="BK15" i="51" s="1"/>
  <c r="BP15" i="51" s="1"/>
  <c r="AU54" i="72"/>
  <c r="AS54" i="72"/>
  <c r="AQ98" i="47"/>
  <c r="AR99" i="47"/>
  <c r="AQ32" i="51"/>
  <c r="AQ15" i="47"/>
  <c r="AQ25" i="47" s="1"/>
  <c r="AQ139" i="47"/>
  <c r="AQ141" i="47" s="1"/>
  <c r="AQ154" i="47"/>
  <c r="AQ159" i="47"/>
  <c r="AQ183" i="47"/>
  <c r="AQ184" i="47" s="1"/>
  <c r="AQ17" i="51"/>
  <c r="BA17" i="51" s="1"/>
  <c r="BF17" i="51" s="1"/>
  <c r="BK17" i="51" s="1"/>
  <c r="BP17" i="51" s="1"/>
  <c r="AR10" i="51"/>
  <c r="AR18" i="51" s="1"/>
  <c r="AR20" i="51" s="1"/>
  <c r="AQ22" i="51"/>
  <c r="AQ411" i="15"/>
  <c r="AQ38" i="15"/>
  <c r="AQ58" i="15" s="1"/>
  <c r="AQ426" i="15"/>
  <c r="AQ455" i="15"/>
  <c r="AQ14" i="51"/>
  <c r="BA14" i="51" s="1"/>
  <c r="BF14" i="51" s="1"/>
  <c r="BK14" i="51" s="1"/>
  <c r="AQ16" i="51"/>
  <c r="BA16" i="51" s="1"/>
  <c r="BF16" i="51" s="1"/>
  <c r="BK16" i="51" s="1"/>
  <c r="BP16" i="51" s="1"/>
  <c r="BG54" i="72"/>
  <c r="S54" i="72"/>
  <c r="AM54" i="72"/>
  <c r="U54" i="72"/>
  <c r="X54" i="72"/>
  <c r="AC54" i="72"/>
  <c r="AO54" i="72"/>
  <c r="AR54" i="72"/>
  <c r="AW54" i="72"/>
  <c r="BI54" i="72"/>
  <c r="N54" i="72"/>
  <c r="AE54" i="72"/>
  <c r="AH54" i="72"/>
  <c r="AY54" i="72"/>
  <c r="BB54" i="72"/>
  <c r="P54" i="72"/>
  <c r="Z54" i="72"/>
  <c r="AJ54" i="72"/>
  <c r="AT54" i="72"/>
  <c r="BD54" i="72"/>
  <c r="DV54" i="72"/>
  <c r="DR54" i="72" s="1"/>
  <c r="O54" i="72"/>
  <c r="Y54" i="72"/>
  <c r="AI54" i="72"/>
  <c r="BC54" i="72"/>
  <c r="DT54" i="72"/>
  <c r="DU54" i="72"/>
  <c r="BO54" i="72"/>
  <c r="BM54" i="72"/>
  <c r="BN54" i="72"/>
  <c r="BL54" i="72"/>
  <c r="T54" i="72"/>
  <c r="AD54" i="72"/>
  <c r="AN54" i="72"/>
  <c r="AX54" i="72"/>
  <c r="BH54" i="72"/>
  <c r="AQ483" i="15"/>
  <c r="AR80" i="46"/>
  <c r="AR420" i="15"/>
  <c r="AS427" i="15" s="1"/>
  <c r="AR11" i="15"/>
  <c r="AR236" i="47"/>
  <c r="AR245" i="47" s="1"/>
  <c r="AR246" i="47" s="1"/>
  <c r="AR154" i="47"/>
  <c r="AS161" i="47" s="1"/>
  <c r="AQ32" i="47"/>
  <c r="AQ11" i="47"/>
  <c r="AQ9" i="51" s="1"/>
  <c r="BA9" i="51" s="1"/>
  <c r="BF9" i="51" s="1"/>
  <c r="AR27" i="47"/>
  <c r="AR17" i="47"/>
  <c r="AR32" i="47"/>
  <c r="AQ184" i="46"/>
  <c r="AQ195" i="46" s="1"/>
  <c r="AR164" i="46"/>
  <c r="AR159" i="46"/>
  <c r="AR193" i="46"/>
  <c r="AQ159" i="46"/>
  <c r="AQ164" i="46"/>
  <c r="AR10" i="46"/>
  <c r="AR18" i="46"/>
  <c r="AR20" i="46" s="1"/>
  <c r="AR25" i="46"/>
  <c r="AR226" i="46" l="1"/>
  <c r="AR26" i="51"/>
  <c r="AR30" i="51" s="1"/>
  <c r="AR33" i="51" s="1"/>
  <c r="AR37" i="51" s="1"/>
  <c r="AR44" i="51" s="1"/>
  <c r="AR26" i="15"/>
  <c r="AQ99" i="47"/>
  <c r="AQ29" i="51"/>
  <c r="AR11" i="51"/>
  <c r="AQ212" i="46"/>
  <c r="AQ209" i="46"/>
  <c r="AR195" i="46"/>
  <c r="AR211" i="46"/>
  <c r="AQ206" i="46"/>
  <c r="AQ38" i="51"/>
  <c r="AQ27" i="47"/>
  <c r="AQ34" i="47" s="1"/>
  <c r="AQ41" i="47" s="1"/>
  <c r="AQ17" i="47"/>
  <c r="BK9" i="51"/>
  <c r="BP9" i="51" s="1"/>
  <c r="AR33" i="15"/>
  <c r="AR37" i="15" s="1"/>
  <c r="AR44" i="15" s="1"/>
  <c r="AR436" i="15"/>
  <c r="AQ57" i="51"/>
  <c r="DS54" i="72"/>
  <c r="AQ492" i="15"/>
  <c r="AR487" i="15"/>
  <c r="AR490" i="15"/>
  <c r="AR484" i="15"/>
  <c r="AR240" i="47"/>
  <c r="AR243" i="47"/>
  <c r="AR237" i="47"/>
  <c r="AR34" i="47"/>
  <c r="AR171" i="46"/>
  <c r="AQ171" i="46"/>
  <c r="AQ197" i="46" s="1"/>
  <c r="AR27" i="46"/>
  <c r="AR27" i="51" l="1"/>
  <c r="AR39" i="51"/>
  <c r="AR45" i="51" s="1"/>
  <c r="AQ35" i="47"/>
  <c r="AR39" i="15"/>
  <c r="AR45" i="15" s="1"/>
  <c r="AR197" i="46"/>
  <c r="AR214" i="46"/>
  <c r="AR212" i="46" s="1"/>
  <c r="AQ45" i="47"/>
  <c r="AQ49" i="47" s="1"/>
  <c r="AQ56" i="47" s="1"/>
  <c r="AQ82" i="47"/>
  <c r="AQ83" i="47"/>
  <c r="AQ487" i="15"/>
  <c r="AQ490" i="15"/>
  <c r="AQ484" i="15"/>
  <c r="AQ493" i="15"/>
  <c r="AR41" i="47"/>
  <c r="AR35" i="47"/>
  <c r="AR34" i="46"/>
  <c r="AR28" i="46"/>
  <c r="AQ51" i="47" l="1"/>
  <c r="AQ57" i="47" s="1"/>
  <c r="AR37" i="46"/>
  <c r="AR41" i="46" s="1"/>
  <c r="AR49" i="46" s="1"/>
  <c r="AR99" i="46"/>
  <c r="AR100" i="46"/>
  <c r="AR215" i="46"/>
  <c r="AR206" i="46"/>
  <c r="AR209" i="46"/>
  <c r="AR45" i="47"/>
  <c r="AR49" i="47" s="1"/>
  <c r="AR56" i="47" s="1"/>
  <c r="AR83" i="47"/>
  <c r="AR82" i="47"/>
  <c r="BS177" i="47"/>
  <c r="BS176" i="47"/>
  <c r="BS175" i="47"/>
  <c r="BS174" i="47"/>
  <c r="BS173" i="47"/>
  <c r="BS172" i="47"/>
  <c r="BS171" i="47"/>
  <c r="AQ206" i="47" l="1"/>
  <c r="AQ210" i="47" s="1"/>
  <c r="AR43" i="46"/>
  <c r="AR50" i="46" s="1"/>
  <c r="AR63" i="46" s="1"/>
  <c r="AR51" i="47"/>
  <c r="AR57" i="47" s="1"/>
  <c r="BQ102" i="15"/>
  <c r="AX104" i="67" l="1"/>
  <c r="AW104" i="67"/>
  <c r="AV104" i="67"/>
  <c r="AU104" i="67"/>
  <c r="AX103" i="67"/>
  <c r="AW103" i="67"/>
  <c r="AV103" i="67"/>
  <c r="AU103" i="67"/>
  <c r="AX102" i="67"/>
  <c r="AW102" i="67"/>
  <c r="AV102" i="67"/>
  <c r="AU102" i="67"/>
  <c r="AX101" i="67"/>
  <c r="AW101" i="67"/>
  <c r="AV101" i="67"/>
  <c r="AU101" i="67"/>
  <c r="AX100" i="67"/>
  <c r="AW100" i="67"/>
  <c r="AV100" i="67"/>
  <c r="AU100" i="67"/>
  <c r="AX86" i="67"/>
  <c r="AW86" i="67"/>
  <c r="AV86" i="67"/>
  <c r="AU86" i="67"/>
  <c r="AX85" i="67"/>
  <c r="AW85" i="67"/>
  <c r="AV85" i="67"/>
  <c r="AU85" i="67"/>
  <c r="AX84" i="67"/>
  <c r="AW84" i="67"/>
  <c r="AV84" i="67"/>
  <c r="AU84" i="67"/>
  <c r="AX83" i="67"/>
  <c r="AW83" i="67"/>
  <c r="AV83" i="67"/>
  <c r="AU83" i="67"/>
  <c r="AX82" i="67"/>
  <c r="AW82" i="67"/>
  <c r="AV82" i="67"/>
  <c r="AU82" i="67"/>
  <c r="AX59" i="67"/>
  <c r="AW59" i="67"/>
  <c r="AV59" i="67"/>
  <c r="AU59" i="67"/>
  <c r="AX58" i="67"/>
  <c r="AW58" i="67"/>
  <c r="AV58" i="67"/>
  <c r="AU58" i="67"/>
  <c r="AX57" i="67"/>
  <c r="AW57" i="67"/>
  <c r="AV57" i="67"/>
  <c r="AU57" i="67"/>
  <c r="AX56" i="67"/>
  <c r="AW56" i="67"/>
  <c r="AV56" i="67"/>
  <c r="AU56" i="67"/>
  <c r="AX55" i="67"/>
  <c r="AW55" i="67"/>
  <c r="AV55" i="67"/>
  <c r="AU55" i="67"/>
  <c r="AX54" i="67"/>
  <c r="AW54" i="67"/>
  <c r="AV54" i="67"/>
  <c r="AU54" i="67"/>
  <c r="AX24" i="67"/>
  <c r="AW24" i="67"/>
  <c r="AV24" i="67"/>
  <c r="AU24" i="67"/>
  <c r="AX23" i="67"/>
  <c r="AW23" i="67"/>
  <c r="AV23" i="67"/>
  <c r="AU23" i="67"/>
  <c r="AX22" i="67"/>
  <c r="AW22" i="67"/>
  <c r="AV22" i="67"/>
  <c r="AU22" i="67"/>
  <c r="AX21" i="67"/>
  <c r="AW21" i="67"/>
  <c r="AV21" i="67"/>
  <c r="AU21" i="67"/>
  <c r="AX20" i="67"/>
  <c r="AW20" i="67"/>
  <c r="AV20" i="67"/>
  <c r="AU20" i="67"/>
  <c r="B2" i="64" l="1"/>
  <c r="DU6" i="64"/>
  <c r="DV6" i="64" s="1"/>
  <c r="DW6" i="64" s="1"/>
  <c r="DX6" i="64" s="1"/>
  <c r="DY6" i="64" s="1"/>
  <c r="DZ6" i="64" s="1"/>
  <c r="EA6" i="64" s="1"/>
  <c r="EB6" i="64" s="1"/>
  <c r="EC6" i="64" s="1"/>
  <c r="ED6" i="64" s="1"/>
  <c r="EE6" i="64" s="1"/>
  <c r="EF6" i="64" s="1"/>
  <c r="EG6" i="64" s="1"/>
  <c r="EH6" i="64" s="1"/>
  <c r="EI6" i="64" s="1"/>
  <c r="EJ6" i="64" s="1"/>
  <c r="EK6" i="64" s="1"/>
  <c r="DW9" i="64"/>
  <c r="DX9" i="64" s="1"/>
  <c r="DY9" i="64" s="1"/>
  <c r="DZ9" i="64" s="1"/>
  <c r="EA9" i="64" s="1"/>
  <c r="EB9" i="64" s="1"/>
  <c r="EC9" i="64" s="1"/>
  <c r="ED9" i="64" s="1"/>
  <c r="EE9" i="64" s="1"/>
  <c r="EF9" i="64" s="1"/>
  <c r="EG9" i="64" s="1"/>
  <c r="EH9" i="64" s="1"/>
  <c r="EI9" i="64" s="1"/>
  <c r="EJ9" i="64" s="1"/>
  <c r="EK9" i="64" s="1"/>
  <c r="T7" i="64"/>
  <c r="U7" i="64"/>
  <c r="V7" i="64"/>
  <c r="W7" i="64"/>
  <c r="T8" i="64"/>
  <c r="U8" i="64"/>
  <c r="V8" i="64"/>
  <c r="W8" i="64"/>
  <c r="T9" i="64"/>
  <c r="U9" i="64"/>
  <c r="V9" i="64"/>
  <c r="W9" i="64"/>
  <c r="AI7" i="64"/>
  <c r="AJ7" i="64"/>
  <c r="AK7" i="64"/>
  <c r="AL7" i="64"/>
  <c r="AI8" i="64"/>
  <c r="AJ8" i="64"/>
  <c r="AK8" i="64"/>
  <c r="AL8" i="64"/>
  <c r="AI9" i="64"/>
  <c r="AJ9" i="64"/>
  <c r="AK9" i="64"/>
  <c r="AL9" i="64"/>
  <c r="DV8" i="64"/>
  <c r="DW8" i="64" l="1"/>
  <c r="DV10" i="64"/>
  <c r="DU10" i="64"/>
  <c r="DX8" i="64" l="1"/>
  <c r="DW10" i="64"/>
  <c r="DY8" i="64" l="1"/>
  <c r="DX10" i="64"/>
  <c r="DZ8" i="64" l="1"/>
  <c r="DY10" i="64"/>
  <c r="EA8" i="64" l="1"/>
  <c r="DZ10" i="64"/>
  <c r="EB8" i="64" l="1"/>
  <c r="EA10" i="64"/>
  <c r="CB12" i="64"/>
  <c r="CB14" i="64" s="1"/>
  <c r="DS14" i="64"/>
  <c r="DT14" i="64"/>
  <c r="AM15" i="64"/>
  <c r="AR15" i="64"/>
  <c r="AW15" i="64"/>
  <c r="BB15" i="64"/>
  <c r="BG15" i="64"/>
  <c r="BL15" i="64"/>
  <c r="BQ15" i="64"/>
  <c r="AX17" i="64"/>
  <c r="AY17" i="64"/>
  <c r="AZ17" i="64"/>
  <c r="BA17" i="64"/>
  <c r="BC17" i="64"/>
  <c r="BD17" i="64"/>
  <c r="BE17" i="64"/>
  <c r="BF17" i="64"/>
  <c r="DV17" i="64"/>
  <c r="AX21" i="64"/>
  <c r="AY21" i="64"/>
  <c r="AZ21" i="64"/>
  <c r="BA21" i="64"/>
  <c r="BC21" i="64"/>
  <c r="BD21" i="64"/>
  <c r="BE21" i="64"/>
  <c r="BF21" i="64"/>
  <c r="BL18" i="64" l="1"/>
  <c r="CG14" i="64"/>
  <c r="CL12" i="64"/>
  <c r="CL14" i="64" s="1"/>
  <c r="EC8" i="64"/>
  <c r="EB10" i="64"/>
  <c r="CB21" i="64"/>
  <c r="CL21" i="64"/>
  <c r="AH23" i="64"/>
  <c r="AM23" i="64"/>
  <c r="AR23" i="64"/>
  <c r="AW23" i="64"/>
  <c r="BB23" i="64"/>
  <c r="BG23" i="64"/>
  <c r="BL23" i="64"/>
  <c r="BQ23" i="64"/>
  <c r="BA27" i="64"/>
  <c r="BC27" i="64"/>
  <c r="BD27" i="64"/>
  <c r="BE27" i="64"/>
  <c r="BF27" i="64"/>
  <c r="BG27" i="64"/>
  <c r="BL27" i="64"/>
  <c r="BQ27" i="64"/>
  <c r="CC27" i="64"/>
  <c r="CD27" i="64"/>
  <c r="CE27" i="64"/>
  <c r="CF27" i="64"/>
  <c r="CH27" i="64"/>
  <c r="CI27" i="64"/>
  <c r="CJ27" i="64"/>
  <c r="CK27" i="64"/>
  <c r="AW33" i="64"/>
  <c r="BB33" i="64"/>
  <c r="BB34" i="64"/>
  <c r="BG33" i="64"/>
  <c r="BG34" i="64"/>
  <c r="BL33" i="64"/>
  <c r="BL34" i="64"/>
  <c r="BQ33" i="64"/>
  <c r="BQ34" i="64"/>
  <c r="DT40" i="64"/>
  <c r="DT41" i="64"/>
  <c r="BU49" i="64"/>
  <c r="BW52" i="64"/>
  <c r="BW53" i="64"/>
  <c r="CB52" i="64"/>
  <c r="CB53" i="64"/>
  <c r="CG52" i="64"/>
  <c r="CG53" i="64"/>
  <c r="DT53" i="64"/>
  <c r="DT54" i="64"/>
  <c r="AC55" i="64"/>
  <c r="AH55" i="64"/>
  <c r="CB96" i="64" s="1"/>
  <c r="AM55" i="64"/>
  <c r="CG96" i="64" s="1"/>
  <c r="AR55" i="64"/>
  <c r="CL96" i="64" s="1"/>
  <c r="AX56" i="64"/>
  <c r="AX61" i="64" s="1"/>
  <c r="AX65" i="64" s="1"/>
  <c r="AY56" i="64"/>
  <c r="AY61" i="64" s="1"/>
  <c r="AY65" i="64" s="1"/>
  <c r="AZ56" i="64"/>
  <c r="AZ61" i="64" s="1"/>
  <c r="AZ65" i="64" s="1"/>
  <c r="BA56" i="64"/>
  <c r="BA61" i="64" s="1"/>
  <c r="BA65" i="64" s="1"/>
  <c r="BC56" i="64"/>
  <c r="BC61" i="64" s="1"/>
  <c r="BC65" i="64" s="1"/>
  <c r="BD56" i="64"/>
  <c r="BD61" i="64" s="1"/>
  <c r="BD65" i="64" s="1"/>
  <c r="BE56" i="64"/>
  <c r="BE61" i="64" s="1"/>
  <c r="BE65" i="64" s="1"/>
  <c r="BF56" i="64"/>
  <c r="BF61" i="64" s="1"/>
  <c r="BF65" i="64" s="1"/>
  <c r="AR58" i="64"/>
  <c r="AM58" i="64" s="1"/>
  <c r="BL58" i="64"/>
  <c r="AW60" i="64"/>
  <c r="BB60" i="64"/>
  <c r="CV58" i="64"/>
  <c r="DA58" i="64"/>
  <c r="EH60" i="64"/>
  <c r="EG60" i="64" s="1"/>
  <c r="EF60" i="64" s="1"/>
  <c r="EE60" i="64" s="1"/>
  <c r="AM60" i="64"/>
  <c r="AM63" i="64"/>
  <c r="AR63" i="64"/>
  <c r="AW63" i="64"/>
  <c r="BB63" i="64"/>
  <c r="BG63" i="64"/>
  <c r="BL63" i="64"/>
  <c r="BQ63" i="64"/>
  <c r="DS65" i="64"/>
  <c r="AX70" i="64"/>
  <c r="AY70" i="64"/>
  <c r="AZ70" i="64"/>
  <c r="BA70" i="64"/>
  <c r="BC70" i="64"/>
  <c r="BD70" i="64"/>
  <c r="BE70" i="64"/>
  <c r="BF70" i="64"/>
  <c r="DQ66" i="64"/>
  <c r="DQ67" i="64" s="1"/>
  <c r="DQ68" i="64" s="1"/>
  <c r="DQ69" i="64" s="1"/>
  <c r="DQ70" i="64" s="1"/>
  <c r="DQ71" i="64" s="1"/>
  <c r="DQ72" i="64" s="1"/>
  <c r="DQ73" i="64" s="1"/>
  <c r="DQ74" i="64" s="1"/>
  <c r="DQ75" i="64" s="1"/>
  <c r="DQ76" i="64" s="1"/>
  <c r="DQ77" i="64" s="1"/>
  <c r="DQ78" i="64" s="1"/>
  <c r="DQ79" i="64" s="1"/>
  <c r="DQ80" i="64" s="1"/>
  <c r="DQ81" i="64" s="1"/>
  <c r="DQ82" i="64" s="1"/>
  <c r="DQ83" i="64" s="1"/>
  <c r="DQ84" i="64" s="1"/>
  <c r="DQ85" i="64" s="1"/>
  <c r="DQ86" i="64" s="1"/>
  <c r="DQ87" i="64" s="1"/>
  <c r="DQ88" i="64" s="1"/>
  <c r="DQ89" i="64" s="1"/>
  <c r="DQ90" i="64" s="1"/>
  <c r="DQ91" i="64" s="1"/>
  <c r="DQ92" i="64" s="1"/>
  <c r="DQ93" i="64" s="1"/>
  <c r="DQ94" i="64" s="1"/>
  <c r="BW104" i="64"/>
  <c r="BW105" i="64"/>
  <c r="CB104" i="64"/>
  <c r="CB105" i="64"/>
  <c r="CG104" i="64"/>
  <c r="CG105" i="64"/>
  <c r="CL105" i="64"/>
  <c r="CV109" i="64"/>
  <c r="DA109" i="64"/>
  <c r="DT47" i="64" l="1"/>
  <c r="DK116" i="64" s="1"/>
  <c r="DS66" i="64"/>
  <c r="DS67" i="64" s="1"/>
  <c r="DS68" i="64" s="1"/>
  <c r="DS69" i="64" s="1"/>
  <c r="DS70" i="64" s="1"/>
  <c r="DS71" i="64" s="1"/>
  <c r="DS72" i="64" s="1"/>
  <c r="DS73" i="64" s="1"/>
  <c r="DS74" i="64" s="1"/>
  <c r="DS75" i="64" s="1"/>
  <c r="DS76" i="64" s="1"/>
  <c r="DS77" i="64" s="1"/>
  <c r="DS78" i="64" s="1"/>
  <c r="DS79" i="64" s="1"/>
  <c r="DS80" i="64" s="1"/>
  <c r="DS81" i="64" s="1"/>
  <c r="DS82" i="64" s="1"/>
  <c r="DS83" i="64" s="1"/>
  <c r="DS84" i="64" s="1"/>
  <c r="DS85" i="64" s="1"/>
  <c r="DS86" i="64" s="1"/>
  <c r="DS87" i="64" s="1"/>
  <c r="DS88" i="64" s="1"/>
  <c r="DS89" i="64" s="1"/>
  <c r="DS90" i="64" s="1"/>
  <c r="DS91" i="64" s="1"/>
  <c r="DS92" i="64" s="1"/>
  <c r="DS93" i="64" s="1"/>
  <c r="DS94" i="64" s="1"/>
  <c r="DT94" i="64" s="1"/>
  <c r="BG60" i="64"/>
  <c r="AR60" i="64"/>
  <c r="DT50" i="64"/>
  <c r="CB66" i="64"/>
  <c r="CG66" i="64"/>
  <c r="CV66" i="64"/>
  <c r="DA66" i="64"/>
  <c r="DU21" i="64"/>
  <c r="BQ58" i="64"/>
  <c r="BQ60" i="64" s="1"/>
  <c r="BL60" i="64"/>
  <c r="ED8" i="64"/>
  <c r="EC10" i="64"/>
  <c r="BG18" i="64"/>
  <c r="DU94" i="72"/>
  <c r="DT94" i="72"/>
  <c r="DS94" i="72"/>
  <c r="DR94" i="72"/>
  <c r="DP94" i="72"/>
  <c r="DO94" i="72"/>
  <c r="DN94" i="72"/>
  <c r="DM94" i="72"/>
  <c r="DK94" i="72"/>
  <c r="DJ94" i="72"/>
  <c r="DI94" i="72"/>
  <c r="DH94" i="72"/>
  <c r="DF94" i="72"/>
  <c r="DE94" i="72"/>
  <c r="DD94" i="72"/>
  <c r="DC94" i="72"/>
  <c r="CQ94" i="72"/>
  <c r="CP94" i="72"/>
  <c r="CO94" i="72"/>
  <c r="CN94" i="72"/>
  <c r="CL94" i="72"/>
  <c r="CK94" i="72"/>
  <c r="CJ94" i="72"/>
  <c r="CI94" i="72"/>
  <c r="CG94" i="72"/>
  <c r="CF94" i="72"/>
  <c r="CE94" i="72"/>
  <c r="CD94" i="72"/>
  <c r="CB94" i="72"/>
  <c r="CA94" i="72"/>
  <c r="BZ94" i="72"/>
  <c r="BY94" i="72"/>
  <c r="BW94" i="72"/>
  <c r="BV94" i="72"/>
  <c r="BU94" i="72"/>
  <c r="BT94" i="72"/>
  <c r="BR94" i="72"/>
  <c r="BS94" i="72" s="1"/>
  <c r="BX94" i="72" s="1"/>
  <c r="CC94" i="72" s="1"/>
  <c r="CH94" i="72" s="1"/>
  <c r="CM94" i="72" s="1"/>
  <c r="CR94" i="72" s="1"/>
  <c r="CW94" i="72" s="1"/>
  <c r="BP94" i="72"/>
  <c r="BO94" i="72" s="1"/>
  <c r="BK94" i="72"/>
  <c r="BJ94" i="72" s="1"/>
  <c r="BF94" i="72"/>
  <c r="BE94" i="72" s="1"/>
  <c r="BA94" i="72"/>
  <c r="AZ94" i="72" s="1"/>
  <c r="AV94" i="72"/>
  <c r="AQ94" i="72"/>
  <c r="AP94" i="72" s="1"/>
  <c r="AL94" i="72"/>
  <c r="AK94" i="72" s="1"/>
  <c r="AG94" i="72"/>
  <c r="AF94" i="72" s="1"/>
  <c r="AB94" i="72"/>
  <c r="AA94" i="72" s="1"/>
  <c r="W94" i="72"/>
  <c r="V94" i="72" s="1"/>
  <c r="R94" i="72"/>
  <c r="Q94" i="72" s="1"/>
  <c r="M94" i="72"/>
  <c r="L94" i="72"/>
  <c r="L20" i="72"/>
  <c r="DU20" i="72"/>
  <c r="DT20" i="72"/>
  <c r="DS20" i="72"/>
  <c r="DR20" i="72"/>
  <c r="DP20" i="72"/>
  <c r="DO20" i="72"/>
  <c r="DN20" i="72"/>
  <c r="DM20" i="72"/>
  <c r="DK20" i="72"/>
  <c r="DJ20" i="72"/>
  <c r="DI20" i="72"/>
  <c r="DH20" i="72"/>
  <c r="DF20" i="72"/>
  <c r="DE20" i="72"/>
  <c r="DD20" i="72"/>
  <c r="DC20" i="72"/>
  <c r="CQ20" i="72"/>
  <c r="CP20" i="72"/>
  <c r="CO20" i="72"/>
  <c r="CN20" i="72"/>
  <c r="CL20" i="72"/>
  <c r="CK20" i="72"/>
  <c r="CJ20" i="72"/>
  <c r="CI20" i="72"/>
  <c r="CG20" i="72"/>
  <c r="CF20" i="72"/>
  <c r="CE20" i="72"/>
  <c r="CD20" i="72"/>
  <c r="CB20" i="72"/>
  <c r="CA20" i="72"/>
  <c r="BZ20" i="72"/>
  <c r="BY20" i="72"/>
  <c r="BW20" i="72"/>
  <c r="BV20" i="72"/>
  <c r="BU20" i="72"/>
  <c r="BT20" i="72"/>
  <c r="BR20" i="72"/>
  <c r="BS20" i="72" s="1"/>
  <c r="BX20" i="72" s="1"/>
  <c r="CC20" i="72" s="1"/>
  <c r="CH20" i="72" s="1"/>
  <c r="CM20" i="72" s="1"/>
  <c r="CR20" i="72" s="1"/>
  <c r="CW20" i="72" s="1"/>
  <c r="DB20" i="72" s="1"/>
  <c r="DG20" i="72" s="1"/>
  <c r="DL20" i="72" s="1"/>
  <c r="DQ20" i="72" s="1"/>
  <c r="DV20" i="72" s="1"/>
  <c r="BP20" i="72"/>
  <c r="BO20" i="72" s="1"/>
  <c r="BK20" i="72"/>
  <c r="BJ20" i="72" s="1"/>
  <c r="BF20" i="72"/>
  <c r="BE20" i="72" s="1"/>
  <c r="BA20" i="72"/>
  <c r="AZ20" i="72" s="1"/>
  <c r="AV20" i="72"/>
  <c r="AQ20" i="72"/>
  <c r="AP20" i="72" s="1"/>
  <c r="AL20" i="72"/>
  <c r="AK20" i="72" s="1"/>
  <c r="AG20" i="72"/>
  <c r="AF20" i="72" s="1"/>
  <c r="AB20" i="72"/>
  <c r="AA20" i="72" s="1"/>
  <c r="W20" i="72"/>
  <c r="V20" i="72" s="1"/>
  <c r="R20" i="72"/>
  <c r="Q20" i="72" s="1"/>
  <c r="M20" i="72"/>
  <c r="DU45" i="72"/>
  <c r="DT45" i="72"/>
  <c r="DS45" i="72"/>
  <c r="DR45" i="72"/>
  <c r="DP45" i="72"/>
  <c r="DO45" i="72"/>
  <c r="DN45" i="72"/>
  <c r="DM45" i="72"/>
  <c r="DK45" i="72"/>
  <c r="DJ45" i="72"/>
  <c r="DI45" i="72"/>
  <c r="DH45" i="72"/>
  <c r="DF45" i="72"/>
  <c r="DE45" i="72"/>
  <c r="DD45" i="72"/>
  <c r="DC45" i="72"/>
  <c r="CQ45" i="72"/>
  <c r="CP45" i="72"/>
  <c r="CO45" i="72"/>
  <c r="CN45" i="72"/>
  <c r="CL45" i="72"/>
  <c r="CK45" i="72"/>
  <c r="CJ45" i="72"/>
  <c r="CI45" i="72"/>
  <c r="CG45" i="72"/>
  <c r="CF45" i="72"/>
  <c r="CE45" i="72"/>
  <c r="CD45" i="72"/>
  <c r="CB45" i="72"/>
  <c r="CA45" i="72"/>
  <c r="BZ45" i="72"/>
  <c r="BY45" i="72"/>
  <c r="BW45" i="72"/>
  <c r="BV45" i="72"/>
  <c r="BU45" i="72"/>
  <c r="BT45" i="72"/>
  <c r="BR45" i="72"/>
  <c r="BS45" i="72" s="1"/>
  <c r="BX45" i="72" s="1"/>
  <c r="CC45" i="72" s="1"/>
  <c r="CH45" i="72" s="1"/>
  <c r="CM45" i="72" s="1"/>
  <c r="CR45" i="72" s="1"/>
  <c r="CW45" i="72" s="1"/>
  <c r="BP45" i="72"/>
  <c r="BO45" i="72" s="1"/>
  <c r="BK45" i="72"/>
  <c r="BJ45" i="72" s="1"/>
  <c r="BF45" i="72"/>
  <c r="BE45" i="72" s="1"/>
  <c r="BA45" i="72"/>
  <c r="AZ45" i="72" s="1"/>
  <c r="AV45" i="72"/>
  <c r="AQ45" i="72"/>
  <c r="AP45" i="72" s="1"/>
  <c r="AL45" i="72"/>
  <c r="AK45" i="72" s="1"/>
  <c r="AG45" i="72"/>
  <c r="AF45" i="72" s="1"/>
  <c r="AB45" i="72"/>
  <c r="AA45" i="72" s="1"/>
  <c r="W45" i="72"/>
  <c r="V45" i="72" s="1"/>
  <c r="R45" i="72"/>
  <c r="Q45" i="72" s="1"/>
  <c r="M45" i="72"/>
  <c r="L45" i="72"/>
  <c r="E197" i="72"/>
  <c r="BP197" i="72" s="1"/>
  <c r="E179" i="72"/>
  <c r="E28" i="72"/>
  <c r="DP197" i="72"/>
  <c r="DO197" i="72"/>
  <c r="DN197" i="72"/>
  <c r="DM197" i="72"/>
  <c r="DA197" i="72"/>
  <c r="CZ197" i="72"/>
  <c r="CY197" i="72"/>
  <c r="CX197" i="72"/>
  <c r="CV197" i="72"/>
  <c r="CU197" i="72"/>
  <c r="CT197" i="72"/>
  <c r="CS197" i="72"/>
  <c r="CQ197" i="72"/>
  <c r="CP197" i="72"/>
  <c r="CO197" i="72"/>
  <c r="CN197" i="72"/>
  <c r="CL197" i="72"/>
  <c r="CK197" i="72"/>
  <c r="CJ197" i="72"/>
  <c r="CI197" i="72"/>
  <c r="CG197" i="72"/>
  <c r="CF197" i="72"/>
  <c r="CE197" i="72"/>
  <c r="CD197" i="72"/>
  <c r="CB197" i="72"/>
  <c r="CA197" i="72"/>
  <c r="BZ197" i="72"/>
  <c r="BY197" i="72"/>
  <c r="BW197" i="72"/>
  <c r="BV197" i="72"/>
  <c r="BU197" i="72"/>
  <c r="BT197" i="72"/>
  <c r="BR197" i="72"/>
  <c r="BS197" i="72" s="1"/>
  <c r="BX197" i="72" s="1"/>
  <c r="CC197" i="72" s="1"/>
  <c r="CH197" i="72" s="1"/>
  <c r="CM197" i="72" s="1"/>
  <c r="CR197" i="72" s="1"/>
  <c r="CW197" i="72" s="1"/>
  <c r="DB197" i="72" s="1"/>
  <c r="BK197" i="72"/>
  <c r="BJ197" i="72" s="1"/>
  <c r="BF197" i="72"/>
  <c r="BE197" i="72" s="1"/>
  <c r="AV197" i="72"/>
  <c r="AQ197" i="72"/>
  <c r="AP197" i="72" s="1"/>
  <c r="AL197" i="72"/>
  <c r="AK197" i="72" s="1"/>
  <c r="AG197" i="72"/>
  <c r="AF197" i="72" s="1"/>
  <c r="AB197" i="72"/>
  <c r="AA197" i="72" s="1"/>
  <c r="W197" i="72"/>
  <c r="V197" i="72" s="1"/>
  <c r="R197" i="72"/>
  <c r="Q197" i="72" s="1"/>
  <c r="M197" i="72"/>
  <c r="L197" i="72"/>
  <c r="BQ457" i="15"/>
  <c r="DK66" i="64" l="1"/>
  <c r="CQ66" i="64"/>
  <c r="BW66" i="64"/>
  <c r="DV21" i="64"/>
  <c r="DV23" i="64" s="1"/>
  <c r="DF66" i="64"/>
  <c r="CL66" i="64"/>
  <c r="EA38" i="64"/>
  <c r="DW21" i="64"/>
  <c r="CV116" i="64"/>
  <c r="CL116" i="64"/>
  <c r="DT21" i="64"/>
  <c r="DF116" i="64"/>
  <c r="DA116" i="64"/>
  <c r="CQ116" i="64"/>
  <c r="BW116" i="64"/>
  <c r="CB116" i="64"/>
  <c r="CG116" i="64"/>
  <c r="DT86" i="64"/>
  <c r="DT88" i="64"/>
  <c r="DT89" i="64"/>
  <c r="DT85" i="64"/>
  <c r="DT92" i="64"/>
  <c r="DT87" i="64"/>
  <c r="DT93" i="64"/>
  <c r="DT90" i="64"/>
  <c r="DT91" i="64"/>
  <c r="AU20" i="72"/>
  <c r="AS20" i="72"/>
  <c r="AU45" i="72"/>
  <c r="AS45" i="72"/>
  <c r="AU94" i="72"/>
  <c r="AS94" i="72"/>
  <c r="AU197" i="72"/>
  <c r="AS197" i="72"/>
  <c r="BG20" i="72"/>
  <c r="AW20" i="72"/>
  <c r="BI20" i="72"/>
  <c r="AN20" i="72"/>
  <c r="AY20" i="72"/>
  <c r="BH20" i="72"/>
  <c r="BL20" i="72"/>
  <c r="S20" i="72"/>
  <c r="AC20" i="72"/>
  <c r="BB94" i="72"/>
  <c r="BG197" i="72"/>
  <c r="BI197" i="72"/>
  <c r="U20" i="72"/>
  <c r="AE20" i="72"/>
  <c r="N94" i="72"/>
  <c r="AC94" i="72"/>
  <c r="AR94" i="72"/>
  <c r="S45" i="72"/>
  <c r="T20" i="72"/>
  <c r="X20" i="72"/>
  <c r="AM20" i="72"/>
  <c r="AO20" i="72"/>
  <c r="AR20" i="72"/>
  <c r="AT94" i="72"/>
  <c r="P94" i="72"/>
  <c r="X94" i="72"/>
  <c r="AM94" i="72"/>
  <c r="BD94" i="72"/>
  <c r="BL94" i="72"/>
  <c r="Z94" i="72"/>
  <c r="AH94" i="72"/>
  <c r="AW94" i="72"/>
  <c r="BN94" i="72"/>
  <c r="S94" i="72"/>
  <c r="AJ94" i="72"/>
  <c r="BG94" i="72"/>
  <c r="BB18" i="64"/>
  <c r="EE8" i="64"/>
  <c r="ED10" i="64"/>
  <c r="U94" i="72"/>
  <c r="AE94" i="72"/>
  <c r="AO94" i="72"/>
  <c r="AY94" i="72"/>
  <c r="BI94" i="72"/>
  <c r="DB94" i="72"/>
  <c r="DG94" i="72" s="1"/>
  <c r="DL94" i="72" s="1"/>
  <c r="DQ94" i="72" s="1"/>
  <c r="DV94" i="72" s="1"/>
  <c r="DA94" i="72"/>
  <c r="CY94" i="72"/>
  <c r="CV94" i="72"/>
  <c r="CT94" i="72"/>
  <c r="CZ94" i="72"/>
  <c r="CX94" i="72"/>
  <c r="CU94" i="72"/>
  <c r="CS94" i="72"/>
  <c r="T94" i="72"/>
  <c r="AD94" i="72"/>
  <c r="AN94" i="72"/>
  <c r="AX94" i="72"/>
  <c r="BH94" i="72"/>
  <c r="BG45" i="72"/>
  <c r="O94" i="72"/>
  <c r="Y94" i="72"/>
  <c r="AI94" i="72"/>
  <c r="BC94" i="72"/>
  <c r="BM94" i="72"/>
  <c r="AM45" i="72"/>
  <c r="N20" i="72"/>
  <c r="AD20" i="72"/>
  <c r="AH20" i="72"/>
  <c r="AX20" i="72"/>
  <c r="BB20" i="72"/>
  <c r="P20" i="72"/>
  <c r="Z20" i="72"/>
  <c r="AJ20" i="72"/>
  <c r="AT20" i="72"/>
  <c r="BD20" i="72"/>
  <c r="BN20" i="72"/>
  <c r="CS20" i="72"/>
  <c r="CU20" i="72"/>
  <c r="CX20" i="72"/>
  <c r="CZ20" i="72"/>
  <c r="CT20" i="72"/>
  <c r="CV20" i="72"/>
  <c r="CY20" i="72"/>
  <c r="DA20" i="72"/>
  <c r="U45" i="72"/>
  <c r="X45" i="72"/>
  <c r="AC45" i="72"/>
  <c r="AO45" i="72"/>
  <c r="AR45" i="72"/>
  <c r="AW45" i="72"/>
  <c r="BI45" i="72"/>
  <c r="BL45" i="72"/>
  <c r="O20" i="72"/>
  <c r="Y20" i="72"/>
  <c r="AI20" i="72"/>
  <c r="BC20" i="72"/>
  <c r="BM20" i="72"/>
  <c r="AC197" i="72"/>
  <c r="N45" i="72"/>
  <c r="AE45" i="72"/>
  <c r="AH45" i="72"/>
  <c r="AY45" i="72"/>
  <c r="BB45" i="72"/>
  <c r="P45" i="72"/>
  <c r="Z45" i="72"/>
  <c r="AJ45" i="72"/>
  <c r="AT45" i="72"/>
  <c r="BD45" i="72"/>
  <c r="BN45" i="72"/>
  <c r="DB45" i="72"/>
  <c r="DG45" i="72" s="1"/>
  <c r="DL45" i="72" s="1"/>
  <c r="DQ45" i="72" s="1"/>
  <c r="DV45" i="72" s="1"/>
  <c r="DA45" i="72"/>
  <c r="CY45" i="72"/>
  <c r="CV45" i="72"/>
  <c r="CT45" i="72"/>
  <c r="CZ45" i="72"/>
  <c r="CX45" i="72"/>
  <c r="CU45" i="72"/>
  <c r="CS45" i="72"/>
  <c r="T45" i="72"/>
  <c r="AD45" i="72"/>
  <c r="AN45" i="72"/>
  <c r="AX45" i="72"/>
  <c r="BH45" i="72"/>
  <c r="S197" i="72"/>
  <c r="BH197" i="72"/>
  <c r="O45" i="72"/>
  <c r="Y45" i="72"/>
  <c r="AI45" i="72"/>
  <c r="BC45" i="72"/>
  <c r="BM45" i="72"/>
  <c r="U197" i="72"/>
  <c r="AE197" i="72"/>
  <c r="AH197" i="72"/>
  <c r="AM197" i="72"/>
  <c r="AO197" i="72"/>
  <c r="BO197" i="72"/>
  <c r="BL197" i="72"/>
  <c r="N197" i="72"/>
  <c r="X197" i="72"/>
  <c r="AR197" i="72"/>
  <c r="P197" i="72"/>
  <c r="Z197" i="72"/>
  <c r="AJ197" i="72"/>
  <c r="AT197" i="72"/>
  <c r="BB197" i="72"/>
  <c r="T197" i="72"/>
  <c r="AD197" i="72"/>
  <c r="AN197" i="72"/>
  <c r="BD197" i="72"/>
  <c r="BN197" i="72"/>
  <c r="O197" i="72"/>
  <c r="Y197" i="72"/>
  <c r="AI197" i="72"/>
  <c r="BC197" i="72"/>
  <c r="BM197" i="72"/>
  <c r="AW18" i="64" l="1"/>
  <c r="EF8" i="64"/>
  <c r="EE10" i="64"/>
  <c r="AR18" i="64" l="1"/>
  <c r="EG8" i="64"/>
  <c r="EF10" i="64"/>
  <c r="EH8" i="64" l="1"/>
  <c r="EG10" i="64"/>
  <c r="AM18" i="64"/>
  <c r="CB26" i="64"/>
  <c r="CG26" i="64"/>
  <c r="CL26" i="64"/>
  <c r="AM66" i="64"/>
  <c r="AR66" i="64"/>
  <c r="AW66" i="64"/>
  <c r="BB66" i="64"/>
  <c r="BG66" i="64"/>
  <c r="BL66" i="64"/>
  <c r="BQ66" i="64"/>
  <c r="EI8" i="64" l="1"/>
  <c r="EH10" i="64"/>
  <c r="EJ8" i="64" l="1"/>
  <c r="EI10" i="64"/>
  <c r="BB49" i="67"/>
  <c r="BA49" i="67"/>
  <c r="AZ49" i="67"/>
  <c r="BB48" i="67"/>
  <c r="BA48" i="67"/>
  <c r="AZ48" i="67"/>
  <c r="BB47" i="67"/>
  <c r="BA47" i="67"/>
  <c r="AZ47" i="67"/>
  <c r="BB46" i="67"/>
  <c r="BA46" i="67"/>
  <c r="BB45" i="67"/>
  <c r="BA45" i="67"/>
  <c r="AZ45" i="67"/>
  <c r="BB44" i="67"/>
  <c r="BA44" i="67"/>
  <c r="AZ44" i="67"/>
  <c r="BB43" i="67"/>
  <c r="BA43" i="67"/>
  <c r="AZ43" i="67"/>
  <c r="BB42" i="67"/>
  <c r="BA42" i="67"/>
  <c r="BB41" i="67"/>
  <c r="BA41" i="67"/>
  <c r="AZ41" i="67"/>
  <c r="BB40" i="67"/>
  <c r="BA40" i="67"/>
  <c r="BB39" i="67"/>
  <c r="BA39" i="67"/>
  <c r="AZ39" i="67"/>
  <c r="BB38" i="67"/>
  <c r="BA38" i="67"/>
  <c r="BB37" i="67"/>
  <c r="BA37" i="67"/>
  <c r="AZ37" i="67"/>
  <c r="BB36" i="67"/>
  <c r="BA36" i="67"/>
  <c r="BB35" i="67"/>
  <c r="BA35" i="67"/>
  <c r="AZ35" i="67"/>
  <c r="BB34" i="67"/>
  <c r="BA34" i="67"/>
  <c r="BB31" i="67"/>
  <c r="BA31" i="67"/>
  <c r="AZ31" i="67"/>
  <c r="BB30" i="67"/>
  <c r="BA30" i="67"/>
  <c r="BB29" i="67"/>
  <c r="BA29" i="67"/>
  <c r="AZ29" i="67"/>
  <c r="BB28" i="67"/>
  <c r="BA28" i="67"/>
  <c r="BB27" i="67"/>
  <c r="BA27" i="67"/>
  <c r="AZ27" i="67"/>
  <c r="BB26" i="67"/>
  <c r="BA26" i="67"/>
  <c r="BB25" i="67"/>
  <c r="BA25" i="67"/>
  <c r="AZ25" i="67"/>
  <c r="BB19" i="67"/>
  <c r="BA19" i="67"/>
  <c r="BB18" i="67"/>
  <c r="BA18" i="67"/>
  <c r="AZ18" i="67"/>
  <c r="BB17" i="67"/>
  <c r="BA17" i="67"/>
  <c r="BB16" i="67"/>
  <c r="BA16" i="67"/>
  <c r="AZ16" i="67"/>
  <c r="BB12" i="67"/>
  <c r="BA12" i="67"/>
  <c r="BB11" i="67"/>
  <c r="BA11" i="67"/>
  <c r="AZ11" i="67"/>
  <c r="BB10" i="67"/>
  <c r="BP106" i="15" s="1"/>
  <c r="BA10" i="67"/>
  <c r="BO106" i="15" s="1"/>
  <c r="BB9" i="67"/>
  <c r="BA9" i="67"/>
  <c r="AZ9" i="67"/>
  <c r="BB8" i="67"/>
  <c r="BA8" i="67"/>
  <c r="BB138" i="67"/>
  <c r="BA138" i="67"/>
  <c r="AZ138" i="67"/>
  <c r="AY138" i="67"/>
  <c r="BB137" i="67"/>
  <c r="BA137" i="67"/>
  <c r="AZ137" i="67"/>
  <c r="AY137" i="67"/>
  <c r="BB136" i="67"/>
  <c r="BA136" i="67"/>
  <c r="AZ136" i="67"/>
  <c r="AY136" i="67"/>
  <c r="BB135" i="67"/>
  <c r="BA135" i="67"/>
  <c r="AZ135" i="67"/>
  <c r="AY135" i="67"/>
  <c r="BB134" i="67"/>
  <c r="BA134" i="67"/>
  <c r="AZ134" i="67"/>
  <c r="AY134" i="67"/>
  <c r="BB133" i="67"/>
  <c r="BA133" i="67"/>
  <c r="AZ133" i="67"/>
  <c r="AY133" i="67"/>
  <c r="BB132" i="67"/>
  <c r="BA132" i="67"/>
  <c r="AZ132" i="67"/>
  <c r="AY132" i="67"/>
  <c r="BB131" i="67"/>
  <c r="BA131" i="67"/>
  <c r="AZ131" i="67"/>
  <c r="AY131" i="67"/>
  <c r="BB129" i="67"/>
  <c r="BP101" i="15" s="1"/>
  <c r="BA129" i="67"/>
  <c r="BO101" i="15" s="1"/>
  <c r="AZ129" i="67"/>
  <c r="BN101" i="15" s="1"/>
  <c r="AY129" i="67"/>
  <c r="BB128" i="67"/>
  <c r="BA128" i="67"/>
  <c r="AZ128" i="67"/>
  <c r="AY128" i="67"/>
  <c r="BB127" i="67"/>
  <c r="BA127" i="67"/>
  <c r="AZ127" i="67"/>
  <c r="AY127" i="67"/>
  <c r="BB126" i="67"/>
  <c r="BA126" i="67"/>
  <c r="AZ126" i="67"/>
  <c r="AY126" i="67"/>
  <c r="BB125" i="67"/>
  <c r="BA125" i="67"/>
  <c r="AZ125" i="67"/>
  <c r="AY125" i="67"/>
  <c r="BB124" i="67"/>
  <c r="BP100" i="15" s="1"/>
  <c r="BA124" i="67"/>
  <c r="BO100" i="15" s="1"/>
  <c r="AZ124" i="67"/>
  <c r="BN100" i="15" s="1"/>
  <c r="AY124" i="67"/>
  <c r="BB123" i="67"/>
  <c r="BP99" i="15" s="1"/>
  <c r="BA123" i="67"/>
  <c r="BO99" i="15" s="1"/>
  <c r="AZ123" i="67"/>
  <c r="BN99" i="15" s="1"/>
  <c r="AY123" i="67"/>
  <c r="BB122" i="67"/>
  <c r="BA122" i="67"/>
  <c r="AZ122" i="67"/>
  <c r="AY122" i="67"/>
  <c r="BB121" i="67"/>
  <c r="BA121" i="67"/>
  <c r="AZ121" i="67"/>
  <c r="AY121" i="67"/>
  <c r="BB120" i="67"/>
  <c r="BA120" i="67"/>
  <c r="AZ120" i="67"/>
  <c r="AY120" i="67"/>
  <c r="BB119" i="67"/>
  <c r="BA119" i="67"/>
  <c r="AZ119" i="67"/>
  <c r="AY119" i="67"/>
  <c r="BB118" i="67"/>
  <c r="BA118" i="67"/>
  <c r="AZ118" i="67"/>
  <c r="AY118" i="67"/>
  <c r="BB117" i="67"/>
  <c r="BA117" i="67"/>
  <c r="AZ117" i="67"/>
  <c r="AY117" i="67"/>
  <c r="BB116" i="67"/>
  <c r="BA116" i="67"/>
  <c r="AZ116" i="67"/>
  <c r="AY116" i="67"/>
  <c r="BB115" i="67"/>
  <c r="BA115" i="67"/>
  <c r="AZ115" i="67"/>
  <c r="AY115" i="67"/>
  <c r="BB114" i="67"/>
  <c r="BA114" i="67"/>
  <c r="AZ114" i="67"/>
  <c r="AY114" i="67"/>
  <c r="BB113" i="67"/>
  <c r="BA113" i="67"/>
  <c r="AZ113" i="67"/>
  <c r="AY113" i="67"/>
  <c r="BB112" i="67"/>
  <c r="BA112" i="67"/>
  <c r="AZ112" i="67"/>
  <c r="AY112" i="67"/>
  <c r="BB111" i="67"/>
  <c r="BA111" i="67"/>
  <c r="AZ111" i="67"/>
  <c r="AY111" i="67"/>
  <c r="BB110" i="67"/>
  <c r="BA110" i="67"/>
  <c r="AZ110" i="67"/>
  <c r="AY110" i="67"/>
  <c r="BB109" i="67"/>
  <c r="BA109" i="67"/>
  <c r="AZ109" i="67"/>
  <c r="AY109" i="67"/>
  <c r="BB108" i="67"/>
  <c r="BA108" i="67"/>
  <c r="AZ108" i="67"/>
  <c r="AY108" i="67"/>
  <c r="BB107" i="67"/>
  <c r="BA107" i="67"/>
  <c r="AZ107" i="67"/>
  <c r="AY107" i="67"/>
  <c r="BB106" i="67"/>
  <c r="BA106" i="67"/>
  <c r="AZ106" i="67"/>
  <c r="AY106" i="67"/>
  <c r="BB105" i="67"/>
  <c r="BA105" i="67"/>
  <c r="AZ105" i="67"/>
  <c r="AY105" i="67"/>
  <c r="BB99" i="67"/>
  <c r="BA99" i="67"/>
  <c r="AZ99" i="67"/>
  <c r="AY99" i="67"/>
  <c r="BB98" i="67"/>
  <c r="BA98" i="67"/>
  <c r="AZ98" i="67"/>
  <c r="AY98" i="67"/>
  <c r="BB97" i="67"/>
  <c r="BA97" i="67"/>
  <c r="AZ97" i="67"/>
  <c r="AY97" i="67"/>
  <c r="BB96" i="67"/>
  <c r="BA96" i="67"/>
  <c r="AZ96" i="67"/>
  <c r="AY96" i="67"/>
  <c r="BB95" i="67"/>
  <c r="BA95" i="67"/>
  <c r="AZ95" i="67"/>
  <c r="AY95" i="67"/>
  <c r="BB94" i="67"/>
  <c r="BA94" i="67"/>
  <c r="AZ94" i="67"/>
  <c r="AY94" i="67"/>
  <c r="BB93" i="67"/>
  <c r="BA93" i="67"/>
  <c r="AZ93" i="67"/>
  <c r="AY93" i="67"/>
  <c r="BB92" i="67"/>
  <c r="BA92" i="67"/>
  <c r="AZ92" i="67"/>
  <c r="AY92" i="67"/>
  <c r="BB91" i="67"/>
  <c r="BA91" i="67"/>
  <c r="AZ91" i="67"/>
  <c r="AY91" i="67"/>
  <c r="BB90" i="67"/>
  <c r="BA90" i="67"/>
  <c r="AZ90" i="67"/>
  <c r="AY90" i="67"/>
  <c r="BB89" i="67"/>
  <c r="BA89" i="67"/>
  <c r="AZ89" i="67"/>
  <c r="AY89" i="67"/>
  <c r="BB88" i="67"/>
  <c r="BA88" i="67"/>
  <c r="AZ88" i="67"/>
  <c r="AY88" i="67"/>
  <c r="BB87" i="67"/>
  <c r="BA87" i="67"/>
  <c r="AZ87" i="67"/>
  <c r="AY87" i="67"/>
  <c r="BB81" i="67"/>
  <c r="BA81" i="67"/>
  <c r="AZ81" i="67"/>
  <c r="AY81" i="67"/>
  <c r="BB80" i="67"/>
  <c r="BA80" i="67"/>
  <c r="AZ80" i="67"/>
  <c r="AY80" i="67"/>
  <c r="BB79" i="67"/>
  <c r="BA79" i="67"/>
  <c r="AZ79" i="67"/>
  <c r="AY79" i="67"/>
  <c r="BB78" i="67"/>
  <c r="BA78" i="67"/>
  <c r="AZ78" i="67"/>
  <c r="AY78" i="67"/>
  <c r="BB77" i="67"/>
  <c r="BA77" i="67"/>
  <c r="AZ77" i="67"/>
  <c r="AY77" i="67"/>
  <c r="BB76" i="67"/>
  <c r="BA76" i="67"/>
  <c r="AZ76" i="67"/>
  <c r="AY76" i="67"/>
  <c r="BB75" i="67"/>
  <c r="BA75" i="67"/>
  <c r="AZ75" i="67"/>
  <c r="AY75" i="67"/>
  <c r="BB74" i="67"/>
  <c r="BP107" i="15" s="1"/>
  <c r="BA74" i="67"/>
  <c r="BO107" i="15" s="1"/>
  <c r="AZ74" i="67"/>
  <c r="BN107" i="15" s="1"/>
  <c r="AY74" i="67"/>
  <c r="BB73" i="67"/>
  <c r="BA73" i="67"/>
  <c r="AZ73" i="67"/>
  <c r="AY73" i="67"/>
  <c r="BB72" i="67"/>
  <c r="BA72" i="67"/>
  <c r="AZ72" i="67"/>
  <c r="AY72" i="67"/>
  <c r="BB71" i="67"/>
  <c r="BA71" i="67"/>
  <c r="AZ71" i="67"/>
  <c r="AY71" i="67"/>
  <c r="BB70" i="67"/>
  <c r="BA70" i="67"/>
  <c r="AZ70" i="67"/>
  <c r="AY70" i="67"/>
  <c r="BB69" i="67"/>
  <c r="BA69" i="67"/>
  <c r="AZ69" i="67"/>
  <c r="AY69" i="67"/>
  <c r="BB68" i="67"/>
  <c r="BA68" i="67"/>
  <c r="AZ68" i="67"/>
  <c r="AY68" i="67"/>
  <c r="BB67" i="67"/>
  <c r="BA67" i="67"/>
  <c r="AZ67" i="67"/>
  <c r="AY67" i="67"/>
  <c r="BB66" i="67"/>
  <c r="BA66" i="67"/>
  <c r="AZ66" i="67"/>
  <c r="AY66" i="67"/>
  <c r="BB65" i="67"/>
  <c r="BA65" i="67"/>
  <c r="AZ65" i="67"/>
  <c r="AY65" i="67"/>
  <c r="BB64" i="67"/>
  <c r="BA64" i="67"/>
  <c r="AZ64" i="67"/>
  <c r="AY64" i="67"/>
  <c r="BB63" i="67"/>
  <c r="BA63" i="67"/>
  <c r="AZ63" i="67"/>
  <c r="AY63" i="67"/>
  <c r="BB62" i="67"/>
  <c r="BA62" i="67"/>
  <c r="AZ62" i="67"/>
  <c r="AY62" i="67"/>
  <c r="BB61" i="67"/>
  <c r="BA61" i="67"/>
  <c r="AZ61" i="67"/>
  <c r="AY61" i="67"/>
  <c r="BB60" i="67"/>
  <c r="BA60" i="67"/>
  <c r="AZ60" i="67"/>
  <c r="AY60" i="67"/>
  <c r="BB56" i="67"/>
  <c r="BA56" i="67"/>
  <c r="AZ56" i="67"/>
  <c r="AY56" i="67"/>
  <c r="BB53" i="67"/>
  <c r="BP73" i="15" s="1"/>
  <c r="BA53" i="67"/>
  <c r="BO73" i="15" s="1"/>
  <c r="AZ53" i="67"/>
  <c r="BN73" i="15" s="1"/>
  <c r="AY53" i="67"/>
  <c r="BB52" i="67"/>
  <c r="BA52" i="67"/>
  <c r="AZ52" i="67"/>
  <c r="AY52" i="67"/>
  <c r="BB51" i="67"/>
  <c r="BB50" i="67"/>
  <c r="BA50" i="67"/>
  <c r="AZ50" i="67"/>
  <c r="AY50" i="67"/>
  <c r="AZ46" i="67"/>
  <c r="AZ42" i="67"/>
  <c r="AZ40" i="67"/>
  <c r="AZ38" i="67"/>
  <c r="AZ36" i="67"/>
  <c r="AZ34" i="67"/>
  <c r="BB33" i="67"/>
  <c r="BA33" i="67"/>
  <c r="AZ33" i="67"/>
  <c r="AY33" i="67"/>
  <c r="BB32" i="67"/>
  <c r="BA32" i="67"/>
  <c r="AZ32" i="67"/>
  <c r="AY32" i="67"/>
  <c r="AZ30" i="67"/>
  <c r="AZ28" i="67"/>
  <c r="AZ26" i="67"/>
  <c r="AZ19" i="67"/>
  <c r="AZ17" i="67"/>
  <c r="BB15" i="67"/>
  <c r="BA15" i="67"/>
  <c r="AZ15" i="67"/>
  <c r="AY15" i="67"/>
  <c r="BB14" i="67"/>
  <c r="BA14" i="67"/>
  <c r="AZ14" i="67"/>
  <c r="AY14" i="67"/>
  <c r="BB13" i="67"/>
  <c r="BA13" i="67"/>
  <c r="AZ13" i="67"/>
  <c r="AY13" i="67"/>
  <c r="AZ12" i="67"/>
  <c r="AZ10" i="67"/>
  <c r="BN106" i="15" s="1"/>
  <c r="AZ8" i="67"/>
  <c r="AY8" i="67"/>
  <c r="BP8" i="67" l="1"/>
  <c r="BW7" i="67" s="1"/>
  <c r="BP60" i="67"/>
  <c r="BP62" i="67"/>
  <c r="BP64" i="67"/>
  <c r="BP66" i="67"/>
  <c r="BP67" i="67"/>
  <c r="BP72" i="67"/>
  <c r="BP79" i="67"/>
  <c r="BP81" i="67"/>
  <c r="BP88" i="67"/>
  <c r="BP89" i="67"/>
  <c r="BP91" i="67"/>
  <c r="BP93" i="67"/>
  <c r="BP97" i="67"/>
  <c r="BP99" i="67"/>
  <c r="BP106" i="67"/>
  <c r="BP108" i="67"/>
  <c r="BP110" i="67"/>
  <c r="BP114" i="67"/>
  <c r="BP116" i="67"/>
  <c r="BP117" i="67"/>
  <c r="BP119" i="67"/>
  <c r="BP121" i="67"/>
  <c r="BP125" i="67"/>
  <c r="BP128" i="67"/>
  <c r="BP132" i="67"/>
  <c r="BP134" i="67"/>
  <c r="BP137" i="67"/>
  <c r="BP151" i="67"/>
  <c r="BP153" i="67"/>
  <c r="BP154" i="67"/>
  <c r="BP159" i="67"/>
  <c r="BP162" i="67"/>
  <c r="BP164" i="67"/>
  <c r="BP166" i="67"/>
  <c r="BP167" i="67"/>
  <c r="BP170" i="67"/>
  <c r="BP172" i="67"/>
  <c r="BP173" i="67"/>
  <c r="BP177" i="67"/>
  <c r="BP179" i="67"/>
  <c r="BP181" i="67"/>
  <c r="BP183" i="67"/>
  <c r="BP185" i="67"/>
  <c r="BP187" i="67"/>
  <c r="BP189" i="67"/>
  <c r="BP191" i="67"/>
  <c r="BP196" i="67"/>
  <c r="BP198" i="67"/>
  <c r="BP200" i="67"/>
  <c r="BX61" i="67" s="1"/>
  <c r="BP202" i="67"/>
  <c r="BX64" i="67" s="1"/>
  <c r="BP204" i="67"/>
  <c r="BP206" i="67"/>
  <c r="BP208" i="67"/>
  <c r="BP210" i="67"/>
  <c r="BP215" i="67"/>
  <c r="BP216" i="67"/>
  <c r="BP221" i="67"/>
  <c r="BP223" i="67"/>
  <c r="BP225" i="67"/>
  <c r="BX43" i="67" s="1"/>
  <c r="BP227" i="67"/>
  <c r="BX45" i="67" s="1"/>
  <c r="BP229" i="67"/>
  <c r="BX47" i="67" s="1"/>
  <c r="BP232" i="67"/>
  <c r="BP234" i="67"/>
  <c r="BP236" i="67"/>
  <c r="BP239" i="67"/>
  <c r="BP241" i="67"/>
  <c r="BP243" i="67"/>
  <c r="BZ87" i="67" s="1"/>
  <c r="BP246" i="67"/>
  <c r="BZ90" i="67" s="1"/>
  <c r="BP248" i="67"/>
  <c r="BP250" i="67"/>
  <c r="BP252" i="67"/>
  <c r="BP254" i="67"/>
  <c r="BP56" i="67"/>
  <c r="BP61" i="67"/>
  <c r="BP63" i="67"/>
  <c r="BP65" i="67"/>
  <c r="BP68" i="67"/>
  <c r="BP73" i="67"/>
  <c r="BP78" i="67"/>
  <c r="BP80" i="67"/>
  <c r="BP87" i="67"/>
  <c r="BP90" i="67"/>
  <c r="BP92" i="67"/>
  <c r="BP96" i="67"/>
  <c r="BP98" i="67"/>
  <c r="BP105" i="67"/>
  <c r="BP107" i="67"/>
  <c r="BP109" i="67"/>
  <c r="BP111" i="67"/>
  <c r="BP115" i="67"/>
  <c r="BP118" i="67"/>
  <c r="BP120" i="67"/>
  <c r="BP122" i="67"/>
  <c r="BP126" i="67"/>
  <c r="BP127" i="67"/>
  <c r="BP133" i="67"/>
  <c r="BP135" i="67"/>
  <c r="BP136" i="67"/>
  <c r="BP138" i="67"/>
  <c r="BP152" i="67"/>
  <c r="BP155" i="67"/>
  <c r="BP160" i="67"/>
  <c r="BP161" i="67"/>
  <c r="BP163" i="67"/>
  <c r="BP165" i="67"/>
  <c r="BP168" i="67"/>
  <c r="BP169" i="67"/>
  <c r="BP171" i="67"/>
  <c r="BP174" i="67"/>
  <c r="BP178" i="67"/>
  <c r="BP180" i="67"/>
  <c r="BP182" i="67"/>
  <c r="BP184" i="67"/>
  <c r="BP186" i="67"/>
  <c r="BP188" i="67"/>
  <c r="BP190" i="67"/>
  <c r="BP192" i="67"/>
  <c r="BP197" i="67"/>
  <c r="BP199" i="67"/>
  <c r="BP201" i="67"/>
  <c r="BP203" i="67"/>
  <c r="BP205" i="67"/>
  <c r="BP207" i="67"/>
  <c r="BP209" i="67"/>
  <c r="BP211" i="67"/>
  <c r="BP217" i="67"/>
  <c r="BP222" i="67"/>
  <c r="BP224" i="67"/>
  <c r="BP226" i="67"/>
  <c r="BX44" i="67" s="1"/>
  <c r="BP228" i="67"/>
  <c r="BX46" i="67" s="1"/>
  <c r="BP230" i="67"/>
  <c r="BP231" i="67"/>
  <c r="BP233" i="67"/>
  <c r="BP235" i="67"/>
  <c r="BP240" i="67"/>
  <c r="BP242" i="67"/>
  <c r="BP244" i="67"/>
  <c r="BZ88" i="67" s="1"/>
  <c r="BP245" i="67"/>
  <c r="BZ89" i="67" s="1"/>
  <c r="BP247" i="67"/>
  <c r="BZ91" i="67" s="1"/>
  <c r="BP249" i="67"/>
  <c r="BP251" i="67"/>
  <c r="BP253" i="67"/>
  <c r="BM73" i="15"/>
  <c r="BP53" i="67"/>
  <c r="BM99" i="15"/>
  <c r="BP123" i="67"/>
  <c r="BM101" i="15"/>
  <c r="BP129" i="67"/>
  <c r="BP257" i="67"/>
  <c r="BP258" i="67"/>
  <c r="BP259" i="67"/>
  <c r="BP260" i="67"/>
  <c r="BP261" i="67"/>
  <c r="BP262" i="67"/>
  <c r="BP263" i="67"/>
  <c r="BP264" i="67"/>
  <c r="BP265" i="67"/>
  <c r="BP266" i="67"/>
  <c r="BP267" i="67"/>
  <c r="BP268" i="67"/>
  <c r="BP269" i="67"/>
  <c r="BP270" i="67"/>
  <c r="BP271" i="67"/>
  <c r="BP272" i="67"/>
  <c r="BP273" i="67"/>
  <c r="BP275" i="67"/>
  <c r="BP276" i="67"/>
  <c r="BP277" i="67"/>
  <c r="BP278" i="67"/>
  <c r="BP279" i="67"/>
  <c r="BP280" i="67"/>
  <c r="BP281" i="67"/>
  <c r="BP74" i="67"/>
  <c r="BM107" i="15"/>
  <c r="BM100" i="15"/>
  <c r="BP124" i="67"/>
  <c r="EK8" i="64"/>
  <c r="EK10" i="64" s="1"/>
  <c r="EJ10" i="64"/>
  <c r="AY9" i="67"/>
  <c r="BP9" i="67" s="1"/>
  <c r="AY10" i="67"/>
  <c r="AY11" i="67"/>
  <c r="BP11" i="67" s="1"/>
  <c r="AY12" i="67"/>
  <c r="BP12" i="67" s="1"/>
  <c r="AY16" i="67"/>
  <c r="BP16" i="67" s="1"/>
  <c r="AY17" i="67"/>
  <c r="BP17" i="67" s="1"/>
  <c r="AY18" i="67"/>
  <c r="BP18" i="67" s="1"/>
  <c r="AY19" i="67"/>
  <c r="BP19" i="67" s="1"/>
  <c r="AY25" i="67"/>
  <c r="BP25" i="67" s="1"/>
  <c r="AY26" i="67"/>
  <c r="BP26" i="67" s="1"/>
  <c r="AY27" i="67"/>
  <c r="BP27" i="67" s="1"/>
  <c r="AY28" i="67"/>
  <c r="BP28" i="67" s="1"/>
  <c r="AY29" i="67"/>
  <c r="BP29" i="67" s="1"/>
  <c r="AY30" i="67"/>
  <c r="BP30" i="67" s="1"/>
  <c r="AY31" i="67"/>
  <c r="BP31" i="67" s="1"/>
  <c r="AY34" i="67"/>
  <c r="BP34" i="67" s="1"/>
  <c r="AY35" i="67"/>
  <c r="BP35" i="67" s="1"/>
  <c r="AY36" i="67"/>
  <c r="BP36" i="67" s="1"/>
  <c r="AY37" i="67"/>
  <c r="BP37" i="67" s="1"/>
  <c r="AY38" i="67"/>
  <c r="BP38" i="67" s="1"/>
  <c r="AY39" i="67"/>
  <c r="BP39" i="67" s="1"/>
  <c r="AY40" i="67"/>
  <c r="BP40" i="67" s="1"/>
  <c r="AY41" i="67"/>
  <c r="BP41" i="67" s="1"/>
  <c r="AY42" i="67"/>
  <c r="BP42" i="67" s="1"/>
  <c r="AY43" i="67"/>
  <c r="BP43" i="67" s="1"/>
  <c r="AY44" i="67"/>
  <c r="BP44" i="67" s="1"/>
  <c r="AY45" i="67"/>
  <c r="BP45" i="67" s="1"/>
  <c r="AY46" i="67"/>
  <c r="BP46" i="67" s="1"/>
  <c r="AY47" i="67"/>
  <c r="BP47" i="67" s="1"/>
  <c r="AY48" i="67"/>
  <c r="BP48" i="67" s="1"/>
  <c r="AY49" i="67"/>
  <c r="BP49" i="67" s="1"/>
  <c r="BQ89" i="15" l="1"/>
  <c r="BQ90" i="15"/>
  <c r="BQ95" i="15"/>
  <c r="BQ96" i="15"/>
  <c r="BQ92" i="15"/>
  <c r="BQ93" i="15"/>
  <c r="BP10" i="67"/>
  <c r="BM106" i="15"/>
  <c r="AP209" i="47"/>
  <c r="AP208" i="47"/>
  <c r="AP207" i="47"/>
  <c r="AP186" i="47"/>
  <c r="AP187" i="47" s="1"/>
  <c r="AP183" i="47"/>
  <c r="AP184" i="47" s="1"/>
  <c r="AO159" i="47"/>
  <c r="AP144" i="47"/>
  <c r="AP146" i="47" s="1"/>
  <c r="AP139" i="47"/>
  <c r="AP141" i="47" s="1"/>
  <c r="AP134" i="47"/>
  <c r="AP136" i="47" s="1"/>
  <c r="AP129" i="47"/>
  <c r="AP131" i="47" s="1"/>
  <c r="AP120" i="47"/>
  <c r="AP117" i="47"/>
  <c r="AP114" i="47"/>
  <c r="AP208" i="46"/>
  <c r="AP204" i="46"/>
  <c r="AP203" i="46"/>
  <c r="AP201" i="46"/>
  <c r="AP158" i="46"/>
  <c r="AP157" i="46"/>
  <c r="AP141" i="46"/>
  <c r="AR141" i="46" s="1"/>
  <c r="AR118" i="46" s="1"/>
  <c r="AP88" i="46"/>
  <c r="AP87" i="46"/>
  <c r="AP80" i="46"/>
  <c r="AP68" i="46"/>
  <c r="AP62" i="46"/>
  <c r="AP60" i="46"/>
  <c r="AP59" i="46"/>
  <c r="AK209" i="47"/>
  <c r="AP45" i="46"/>
  <c r="AP205" i="46" l="1"/>
  <c r="AP109" i="46" s="1"/>
  <c r="AP388" i="15" l="1"/>
  <c r="AP391" i="15" s="1"/>
  <c r="AP394" i="15"/>
  <c r="AP397" i="15" s="1"/>
  <c r="AP408" i="15"/>
  <c r="AP411" i="15" s="1"/>
  <c r="AP366" i="15"/>
  <c r="AP361" i="15"/>
  <c r="AP275" i="47"/>
  <c r="AP273" i="47"/>
  <c r="AP167" i="47"/>
  <c r="AP166" i="47"/>
  <c r="AP165" i="47"/>
  <c r="AP164" i="47"/>
  <c r="AP159" i="47"/>
  <c r="AP272" i="47" s="1"/>
  <c r="AP100" i="47"/>
  <c r="AP98" i="47"/>
  <c r="AK98" i="47"/>
  <c r="AK100" i="47"/>
  <c r="AK129" i="47"/>
  <c r="AK131" i="47" s="1"/>
  <c r="AK134" i="47"/>
  <c r="AK136" i="47" s="1"/>
  <c r="AK139" i="47"/>
  <c r="AK141" i="47" s="1"/>
  <c r="AK144" i="47"/>
  <c r="AK146" i="47" s="1"/>
  <c r="AK159" i="47"/>
  <c r="AK164" i="47"/>
  <c r="AK165" i="47"/>
  <c r="AK166" i="47"/>
  <c r="AP118" i="46"/>
  <c r="AP117" i="46"/>
  <c r="AP115" i="46"/>
  <c r="AP114" i="46"/>
  <c r="AP113" i="46"/>
  <c r="AP168" i="47" l="1"/>
  <c r="AK99" i="47"/>
  <c r="AP132" i="47"/>
  <c r="AP77" i="47" s="1"/>
  <c r="AP142" i="47"/>
  <c r="AP79" i="47" s="1"/>
  <c r="AP99" i="47"/>
  <c r="AP137" i="47"/>
  <c r="AP78" i="47" s="1"/>
  <c r="AP147" i="47"/>
  <c r="AP80" i="47" s="1"/>
  <c r="BP46" i="65" l="1"/>
  <c r="BO46" i="65"/>
  <c r="BN46" i="65"/>
  <c r="BM46" i="65"/>
  <c r="BP12" i="65"/>
  <c r="BP16" i="65" s="1"/>
  <c r="BO12" i="65"/>
  <c r="BN12" i="65"/>
  <c r="BN16" i="65" s="1"/>
  <c r="BM12" i="65"/>
  <c r="BQ194" i="46"/>
  <c r="BQ182" i="46"/>
  <c r="BQ173" i="46"/>
  <c r="BQ145" i="46"/>
  <c r="BQ142" i="46"/>
  <c r="BP139" i="46"/>
  <c r="BO139" i="46"/>
  <c r="BN139" i="46"/>
  <c r="BM139" i="46"/>
  <c r="BQ138" i="46"/>
  <c r="BQ133" i="46"/>
  <c r="BQ132" i="46"/>
  <c r="BQ119" i="46"/>
  <c r="BQ114" i="46"/>
  <c r="BQ113" i="46"/>
  <c r="BP99" i="46"/>
  <c r="BO99" i="46" s="1"/>
  <c r="BN99" i="46" s="1"/>
  <c r="BM99" i="46" s="1"/>
  <c r="BP96" i="46"/>
  <c r="BO96" i="46" s="1"/>
  <c r="BP81" i="46"/>
  <c r="BO81" i="46"/>
  <c r="BN81" i="46"/>
  <c r="BM81" i="46"/>
  <c r="BQ67" i="46"/>
  <c r="BP42" i="46"/>
  <c r="BO42" i="46"/>
  <c r="BN42" i="46"/>
  <c r="BM42" i="46"/>
  <c r="DU195" i="72"/>
  <c r="DT195" i="72"/>
  <c r="DS195" i="72"/>
  <c r="DR195" i="72"/>
  <c r="DU194" i="72"/>
  <c r="DT194" i="72"/>
  <c r="DS194" i="72"/>
  <c r="DR194" i="72"/>
  <c r="DU189" i="72"/>
  <c r="DU191" i="72" s="1"/>
  <c r="DT189" i="72"/>
  <c r="DT191" i="72" s="1"/>
  <c r="DS189" i="72"/>
  <c r="DS191" i="72" s="1"/>
  <c r="DR189" i="72"/>
  <c r="DR191" i="72" s="1"/>
  <c r="DU176" i="72"/>
  <c r="DT176" i="72"/>
  <c r="DS176" i="72"/>
  <c r="DR176" i="72"/>
  <c r="DU167" i="72"/>
  <c r="DT167" i="72"/>
  <c r="DS167" i="72"/>
  <c r="DR167" i="72"/>
  <c r="DU166" i="72"/>
  <c r="DT166" i="72"/>
  <c r="DS166" i="72"/>
  <c r="DR166" i="72"/>
  <c r="DU165" i="72"/>
  <c r="DT165" i="72"/>
  <c r="DS165" i="72"/>
  <c r="DR165" i="72"/>
  <c r="DU163" i="72"/>
  <c r="DT163" i="72"/>
  <c r="DS163" i="72"/>
  <c r="DR163" i="72"/>
  <c r="DU162" i="72"/>
  <c r="DT162" i="72"/>
  <c r="DS162" i="72"/>
  <c r="DR162" i="72"/>
  <c r="DU161" i="72"/>
  <c r="DT161" i="72"/>
  <c r="DS161" i="72"/>
  <c r="DR161" i="72"/>
  <c r="DU159" i="72"/>
  <c r="DT159" i="72"/>
  <c r="DS159" i="72"/>
  <c r="DR159" i="72"/>
  <c r="DU158" i="72"/>
  <c r="DT158" i="72"/>
  <c r="DS158" i="72"/>
  <c r="DR158" i="72"/>
  <c r="DU156" i="72"/>
  <c r="DT156" i="72"/>
  <c r="DS156" i="72"/>
  <c r="DR156" i="72"/>
  <c r="DU155" i="72"/>
  <c r="DT155" i="72"/>
  <c r="DS155" i="72"/>
  <c r="DR155" i="72"/>
  <c r="DU152" i="72"/>
  <c r="DT152" i="72"/>
  <c r="DS152" i="72"/>
  <c r="DR152" i="72"/>
  <c r="DU151" i="72"/>
  <c r="DT151" i="72"/>
  <c r="DS151" i="72"/>
  <c r="DR151" i="72"/>
  <c r="DU150" i="72"/>
  <c r="DT150" i="72"/>
  <c r="DS150" i="72"/>
  <c r="DR150" i="72"/>
  <c r="DU149" i="72"/>
  <c r="DT149" i="72"/>
  <c r="DS149" i="72"/>
  <c r="DR149" i="72"/>
  <c r="DU148" i="72"/>
  <c r="DT148" i="72"/>
  <c r="DS148" i="72"/>
  <c r="DR148" i="72"/>
  <c r="DU147" i="72"/>
  <c r="DT147" i="72"/>
  <c r="DS147" i="72"/>
  <c r="DR147" i="72"/>
  <c r="DU146" i="72"/>
  <c r="DT146" i="72"/>
  <c r="DS146" i="72"/>
  <c r="DR146" i="72"/>
  <c r="DU145" i="72"/>
  <c r="DT145" i="72"/>
  <c r="DS145" i="72"/>
  <c r="DR145" i="72"/>
  <c r="DU144" i="72"/>
  <c r="DT144" i="72"/>
  <c r="DS144" i="72"/>
  <c r="DR144" i="72"/>
  <c r="DU142" i="72"/>
  <c r="DT142" i="72"/>
  <c r="DS142" i="72"/>
  <c r="DR142" i="72"/>
  <c r="DU140" i="72"/>
  <c r="DT140" i="72"/>
  <c r="DS140" i="72"/>
  <c r="DR140" i="72"/>
  <c r="DU138" i="72"/>
  <c r="DT138" i="72"/>
  <c r="DS138" i="72"/>
  <c r="DR138" i="72"/>
  <c r="DU137" i="72"/>
  <c r="DT137" i="72"/>
  <c r="DS137" i="72"/>
  <c r="DR137" i="72"/>
  <c r="DU134" i="72"/>
  <c r="DT134" i="72"/>
  <c r="DS134" i="72"/>
  <c r="DR134" i="72"/>
  <c r="DU132" i="72"/>
  <c r="DT132" i="72"/>
  <c r="DS132" i="72"/>
  <c r="DR132" i="72"/>
  <c r="DU131" i="72"/>
  <c r="DT131" i="72"/>
  <c r="DS131" i="72"/>
  <c r="DR131" i="72"/>
  <c r="DU130" i="72"/>
  <c r="DT130" i="72"/>
  <c r="DS130" i="72"/>
  <c r="DR130" i="72"/>
  <c r="DU129" i="72"/>
  <c r="DT129" i="72"/>
  <c r="DS129" i="72"/>
  <c r="DR129" i="72"/>
  <c r="DU127" i="72"/>
  <c r="DT127" i="72"/>
  <c r="DS127" i="72"/>
  <c r="DR127" i="72"/>
  <c r="DU125" i="72"/>
  <c r="DT125" i="72"/>
  <c r="DS125" i="72"/>
  <c r="DR125" i="72"/>
  <c r="DU124" i="72"/>
  <c r="DT124" i="72"/>
  <c r="DS124" i="72"/>
  <c r="DR124" i="72"/>
  <c r="DU123" i="72"/>
  <c r="DT123" i="72"/>
  <c r="DS123" i="72"/>
  <c r="DR123" i="72"/>
  <c r="DU121" i="72"/>
  <c r="DT121" i="72"/>
  <c r="DS121" i="72"/>
  <c r="DR121" i="72"/>
  <c r="DU119" i="72"/>
  <c r="DT119" i="72"/>
  <c r="DS119" i="72"/>
  <c r="DR119" i="72"/>
  <c r="DU118" i="72"/>
  <c r="DT118" i="72"/>
  <c r="DS118" i="72"/>
  <c r="DR118" i="72"/>
  <c r="DU117" i="72"/>
  <c r="DT117" i="72"/>
  <c r="DS117" i="72"/>
  <c r="DR117" i="72"/>
  <c r="DU116" i="72"/>
  <c r="DT116" i="72"/>
  <c r="DS116" i="72"/>
  <c r="DR116" i="72"/>
  <c r="DU113" i="72"/>
  <c r="DT113" i="72"/>
  <c r="DS113" i="72"/>
  <c r="DR113" i="72"/>
  <c r="DU112" i="72"/>
  <c r="DT112" i="72"/>
  <c r="DS112" i="72"/>
  <c r="DR112" i="72"/>
  <c r="DU111" i="72"/>
  <c r="DT111" i="72"/>
  <c r="DS111" i="72"/>
  <c r="DR111" i="72"/>
  <c r="DU110" i="72"/>
  <c r="DT110" i="72"/>
  <c r="DS110" i="72"/>
  <c r="DR110" i="72"/>
  <c r="DU107" i="72"/>
  <c r="DT107" i="72"/>
  <c r="DS107" i="72"/>
  <c r="DR107" i="72"/>
  <c r="DU103" i="72"/>
  <c r="DT103" i="72"/>
  <c r="DS103" i="72"/>
  <c r="DR103" i="72"/>
  <c r="DU101" i="72"/>
  <c r="DT101" i="72"/>
  <c r="DS101" i="72"/>
  <c r="DR101" i="72"/>
  <c r="DU100" i="72"/>
  <c r="DT100" i="72"/>
  <c r="DS100" i="72"/>
  <c r="DR100" i="72"/>
  <c r="DU99" i="72"/>
  <c r="DT99" i="72"/>
  <c r="DS99" i="72"/>
  <c r="DR99" i="72"/>
  <c r="DU93" i="72"/>
  <c r="DT93" i="72"/>
  <c r="DS93" i="72"/>
  <c r="DR93" i="72"/>
  <c r="DU92" i="72"/>
  <c r="DT92" i="72"/>
  <c r="DS92" i="72"/>
  <c r="DR92" i="72"/>
  <c r="DU90" i="72"/>
  <c r="DT90" i="72"/>
  <c r="DS90" i="72"/>
  <c r="DR90" i="72"/>
  <c r="DU89" i="72"/>
  <c r="DT89" i="72"/>
  <c r="DS89" i="72"/>
  <c r="DR89" i="72"/>
  <c r="DU88" i="72"/>
  <c r="DT88" i="72"/>
  <c r="DS88" i="72"/>
  <c r="DR88" i="72"/>
  <c r="DU87" i="72"/>
  <c r="DT87" i="72"/>
  <c r="DS87" i="72"/>
  <c r="DR87" i="72"/>
  <c r="DU86" i="72"/>
  <c r="DT86" i="72"/>
  <c r="DS86" i="72"/>
  <c r="DR86" i="72"/>
  <c r="DU85" i="72"/>
  <c r="DT85" i="72"/>
  <c r="DS85" i="72"/>
  <c r="DR85" i="72"/>
  <c r="DU84" i="72"/>
  <c r="DT84" i="72"/>
  <c r="DS84" i="72"/>
  <c r="DR84" i="72"/>
  <c r="DU83" i="72"/>
  <c r="DT83" i="72"/>
  <c r="DS83" i="72"/>
  <c r="DR83" i="72"/>
  <c r="DU82" i="72"/>
  <c r="DT82" i="72"/>
  <c r="DS82" i="72"/>
  <c r="DR82" i="72"/>
  <c r="DU80" i="72"/>
  <c r="DT80" i="72"/>
  <c r="DS80" i="72"/>
  <c r="DR80" i="72"/>
  <c r="DU79" i="72"/>
  <c r="DT79" i="72"/>
  <c r="DS79" i="72"/>
  <c r="DR79" i="72"/>
  <c r="DU76" i="72"/>
  <c r="DT76" i="72"/>
  <c r="DS76" i="72"/>
  <c r="DR76" i="72"/>
  <c r="DU75" i="72"/>
  <c r="DT75" i="72"/>
  <c r="DS75" i="72"/>
  <c r="DR75" i="72"/>
  <c r="DU72" i="72"/>
  <c r="DT72" i="72"/>
  <c r="DS72" i="72"/>
  <c r="DR72" i="72"/>
  <c r="DU71" i="72"/>
  <c r="DT71" i="72"/>
  <c r="DS71" i="72"/>
  <c r="DR71" i="72"/>
  <c r="DU69" i="72"/>
  <c r="DT69" i="72"/>
  <c r="DS69" i="72"/>
  <c r="DR69" i="72"/>
  <c r="DU67" i="72"/>
  <c r="DT67" i="72"/>
  <c r="DS67" i="72"/>
  <c r="DR67" i="72"/>
  <c r="DU66" i="72"/>
  <c r="DT66" i="72"/>
  <c r="DS66" i="72"/>
  <c r="DR66" i="72"/>
  <c r="DU64" i="72"/>
  <c r="DT64" i="72"/>
  <c r="DS64" i="72"/>
  <c r="DR64" i="72"/>
  <c r="DU63" i="72"/>
  <c r="DT63" i="72"/>
  <c r="DS63" i="72"/>
  <c r="DR63" i="72"/>
  <c r="DU60" i="72"/>
  <c r="DT60" i="72"/>
  <c r="DS60" i="72"/>
  <c r="DR60" i="72"/>
  <c r="DU52" i="72"/>
  <c r="DT52" i="72"/>
  <c r="DS52" i="72"/>
  <c r="DR52" i="72"/>
  <c r="DU48" i="72"/>
  <c r="DT48" i="72"/>
  <c r="DS48" i="72"/>
  <c r="DR48" i="72"/>
  <c r="DU41" i="72"/>
  <c r="DT41" i="72"/>
  <c r="DS41" i="72"/>
  <c r="DR41" i="72"/>
  <c r="DU40" i="72"/>
  <c r="DT40" i="72"/>
  <c r="DS40" i="72"/>
  <c r="DR40" i="72"/>
  <c r="DU42" i="72"/>
  <c r="DT42" i="72"/>
  <c r="DS42" i="72"/>
  <c r="DR42" i="72"/>
  <c r="DU43" i="72"/>
  <c r="DT43" i="72"/>
  <c r="DS43" i="72"/>
  <c r="DR43" i="72"/>
  <c r="DU39" i="72"/>
  <c r="DT39" i="72"/>
  <c r="DS39" i="72"/>
  <c r="DR39" i="72"/>
  <c r="DU44" i="72"/>
  <c r="DT44" i="72"/>
  <c r="DS44" i="72"/>
  <c r="DR44" i="72"/>
  <c r="DU25" i="72"/>
  <c r="DT25" i="72"/>
  <c r="DS25" i="72"/>
  <c r="DR25" i="72"/>
  <c r="DU19" i="72"/>
  <c r="DT19" i="72"/>
  <c r="DS19" i="72"/>
  <c r="DR19" i="72"/>
  <c r="BP196" i="72"/>
  <c r="BO196" i="72" s="1"/>
  <c r="BP195" i="72"/>
  <c r="BO195" i="72" s="1"/>
  <c r="BP194" i="72"/>
  <c r="BO194" i="72" s="1"/>
  <c r="BP189" i="72"/>
  <c r="BP191" i="72" s="1"/>
  <c r="BP176" i="72"/>
  <c r="BO176" i="72" s="1"/>
  <c r="BP167" i="72"/>
  <c r="BO167" i="72" s="1"/>
  <c r="BP166" i="72"/>
  <c r="BO166" i="72" s="1"/>
  <c r="BP165" i="72"/>
  <c r="BO165" i="72" s="1"/>
  <c r="BP163" i="72"/>
  <c r="BO163" i="72" s="1"/>
  <c r="BP162" i="72"/>
  <c r="BO162" i="72" s="1"/>
  <c r="BP161" i="72"/>
  <c r="BO161" i="72" s="1"/>
  <c r="BP159" i="72"/>
  <c r="BO159" i="72" s="1"/>
  <c r="BP158" i="72"/>
  <c r="BO158" i="72" s="1"/>
  <c r="BP156" i="72"/>
  <c r="BO156" i="72" s="1"/>
  <c r="BP155" i="72"/>
  <c r="BO155" i="72" s="1"/>
  <c r="BP152" i="72"/>
  <c r="BO152" i="72" s="1"/>
  <c r="BP151" i="72"/>
  <c r="BO151" i="72" s="1"/>
  <c r="BP150" i="72"/>
  <c r="BO150" i="72" s="1"/>
  <c r="BP149" i="72"/>
  <c r="BO149" i="72" s="1"/>
  <c r="BP148" i="72"/>
  <c r="BO148" i="72" s="1"/>
  <c r="BP147" i="72"/>
  <c r="BO147" i="72" s="1"/>
  <c r="BP146" i="72"/>
  <c r="BO146" i="72" s="1"/>
  <c r="BP145" i="72"/>
  <c r="BO145" i="72" s="1"/>
  <c r="BP144" i="72"/>
  <c r="BO144" i="72" s="1"/>
  <c r="BP143" i="72"/>
  <c r="BO143" i="72" s="1"/>
  <c r="BP142" i="72"/>
  <c r="BO142" i="72" s="1"/>
  <c r="BP140" i="72"/>
  <c r="BO140" i="72" s="1"/>
  <c r="BP138" i="72"/>
  <c r="BO138" i="72" s="1"/>
  <c r="BP137" i="72"/>
  <c r="BO137" i="72" s="1"/>
  <c r="BP134" i="72"/>
  <c r="BO134" i="72" s="1"/>
  <c r="BP132" i="72"/>
  <c r="BO132" i="72" s="1"/>
  <c r="BP131" i="72"/>
  <c r="BO131" i="72" s="1"/>
  <c r="BP130" i="72"/>
  <c r="BO130" i="72" s="1"/>
  <c r="BP129" i="72"/>
  <c r="BO129" i="72" s="1"/>
  <c r="BP127" i="72"/>
  <c r="BO127" i="72" s="1"/>
  <c r="BP125" i="72"/>
  <c r="BO125" i="72" s="1"/>
  <c r="BP124" i="72"/>
  <c r="BO124" i="72" s="1"/>
  <c r="BP123" i="72"/>
  <c r="BO123" i="72" s="1"/>
  <c r="BP121" i="72"/>
  <c r="BO121" i="72" s="1"/>
  <c r="BP119" i="72"/>
  <c r="BO119" i="72" s="1"/>
  <c r="BP118" i="72"/>
  <c r="BO118" i="72" s="1"/>
  <c r="BP117" i="72"/>
  <c r="BO117" i="72" s="1"/>
  <c r="BP116" i="72"/>
  <c r="BO116" i="72" s="1"/>
  <c r="BP113" i="72"/>
  <c r="BO113" i="72" s="1"/>
  <c r="BP112" i="72"/>
  <c r="BO112" i="72" s="1"/>
  <c r="BP111" i="72"/>
  <c r="BO111" i="72" s="1"/>
  <c r="BP110" i="72"/>
  <c r="BO110" i="72" s="1"/>
  <c r="BP107" i="72"/>
  <c r="BO107" i="72" s="1"/>
  <c r="BP103" i="72"/>
  <c r="BO103" i="72" s="1"/>
  <c r="BP101" i="72"/>
  <c r="BO101" i="72" s="1"/>
  <c r="BP100" i="72"/>
  <c r="BO100" i="72" s="1"/>
  <c r="BP99" i="72"/>
  <c r="BO99" i="72" s="1"/>
  <c r="BP93" i="72"/>
  <c r="BO93" i="72" s="1"/>
  <c r="BP92" i="72"/>
  <c r="BO92" i="72" s="1"/>
  <c r="BP90" i="72"/>
  <c r="BO90" i="72" s="1"/>
  <c r="BP89" i="72"/>
  <c r="BO89" i="72" s="1"/>
  <c r="BP88" i="72"/>
  <c r="BO88" i="72" s="1"/>
  <c r="BP87" i="72"/>
  <c r="BO87" i="72" s="1"/>
  <c r="BP86" i="72"/>
  <c r="BO86" i="72" s="1"/>
  <c r="BP85" i="72"/>
  <c r="BO85" i="72" s="1"/>
  <c r="BP84" i="72"/>
  <c r="BN84" i="72" s="1"/>
  <c r="BP83" i="72"/>
  <c r="BO83" i="72" s="1"/>
  <c r="BP82" i="72"/>
  <c r="BO82" i="72" s="1"/>
  <c r="BP80" i="72"/>
  <c r="BO80" i="72" s="1"/>
  <c r="BP79" i="72"/>
  <c r="BO79" i="72" s="1"/>
  <c r="BP76" i="72"/>
  <c r="BO76" i="72" s="1"/>
  <c r="BP75" i="72"/>
  <c r="BO75" i="72" s="1"/>
  <c r="BP72" i="72"/>
  <c r="BO72" i="72" s="1"/>
  <c r="BP71" i="72"/>
  <c r="BO71" i="72" s="1"/>
  <c r="BP69" i="72"/>
  <c r="BO69" i="72" s="1"/>
  <c r="BP67" i="72"/>
  <c r="BO67" i="72" s="1"/>
  <c r="BP66" i="72"/>
  <c r="BO66" i="72" s="1"/>
  <c r="BP64" i="72"/>
  <c r="BO64" i="72" s="1"/>
  <c r="BP63" i="72"/>
  <c r="BO63" i="72" s="1"/>
  <c r="BP60" i="72"/>
  <c r="BO60" i="72" s="1"/>
  <c r="BP52" i="72"/>
  <c r="BO52" i="72" s="1"/>
  <c r="BP48" i="72"/>
  <c r="BN48" i="72" s="1"/>
  <c r="BP41" i="72"/>
  <c r="BN41" i="72" s="1"/>
  <c r="BP40" i="72"/>
  <c r="BO40" i="72" s="1"/>
  <c r="BP42" i="72"/>
  <c r="BN42" i="72" s="1"/>
  <c r="BP43" i="72"/>
  <c r="BN43" i="72" s="1"/>
  <c r="BP39" i="72"/>
  <c r="BO39" i="72" s="1"/>
  <c r="BP44" i="72"/>
  <c r="BN44" i="72" s="1"/>
  <c r="BP25" i="72"/>
  <c r="BL25" i="72" s="1"/>
  <c r="BP19" i="72"/>
  <c r="BO19" i="72" s="1"/>
  <c r="BQ70" i="51"/>
  <c r="BQ69" i="51"/>
  <c r="BQ68" i="51"/>
  <c r="BQ67" i="51"/>
  <c r="BP63" i="51"/>
  <c r="BO63" i="51"/>
  <c r="BN63" i="51"/>
  <c r="BM63" i="51"/>
  <c r="BQ62" i="51"/>
  <c r="BQ61" i="51"/>
  <c r="BP57" i="51"/>
  <c r="BQ38" i="51"/>
  <c r="BM467" i="15"/>
  <c r="BM114" i="46" s="1"/>
  <c r="BQ466" i="15"/>
  <c r="BQ461" i="15"/>
  <c r="BP457" i="15"/>
  <c r="BO457" i="15"/>
  <c r="BN457" i="15"/>
  <c r="BM457" i="15"/>
  <c r="BP456" i="15"/>
  <c r="BO456" i="15"/>
  <c r="BN456" i="15"/>
  <c r="BM456" i="15"/>
  <c r="BQ450" i="15"/>
  <c r="BP450" i="15"/>
  <c r="BP447" i="15"/>
  <c r="BO447" i="15"/>
  <c r="BN447" i="15"/>
  <c r="BM447" i="15"/>
  <c r="BP446" i="15"/>
  <c r="BO446" i="15"/>
  <c r="BN446" i="15"/>
  <c r="BM446" i="15"/>
  <c r="BM442" i="15"/>
  <c r="BM465" i="15" s="1"/>
  <c r="BM441" i="15"/>
  <c r="BM464" i="15" s="1"/>
  <c r="BP435" i="15"/>
  <c r="BO435" i="15"/>
  <c r="BN435" i="15"/>
  <c r="BM435" i="15"/>
  <c r="BQ409" i="15"/>
  <c r="BP398" i="15"/>
  <c r="BO398" i="15"/>
  <c r="BN398" i="15"/>
  <c r="BM398" i="15"/>
  <c r="BQ395" i="15"/>
  <c r="BQ389" i="15"/>
  <c r="BP386" i="15"/>
  <c r="BO386" i="15"/>
  <c r="BN386" i="15"/>
  <c r="BM386" i="15"/>
  <c r="BQ383" i="15"/>
  <c r="BQ174" i="15"/>
  <c r="BP173" i="15"/>
  <c r="BP172" i="15"/>
  <c r="BO172" i="15"/>
  <c r="BN172" i="15"/>
  <c r="BM172" i="15"/>
  <c r="BQ122" i="15"/>
  <c r="BM68" i="15"/>
  <c r="BN68" i="15" s="1"/>
  <c r="BO68" i="15" s="1"/>
  <c r="BP68" i="15" s="1"/>
  <c r="BM67" i="15"/>
  <c r="BN67" i="15" s="1"/>
  <c r="BO67" i="15" s="1"/>
  <c r="BP67" i="15" s="1"/>
  <c r="BP58" i="15"/>
  <c r="BO58" i="15"/>
  <c r="BN58" i="15"/>
  <c r="BM58" i="15"/>
  <c r="BQ38" i="15"/>
  <c r="BQ58" i="15" s="1"/>
  <c r="BQ35" i="15"/>
  <c r="BQ222" i="47"/>
  <c r="BM221" i="47"/>
  <c r="BQ220" i="47"/>
  <c r="BQ219" i="47"/>
  <c r="BM214" i="47"/>
  <c r="BM210" i="47"/>
  <c r="BP202" i="47"/>
  <c r="BP30" i="47" s="1"/>
  <c r="BO202" i="47"/>
  <c r="BO30" i="47" s="1"/>
  <c r="BN202" i="47"/>
  <c r="BN30" i="47" s="1"/>
  <c r="BM202" i="47"/>
  <c r="BM30" i="47" s="1"/>
  <c r="BQ200" i="47"/>
  <c r="BP200" i="47"/>
  <c r="BM177" i="47"/>
  <c r="BM176" i="47"/>
  <c r="BM175" i="47"/>
  <c r="BM174" i="47"/>
  <c r="BM173" i="47"/>
  <c r="BM172" i="47"/>
  <c r="BM171" i="47"/>
  <c r="BQ168" i="47"/>
  <c r="BQ178" i="47" s="1"/>
  <c r="BQ179" i="47" s="1"/>
  <c r="BP167" i="47"/>
  <c r="BO167" i="47"/>
  <c r="BN167" i="47"/>
  <c r="BM167" i="47"/>
  <c r="BP166" i="47"/>
  <c r="BO166" i="47"/>
  <c r="BN166" i="47"/>
  <c r="BM166" i="47"/>
  <c r="BP165" i="47"/>
  <c r="BO165" i="47"/>
  <c r="BN165" i="47"/>
  <c r="BM165" i="47"/>
  <c r="BP164" i="47"/>
  <c r="BO164" i="47"/>
  <c r="BO168" i="47" s="1"/>
  <c r="BN164" i="47"/>
  <c r="BM164" i="47"/>
  <c r="BQ147" i="47"/>
  <c r="BP147" i="47" s="1"/>
  <c r="BQ145" i="47"/>
  <c r="BQ142" i="47"/>
  <c r="BP142" i="47" s="1"/>
  <c r="BQ140" i="47"/>
  <c r="BQ137" i="47"/>
  <c r="BQ135" i="47"/>
  <c r="BQ132" i="47"/>
  <c r="BP132" i="47" s="1"/>
  <c r="BQ130" i="47"/>
  <c r="BP82" i="47"/>
  <c r="BO82" i="47" s="1"/>
  <c r="BN82" i="47" s="1"/>
  <c r="BM82" i="47" s="1"/>
  <c r="BP80" i="47"/>
  <c r="BO80" i="47"/>
  <c r="BN80" i="47"/>
  <c r="BM80" i="47"/>
  <c r="BP79" i="47"/>
  <c r="BO79" i="47"/>
  <c r="BN79" i="47"/>
  <c r="BM79" i="47"/>
  <c r="BP78" i="47"/>
  <c r="BP137" i="47" s="1"/>
  <c r="BO78" i="47"/>
  <c r="BO137" i="47" s="1"/>
  <c r="BN78" i="47"/>
  <c r="BN137" i="47" s="1"/>
  <c r="BM78" i="47"/>
  <c r="BM137" i="47" s="1"/>
  <c r="BP77" i="47"/>
  <c r="BO77" i="47"/>
  <c r="BN77" i="47"/>
  <c r="BM77" i="47"/>
  <c r="BQ75" i="47"/>
  <c r="BP74" i="47"/>
  <c r="BO74" i="47"/>
  <c r="BN74" i="47"/>
  <c r="BM74" i="47"/>
  <c r="BP73" i="47"/>
  <c r="BO73" i="47"/>
  <c r="BN73" i="47"/>
  <c r="BM73" i="47"/>
  <c r="BP72" i="47"/>
  <c r="BO72" i="47"/>
  <c r="BN72" i="47"/>
  <c r="BM72" i="47"/>
  <c r="BP71" i="47"/>
  <c r="BO71" i="47"/>
  <c r="BN71" i="47"/>
  <c r="BM71" i="47"/>
  <c r="BP70" i="47"/>
  <c r="BP75" i="47" s="1"/>
  <c r="BP110" i="47" s="1"/>
  <c r="BO70" i="47"/>
  <c r="BN70" i="47"/>
  <c r="BM70" i="47"/>
  <c r="BM75" i="47" s="1"/>
  <c r="BM110" i="47" s="1"/>
  <c r="BP68" i="47"/>
  <c r="BO68" i="47"/>
  <c r="BN68" i="47"/>
  <c r="BM68" i="47"/>
  <c r="BQ50" i="47"/>
  <c r="BM168" i="47" l="1"/>
  <c r="BP168" i="47"/>
  <c r="BN168" i="47"/>
  <c r="BQ63" i="51"/>
  <c r="BN75" i="47"/>
  <c r="BN110" i="47" s="1"/>
  <c r="BM128" i="46"/>
  <c r="EB46" i="65"/>
  <c r="BN96" i="46"/>
  <c r="BN450" i="15" s="1"/>
  <c r="BO450" i="15"/>
  <c r="BO200" i="47"/>
  <c r="BN467" i="15"/>
  <c r="BN114" i="46" s="1"/>
  <c r="BQ81" i="46"/>
  <c r="BO75" i="47"/>
  <c r="BO110" i="47" s="1"/>
  <c r="BQ30" i="47"/>
  <c r="BQ42" i="46"/>
  <c r="BP174" i="15"/>
  <c r="BO173" i="15"/>
  <c r="BO174" i="15" s="1"/>
  <c r="BL189" i="72"/>
  <c r="BL191" i="72" s="1"/>
  <c r="BL99" i="72"/>
  <c r="BL110" i="72"/>
  <c r="BL19" i="72"/>
  <c r="BL72" i="72"/>
  <c r="BN99" i="72"/>
  <c r="BL101" i="72"/>
  <c r="BN110" i="72"/>
  <c r="BL113" i="72"/>
  <c r="BL158" i="72"/>
  <c r="BL76" i="72"/>
  <c r="BN158" i="72"/>
  <c r="BL161" i="72"/>
  <c r="BL163" i="72"/>
  <c r="BL165" i="72"/>
  <c r="BN189" i="72"/>
  <c r="BN191" i="72" s="1"/>
  <c r="BN19" i="72"/>
  <c r="BL69" i="72"/>
  <c r="BN72" i="72"/>
  <c r="BN76" i="72"/>
  <c r="BN101" i="72"/>
  <c r="BL103" i="72"/>
  <c r="BL107" i="72"/>
  <c r="BN113" i="72"/>
  <c r="BL48" i="72"/>
  <c r="BL52" i="72"/>
  <c r="BL60" i="72"/>
  <c r="BL111" i="72"/>
  <c r="BL112" i="72"/>
  <c r="BL134" i="72"/>
  <c r="BL159" i="72"/>
  <c r="BN163" i="72"/>
  <c r="BL166" i="72"/>
  <c r="BN210" i="47"/>
  <c r="BN128" i="46" s="1"/>
  <c r="BL39" i="72"/>
  <c r="BL87" i="72"/>
  <c r="BL124" i="72"/>
  <c r="BL142" i="72"/>
  <c r="BQ447" i="15"/>
  <c r="BL150" i="72"/>
  <c r="BL118" i="72"/>
  <c r="BL131" i="72"/>
  <c r="BN150" i="72"/>
  <c r="BL151" i="72"/>
  <c r="BL152" i="72"/>
  <c r="BL63" i="72"/>
  <c r="BL64" i="72"/>
  <c r="BL66" i="72"/>
  <c r="BL80" i="72"/>
  <c r="BL85" i="72"/>
  <c r="BN87" i="72"/>
  <c r="BL88" i="72"/>
  <c r="BL89" i="72"/>
  <c r="BL92" i="72"/>
  <c r="BL93" i="72"/>
  <c r="BL116" i="72"/>
  <c r="BN118" i="72"/>
  <c r="BL119" i="72"/>
  <c r="BL121" i="72"/>
  <c r="BN124" i="72"/>
  <c r="BL125" i="72"/>
  <c r="BL129" i="72"/>
  <c r="BN131" i="72"/>
  <c r="BM132" i="72"/>
  <c r="BN142" i="72"/>
  <c r="BL143" i="72"/>
  <c r="BL144" i="72"/>
  <c r="BN66" i="72"/>
  <c r="BL67" i="72"/>
  <c r="BN80" i="72"/>
  <c r="BL146" i="72"/>
  <c r="BN39" i="72"/>
  <c r="BL43" i="72"/>
  <c r="BL42" i="72"/>
  <c r="BL40" i="72"/>
  <c r="BN64" i="72"/>
  <c r="BM82" i="72"/>
  <c r="BN144" i="72"/>
  <c r="BN146" i="72"/>
  <c r="BN221" i="47"/>
  <c r="BO221" i="47" s="1"/>
  <c r="BO113" i="46" s="1"/>
  <c r="BM113" i="46"/>
  <c r="BM16" i="65"/>
  <c r="BO16" i="65"/>
  <c r="BN17" i="65"/>
  <c r="BP17" i="65"/>
  <c r="BN43" i="65"/>
  <c r="BP43" i="65"/>
  <c r="BM17" i="65"/>
  <c r="BO17" i="65"/>
  <c r="BM43" i="65"/>
  <c r="BO43" i="65"/>
  <c r="BQ139" i="46"/>
  <c r="EB55" i="65" s="1"/>
  <c r="BN52" i="72"/>
  <c r="BN60" i="72"/>
  <c r="BM64" i="72"/>
  <c r="BN69" i="72"/>
  <c r="BL71" i="72"/>
  <c r="BM76" i="72"/>
  <c r="BL79" i="72"/>
  <c r="BL82" i="72"/>
  <c r="BN82" i="72"/>
  <c r="BL83" i="72"/>
  <c r="BL84" i="72"/>
  <c r="BN85" i="72"/>
  <c r="BL86" i="72"/>
  <c r="BN89" i="72"/>
  <c r="BL90" i="72"/>
  <c r="BN93" i="72"/>
  <c r="BL100" i="72"/>
  <c r="BN103" i="72"/>
  <c r="BN112" i="72"/>
  <c r="BL117" i="72"/>
  <c r="BN121" i="72"/>
  <c r="BL123" i="72"/>
  <c r="BN125" i="72"/>
  <c r="BL127" i="72"/>
  <c r="BN129" i="72"/>
  <c r="BL130" i="72"/>
  <c r="BN134" i="72"/>
  <c r="BL138" i="72"/>
  <c r="BM144" i="72"/>
  <c r="BL145" i="72"/>
  <c r="BM148" i="72"/>
  <c r="BL149" i="72"/>
  <c r="BN152" i="72"/>
  <c r="BL155" i="72"/>
  <c r="BL156" i="72"/>
  <c r="BN159" i="72"/>
  <c r="BL162" i="72"/>
  <c r="BN166" i="72"/>
  <c r="BL167" i="72"/>
  <c r="BM19" i="72"/>
  <c r="BL44" i="72"/>
  <c r="BN107" i="72"/>
  <c r="BN116" i="72"/>
  <c r="BN117" i="72"/>
  <c r="BN119" i="72"/>
  <c r="BN123" i="72"/>
  <c r="BN127" i="72"/>
  <c r="BN130" i="72"/>
  <c r="BM134" i="72"/>
  <c r="BL137" i="72"/>
  <c r="BL140" i="72"/>
  <c r="BN149" i="72"/>
  <c r="BN151" i="72"/>
  <c r="BN155" i="72"/>
  <c r="BN161" i="72"/>
  <c r="BN162" i="72"/>
  <c r="BN165" i="72"/>
  <c r="BN167" i="72"/>
  <c r="BN40" i="72"/>
  <c r="BL41" i="72"/>
  <c r="BN63" i="72"/>
  <c r="BM66" i="72"/>
  <c r="BM69" i="72"/>
  <c r="BM72" i="72"/>
  <c r="BL75" i="72"/>
  <c r="BM80" i="72"/>
  <c r="BN86" i="72"/>
  <c r="BN88" i="72"/>
  <c r="BN90" i="72"/>
  <c r="BN92" i="72"/>
  <c r="BN100" i="72"/>
  <c r="BN111" i="72"/>
  <c r="BM142" i="72"/>
  <c r="BM146" i="72"/>
  <c r="BL147" i="72"/>
  <c r="BN156" i="72"/>
  <c r="BO44" i="72"/>
  <c r="BM44" i="72"/>
  <c r="BO43" i="72"/>
  <c r="BM43" i="72"/>
  <c r="BO42" i="72"/>
  <c r="BM42" i="72"/>
  <c r="BO41" i="72"/>
  <c r="BM41" i="72"/>
  <c r="BO48" i="72"/>
  <c r="BM48" i="72"/>
  <c r="BM60" i="72"/>
  <c r="BM63" i="72"/>
  <c r="BN67" i="72"/>
  <c r="BN71" i="72"/>
  <c r="BN75" i="72"/>
  <c r="BN79" i="72"/>
  <c r="BN83" i="72"/>
  <c r="BM85" i="72"/>
  <c r="BM87" i="72"/>
  <c r="BM89" i="72"/>
  <c r="BM93" i="72"/>
  <c r="BM101" i="72"/>
  <c r="BM107" i="72"/>
  <c r="BM110" i="72"/>
  <c r="BM112" i="72"/>
  <c r="BM116" i="72"/>
  <c r="BM117" i="72"/>
  <c r="BM119" i="72"/>
  <c r="BM123" i="72"/>
  <c r="BM127" i="72"/>
  <c r="BM129" i="72"/>
  <c r="BM131" i="72"/>
  <c r="BL132" i="72"/>
  <c r="BN132" i="72"/>
  <c r="BN137" i="72"/>
  <c r="BN138" i="72"/>
  <c r="BN140" i="72"/>
  <c r="BN143" i="72"/>
  <c r="BN145" i="72"/>
  <c r="BN147" i="72"/>
  <c r="BL148" i="72"/>
  <c r="BN148" i="72"/>
  <c r="BM150" i="72"/>
  <c r="BM152" i="72"/>
  <c r="BM156" i="72"/>
  <c r="BM159" i="72"/>
  <c r="BM163" i="72"/>
  <c r="BM166" i="72"/>
  <c r="BL195" i="72"/>
  <c r="BP199" i="72"/>
  <c r="BP201" i="72" s="1"/>
  <c r="BN195" i="72"/>
  <c r="BL176" i="72"/>
  <c r="BL194" i="72"/>
  <c r="BN176" i="72"/>
  <c r="BM195" i="72"/>
  <c r="BL196" i="72"/>
  <c r="BN194" i="72"/>
  <c r="BN196" i="72"/>
  <c r="BO25" i="72"/>
  <c r="BM25" i="72"/>
  <c r="BN25" i="72"/>
  <c r="BM39" i="72"/>
  <c r="BM40" i="72"/>
  <c r="BM52" i="72"/>
  <c r="BM67" i="72"/>
  <c r="BM71" i="72"/>
  <c r="BM75" i="72"/>
  <c r="BM79" i="72"/>
  <c r="BM83" i="72"/>
  <c r="BO84" i="72"/>
  <c r="BM84" i="72"/>
  <c r="BM86" i="72"/>
  <c r="BM88" i="72"/>
  <c r="BM90" i="72"/>
  <c r="BM92" i="72"/>
  <c r="BM99" i="72"/>
  <c r="BM100" i="72"/>
  <c r="BM103" i="72"/>
  <c r="BM111" i="72"/>
  <c r="BM113" i="72"/>
  <c r="BM118" i="72"/>
  <c r="BM121" i="72"/>
  <c r="BM124" i="72"/>
  <c r="BM125" i="72"/>
  <c r="BM130" i="72"/>
  <c r="BM137" i="72"/>
  <c r="BM138" i="72"/>
  <c r="BM140" i="72"/>
  <c r="BM143" i="72"/>
  <c r="BM145" i="72"/>
  <c r="BM147" i="72"/>
  <c r="BM189" i="72"/>
  <c r="BM191" i="72" s="1"/>
  <c r="BO189" i="72"/>
  <c r="BO191" i="72" s="1"/>
  <c r="BO199" i="72"/>
  <c r="BM194" i="72"/>
  <c r="BM196" i="72"/>
  <c r="BM149" i="72"/>
  <c r="BM151" i="72"/>
  <c r="BM155" i="72"/>
  <c r="BM158" i="72"/>
  <c r="BM161" i="72"/>
  <c r="BM162" i="72"/>
  <c r="BM165" i="72"/>
  <c r="BM167" i="72"/>
  <c r="BM176" i="72"/>
  <c r="BM469" i="15"/>
  <c r="BQ446" i="15"/>
  <c r="BM213" i="47"/>
  <c r="BM79" i="46" s="1"/>
  <c r="BM178" i="47"/>
  <c r="BM179" i="47" s="1"/>
  <c r="BO213" i="47"/>
  <c r="BO79" i="46" s="1"/>
  <c r="BO132" i="47"/>
  <c r="BO142" i="47"/>
  <c r="BO147" i="47"/>
  <c r="BN213" i="47"/>
  <c r="BN79" i="46" s="1"/>
  <c r="BP213" i="47"/>
  <c r="BP79" i="46" s="1"/>
  <c r="BN171" i="47"/>
  <c r="BN172" i="47"/>
  <c r="BO172" i="47" s="1"/>
  <c r="BN173" i="47"/>
  <c r="BO173" i="47" s="1"/>
  <c r="BN174" i="47"/>
  <c r="BO174" i="47" s="1"/>
  <c r="BN175" i="47"/>
  <c r="BO175" i="47" s="1"/>
  <c r="BN176" i="47"/>
  <c r="BO176" i="47" s="1"/>
  <c r="BN177" i="47"/>
  <c r="BO177" i="47" s="1"/>
  <c r="BN214" i="47"/>
  <c r="BO214" i="47" s="1"/>
  <c r="AP42" i="51"/>
  <c r="AP41" i="51"/>
  <c r="AP38" i="51"/>
  <c r="AP35" i="51"/>
  <c r="AP32" i="51"/>
  <c r="AP23" i="51"/>
  <c r="AP22" i="51"/>
  <c r="AP17" i="51"/>
  <c r="AZ17" i="51" s="1"/>
  <c r="BE17" i="51" s="1"/>
  <c r="BJ17" i="51" s="1"/>
  <c r="BO17" i="51" s="1"/>
  <c r="BO57" i="51" s="1"/>
  <c r="AP16" i="51"/>
  <c r="AZ16" i="51" s="1"/>
  <c r="BE16" i="51" s="1"/>
  <c r="BJ16" i="51" s="1"/>
  <c r="BO16" i="51" s="1"/>
  <c r="AP15" i="51"/>
  <c r="AZ15" i="51" s="1"/>
  <c r="BE15" i="51" s="1"/>
  <c r="BJ15" i="51" s="1"/>
  <c r="BO15" i="51" s="1"/>
  <c r="AP14" i="51"/>
  <c r="AZ14" i="51" s="1"/>
  <c r="BE14" i="51" s="1"/>
  <c r="BJ14" i="51" s="1"/>
  <c r="AP482" i="15"/>
  <c r="AP455" i="15"/>
  <c r="AP426" i="15"/>
  <c r="AP58" i="15"/>
  <c r="AP56" i="15"/>
  <c r="AP55" i="15"/>
  <c r="AP54" i="15"/>
  <c r="AP53" i="15"/>
  <c r="AP52" i="15"/>
  <c r="AP23" i="15"/>
  <c r="AP13" i="15"/>
  <c r="AP13" i="51" s="1"/>
  <c r="AZ13" i="51" s="1"/>
  <c r="BE13" i="51" s="1"/>
  <c r="BJ13" i="51" s="1"/>
  <c r="BO13" i="51" s="1"/>
  <c r="AP10" i="15"/>
  <c r="AK208" i="47"/>
  <c r="AP57" i="51"/>
  <c r="AP235" i="47"/>
  <c r="AP202" i="47"/>
  <c r="AP152" i="47"/>
  <c r="AP104" i="47"/>
  <c r="AP107" i="47" s="1"/>
  <c r="AP54" i="47"/>
  <c r="AP53" i="47"/>
  <c r="AP39" i="47"/>
  <c r="AP32" i="47"/>
  <c r="AP15" i="47"/>
  <c r="AP192" i="46"/>
  <c r="AP193" i="46" s="1"/>
  <c r="AP183" i="46"/>
  <c r="AP181" i="46"/>
  <c r="AP176" i="46"/>
  <c r="AP168" i="46"/>
  <c r="AP161" i="46"/>
  <c r="AP142" i="46"/>
  <c r="AP143" i="46" s="1"/>
  <c r="AP133" i="46"/>
  <c r="AP132" i="46"/>
  <c r="AP128" i="46"/>
  <c r="AO87" i="46"/>
  <c r="BN173" i="15" l="1"/>
  <c r="BN174" i="15" s="1"/>
  <c r="BO467" i="15"/>
  <c r="BO114" i="46" s="1"/>
  <c r="BN200" i="47"/>
  <c r="BM96" i="46"/>
  <c r="BM450" i="15" s="1"/>
  <c r="BO210" i="47"/>
  <c r="BO128" i="46" s="1"/>
  <c r="AP18" i="15"/>
  <c r="AP20" i="15" s="1"/>
  <c r="AP25" i="15" s="1"/>
  <c r="AP211" i="46"/>
  <c r="BO201" i="72"/>
  <c r="AP109" i="47"/>
  <c r="AP483" i="15"/>
  <c r="AQ13" i="15"/>
  <c r="AP382" i="15"/>
  <c r="AP385" i="15" s="1"/>
  <c r="AP25" i="47"/>
  <c r="AP121" i="47"/>
  <c r="BP221" i="47"/>
  <c r="BP113" i="46" s="1"/>
  <c r="BN113" i="46"/>
  <c r="BN178" i="47"/>
  <c r="BN179" i="47" s="1"/>
  <c r="BL199" i="72"/>
  <c r="BL201" i="72" s="1"/>
  <c r="BN199" i="72"/>
  <c r="BN201" i="72" s="1"/>
  <c r="BM199" i="72"/>
  <c r="BM201" i="72" s="1"/>
  <c r="BM173" i="15"/>
  <c r="BM174" i="15" s="1"/>
  <c r="BP214" i="47"/>
  <c r="BP215" i="47" s="1"/>
  <c r="BP177" i="47"/>
  <c r="BP176" i="47"/>
  <c r="BP175" i="47"/>
  <c r="BP174" i="47"/>
  <c r="BP173" i="47"/>
  <c r="BP172" i="47"/>
  <c r="BN147" i="47"/>
  <c r="BN142" i="47"/>
  <c r="BN132" i="47"/>
  <c r="BM215" i="47"/>
  <c r="BM271" i="47"/>
  <c r="BQ213" i="47"/>
  <c r="BO171" i="47"/>
  <c r="BP271" i="47"/>
  <c r="BN271" i="47"/>
  <c r="BN215" i="47"/>
  <c r="BO215" i="47"/>
  <c r="BO271" i="47"/>
  <c r="BP467" i="15" l="1"/>
  <c r="BP114" i="46" s="1"/>
  <c r="BM200" i="47"/>
  <c r="BP210" i="47"/>
  <c r="BP128" i="46" s="1"/>
  <c r="BQ128" i="46" s="1"/>
  <c r="AP26" i="15"/>
  <c r="AP214" i="46"/>
  <c r="AP212" i="46" s="1"/>
  <c r="AP107" i="46"/>
  <c r="AP492" i="15"/>
  <c r="AQ382" i="15"/>
  <c r="AQ385" i="15" s="1"/>
  <c r="AQ13" i="51"/>
  <c r="BA13" i="51" s="1"/>
  <c r="BF13" i="51" s="1"/>
  <c r="BK13" i="51" s="1"/>
  <c r="BP13" i="51" s="1"/>
  <c r="BQ215" i="47"/>
  <c r="BQ79" i="46"/>
  <c r="BO178" i="47"/>
  <c r="BO179" i="47" s="1"/>
  <c r="BM132" i="47"/>
  <c r="BM142" i="47"/>
  <c r="BM147" i="47"/>
  <c r="BP171" i="47"/>
  <c r="BQ271" i="47"/>
  <c r="AP24" i="46"/>
  <c r="AP24" i="51" s="1"/>
  <c r="AP9" i="46"/>
  <c r="AP10" i="51" s="1"/>
  <c r="AP215" i="46" l="1"/>
  <c r="AP209" i="46"/>
  <c r="AP206" i="46"/>
  <c r="AP18" i="51"/>
  <c r="AP493" i="15"/>
  <c r="AP504" i="15"/>
  <c r="AP490" i="15"/>
  <c r="AP505" i="15"/>
  <c r="BP178" i="47"/>
  <c r="BP179" i="47" s="1"/>
  <c r="BV69" i="47" l="1"/>
  <c r="BV72" i="47" s="1"/>
  <c r="AX127" i="46" l="1"/>
  <c r="AY127" i="46"/>
  <c r="AZ127" i="46"/>
  <c r="BA127" i="46"/>
  <c r="BL75" i="47" l="1"/>
  <c r="BG75" i="47"/>
  <c r="BB75" i="47"/>
  <c r="BC274" i="47"/>
  <c r="BD274" i="47"/>
  <c r="BE274" i="47"/>
  <c r="BF274" i="47"/>
  <c r="AX274" i="47"/>
  <c r="AY274" i="47"/>
  <c r="AZ274" i="47"/>
  <c r="BA274" i="47"/>
  <c r="BS164" i="47"/>
  <c r="BS165" i="47"/>
  <c r="BS167" i="47"/>
  <c r="AR168" i="47"/>
  <c r="AP162" i="47" l="1"/>
  <c r="AQ162" i="47"/>
  <c r="AR162" i="47"/>
  <c r="BS166" i="47"/>
  <c r="AW168" i="47"/>
  <c r="BD204" i="15"/>
  <c r="AS204" i="15"/>
  <c r="AT204" i="15" s="1"/>
  <c r="AW162" i="47" l="1"/>
  <c r="AV162" i="47"/>
  <c r="AU162" i="47"/>
  <c r="AT162" i="47"/>
  <c r="AS162" i="47"/>
  <c r="DF58" i="64"/>
  <c r="DF109" i="64"/>
  <c r="BX66" i="67"/>
  <c r="BU66" i="15"/>
  <c r="BP429" i="15" l="1"/>
  <c r="DK109" i="64"/>
  <c r="DK58" i="64"/>
  <c r="BO429" i="15"/>
  <c r="BM429" i="15"/>
  <c r="BN429" i="15"/>
  <c r="BL179" i="67"/>
  <c r="BJ179" i="67"/>
  <c r="AN36" i="67"/>
  <c r="AM80" i="67"/>
  <c r="AT104" i="67"/>
  <c r="AS104" i="67"/>
  <c r="AR104" i="67"/>
  <c r="AQ104" i="67"/>
  <c r="AT103" i="67"/>
  <c r="AS103" i="67"/>
  <c r="AR103" i="67"/>
  <c r="AQ103" i="67"/>
  <c r="AT102" i="67"/>
  <c r="AS102" i="67"/>
  <c r="AR102" i="67"/>
  <c r="AQ102" i="67"/>
  <c r="AT101" i="67"/>
  <c r="AS101" i="67"/>
  <c r="AR101" i="67"/>
  <c r="AQ101" i="67"/>
  <c r="AT100" i="67"/>
  <c r="AS100" i="67"/>
  <c r="AR100" i="67"/>
  <c r="AQ100" i="67"/>
  <c r="AT99" i="67"/>
  <c r="AS99" i="67"/>
  <c r="AR99" i="67"/>
  <c r="AQ99" i="67"/>
  <c r="AT87" i="67"/>
  <c r="AS87" i="67"/>
  <c r="AR87" i="67"/>
  <c r="AQ87" i="67"/>
  <c r="AT86" i="67"/>
  <c r="AS86" i="67"/>
  <c r="AR86" i="67"/>
  <c r="AQ86" i="67"/>
  <c r="AT85" i="67"/>
  <c r="AS85" i="67"/>
  <c r="AR85" i="67"/>
  <c r="AQ85" i="67"/>
  <c r="AT84" i="67"/>
  <c r="AS84" i="67"/>
  <c r="AR84" i="67"/>
  <c r="AQ84" i="67"/>
  <c r="AT83" i="67"/>
  <c r="AS83" i="67"/>
  <c r="AR83" i="67"/>
  <c r="AQ83" i="67"/>
  <c r="AT82" i="67"/>
  <c r="AS82" i="67"/>
  <c r="AR82" i="67"/>
  <c r="AQ82" i="67"/>
  <c r="AT81" i="67"/>
  <c r="AS81" i="67"/>
  <c r="AR81" i="67"/>
  <c r="AQ81" i="67"/>
  <c r="AT80" i="67"/>
  <c r="BF95" i="15" s="1"/>
  <c r="AS80" i="67"/>
  <c r="BE95" i="15" s="1"/>
  <c r="AR80" i="67"/>
  <c r="BD95" i="15" s="1"/>
  <c r="AQ80" i="67"/>
  <c r="BC95" i="15" s="1"/>
  <c r="AT24" i="67"/>
  <c r="AS24" i="67"/>
  <c r="AR24" i="67"/>
  <c r="AQ24" i="67"/>
  <c r="AT23" i="67"/>
  <c r="AS23" i="67"/>
  <c r="AR23" i="67"/>
  <c r="AQ23" i="67"/>
  <c r="AT22" i="67"/>
  <c r="AS22" i="67"/>
  <c r="AR22" i="67"/>
  <c r="AQ22" i="67"/>
  <c r="AT21" i="67"/>
  <c r="AS21" i="67"/>
  <c r="AR21" i="67"/>
  <c r="AQ21" i="67"/>
  <c r="AT20" i="67"/>
  <c r="AS20" i="67"/>
  <c r="AR20" i="67"/>
  <c r="AQ20" i="67"/>
  <c r="AT59" i="67"/>
  <c r="AS59" i="67"/>
  <c r="AR59" i="67"/>
  <c r="AQ59" i="67"/>
  <c r="AT58" i="67"/>
  <c r="AS58" i="67"/>
  <c r="AR58" i="67"/>
  <c r="AQ58" i="67"/>
  <c r="AT57" i="67"/>
  <c r="BF71" i="15" s="1"/>
  <c r="AS57" i="67"/>
  <c r="BE71" i="15" s="1"/>
  <c r="AR57" i="67"/>
  <c r="BD71" i="15" s="1"/>
  <c r="AQ57" i="67"/>
  <c r="BC71" i="15" s="1"/>
  <c r="AT56" i="67"/>
  <c r="AS56" i="67"/>
  <c r="AR56" i="67"/>
  <c r="AQ56" i="67"/>
  <c r="AT55" i="67"/>
  <c r="BF72" i="15" s="1"/>
  <c r="AS55" i="67"/>
  <c r="BE72" i="15" s="1"/>
  <c r="AR55" i="67"/>
  <c r="BD72" i="15" s="1"/>
  <c r="AQ55" i="67"/>
  <c r="BC72" i="15" s="1"/>
  <c r="AT54" i="67"/>
  <c r="AS54" i="67"/>
  <c r="AR54" i="67"/>
  <c r="AQ54" i="67"/>
  <c r="BG72" i="15" l="1"/>
  <c r="BG71" i="15"/>
  <c r="BG95" i="15"/>
  <c r="BP176" i="15"/>
  <c r="BO176" i="15" s="1"/>
  <c r="BN176" i="15" s="1"/>
  <c r="BM176" i="15" s="1"/>
  <c r="BC429" i="15"/>
  <c r="BE151" i="67" l="1"/>
  <c r="BF151" i="67"/>
  <c r="BG151" i="67"/>
  <c r="BH151" i="67"/>
  <c r="BI151" i="67"/>
  <c r="BJ151" i="67"/>
  <c r="BK151" i="67"/>
  <c r="BL151" i="67"/>
  <c r="BM151" i="67"/>
  <c r="BN151" i="67"/>
  <c r="BO151" i="67"/>
  <c r="BE152" i="67"/>
  <c r="BF152" i="67"/>
  <c r="BG152" i="67"/>
  <c r="BH152" i="67"/>
  <c r="BI152" i="67"/>
  <c r="BJ152" i="67"/>
  <c r="BK152" i="67"/>
  <c r="BL152" i="67"/>
  <c r="BM152" i="67"/>
  <c r="BN152" i="67"/>
  <c r="BO152" i="67"/>
  <c r="BE153" i="67"/>
  <c r="BF153" i="67"/>
  <c r="BG153" i="67"/>
  <c r="BH153" i="67"/>
  <c r="BI153" i="67"/>
  <c r="BJ153" i="67"/>
  <c r="BK153" i="67"/>
  <c r="BL153" i="67"/>
  <c r="BM153" i="67"/>
  <c r="BN153" i="67"/>
  <c r="BO153" i="67"/>
  <c r="BE154" i="67"/>
  <c r="BF154" i="67"/>
  <c r="BG154" i="67"/>
  <c r="BH154" i="67"/>
  <c r="BI154" i="67"/>
  <c r="BJ154" i="67"/>
  <c r="BK154" i="67"/>
  <c r="BL154" i="67"/>
  <c r="BM154" i="67"/>
  <c r="BN154" i="67"/>
  <c r="BO154" i="67"/>
  <c r="BE155" i="67"/>
  <c r="BF155" i="67"/>
  <c r="BG155" i="67"/>
  <c r="BH155" i="67"/>
  <c r="BI155" i="67"/>
  <c r="BJ155" i="67"/>
  <c r="BK155" i="67"/>
  <c r="BL155" i="67"/>
  <c r="BM155" i="67"/>
  <c r="BN155" i="67"/>
  <c r="BO155" i="67"/>
  <c r="BE159" i="67"/>
  <c r="BF159" i="67"/>
  <c r="BG159" i="67"/>
  <c r="BH159" i="67"/>
  <c r="BI159" i="67"/>
  <c r="BJ159" i="67"/>
  <c r="BK159" i="67"/>
  <c r="BL159" i="67"/>
  <c r="BM159" i="67"/>
  <c r="BN159" i="67"/>
  <c r="BO159" i="67"/>
  <c r="BE160" i="67"/>
  <c r="BF160" i="67"/>
  <c r="BG160" i="67"/>
  <c r="BH160" i="67"/>
  <c r="BI160" i="67"/>
  <c r="BJ160" i="67"/>
  <c r="BK160" i="67"/>
  <c r="BL160" i="67"/>
  <c r="BM160" i="67"/>
  <c r="BN160" i="67"/>
  <c r="BO160" i="67"/>
  <c r="BE161" i="67"/>
  <c r="BF161" i="67"/>
  <c r="BG161" i="67"/>
  <c r="BH161" i="67"/>
  <c r="BI161" i="67"/>
  <c r="BJ161" i="67"/>
  <c r="BK161" i="67"/>
  <c r="BL161" i="67"/>
  <c r="BM161" i="67"/>
  <c r="BN161" i="67"/>
  <c r="BO161" i="67"/>
  <c r="BE162" i="67"/>
  <c r="BF162" i="67"/>
  <c r="BG162" i="67"/>
  <c r="BH162" i="67"/>
  <c r="BI162" i="67"/>
  <c r="BJ162" i="67"/>
  <c r="BK162" i="67"/>
  <c r="BL162" i="67"/>
  <c r="BM162" i="67"/>
  <c r="BN162" i="67"/>
  <c r="BO162" i="67"/>
  <c r="BE163" i="67"/>
  <c r="BF163" i="67"/>
  <c r="BG163" i="67"/>
  <c r="BH163" i="67"/>
  <c r="BI163" i="67"/>
  <c r="BJ163" i="67"/>
  <c r="BK163" i="67"/>
  <c r="BL163" i="67"/>
  <c r="BM163" i="67"/>
  <c r="BN163" i="67"/>
  <c r="BO163" i="67"/>
  <c r="BE164" i="67"/>
  <c r="BF164" i="67"/>
  <c r="BG164" i="67"/>
  <c r="BH164" i="67"/>
  <c r="BI164" i="67"/>
  <c r="BJ164" i="67"/>
  <c r="BK164" i="67"/>
  <c r="BL164" i="67"/>
  <c r="BM164" i="67"/>
  <c r="BN164" i="67"/>
  <c r="BO164" i="67"/>
  <c r="BE165" i="67"/>
  <c r="BF165" i="67"/>
  <c r="BG165" i="67"/>
  <c r="BH165" i="67"/>
  <c r="BI165" i="67"/>
  <c r="BJ165" i="67"/>
  <c r="BK165" i="67"/>
  <c r="BL165" i="67"/>
  <c r="BM165" i="67"/>
  <c r="BN165" i="67"/>
  <c r="BO165" i="67"/>
  <c r="BE166" i="67"/>
  <c r="BF166" i="67"/>
  <c r="BG166" i="67"/>
  <c r="BH166" i="67"/>
  <c r="BI166" i="67"/>
  <c r="BJ166" i="67"/>
  <c r="BK166" i="67"/>
  <c r="BL166" i="67"/>
  <c r="BM166" i="67"/>
  <c r="BN166" i="67"/>
  <c r="BO166" i="67"/>
  <c r="BE167" i="67"/>
  <c r="BF167" i="67"/>
  <c r="BG167" i="67"/>
  <c r="BH167" i="67"/>
  <c r="BI167" i="67"/>
  <c r="BJ167" i="67"/>
  <c r="BK167" i="67"/>
  <c r="BL167" i="67"/>
  <c r="BM167" i="67"/>
  <c r="BN167" i="67"/>
  <c r="BO167" i="67"/>
  <c r="BE168" i="67"/>
  <c r="BF168" i="67"/>
  <c r="BG168" i="67"/>
  <c r="BH168" i="67"/>
  <c r="BI168" i="67"/>
  <c r="BJ168" i="67"/>
  <c r="BK168" i="67"/>
  <c r="BL168" i="67"/>
  <c r="BM168" i="67"/>
  <c r="BN168" i="67"/>
  <c r="BO168" i="67"/>
  <c r="BE169" i="67"/>
  <c r="BF169" i="67"/>
  <c r="BG169" i="67"/>
  <c r="BH169" i="67"/>
  <c r="BI169" i="67"/>
  <c r="BJ169" i="67"/>
  <c r="BK169" i="67"/>
  <c r="BL169" i="67"/>
  <c r="BM169" i="67"/>
  <c r="BN169" i="67"/>
  <c r="BO169" i="67"/>
  <c r="BE170" i="67"/>
  <c r="BF170" i="67"/>
  <c r="BG170" i="67"/>
  <c r="BH170" i="67"/>
  <c r="BI170" i="67"/>
  <c r="BJ170" i="67"/>
  <c r="BK170" i="67"/>
  <c r="BL170" i="67"/>
  <c r="BM170" i="67"/>
  <c r="BN170" i="67"/>
  <c r="BO170" i="67"/>
  <c r="BE171" i="67"/>
  <c r="BF171" i="67"/>
  <c r="BG171" i="67"/>
  <c r="BH171" i="67"/>
  <c r="BI171" i="67"/>
  <c r="BJ171" i="67"/>
  <c r="BK171" i="67"/>
  <c r="BL171" i="67"/>
  <c r="BM171" i="67"/>
  <c r="BN171" i="67"/>
  <c r="BO171" i="67"/>
  <c r="BE172" i="67"/>
  <c r="BF172" i="67"/>
  <c r="BG172" i="67"/>
  <c r="BH172" i="67"/>
  <c r="BI172" i="67"/>
  <c r="BJ172" i="67"/>
  <c r="BK172" i="67"/>
  <c r="BL172" i="67"/>
  <c r="BM172" i="67"/>
  <c r="BN172" i="67"/>
  <c r="BO172" i="67"/>
  <c r="BE173" i="67"/>
  <c r="BF173" i="67"/>
  <c r="BG173" i="67"/>
  <c r="BH173" i="67"/>
  <c r="BI173" i="67"/>
  <c r="BJ173" i="67"/>
  <c r="BK173" i="67"/>
  <c r="BL173" i="67"/>
  <c r="BM173" i="67"/>
  <c r="BN173" i="67"/>
  <c r="BO173" i="67"/>
  <c r="BE174" i="67"/>
  <c r="BF174" i="67"/>
  <c r="BG174" i="67"/>
  <c r="BH174" i="67"/>
  <c r="BI174" i="67"/>
  <c r="BJ174" i="67"/>
  <c r="BK174" i="67"/>
  <c r="BL174" i="67"/>
  <c r="BM174" i="67"/>
  <c r="BN174" i="67"/>
  <c r="BO174" i="67"/>
  <c r="BE177" i="67"/>
  <c r="BF177" i="67"/>
  <c r="BG177" i="67"/>
  <c r="BH177" i="67"/>
  <c r="BI177" i="67"/>
  <c r="BJ177" i="67"/>
  <c r="BK177" i="67"/>
  <c r="BL177" i="67"/>
  <c r="BM177" i="67"/>
  <c r="BN177" i="67"/>
  <c r="BO177" i="67"/>
  <c r="BE178" i="67"/>
  <c r="BF178" i="67"/>
  <c r="BG178" i="67"/>
  <c r="BH178" i="67"/>
  <c r="BI178" i="67"/>
  <c r="BJ178" i="67"/>
  <c r="BK178" i="67"/>
  <c r="BL178" i="67"/>
  <c r="BM178" i="67"/>
  <c r="BN178" i="67"/>
  <c r="BO178" i="67"/>
  <c r="BE179" i="67"/>
  <c r="BF179" i="67"/>
  <c r="BG179" i="67"/>
  <c r="BH179" i="67"/>
  <c r="BI179" i="67"/>
  <c r="BK179" i="67"/>
  <c r="BM179" i="67"/>
  <c r="BN179" i="67"/>
  <c r="BO179" i="67"/>
  <c r="BE180" i="67"/>
  <c r="BF180" i="67"/>
  <c r="BG180" i="67"/>
  <c r="BH180" i="67"/>
  <c r="BI180" i="67"/>
  <c r="BJ180" i="67"/>
  <c r="BK180" i="67"/>
  <c r="BL180" i="67"/>
  <c r="BM180" i="67"/>
  <c r="BN180" i="67"/>
  <c r="BO180" i="67"/>
  <c r="BE181" i="67"/>
  <c r="BF181" i="67"/>
  <c r="BG181" i="67"/>
  <c r="BH181" i="67"/>
  <c r="BI181" i="67"/>
  <c r="BJ181" i="67"/>
  <c r="BK181" i="67"/>
  <c r="BL181" i="67"/>
  <c r="BM181" i="67"/>
  <c r="BN181" i="67"/>
  <c r="BO181" i="67"/>
  <c r="BE182" i="67"/>
  <c r="BF182" i="67"/>
  <c r="BG182" i="67"/>
  <c r="BH182" i="67"/>
  <c r="BI182" i="67"/>
  <c r="BJ182" i="67"/>
  <c r="BK182" i="67"/>
  <c r="BL182" i="67"/>
  <c r="BM182" i="67"/>
  <c r="BN182" i="67"/>
  <c r="BO182" i="67"/>
  <c r="BE183" i="67"/>
  <c r="BF183" i="67"/>
  <c r="BG183" i="67"/>
  <c r="BH183" i="67"/>
  <c r="BI183" i="67"/>
  <c r="BJ183" i="67"/>
  <c r="BK183" i="67"/>
  <c r="BL183" i="67"/>
  <c r="BM183" i="67"/>
  <c r="BN183" i="67"/>
  <c r="BO183" i="67"/>
  <c r="BE184" i="67"/>
  <c r="BF184" i="67"/>
  <c r="BG184" i="67"/>
  <c r="BH184" i="67"/>
  <c r="BI184" i="67"/>
  <c r="BJ184" i="67"/>
  <c r="BK184" i="67"/>
  <c r="BL184" i="67"/>
  <c r="BM184" i="67"/>
  <c r="BN184" i="67"/>
  <c r="BO184" i="67"/>
  <c r="BE185" i="67"/>
  <c r="BF185" i="67"/>
  <c r="BG185" i="67"/>
  <c r="BH185" i="67"/>
  <c r="BI185" i="67"/>
  <c r="BJ185" i="67"/>
  <c r="BK185" i="67"/>
  <c r="BL185" i="67"/>
  <c r="BM185" i="67"/>
  <c r="BN185" i="67"/>
  <c r="BO185" i="67"/>
  <c r="BE186" i="67"/>
  <c r="BF186" i="67"/>
  <c r="BG186" i="67"/>
  <c r="BH186" i="67"/>
  <c r="BI186" i="67"/>
  <c r="BJ186" i="67"/>
  <c r="BK186" i="67"/>
  <c r="BL186" i="67"/>
  <c r="BM186" i="67"/>
  <c r="BN186" i="67"/>
  <c r="BO186" i="67"/>
  <c r="BE187" i="67"/>
  <c r="BF187" i="67"/>
  <c r="BG187" i="67"/>
  <c r="BH187" i="67"/>
  <c r="BI187" i="67"/>
  <c r="BJ187" i="67"/>
  <c r="BK187" i="67"/>
  <c r="BL187" i="67"/>
  <c r="BM187" i="67"/>
  <c r="BN187" i="67"/>
  <c r="BO187" i="67"/>
  <c r="BE188" i="67"/>
  <c r="BF188" i="67"/>
  <c r="BG188" i="67"/>
  <c r="BH188" i="67"/>
  <c r="BI188" i="67"/>
  <c r="BJ188" i="67"/>
  <c r="BK188" i="67"/>
  <c r="BL188" i="67"/>
  <c r="BM188" i="67"/>
  <c r="BN188" i="67"/>
  <c r="BO188" i="67"/>
  <c r="BE189" i="67"/>
  <c r="BF189" i="67"/>
  <c r="BG189" i="67"/>
  <c r="BH189" i="67"/>
  <c r="BI189" i="67"/>
  <c r="BJ189" i="67"/>
  <c r="BK189" i="67"/>
  <c r="BL189" i="67"/>
  <c r="BM189" i="67"/>
  <c r="BN189" i="67"/>
  <c r="BO189" i="67"/>
  <c r="BE190" i="67"/>
  <c r="BF190" i="67"/>
  <c r="BG190" i="67"/>
  <c r="BH190" i="67"/>
  <c r="BI190" i="67"/>
  <c r="BJ190" i="67"/>
  <c r="BK190" i="67"/>
  <c r="BL190" i="67"/>
  <c r="BM190" i="67"/>
  <c r="BN190" i="67"/>
  <c r="BO190" i="67"/>
  <c r="BE191" i="67"/>
  <c r="BF191" i="67"/>
  <c r="BG191" i="67"/>
  <c r="BH191" i="67"/>
  <c r="BI191" i="67"/>
  <c r="BJ191" i="67"/>
  <c r="BK191" i="67"/>
  <c r="BL191" i="67"/>
  <c r="BM191" i="67"/>
  <c r="BN191" i="67"/>
  <c r="BO191" i="67"/>
  <c r="BE192" i="67"/>
  <c r="BF192" i="67"/>
  <c r="BG192" i="67"/>
  <c r="BH192" i="67"/>
  <c r="BI192" i="67"/>
  <c r="BJ192" i="67"/>
  <c r="BK192" i="67"/>
  <c r="BL192" i="67"/>
  <c r="BM192" i="67"/>
  <c r="BN192" i="67"/>
  <c r="BO192" i="67"/>
  <c r="BE196" i="67"/>
  <c r="BF196" i="67"/>
  <c r="BG196" i="67"/>
  <c r="BH196" i="67"/>
  <c r="BI196" i="67"/>
  <c r="BJ196" i="67"/>
  <c r="BK196" i="67"/>
  <c r="BL196" i="67"/>
  <c r="BM196" i="67"/>
  <c r="BN196" i="67"/>
  <c r="BO196" i="67"/>
  <c r="BE197" i="67"/>
  <c r="BF197" i="67"/>
  <c r="BG197" i="67"/>
  <c r="BH197" i="67"/>
  <c r="BI197" i="67"/>
  <c r="BJ197" i="67"/>
  <c r="BK197" i="67"/>
  <c r="BL197" i="67"/>
  <c r="BM197" i="67"/>
  <c r="BN197" i="67"/>
  <c r="BO197" i="67"/>
  <c r="BE198" i="67"/>
  <c r="BF198" i="67"/>
  <c r="BG198" i="67"/>
  <c r="BH198" i="67"/>
  <c r="BI198" i="67"/>
  <c r="BJ198" i="67"/>
  <c r="BK198" i="67"/>
  <c r="BL198" i="67"/>
  <c r="BM198" i="67"/>
  <c r="BN198" i="67"/>
  <c r="BO198" i="67"/>
  <c r="BE199" i="67"/>
  <c r="BF199" i="67"/>
  <c r="BG199" i="67"/>
  <c r="BH199" i="67"/>
  <c r="BI199" i="67"/>
  <c r="BJ199" i="67"/>
  <c r="BK199" i="67"/>
  <c r="BL199" i="67"/>
  <c r="BM199" i="67"/>
  <c r="BN199" i="67"/>
  <c r="BO199" i="67"/>
  <c r="BE200" i="67"/>
  <c r="BF200" i="67"/>
  <c r="BG200" i="67"/>
  <c r="BH200" i="67"/>
  <c r="BI200" i="67"/>
  <c r="BJ200" i="67"/>
  <c r="BK200" i="67"/>
  <c r="BL200" i="67"/>
  <c r="BM200" i="67"/>
  <c r="BN200" i="67"/>
  <c r="BO200" i="67"/>
  <c r="BE201" i="67"/>
  <c r="BF201" i="67"/>
  <c r="BG201" i="67"/>
  <c r="BH201" i="67"/>
  <c r="BI201" i="67"/>
  <c r="BJ201" i="67"/>
  <c r="BK201" i="67"/>
  <c r="BL201" i="67"/>
  <c r="BM201" i="67"/>
  <c r="BN201" i="67"/>
  <c r="BO201" i="67"/>
  <c r="BE202" i="67"/>
  <c r="BF202" i="67"/>
  <c r="BG202" i="67"/>
  <c r="BH202" i="67"/>
  <c r="BI202" i="67"/>
  <c r="BJ202" i="67"/>
  <c r="BK202" i="67"/>
  <c r="BL202" i="67"/>
  <c r="BM202" i="67"/>
  <c r="BN202" i="67"/>
  <c r="BO202" i="67"/>
  <c r="BE203" i="67"/>
  <c r="BF203" i="67"/>
  <c r="BG203" i="67"/>
  <c r="BH203" i="67"/>
  <c r="BI203" i="67"/>
  <c r="BJ203" i="67"/>
  <c r="BK203" i="67"/>
  <c r="BL203" i="67"/>
  <c r="BM203" i="67"/>
  <c r="BN203" i="67"/>
  <c r="BO203" i="67"/>
  <c r="BE204" i="67"/>
  <c r="BF204" i="67"/>
  <c r="BG204" i="67"/>
  <c r="BH204" i="67"/>
  <c r="BI204" i="67"/>
  <c r="BJ204" i="67"/>
  <c r="BK204" i="67"/>
  <c r="BL204" i="67"/>
  <c r="BM204" i="67"/>
  <c r="BN204" i="67"/>
  <c r="BO204" i="67"/>
  <c r="BE205" i="67"/>
  <c r="BF205" i="67"/>
  <c r="BG205" i="67"/>
  <c r="BH205" i="67"/>
  <c r="BI205" i="67"/>
  <c r="BJ205" i="67"/>
  <c r="BK205" i="67"/>
  <c r="BL205" i="67"/>
  <c r="BM205" i="67"/>
  <c r="BN205" i="67"/>
  <c r="BO205" i="67"/>
  <c r="BE206" i="67"/>
  <c r="BF206" i="67"/>
  <c r="BG206" i="67"/>
  <c r="BH206" i="67"/>
  <c r="BI206" i="67"/>
  <c r="BJ206" i="67"/>
  <c r="BK206" i="67"/>
  <c r="BL206" i="67"/>
  <c r="BM206" i="67"/>
  <c r="BN206" i="67"/>
  <c r="BO206" i="67"/>
  <c r="BE207" i="67"/>
  <c r="BF207" i="67"/>
  <c r="BG207" i="67"/>
  <c r="BH207" i="67"/>
  <c r="BI207" i="67"/>
  <c r="BJ207" i="67"/>
  <c r="BK207" i="67"/>
  <c r="BL207" i="67"/>
  <c r="BM207" i="67"/>
  <c r="BN207" i="67"/>
  <c r="BO207" i="67"/>
  <c r="BE208" i="67"/>
  <c r="BF208" i="67"/>
  <c r="BG208" i="67"/>
  <c r="BH208" i="67"/>
  <c r="BI208" i="67"/>
  <c r="BJ208" i="67"/>
  <c r="BK208" i="67"/>
  <c r="BL208" i="67"/>
  <c r="BM208" i="67"/>
  <c r="BN208" i="67"/>
  <c r="BO208" i="67"/>
  <c r="BE209" i="67"/>
  <c r="BF209" i="67"/>
  <c r="BG209" i="67"/>
  <c r="BH209" i="67"/>
  <c r="BI209" i="67"/>
  <c r="BJ209" i="67"/>
  <c r="BK209" i="67"/>
  <c r="BL209" i="67"/>
  <c r="BM209" i="67"/>
  <c r="BN209" i="67"/>
  <c r="BO209" i="67"/>
  <c r="BE210" i="67"/>
  <c r="BF210" i="67"/>
  <c r="BG210" i="67"/>
  <c r="BH210" i="67"/>
  <c r="BI210" i="67"/>
  <c r="BJ210" i="67"/>
  <c r="BK210" i="67"/>
  <c r="BL210" i="67"/>
  <c r="BM210" i="67"/>
  <c r="BN210" i="67"/>
  <c r="BO210" i="67"/>
  <c r="BE211" i="67"/>
  <c r="BF211" i="67"/>
  <c r="BG211" i="67"/>
  <c r="BH211" i="67"/>
  <c r="BI211" i="67"/>
  <c r="BJ211" i="67"/>
  <c r="BK211" i="67"/>
  <c r="BL211" i="67"/>
  <c r="BM211" i="67"/>
  <c r="BN211" i="67"/>
  <c r="BO211" i="67"/>
  <c r="BE215" i="67"/>
  <c r="BF215" i="67"/>
  <c r="BG215" i="67"/>
  <c r="BH215" i="67"/>
  <c r="BI215" i="67"/>
  <c r="BJ215" i="67"/>
  <c r="BK215" i="67"/>
  <c r="BL215" i="67"/>
  <c r="BM215" i="67"/>
  <c r="BN215" i="67"/>
  <c r="BO215" i="67"/>
  <c r="BE216" i="67"/>
  <c r="BF216" i="67"/>
  <c r="BG216" i="67"/>
  <c r="BH216" i="67"/>
  <c r="BI216" i="67"/>
  <c r="BJ216" i="67"/>
  <c r="BK216" i="67"/>
  <c r="BL216" i="67"/>
  <c r="BM216" i="67"/>
  <c r="BN216" i="67"/>
  <c r="BO216" i="67"/>
  <c r="BE217" i="67"/>
  <c r="BF217" i="67"/>
  <c r="BG217" i="67"/>
  <c r="BH217" i="67"/>
  <c r="BI217" i="67"/>
  <c r="BJ217" i="67"/>
  <c r="BK217" i="67"/>
  <c r="BL217" i="67"/>
  <c r="BM217" i="67"/>
  <c r="BN217" i="67"/>
  <c r="BO217" i="67"/>
  <c r="BE221" i="67"/>
  <c r="BF221" i="67"/>
  <c r="BG221" i="67"/>
  <c r="BH221" i="67"/>
  <c r="BI221" i="67"/>
  <c r="BJ221" i="67"/>
  <c r="BK221" i="67"/>
  <c r="BL221" i="67"/>
  <c r="BM221" i="67"/>
  <c r="BN221" i="67"/>
  <c r="BO221" i="67"/>
  <c r="BE222" i="67"/>
  <c r="BF222" i="67"/>
  <c r="BG222" i="67"/>
  <c r="BH222" i="67"/>
  <c r="BI222" i="67"/>
  <c r="BJ222" i="67"/>
  <c r="BK222" i="67"/>
  <c r="BL222" i="67"/>
  <c r="BM222" i="67"/>
  <c r="BN222" i="67"/>
  <c r="BO222" i="67"/>
  <c r="BE223" i="67"/>
  <c r="BF223" i="67"/>
  <c r="BG223" i="67"/>
  <c r="BH223" i="67"/>
  <c r="BI223" i="67"/>
  <c r="BJ223" i="67"/>
  <c r="BK223" i="67"/>
  <c r="BL223" i="67"/>
  <c r="BM223" i="67"/>
  <c r="BN223" i="67"/>
  <c r="BO223" i="67"/>
  <c r="BE224" i="67"/>
  <c r="BF224" i="67"/>
  <c r="BG224" i="67"/>
  <c r="BH224" i="67"/>
  <c r="BI224" i="67"/>
  <c r="BJ224" i="67"/>
  <c r="BK224" i="67"/>
  <c r="BL224" i="67"/>
  <c r="BM224" i="67"/>
  <c r="BN224" i="67"/>
  <c r="BO224" i="67"/>
  <c r="BE225" i="67"/>
  <c r="BF225" i="67"/>
  <c r="BG225" i="67"/>
  <c r="BH225" i="67"/>
  <c r="BI225" i="67"/>
  <c r="BJ225" i="67"/>
  <c r="BK225" i="67"/>
  <c r="BL225" i="67"/>
  <c r="BM225" i="67"/>
  <c r="BN225" i="67"/>
  <c r="BO225" i="67"/>
  <c r="BE226" i="67"/>
  <c r="BF226" i="67"/>
  <c r="BG226" i="67"/>
  <c r="BH226" i="67"/>
  <c r="BI226" i="67"/>
  <c r="BJ226" i="67"/>
  <c r="BK226" i="67"/>
  <c r="BL226" i="67"/>
  <c r="BM226" i="67"/>
  <c r="BN226" i="67"/>
  <c r="BO226" i="67"/>
  <c r="BE227" i="67"/>
  <c r="BF227" i="67"/>
  <c r="BG227" i="67"/>
  <c r="BH227" i="67"/>
  <c r="BI227" i="67"/>
  <c r="BJ227" i="67"/>
  <c r="BK227" i="67"/>
  <c r="BL227" i="67"/>
  <c r="BM227" i="67"/>
  <c r="BN227" i="67"/>
  <c r="BO227" i="67"/>
  <c r="BE228" i="67"/>
  <c r="BF228" i="67"/>
  <c r="BG228" i="67"/>
  <c r="BH228" i="67"/>
  <c r="BI228" i="67"/>
  <c r="BJ228" i="67"/>
  <c r="BK228" i="67"/>
  <c r="BL228" i="67"/>
  <c r="BM228" i="67"/>
  <c r="BN228" i="67"/>
  <c r="BO228" i="67"/>
  <c r="BE229" i="67"/>
  <c r="BF229" i="67"/>
  <c r="BG229" i="67"/>
  <c r="BH229" i="67"/>
  <c r="BI229" i="67"/>
  <c r="BJ229" i="67"/>
  <c r="BK229" i="67"/>
  <c r="BL229" i="67"/>
  <c r="BM229" i="67"/>
  <c r="BN229" i="67"/>
  <c r="BO229" i="67"/>
  <c r="BE230" i="67"/>
  <c r="BF230" i="67"/>
  <c r="BG230" i="67"/>
  <c r="BH230" i="67"/>
  <c r="BI230" i="67"/>
  <c r="BJ230" i="67"/>
  <c r="BK230" i="67"/>
  <c r="BL230" i="67"/>
  <c r="BM230" i="67"/>
  <c r="BN230" i="67"/>
  <c r="BO230" i="67"/>
  <c r="BE231" i="67"/>
  <c r="BF231" i="67"/>
  <c r="BG231" i="67"/>
  <c r="BH231" i="67"/>
  <c r="BI231" i="67"/>
  <c r="BJ231" i="67"/>
  <c r="BK231" i="67"/>
  <c r="BL231" i="67"/>
  <c r="BM231" i="67"/>
  <c r="BN231" i="67"/>
  <c r="BO231" i="67"/>
  <c r="BE232" i="67"/>
  <c r="BF232" i="67"/>
  <c r="BG232" i="67"/>
  <c r="BH232" i="67"/>
  <c r="BI232" i="67"/>
  <c r="BJ232" i="67"/>
  <c r="BK232" i="67"/>
  <c r="BL232" i="67"/>
  <c r="BM232" i="67"/>
  <c r="BN232" i="67"/>
  <c r="BO232" i="67"/>
  <c r="BE233" i="67"/>
  <c r="BF233" i="67"/>
  <c r="BG233" i="67"/>
  <c r="BH233" i="67"/>
  <c r="BI233" i="67"/>
  <c r="BJ233" i="67"/>
  <c r="BK233" i="67"/>
  <c r="BL233" i="67"/>
  <c r="BM233" i="67"/>
  <c r="BN233" i="67"/>
  <c r="BO233" i="67"/>
  <c r="BE234" i="67"/>
  <c r="BF234" i="67"/>
  <c r="BG234" i="67"/>
  <c r="BH234" i="67"/>
  <c r="BI234" i="67"/>
  <c r="BJ234" i="67"/>
  <c r="BK234" i="67"/>
  <c r="BL234" i="67"/>
  <c r="BM234" i="67"/>
  <c r="BN234" i="67"/>
  <c r="BO234" i="67"/>
  <c r="BE235" i="67"/>
  <c r="BF235" i="67"/>
  <c r="BG235" i="67"/>
  <c r="BH235" i="67"/>
  <c r="BI235" i="67"/>
  <c r="BJ235" i="67"/>
  <c r="BK235" i="67"/>
  <c r="BL235" i="67"/>
  <c r="BM235" i="67"/>
  <c r="BN235" i="67"/>
  <c r="BO235" i="67"/>
  <c r="BE236" i="67"/>
  <c r="BF236" i="67"/>
  <c r="BG236" i="67"/>
  <c r="BH236" i="67"/>
  <c r="BI236" i="67"/>
  <c r="BJ236" i="67"/>
  <c r="BK236" i="67"/>
  <c r="BL236" i="67"/>
  <c r="BM236" i="67"/>
  <c r="BN236" i="67"/>
  <c r="BO236" i="67"/>
  <c r="BE239" i="67"/>
  <c r="BF239" i="67"/>
  <c r="BG239" i="67"/>
  <c r="BH239" i="67"/>
  <c r="BI239" i="67"/>
  <c r="BJ239" i="67"/>
  <c r="BK239" i="67"/>
  <c r="BL239" i="67"/>
  <c r="BM239" i="67"/>
  <c r="BN239" i="67"/>
  <c r="BO239" i="67"/>
  <c r="BE240" i="67"/>
  <c r="BF240" i="67"/>
  <c r="BG240" i="67"/>
  <c r="BH240" i="67"/>
  <c r="BI240" i="67"/>
  <c r="BJ240" i="67"/>
  <c r="BK240" i="67"/>
  <c r="BL240" i="67"/>
  <c r="BM240" i="67"/>
  <c r="BN240" i="67"/>
  <c r="BO240" i="67"/>
  <c r="BE241" i="67"/>
  <c r="BF241" i="67"/>
  <c r="BG241" i="67"/>
  <c r="BH241" i="67"/>
  <c r="BI241" i="67"/>
  <c r="BJ241" i="67"/>
  <c r="BK241" i="67"/>
  <c r="BL241" i="67"/>
  <c r="BM241" i="67"/>
  <c r="BN241" i="67"/>
  <c r="BO241" i="67"/>
  <c r="BE242" i="67"/>
  <c r="BF242" i="67"/>
  <c r="BG242" i="67"/>
  <c r="BH242" i="67"/>
  <c r="BI242" i="67"/>
  <c r="BJ242" i="67"/>
  <c r="BK242" i="67"/>
  <c r="BL242" i="67"/>
  <c r="BM242" i="67"/>
  <c r="BN242" i="67"/>
  <c r="BO242" i="67"/>
  <c r="BE243" i="67"/>
  <c r="BF243" i="67"/>
  <c r="BG243" i="67"/>
  <c r="BH243" i="67"/>
  <c r="BI243" i="67"/>
  <c r="BJ243" i="67"/>
  <c r="BK243" i="67"/>
  <c r="BL243" i="67"/>
  <c r="BM243" i="67"/>
  <c r="BN243" i="67"/>
  <c r="BO243" i="67"/>
  <c r="BE244" i="67"/>
  <c r="BF244" i="67"/>
  <c r="BG244" i="67"/>
  <c r="BH244" i="67"/>
  <c r="BI244" i="67"/>
  <c r="BJ244" i="67"/>
  <c r="BK244" i="67"/>
  <c r="BL244" i="67"/>
  <c r="BM244" i="67"/>
  <c r="BN244" i="67"/>
  <c r="BO244" i="67"/>
  <c r="BE245" i="67"/>
  <c r="BF245" i="67"/>
  <c r="BG245" i="67"/>
  <c r="BH245" i="67"/>
  <c r="BI245" i="67"/>
  <c r="BJ245" i="67"/>
  <c r="BK245" i="67"/>
  <c r="BL245" i="67"/>
  <c r="BM245" i="67"/>
  <c r="BN245" i="67"/>
  <c r="BO245" i="67"/>
  <c r="BE246" i="67"/>
  <c r="BF246" i="67"/>
  <c r="BG246" i="67"/>
  <c r="BH246" i="67"/>
  <c r="BI246" i="67"/>
  <c r="BJ246" i="67"/>
  <c r="BK246" i="67"/>
  <c r="BL246" i="67"/>
  <c r="BM246" i="67"/>
  <c r="BN246" i="67"/>
  <c r="BO246" i="67"/>
  <c r="BE247" i="67"/>
  <c r="BF247" i="67"/>
  <c r="BG247" i="67"/>
  <c r="BH247" i="67"/>
  <c r="BI247" i="67"/>
  <c r="BJ247" i="67"/>
  <c r="BK247" i="67"/>
  <c r="BL247" i="67"/>
  <c r="BM247" i="67"/>
  <c r="BN247" i="67"/>
  <c r="BO247" i="67"/>
  <c r="BE248" i="67"/>
  <c r="BF248" i="67"/>
  <c r="BG248" i="67"/>
  <c r="BH248" i="67"/>
  <c r="BI248" i="67"/>
  <c r="BJ248" i="67"/>
  <c r="BK248" i="67"/>
  <c r="BL248" i="67"/>
  <c r="BM248" i="67"/>
  <c r="BN248" i="67"/>
  <c r="BO248" i="67"/>
  <c r="BE249" i="67"/>
  <c r="BF249" i="67"/>
  <c r="BG249" i="67"/>
  <c r="BH249" i="67"/>
  <c r="BI249" i="67"/>
  <c r="BJ249" i="67"/>
  <c r="BK249" i="67"/>
  <c r="BL249" i="67"/>
  <c r="BM249" i="67"/>
  <c r="BN249" i="67"/>
  <c r="BO249" i="67"/>
  <c r="BE250" i="67"/>
  <c r="BF250" i="67"/>
  <c r="BG250" i="67"/>
  <c r="BH250" i="67"/>
  <c r="BI250" i="67"/>
  <c r="BJ250" i="67"/>
  <c r="BK250" i="67"/>
  <c r="BL250" i="67"/>
  <c r="BM250" i="67"/>
  <c r="BN250" i="67"/>
  <c r="BO250" i="67"/>
  <c r="BE251" i="67"/>
  <c r="BF251" i="67"/>
  <c r="BG251" i="67"/>
  <c r="BH251" i="67"/>
  <c r="BI251" i="67"/>
  <c r="BJ251" i="67"/>
  <c r="BK251" i="67"/>
  <c r="BL251" i="67"/>
  <c r="BM251" i="67"/>
  <c r="BN251" i="67"/>
  <c r="BO251" i="67"/>
  <c r="BE252" i="67"/>
  <c r="BF252" i="67"/>
  <c r="BG252" i="67"/>
  <c r="BH252" i="67"/>
  <c r="BI252" i="67"/>
  <c r="BJ252" i="67"/>
  <c r="BK252" i="67"/>
  <c r="BL252" i="67"/>
  <c r="BM252" i="67"/>
  <c r="BN252" i="67"/>
  <c r="BO252" i="67"/>
  <c r="BE253" i="67"/>
  <c r="BF253" i="67"/>
  <c r="BG253" i="67"/>
  <c r="BH253" i="67"/>
  <c r="BI253" i="67"/>
  <c r="BJ253" i="67"/>
  <c r="BK253" i="67"/>
  <c r="BL253" i="67"/>
  <c r="BM253" i="67"/>
  <c r="BN253" i="67"/>
  <c r="BO253" i="67"/>
  <c r="BE254" i="67"/>
  <c r="BF254" i="67"/>
  <c r="BG254" i="67"/>
  <c r="BH254" i="67"/>
  <c r="BI254" i="67"/>
  <c r="BJ254" i="67"/>
  <c r="BK254" i="67"/>
  <c r="BL254" i="67"/>
  <c r="BM254" i="67"/>
  <c r="BN254" i="67"/>
  <c r="BO254" i="67"/>
  <c r="BG257" i="67"/>
  <c r="BH257" i="67"/>
  <c r="BI257" i="67"/>
  <c r="BJ257" i="67"/>
  <c r="BK257" i="67"/>
  <c r="BL257" i="67"/>
  <c r="BM257" i="67"/>
  <c r="BN257" i="67"/>
  <c r="BO257" i="67"/>
  <c r="BG258" i="67"/>
  <c r="BH258" i="67"/>
  <c r="BI258" i="67"/>
  <c r="BJ258" i="67"/>
  <c r="BK258" i="67"/>
  <c r="BL258" i="67"/>
  <c r="BM258" i="67"/>
  <c r="BN258" i="67"/>
  <c r="BO258" i="67"/>
  <c r="BG259" i="67"/>
  <c r="BH259" i="67"/>
  <c r="BI259" i="67"/>
  <c r="BJ259" i="67"/>
  <c r="BK259" i="67"/>
  <c r="BL259" i="67"/>
  <c r="BM259" i="67"/>
  <c r="BN259" i="67"/>
  <c r="BO259" i="67"/>
  <c r="BG260" i="67"/>
  <c r="BH260" i="67"/>
  <c r="BI260" i="67"/>
  <c r="BJ260" i="67"/>
  <c r="BK260" i="67"/>
  <c r="BL260" i="67"/>
  <c r="BM260" i="67"/>
  <c r="BN260" i="67"/>
  <c r="BO260" i="67"/>
  <c r="BG261" i="67"/>
  <c r="BH261" i="67"/>
  <c r="BI261" i="67"/>
  <c r="BJ261" i="67"/>
  <c r="BK261" i="67"/>
  <c r="BL261" i="67"/>
  <c r="BM261" i="67"/>
  <c r="BN261" i="67"/>
  <c r="BO261" i="67"/>
  <c r="BG262" i="67"/>
  <c r="BH262" i="67"/>
  <c r="BI262" i="67"/>
  <c r="BJ262" i="67"/>
  <c r="BK262" i="67"/>
  <c r="BL262" i="67"/>
  <c r="BM262" i="67"/>
  <c r="BN262" i="67"/>
  <c r="BO262" i="67"/>
  <c r="BG263" i="67"/>
  <c r="BH263" i="67"/>
  <c r="BI263" i="67"/>
  <c r="BJ263" i="67"/>
  <c r="BK263" i="67"/>
  <c r="BL263" i="67"/>
  <c r="BM263" i="67"/>
  <c r="BN263" i="67"/>
  <c r="BO263" i="67"/>
  <c r="BG264" i="67"/>
  <c r="BH264" i="67"/>
  <c r="BI264" i="67"/>
  <c r="BJ264" i="67"/>
  <c r="BK264" i="67"/>
  <c r="BL264" i="67"/>
  <c r="BM264" i="67"/>
  <c r="BN264" i="67"/>
  <c r="BO264" i="67"/>
  <c r="BG265" i="67"/>
  <c r="BH265" i="67"/>
  <c r="BI265" i="67"/>
  <c r="BJ265" i="67"/>
  <c r="BK265" i="67"/>
  <c r="BL265" i="67"/>
  <c r="BM265" i="67"/>
  <c r="BN265" i="67"/>
  <c r="BO265" i="67"/>
  <c r="BG266" i="67"/>
  <c r="BH266" i="67"/>
  <c r="BI266" i="67"/>
  <c r="BJ266" i="67"/>
  <c r="BK266" i="67"/>
  <c r="BL266" i="67"/>
  <c r="BM266" i="67"/>
  <c r="BN266" i="67"/>
  <c r="BO266" i="67"/>
  <c r="BG267" i="67"/>
  <c r="BH267" i="67"/>
  <c r="BI267" i="67"/>
  <c r="BJ267" i="67"/>
  <c r="BK267" i="67"/>
  <c r="BL267" i="67"/>
  <c r="BM267" i="67"/>
  <c r="BN267" i="67"/>
  <c r="BO267" i="67"/>
  <c r="BG268" i="67"/>
  <c r="BH268" i="67"/>
  <c r="BI268" i="67"/>
  <c r="BJ268" i="67"/>
  <c r="BK268" i="67"/>
  <c r="BL268" i="67"/>
  <c r="BM268" i="67"/>
  <c r="BN268" i="67"/>
  <c r="BO268" i="67"/>
  <c r="BG269" i="67"/>
  <c r="BH269" i="67"/>
  <c r="BI269" i="67"/>
  <c r="BJ269" i="67"/>
  <c r="BK269" i="67"/>
  <c r="BL269" i="67"/>
  <c r="BM269" i="67"/>
  <c r="BN269" i="67"/>
  <c r="BO269" i="67"/>
  <c r="BG270" i="67"/>
  <c r="BH270" i="67"/>
  <c r="BI270" i="67"/>
  <c r="BJ270" i="67"/>
  <c r="BK270" i="67"/>
  <c r="BL270" i="67"/>
  <c r="BM270" i="67"/>
  <c r="BN270" i="67"/>
  <c r="BO270" i="67"/>
  <c r="BG271" i="67"/>
  <c r="BH271" i="67"/>
  <c r="BI271" i="67"/>
  <c r="BJ271" i="67"/>
  <c r="BK271" i="67"/>
  <c r="BL271" i="67"/>
  <c r="BM271" i="67"/>
  <c r="BN271" i="67"/>
  <c r="BO271" i="67"/>
  <c r="BG272" i="67"/>
  <c r="BH272" i="67"/>
  <c r="BI272" i="67"/>
  <c r="BJ272" i="67"/>
  <c r="BK272" i="67"/>
  <c r="BL272" i="67"/>
  <c r="BM272" i="67"/>
  <c r="BN272" i="67"/>
  <c r="BO272" i="67"/>
  <c r="BG273" i="67"/>
  <c r="BH273" i="67"/>
  <c r="BI273" i="67"/>
  <c r="BJ273" i="67"/>
  <c r="BK273" i="67"/>
  <c r="BL273" i="67"/>
  <c r="BM273" i="67"/>
  <c r="BN273" i="67"/>
  <c r="BO273" i="67"/>
  <c r="BH275" i="67"/>
  <c r="BI275" i="67"/>
  <c r="BJ275" i="67"/>
  <c r="BK275" i="67"/>
  <c r="BL275" i="67"/>
  <c r="BM275" i="67"/>
  <c r="BN275" i="67"/>
  <c r="BO275" i="67"/>
  <c r="BH276" i="67"/>
  <c r="BI276" i="67"/>
  <c r="BJ276" i="67"/>
  <c r="BK276" i="67"/>
  <c r="BL276" i="67"/>
  <c r="BM276" i="67"/>
  <c r="BN276" i="67"/>
  <c r="BO276" i="67"/>
  <c r="BH277" i="67"/>
  <c r="BI277" i="67"/>
  <c r="BJ277" i="67"/>
  <c r="BK277" i="67"/>
  <c r="BL277" i="67"/>
  <c r="BM277" i="67"/>
  <c r="BN277" i="67"/>
  <c r="BO277" i="67"/>
  <c r="BH278" i="67"/>
  <c r="BI278" i="67"/>
  <c r="BJ278" i="67"/>
  <c r="BK278" i="67"/>
  <c r="BL278" i="67"/>
  <c r="BM278" i="67"/>
  <c r="BN278" i="67"/>
  <c r="BO278" i="67"/>
  <c r="BH279" i="67"/>
  <c r="BI279" i="67"/>
  <c r="BJ279" i="67"/>
  <c r="BK279" i="67"/>
  <c r="BL279" i="67"/>
  <c r="BM279" i="67"/>
  <c r="BN279" i="67"/>
  <c r="BO279" i="67"/>
  <c r="BH280" i="67"/>
  <c r="BI280" i="67"/>
  <c r="BJ280" i="67"/>
  <c r="BK280" i="67"/>
  <c r="BL280" i="67"/>
  <c r="BM280" i="67"/>
  <c r="BN280" i="67"/>
  <c r="BO280" i="67"/>
  <c r="BH281" i="67"/>
  <c r="BI281" i="67"/>
  <c r="BJ281" i="67"/>
  <c r="BK281" i="67"/>
  <c r="BL281" i="67"/>
  <c r="BM281" i="67"/>
  <c r="BN281" i="67"/>
  <c r="BO281" i="67"/>
  <c r="BE204" i="15" l="1"/>
  <c r="BF204" i="15" s="1"/>
  <c r="AR304" i="47" l="1"/>
  <c r="AR307" i="47"/>
  <c r="AL124" i="47" l="1"/>
  <c r="AR294" i="47" l="1"/>
  <c r="AR292" i="47"/>
  <c r="AR288" i="47"/>
  <c r="AR285" i="47"/>
  <c r="AR282" i="47"/>
  <c r="AL284" i="47"/>
  <c r="AN284" i="47" s="1"/>
  <c r="AR284" i="47" s="1"/>
  <c r="AO408" i="15" l="1"/>
  <c r="AO411" i="15" s="1"/>
  <c r="AT412" i="15" s="1"/>
  <c r="AN408" i="15"/>
  <c r="AN411" i="15" s="1"/>
  <c r="AS412" i="15" s="1"/>
  <c r="AO394" i="15"/>
  <c r="AO397" i="15" s="1"/>
  <c r="AT398" i="15" s="1"/>
  <c r="AN394" i="15"/>
  <c r="AN397" i="15" s="1"/>
  <c r="AS398" i="15" s="1"/>
  <c r="AO388" i="15"/>
  <c r="AO391" i="15" s="1"/>
  <c r="AT392" i="15" s="1"/>
  <c r="AN388" i="15"/>
  <c r="AN391" i="15" s="1"/>
  <c r="AS392" i="15" s="1"/>
  <c r="AO382" i="15"/>
  <c r="AO385" i="15" s="1"/>
  <c r="AT386" i="15" s="1"/>
  <c r="AN382" i="15"/>
  <c r="AN385" i="15" s="1"/>
  <c r="AS386" i="15" s="1"/>
  <c r="AO58" i="15"/>
  <c r="AN202" i="47"/>
  <c r="AO202" i="47"/>
  <c r="AO186" i="47"/>
  <c r="AO187" i="47" s="1"/>
  <c r="AO183" i="47"/>
  <c r="AO184" i="47" s="1"/>
  <c r="AO129" i="47"/>
  <c r="AO131" i="47" s="1"/>
  <c r="AT132" i="47" s="1"/>
  <c r="AT77" i="47" s="1"/>
  <c r="AO134" i="47"/>
  <c r="AO136" i="47" s="1"/>
  <c r="AT137" i="47" s="1"/>
  <c r="AT78" i="47" s="1"/>
  <c r="AO139" i="47"/>
  <c r="AO141" i="47" s="1"/>
  <c r="AT142" i="47" s="1"/>
  <c r="AT79" i="47" s="1"/>
  <c r="AO144" i="47"/>
  <c r="AO146" i="47" s="1"/>
  <c r="AT147" i="47" s="1"/>
  <c r="AT80" i="47" s="1"/>
  <c r="AO113" i="46"/>
  <c r="AO114" i="46"/>
  <c r="AO115" i="46"/>
  <c r="AO117" i="46"/>
  <c r="AO118" i="46"/>
  <c r="AO80" i="46"/>
  <c r="AO82" i="46"/>
  <c r="AO88" i="46"/>
  <c r="AO68" i="46"/>
  <c r="AO62" i="46"/>
  <c r="AO60" i="46"/>
  <c r="AO59" i="46"/>
  <c r="AP142" i="67" l="1"/>
  <c r="AO142" i="67"/>
  <c r="AN142" i="67"/>
  <c r="AM142" i="67"/>
  <c r="AL142" i="67"/>
  <c r="AK142" i="67"/>
  <c r="AJ142" i="67"/>
  <c r="AI142" i="67"/>
  <c r="AH142" i="67"/>
  <c r="AG142" i="67"/>
  <c r="AF142" i="67"/>
  <c r="AE142" i="67"/>
  <c r="AD142" i="67"/>
  <c r="AC142" i="67"/>
  <c r="AB142" i="67"/>
  <c r="AA142" i="67"/>
  <c r="Z142" i="67"/>
  <c r="Y142" i="67"/>
  <c r="X142" i="67"/>
  <c r="W142" i="67"/>
  <c r="V142" i="67"/>
  <c r="U142" i="67"/>
  <c r="T142" i="67"/>
  <c r="S142" i="67"/>
  <c r="R142" i="67"/>
  <c r="Q142" i="67"/>
  <c r="P142" i="67"/>
  <c r="O142" i="67"/>
  <c r="N142" i="67"/>
  <c r="M142" i="67"/>
  <c r="L142" i="67"/>
  <c r="K142" i="67"/>
  <c r="J142" i="67"/>
  <c r="I142" i="67"/>
  <c r="H142" i="67"/>
  <c r="G142" i="67"/>
  <c r="AP141" i="67"/>
  <c r="AO141" i="67"/>
  <c r="AN141" i="67"/>
  <c r="AM141" i="67"/>
  <c r="AL141" i="67"/>
  <c r="AK141" i="67"/>
  <c r="AJ141" i="67"/>
  <c r="AI141" i="67"/>
  <c r="AH141" i="67"/>
  <c r="AG141" i="67"/>
  <c r="AF141" i="67"/>
  <c r="AE141" i="67"/>
  <c r="AD141" i="67"/>
  <c r="AC141" i="67"/>
  <c r="AB141" i="67"/>
  <c r="AA141" i="67"/>
  <c r="Z141" i="67"/>
  <c r="Y141" i="67"/>
  <c r="X141" i="67"/>
  <c r="W141" i="67"/>
  <c r="V141" i="67"/>
  <c r="U141" i="67"/>
  <c r="T141" i="67"/>
  <c r="S141" i="67"/>
  <c r="R141" i="67"/>
  <c r="Q141" i="67"/>
  <c r="P141" i="67"/>
  <c r="O141" i="67"/>
  <c r="N141" i="67"/>
  <c r="M141" i="67"/>
  <c r="L141" i="67"/>
  <c r="K141" i="67"/>
  <c r="J141" i="67"/>
  <c r="I141" i="67"/>
  <c r="H141" i="67"/>
  <c r="G141" i="67"/>
  <c r="AP140" i="67"/>
  <c r="AO140" i="67"/>
  <c r="AN140" i="67"/>
  <c r="AM140" i="67"/>
  <c r="AL140" i="67"/>
  <c r="AK140" i="67"/>
  <c r="AJ140" i="67"/>
  <c r="AI140" i="67"/>
  <c r="AH140" i="67"/>
  <c r="AG140" i="67"/>
  <c r="AF140" i="67"/>
  <c r="AE140" i="67"/>
  <c r="AD140" i="67"/>
  <c r="AC140" i="67"/>
  <c r="AB140" i="67"/>
  <c r="AA140" i="67"/>
  <c r="Z140" i="67"/>
  <c r="Y140" i="67"/>
  <c r="X140" i="67"/>
  <c r="W140" i="67"/>
  <c r="V140" i="67"/>
  <c r="U140" i="67"/>
  <c r="T140" i="67"/>
  <c r="S140" i="67"/>
  <c r="R140" i="67"/>
  <c r="Q140" i="67"/>
  <c r="P140" i="67"/>
  <c r="O140" i="67"/>
  <c r="N140" i="67"/>
  <c r="M140" i="67"/>
  <c r="L140" i="67"/>
  <c r="K140" i="67"/>
  <c r="J140" i="67"/>
  <c r="I140" i="67"/>
  <c r="H140" i="67"/>
  <c r="G140" i="67"/>
  <c r="AP139" i="67"/>
  <c r="AO139" i="67"/>
  <c r="AN139" i="67"/>
  <c r="AM139" i="67"/>
  <c r="AL139" i="67"/>
  <c r="AK139" i="67"/>
  <c r="AJ139" i="67"/>
  <c r="AI139" i="67"/>
  <c r="AH139" i="67"/>
  <c r="AG139" i="67"/>
  <c r="AF139" i="67"/>
  <c r="AE139" i="67"/>
  <c r="AD139" i="67"/>
  <c r="AC139" i="67"/>
  <c r="AB139" i="67"/>
  <c r="AA139" i="67"/>
  <c r="Z139" i="67"/>
  <c r="Y139" i="67"/>
  <c r="X139" i="67"/>
  <c r="W139" i="67"/>
  <c r="V139" i="67"/>
  <c r="U139" i="67"/>
  <c r="T139" i="67"/>
  <c r="S139" i="67"/>
  <c r="R139" i="67"/>
  <c r="Q139" i="67"/>
  <c r="P139" i="67"/>
  <c r="O139" i="67"/>
  <c r="N139" i="67"/>
  <c r="M139" i="67"/>
  <c r="L139" i="67"/>
  <c r="K139" i="67"/>
  <c r="J139" i="67"/>
  <c r="I139" i="67"/>
  <c r="H139" i="67"/>
  <c r="G139" i="67"/>
  <c r="AX138" i="67"/>
  <c r="AW138" i="67"/>
  <c r="AV138" i="67"/>
  <c r="AU138" i="67"/>
  <c r="AT138" i="67"/>
  <c r="AS138" i="67"/>
  <c r="AR138" i="67"/>
  <c r="AQ138" i="67"/>
  <c r="AP138" i="67"/>
  <c r="AO138" i="67"/>
  <c r="AN138" i="67"/>
  <c r="AM138" i="67"/>
  <c r="AL138" i="67"/>
  <c r="AK138" i="67"/>
  <c r="AJ138" i="67"/>
  <c r="AI138" i="67"/>
  <c r="AH138" i="67"/>
  <c r="AG138" i="67"/>
  <c r="AF138" i="67"/>
  <c r="AE138" i="67"/>
  <c r="AD138" i="67"/>
  <c r="AC138" i="67"/>
  <c r="AB138" i="67"/>
  <c r="AA138" i="67"/>
  <c r="Z138" i="67"/>
  <c r="Y138" i="67"/>
  <c r="X138" i="67"/>
  <c r="W138" i="67"/>
  <c r="V138" i="67"/>
  <c r="U138" i="67"/>
  <c r="T138" i="67"/>
  <c r="S138" i="67"/>
  <c r="R138" i="67"/>
  <c r="Q138" i="67"/>
  <c r="P138" i="67"/>
  <c r="O138" i="67"/>
  <c r="N138" i="67"/>
  <c r="M138" i="67"/>
  <c r="L138" i="67"/>
  <c r="K138" i="67"/>
  <c r="J138" i="67"/>
  <c r="I138" i="67"/>
  <c r="H138" i="67"/>
  <c r="G138" i="67"/>
  <c r="AX137" i="67"/>
  <c r="AW137" i="67"/>
  <c r="AV137" i="67"/>
  <c r="AU137" i="67"/>
  <c r="AT137" i="67"/>
  <c r="AS137" i="67"/>
  <c r="AR137" i="67"/>
  <c r="AQ137" i="67"/>
  <c r="AP137" i="67"/>
  <c r="AO137" i="67"/>
  <c r="AN137" i="67"/>
  <c r="AM137" i="67"/>
  <c r="AL137" i="67"/>
  <c r="AK137" i="67"/>
  <c r="AJ137" i="67"/>
  <c r="AI137" i="67"/>
  <c r="AH137" i="67"/>
  <c r="AG137" i="67"/>
  <c r="AF137" i="67"/>
  <c r="AE137" i="67"/>
  <c r="AD137" i="67"/>
  <c r="AC137" i="67"/>
  <c r="AB137" i="67"/>
  <c r="AA137" i="67"/>
  <c r="Z137" i="67"/>
  <c r="Y137" i="67"/>
  <c r="X137" i="67"/>
  <c r="W137" i="67"/>
  <c r="V137" i="67"/>
  <c r="U137" i="67"/>
  <c r="T137" i="67"/>
  <c r="S137" i="67"/>
  <c r="R137" i="67"/>
  <c r="Q137" i="67"/>
  <c r="P137" i="67"/>
  <c r="O137" i="67"/>
  <c r="N137" i="67"/>
  <c r="M137" i="67"/>
  <c r="L137" i="67"/>
  <c r="K137" i="67"/>
  <c r="J137" i="67"/>
  <c r="I137" i="67"/>
  <c r="H137" i="67"/>
  <c r="G137" i="67"/>
  <c r="AX136" i="67"/>
  <c r="AW136" i="67"/>
  <c r="AV136" i="67"/>
  <c r="AU136" i="67"/>
  <c r="AT136" i="67"/>
  <c r="AS136" i="67"/>
  <c r="AR136" i="67"/>
  <c r="AQ136" i="67"/>
  <c r="AP136" i="67"/>
  <c r="AO136" i="67"/>
  <c r="AN136" i="67"/>
  <c r="AM136" i="67"/>
  <c r="AL136" i="67"/>
  <c r="AK136" i="67"/>
  <c r="AJ136" i="67"/>
  <c r="AI136" i="67"/>
  <c r="AH136" i="67"/>
  <c r="AG136" i="67"/>
  <c r="AF136" i="67"/>
  <c r="AE136" i="67"/>
  <c r="AD136" i="67"/>
  <c r="AC136" i="67"/>
  <c r="AB136" i="67"/>
  <c r="AA136" i="67"/>
  <c r="Z136" i="67"/>
  <c r="Y136" i="67"/>
  <c r="X136" i="67"/>
  <c r="W136" i="67"/>
  <c r="V136" i="67"/>
  <c r="U136" i="67"/>
  <c r="T136" i="67"/>
  <c r="S136" i="67"/>
  <c r="R136" i="67"/>
  <c r="Q136" i="67"/>
  <c r="P136" i="67"/>
  <c r="O136" i="67"/>
  <c r="N136" i="67"/>
  <c r="M136" i="67"/>
  <c r="L136" i="67"/>
  <c r="K136" i="67"/>
  <c r="J136" i="67"/>
  <c r="I136" i="67"/>
  <c r="H136" i="67"/>
  <c r="G136" i="67"/>
  <c r="AX135" i="67"/>
  <c r="AW135" i="67"/>
  <c r="AV135" i="67"/>
  <c r="AU135" i="67"/>
  <c r="AT135" i="67"/>
  <c r="AS135" i="67"/>
  <c r="AR135" i="67"/>
  <c r="AQ135" i="67"/>
  <c r="AP135" i="67"/>
  <c r="AO135" i="67"/>
  <c r="AN135" i="67"/>
  <c r="AM135" i="67"/>
  <c r="AL135" i="67"/>
  <c r="AK135" i="67"/>
  <c r="AJ135" i="67"/>
  <c r="AI135" i="67"/>
  <c r="AH135" i="67"/>
  <c r="AG135" i="67"/>
  <c r="AF135" i="67"/>
  <c r="AE135" i="67"/>
  <c r="AD135" i="67"/>
  <c r="AC135" i="67"/>
  <c r="AB135" i="67"/>
  <c r="AA135" i="67"/>
  <c r="Z135" i="67"/>
  <c r="Y135" i="67"/>
  <c r="X135" i="67"/>
  <c r="W135" i="67"/>
  <c r="V135" i="67"/>
  <c r="U135" i="67"/>
  <c r="T135" i="67"/>
  <c r="S135" i="67"/>
  <c r="R135" i="67"/>
  <c r="Q135" i="67"/>
  <c r="P135" i="67"/>
  <c r="O135" i="67"/>
  <c r="N135" i="67"/>
  <c r="M135" i="67"/>
  <c r="L135" i="67"/>
  <c r="K135" i="67"/>
  <c r="J135" i="67"/>
  <c r="I135" i="67"/>
  <c r="H135" i="67"/>
  <c r="G135" i="67"/>
  <c r="AX134" i="67"/>
  <c r="AW134" i="67"/>
  <c r="AV134" i="67"/>
  <c r="AU134" i="67"/>
  <c r="AT134" i="67"/>
  <c r="AS134" i="67"/>
  <c r="AR134" i="67"/>
  <c r="AQ134" i="67"/>
  <c r="AP134" i="67"/>
  <c r="AO134" i="67"/>
  <c r="AN134" i="67"/>
  <c r="AM134" i="67"/>
  <c r="AL134" i="67"/>
  <c r="AK134" i="67"/>
  <c r="AJ134" i="67"/>
  <c r="AI134" i="67"/>
  <c r="AH134" i="67"/>
  <c r="AG134" i="67"/>
  <c r="AF134" i="67"/>
  <c r="AE134" i="67"/>
  <c r="AD134" i="67"/>
  <c r="AC134" i="67"/>
  <c r="AB134" i="67"/>
  <c r="AA134" i="67"/>
  <c r="Z134" i="67"/>
  <c r="Y134" i="67"/>
  <c r="X134" i="67"/>
  <c r="W134" i="67"/>
  <c r="V134" i="67"/>
  <c r="U134" i="67"/>
  <c r="T134" i="67"/>
  <c r="S134" i="67"/>
  <c r="R134" i="67"/>
  <c r="Q134" i="67"/>
  <c r="P134" i="67"/>
  <c r="O134" i="67"/>
  <c r="N134" i="67"/>
  <c r="M134" i="67"/>
  <c r="L134" i="67"/>
  <c r="K134" i="67"/>
  <c r="J134" i="67"/>
  <c r="I134" i="67"/>
  <c r="H134" i="67"/>
  <c r="G134" i="67"/>
  <c r="AX133" i="67"/>
  <c r="AW133" i="67"/>
  <c r="AV133" i="67"/>
  <c r="AU133" i="67"/>
  <c r="AT133" i="67"/>
  <c r="AS133" i="67"/>
  <c r="AR133" i="67"/>
  <c r="AQ133" i="67"/>
  <c r="AP133" i="67"/>
  <c r="AO133" i="67"/>
  <c r="AN133" i="67"/>
  <c r="AM133" i="67"/>
  <c r="AL133" i="67"/>
  <c r="AK133" i="67"/>
  <c r="AJ133" i="67"/>
  <c r="AI133" i="67"/>
  <c r="AH133" i="67"/>
  <c r="AG133" i="67"/>
  <c r="AF133" i="67"/>
  <c r="AE133" i="67"/>
  <c r="AD133" i="67"/>
  <c r="AC133" i="67"/>
  <c r="AB133" i="67"/>
  <c r="AA133" i="67"/>
  <c r="Z133" i="67"/>
  <c r="Y133" i="67"/>
  <c r="X133" i="67"/>
  <c r="W133" i="67"/>
  <c r="V133" i="67"/>
  <c r="U133" i="67"/>
  <c r="T133" i="67"/>
  <c r="S133" i="67"/>
  <c r="R133" i="67"/>
  <c r="Q133" i="67"/>
  <c r="P133" i="67"/>
  <c r="O133" i="67"/>
  <c r="N133" i="67"/>
  <c r="M133" i="67"/>
  <c r="L133" i="67"/>
  <c r="K133" i="67"/>
  <c r="J133" i="67"/>
  <c r="I133" i="67"/>
  <c r="H133" i="67"/>
  <c r="G133" i="67"/>
  <c r="AX132" i="67"/>
  <c r="AW132" i="67"/>
  <c r="AV132" i="67"/>
  <c r="AU132" i="67"/>
  <c r="AT132" i="67"/>
  <c r="AS132" i="67"/>
  <c r="AR132" i="67"/>
  <c r="AQ132" i="67"/>
  <c r="AP132" i="67"/>
  <c r="AO132" i="67"/>
  <c r="AN132" i="67"/>
  <c r="AM132" i="67"/>
  <c r="AL132" i="67"/>
  <c r="AK132" i="67"/>
  <c r="AJ132" i="67"/>
  <c r="AI132" i="67"/>
  <c r="AH132" i="67"/>
  <c r="AG132" i="67"/>
  <c r="AF132" i="67"/>
  <c r="AE132" i="67"/>
  <c r="AD132" i="67"/>
  <c r="AC132" i="67"/>
  <c r="AB132" i="67"/>
  <c r="AA132" i="67"/>
  <c r="Z132" i="67"/>
  <c r="Y132" i="67"/>
  <c r="X132" i="67"/>
  <c r="W132" i="67"/>
  <c r="V132" i="67"/>
  <c r="U132" i="67"/>
  <c r="T132" i="67"/>
  <c r="S132" i="67"/>
  <c r="R132" i="67"/>
  <c r="Q132" i="67"/>
  <c r="P132" i="67"/>
  <c r="O132" i="67"/>
  <c r="N132" i="67"/>
  <c r="M132" i="67"/>
  <c r="L132" i="67"/>
  <c r="K132" i="67"/>
  <c r="J132" i="67"/>
  <c r="I132" i="67"/>
  <c r="H132" i="67"/>
  <c r="G132" i="67"/>
  <c r="AX131" i="67"/>
  <c r="AW131" i="67"/>
  <c r="AV131" i="67"/>
  <c r="AU131" i="67"/>
  <c r="AT131" i="67"/>
  <c r="AS131" i="67"/>
  <c r="AR131" i="67"/>
  <c r="AQ131" i="67"/>
  <c r="AP131" i="67"/>
  <c r="AO131" i="67"/>
  <c r="AN131" i="67"/>
  <c r="AM131" i="67"/>
  <c r="AL131" i="67"/>
  <c r="AK131" i="67"/>
  <c r="AJ131" i="67"/>
  <c r="AI131" i="67"/>
  <c r="AH131" i="67"/>
  <c r="AG131" i="67"/>
  <c r="AF131" i="67"/>
  <c r="AE131" i="67"/>
  <c r="AD131" i="67"/>
  <c r="AC131" i="67"/>
  <c r="AB131" i="67"/>
  <c r="AA131" i="67"/>
  <c r="Z131" i="67"/>
  <c r="Y131" i="67"/>
  <c r="X131" i="67"/>
  <c r="W131" i="67"/>
  <c r="V131" i="67"/>
  <c r="U131" i="67"/>
  <c r="T131" i="67"/>
  <c r="S131" i="67"/>
  <c r="R131" i="67"/>
  <c r="Q131" i="67"/>
  <c r="P131" i="67"/>
  <c r="O131" i="67"/>
  <c r="N131" i="67"/>
  <c r="M131" i="67"/>
  <c r="L131" i="67"/>
  <c r="K131" i="67"/>
  <c r="J131" i="67"/>
  <c r="I131" i="67"/>
  <c r="H131" i="67"/>
  <c r="G131" i="67"/>
  <c r="E142" i="67"/>
  <c r="D142" i="67"/>
  <c r="C142" i="67"/>
  <c r="E141" i="67"/>
  <c r="D141" i="67"/>
  <c r="C141" i="67"/>
  <c r="E140" i="67"/>
  <c r="D140" i="67"/>
  <c r="C140" i="67"/>
  <c r="E139" i="67"/>
  <c r="D139" i="67"/>
  <c r="C139" i="67"/>
  <c r="E138" i="67"/>
  <c r="D138" i="67"/>
  <c r="C138" i="67"/>
  <c r="E137" i="67"/>
  <c r="D137" i="67"/>
  <c r="C137" i="67"/>
  <c r="E136" i="67"/>
  <c r="D136" i="67"/>
  <c r="C136" i="67"/>
  <c r="E135" i="67"/>
  <c r="D135" i="67"/>
  <c r="C135" i="67"/>
  <c r="E134" i="67"/>
  <c r="D134" i="67"/>
  <c r="C134" i="67"/>
  <c r="E133" i="67"/>
  <c r="D133" i="67"/>
  <c r="C133" i="67"/>
  <c r="E132" i="67"/>
  <c r="D132" i="67"/>
  <c r="C132" i="67"/>
  <c r="E131" i="67"/>
  <c r="D131" i="67"/>
  <c r="C131" i="67"/>
  <c r="V130" i="67"/>
  <c r="U130" i="67"/>
  <c r="T130" i="67"/>
  <c r="S130" i="67"/>
  <c r="R130" i="67"/>
  <c r="Q130" i="67"/>
  <c r="P130" i="67"/>
  <c r="O130" i="67"/>
  <c r="N130" i="67"/>
  <c r="M130" i="67"/>
  <c r="L130" i="67"/>
  <c r="K130" i="67"/>
  <c r="J130" i="67"/>
  <c r="I130" i="67"/>
  <c r="H130" i="67"/>
  <c r="G130" i="67"/>
  <c r="AX129" i="67"/>
  <c r="BK101" i="15" s="1"/>
  <c r="AW129" i="67"/>
  <c r="BJ101" i="15" s="1"/>
  <c r="AV129" i="67"/>
  <c r="AU129" i="67"/>
  <c r="BH101" i="15" s="1"/>
  <c r="AT129" i="67"/>
  <c r="AS129" i="67"/>
  <c r="BE101" i="15" s="1"/>
  <c r="BE366" i="15" s="1"/>
  <c r="AR129" i="67"/>
  <c r="BD101" i="15" s="1"/>
  <c r="BD366" i="15" s="1"/>
  <c r="AQ129" i="67"/>
  <c r="BC101" i="15" s="1"/>
  <c r="BC366" i="15" s="1"/>
  <c r="AP129" i="67"/>
  <c r="BA101" i="15" s="1"/>
  <c r="BA366" i="15" s="1"/>
  <c r="AO129" i="67"/>
  <c r="AZ101" i="15" s="1"/>
  <c r="AZ366" i="15" s="1"/>
  <c r="AN129" i="67"/>
  <c r="AY101" i="15" s="1"/>
  <c r="AY366" i="15" s="1"/>
  <c r="AM129" i="67"/>
  <c r="AX101" i="15" s="1"/>
  <c r="AX366" i="15" s="1"/>
  <c r="AL129" i="67"/>
  <c r="AV101" i="15" s="1"/>
  <c r="AV366" i="15" s="1"/>
  <c r="AK129" i="67"/>
  <c r="AU101" i="15" s="1"/>
  <c r="AU366" i="15" s="1"/>
  <c r="AU367" i="15" s="1"/>
  <c r="AJ129" i="67"/>
  <c r="AT101" i="15" s="1"/>
  <c r="AT366" i="15" s="1"/>
  <c r="AI129" i="67"/>
  <c r="AS101" i="15" s="1"/>
  <c r="AS366" i="15" s="1"/>
  <c r="AH129" i="67"/>
  <c r="AG129" i="67"/>
  <c r="AF129" i="67"/>
  <c r="AN101" i="15" s="1"/>
  <c r="AN366" i="15" s="1"/>
  <c r="AE129" i="67"/>
  <c r="AD129" i="67"/>
  <c r="AL101" i="15" s="1"/>
  <c r="AL366" i="15" s="1"/>
  <c r="AC129" i="67"/>
  <c r="AK101" i="15" s="1"/>
  <c r="AK366" i="15" s="1"/>
  <c r="AB129" i="67"/>
  <c r="AA129" i="67"/>
  <c r="AI101" i="15" s="1"/>
  <c r="AI366" i="15" s="1"/>
  <c r="Z129" i="67"/>
  <c r="AG101" i="15" s="1"/>
  <c r="AG366" i="15" s="1"/>
  <c r="Y129" i="67"/>
  <c r="AF101" i="15" s="1"/>
  <c r="AF366" i="15" s="1"/>
  <c r="X129" i="67"/>
  <c r="W129" i="67"/>
  <c r="AD101" i="15" s="1"/>
  <c r="AD366" i="15" s="1"/>
  <c r="V129" i="67"/>
  <c r="AB101" i="15" s="1"/>
  <c r="AB366" i="15" s="1"/>
  <c r="U129" i="67"/>
  <c r="AA101" i="15" s="1"/>
  <c r="AA366" i="15" s="1"/>
  <c r="T129" i="67"/>
  <c r="S129" i="67"/>
  <c r="Y101" i="15" s="1"/>
  <c r="Y366" i="15" s="1"/>
  <c r="R129" i="67"/>
  <c r="W101" i="15" s="1"/>
  <c r="Q129" i="67"/>
  <c r="V101" i="15" s="1"/>
  <c r="P129" i="67"/>
  <c r="O129" i="67"/>
  <c r="T101" i="15" s="1"/>
  <c r="N129" i="67"/>
  <c r="M129" i="67"/>
  <c r="L129" i="67"/>
  <c r="K129" i="67"/>
  <c r="J129" i="67"/>
  <c r="I129" i="67"/>
  <c r="H129" i="67"/>
  <c r="G129" i="67"/>
  <c r="F129" i="67"/>
  <c r="E129" i="67"/>
  <c r="D129" i="67"/>
  <c r="BX80" i="67"/>
  <c r="BV80" i="67"/>
  <c r="BX79" i="67"/>
  <c r="BX78" i="67"/>
  <c r="E128" i="67"/>
  <c r="D128" i="67"/>
  <c r="C128" i="67"/>
  <c r="E127" i="67"/>
  <c r="D127" i="67"/>
  <c r="C127" i="67"/>
  <c r="E126" i="67"/>
  <c r="D126" i="67"/>
  <c r="C126" i="67"/>
  <c r="E125" i="67"/>
  <c r="D125" i="67"/>
  <c r="C125" i="67"/>
  <c r="E124" i="67"/>
  <c r="D124" i="67"/>
  <c r="C124" i="67"/>
  <c r="E123" i="67"/>
  <c r="D123" i="67"/>
  <c r="C123" i="67"/>
  <c r="E122" i="67"/>
  <c r="D122" i="67"/>
  <c r="C122" i="67"/>
  <c r="E121" i="67"/>
  <c r="D121" i="67"/>
  <c r="C121" i="67"/>
  <c r="E120" i="67"/>
  <c r="D120" i="67"/>
  <c r="C120" i="67"/>
  <c r="E119" i="67"/>
  <c r="D119" i="67"/>
  <c r="C119" i="67"/>
  <c r="E118" i="67"/>
  <c r="D118" i="67"/>
  <c r="C118" i="67"/>
  <c r="E117" i="67"/>
  <c r="D117" i="67"/>
  <c r="C117" i="67"/>
  <c r="E116" i="67"/>
  <c r="D116" i="67"/>
  <c r="C116" i="67"/>
  <c r="E115" i="67"/>
  <c r="D115" i="67"/>
  <c r="C115" i="67"/>
  <c r="E114" i="67"/>
  <c r="D114" i="67"/>
  <c r="C114" i="67"/>
  <c r="E113" i="67"/>
  <c r="D113" i="67"/>
  <c r="C113" i="67"/>
  <c r="E112" i="67"/>
  <c r="D112" i="67"/>
  <c r="C112" i="67"/>
  <c r="E111" i="67"/>
  <c r="D111" i="67"/>
  <c r="C111" i="67"/>
  <c r="E110" i="67"/>
  <c r="D110" i="67"/>
  <c r="C110" i="67"/>
  <c r="E109" i="67"/>
  <c r="D109" i="67"/>
  <c r="C109" i="67"/>
  <c r="E108" i="67"/>
  <c r="D108" i="67"/>
  <c r="C108" i="67"/>
  <c r="E107" i="67"/>
  <c r="D107" i="67"/>
  <c r="C107" i="67"/>
  <c r="E106" i="67"/>
  <c r="D106" i="67"/>
  <c r="C106" i="67"/>
  <c r="E105" i="67"/>
  <c r="D105" i="67"/>
  <c r="C105" i="67"/>
  <c r="E104" i="67"/>
  <c r="D104" i="67"/>
  <c r="C104" i="67"/>
  <c r="E103" i="67"/>
  <c r="D103" i="67"/>
  <c r="C103" i="67"/>
  <c r="E102" i="67"/>
  <c r="D102" i="67"/>
  <c r="C102" i="67"/>
  <c r="E101" i="67"/>
  <c r="D101" i="67"/>
  <c r="C101" i="67"/>
  <c r="E100" i="67"/>
  <c r="D100" i="67"/>
  <c r="C100" i="67"/>
  <c r="E99" i="67"/>
  <c r="D99" i="67"/>
  <c r="C99" i="67"/>
  <c r="E98" i="67"/>
  <c r="D98" i="67"/>
  <c r="C98" i="67"/>
  <c r="E97" i="67"/>
  <c r="D97" i="67"/>
  <c r="C97" i="67"/>
  <c r="E96" i="67"/>
  <c r="D96" i="67"/>
  <c r="C96" i="67"/>
  <c r="E95" i="67"/>
  <c r="D95" i="67"/>
  <c r="C95" i="67"/>
  <c r="E94" i="67"/>
  <c r="D94" i="67"/>
  <c r="C94" i="67"/>
  <c r="E93" i="67"/>
  <c r="D93" i="67"/>
  <c r="C93" i="67"/>
  <c r="E92" i="67"/>
  <c r="D92" i="67"/>
  <c r="C92" i="67"/>
  <c r="E91" i="67"/>
  <c r="D91" i="67"/>
  <c r="C91" i="67"/>
  <c r="E90" i="67"/>
  <c r="D90" i="67"/>
  <c r="C90" i="67"/>
  <c r="E89" i="67"/>
  <c r="D89" i="67"/>
  <c r="C89" i="67"/>
  <c r="E88" i="67"/>
  <c r="D88" i="67"/>
  <c r="C88" i="67"/>
  <c r="E87" i="67"/>
  <c r="D87" i="67"/>
  <c r="C87" i="67"/>
  <c r="E86" i="67"/>
  <c r="D86" i="67"/>
  <c r="C86" i="67"/>
  <c r="BV73" i="67" s="1"/>
  <c r="E85" i="67"/>
  <c r="D85" i="67"/>
  <c r="C85" i="67"/>
  <c r="E84" i="67"/>
  <c r="D84" i="67"/>
  <c r="C84" i="67"/>
  <c r="BV71" i="67" s="1"/>
  <c r="E83" i="67"/>
  <c r="D83" i="67"/>
  <c r="C83" i="67"/>
  <c r="BV70" i="67" s="1"/>
  <c r="E82" i="67"/>
  <c r="D82" i="67"/>
  <c r="C82" i="67"/>
  <c r="BV69" i="67" s="1"/>
  <c r="E81" i="67"/>
  <c r="D81" i="67"/>
  <c r="C81" i="67"/>
  <c r="E80" i="67"/>
  <c r="D80" i="67"/>
  <c r="C80" i="67"/>
  <c r="E79" i="67"/>
  <c r="D79" i="67"/>
  <c r="C79" i="67"/>
  <c r="E78" i="67"/>
  <c r="D78" i="67"/>
  <c r="C78" i="67"/>
  <c r="E77" i="67"/>
  <c r="D77" i="67"/>
  <c r="C77" i="67"/>
  <c r="E75" i="67"/>
  <c r="D75" i="67"/>
  <c r="C75" i="67"/>
  <c r="E74" i="67"/>
  <c r="D74" i="67"/>
  <c r="C74" i="67"/>
  <c r="E73" i="67"/>
  <c r="D73" i="67"/>
  <c r="C73" i="67"/>
  <c r="E72" i="67"/>
  <c r="D72" i="67"/>
  <c r="C72" i="67"/>
  <c r="E71" i="67"/>
  <c r="D71" i="67"/>
  <c r="C71" i="67"/>
  <c r="BV72" i="67"/>
  <c r="BX65" i="67"/>
  <c r="BX62" i="67"/>
  <c r="E69" i="67"/>
  <c r="D69" i="67"/>
  <c r="C69" i="67"/>
  <c r="E68" i="67"/>
  <c r="D68" i="67"/>
  <c r="C68" i="67"/>
  <c r="E67" i="67"/>
  <c r="D67" i="67"/>
  <c r="C67" i="67"/>
  <c r="E66" i="67"/>
  <c r="D66" i="67"/>
  <c r="C66" i="67"/>
  <c r="E65" i="67"/>
  <c r="D65" i="67"/>
  <c r="C65" i="67"/>
  <c r="E64" i="67"/>
  <c r="D64" i="67"/>
  <c r="C64" i="67"/>
  <c r="E63" i="67"/>
  <c r="D63" i="67"/>
  <c r="C63" i="67"/>
  <c r="E62" i="67"/>
  <c r="D62" i="67"/>
  <c r="C62" i="67"/>
  <c r="E61" i="67"/>
  <c r="D61" i="67"/>
  <c r="C61" i="67"/>
  <c r="E60" i="67"/>
  <c r="D60" i="67"/>
  <c r="C60" i="67"/>
  <c r="C58" i="67"/>
  <c r="BV79" i="67" s="1"/>
  <c r="C57" i="67"/>
  <c r="BV78" i="67" s="1"/>
  <c r="C56" i="67"/>
  <c r="C55" i="67"/>
  <c r="C54" i="67"/>
  <c r="C53" i="67"/>
  <c r="C52" i="67"/>
  <c r="C51" i="67"/>
  <c r="C50" i="67"/>
  <c r="C49" i="67"/>
  <c r="C48" i="67"/>
  <c r="C47" i="67"/>
  <c r="C46" i="67"/>
  <c r="C45" i="67"/>
  <c r="C44" i="67"/>
  <c r="C43" i="67"/>
  <c r="C42" i="67"/>
  <c r="C41" i="67"/>
  <c r="C40" i="67"/>
  <c r="C39" i="67"/>
  <c r="C38" i="67"/>
  <c r="C37" i="67"/>
  <c r="C36" i="67"/>
  <c r="C35" i="67"/>
  <c r="C34" i="67"/>
  <c r="C33" i="67"/>
  <c r="C32" i="67"/>
  <c r="C31" i="67"/>
  <c r="C30" i="67"/>
  <c r="C29" i="67"/>
  <c r="C28" i="67"/>
  <c r="C27" i="67"/>
  <c r="C26" i="67"/>
  <c r="C25" i="67"/>
  <c r="C24" i="67"/>
  <c r="C23" i="67"/>
  <c r="C22" i="67"/>
  <c r="C21" i="67"/>
  <c r="C20" i="67"/>
  <c r="C19" i="67"/>
  <c r="C18" i="67"/>
  <c r="C17" i="67"/>
  <c r="C16" i="67"/>
  <c r="C15" i="67"/>
  <c r="CZ58" i="67"/>
  <c r="CY58" i="67"/>
  <c r="CX58" i="67"/>
  <c r="CW58" i="67"/>
  <c r="CV58" i="67"/>
  <c r="CU58" i="67"/>
  <c r="CT58" i="67"/>
  <c r="CS58" i="67"/>
  <c r="CR58" i="67"/>
  <c r="CQ58" i="67"/>
  <c r="CP58" i="67"/>
  <c r="CO58" i="67"/>
  <c r="CN58" i="67"/>
  <c r="CM58" i="67"/>
  <c r="CL58" i="67"/>
  <c r="CK58" i="67"/>
  <c r="CJ58" i="67"/>
  <c r="CI58" i="67"/>
  <c r="CH58" i="67"/>
  <c r="CG58" i="67"/>
  <c r="CF58" i="67"/>
  <c r="CE58" i="67"/>
  <c r="CD58" i="67"/>
  <c r="CC58" i="67"/>
  <c r="CB58" i="67"/>
  <c r="CZ57" i="67"/>
  <c r="CY57" i="67"/>
  <c r="CX57" i="67"/>
  <c r="CW57" i="67"/>
  <c r="CV57" i="67"/>
  <c r="CU57" i="67"/>
  <c r="CT57" i="67"/>
  <c r="CS57" i="67"/>
  <c r="CR57" i="67"/>
  <c r="CQ57" i="67"/>
  <c r="CP57" i="67"/>
  <c r="CO57" i="67"/>
  <c r="CN57" i="67"/>
  <c r="CM57" i="67"/>
  <c r="CL57" i="67"/>
  <c r="CK57" i="67"/>
  <c r="CJ57" i="67"/>
  <c r="CI57" i="67"/>
  <c r="CH57" i="67"/>
  <c r="CG57" i="67"/>
  <c r="CF57" i="67"/>
  <c r="CE57" i="67"/>
  <c r="CD57" i="67"/>
  <c r="CC57" i="67"/>
  <c r="CB57" i="67"/>
  <c r="CZ56" i="67"/>
  <c r="CY56" i="67"/>
  <c r="CX56" i="67"/>
  <c r="CW56" i="67"/>
  <c r="CV56" i="67"/>
  <c r="CU56" i="67"/>
  <c r="CT56" i="67"/>
  <c r="CS56" i="67"/>
  <c r="CR56" i="67"/>
  <c r="CQ56" i="67"/>
  <c r="CP56" i="67"/>
  <c r="CO56" i="67"/>
  <c r="CN56" i="67"/>
  <c r="CM56" i="67"/>
  <c r="CL56" i="67"/>
  <c r="CK56" i="67"/>
  <c r="CJ56" i="67"/>
  <c r="CI56" i="67"/>
  <c r="CH56" i="67"/>
  <c r="CG56" i="67"/>
  <c r="CF56" i="67"/>
  <c r="CE56" i="67"/>
  <c r="CD56" i="67"/>
  <c r="CC56" i="67"/>
  <c r="CB56" i="67"/>
  <c r="CZ55" i="67"/>
  <c r="CY55" i="67"/>
  <c r="CX55" i="67"/>
  <c r="CW55" i="67"/>
  <c r="CV55" i="67"/>
  <c r="CU55" i="67"/>
  <c r="CT55" i="67"/>
  <c r="CS55" i="67"/>
  <c r="CR55" i="67"/>
  <c r="CQ55" i="67"/>
  <c r="CP55" i="67"/>
  <c r="CO55" i="67"/>
  <c r="CN55" i="67"/>
  <c r="CM55" i="67"/>
  <c r="CL55" i="67"/>
  <c r="CK55" i="67"/>
  <c r="CJ55" i="67"/>
  <c r="CI55" i="67"/>
  <c r="CH55" i="67"/>
  <c r="CG55" i="67"/>
  <c r="CF55" i="67"/>
  <c r="CE55" i="67"/>
  <c r="CD55" i="67"/>
  <c r="CC55" i="67"/>
  <c r="CB55" i="67"/>
  <c r="CZ54" i="67"/>
  <c r="CY54" i="67"/>
  <c r="CX54" i="67"/>
  <c r="CW54" i="67"/>
  <c r="CV54" i="67"/>
  <c r="CU54" i="67"/>
  <c r="CT54" i="67"/>
  <c r="CS54" i="67"/>
  <c r="CR54" i="67"/>
  <c r="CQ54" i="67"/>
  <c r="CP54" i="67"/>
  <c r="CO54" i="67"/>
  <c r="CN54" i="67"/>
  <c r="CM54" i="67"/>
  <c r="CL54" i="67"/>
  <c r="CK54" i="67"/>
  <c r="CJ54" i="67"/>
  <c r="CI54" i="67"/>
  <c r="CH54" i="67"/>
  <c r="CG54" i="67"/>
  <c r="CF54" i="67"/>
  <c r="CE54" i="67"/>
  <c r="CD54" i="67"/>
  <c r="CC54" i="67"/>
  <c r="CB54" i="67"/>
  <c r="CK53" i="67"/>
  <c r="CL53" i="67" s="1"/>
  <c r="CM53" i="67" s="1"/>
  <c r="CN53" i="67" s="1"/>
  <c r="CO53" i="67" s="1"/>
  <c r="CP53" i="67" s="1"/>
  <c r="CQ53" i="67" s="1"/>
  <c r="CR53" i="67" s="1"/>
  <c r="CS53" i="67" s="1"/>
  <c r="CT53" i="67" s="1"/>
  <c r="CU53" i="67" s="1"/>
  <c r="CV53" i="67" s="1"/>
  <c r="CW53" i="67" s="1"/>
  <c r="CX53" i="67" s="1"/>
  <c r="CY53" i="67" s="1"/>
  <c r="CZ53" i="67" s="1"/>
  <c r="CI53" i="67"/>
  <c r="CH53" i="67" s="1"/>
  <c r="CG53" i="67" s="1"/>
  <c r="CF53" i="67" s="1"/>
  <c r="CE53" i="67" s="1"/>
  <c r="CD53" i="67" s="1"/>
  <c r="CC53" i="67" s="1"/>
  <c r="CB53" i="67" s="1"/>
  <c r="AX128" i="67"/>
  <c r="AW128" i="67"/>
  <c r="AV128" i="67"/>
  <c r="AU128" i="67"/>
  <c r="AT128" i="67"/>
  <c r="AS128" i="67"/>
  <c r="AR128" i="67"/>
  <c r="AQ128" i="67"/>
  <c r="AP128" i="67"/>
  <c r="AO128" i="67"/>
  <c r="AN128" i="67"/>
  <c r="AM128" i="67"/>
  <c r="AL128" i="67"/>
  <c r="AK128" i="67"/>
  <c r="AJ128" i="67"/>
  <c r="AI128" i="67"/>
  <c r="AH128" i="67"/>
  <c r="AG128" i="67"/>
  <c r="AF128" i="67"/>
  <c r="AE128" i="67"/>
  <c r="AD128" i="67"/>
  <c r="AC128" i="67"/>
  <c r="AB128" i="67"/>
  <c r="AA128" i="67"/>
  <c r="Z128" i="67"/>
  <c r="Y128" i="67"/>
  <c r="X128" i="67"/>
  <c r="W128" i="67"/>
  <c r="V128" i="67"/>
  <c r="U128" i="67"/>
  <c r="T128" i="67"/>
  <c r="S128" i="67"/>
  <c r="R128" i="67"/>
  <c r="Q128" i="67"/>
  <c r="P128" i="67"/>
  <c r="O128" i="67"/>
  <c r="N128" i="67"/>
  <c r="M128" i="67"/>
  <c r="L128" i="67"/>
  <c r="K128" i="67"/>
  <c r="J128" i="67"/>
  <c r="I128" i="67"/>
  <c r="H128" i="67"/>
  <c r="G128" i="67"/>
  <c r="AX127" i="67"/>
  <c r="AW127" i="67"/>
  <c r="AV127" i="67"/>
  <c r="AU127" i="67"/>
  <c r="AT127" i="67"/>
  <c r="AS127" i="67"/>
  <c r="AR127" i="67"/>
  <c r="AQ127" i="67"/>
  <c r="AP127" i="67"/>
  <c r="AO127" i="67"/>
  <c r="AN127" i="67"/>
  <c r="AM127" i="67"/>
  <c r="AL127" i="67"/>
  <c r="AK127" i="67"/>
  <c r="AJ127" i="67"/>
  <c r="AI127" i="67"/>
  <c r="AH127" i="67"/>
  <c r="AG127" i="67"/>
  <c r="AF127" i="67"/>
  <c r="AE127" i="67"/>
  <c r="AD127" i="67"/>
  <c r="AC127" i="67"/>
  <c r="AB127" i="67"/>
  <c r="AA127" i="67"/>
  <c r="Z127" i="67"/>
  <c r="Y127" i="67"/>
  <c r="X127" i="67"/>
  <c r="W127" i="67"/>
  <c r="V127" i="67"/>
  <c r="U127" i="67"/>
  <c r="T127" i="67"/>
  <c r="S127" i="67"/>
  <c r="R127" i="67"/>
  <c r="Q127" i="67"/>
  <c r="P127" i="67"/>
  <c r="O127" i="67"/>
  <c r="N127" i="67"/>
  <c r="M127" i="67"/>
  <c r="L127" i="67"/>
  <c r="K127" i="67"/>
  <c r="J127" i="67"/>
  <c r="I127" i="67"/>
  <c r="H127" i="67"/>
  <c r="G127" i="67"/>
  <c r="AX126" i="67"/>
  <c r="AW126" i="67"/>
  <c r="AV126" i="67"/>
  <c r="AU126" i="67"/>
  <c r="AT126" i="67"/>
  <c r="AS126" i="67"/>
  <c r="AR126" i="67"/>
  <c r="AQ126" i="67"/>
  <c r="AP126" i="67"/>
  <c r="AO126" i="67"/>
  <c r="AN126" i="67"/>
  <c r="AM126" i="67"/>
  <c r="AL126" i="67"/>
  <c r="AK126" i="67"/>
  <c r="AJ126" i="67"/>
  <c r="AI126" i="67"/>
  <c r="AH126" i="67"/>
  <c r="AG126" i="67"/>
  <c r="AF126" i="67"/>
  <c r="AE126" i="67"/>
  <c r="AD126" i="67"/>
  <c r="AC126" i="67"/>
  <c r="AB126" i="67"/>
  <c r="AA126" i="67"/>
  <c r="Z126" i="67"/>
  <c r="Y126" i="67"/>
  <c r="X126" i="67"/>
  <c r="W126" i="67"/>
  <c r="V126" i="67"/>
  <c r="U126" i="67"/>
  <c r="T126" i="67"/>
  <c r="S126" i="67"/>
  <c r="R126" i="67"/>
  <c r="Q126" i="67"/>
  <c r="P126" i="67"/>
  <c r="O126" i="67"/>
  <c r="N126" i="67"/>
  <c r="M126" i="67"/>
  <c r="L126" i="67"/>
  <c r="K126" i="67"/>
  <c r="J126" i="67"/>
  <c r="I126" i="67"/>
  <c r="H126" i="67"/>
  <c r="G126" i="67"/>
  <c r="AX125" i="67"/>
  <c r="AW125" i="67"/>
  <c r="AV125" i="67"/>
  <c r="AU125" i="67"/>
  <c r="AT125" i="67"/>
  <c r="AS125" i="67"/>
  <c r="AR125" i="67"/>
  <c r="AQ125" i="67"/>
  <c r="AP125" i="67"/>
  <c r="AO125" i="67"/>
  <c r="AN125" i="67"/>
  <c r="AM125" i="67"/>
  <c r="AL125" i="67"/>
  <c r="AK125" i="67"/>
  <c r="AJ125" i="67"/>
  <c r="AI125" i="67"/>
  <c r="AH125" i="67"/>
  <c r="AG125" i="67"/>
  <c r="AF125" i="67"/>
  <c r="AE125" i="67"/>
  <c r="AD125" i="67"/>
  <c r="AC125" i="67"/>
  <c r="AB125" i="67"/>
  <c r="AA125" i="67"/>
  <c r="Z125" i="67"/>
  <c r="Y125" i="67"/>
  <c r="X125" i="67"/>
  <c r="W125" i="67"/>
  <c r="V125" i="67"/>
  <c r="U125" i="67"/>
  <c r="T125" i="67"/>
  <c r="S125" i="67"/>
  <c r="R125" i="67"/>
  <c r="Q125" i="67"/>
  <c r="P125" i="67"/>
  <c r="O125" i="67"/>
  <c r="N125" i="67"/>
  <c r="M125" i="67"/>
  <c r="L125" i="67"/>
  <c r="K125" i="67"/>
  <c r="J125" i="67"/>
  <c r="I125" i="67"/>
  <c r="H125" i="67"/>
  <c r="G125" i="67"/>
  <c r="AX124" i="67"/>
  <c r="BK100" i="15" s="1"/>
  <c r="AW124" i="67"/>
  <c r="BJ100" i="15" s="1"/>
  <c r="AV124" i="67"/>
  <c r="AU124" i="67"/>
  <c r="BH100" i="15" s="1"/>
  <c r="AT124" i="67"/>
  <c r="BF100" i="15" s="1"/>
  <c r="AS124" i="67"/>
  <c r="BE100" i="15" s="1"/>
  <c r="AR124" i="67"/>
  <c r="BD100" i="15" s="1"/>
  <c r="AQ124" i="67"/>
  <c r="BC100" i="15" s="1"/>
  <c r="AP124" i="67"/>
  <c r="BA100" i="15" s="1"/>
  <c r="AO124" i="67"/>
  <c r="AZ100" i="15" s="1"/>
  <c r="AN124" i="67"/>
  <c r="AY100" i="15" s="1"/>
  <c r="AM124" i="67"/>
  <c r="AX100" i="15" s="1"/>
  <c r="AL124" i="67"/>
  <c r="AV100" i="15" s="1"/>
  <c r="AK124" i="67"/>
  <c r="AU100" i="15" s="1"/>
  <c r="AJ124" i="67"/>
  <c r="AT100" i="15" s="1"/>
  <c r="AI124" i="67"/>
  <c r="AS100" i="15" s="1"/>
  <c r="AH124" i="67"/>
  <c r="AG124" i="67"/>
  <c r="AF124" i="67"/>
  <c r="AN100" i="15" s="1"/>
  <c r="AR100" i="15" s="1"/>
  <c r="AE124" i="67"/>
  <c r="AD124" i="67"/>
  <c r="AL100" i="15" s="1"/>
  <c r="AC124" i="67"/>
  <c r="AB124" i="67"/>
  <c r="AA124" i="67"/>
  <c r="AI100" i="15" s="1"/>
  <c r="Z124" i="67"/>
  <c r="AG100" i="15" s="1"/>
  <c r="Y124" i="67"/>
  <c r="AF100" i="15" s="1"/>
  <c r="X124" i="67"/>
  <c r="W124" i="67"/>
  <c r="AD100" i="15" s="1"/>
  <c r="V124" i="67"/>
  <c r="AB100" i="15" s="1"/>
  <c r="U124" i="67"/>
  <c r="AA100" i="15" s="1"/>
  <c r="T124" i="67"/>
  <c r="S124" i="67"/>
  <c r="Y100" i="15" s="1"/>
  <c r="R124" i="67"/>
  <c r="W100" i="15" s="1"/>
  <c r="Q124" i="67"/>
  <c r="V100" i="15" s="1"/>
  <c r="P124" i="67"/>
  <c r="O124" i="67"/>
  <c r="T100" i="15" s="1"/>
  <c r="N124" i="67"/>
  <c r="M124" i="67"/>
  <c r="L124" i="67"/>
  <c r="K124" i="67"/>
  <c r="J124" i="67"/>
  <c r="I124" i="67"/>
  <c r="H124" i="67"/>
  <c r="G124" i="67"/>
  <c r="AX123" i="67"/>
  <c r="BK99" i="15" s="1"/>
  <c r="AW123" i="67"/>
  <c r="BJ99" i="15" s="1"/>
  <c r="AV123" i="67"/>
  <c r="AU123" i="67"/>
  <c r="BH99" i="15" s="1"/>
  <c r="AT123" i="67"/>
  <c r="BF99" i="15" s="1"/>
  <c r="BF361" i="15" s="1"/>
  <c r="AS123" i="67"/>
  <c r="BE99" i="15" s="1"/>
  <c r="BE361" i="15" s="1"/>
  <c r="AR123" i="67"/>
  <c r="BD99" i="15" s="1"/>
  <c r="BD361" i="15" s="1"/>
  <c r="AQ123" i="67"/>
  <c r="BC99" i="15" s="1"/>
  <c r="BC361" i="15" s="1"/>
  <c r="AP123" i="67"/>
  <c r="BA99" i="15" s="1"/>
  <c r="BA361" i="15" s="1"/>
  <c r="AO123" i="67"/>
  <c r="AZ99" i="15" s="1"/>
  <c r="AZ361" i="15" s="1"/>
  <c r="AN123" i="67"/>
  <c r="AY99" i="15" s="1"/>
  <c r="AY361" i="15" s="1"/>
  <c r="AM123" i="67"/>
  <c r="AX99" i="15" s="1"/>
  <c r="AX361" i="15" s="1"/>
  <c r="AL123" i="67"/>
  <c r="AV99" i="15" s="1"/>
  <c r="AV361" i="15" s="1"/>
  <c r="AK123" i="67"/>
  <c r="AU99" i="15" s="1"/>
  <c r="AU361" i="15" s="1"/>
  <c r="AJ123" i="67"/>
  <c r="AT99" i="15" s="1"/>
  <c r="AT361" i="15" s="1"/>
  <c r="AT362" i="15" s="1"/>
  <c r="AI123" i="67"/>
  <c r="AS99" i="15" s="1"/>
  <c r="AS361" i="15" s="1"/>
  <c r="AH123" i="67"/>
  <c r="AG123" i="67"/>
  <c r="AF123" i="67"/>
  <c r="AN99" i="15" s="1"/>
  <c r="AN361" i="15" s="1"/>
  <c r="AE123" i="67"/>
  <c r="AD123" i="67"/>
  <c r="AL99" i="15" s="1"/>
  <c r="AL361" i="15" s="1"/>
  <c r="AC123" i="67"/>
  <c r="AK99" i="15" s="1"/>
  <c r="AK361" i="15" s="1"/>
  <c r="AB123" i="67"/>
  <c r="AA123" i="67"/>
  <c r="Z123" i="67"/>
  <c r="AG99" i="15" s="1"/>
  <c r="AG361" i="15" s="1"/>
  <c r="Y123" i="67"/>
  <c r="AF99" i="15" s="1"/>
  <c r="AF361" i="15" s="1"/>
  <c r="X123" i="67"/>
  <c r="W123" i="67"/>
  <c r="V123" i="67"/>
  <c r="AB99" i="15" s="1"/>
  <c r="AB361" i="15" s="1"/>
  <c r="U123" i="67"/>
  <c r="AA99" i="15" s="1"/>
  <c r="AA361" i="15" s="1"/>
  <c r="T123" i="67"/>
  <c r="S123" i="67"/>
  <c r="R123" i="67"/>
  <c r="W99" i="15" s="1"/>
  <c r="Q123" i="67"/>
  <c r="V99" i="15" s="1"/>
  <c r="P123" i="67"/>
  <c r="O123" i="67"/>
  <c r="N123" i="67"/>
  <c r="M123" i="67"/>
  <c r="L123" i="67"/>
  <c r="K123" i="67"/>
  <c r="J123" i="67"/>
  <c r="I123" i="67"/>
  <c r="H123" i="67"/>
  <c r="G123" i="67"/>
  <c r="AX122" i="67"/>
  <c r="AW122" i="67"/>
  <c r="AV122" i="67"/>
  <c r="AU122" i="67"/>
  <c r="AT122" i="67"/>
  <c r="AS122" i="67"/>
  <c r="AR122" i="67"/>
  <c r="AQ122" i="67"/>
  <c r="AP122" i="67"/>
  <c r="AO122" i="67"/>
  <c r="AN122" i="67"/>
  <c r="AM122" i="67"/>
  <c r="AL122" i="67"/>
  <c r="AK122" i="67"/>
  <c r="AJ122" i="67"/>
  <c r="AI122" i="67"/>
  <c r="AH122" i="67"/>
  <c r="AG122" i="67"/>
  <c r="AF122" i="67"/>
  <c r="AE122" i="67"/>
  <c r="AD122" i="67"/>
  <c r="AC122" i="67"/>
  <c r="AB122" i="67"/>
  <c r="AA122" i="67"/>
  <c r="Z122" i="67"/>
  <c r="Y122" i="67"/>
  <c r="X122" i="67"/>
  <c r="W122" i="67"/>
  <c r="V122" i="67"/>
  <c r="U122" i="67"/>
  <c r="T122" i="67"/>
  <c r="S122" i="67"/>
  <c r="R122" i="67"/>
  <c r="Q122" i="67"/>
  <c r="P122" i="67"/>
  <c r="O122" i="67"/>
  <c r="N122" i="67"/>
  <c r="M122" i="67"/>
  <c r="L122" i="67"/>
  <c r="K122" i="67"/>
  <c r="J122" i="67"/>
  <c r="I122" i="67"/>
  <c r="H122" i="67"/>
  <c r="G122" i="67"/>
  <c r="AX121" i="67"/>
  <c r="AW121" i="67"/>
  <c r="AV121" i="67"/>
  <c r="AU121" i="67"/>
  <c r="AT121" i="67"/>
  <c r="AS121" i="67"/>
  <c r="AR121" i="67"/>
  <c r="AQ121" i="67"/>
  <c r="AP121" i="67"/>
  <c r="AO121" i="67"/>
  <c r="AN121" i="67"/>
  <c r="AM121" i="67"/>
  <c r="AL121" i="67"/>
  <c r="AK121" i="67"/>
  <c r="AJ121" i="67"/>
  <c r="AI121" i="67"/>
  <c r="AH121" i="67"/>
  <c r="AG121" i="67"/>
  <c r="AF121" i="67"/>
  <c r="AE121" i="67"/>
  <c r="AD121" i="67"/>
  <c r="AC121" i="67"/>
  <c r="AB121" i="67"/>
  <c r="AA121" i="67"/>
  <c r="Z121" i="67"/>
  <c r="Y121" i="67"/>
  <c r="X121" i="67"/>
  <c r="W121" i="67"/>
  <c r="V121" i="67"/>
  <c r="U121" i="67"/>
  <c r="T121" i="67"/>
  <c r="S121" i="67"/>
  <c r="R121" i="67"/>
  <c r="Q121" i="67"/>
  <c r="P121" i="67"/>
  <c r="O121" i="67"/>
  <c r="N121" i="67"/>
  <c r="M121" i="67"/>
  <c r="L121" i="67"/>
  <c r="K121" i="67"/>
  <c r="J121" i="67"/>
  <c r="I121" i="67"/>
  <c r="H121" i="67"/>
  <c r="G121" i="67"/>
  <c r="AX120" i="67"/>
  <c r="AW120" i="67"/>
  <c r="AV120" i="67"/>
  <c r="AU120" i="67"/>
  <c r="AT120" i="67"/>
  <c r="AS120" i="67"/>
  <c r="AR120" i="67"/>
  <c r="AQ120" i="67"/>
  <c r="AP120" i="67"/>
  <c r="AO120" i="67"/>
  <c r="AN120" i="67"/>
  <c r="AM120" i="67"/>
  <c r="AL120" i="67"/>
  <c r="AK120" i="67"/>
  <c r="AJ120" i="67"/>
  <c r="AI120" i="67"/>
  <c r="AH120" i="67"/>
  <c r="AG120" i="67"/>
  <c r="AF120" i="67"/>
  <c r="AE120" i="67"/>
  <c r="AD120" i="67"/>
  <c r="AC120" i="67"/>
  <c r="AB120" i="67"/>
  <c r="AA120" i="67"/>
  <c r="Z120" i="67"/>
  <c r="Y120" i="67"/>
  <c r="X120" i="67"/>
  <c r="W120" i="67"/>
  <c r="V120" i="67"/>
  <c r="U120" i="67"/>
  <c r="T120" i="67"/>
  <c r="S120" i="67"/>
  <c r="R120" i="67"/>
  <c r="Q120" i="67"/>
  <c r="P120" i="67"/>
  <c r="O120" i="67"/>
  <c r="N120" i="67"/>
  <c r="M120" i="67"/>
  <c r="L120" i="67"/>
  <c r="K120" i="67"/>
  <c r="J120" i="67"/>
  <c r="I120" i="67"/>
  <c r="H120" i="67"/>
  <c r="G120" i="67"/>
  <c r="AX119" i="67"/>
  <c r="AW119" i="67"/>
  <c r="AV119" i="67"/>
  <c r="AU119" i="67"/>
  <c r="AT119" i="67"/>
  <c r="AS119" i="67"/>
  <c r="AR119" i="67"/>
  <c r="AQ119" i="67"/>
  <c r="AP119" i="67"/>
  <c r="AO119" i="67"/>
  <c r="AN119" i="67"/>
  <c r="AM119" i="67"/>
  <c r="AL119" i="67"/>
  <c r="AK119" i="67"/>
  <c r="AJ119" i="67"/>
  <c r="AI119" i="67"/>
  <c r="AH119" i="67"/>
  <c r="AG119" i="67"/>
  <c r="AF119" i="67"/>
  <c r="AE119" i="67"/>
  <c r="AD119" i="67"/>
  <c r="AC119" i="67"/>
  <c r="AB119" i="67"/>
  <c r="AA119" i="67"/>
  <c r="Z119" i="67"/>
  <c r="Y119" i="67"/>
  <c r="X119" i="67"/>
  <c r="W119" i="67"/>
  <c r="V119" i="67"/>
  <c r="U119" i="67"/>
  <c r="T119" i="67"/>
  <c r="S119" i="67"/>
  <c r="R119" i="67"/>
  <c r="Q119" i="67"/>
  <c r="P119" i="67"/>
  <c r="O119" i="67"/>
  <c r="N119" i="67"/>
  <c r="M119" i="67"/>
  <c r="L119" i="67"/>
  <c r="K119" i="67"/>
  <c r="J119" i="67"/>
  <c r="I119" i="67"/>
  <c r="H119" i="67"/>
  <c r="G119" i="67"/>
  <c r="AX118" i="67"/>
  <c r="AW118" i="67"/>
  <c r="AV118" i="67"/>
  <c r="AU118" i="67"/>
  <c r="AT118" i="67"/>
  <c r="AS118" i="67"/>
  <c r="AR118" i="67"/>
  <c r="AQ118" i="67"/>
  <c r="AP118" i="67"/>
  <c r="AO118" i="67"/>
  <c r="AN118" i="67"/>
  <c r="AM118" i="67"/>
  <c r="AL118" i="67"/>
  <c r="AK118" i="67"/>
  <c r="AJ118" i="67"/>
  <c r="AI118" i="67"/>
  <c r="AH118" i="67"/>
  <c r="AG118" i="67"/>
  <c r="AF118" i="67"/>
  <c r="AE118" i="67"/>
  <c r="AD118" i="67"/>
  <c r="AC118" i="67"/>
  <c r="AB118" i="67"/>
  <c r="AA118" i="67"/>
  <c r="Z118" i="67"/>
  <c r="Y118" i="67"/>
  <c r="X118" i="67"/>
  <c r="W118" i="67"/>
  <c r="V118" i="67"/>
  <c r="U118" i="67"/>
  <c r="T118" i="67"/>
  <c r="S118" i="67"/>
  <c r="R118" i="67"/>
  <c r="Q118" i="67"/>
  <c r="P118" i="67"/>
  <c r="O118" i="67"/>
  <c r="N118" i="67"/>
  <c r="M118" i="67"/>
  <c r="L118" i="67"/>
  <c r="K118" i="67"/>
  <c r="J118" i="67"/>
  <c r="I118" i="67"/>
  <c r="H118" i="67"/>
  <c r="G118" i="67"/>
  <c r="AX117" i="67"/>
  <c r="AW117" i="67"/>
  <c r="AV117" i="67"/>
  <c r="AU117" i="67"/>
  <c r="AT117" i="67"/>
  <c r="AS117" i="67"/>
  <c r="AR117" i="67"/>
  <c r="AQ117" i="67"/>
  <c r="AP117" i="67"/>
  <c r="AO117" i="67"/>
  <c r="AN117" i="67"/>
  <c r="AM117" i="67"/>
  <c r="AL117" i="67"/>
  <c r="AK117" i="67"/>
  <c r="AJ117" i="67"/>
  <c r="AI117" i="67"/>
  <c r="AH117" i="67"/>
  <c r="AG117" i="67"/>
  <c r="AF117" i="67"/>
  <c r="AE117" i="67"/>
  <c r="AD117" i="67"/>
  <c r="AC117" i="67"/>
  <c r="AB117" i="67"/>
  <c r="AA117" i="67"/>
  <c r="Z117" i="67"/>
  <c r="Y117" i="67"/>
  <c r="X117" i="67"/>
  <c r="W117" i="67"/>
  <c r="V117" i="67"/>
  <c r="U117" i="67"/>
  <c r="T117" i="67"/>
  <c r="S117" i="67"/>
  <c r="R117" i="67"/>
  <c r="Q117" i="67"/>
  <c r="P117" i="67"/>
  <c r="O117" i="67"/>
  <c r="N117" i="67"/>
  <c r="M117" i="67"/>
  <c r="L117" i="67"/>
  <c r="K117" i="67"/>
  <c r="J117" i="67"/>
  <c r="I117" i="67"/>
  <c r="H117" i="67"/>
  <c r="G117" i="67"/>
  <c r="AX116" i="67"/>
  <c r="AW116" i="67"/>
  <c r="AV116" i="67"/>
  <c r="AU116" i="67"/>
  <c r="AT116" i="67"/>
  <c r="AS116" i="67"/>
  <c r="AR116" i="67"/>
  <c r="AQ116" i="67"/>
  <c r="AP116" i="67"/>
  <c r="AO116" i="67"/>
  <c r="AN116" i="67"/>
  <c r="AM116" i="67"/>
  <c r="AL116" i="67"/>
  <c r="AK116" i="67"/>
  <c r="AJ116" i="67"/>
  <c r="AI116" i="67"/>
  <c r="AH116" i="67"/>
  <c r="AG116" i="67"/>
  <c r="AF116" i="67"/>
  <c r="AE116" i="67"/>
  <c r="AD116" i="67"/>
  <c r="AC116" i="67"/>
  <c r="AB116" i="67"/>
  <c r="AA116" i="67"/>
  <c r="Z116" i="67"/>
  <c r="Y116" i="67"/>
  <c r="X116" i="67"/>
  <c r="W116" i="67"/>
  <c r="V116" i="67"/>
  <c r="U116" i="67"/>
  <c r="T116" i="67"/>
  <c r="S116" i="67"/>
  <c r="R116" i="67"/>
  <c r="Q116" i="67"/>
  <c r="P116" i="67"/>
  <c r="O116" i="67"/>
  <c r="N116" i="67"/>
  <c r="M116" i="67"/>
  <c r="L116" i="67"/>
  <c r="K116" i="67"/>
  <c r="J116" i="67"/>
  <c r="I116" i="67"/>
  <c r="H116" i="67"/>
  <c r="G116" i="67"/>
  <c r="AX115" i="67"/>
  <c r="BK102" i="15" s="1"/>
  <c r="AW115" i="67"/>
  <c r="BJ102" i="15" s="1"/>
  <c r="AV115" i="67"/>
  <c r="AU115" i="67"/>
  <c r="BH102" i="15" s="1"/>
  <c r="AT115" i="67"/>
  <c r="BF102" i="15" s="1"/>
  <c r="BF371" i="15" s="1"/>
  <c r="AS115" i="67"/>
  <c r="BE102" i="15" s="1"/>
  <c r="BE371" i="15" s="1"/>
  <c r="AR115" i="67"/>
  <c r="AQ115" i="67"/>
  <c r="BC102" i="15" s="1"/>
  <c r="BC371" i="15" s="1"/>
  <c r="AP115" i="67"/>
  <c r="BA102" i="15" s="1"/>
  <c r="BA371" i="15" s="1"/>
  <c r="AO115" i="67"/>
  <c r="AZ102" i="15" s="1"/>
  <c r="AZ371" i="15" s="1"/>
  <c r="AN115" i="67"/>
  <c r="AM115" i="67"/>
  <c r="AX102" i="15" s="1"/>
  <c r="AX371" i="15" s="1"/>
  <c r="AL115" i="67"/>
  <c r="AV102" i="15" s="1"/>
  <c r="AV371" i="15" s="1"/>
  <c r="AK115" i="67"/>
  <c r="AU102" i="15" s="1"/>
  <c r="AU371" i="15" s="1"/>
  <c r="AU372" i="15" s="1"/>
  <c r="AJ115" i="67"/>
  <c r="AT102" i="15" s="1"/>
  <c r="AT371" i="15" s="1"/>
  <c r="AI115" i="67"/>
  <c r="AS102" i="15" s="1"/>
  <c r="AS371" i="15" s="1"/>
  <c r="AH115" i="67"/>
  <c r="AQ102" i="15" s="1"/>
  <c r="AQ371" i="15" s="1"/>
  <c r="AG115" i="67"/>
  <c r="AF115" i="67"/>
  <c r="AN102" i="15" s="1"/>
  <c r="AN371" i="15" s="1"/>
  <c r="AE115" i="67"/>
  <c r="AD115" i="67"/>
  <c r="AL102" i="15" s="1"/>
  <c r="AL371" i="15" s="1"/>
  <c r="AC115" i="67"/>
  <c r="AK102" i="15" s="1"/>
  <c r="AK371" i="15" s="1"/>
  <c r="AB115" i="67"/>
  <c r="AA115" i="67"/>
  <c r="Z115" i="67"/>
  <c r="AG102" i="15" s="1"/>
  <c r="AG371" i="15" s="1"/>
  <c r="Y115" i="67"/>
  <c r="AF102" i="15" s="1"/>
  <c r="AF371" i="15" s="1"/>
  <c r="X115" i="67"/>
  <c r="W115" i="67"/>
  <c r="V115" i="67"/>
  <c r="AB102" i="15" s="1"/>
  <c r="AB371" i="15" s="1"/>
  <c r="U115" i="67"/>
  <c r="AA102" i="15" s="1"/>
  <c r="AA371" i="15" s="1"/>
  <c r="T115" i="67"/>
  <c r="S115" i="67"/>
  <c r="R115" i="67"/>
  <c r="W102" i="15" s="1"/>
  <c r="Q115" i="67"/>
  <c r="V102" i="15" s="1"/>
  <c r="P115" i="67"/>
  <c r="O115" i="67"/>
  <c r="N115" i="67"/>
  <c r="M115" i="67"/>
  <c r="L115" i="67"/>
  <c r="K115" i="67"/>
  <c r="J115" i="67"/>
  <c r="I115" i="67"/>
  <c r="H115" i="67"/>
  <c r="G115" i="67"/>
  <c r="AX114" i="67"/>
  <c r="AW114" i="67"/>
  <c r="AV114" i="67"/>
  <c r="AU114" i="67"/>
  <c r="AT114" i="67"/>
  <c r="AS114" i="67"/>
  <c r="AR114" i="67"/>
  <c r="AQ114" i="67"/>
  <c r="AP114" i="67"/>
  <c r="AO114" i="67"/>
  <c r="AN114" i="67"/>
  <c r="AM114" i="67"/>
  <c r="AL114" i="67"/>
  <c r="AK114" i="67"/>
  <c r="AJ114" i="67"/>
  <c r="AI114" i="67"/>
  <c r="AH114" i="67"/>
  <c r="AG114" i="67"/>
  <c r="AF114" i="67"/>
  <c r="AE114" i="67"/>
  <c r="AD114" i="67"/>
  <c r="AC114" i="67"/>
  <c r="AB114" i="67"/>
  <c r="AA114" i="67"/>
  <c r="Z114" i="67"/>
  <c r="Y114" i="67"/>
  <c r="X114" i="67"/>
  <c r="W114" i="67"/>
  <c r="V114" i="67"/>
  <c r="U114" i="67"/>
  <c r="T114" i="67"/>
  <c r="S114" i="67"/>
  <c r="R114" i="67"/>
  <c r="Q114" i="67"/>
  <c r="P114" i="67"/>
  <c r="O114" i="67"/>
  <c r="N114" i="67"/>
  <c r="M114" i="67"/>
  <c r="L114" i="67"/>
  <c r="K114" i="67"/>
  <c r="J114" i="67"/>
  <c r="I114" i="67"/>
  <c r="H114" i="67"/>
  <c r="G114" i="67"/>
  <c r="AX113" i="67"/>
  <c r="AW113" i="67"/>
  <c r="AV113" i="67"/>
  <c r="AU113" i="67"/>
  <c r="AT113" i="67"/>
  <c r="AS113" i="67"/>
  <c r="AR113" i="67"/>
  <c r="AQ113" i="67"/>
  <c r="AP113" i="67"/>
  <c r="AO113" i="67"/>
  <c r="AN113" i="67"/>
  <c r="AM113" i="67"/>
  <c r="AL113" i="67"/>
  <c r="AK113" i="67"/>
  <c r="AJ113" i="67"/>
  <c r="AI113" i="67"/>
  <c r="AH113" i="67"/>
  <c r="AG113" i="67"/>
  <c r="AF113" i="67"/>
  <c r="AE113" i="67"/>
  <c r="AD113" i="67"/>
  <c r="AC113" i="67"/>
  <c r="AB113" i="67"/>
  <c r="AA113" i="67"/>
  <c r="Z113" i="67"/>
  <c r="Y113" i="67"/>
  <c r="X113" i="67"/>
  <c r="W113" i="67"/>
  <c r="V113" i="67"/>
  <c r="U113" i="67"/>
  <c r="T113" i="67"/>
  <c r="S113" i="67"/>
  <c r="R113" i="67"/>
  <c r="Q113" i="67"/>
  <c r="P113" i="67"/>
  <c r="O113" i="67"/>
  <c r="N113" i="67"/>
  <c r="M113" i="67"/>
  <c r="L113" i="67"/>
  <c r="K113" i="67"/>
  <c r="J113" i="67"/>
  <c r="I113" i="67"/>
  <c r="H113" i="67"/>
  <c r="G113" i="67"/>
  <c r="AX112" i="67"/>
  <c r="AW112" i="67"/>
  <c r="AV112" i="67"/>
  <c r="AU112" i="67"/>
  <c r="AT112" i="67"/>
  <c r="AS112" i="67"/>
  <c r="AR112" i="67"/>
  <c r="AQ112" i="67"/>
  <c r="AP112" i="67"/>
  <c r="AO112" i="67"/>
  <c r="AN112" i="67"/>
  <c r="AM112" i="67"/>
  <c r="AL112" i="67"/>
  <c r="AK112" i="67"/>
  <c r="AJ112" i="67"/>
  <c r="AI112" i="67"/>
  <c r="AH112" i="67"/>
  <c r="AG112" i="67"/>
  <c r="AF112" i="67"/>
  <c r="AE112" i="67"/>
  <c r="AD112" i="67"/>
  <c r="AC112" i="67"/>
  <c r="AB112" i="67"/>
  <c r="AA112" i="67"/>
  <c r="Z112" i="67"/>
  <c r="Y112" i="67"/>
  <c r="X112" i="67"/>
  <c r="W112" i="67"/>
  <c r="V112" i="67"/>
  <c r="U112" i="67"/>
  <c r="T112" i="67"/>
  <c r="S112" i="67"/>
  <c r="R112" i="67"/>
  <c r="Q112" i="67"/>
  <c r="P112" i="67"/>
  <c r="O112" i="67"/>
  <c r="N112" i="67"/>
  <c r="M112" i="67"/>
  <c r="L112" i="67"/>
  <c r="K112" i="67"/>
  <c r="J112" i="67"/>
  <c r="I112" i="67"/>
  <c r="H112" i="67"/>
  <c r="G112" i="67"/>
  <c r="AX111" i="67"/>
  <c r="AW111" i="67"/>
  <c r="AV111" i="67"/>
  <c r="AU111" i="67"/>
  <c r="AT111" i="67"/>
  <c r="AS111" i="67"/>
  <c r="AR111" i="67"/>
  <c r="AQ111" i="67"/>
  <c r="AP111" i="67"/>
  <c r="AO111" i="67"/>
  <c r="AN111" i="67"/>
  <c r="AM111" i="67"/>
  <c r="AL111" i="67"/>
  <c r="AK111" i="67"/>
  <c r="AJ111" i="67"/>
  <c r="AI111" i="67"/>
  <c r="AH111" i="67"/>
  <c r="AG111" i="67"/>
  <c r="AF111" i="67"/>
  <c r="AE111" i="67"/>
  <c r="AD111" i="67"/>
  <c r="AC111" i="67"/>
  <c r="AB111" i="67"/>
  <c r="AA111" i="67"/>
  <c r="Z111" i="67"/>
  <c r="Y111" i="67"/>
  <c r="X111" i="67"/>
  <c r="W111" i="67"/>
  <c r="V111" i="67"/>
  <c r="U111" i="67"/>
  <c r="T111" i="67"/>
  <c r="S111" i="67"/>
  <c r="R111" i="67"/>
  <c r="Q111" i="67"/>
  <c r="P111" i="67"/>
  <c r="O111" i="67"/>
  <c r="N111" i="67"/>
  <c r="M111" i="67"/>
  <c r="L111" i="67"/>
  <c r="K111" i="67"/>
  <c r="J111" i="67"/>
  <c r="I111" i="67"/>
  <c r="H111" i="67"/>
  <c r="G111" i="67"/>
  <c r="AX110" i="67"/>
  <c r="AW110" i="67"/>
  <c r="AV110" i="67"/>
  <c r="AU110" i="67"/>
  <c r="AT110" i="67"/>
  <c r="AS110" i="67"/>
  <c r="AR110" i="67"/>
  <c r="AQ110" i="67"/>
  <c r="AP110" i="67"/>
  <c r="AO110" i="67"/>
  <c r="AN110" i="67"/>
  <c r="AM110" i="67"/>
  <c r="AL110" i="67"/>
  <c r="AK110" i="67"/>
  <c r="AJ110" i="67"/>
  <c r="AI110" i="67"/>
  <c r="AH110" i="67"/>
  <c r="AG110" i="67"/>
  <c r="AF110" i="67"/>
  <c r="AE110" i="67"/>
  <c r="AD110" i="67"/>
  <c r="AC110" i="67"/>
  <c r="AB110" i="67"/>
  <c r="AA110" i="67"/>
  <c r="Z110" i="67"/>
  <c r="Y110" i="67"/>
  <c r="X110" i="67"/>
  <c r="W110" i="67"/>
  <c r="V110" i="67"/>
  <c r="U110" i="67"/>
  <c r="T110" i="67"/>
  <c r="S110" i="67"/>
  <c r="R110" i="67"/>
  <c r="Q110" i="67"/>
  <c r="P110" i="67"/>
  <c r="O110" i="67"/>
  <c r="N110" i="67"/>
  <c r="M110" i="67"/>
  <c r="L110" i="67"/>
  <c r="K110" i="67"/>
  <c r="J110" i="67"/>
  <c r="I110" i="67"/>
  <c r="H110" i="67"/>
  <c r="G110" i="67"/>
  <c r="AX109" i="67"/>
  <c r="AW109" i="67"/>
  <c r="AV109" i="67"/>
  <c r="AU109" i="67"/>
  <c r="AT109" i="67"/>
  <c r="AS109" i="67"/>
  <c r="AR109" i="67"/>
  <c r="AQ109" i="67"/>
  <c r="AP109" i="67"/>
  <c r="AO109" i="67"/>
  <c r="AN109" i="67"/>
  <c r="AM109" i="67"/>
  <c r="AL109" i="67"/>
  <c r="AK109" i="67"/>
  <c r="AJ109" i="67"/>
  <c r="AI109" i="67"/>
  <c r="AH109" i="67"/>
  <c r="AG109" i="67"/>
  <c r="AF109" i="67"/>
  <c r="AE109" i="67"/>
  <c r="AD109" i="67"/>
  <c r="AC109" i="67"/>
  <c r="AB109" i="67"/>
  <c r="AA109" i="67"/>
  <c r="Z109" i="67"/>
  <c r="Y109" i="67"/>
  <c r="X109" i="67"/>
  <c r="W109" i="67"/>
  <c r="V109" i="67"/>
  <c r="U109" i="67"/>
  <c r="T109" i="67"/>
  <c r="S109" i="67"/>
  <c r="R109" i="67"/>
  <c r="Q109" i="67"/>
  <c r="P109" i="67"/>
  <c r="O109" i="67"/>
  <c r="N109" i="67"/>
  <c r="M109" i="67"/>
  <c r="L109" i="67"/>
  <c r="K109" i="67"/>
  <c r="J109" i="67"/>
  <c r="I109" i="67"/>
  <c r="H109" i="67"/>
  <c r="G109" i="67"/>
  <c r="AX108" i="67"/>
  <c r="AW108" i="67"/>
  <c r="AV108" i="67"/>
  <c r="AU108" i="67"/>
  <c r="AT108" i="67"/>
  <c r="AS108" i="67"/>
  <c r="AR108" i="67"/>
  <c r="AQ108" i="67"/>
  <c r="AP108" i="67"/>
  <c r="AO108" i="67"/>
  <c r="AN108" i="67"/>
  <c r="AM108" i="67"/>
  <c r="AL108" i="67"/>
  <c r="AK108" i="67"/>
  <c r="AJ108" i="67"/>
  <c r="AI108" i="67"/>
  <c r="AH108" i="67"/>
  <c r="AG108" i="67"/>
  <c r="AF108" i="67"/>
  <c r="AE108" i="67"/>
  <c r="AD108" i="67"/>
  <c r="AC108" i="67"/>
  <c r="AB108" i="67"/>
  <c r="AA108" i="67"/>
  <c r="Z108" i="67"/>
  <c r="Y108" i="67"/>
  <c r="X108" i="67"/>
  <c r="W108" i="67"/>
  <c r="V108" i="67"/>
  <c r="U108" i="67"/>
  <c r="T108" i="67"/>
  <c r="S108" i="67"/>
  <c r="R108" i="67"/>
  <c r="Q108" i="67"/>
  <c r="P108" i="67"/>
  <c r="O108" i="67"/>
  <c r="N108" i="67"/>
  <c r="M108" i="67"/>
  <c r="L108" i="67"/>
  <c r="K108" i="67"/>
  <c r="J108" i="67"/>
  <c r="I108" i="67"/>
  <c r="H108" i="67"/>
  <c r="G108" i="67"/>
  <c r="AX107" i="67"/>
  <c r="AW107" i="67"/>
  <c r="AV107" i="67"/>
  <c r="AU107" i="67"/>
  <c r="AT107" i="67"/>
  <c r="AS107" i="67"/>
  <c r="AR107" i="67"/>
  <c r="AQ107" i="67"/>
  <c r="AP107" i="67"/>
  <c r="AO107" i="67"/>
  <c r="AN107" i="67"/>
  <c r="AM107" i="67"/>
  <c r="AL107" i="67"/>
  <c r="AK107" i="67"/>
  <c r="AJ107" i="67"/>
  <c r="AI107" i="67"/>
  <c r="AH107" i="67"/>
  <c r="AG107" i="67"/>
  <c r="AF107" i="67"/>
  <c r="AE107" i="67"/>
  <c r="AD107" i="67"/>
  <c r="AC107" i="67"/>
  <c r="AB107" i="67"/>
  <c r="AA107" i="67"/>
  <c r="Z107" i="67"/>
  <c r="Y107" i="67"/>
  <c r="X107" i="67"/>
  <c r="W107" i="67"/>
  <c r="V107" i="67"/>
  <c r="U107" i="67"/>
  <c r="T107" i="67"/>
  <c r="S107" i="67"/>
  <c r="R107" i="67"/>
  <c r="Q107" i="67"/>
  <c r="P107" i="67"/>
  <c r="O107" i="67"/>
  <c r="N107" i="67"/>
  <c r="M107" i="67"/>
  <c r="L107" i="67"/>
  <c r="K107" i="67"/>
  <c r="J107" i="67"/>
  <c r="I107" i="67"/>
  <c r="H107" i="67"/>
  <c r="G107" i="67"/>
  <c r="AX106" i="67"/>
  <c r="AW106" i="67"/>
  <c r="AV106" i="67"/>
  <c r="AU106" i="67"/>
  <c r="AT106" i="67"/>
  <c r="AS106" i="67"/>
  <c r="AR106" i="67"/>
  <c r="AQ106" i="67"/>
  <c r="AP106" i="67"/>
  <c r="AO106" i="67"/>
  <c r="AN106" i="67"/>
  <c r="AM106" i="67"/>
  <c r="AL106" i="67"/>
  <c r="AK106" i="67"/>
  <c r="AJ106" i="67"/>
  <c r="AI106" i="67"/>
  <c r="AH106" i="67"/>
  <c r="AG106" i="67"/>
  <c r="AF106" i="67"/>
  <c r="AE106" i="67"/>
  <c r="AD106" i="67"/>
  <c r="AC106" i="67"/>
  <c r="AB106" i="67"/>
  <c r="AA106" i="67"/>
  <c r="Z106" i="67"/>
  <c r="Y106" i="67"/>
  <c r="X106" i="67"/>
  <c r="W106" i="67"/>
  <c r="V106" i="67"/>
  <c r="U106" i="67"/>
  <c r="T106" i="67"/>
  <c r="S106" i="67"/>
  <c r="R106" i="67"/>
  <c r="Q106" i="67"/>
  <c r="P106" i="67"/>
  <c r="O106" i="67"/>
  <c r="N106" i="67"/>
  <c r="M106" i="67"/>
  <c r="L106" i="67"/>
  <c r="K106" i="67"/>
  <c r="J106" i="67"/>
  <c r="I106" i="67"/>
  <c r="H106" i="67"/>
  <c r="G106" i="67"/>
  <c r="AX105" i="67"/>
  <c r="AW105" i="67"/>
  <c r="AV105" i="67"/>
  <c r="AU105" i="67"/>
  <c r="AT105" i="67"/>
  <c r="AS105" i="67"/>
  <c r="AR105" i="67"/>
  <c r="AQ105" i="67"/>
  <c r="AP105" i="67"/>
  <c r="AO105" i="67"/>
  <c r="AN105" i="67"/>
  <c r="AM105" i="67"/>
  <c r="AL105" i="67"/>
  <c r="AK105" i="67"/>
  <c r="AJ105" i="67"/>
  <c r="AI105" i="67"/>
  <c r="AH105" i="67"/>
  <c r="AG105" i="67"/>
  <c r="AF105" i="67"/>
  <c r="AE105" i="67"/>
  <c r="AD105" i="67"/>
  <c r="AC105" i="67"/>
  <c r="AB105" i="67"/>
  <c r="AA105" i="67"/>
  <c r="Z105" i="67"/>
  <c r="Y105" i="67"/>
  <c r="X105" i="67"/>
  <c r="W105" i="67"/>
  <c r="V105" i="67"/>
  <c r="U105" i="67"/>
  <c r="T105" i="67"/>
  <c r="S105" i="67"/>
  <c r="R105" i="67"/>
  <c r="Q105" i="67"/>
  <c r="P105" i="67"/>
  <c r="O105" i="67"/>
  <c r="N105" i="67"/>
  <c r="M105" i="67"/>
  <c r="L105" i="67"/>
  <c r="K105" i="67"/>
  <c r="J105" i="67"/>
  <c r="I105" i="67"/>
  <c r="H105" i="67"/>
  <c r="G105" i="67"/>
  <c r="AP104" i="67"/>
  <c r="AO104" i="67"/>
  <c r="AN104" i="67"/>
  <c r="AM104" i="67"/>
  <c r="AL104" i="67"/>
  <c r="AK104" i="67"/>
  <c r="AJ104" i="67"/>
  <c r="AI104" i="67"/>
  <c r="AH104" i="67"/>
  <c r="AG104" i="67"/>
  <c r="AF104" i="67"/>
  <c r="AE104" i="67"/>
  <c r="AD104" i="67"/>
  <c r="AC104" i="67"/>
  <c r="AB104" i="67"/>
  <c r="AA104" i="67"/>
  <c r="Z104" i="67"/>
  <c r="Y104" i="67"/>
  <c r="X104" i="67"/>
  <c r="W104" i="67"/>
  <c r="V104" i="67"/>
  <c r="U104" i="67"/>
  <c r="T104" i="67"/>
  <c r="S104" i="67"/>
  <c r="R104" i="67"/>
  <c r="Q104" i="67"/>
  <c r="P104" i="67"/>
  <c r="O104" i="67"/>
  <c r="N104" i="67"/>
  <c r="M104" i="67"/>
  <c r="L104" i="67"/>
  <c r="K104" i="67"/>
  <c r="J104" i="67"/>
  <c r="I104" i="67"/>
  <c r="H104" i="67"/>
  <c r="G104" i="67"/>
  <c r="AP103" i="67"/>
  <c r="AO103" i="67"/>
  <c r="AN103" i="67"/>
  <c r="AM103" i="67"/>
  <c r="AL103" i="67"/>
  <c r="AK103" i="67"/>
  <c r="AJ103" i="67"/>
  <c r="AI103" i="67"/>
  <c r="AH103" i="67"/>
  <c r="AG103" i="67"/>
  <c r="AF103" i="67"/>
  <c r="AE103" i="67"/>
  <c r="AD103" i="67"/>
  <c r="AC103" i="67"/>
  <c r="AB103" i="67"/>
  <c r="AA103" i="67"/>
  <c r="Z103" i="67"/>
  <c r="Y103" i="67"/>
  <c r="X103" i="67"/>
  <c r="W103" i="67"/>
  <c r="V103" i="67"/>
  <c r="U103" i="67"/>
  <c r="T103" i="67"/>
  <c r="S103" i="67"/>
  <c r="R103" i="67"/>
  <c r="Q103" i="67"/>
  <c r="P103" i="67"/>
  <c r="O103" i="67"/>
  <c r="N103" i="67"/>
  <c r="M103" i="67"/>
  <c r="L103" i="67"/>
  <c r="K103" i="67"/>
  <c r="J103" i="67"/>
  <c r="I103" i="67"/>
  <c r="H103" i="67"/>
  <c r="G103" i="67"/>
  <c r="AP102" i="67"/>
  <c r="AO102" i="67"/>
  <c r="AN102" i="67"/>
  <c r="AM102" i="67"/>
  <c r="AL102" i="67"/>
  <c r="AK102" i="67"/>
  <c r="AJ102" i="67"/>
  <c r="AI102" i="67"/>
  <c r="AH102" i="67"/>
  <c r="AG102" i="67"/>
  <c r="AF102" i="67"/>
  <c r="AE102" i="67"/>
  <c r="AD102" i="67"/>
  <c r="AC102" i="67"/>
  <c r="AB102" i="67"/>
  <c r="AA102" i="67"/>
  <c r="Z102" i="67"/>
  <c r="Y102" i="67"/>
  <c r="X102" i="67"/>
  <c r="W102" i="67"/>
  <c r="V102" i="67"/>
  <c r="U102" i="67"/>
  <c r="T102" i="67"/>
  <c r="S102" i="67"/>
  <c r="R102" i="67"/>
  <c r="Q102" i="67"/>
  <c r="P102" i="67"/>
  <c r="O102" i="67"/>
  <c r="N102" i="67"/>
  <c r="M102" i="67"/>
  <c r="L102" i="67"/>
  <c r="K102" i="67"/>
  <c r="J102" i="67"/>
  <c r="I102" i="67"/>
  <c r="H102" i="67"/>
  <c r="G102" i="67"/>
  <c r="AP101" i="67"/>
  <c r="AO101" i="67"/>
  <c r="AN101" i="67"/>
  <c r="AM101" i="67"/>
  <c r="AL101" i="67"/>
  <c r="AK101" i="67"/>
  <c r="AJ101" i="67"/>
  <c r="AI101" i="67"/>
  <c r="AH101" i="67"/>
  <c r="AG101" i="67"/>
  <c r="AF101" i="67"/>
  <c r="AE101" i="67"/>
  <c r="AD101" i="67"/>
  <c r="AC101" i="67"/>
  <c r="AB101" i="67"/>
  <c r="AA101" i="67"/>
  <c r="Z101" i="67"/>
  <c r="Y101" i="67"/>
  <c r="X101" i="67"/>
  <c r="W101" i="67"/>
  <c r="V101" i="67"/>
  <c r="U101" i="67"/>
  <c r="T101" i="67"/>
  <c r="S101" i="67"/>
  <c r="R101" i="67"/>
  <c r="Q101" i="67"/>
  <c r="P101" i="67"/>
  <c r="O101" i="67"/>
  <c r="N101" i="67"/>
  <c r="M101" i="67"/>
  <c r="L101" i="67"/>
  <c r="K101" i="67"/>
  <c r="J101" i="67"/>
  <c r="I101" i="67"/>
  <c r="H101" i="67"/>
  <c r="G101" i="67"/>
  <c r="AP100" i="67"/>
  <c r="AO100" i="67"/>
  <c r="AN100" i="67"/>
  <c r="AM100" i="67"/>
  <c r="AL100" i="67"/>
  <c r="AK100" i="67"/>
  <c r="AJ100" i="67"/>
  <c r="AI100" i="67"/>
  <c r="AH100" i="67"/>
  <c r="AG100" i="67"/>
  <c r="AF100" i="67"/>
  <c r="AE100" i="67"/>
  <c r="AD100" i="67"/>
  <c r="AC100" i="67"/>
  <c r="AB100" i="67"/>
  <c r="AA100" i="67"/>
  <c r="Z100" i="67"/>
  <c r="Y100" i="67"/>
  <c r="X100" i="67"/>
  <c r="W100" i="67"/>
  <c r="V100" i="67"/>
  <c r="U100" i="67"/>
  <c r="T100" i="67"/>
  <c r="S100" i="67"/>
  <c r="R100" i="67"/>
  <c r="Q100" i="67"/>
  <c r="P100" i="67"/>
  <c r="O100" i="67"/>
  <c r="N100" i="67"/>
  <c r="M100" i="67"/>
  <c r="L100" i="67"/>
  <c r="K100" i="67"/>
  <c r="J100" i="67"/>
  <c r="I100" i="67"/>
  <c r="H100" i="67"/>
  <c r="G100" i="67"/>
  <c r="AX99" i="67"/>
  <c r="AW99" i="67"/>
  <c r="AV99" i="67"/>
  <c r="AU99" i="67"/>
  <c r="AP99" i="67"/>
  <c r="AO99" i="67"/>
  <c r="AN99" i="67"/>
  <c r="AM99" i="67"/>
  <c r="AL99" i="67"/>
  <c r="AK99" i="67"/>
  <c r="AJ99" i="67"/>
  <c r="AI99" i="67"/>
  <c r="AH99" i="67"/>
  <c r="AG99" i="67"/>
  <c r="AF99" i="67"/>
  <c r="AE99" i="67"/>
  <c r="AD99" i="67"/>
  <c r="AC99" i="67"/>
  <c r="AB99" i="67"/>
  <c r="AA99" i="67"/>
  <c r="Z99" i="67"/>
  <c r="Y99" i="67"/>
  <c r="X99" i="67"/>
  <c r="W99" i="67"/>
  <c r="V99" i="67"/>
  <c r="U99" i="67"/>
  <c r="T99" i="67"/>
  <c r="S99" i="67"/>
  <c r="R99" i="67"/>
  <c r="Q99" i="67"/>
  <c r="P99" i="67"/>
  <c r="O99" i="67"/>
  <c r="N99" i="67"/>
  <c r="M99" i="67"/>
  <c r="L99" i="67"/>
  <c r="K99" i="67"/>
  <c r="J99" i="67"/>
  <c r="I99" i="67"/>
  <c r="H99" i="67"/>
  <c r="G99" i="67"/>
  <c r="AX98" i="67"/>
  <c r="BK96" i="15" s="1"/>
  <c r="AW98" i="67"/>
  <c r="BJ96" i="15" s="1"/>
  <c r="AV98" i="67"/>
  <c r="AU98" i="67"/>
  <c r="BH96" i="15" s="1"/>
  <c r="AT98" i="67"/>
  <c r="BF96" i="15" s="1"/>
  <c r="AS98" i="67"/>
  <c r="BE96" i="15" s="1"/>
  <c r="AR98" i="67"/>
  <c r="BD96" i="15" s="1"/>
  <c r="AQ98" i="67"/>
  <c r="BC96" i="15" s="1"/>
  <c r="AP98" i="67"/>
  <c r="BA96" i="15" s="1"/>
  <c r="AO98" i="67"/>
  <c r="AZ96" i="15" s="1"/>
  <c r="AN98" i="67"/>
  <c r="AY96" i="15" s="1"/>
  <c r="AM98" i="67"/>
  <c r="AX96" i="15" s="1"/>
  <c r="AL98" i="67"/>
  <c r="AV96" i="15" s="1"/>
  <c r="AK98" i="67"/>
  <c r="AU96" i="15" s="1"/>
  <c r="AJ98" i="67"/>
  <c r="AT96" i="15" s="1"/>
  <c r="AI98" i="67"/>
  <c r="AS96" i="15" s="1"/>
  <c r="AH98" i="67"/>
  <c r="AP96" i="15" s="1"/>
  <c r="AG98" i="67"/>
  <c r="AF98" i="67"/>
  <c r="AO96" i="15" s="1"/>
  <c r="AE98" i="67"/>
  <c r="AD98" i="67"/>
  <c r="AL96" i="15" s="1"/>
  <c r="AC98" i="67"/>
  <c r="AK96" i="15" s="1"/>
  <c r="AB98" i="67"/>
  <c r="AA98" i="67"/>
  <c r="AI96" i="15" s="1"/>
  <c r="Z98" i="67"/>
  <c r="AG96" i="15" s="1"/>
  <c r="Y98" i="67"/>
  <c r="AF96" i="15" s="1"/>
  <c r="X98" i="67"/>
  <c r="W98" i="67"/>
  <c r="AD96" i="15" s="1"/>
  <c r="V98" i="67"/>
  <c r="AB96" i="15" s="1"/>
  <c r="U98" i="67"/>
  <c r="AA96" i="15" s="1"/>
  <c r="T98" i="67"/>
  <c r="S98" i="67"/>
  <c r="Y96" i="15" s="1"/>
  <c r="R98" i="67"/>
  <c r="W96" i="15" s="1"/>
  <c r="Q98" i="67"/>
  <c r="V96" i="15" s="1"/>
  <c r="P98" i="67"/>
  <c r="O98" i="67"/>
  <c r="T96" i="15" s="1"/>
  <c r="N98" i="67"/>
  <c r="M98" i="67"/>
  <c r="L98" i="67"/>
  <c r="K98" i="67"/>
  <c r="J98" i="67"/>
  <c r="I98" i="67"/>
  <c r="H98" i="67"/>
  <c r="G98" i="67"/>
  <c r="AX97" i="67"/>
  <c r="BK93" i="15" s="1"/>
  <c r="AW97" i="67"/>
  <c r="BJ93" i="15" s="1"/>
  <c r="AV97" i="67"/>
  <c r="AU97" i="67"/>
  <c r="BH93" i="15" s="1"/>
  <c r="AT97" i="67"/>
  <c r="BF93" i="15" s="1"/>
  <c r="AS97" i="67"/>
  <c r="BE93" i="15" s="1"/>
  <c r="AR97" i="67"/>
  <c r="BD93" i="15" s="1"/>
  <c r="AQ97" i="67"/>
  <c r="BC93" i="15" s="1"/>
  <c r="AP97" i="67"/>
  <c r="BA93" i="15" s="1"/>
  <c r="AO97" i="67"/>
  <c r="AZ93" i="15" s="1"/>
  <c r="AN97" i="67"/>
  <c r="AY93" i="15" s="1"/>
  <c r="AM97" i="67"/>
  <c r="AX93" i="15" s="1"/>
  <c r="AL97" i="67"/>
  <c r="AV93" i="15" s="1"/>
  <c r="AK97" i="67"/>
  <c r="AU93" i="15" s="1"/>
  <c r="AJ97" i="67"/>
  <c r="AT93" i="15" s="1"/>
  <c r="AI97" i="67"/>
  <c r="AS93" i="15" s="1"/>
  <c r="AH97" i="67"/>
  <c r="AP93" i="15" s="1"/>
  <c r="AG97" i="67"/>
  <c r="AF97" i="67"/>
  <c r="AN93" i="15" s="1"/>
  <c r="AE97" i="67"/>
  <c r="AD97" i="67"/>
  <c r="AL93" i="15" s="1"/>
  <c r="AC97" i="67"/>
  <c r="AK93" i="15" s="1"/>
  <c r="AB97" i="67"/>
  <c r="AA97" i="67"/>
  <c r="AI93" i="15" s="1"/>
  <c r="Z97" i="67"/>
  <c r="AG93" i="15" s="1"/>
  <c r="Y97" i="67"/>
  <c r="AF93" i="15" s="1"/>
  <c r="X97" i="67"/>
  <c r="W97" i="67"/>
  <c r="AD93" i="15" s="1"/>
  <c r="V97" i="67"/>
  <c r="AB93" i="15" s="1"/>
  <c r="U97" i="67"/>
  <c r="AA93" i="15" s="1"/>
  <c r="T97" i="67"/>
  <c r="S97" i="67"/>
  <c r="Y93" i="15" s="1"/>
  <c r="R97" i="67"/>
  <c r="W93" i="15" s="1"/>
  <c r="Q97" i="67"/>
  <c r="V93" i="15" s="1"/>
  <c r="P97" i="67"/>
  <c r="O97" i="67"/>
  <c r="T93" i="15" s="1"/>
  <c r="N97" i="67"/>
  <c r="M97" i="67"/>
  <c r="L97" i="67"/>
  <c r="K97" i="67"/>
  <c r="J97" i="67"/>
  <c r="I97" i="67"/>
  <c r="H97" i="67"/>
  <c r="G97" i="67"/>
  <c r="AX96" i="67"/>
  <c r="BK90" i="15" s="1"/>
  <c r="AW96" i="67"/>
  <c r="BJ90" i="15" s="1"/>
  <c r="AV96" i="67"/>
  <c r="AU96" i="67"/>
  <c r="BH90" i="15" s="1"/>
  <c r="AT96" i="67"/>
  <c r="BF90" i="15" s="1"/>
  <c r="AS96" i="67"/>
  <c r="BE90" i="15" s="1"/>
  <c r="AR96" i="67"/>
  <c r="BD90" i="15" s="1"/>
  <c r="AQ96" i="67"/>
  <c r="BC90" i="15" s="1"/>
  <c r="AP96" i="67"/>
  <c r="BA90" i="15" s="1"/>
  <c r="AO96" i="67"/>
  <c r="AZ90" i="15" s="1"/>
  <c r="AN96" i="67"/>
  <c r="AY90" i="15" s="1"/>
  <c r="AM96" i="67"/>
  <c r="AX90" i="15" s="1"/>
  <c r="AL96" i="67"/>
  <c r="AV90" i="15" s="1"/>
  <c r="AK96" i="67"/>
  <c r="AU90" i="15" s="1"/>
  <c r="AJ96" i="67"/>
  <c r="AT90" i="15" s="1"/>
  <c r="AI96" i="67"/>
  <c r="AS90" i="15" s="1"/>
  <c r="AH96" i="67"/>
  <c r="AP90" i="15" s="1"/>
  <c r="AG96" i="67"/>
  <c r="AF96" i="67"/>
  <c r="AO90" i="15" s="1"/>
  <c r="AE96" i="67"/>
  <c r="AD96" i="67"/>
  <c r="AL90" i="15" s="1"/>
  <c r="AC96" i="67"/>
  <c r="AK90" i="15" s="1"/>
  <c r="AB96" i="67"/>
  <c r="AA96" i="67"/>
  <c r="AI90" i="15" s="1"/>
  <c r="Z96" i="67"/>
  <c r="AG90" i="15" s="1"/>
  <c r="Y96" i="67"/>
  <c r="AF90" i="15" s="1"/>
  <c r="X96" i="67"/>
  <c r="W96" i="67"/>
  <c r="AD90" i="15" s="1"/>
  <c r="V96" i="67"/>
  <c r="AB90" i="15" s="1"/>
  <c r="U96" i="67"/>
  <c r="AA90" i="15" s="1"/>
  <c r="T96" i="67"/>
  <c r="S96" i="67"/>
  <c r="Y90" i="15" s="1"/>
  <c r="R96" i="67"/>
  <c r="W90" i="15" s="1"/>
  <c r="Q96" i="67"/>
  <c r="V90" i="15" s="1"/>
  <c r="P96" i="67"/>
  <c r="O96" i="67"/>
  <c r="T90" i="15" s="1"/>
  <c r="N96" i="67"/>
  <c r="M96" i="67"/>
  <c r="L96" i="67"/>
  <c r="K96" i="67"/>
  <c r="J96" i="67"/>
  <c r="I96" i="67"/>
  <c r="H96" i="67"/>
  <c r="G96" i="67"/>
  <c r="AX95" i="67"/>
  <c r="AW95" i="67"/>
  <c r="AV95" i="67"/>
  <c r="AU95" i="67"/>
  <c r="AT95" i="67"/>
  <c r="AS95" i="67"/>
  <c r="AR95" i="67"/>
  <c r="AQ95" i="67"/>
  <c r="AP95" i="67"/>
  <c r="AO95" i="67"/>
  <c r="AN95" i="67"/>
  <c r="AM95" i="67"/>
  <c r="AL95" i="67"/>
  <c r="AK95" i="67"/>
  <c r="AJ95" i="67"/>
  <c r="AI95" i="67"/>
  <c r="AH95" i="67"/>
  <c r="AG95" i="67"/>
  <c r="AF95" i="67"/>
  <c r="AE95" i="67"/>
  <c r="AD95" i="67"/>
  <c r="AC95" i="67"/>
  <c r="AB95" i="67"/>
  <c r="AA95" i="67"/>
  <c r="Z95" i="67"/>
  <c r="Y95" i="67"/>
  <c r="X95" i="67"/>
  <c r="W95" i="67"/>
  <c r="V95" i="67"/>
  <c r="U95" i="67"/>
  <c r="T95" i="67"/>
  <c r="S95" i="67"/>
  <c r="R95" i="67"/>
  <c r="Q95" i="67"/>
  <c r="P95" i="67"/>
  <c r="O95" i="67"/>
  <c r="N95" i="67"/>
  <c r="M95" i="67"/>
  <c r="L95" i="67"/>
  <c r="K95" i="67"/>
  <c r="J95" i="67"/>
  <c r="I95" i="67"/>
  <c r="H95" i="67"/>
  <c r="G95" i="67"/>
  <c r="AX94" i="67"/>
  <c r="AW94" i="67"/>
  <c r="AV94" i="67"/>
  <c r="AU94" i="67"/>
  <c r="AT94" i="67"/>
  <c r="AS94" i="67"/>
  <c r="AR94" i="67"/>
  <c r="AQ94" i="67"/>
  <c r="AP94" i="67"/>
  <c r="AO94" i="67"/>
  <c r="AN94" i="67"/>
  <c r="AM94" i="67"/>
  <c r="AL94" i="67"/>
  <c r="AK94" i="67"/>
  <c r="AJ94" i="67"/>
  <c r="AI94" i="67"/>
  <c r="AH94" i="67"/>
  <c r="AG94" i="67"/>
  <c r="AF94" i="67"/>
  <c r="AE94" i="67"/>
  <c r="AD94" i="67"/>
  <c r="AC94" i="67"/>
  <c r="AB94" i="67"/>
  <c r="AA94" i="67"/>
  <c r="Z94" i="67"/>
  <c r="Y94" i="67"/>
  <c r="X94" i="67"/>
  <c r="W94" i="67"/>
  <c r="V94" i="67"/>
  <c r="U94" i="67"/>
  <c r="T94" i="67"/>
  <c r="S94" i="67"/>
  <c r="R94" i="67"/>
  <c r="Q94" i="67"/>
  <c r="P94" i="67"/>
  <c r="O94" i="67"/>
  <c r="N94" i="67"/>
  <c r="M94" i="67"/>
  <c r="L94" i="67"/>
  <c r="K94" i="67"/>
  <c r="J94" i="67"/>
  <c r="I94" i="67"/>
  <c r="H94" i="67"/>
  <c r="G94" i="67"/>
  <c r="AX93" i="67"/>
  <c r="AW93" i="67"/>
  <c r="AV93" i="67"/>
  <c r="AU93" i="67"/>
  <c r="AT93" i="67"/>
  <c r="AS93" i="67"/>
  <c r="AR93" i="67"/>
  <c r="AQ93" i="67"/>
  <c r="AP93" i="67"/>
  <c r="AO93" i="67"/>
  <c r="AN93" i="67"/>
  <c r="AM93" i="67"/>
  <c r="AL93" i="67"/>
  <c r="AK93" i="67"/>
  <c r="AJ93" i="67"/>
  <c r="AI93" i="67"/>
  <c r="AH93" i="67"/>
  <c r="AG93" i="67"/>
  <c r="AF93" i="67"/>
  <c r="AE93" i="67"/>
  <c r="AD93" i="67"/>
  <c r="AC93" i="67"/>
  <c r="AB93" i="67"/>
  <c r="AA93" i="67"/>
  <c r="Z93" i="67"/>
  <c r="Y93" i="67"/>
  <c r="X93" i="67"/>
  <c r="W93" i="67"/>
  <c r="V93" i="67"/>
  <c r="U93" i="67"/>
  <c r="T93" i="67"/>
  <c r="S93" i="67"/>
  <c r="R93" i="67"/>
  <c r="Q93" i="67"/>
  <c r="P93" i="67"/>
  <c r="O93" i="67"/>
  <c r="N93" i="67"/>
  <c r="M93" i="67"/>
  <c r="L93" i="67"/>
  <c r="K93" i="67"/>
  <c r="J93" i="67"/>
  <c r="I93" i="67"/>
  <c r="H93" i="67"/>
  <c r="G93" i="67"/>
  <c r="AX92" i="67"/>
  <c r="AW92" i="67"/>
  <c r="AV92" i="67"/>
  <c r="AU92" i="67"/>
  <c r="AT92" i="67"/>
  <c r="AS92" i="67"/>
  <c r="AR92" i="67"/>
  <c r="AQ92" i="67"/>
  <c r="AP92" i="67"/>
  <c r="AO92" i="67"/>
  <c r="AN92" i="67"/>
  <c r="AM92" i="67"/>
  <c r="AL92" i="67"/>
  <c r="AK92" i="67"/>
  <c r="AJ92" i="67"/>
  <c r="AI92" i="67"/>
  <c r="AH92" i="67"/>
  <c r="AG92" i="67"/>
  <c r="AF92" i="67"/>
  <c r="AE92" i="67"/>
  <c r="AD92" i="67"/>
  <c r="AC92" i="67"/>
  <c r="AB92" i="67"/>
  <c r="AA92" i="67"/>
  <c r="Z92" i="67"/>
  <c r="Y92" i="67"/>
  <c r="X92" i="67"/>
  <c r="W92" i="67"/>
  <c r="V92" i="67"/>
  <c r="U92" i="67"/>
  <c r="T92" i="67"/>
  <c r="S92" i="67"/>
  <c r="R92" i="67"/>
  <c r="Q92" i="67"/>
  <c r="P92" i="67"/>
  <c r="O92" i="67"/>
  <c r="N92" i="67"/>
  <c r="M92" i="67"/>
  <c r="L92" i="67"/>
  <c r="K92" i="67"/>
  <c r="J92" i="67"/>
  <c r="I92" i="67"/>
  <c r="H92" i="67"/>
  <c r="G92" i="67"/>
  <c r="AX91" i="67"/>
  <c r="AW91" i="67"/>
  <c r="AV91" i="67"/>
  <c r="AU91" i="67"/>
  <c r="AT91" i="67"/>
  <c r="AS91" i="67"/>
  <c r="AR91" i="67"/>
  <c r="AQ91" i="67"/>
  <c r="AP91" i="67"/>
  <c r="AO91" i="67"/>
  <c r="AN91" i="67"/>
  <c r="AM91" i="67"/>
  <c r="AL91" i="67"/>
  <c r="AK91" i="67"/>
  <c r="AJ91" i="67"/>
  <c r="AI91" i="67"/>
  <c r="AH91" i="67"/>
  <c r="AG91" i="67"/>
  <c r="AF91" i="67"/>
  <c r="AE91" i="67"/>
  <c r="AD91" i="67"/>
  <c r="AC91" i="67"/>
  <c r="AB91" i="67"/>
  <c r="AA91" i="67"/>
  <c r="Z91" i="67"/>
  <c r="Y91" i="67"/>
  <c r="X91" i="67"/>
  <c r="W91" i="67"/>
  <c r="V91" i="67"/>
  <c r="U91" i="67"/>
  <c r="T91" i="67"/>
  <c r="S91" i="67"/>
  <c r="R91" i="67"/>
  <c r="Q91" i="67"/>
  <c r="P91" i="67"/>
  <c r="O91" i="67"/>
  <c r="N91" i="67"/>
  <c r="M91" i="67"/>
  <c r="L91" i="67"/>
  <c r="K91" i="67"/>
  <c r="J91" i="67"/>
  <c r="I91" i="67"/>
  <c r="H91" i="67"/>
  <c r="G91" i="67"/>
  <c r="AX90" i="67"/>
  <c r="AW90" i="67"/>
  <c r="AV90" i="67"/>
  <c r="AU90" i="67"/>
  <c r="AT90" i="67"/>
  <c r="AS90" i="67"/>
  <c r="AR90" i="67"/>
  <c r="AQ90" i="67"/>
  <c r="AP90" i="67"/>
  <c r="AO90" i="67"/>
  <c r="AN90" i="67"/>
  <c r="AM90" i="67"/>
  <c r="AL90" i="67"/>
  <c r="AK90" i="67"/>
  <c r="AJ90" i="67"/>
  <c r="AI90" i="67"/>
  <c r="AH90" i="67"/>
  <c r="AG90" i="67"/>
  <c r="AF90" i="67"/>
  <c r="AE90" i="67"/>
  <c r="AD90" i="67"/>
  <c r="AC90" i="67"/>
  <c r="AB90" i="67"/>
  <c r="AA90" i="67"/>
  <c r="Z90" i="67"/>
  <c r="Y90" i="67"/>
  <c r="X90" i="67"/>
  <c r="W90" i="67"/>
  <c r="V90" i="67"/>
  <c r="U90" i="67"/>
  <c r="T90" i="67"/>
  <c r="S90" i="67"/>
  <c r="R90" i="67"/>
  <c r="Q90" i="67"/>
  <c r="P90" i="67"/>
  <c r="O90" i="67"/>
  <c r="N90" i="67"/>
  <c r="M90" i="67"/>
  <c r="L90" i="67"/>
  <c r="K90" i="67"/>
  <c r="J90" i="67"/>
  <c r="I90" i="67"/>
  <c r="H90" i="67"/>
  <c r="G90" i="67"/>
  <c r="AX89" i="67"/>
  <c r="AW89" i="67"/>
  <c r="AV89" i="67"/>
  <c r="AU89" i="67"/>
  <c r="AT89" i="67"/>
  <c r="AS89" i="67"/>
  <c r="AR89" i="67"/>
  <c r="AQ89" i="67"/>
  <c r="AP89" i="67"/>
  <c r="AO89" i="67"/>
  <c r="AN89" i="67"/>
  <c r="AM89" i="67"/>
  <c r="AL89" i="67"/>
  <c r="AK89" i="67"/>
  <c r="AJ89" i="67"/>
  <c r="AI89" i="67"/>
  <c r="AH89" i="67"/>
  <c r="AG89" i="67"/>
  <c r="AF89" i="67"/>
  <c r="AE89" i="67"/>
  <c r="AD89" i="67"/>
  <c r="AC89" i="67"/>
  <c r="AB89" i="67"/>
  <c r="AA89" i="67"/>
  <c r="Z89" i="67"/>
  <c r="Y89" i="67"/>
  <c r="X89" i="67"/>
  <c r="W89" i="67"/>
  <c r="V89" i="67"/>
  <c r="U89" i="67"/>
  <c r="T89" i="67"/>
  <c r="S89" i="67"/>
  <c r="R89" i="67"/>
  <c r="Q89" i="67"/>
  <c r="P89" i="67"/>
  <c r="O89" i="67"/>
  <c r="N89" i="67"/>
  <c r="M89" i="67"/>
  <c r="L89" i="67"/>
  <c r="K89" i="67"/>
  <c r="J89" i="67"/>
  <c r="I89" i="67"/>
  <c r="H89" i="67"/>
  <c r="G89" i="67"/>
  <c r="AX88" i="67"/>
  <c r="AW88" i="67"/>
  <c r="AV88" i="67"/>
  <c r="AU88" i="67"/>
  <c r="AT88" i="67"/>
  <c r="AS88" i="67"/>
  <c r="AR88" i="67"/>
  <c r="AQ88" i="67"/>
  <c r="AP88" i="67"/>
  <c r="AO88" i="67"/>
  <c r="AN88" i="67"/>
  <c r="AM88" i="67"/>
  <c r="AL88" i="67"/>
  <c r="AK88" i="67"/>
  <c r="AJ88" i="67"/>
  <c r="AI88" i="67"/>
  <c r="AH88" i="67"/>
  <c r="AG88" i="67"/>
  <c r="AF88" i="67"/>
  <c r="AE88" i="67"/>
  <c r="AD88" i="67"/>
  <c r="AC88" i="67"/>
  <c r="AB88" i="67"/>
  <c r="AA88" i="67"/>
  <c r="Z88" i="67"/>
  <c r="Y88" i="67"/>
  <c r="X88" i="67"/>
  <c r="W88" i="67"/>
  <c r="V88" i="67"/>
  <c r="U88" i="67"/>
  <c r="T88" i="67"/>
  <c r="S88" i="67"/>
  <c r="R88" i="67"/>
  <c r="Q88" i="67"/>
  <c r="P88" i="67"/>
  <c r="O88" i="67"/>
  <c r="N88" i="67"/>
  <c r="M88" i="67"/>
  <c r="L88" i="67"/>
  <c r="K88" i="67"/>
  <c r="J88" i="67"/>
  <c r="I88" i="67"/>
  <c r="H88" i="67"/>
  <c r="G88" i="67"/>
  <c r="AX87" i="67"/>
  <c r="AW87" i="67"/>
  <c r="AV87" i="67"/>
  <c r="AU87" i="67"/>
  <c r="AP87" i="67"/>
  <c r="AO87" i="67"/>
  <c r="AN87" i="67"/>
  <c r="AM87" i="67"/>
  <c r="AL87" i="67"/>
  <c r="AK87" i="67"/>
  <c r="AJ87" i="67"/>
  <c r="AI87" i="67"/>
  <c r="AH87" i="67"/>
  <c r="AG87" i="67"/>
  <c r="AF87" i="67"/>
  <c r="AE87" i="67"/>
  <c r="AD87" i="67"/>
  <c r="AC87" i="67"/>
  <c r="AB87" i="67"/>
  <c r="AA87" i="67"/>
  <c r="Z87" i="67"/>
  <c r="Y87" i="67"/>
  <c r="X87" i="67"/>
  <c r="W87" i="67"/>
  <c r="V87" i="67"/>
  <c r="U87" i="67"/>
  <c r="T87" i="67"/>
  <c r="S87" i="67"/>
  <c r="R87" i="67"/>
  <c r="Q87" i="67"/>
  <c r="P87" i="67"/>
  <c r="O87" i="67"/>
  <c r="N87" i="67"/>
  <c r="M87" i="67"/>
  <c r="L87" i="67"/>
  <c r="K87" i="67"/>
  <c r="J87" i="67"/>
  <c r="I87" i="67"/>
  <c r="H87" i="67"/>
  <c r="G87" i="67"/>
  <c r="AP86" i="67"/>
  <c r="AO86" i="67"/>
  <c r="AN86" i="67"/>
  <c r="AM86" i="67"/>
  <c r="AL86" i="67"/>
  <c r="AK86" i="67"/>
  <c r="AJ86" i="67"/>
  <c r="AI86" i="67"/>
  <c r="AH86" i="67"/>
  <c r="AG86" i="67"/>
  <c r="AF86" i="67"/>
  <c r="AE86" i="67"/>
  <c r="AD86" i="67"/>
  <c r="AC86" i="67"/>
  <c r="AB86" i="67"/>
  <c r="AA86" i="67"/>
  <c r="Z86" i="67"/>
  <c r="Y86" i="67"/>
  <c r="X86" i="67"/>
  <c r="W86" i="67"/>
  <c r="V86" i="67"/>
  <c r="U86" i="67"/>
  <c r="T86" i="67"/>
  <c r="S86" i="67"/>
  <c r="R86" i="67"/>
  <c r="Q86" i="67"/>
  <c r="P86" i="67"/>
  <c r="O86" i="67"/>
  <c r="N86" i="67"/>
  <c r="M86" i="67"/>
  <c r="L86" i="67"/>
  <c r="K86" i="67"/>
  <c r="J86" i="67"/>
  <c r="I86" i="67"/>
  <c r="H86" i="67"/>
  <c r="G86" i="67"/>
  <c r="AP85" i="67"/>
  <c r="AO85" i="67"/>
  <c r="AN85" i="67"/>
  <c r="AM85" i="67"/>
  <c r="AL85" i="67"/>
  <c r="AK85" i="67"/>
  <c r="AJ85" i="67"/>
  <c r="AI85" i="67"/>
  <c r="AH85" i="67"/>
  <c r="AG85" i="67"/>
  <c r="AF85" i="67"/>
  <c r="AE85" i="67"/>
  <c r="AD85" i="67"/>
  <c r="AC85" i="67"/>
  <c r="AB85" i="67"/>
  <c r="AA85" i="67"/>
  <c r="Z85" i="67"/>
  <c r="Y85" i="67"/>
  <c r="X85" i="67"/>
  <c r="W85" i="67"/>
  <c r="V85" i="67"/>
  <c r="U85" i="67"/>
  <c r="T85" i="67"/>
  <c r="S85" i="67"/>
  <c r="R85" i="67"/>
  <c r="Q85" i="67"/>
  <c r="P85" i="67"/>
  <c r="O85" i="67"/>
  <c r="N85" i="67"/>
  <c r="M85" i="67"/>
  <c r="L85" i="67"/>
  <c r="K85" i="67"/>
  <c r="J85" i="67"/>
  <c r="I85" i="67"/>
  <c r="H85" i="67"/>
  <c r="G85" i="67"/>
  <c r="AP84" i="67"/>
  <c r="AO84" i="67"/>
  <c r="AN84" i="67"/>
  <c r="AM84" i="67"/>
  <c r="AL84" i="67"/>
  <c r="AK84" i="67"/>
  <c r="AJ84" i="67"/>
  <c r="AI84" i="67"/>
  <c r="AH84" i="67"/>
  <c r="AG84" i="67"/>
  <c r="AF84" i="67"/>
  <c r="AE84" i="67"/>
  <c r="AD84" i="67"/>
  <c r="AC84" i="67"/>
  <c r="AB84" i="67"/>
  <c r="AA84" i="67"/>
  <c r="Z84" i="67"/>
  <c r="Y84" i="67"/>
  <c r="X84" i="67"/>
  <c r="W84" i="67"/>
  <c r="V84" i="67"/>
  <c r="U84" i="67"/>
  <c r="T84" i="67"/>
  <c r="S84" i="67"/>
  <c r="R84" i="67"/>
  <c r="Q84" i="67"/>
  <c r="P84" i="67"/>
  <c r="O84" i="67"/>
  <c r="N84" i="67"/>
  <c r="M84" i="67"/>
  <c r="L84" i="67"/>
  <c r="K84" i="67"/>
  <c r="J84" i="67"/>
  <c r="I84" i="67"/>
  <c r="H84" i="67"/>
  <c r="G84" i="67"/>
  <c r="AP83" i="67"/>
  <c r="AO83" i="67"/>
  <c r="AN83" i="67"/>
  <c r="AM83" i="67"/>
  <c r="AL83" i="67"/>
  <c r="AK83" i="67"/>
  <c r="AJ83" i="67"/>
  <c r="AI83" i="67"/>
  <c r="AH83" i="67"/>
  <c r="AG83" i="67"/>
  <c r="AF83" i="67"/>
  <c r="AE83" i="67"/>
  <c r="AD83" i="67"/>
  <c r="AC83" i="67"/>
  <c r="AB83" i="67"/>
  <c r="AA83" i="67"/>
  <c r="Z83" i="67"/>
  <c r="Y83" i="67"/>
  <c r="X83" i="67"/>
  <c r="W83" i="67"/>
  <c r="V83" i="67"/>
  <c r="U83" i="67"/>
  <c r="T83" i="67"/>
  <c r="S83" i="67"/>
  <c r="R83" i="67"/>
  <c r="Q83" i="67"/>
  <c r="P83" i="67"/>
  <c r="O83" i="67"/>
  <c r="N83" i="67"/>
  <c r="M83" i="67"/>
  <c r="L83" i="67"/>
  <c r="K83" i="67"/>
  <c r="J83" i="67"/>
  <c r="I83" i="67"/>
  <c r="H83" i="67"/>
  <c r="G83" i="67"/>
  <c r="AP82" i="67"/>
  <c r="AO82" i="67"/>
  <c r="AN82" i="67"/>
  <c r="AM82" i="67"/>
  <c r="AL82" i="67"/>
  <c r="AK82" i="67"/>
  <c r="AJ82" i="67"/>
  <c r="AI82" i="67"/>
  <c r="AH82" i="67"/>
  <c r="AG82" i="67"/>
  <c r="AF82" i="67"/>
  <c r="AE82" i="67"/>
  <c r="AD82" i="67"/>
  <c r="AC82" i="67"/>
  <c r="AB82" i="67"/>
  <c r="AA82" i="67"/>
  <c r="Z82" i="67"/>
  <c r="Y82" i="67"/>
  <c r="X82" i="67"/>
  <c r="W82" i="67"/>
  <c r="V82" i="67"/>
  <c r="U82" i="67"/>
  <c r="T82" i="67"/>
  <c r="S82" i="67"/>
  <c r="R82" i="67"/>
  <c r="Q82" i="67"/>
  <c r="P82" i="67"/>
  <c r="O82" i="67"/>
  <c r="N82" i="67"/>
  <c r="M82" i="67"/>
  <c r="L82" i="67"/>
  <c r="K82" i="67"/>
  <c r="J82" i="67"/>
  <c r="I82" i="67"/>
  <c r="H82" i="67"/>
  <c r="G82" i="67"/>
  <c r="AX81" i="67"/>
  <c r="AW81" i="67"/>
  <c r="AV81" i="67"/>
  <c r="AU81" i="67"/>
  <c r="AP81" i="67"/>
  <c r="AO81" i="67"/>
  <c r="AN81" i="67"/>
  <c r="AM81" i="67"/>
  <c r="AL81" i="67"/>
  <c r="AK81" i="67"/>
  <c r="AJ81" i="67"/>
  <c r="AI81" i="67"/>
  <c r="AH81" i="67"/>
  <c r="AG81" i="67"/>
  <c r="AF81" i="67"/>
  <c r="AE81" i="67"/>
  <c r="AD81" i="67"/>
  <c r="AC81" i="67"/>
  <c r="AB81" i="67"/>
  <c r="AA81" i="67"/>
  <c r="Z81" i="67"/>
  <c r="Y81" i="67"/>
  <c r="X81" i="67"/>
  <c r="W81" i="67"/>
  <c r="V81" i="67"/>
  <c r="U81" i="67"/>
  <c r="T81" i="67"/>
  <c r="S81" i="67"/>
  <c r="R81" i="67"/>
  <c r="Q81" i="67"/>
  <c r="P81" i="67"/>
  <c r="O81" i="67"/>
  <c r="N81" i="67"/>
  <c r="M81" i="67"/>
  <c r="L81" i="67"/>
  <c r="K81" i="67"/>
  <c r="J81" i="67"/>
  <c r="I81" i="67"/>
  <c r="H81" i="67"/>
  <c r="G81" i="67"/>
  <c r="AX80" i="67"/>
  <c r="BK95" i="15" s="1"/>
  <c r="AW80" i="67"/>
  <c r="BJ95" i="15" s="1"/>
  <c r="AV80" i="67"/>
  <c r="AU80" i="67"/>
  <c r="BH95" i="15" s="1"/>
  <c r="AP80" i="67"/>
  <c r="BA95" i="15" s="1"/>
  <c r="AO80" i="67"/>
  <c r="AZ95" i="15" s="1"/>
  <c r="AN80" i="67"/>
  <c r="AY95" i="15" s="1"/>
  <c r="AL80" i="67"/>
  <c r="AV95" i="15" s="1"/>
  <c r="AK80" i="67"/>
  <c r="AU95" i="15" s="1"/>
  <c r="AJ80" i="67"/>
  <c r="AT95" i="15" s="1"/>
  <c r="AI80" i="67"/>
  <c r="AS95" i="15" s="1"/>
  <c r="AH80" i="67"/>
  <c r="AG80" i="67"/>
  <c r="AF80" i="67"/>
  <c r="AO95" i="15" s="1"/>
  <c r="AE80" i="67"/>
  <c r="AD80" i="67"/>
  <c r="AL95" i="15" s="1"/>
  <c r="AC80" i="67"/>
  <c r="AK95" i="15" s="1"/>
  <c r="AB80" i="67"/>
  <c r="AJ95" i="15" s="1"/>
  <c r="AA80" i="67"/>
  <c r="Z80" i="67"/>
  <c r="AG95" i="15" s="1"/>
  <c r="Y80" i="67"/>
  <c r="AF95" i="15" s="1"/>
  <c r="X80" i="67"/>
  <c r="AE95" i="15" s="1"/>
  <c r="W80" i="67"/>
  <c r="V80" i="67"/>
  <c r="AB95" i="15" s="1"/>
  <c r="U80" i="67"/>
  <c r="AA95" i="15" s="1"/>
  <c r="T80" i="67"/>
  <c r="Z95" i="15" s="1"/>
  <c r="S80" i="67"/>
  <c r="R80" i="67"/>
  <c r="W95" i="15" s="1"/>
  <c r="Q80" i="67"/>
  <c r="V95" i="15" s="1"/>
  <c r="P80" i="67"/>
  <c r="U95" i="15" s="1"/>
  <c r="O80" i="67"/>
  <c r="N80" i="67"/>
  <c r="M80" i="67"/>
  <c r="L80" i="67"/>
  <c r="K80" i="67"/>
  <c r="J80" i="67"/>
  <c r="I80" i="67"/>
  <c r="H80" i="67"/>
  <c r="G80" i="67"/>
  <c r="AX79" i="67"/>
  <c r="BK92" i="15" s="1"/>
  <c r="AW79" i="67"/>
  <c r="BJ92" i="15" s="1"/>
  <c r="AV79" i="67"/>
  <c r="AU79" i="67"/>
  <c r="BH92" i="15" s="1"/>
  <c r="AT79" i="67"/>
  <c r="BF92" i="15" s="1"/>
  <c r="AS79" i="67"/>
  <c r="BE92" i="15" s="1"/>
  <c r="AR79" i="67"/>
  <c r="BD92" i="15" s="1"/>
  <c r="AQ79" i="67"/>
  <c r="BC92" i="15" s="1"/>
  <c r="AP79" i="67"/>
  <c r="BA92" i="15" s="1"/>
  <c r="AO79" i="67"/>
  <c r="AZ92" i="15" s="1"/>
  <c r="AN79" i="67"/>
  <c r="AY92" i="15" s="1"/>
  <c r="AM79" i="67"/>
  <c r="AL79" i="67"/>
  <c r="AV92" i="15" s="1"/>
  <c r="AK79" i="67"/>
  <c r="AU92" i="15" s="1"/>
  <c r="AJ79" i="67"/>
  <c r="AT92" i="15" s="1"/>
  <c r="AI79" i="67"/>
  <c r="AS92" i="15" s="1"/>
  <c r="AH79" i="67"/>
  <c r="AG79" i="67"/>
  <c r="AF79" i="67"/>
  <c r="AO92" i="15" s="1"/>
  <c r="AE79" i="67"/>
  <c r="AD79" i="67"/>
  <c r="AL92" i="15" s="1"/>
  <c r="AC79" i="67"/>
  <c r="AK92" i="15" s="1"/>
  <c r="AB79" i="67"/>
  <c r="AJ92" i="15" s="1"/>
  <c r="AA79" i="67"/>
  <c r="Z79" i="67"/>
  <c r="AG92" i="15" s="1"/>
  <c r="Y79" i="67"/>
  <c r="AF92" i="15" s="1"/>
  <c r="X79" i="67"/>
  <c r="AE92" i="15" s="1"/>
  <c r="W79" i="67"/>
  <c r="V79" i="67"/>
  <c r="AB92" i="15" s="1"/>
  <c r="U79" i="67"/>
  <c r="AA92" i="15" s="1"/>
  <c r="T79" i="67"/>
  <c r="Z92" i="15" s="1"/>
  <c r="S79" i="67"/>
  <c r="R79" i="67"/>
  <c r="W92" i="15" s="1"/>
  <c r="Q79" i="67"/>
  <c r="V92" i="15" s="1"/>
  <c r="P79" i="67"/>
  <c r="U92" i="15" s="1"/>
  <c r="O79" i="67"/>
  <c r="N79" i="67"/>
  <c r="M79" i="67"/>
  <c r="L79" i="67"/>
  <c r="K79" i="67"/>
  <c r="J79" i="67"/>
  <c r="I79" i="67"/>
  <c r="H79" i="67"/>
  <c r="G79" i="67"/>
  <c r="AX78" i="67"/>
  <c r="BK89" i="15" s="1"/>
  <c r="AW78" i="67"/>
  <c r="BJ89" i="15" s="1"/>
  <c r="AV78" i="67"/>
  <c r="AU78" i="67"/>
  <c r="BH89" i="15" s="1"/>
  <c r="AT78" i="67"/>
  <c r="BF89" i="15" s="1"/>
  <c r="AS78" i="67"/>
  <c r="BE89" i="15" s="1"/>
  <c r="AR78" i="67"/>
  <c r="BD89" i="15" s="1"/>
  <c r="AQ78" i="67"/>
  <c r="BC89" i="15" s="1"/>
  <c r="AP78" i="67"/>
  <c r="BA89" i="15" s="1"/>
  <c r="AO78" i="67"/>
  <c r="AZ89" i="15" s="1"/>
  <c r="AN78" i="67"/>
  <c r="AY89" i="15" s="1"/>
  <c r="AM78" i="67"/>
  <c r="AX89" i="15" s="1"/>
  <c r="AL78" i="67"/>
  <c r="AV89" i="15" s="1"/>
  <c r="AK78" i="67"/>
  <c r="AU89" i="15" s="1"/>
  <c r="AJ78" i="67"/>
  <c r="AT89" i="15" s="1"/>
  <c r="AI78" i="67"/>
  <c r="AH78" i="67"/>
  <c r="AG78" i="67"/>
  <c r="AF78" i="67"/>
  <c r="AO89" i="15" s="1"/>
  <c r="AE78" i="67"/>
  <c r="AD78" i="67"/>
  <c r="AL89" i="15" s="1"/>
  <c r="AC78" i="67"/>
  <c r="AK89" i="15" s="1"/>
  <c r="AB78" i="67"/>
  <c r="AJ89" i="15" s="1"/>
  <c r="AA78" i="67"/>
  <c r="Z78" i="67"/>
  <c r="AG89" i="15" s="1"/>
  <c r="Y78" i="67"/>
  <c r="AF89" i="15" s="1"/>
  <c r="X78" i="67"/>
  <c r="AE89" i="15" s="1"/>
  <c r="W78" i="67"/>
  <c r="V78" i="67"/>
  <c r="AB89" i="15" s="1"/>
  <c r="U78" i="67"/>
  <c r="AA89" i="15" s="1"/>
  <c r="T78" i="67"/>
  <c r="Z89" i="15" s="1"/>
  <c r="S78" i="67"/>
  <c r="R78" i="67"/>
  <c r="W89" i="15" s="1"/>
  <c r="Q78" i="67"/>
  <c r="V89" i="15" s="1"/>
  <c r="P78" i="67"/>
  <c r="U89" i="15" s="1"/>
  <c r="O78" i="67"/>
  <c r="N78" i="67"/>
  <c r="M78" i="67"/>
  <c r="L78" i="67"/>
  <c r="K78" i="67"/>
  <c r="J78" i="67"/>
  <c r="I78" i="67"/>
  <c r="H78" i="67"/>
  <c r="G78" i="67"/>
  <c r="AX77" i="67"/>
  <c r="AW77" i="67"/>
  <c r="AV77" i="67"/>
  <c r="AU77" i="67"/>
  <c r="AT77" i="67"/>
  <c r="AS77" i="67"/>
  <c r="AR77" i="67"/>
  <c r="AQ77" i="67"/>
  <c r="AP77" i="67"/>
  <c r="AO77" i="67"/>
  <c r="AN77" i="67"/>
  <c r="AM77" i="67"/>
  <c r="AL77" i="67"/>
  <c r="AK77" i="67"/>
  <c r="AJ77" i="67"/>
  <c r="AI77" i="67"/>
  <c r="AH77" i="67"/>
  <c r="AG77" i="67"/>
  <c r="AF77" i="67"/>
  <c r="AE77" i="67"/>
  <c r="AD77" i="67"/>
  <c r="AC77" i="67"/>
  <c r="AB77" i="67"/>
  <c r="AA77" i="67"/>
  <c r="Z77" i="67"/>
  <c r="Y77" i="67"/>
  <c r="X77" i="67"/>
  <c r="W77" i="67"/>
  <c r="V77" i="67"/>
  <c r="U77" i="67"/>
  <c r="T77" i="67"/>
  <c r="S77" i="67"/>
  <c r="R77" i="67"/>
  <c r="Q77" i="67"/>
  <c r="P77" i="67"/>
  <c r="O77" i="67"/>
  <c r="N77" i="67"/>
  <c r="M77" i="67"/>
  <c r="L77" i="67"/>
  <c r="K77" i="67"/>
  <c r="J77" i="67"/>
  <c r="I77" i="67"/>
  <c r="H77" i="67"/>
  <c r="G77" i="67"/>
  <c r="AX76" i="67"/>
  <c r="AW76" i="67"/>
  <c r="AV76" i="67"/>
  <c r="AU76" i="67"/>
  <c r="AT76" i="67"/>
  <c r="AS76" i="67"/>
  <c r="AR76" i="67"/>
  <c r="AQ76" i="67"/>
  <c r="AP76" i="67"/>
  <c r="AO76" i="67"/>
  <c r="AN76" i="67"/>
  <c r="AM76" i="67"/>
  <c r="AL76" i="67"/>
  <c r="AK76" i="67"/>
  <c r="AJ76" i="67"/>
  <c r="AI76" i="67"/>
  <c r="AH76" i="67"/>
  <c r="AG76" i="67"/>
  <c r="AF76" i="67"/>
  <c r="AE76" i="67"/>
  <c r="AD76" i="67"/>
  <c r="AC76" i="67"/>
  <c r="AB76" i="67"/>
  <c r="AA76" i="67"/>
  <c r="Z76" i="67"/>
  <c r="Y76" i="67"/>
  <c r="X76" i="67"/>
  <c r="W76" i="67"/>
  <c r="V76" i="67"/>
  <c r="U76" i="67"/>
  <c r="T76" i="67"/>
  <c r="S76" i="67"/>
  <c r="R76" i="67"/>
  <c r="Q76" i="67"/>
  <c r="P76" i="67"/>
  <c r="O76" i="67"/>
  <c r="N76" i="67"/>
  <c r="M76" i="67"/>
  <c r="L76" i="67"/>
  <c r="K76" i="67"/>
  <c r="J76" i="67"/>
  <c r="I76" i="67"/>
  <c r="H76" i="67"/>
  <c r="G76" i="67"/>
  <c r="AX75" i="67"/>
  <c r="AW75" i="67"/>
  <c r="AV75" i="67"/>
  <c r="AU75" i="67"/>
  <c r="AT75" i="67"/>
  <c r="AS75" i="67"/>
  <c r="AR75" i="67"/>
  <c r="AQ75" i="67"/>
  <c r="AP75" i="67"/>
  <c r="AO75" i="67"/>
  <c r="AN75" i="67"/>
  <c r="AM75" i="67"/>
  <c r="AL75" i="67"/>
  <c r="AK75" i="67"/>
  <c r="AJ75" i="67"/>
  <c r="AI75" i="67"/>
  <c r="AH75" i="67"/>
  <c r="AG75" i="67"/>
  <c r="AF75" i="67"/>
  <c r="AE75" i="67"/>
  <c r="AD75" i="67"/>
  <c r="AC75" i="67"/>
  <c r="AB75" i="67"/>
  <c r="AA75" i="67"/>
  <c r="Z75" i="67"/>
  <c r="Y75" i="67"/>
  <c r="X75" i="67"/>
  <c r="W75" i="67"/>
  <c r="V75" i="67"/>
  <c r="U75" i="67"/>
  <c r="T75" i="67"/>
  <c r="S75" i="67"/>
  <c r="R75" i="67"/>
  <c r="Q75" i="67"/>
  <c r="P75" i="67"/>
  <c r="O75" i="67"/>
  <c r="N75" i="67"/>
  <c r="M75" i="67"/>
  <c r="L75" i="67"/>
  <c r="K75" i="67"/>
  <c r="J75" i="67"/>
  <c r="I75" i="67"/>
  <c r="H75" i="67"/>
  <c r="G75" i="67"/>
  <c r="AX74" i="67"/>
  <c r="BK107" i="15" s="1"/>
  <c r="AW74" i="67"/>
  <c r="BJ107" i="15" s="1"/>
  <c r="AV74" i="67"/>
  <c r="AU74" i="67"/>
  <c r="AT74" i="67"/>
  <c r="BF107" i="15" s="1"/>
  <c r="AS74" i="67"/>
  <c r="BE107" i="15" s="1"/>
  <c r="AR74" i="67"/>
  <c r="BD107" i="15" s="1"/>
  <c r="AQ74" i="67"/>
  <c r="BC107" i="15" s="1"/>
  <c r="AP74" i="67"/>
  <c r="BA107" i="15" s="1"/>
  <c r="AO74" i="67"/>
  <c r="AZ107" i="15" s="1"/>
  <c r="AN74" i="67"/>
  <c r="AY107" i="15" s="1"/>
  <c r="AM74" i="67"/>
  <c r="AL74" i="67"/>
  <c r="AV107" i="15" s="1"/>
  <c r="AK74" i="67"/>
  <c r="AU107" i="15" s="1"/>
  <c r="AJ74" i="67"/>
  <c r="AT107" i="15" s="1"/>
  <c r="AI74" i="67"/>
  <c r="AS107" i="15" s="1"/>
  <c r="AH74" i="67"/>
  <c r="AQ107" i="15" s="1"/>
  <c r="AG74" i="67"/>
  <c r="AP107" i="15" s="1"/>
  <c r="AF74" i="67"/>
  <c r="AO107" i="15" s="1"/>
  <c r="AE74" i="67"/>
  <c r="AD74" i="67"/>
  <c r="AL107" i="15" s="1"/>
  <c r="AC74" i="67"/>
  <c r="AK107" i="15" s="1"/>
  <c r="AB74" i="67"/>
  <c r="AJ107" i="15" s="1"/>
  <c r="AA74" i="67"/>
  <c r="Z74" i="67"/>
  <c r="AG107" i="15" s="1"/>
  <c r="Y74" i="67"/>
  <c r="AF107" i="15" s="1"/>
  <c r="X74" i="67"/>
  <c r="AE107" i="15" s="1"/>
  <c r="W74" i="67"/>
  <c r="V74" i="67"/>
  <c r="AB107" i="15" s="1"/>
  <c r="U74" i="67"/>
  <c r="AA107" i="15" s="1"/>
  <c r="T74" i="67"/>
  <c r="Z107" i="15" s="1"/>
  <c r="S74" i="67"/>
  <c r="R74" i="67"/>
  <c r="W107" i="15" s="1"/>
  <c r="Q74" i="67"/>
  <c r="V107" i="15" s="1"/>
  <c r="P74" i="67"/>
  <c r="U107" i="15" s="1"/>
  <c r="O74" i="67"/>
  <c r="N74" i="67"/>
  <c r="M74" i="67"/>
  <c r="L74" i="67"/>
  <c r="K74" i="67"/>
  <c r="J74" i="67"/>
  <c r="I74" i="67"/>
  <c r="H74" i="67"/>
  <c r="G74" i="67"/>
  <c r="AX73" i="67"/>
  <c r="AW73" i="67"/>
  <c r="AV73" i="67"/>
  <c r="AU73" i="67"/>
  <c r="AT73" i="67"/>
  <c r="AS73" i="67"/>
  <c r="AR73" i="67"/>
  <c r="AQ73" i="67"/>
  <c r="AP73" i="67"/>
  <c r="AO73" i="67"/>
  <c r="AN73" i="67"/>
  <c r="AM73" i="67"/>
  <c r="AL73" i="67"/>
  <c r="AK73" i="67"/>
  <c r="AJ73" i="67"/>
  <c r="AI73" i="67"/>
  <c r="AH73" i="67"/>
  <c r="AG73" i="67"/>
  <c r="AF73" i="67"/>
  <c r="AE73" i="67"/>
  <c r="AD73" i="67"/>
  <c r="AC73" i="67"/>
  <c r="AB73" i="67"/>
  <c r="AA73" i="67"/>
  <c r="Z73" i="67"/>
  <c r="Y73" i="67"/>
  <c r="X73" i="67"/>
  <c r="W73" i="67"/>
  <c r="V73" i="67"/>
  <c r="U73" i="67"/>
  <c r="T73" i="67"/>
  <c r="S73" i="67"/>
  <c r="R73" i="67"/>
  <c r="Q73" i="67"/>
  <c r="P73" i="67"/>
  <c r="O73" i="67"/>
  <c r="N73" i="67"/>
  <c r="M73" i="67"/>
  <c r="L73" i="67"/>
  <c r="K73" i="67"/>
  <c r="J73" i="67"/>
  <c r="I73" i="67"/>
  <c r="H73" i="67"/>
  <c r="G73" i="67"/>
  <c r="AX72" i="67"/>
  <c r="AW72" i="67"/>
  <c r="AV72" i="67"/>
  <c r="AU72" i="67"/>
  <c r="AT72" i="67"/>
  <c r="AS72" i="67"/>
  <c r="AR72" i="67"/>
  <c r="AQ72" i="67"/>
  <c r="AP72" i="67"/>
  <c r="AO72" i="67"/>
  <c r="AN72" i="67"/>
  <c r="AM72" i="67"/>
  <c r="AL72" i="67"/>
  <c r="AK72" i="67"/>
  <c r="AJ72" i="67"/>
  <c r="AI72" i="67"/>
  <c r="AH72" i="67"/>
  <c r="AG72" i="67"/>
  <c r="AF72" i="67"/>
  <c r="AE72" i="67"/>
  <c r="AD72" i="67"/>
  <c r="AC72" i="67"/>
  <c r="AB72" i="67"/>
  <c r="AA72" i="67"/>
  <c r="Z72" i="67"/>
  <c r="Y72" i="67"/>
  <c r="X72" i="67"/>
  <c r="W72" i="67"/>
  <c r="V72" i="67"/>
  <c r="U72" i="67"/>
  <c r="T72" i="67"/>
  <c r="S72" i="67"/>
  <c r="R72" i="67"/>
  <c r="Q72" i="67"/>
  <c r="P72" i="67"/>
  <c r="O72" i="67"/>
  <c r="N72" i="67"/>
  <c r="M72" i="67"/>
  <c r="L72" i="67"/>
  <c r="K72" i="67"/>
  <c r="J72" i="67"/>
  <c r="I72" i="67"/>
  <c r="H72" i="67"/>
  <c r="G72" i="67"/>
  <c r="AX71" i="67"/>
  <c r="AW71" i="67"/>
  <c r="AV71" i="67"/>
  <c r="AU71" i="67"/>
  <c r="AT71" i="67"/>
  <c r="AS71" i="67"/>
  <c r="AR71" i="67"/>
  <c r="AQ71" i="67"/>
  <c r="AP71" i="67"/>
  <c r="AO71" i="67"/>
  <c r="AN71" i="67"/>
  <c r="AM71" i="67"/>
  <c r="AL71" i="67"/>
  <c r="AK71" i="67"/>
  <c r="AJ71" i="67"/>
  <c r="AI71" i="67"/>
  <c r="AH71" i="67"/>
  <c r="AG71" i="67"/>
  <c r="AF71" i="67"/>
  <c r="AE71" i="67"/>
  <c r="AD71" i="67"/>
  <c r="AC71" i="67"/>
  <c r="AB71" i="67"/>
  <c r="AA71" i="67"/>
  <c r="Z71" i="67"/>
  <c r="Y71" i="67"/>
  <c r="X71" i="67"/>
  <c r="W71" i="67"/>
  <c r="V71" i="67"/>
  <c r="U71" i="67"/>
  <c r="T71" i="67"/>
  <c r="S71" i="67"/>
  <c r="R71" i="67"/>
  <c r="Q71" i="67"/>
  <c r="P71" i="67"/>
  <c r="O71" i="67"/>
  <c r="N71" i="67"/>
  <c r="M71" i="67"/>
  <c r="L71" i="67"/>
  <c r="K71" i="67"/>
  <c r="J71" i="67"/>
  <c r="I71" i="67"/>
  <c r="H71" i="67"/>
  <c r="G71" i="67"/>
  <c r="AX70" i="67"/>
  <c r="AW70" i="67"/>
  <c r="AV70" i="67"/>
  <c r="AU70" i="67"/>
  <c r="AT70" i="67"/>
  <c r="AS70" i="67"/>
  <c r="AR70" i="67"/>
  <c r="AQ70" i="67"/>
  <c r="AP70" i="67"/>
  <c r="AO70" i="67"/>
  <c r="AN70" i="67"/>
  <c r="AM70" i="67"/>
  <c r="AL70" i="67"/>
  <c r="AK70" i="67"/>
  <c r="AJ70" i="67"/>
  <c r="AI70" i="67"/>
  <c r="AH70" i="67"/>
  <c r="AG70" i="67"/>
  <c r="AF70" i="67"/>
  <c r="AE70" i="67"/>
  <c r="AD70" i="67"/>
  <c r="AC70" i="67"/>
  <c r="AB70" i="67"/>
  <c r="AA70" i="67"/>
  <c r="Z70" i="67"/>
  <c r="Y70" i="67"/>
  <c r="X70" i="67"/>
  <c r="W70" i="67"/>
  <c r="V70" i="67"/>
  <c r="U70" i="67"/>
  <c r="T70" i="67"/>
  <c r="S70" i="67"/>
  <c r="R70" i="67"/>
  <c r="Q70" i="67"/>
  <c r="P70" i="67"/>
  <c r="O70" i="67"/>
  <c r="N70" i="67"/>
  <c r="M70" i="67"/>
  <c r="L70" i="67"/>
  <c r="K70" i="67"/>
  <c r="J70" i="67"/>
  <c r="I70" i="67"/>
  <c r="H70" i="67"/>
  <c r="G70" i="67"/>
  <c r="AX69" i="67"/>
  <c r="AW69" i="67"/>
  <c r="AV69" i="67"/>
  <c r="AU69" i="67"/>
  <c r="AT69" i="67"/>
  <c r="AS69" i="67"/>
  <c r="AR69" i="67"/>
  <c r="AQ69" i="67"/>
  <c r="AP69" i="67"/>
  <c r="AO69" i="67"/>
  <c r="AN69" i="67"/>
  <c r="AM69" i="67"/>
  <c r="AL69" i="67"/>
  <c r="AK69" i="67"/>
  <c r="AJ69" i="67"/>
  <c r="AI69" i="67"/>
  <c r="AH69" i="67"/>
  <c r="AG69" i="67"/>
  <c r="AF69" i="67"/>
  <c r="AE69" i="67"/>
  <c r="AD69" i="67"/>
  <c r="AC69" i="67"/>
  <c r="AB69" i="67"/>
  <c r="AA69" i="67"/>
  <c r="Z69" i="67"/>
  <c r="Y69" i="67"/>
  <c r="X69" i="67"/>
  <c r="W69" i="67"/>
  <c r="V69" i="67"/>
  <c r="U69" i="67"/>
  <c r="T69" i="67"/>
  <c r="S69" i="67"/>
  <c r="R69" i="67"/>
  <c r="Q69" i="67"/>
  <c r="P69" i="67"/>
  <c r="O69" i="67"/>
  <c r="N69" i="67"/>
  <c r="M69" i="67"/>
  <c r="L69" i="67"/>
  <c r="K69" i="67"/>
  <c r="J69" i="67"/>
  <c r="I69" i="67"/>
  <c r="H69" i="67"/>
  <c r="G69" i="67"/>
  <c r="AX68" i="67"/>
  <c r="AW68" i="67"/>
  <c r="AV68" i="67"/>
  <c r="AU68" i="67"/>
  <c r="AT68" i="67"/>
  <c r="AS68" i="67"/>
  <c r="AR68" i="67"/>
  <c r="AQ68" i="67"/>
  <c r="AP68" i="67"/>
  <c r="AO68" i="67"/>
  <c r="AN68" i="67"/>
  <c r="AM68" i="67"/>
  <c r="AL68" i="67"/>
  <c r="AK68" i="67"/>
  <c r="AJ68" i="67"/>
  <c r="AI68" i="67"/>
  <c r="AH68" i="67"/>
  <c r="AG68" i="67"/>
  <c r="AF68" i="67"/>
  <c r="AE68" i="67"/>
  <c r="AD68" i="67"/>
  <c r="AC68" i="67"/>
  <c r="AB68" i="67"/>
  <c r="AA68" i="67"/>
  <c r="Z68" i="67"/>
  <c r="Y68" i="67"/>
  <c r="X68" i="67"/>
  <c r="W68" i="67"/>
  <c r="V68" i="67"/>
  <c r="U68" i="67"/>
  <c r="T68" i="67"/>
  <c r="S68" i="67"/>
  <c r="R68" i="67"/>
  <c r="Q68" i="67"/>
  <c r="P68" i="67"/>
  <c r="O68" i="67"/>
  <c r="N68" i="67"/>
  <c r="M68" i="67"/>
  <c r="L68" i="67"/>
  <c r="K68" i="67"/>
  <c r="J68" i="67"/>
  <c r="I68" i="67"/>
  <c r="H68" i="67"/>
  <c r="G68" i="67"/>
  <c r="AX67" i="67"/>
  <c r="AW67" i="67"/>
  <c r="AV67" i="67"/>
  <c r="AU67" i="67"/>
  <c r="AT67" i="67"/>
  <c r="AS67" i="67"/>
  <c r="AR67" i="67"/>
  <c r="AQ67" i="67"/>
  <c r="AP67" i="67"/>
  <c r="AO67" i="67"/>
  <c r="AN67" i="67"/>
  <c r="AM67" i="67"/>
  <c r="AL67" i="67"/>
  <c r="AK67" i="67"/>
  <c r="AJ67" i="67"/>
  <c r="AI67" i="67"/>
  <c r="AH67" i="67"/>
  <c r="AG67" i="67"/>
  <c r="AF67" i="67"/>
  <c r="AE67" i="67"/>
  <c r="AD67" i="67"/>
  <c r="AC67" i="67"/>
  <c r="AB67" i="67"/>
  <c r="AA67" i="67"/>
  <c r="Z67" i="67"/>
  <c r="Y67" i="67"/>
  <c r="X67" i="67"/>
  <c r="W67" i="67"/>
  <c r="V67" i="67"/>
  <c r="U67" i="67"/>
  <c r="T67" i="67"/>
  <c r="S67" i="67"/>
  <c r="R67" i="67"/>
  <c r="Q67" i="67"/>
  <c r="P67" i="67"/>
  <c r="O67" i="67"/>
  <c r="N67" i="67"/>
  <c r="M67" i="67"/>
  <c r="L67" i="67"/>
  <c r="K67" i="67"/>
  <c r="J67" i="67"/>
  <c r="I67" i="67"/>
  <c r="H67" i="67"/>
  <c r="G67" i="67"/>
  <c r="AX66" i="67"/>
  <c r="AW66" i="67"/>
  <c r="AV66" i="67"/>
  <c r="AU66" i="67"/>
  <c r="AT66" i="67"/>
  <c r="AS66" i="67"/>
  <c r="AR66" i="67"/>
  <c r="AQ66" i="67"/>
  <c r="AP66" i="67"/>
  <c r="AO66" i="67"/>
  <c r="AN66" i="67"/>
  <c r="AM66" i="67"/>
  <c r="AL66" i="67"/>
  <c r="AK66" i="67"/>
  <c r="AJ66" i="67"/>
  <c r="AI66" i="67"/>
  <c r="AH66" i="67"/>
  <c r="AG66" i="67"/>
  <c r="AF66" i="67"/>
  <c r="AE66" i="67"/>
  <c r="AD66" i="67"/>
  <c r="AC66" i="67"/>
  <c r="AB66" i="67"/>
  <c r="AA66" i="67"/>
  <c r="Z66" i="67"/>
  <c r="Y66" i="67"/>
  <c r="X66" i="67"/>
  <c r="W66" i="67"/>
  <c r="V66" i="67"/>
  <c r="U66" i="67"/>
  <c r="T66" i="67"/>
  <c r="S66" i="67"/>
  <c r="R66" i="67"/>
  <c r="Q66" i="67"/>
  <c r="P66" i="67"/>
  <c r="O66" i="67"/>
  <c r="N66" i="67"/>
  <c r="M66" i="67"/>
  <c r="L66" i="67"/>
  <c r="K66" i="67"/>
  <c r="J66" i="67"/>
  <c r="I66" i="67"/>
  <c r="H66" i="67"/>
  <c r="G66" i="67"/>
  <c r="AX65" i="67"/>
  <c r="AW65" i="67"/>
  <c r="AV65" i="67"/>
  <c r="AU65" i="67"/>
  <c r="AT65" i="67"/>
  <c r="AS65" i="67"/>
  <c r="AR65" i="67"/>
  <c r="AQ65" i="67"/>
  <c r="AP65" i="67"/>
  <c r="AO65" i="67"/>
  <c r="AN65" i="67"/>
  <c r="AM65" i="67"/>
  <c r="AL65" i="67"/>
  <c r="AK65" i="67"/>
  <c r="AJ65" i="67"/>
  <c r="AI65" i="67"/>
  <c r="AH65" i="67"/>
  <c r="AG65" i="67"/>
  <c r="AF65" i="67"/>
  <c r="AE65" i="67"/>
  <c r="AD65" i="67"/>
  <c r="AC65" i="67"/>
  <c r="AB65" i="67"/>
  <c r="AA65" i="67"/>
  <c r="Z65" i="67"/>
  <c r="Y65" i="67"/>
  <c r="X65" i="67"/>
  <c r="W65" i="67"/>
  <c r="V65" i="67"/>
  <c r="U65" i="67"/>
  <c r="T65" i="67"/>
  <c r="S65" i="67"/>
  <c r="R65" i="67"/>
  <c r="Q65" i="67"/>
  <c r="P65" i="67"/>
  <c r="O65" i="67"/>
  <c r="N65" i="67"/>
  <c r="M65" i="67"/>
  <c r="L65" i="67"/>
  <c r="K65" i="67"/>
  <c r="J65" i="67"/>
  <c r="I65" i="67"/>
  <c r="H65" i="67"/>
  <c r="G65" i="67"/>
  <c r="AX64" i="67"/>
  <c r="AW64" i="67"/>
  <c r="AV64" i="67"/>
  <c r="AU64" i="67"/>
  <c r="AT64" i="67"/>
  <c r="AS64" i="67"/>
  <c r="AR64" i="67"/>
  <c r="AQ64" i="67"/>
  <c r="AP64" i="67"/>
  <c r="AO64" i="67"/>
  <c r="AN64" i="67"/>
  <c r="AM64" i="67"/>
  <c r="AL64" i="67"/>
  <c r="AK64" i="67"/>
  <c r="AJ64" i="67"/>
  <c r="AI64" i="67"/>
  <c r="AH64" i="67"/>
  <c r="AG64" i="67"/>
  <c r="AF64" i="67"/>
  <c r="AE64" i="67"/>
  <c r="AD64" i="67"/>
  <c r="AC64" i="67"/>
  <c r="AB64" i="67"/>
  <c r="AA64" i="67"/>
  <c r="Z64" i="67"/>
  <c r="Y64" i="67"/>
  <c r="X64" i="67"/>
  <c r="W64" i="67"/>
  <c r="V64" i="67"/>
  <c r="U64" i="67"/>
  <c r="T64" i="67"/>
  <c r="S64" i="67"/>
  <c r="R64" i="67"/>
  <c r="Q64" i="67"/>
  <c r="P64" i="67"/>
  <c r="O64" i="67"/>
  <c r="N64" i="67"/>
  <c r="M64" i="67"/>
  <c r="L64" i="67"/>
  <c r="K64" i="67"/>
  <c r="J64" i="67"/>
  <c r="I64" i="67"/>
  <c r="H64" i="67"/>
  <c r="G64" i="67"/>
  <c r="AX63" i="67"/>
  <c r="AW63" i="67"/>
  <c r="AV63" i="67"/>
  <c r="AU63" i="67"/>
  <c r="AT63" i="67"/>
  <c r="AS63" i="67"/>
  <c r="AR63" i="67"/>
  <c r="AQ63" i="67"/>
  <c r="AP63" i="67"/>
  <c r="AO63" i="67"/>
  <c r="AN63" i="67"/>
  <c r="AM63" i="67"/>
  <c r="AL63" i="67"/>
  <c r="AK63" i="67"/>
  <c r="AJ63" i="67"/>
  <c r="AI63" i="67"/>
  <c r="AH63" i="67"/>
  <c r="AG63" i="67"/>
  <c r="AF63" i="67"/>
  <c r="AE63" i="67"/>
  <c r="AD63" i="67"/>
  <c r="AC63" i="67"/>
  <c r="AB63" i="67"/>
  <c r="AA63" i="67"/>
  <c r="Z63" i="67"/>
  <c r="Y63" i="67"/>
  <c r="X63" i="67"/>
  <c r="W63" i="67"/>
  <c r="V63" i="67"/>
  <c r="U63" i="67"/>
  <c r="T63" i="67"/>
  <c r="S63" i="67"/>
  <c r="R63" i="67"/>
  <c r="Q63" i="67"/>
  <c r="P63" i="67"/>
  <c r="O63" i="67"/>
  <c r="N63" i="67"/>
  <c r="M63" i="67"/>
  <c r="L63" i="67"/>
  <c r="K63" i="67"/>
  <c r="J63" i="67"/>
  <c r="I63" i="67"/>
  <c r="H63" i="67"/>
  <c r="G63" i="67"/>
  <c r="AX62" i="67"/>
  <c r="AW62" i="67"/>
  <c r="AV62" i="67"/>
  <c r="AU62" i="67"/>
  <c r="AT62" i="67"/>
  <c r="AS62" i="67"/>
  <c r="AR62" i="67"/>
  <c r="AQ62" i="67"/>
  <c r="AP62" i="67"/>
  <c r="AO62" i="67"/>
  <c r="AN62" i="67"/>
  <c r="AM62" i="67"/>
  <c r="AL62" i="67"/>
  <c r="AK62" i="67"/>
  <c r="AJ62" i="67"/>
  <c r="AI62" i="67"/>
  <c r="AH62" i="67"/>
  <c r="AG62" i="67"/>
  <c r="AF62" i="67"/>
  <c r="AE62" i="67"/>
  <c r="AD62" i="67"/>
  <c r="AC62" i="67"/>
  <c r="AB62" i="67"/>
  <c r="AA62" i="67"/>
  <c r="Z62" i="67"/>
  <c r="Y62" i="67"/>
  <c r="X62" i="67"/>
  <c r="W62" i="67"/>
  <c r="V62" i="67"/>
  <c r="U62" i="67"/>
  <c r="T62" i="67"/>
  <c r="S62" i="67"/>
  <c r="R62" i="67"/>
  <c r="Q62" i="67"/>
  <c r="P62" i="67"/>
  <c r="O62" i="67"/>
  <c r="N62" i="67"/>
  <c r="M62" i="67"/>
  <c r="L62" i="67"/>
  <c r="K62" i="67"/>
  <c r="J62" i="67"/>
  <c r="I62" i="67"/>
  <c r="H62" i="67"/>
  <c r="G62" i="67"/>
  <c r="AX61" i="67"/>
  <c r="AW61" i="67"/>
  <c r="AV61" i="67"/>
  <c r="AU61" i="67"/>
  <c r="AT61" i="67"/>
  <c r="AS61" i="67"/>
  <c r="AR61" i="67"/>
  <c r="AQ61" i="67"/>
  <c r="AP61" i="67"/>
  <c r="AO61" i="67"/>
  <c r="AN61" i="67"/>
  <c r="AM61" i="67"/>
  <c r="AL61" i="67"/>
  <c r="AK61" i="67"/>
  <c r="AJ61" i="67"/>
  <c r="AI61" i="67"/>
  <c r="AH61" i="67"/>
  <c r="AG61" i="67"/>
  <c r="AF61" i="67"/>
  <c r="AE61" i="67"/>
  <c r="AD61" i="67"/>
  <c r="AC61" i="67"/>
  <c r="AB61" i="67"/>
  <c r="AA61" i="67"/>
  <c r="Z61" i="67"/>
  <c r="Y61" i="67"/>
  <c r="X61" i="67"/>
  <c r="W61" i="67"/>
  <c r="V61" i="67"/>
  <c r="U61" i="67"/>
  <c r="T61" i="67"/>
  <c r="S61" i="67"/>
  <c r="R61" i="67"/>
  <c r="Q61" i="67"/>
  <c r="P61" i="67"/>
  <c r="O61" i="67"/>
  <c r="N61" i="67"/>
  <c r="M61" i="67"/>
  <c r="L61" i="67"/>
  <c r="K61" i="67"/>
  <c r="J61" i="67"/>
  <c r="I61" i="67"/>
  <c r="H61" i="67"/>
  <c r="G61" i="67"/>
  <c r="AX60" i="67"/>
  <c r="AW60" i="67"/>
  <c r="AV60" i="67"/>
  <c r="AU60" i="67"/>
  <c r="AT60" i="67"/>
  <c r="AS60" i="67"/>
  <c r="AR60" i="67"/>
  <c r="AQ60" i="67"/>
  <c r="AP60" i="67"/>
  <c r="AO60" i="67"/>
  <c r="AN60" i="67"/>
  <c r="AM60" i="67"/>
  <c r="AL60" i="67"/>
  <c r="AK60" i="67"/>
  <c r="AJ60" i="67"/>
  <c r="AI60" i="67"/>
  <c r="AH60" i="67"/>
  <c r="AG60" i="67"/>
  <c r="AF60" i="67"/>
  <c r="AE60" i="67"/>
  <c r="AD60" i="67"/>
  <c r="AC60" i="67"/>
  <c r="AB60" i="67"/>
  <c r="AA60" i="67"/>
  <c r="Z60" i="67"/>
  <c r="Y60" i="67"/>
  <c r="X60" i="67"/>
  <c r="W60" i="67"/>
  <c r="V60" i="67"/>
  <c r="U60" i="67"/>
  <c r="T60" i="67"/>
  <c r="S60" i="67"/>
  <c r="R60" i="67"/>
  <c r="Q60" i="67"/>
  <c r="P60" i="67"/>
  <c r="O60" i="67"/>
  <c r="N60" i="67"/>
  <c r="M60" i="67"/>
  <c r="L60" i="67"/>
  <c r="K60" i="67"/>
  <c r="J60" i="67"/>
  <c r="I60" i="67"/>
  <c r="H60" i="67"/>
  <c r="G60" i="67"/>
  <c r="AP59" i="67"/>
  <c r="AO59" i="67"/>
  <c r="AN59" i="67"/>
  <c r="AM59" i="67"/>
  <c r="AL59" i="67"/>
  <c r="AK59" i="67"/>
  <c r="AJ59" i="67"/>
  <c r="AI59" i="67"/>
  <c r="AH59" i="67"/>
  <c r="AG59" i="67"/>
  <c r="AF59" i="67"/>
  <c r="AE59" i="67"/>
  <c r="AD59" i="67"/>
  <c r="AC59" i="67"/>
  <c r="AB59" i="67"/>
  <c r="AA59" i="67"/>
  <c r="Z59" i="67"/>
  <c r="Y59" i="67"/>
  <c r="X59" i="67"/>
  <c r="W59" i="67"/>
  <c r="V59" i="67"/>
  <c r="U59" i="67"/>
  <c r="T59" i="67"/>
  <c r="S59" i="67"/>
  <c r="R59" i="67"/>
  <c r="Q59" i="67"/>
  <c r="P59" i="67"/>
  <c r="O59" i="67"/>
  <c r="N59" i="67"/>
  <c r="M59" i="67"/>
  <c r="L59" i="67"/>
  <c r="K59" i="67"/>
  <c r="J59" i="67"/>
  <c r="I59" i="67"/>
  <c r="H59" i="67"/>
  <c r="G59" i="67"/>
  <c r="AP58" i="67"/>
  <c r="AO58" i="67"/>
  <c r="AN58" i="67"/>
  <c r="AM58" i="67"/>
  <c r="AL58" i="67"/>
  <c r="AK58" i="67"/>
  <c r="AJ58" i="67"/>
  <c r="AI58" i="67"/>
  <c r="AH58" i="67"/>
  <c r="AG58" i="67"/>
  <c r="AF58" i="67"/>
  <c r="AE58" i="67"/>
  <c r="AD58" i="67"/>
  <c r="AC58" i="67"/>
  <c r="AB58" i="67"/>
  <c r="AA58" i="67"/>
  <c r="Z58" i="67"/>
  <c r="Y58" i="67"/>
  <c r="X58" i="67"/>
  <c r="W58" i="67"/>
  <c r="V58" i="67"/>
  <c r="U58" i="67"/>
  <c r="T58" i="67"/>
  <c r="S58" i="67"/>
  <c r="R58" i="67"/>
  <c r="Q58" i="67"/>
  <c r="P58" i="67"/>
  <c r="O58" i="67"/>
  <c r="N58" i="67"/>
  <c r="M58" i="67"/>
  <c r="L58" i="67"/>
  <c r="K58" i="67"/>
  <c r="J58" i="67"/>
  <c r="I58" i="67"/>
  <c r="H58" i="67"/>
  <c r="G58" i="67"/>
  <c r="AP57" i="67"/>
  <c r="BA71" i="15" s="1"/>
  <c r="AO57" i="67"/>
  <c r="AZ71" i="15" s="1"/>
  <c r="AN57" i="67"/>
  <c r="AY71" i="15" s="1"/>
  <c r="AM57" i="67"/>
  <c r="AL57" i="67"/>
  <c r="AV71" i="15" s="1"/>
  <c r="AK57" i="67"/>
  <c r="AU71" i="15" s="1"/>
  <c r="AJ57" i="67"/>
  <c r="AT71" i="15" s="1"/>
  <c r="AI57" i="67"/>
  <c r="AS71" i="15" s="1"/>
  <c r="AH57" i="67"/>
  <c r="AG57" i="67"/>
  <c r="AF57" i="67"/>
  <c r="AO71" i="15" s="1"/>
  <c r="AE57" i="67"/>
  <c r="AD57" i="67"/>
  <c r="AL71" i="15" s="1"/>
  <c r="AC57" i="67"/>
  <c r="AK71" i="15" s="1"/>
  <c r="AB57" i="67"/>
  <c r="AJ71" i="15" s="1"/>
  <c r="AA57" i="67"/>
  <c r="Z57" i="67"/>
  <c r="AG71" i="15" s="1"/>
  <c r="Y57" i="67"/>
  <c r="AF71" i="15" s="1"/>
  <c r="X57" i="67"/>
  <c r="AE71" i="15" s="1"/>
  <c r="W57" i="67"/>
  <c r="V57" i="67"/>
  <c r="AB71" i="15" s="1"/>
  <c r="U57" i="67"/>
  <c r="AA71" i="15" s="1"/>
  <c r="T57" i="67"/>
  <c r="Z71" i="15" s="1"/>
  <c r="S57" i="67"/>
  <c r="R57" i="67"/>
  <c r="W71" i="15" s="1"/>
  <c r="Q57" i="67"/>
  <c r="V71" i="15" s="1"/>
  <c r="P57" i="67"/>
  <c r="U71" i="15" s="1"/>
  <c r="O57" i="67"/>
  <c r="N57" i="67"/>
  <c r="M57" i="67"/>
  <c r="L57" i="67"/>
  <c r="K57" i="67"/>
  <c r="J57" i="67"/>
  <c r="I57" i="67"/>
  <c r="H57" i="67"/>
  <c r="G57" i="67"/>
  <c r="AP56" i="67"/>
  <c r="AO56" i="67"/>
  <c r="AN56" i="67"/>
  <c r="AM56" i="67"/>
  <c r="AL56" i="67"/>
  <c r="AK56" i="67"/>
  <c r="AJ56" i="67"/>
  <c r="AI56" i="67"/>
  <c r="AH56" i="67"/>
  <c r="AG56" i="67"/>
  <c r="AF56" i="67"/>
  <c r="AE56" i="67"/>
  <c r="AD56" i="67"/>
  <c r="AC56" i="67"/>
  <c r="AB56" i="67"/>
  <c r="AA56" i="67"/>
  <c r="Z56" i="67"/>
  <c r="Y56" i="67"/>
  <c r="X56" i="67"/>
  <c r="W56" i="67"/>
  <c r="V56" i="67"/>
  <c r="U56" i="67"/>
  <c r="T56" i="67"/>
  <c r="S56" i="67"/>
  <c r="R56" i="67"/>
  <c r="Q56" i="67"/>
  <c r="P56" i="67"/>
  <c r="O56" i="67"/>
  <c r="N56" i="67"/>
  <c r="M56" i="67"/>
  <c r="L56" i="67"/>
  <c r="K56" i="67"/>
  <c r="J56" i="67"/>
  <c r="I56" i="67"/>
  <c r="H56" i="67"/>
  <c r="G56" i="67"/>
  <c r="AP55" i="67"/>
  <c r="BA72" i="15" s="1"/>
  <c r="AO55" i="67"/>
  <c r="AZ72" i="15" s="1"/>
  <c r="AN55" i="67"/>
  <c r="AY72" i="15" s="1"/>
  <c r="AM55" i="67"/>
  <c r="AX72" i="15" s="1"/>
  <c r="AL55" i="67"/>
  <c r="AV72" i="15" s="1"/>
  <c r="AK55" i="67"/>
  <c r="AU72" i="15" s="1"/>
  <c r="AJ55" i="67"/>
  <c r="AT72" i="15" s="1"/>
  <c r="AI55" i="67"/>
  <c r="AH55" i="67"/>
  <c r="AP72" i="15" s="1"/>
  <c r="AG55" i="67"/>
  <c r="AF55" i="67"/>
  <c r="AO72" i="15" s="1"/>
  <c r="AE55" i="67"/>
  <c r="AD55" i="67"/>
  <c r="AL72" i="15" s="1"/>
  <c r="AC55" i="67"/>
  <c r="AK72" i="15" s="1"/>
  <c r="AB55" i="67"/>
  <c r="AJ72" i="15" s="1"/>
  <c r="AA55" i="67"/>
  <c r="Z55" i="67"/>
  <c r="AG72" i="15" s="1"/>
  <c r="Y55" i="67"/>
  <c r="AF72" i="15" s="1"/>
  <c r="X55" i="67"/>
  <c r="AE72" i="15" s="1"/>
  <c r="W55" i="67"/>
  <c r="V55" i="67"/>
  <c r="AB72" i="15" s="1"/>
  <c r="U55" i="67"/>
  <c r="AA72" i="15" s="1"/>
  <c r="T55" i="67"/>
  <c r="Z72" i="15" s="1"/>
  <c r="S55" i="67"/>
  <c r="R55" i="67"/>
  <c r="W72" i="15" s="1"/>
  <c r="Q55" i="67"/>
  <c r="V72" i="15" s="1"/>
  <c r="P55" i="67"/>
  <c r="U72" i="15" s="1"/>
  <c r="O55" i="67"/>
  <c r="N55" i="67"/>
  <c r="M55" i="67"/>
  <c r="L55" i="67"/>
  <c r="K55" i="67"/>
  <c r="J55" i="67"/>
  <c r="I55" i="67"/>
  <c r="H55" i="67"/>
  <c r="G55" i="67"/>
  <c r="AP54" i="67"/>
  <c r="AO54" i="67"/>
  <c r="AN54" i="67"/>
  <c r="AM54" i="67"/>
  <c r="AL54" i="67"/>
  <c r="AK54" i="67"/>
  <c r="AJ54" i="67"/>
  <c r="AI54" i="67"/>
  <c r="AH54" i="67"/>
  <c r="AG54" i="67"/>
  <c r="AF54" i="67"/>
  <c r="AE54" i="67"/>
  <c r="AD54" i="67"/>
  <c r="AC54" i="67"/>
  <c r="AB54" i="67"/>
  <c r="AA54" i="67"/>
  <c r="Z54" i="67"/>
  <c r="Y54" i="67"/>
  <c r="X54" i="67"/>
  <c r="W54" i="67"/>
  <c r="V54" i="67"/>
  <c r="U54" i="67"/>
  <c r="T54" i="67"/>
  <c r="S54" i="67"/>
  <c r="R54" i="67"/>
  <c r="Q54" i="67"/>
  <c r="P54" i="67"/>
  <c r="O54" i="67"/>
  <c r="N54" i="67"/>
  <c r="M54" i="67"/>
  <c r="L54" i="67"/>
  <c r="K54" i="67"/>
  <c r="J54" i="67"/>
  <c r="I54" i="67"/>
  <c r="H54" i="67"/>
  <c r="G54" i="67"/>
  <c r="AX53" i="67"/>
  <c r="AW53" i="67"/>
  <c r="AV53" i="67"/>
  <c r="BI73" i="15" s="1"/>
  <c r="AU53" i="67"/>
  <c r="BH73" i="15" s="1"/>
  <c r="AT53" i="67"/>
  <c r="BF73" i="15" s="1"/>
  <c r="AS53" i="67"/>
  <c r="BE73" i="15" s="1"/>
  <c r="AR53" i="67"/>
  <c r="BD73" i="15" s="1"/>
  <c r="AQ53" i="67"/>
  <c r="BC73" i="15" s="1"/>
  <c r="AP53" i="67"/>
  <c r="BA73" i="15" s="1"/>
  <c r="AO53" i="67"/>
  <c r="AZ73" i="15" s="1"/>
  <c r="AN53" i="67"/>
  <c r="AY73" i="15" s="1"/>
  <c r="AM53" i="67"/>
  <c r="AX73" i="15" s="1"/>
  <c r="AL53" i="67"/>
  <c r="AV73" i="15" s="1"/>
  <c r="AK53" i="67"/>
  <c r="AU73" i="15" s="1"/>
  <c r="AJ53" i="67"/>
  <c r="AT73" i="15" s="1"/>
  <c r="AI53" i="67"/>
  <c r="AS73" i="15" s="1"/>
  <c r="AH53" i="67"/>
  <c r="AG53" i="67"/>
  <c r="AF53" i="67"/>
  <c r="AN73" i="15" s="1"/>
  <c r="AE53" i="67"/>
  <c r="AD53" i="67"/>
  <c r="AL73" i="15" s="1"/>
  <c r="AC53" i="67"/>
  <c r="AK73" i="15" s="1"/>
  <c r="AB53" i="67"/>
  <c r="AJ73" i="15" s="1"/>
  <c r="AA53" i="67"/>
  <c r="Z53" i="67"/>
  <c r="AG73" i="15" s="1"/>
  <c r="Y53" i="67"/>
  <c r="AF73" i="15" s="1"/>
  <c r="X53" i="67"/>
  <c r="AE73" i="15" s="1"/>
  <c r="W53" i="67"/>
  <c r="V53" i="67"/>
  <c r="AB73" i="15" s="1"/>
  <c r="U53" i="67"/>
  <c r="AA73" i="15" s="1"/>
  <c r="T53" i="67"/>
  <c r="Z73" i="15" s="1"/>
  <c r="S53" i="67"/>
  <c r="R53" i="67"/>
  <c r="W73" i="15" s="1"/>
  <c r="Q53" i="67"/>
  <c r="V73" i="15" s="1"/>
  <c r="P53" i="67"/>
  <c r="U73" i="15" s="1"/>
  <c r="O53" i="67"/>
  <c r="N53" i="67"/>
  <c r="M53" i="67"/>
  <c r="L53" i="67"/>
  <c r="K53" i="67"/>
  <c r="J53" i="67"/>
  <c r="I53" i="67"/>
  <c r="H53" i="67"/>
  <c r="G53" i="67"/>
  <c r="AX52" i="67"/>
  <c r="AW52" i="67"/>
  <c r="AV52" i="67"/>
  <c r="AU52" i="67"/>
  <c r="AT52" i="67"/>
  <c r="AS52" i="67"/>
  <c r="AR52" i="67"/>
  <c r="AQ52" i="67"/>
  <c r="AP52" i="67"/>
  <c r="AO52" i="67"/>
  <c r="AN52" i="67"/>
  <c r="AM52" i="67"/>
  <c r="AL52" i="67"/>
  <c r="AK52" i="67"/>
  <c r="AJ52" i="67"/>
  <c r="AI52" i="67"/>
  <c r="AH52" i="67"/>
  <c r="AG52" i="67"/>
  <c r="AF52" i="67"/>
  <c r="AE52" i="67"/>
  <c r="AD52" i="67"/>
  <c r="AC52" i="67"/>
  <c r="AB52" i="67"/>
  <c r="AA52" i="67"/>
  <c r="Z52" i="67"/>
  <c r="Y52" i="67"/>
  <c r="X52" i="67"/>
  <c r="W52" i="67"/>
  <c r="V52" i="67"/>
  <c r="U52" i="67"/>
  <c r="T52" i="67"/>
  <c r="S52" i="67"/>
  <c r="R52" i="67"/>
  <c r="Q52" i="67"/>
  <c r="P52" i="67"/>
  <c r="O52" i="67"/>
  <c r="N52" i="67"/>
  <c r="M52" i="67"/>
  <c r="L52" i="67"/>
  <c r="K52" i="67"/>
  <c r="J52" i="67"/>
  <c r="I52" i="67"/>
  <c r="H52" i="67"/>
  <c r="G52" i="67"/>
  <c r="AX51" i="67"/>
  <c r="AX50" i="67"/>
  <c r="AX49" i="67"/>
  <c r="AX48" i="67"/>
  <c r="AX47" i="67"/>
  <c r="AX46" i="67"/>
  <c r="AX45" i="67"/>
  <c r="AX44" i="67"/>
  <c r="AX43" i="67"/>
  <c r="AX42" i="67"/>
  <c r="AX41" i="67"/>
  <c r="AX40" i="67"/>
  <c r="AX39" i="67"/>
  <c r="AX38" i="67"/>
  <c r="AX37" i="67"/>
  <c r="AX36" i="67"/>
  <c r="AX35" i="67"/>
  <c r="AX34" i="67"/>
  <c r="AX33" i="67"/>
  <c r="AX32" i="67"/>
  <c r="AX31" i="67"/>
  <c r="AX30" i="67"/>
  <c r="AX29" i="67"/>
  <c r="AX28" i="67"/>
  <c r="AX27" i="67"/>
  <c r="AX26" i="67"/>
  <c r="AX25" i="67"/>
  <c r="AX19" i="67"/>
  <c r="AX18" i="67"/>
  <c r="AX17" i="67"/>
  <c r="AX16" i="67"/>
  <c r="AX15" i="67"/>
  <c r="AX14" i="67"/>
  <c r="AX13" i="67"/>
  <c r="AX12" i="67"/>
  <c r="AX11" i="67"/>
  <c r="AX10" i="67"/>
  <c r="BK106" i="15" s="1"/>
  <c r="AX9" i="67"/>
  <c r="AX8" i="67"/>
  <c r="BK65" i="15" s="1"/>
  <c r="AT51" i="67"/>
  <c r="AT50" i="67"/>
  <c r="AT49" i="67"/>
  <c r="AT48" i="67"/>
  <c r="AT47" i="67"/>
  <c r="AT46" i="67"/>
  <c r="AT45" i="67"/>
  <c r="AT44" i="67"/>
  <c r="AT43" i="67"/>
  <c r="AT42" i="67"/>
  <c r="AT41" i="67"/>
  <c r="AT40" i="67"/>
  <c r="AT39" i="67"/>
  <c r="AT38" i="67"/>
  <c r="AT37" i="67"/>
  <c r="AT36" i="67"/>
  <c r="AT35" i="67"/>
  <c r="AT34" i="67"/>
  <c r="AT33" i="67"/>
  <c r="AT32" i="67"/>
  <c r="AT31" i="67"/>
  <c r="AT30" i="67"/>
  <c r="AT29" i="67"/>
  <c r="AT28" i="67"/>
  <c r="AT27" i="67"/>
  <c r="AT26" i="67"/>
  <c r="AT25" i="67"/>
  <c r="AT19" i="67"/>
  <c r="AT18" i="67"/>
  <c r="AT17" i="67"/>
  <c r="AT16" i="67"/>
  <c r="AT15" i="67"/>
  <c r="AT14" i="67"/>
  <c r="AT13" i="67"/>
  <c r="AT12" i="67"/>
  <c r="AT11" i="67"/>
  <c r="AT10" i="67"/>
  <c r="AT9" i="67"/>
  <c r="AT8" i="67"/>
  <c r="BF65" i="15" s="1"/>
  <c r="AP51" i="67"/>
  <c r="AP50" i="67"/>
  <c r="AP49" i="67"/>
  <c r="AP48" i="67"/>
  <c r="AP47" i="67"/>
  <c r="AP46" i="67"/>
  <c r="AP45" i="67"/>
  <c r="AP44" i="67"/>
  <c r="AP43" i="67"/>
  <c r="AP42" i="67"/>
  <c r="AP41" i="67"/>
  <c r="AP40" i="67"/>
  <c r="AP39" i="67"/>
  <c r="AP38" i="67"/>
  <c r="AP37" i="67"/>
  <c r="AP36" i="67"/>
  <c r="AP35" i="67"/>
  <c r="AP34" i="67"/>
  <c r="AP33" i="67"/>
  <c r="AP32" i="67"/>
  <c r="AP31" i="67"/>
  <c r="AP30" i="67"/>
  <c r="AP29" i="67"/>
  <c r="AP28" i="67"/>
  <c r="AP27" i="67"/>
  <c r="AP26" i="67"/>
  <c r="AP25" i="67"/>
  <c r="AP24" i="67"/>
  <c r="AP23" i="67"/>
  <c r="AP22" i="67"/>
  <c r="AP21" i="67"/>
  <c r="AP20" i="67"/>
  <c r="AP19" i="67"/>
  <c r="AP18" i="67"/>
  <c r="AP17" i="67"/>
  <c r="AP16" i="67"/>
  <c r="AP15" i="67"/>
  <c r="AP14" i="67"/>
  <c r="AP13" i="67"/>
  <c r="AP12" i="67"/>
  <c r="AP11" i="67"/>
  <c r="AP10" i="67"/>
  <c r="BA106" i="15" s="1"/>
  <c r="AP9" i="67"/>
  <c r="AP8" i="67"/>
  <c r="AP7" i="67"/>
  <c r="AP6" i="67"/>
  <c r="AL51" i="67"/>
  <c r="AL50" i="67"/>
  <c r="AL49" i="67"/>
  <c r="AL48" i="67"/>
  <c r="AL47" i="67"/>
  <c r="AL46" i="67"/>
  <c r="AL45" i="67"/>
  <c r="AL44" i="67"/>
  <c r="AL43" i="67"/>
  <c r="AL42" i="67"/>
  <c r="AL41" i="67"/>
  <c r="AL40" i="67"/>
  <c r="AL39" i="67"/>
  <c r="AL38" i="67"/>
  <c r="AL37" i="67"/>
  <c r="AL36" i="67"/>
  <c r="AL35" i="67"/>
  <c r="AL34" i="67"/>
  <c r="AL33" i="67"/>
  <c r="AL32" i="67"/>
  <c r="AL31" i="67"/>
  <c r="AL30" i="67"/>
  <c r="AL29" i="67"/>
  <c r="AL28" i="67"/>
  <c r="AL27" i="67"/>
  <c r="AL26" i="67"/>
  <c r="AL25" i="67"/>
  <c r="AL24" i="67"/>
  <c r="AL23" i="67"/>
  <c r="AL22" i="67"/>
  <c r="AL21" i="67"/>
  <c r="AL20" i="67"/>
  <c r="AL19" i="67"/>
  <c r="AL18" i="67"/>
  <c r="AL17" i="67"/>
  <c r="AL16" i="67"/>
  <c r="AL15" i="67"/>
  <c r="AL14" i="67"/>
  <c r="AL13" i="67"/>
  <c r="AL12" i="67"/>
  <c r="AL11" i="67"/>
  <c r="AL10" i="67"/>
  <c r="AV106" i="15" s="1"/>
  <c r="AL9" i="67"/>
  <c r="AL8" i="67"/>
  <c r="AL7" i="67"/>
  <c r="AL6" i="67"/>
  <c r="G51" i="67"/>
  <c r="G50" i="67"/>
  <c r="G49" i="67"/>
  <c r="G48" i="67"/>
  <c r="G47" i="67"/>
  <c r="G46" i="67"/>
  <c r="G45" i="67"/>
  <c r="G44" i="67"/>
  <c r="G43" i="67"/>
  <c r="G42" i="67"/>
  <c r="G41" i="67"/>
  <c r="G40" i="67"/>
  <c r="G39" i="67"/>
  <c r="G38" i="67"/>
  <c r="G37" i="67"/>
  <c r="G36" i="67"/>
  <c r="G35" i="67"/>
  <c r="G34" i="67"/>
  <c r="G33" i="67"/>
  <c r="G32" i="67"/>
  <c r="G31" i="67"/>
  <c r="G30" i="67"/>
  <c r="G29" i="67"/>
  <c r="G28" i="67"/>
  <c r="G27" i="67"/>
  <c r="G26" i="67"/>
  <c r="G25" i="67"/>
  <c r="G24" i="67"/>
  <c r="G23" i="67"/>
  <c r="G22" i="67"/>
  <c r="G21" i="67"/>
  <c r="G20" i="67"/>
  <c r="G19" i="67"/>
  <c r="G18" i="67"/>
  <c r="G17" i="67"/>
  <c r="G16" i="67"/>
  <c r="G15" i="67"/>
  <c r="G14" i="67"/>
  <c r="G13" i="67"/>
  <c r="G12" i="67"/>
  <c r="G11" i="67"/>
  <c r="G10" i="67"/>
  <c r="G9" i="67"/>
  <c r="G8" i="67"/>
  <c r="G7" i="67"/>
  <c r="G6" i="67"/>
  <c r="CK45" i="67"/>
  <c r="CL45" i="67" s="1"/>
  <c r="CM45" i="67" s="1"/>
  <c r="CN45" i="67" s="1"/>
  <c r="CO45" i="67" s="1"/>
  <c r="CP45" i="67" s="1"/>
  <c r="CQ45" i="67" s="1"/>
  <c r="CR45" i="67" s="1"/>
  <c r="CS45" i="67" s="1"/>
  <c r="CT45" i="67" s="1"/>
  <c r="CU45" i="67" s="1"/>
  <c r="CV45" i="67" s="1"/>
  <c r="CW45" i="67" s="1"/>
  <c r="CX45" i="67" s="1"/>
  <c r="CY45" i="67" s="1"/>
  <c r="CZ45" i="67" s="1"/>
  <c r="CI45" i="67"/>
  <c r="CH45" i="67" s="1"/>
  <c r="CG45" i="67" s="1"/>
  <c r="CF45" i="67" s="1"/>
  <c r="CE45" i="67" s="1"/>
  <c r="CD45" i="67" s="1"/>
  <c r="CC45" i="67" s="1"/>
  <c r="CB45" i="67" s="1"/>
  <c r="AK50" i="67"/>
  <c r="AJ50" i="67"/>
  <c r="AI50" i="67"/>
  <c r="AH50" i="67"/>
  <c r="AG50" i="67"/>
  <c r="AF50" i="67"/>
  <c r="AE50" i="67"/>
  <c r="AD50" i="67"/>
  <c r="AC50" i="67"/>
  <c r="AB50" i="67"/>
  <c r="AA50" i="67"/>
  <c r="Z50" i="67"/>
  <c r="Y50" i="67"/>
  <c r="X50" i="67"/>
  <c r="W50" i="67"/>
  <c r="V50" i="67"/>
  <c r="U50" i="67"/>
  <c r="T50" i="67"/>
  <c r="S50" i="67"/>
  <c r="R50" i="67"/>
  <c r="Q50" i="67"/>
  <c r="P50" i="67"/>
  <c r="O50" i="67"/>
  <c r="N50" i="67"/>
  <c r="M50" i="67"/>
  <c r="L50" i="67"/>
  <c r="K50" i="67"/>
  <c r="J50" i="67"/>
  <c r="I50" i="67"/>
  <c r="H50" i="67"/>
  <c r="AK49" i="67"/>
  <c r="AJ49" i="67"/>
  <c r="AI49" i="67"/>
  <c r="AH49" i="67"/>
  <c r="AG49" i="67"/>
  <c r="AF49" i="67"/>
  <c r="AE49" i="67"/>
  <c r="AD49" i="67"/>
  <c r="AC49" i="67"/>
  <c r="AB49" i="67"/>
  <c r="AA49" i="67"/>
  <c r="Z49" i="67"/>
  <c r="Y49" i="67"/>
  <c r="X49" i="67"/>
  <c r="W49" i="67"/>
  <c r="V49" i="67"/>
  <c r="U49" i="67"/>
  <c r="T49" i="67"/>
  <c r="S49" i="67"/>
  <c r="R49" i="67"/>
  <c r="Q49" i="67"/>
  <c r="P49" i="67"/>
  <c r="O49" i="67"/>
  <c r="N49" i="67"/>
  <c r="M49" i="67"/>
  <c r="L49" i="67"/>
  <c r="K49" i="67"/>
  <c r="J49" i="67"/>
  <c r="I49" i="67"/>
  <c r="H49" i="67"/>
  <c r="AK48" i="67"/>
  <c r="AJ48" i="67"/>
  <c r="AI48" i="67"/>
  <c r="AH48" i="67"/>
  <c r="AG48" i="67"/>
  <c r="AF48" i="67"/>
  <c r="AE48" i="67"/>
  <c r="AD48" i="67"/>
  <c r="AC48" i="67"/>
  <c r="AB48" i="67"/>
  <c r="AA48" i="67"/>
  <c r="Z48" i="67"/>
  <c r="Y48" i="67"/>
  <c r="X48" i="67"/>
  <c r="W48" i="67"/>
  <c r="V48" i="67"/>
  <c r="U48" i="67"/>
  <c r="T48" i="67"/>
  <c r="S48" i="67"/>
  <c r="R48" i="67"/>
  <c r="Q48" i="67"/>
  <c r="P48" i="67"/>
  <c r="O48" i="67"/>
  <c r="N48" i="67"/>
  <c r="M48" i="67"/>
  <c r="L48" i="67"/>
  <c r="K48" i="67"/>
  <c r="J48" i="67"/>
  <c r="I48" i="67"/>
  <c r="H48" i="67"/>
  <c r="AK47" i="67"/>
  <c r="AJ47" i="67"/>
  <c r="AI47" i="67"/>
  <c r="AH47" i="67"/>
  <c r="AG47" i="67"/>
  <c r="AF47" i="67"/>
  <c r="AE47" i="67"/>
  <c r="AD47" i="67"/>
  <c r="AC47" i="67"/>
  <c r="AB47" i="67"/>
  <c r="AA47" i="67"/>
  <c r="Z47" i="67"/>
  <c r="Y47" i="67"/>
  <c r="X47" i="67"/>
  <c r="W47" i="67"/>
  <c r="V47" i="67"/>
  <c r="U47" i="67"/>
  <c r="T47" i="67"/>
  <c r="S47" i="67"/>
  <c r="R47" i="67"/>
  <c r="Q47" i="67"/>
  <c r="P47" i="67"/>
  <c r="O47" i="67"/>
  <c r="N47" i="67"/>
  <c r="M47" i="67"/>
  <c r="L47" i="67"/>
  <c r="K47" i="67"/>
  <c r="J47" i="67"/>
  <c r="I47" i="67"/>
  <c r="H47" i="67"/>
  <c r="AK46" i="67"/>
  <c r="AJ46" i="67"/>
  <c r="AI46" i="67"/>
  <c r="AH46" i="67"/>
  <c r="AG46" i="67"/>
  <c r="AF46" i="67"/>
  <c r="AE46" i="67"/>
  <c r="AD46" i="67"/>
  <c r="AC46" i="67"/>
  <c r="AB46" i="67"/>
  <c r="AA46" i="67"/>
  <c r="Z46" i="67"/>
  <c r="Y46" i="67"/>
  <c r="X46" i="67"/>
  <c r="W46" i="67"/>
  <c r="V46" i="67"/>
  <c r="U46" i="67"/>
  <c r="T46" i="67"/>
  <c r="S46" i="67"/>
  <c r="R46" i="67"/>
  <c r="Q46" i="67"/>
  <c r="P46" i="67"/>
  <c r="O46" i="67"/>
  <c r="N46" i="67"/>
  <c r="M46" i="67"/>
  <c r="L46" i="67"/>
  <c r="K46" i="67"/>
  <c r="J46" i="67"/>
  <c r="I46" i="67"/>
  <c r="H46" i="67"/>
  <c r="AK45" i="67"/>
  <c r="AJ45" i="67"/>
  <c r="AI45" i="67"/>
  <c r="AH45" i="67"/>
  <c r="AG45" i="67"/>
  <c r="AF45" i="67"/>
  <c r="AE45" i="67"/>
  <c r="AD45" i="67"/>
  <c r="AC45" i="67"/>
  <c r="AB45" i="67"/>
  <c r="AA45" i="67"/>
  <c r="Z45" i="67"/>
  <c r="Y45" i="67"/>
  <c r="X45" i="67"/>
  <c r="W45" i="67"/>
  <c r="V45" i="67"/>
  <c r="U45" i="67"/>
  <c r="T45" i="67"/>
  <c r="S45" i="67"/>
  <c r="R45" i="67"/>
  <c r="Q45" i="67"/>
  <c r="P45" i="67"/>
  <c r="O45" i="67"/>
  <c r="N45" i="67"/>
  <c r="M45" i="67"/>
  <c r="L45" i="67"/>
  <c r="K45" i="67"/>
  <c r="J45" i="67"/>
  <c r="I45" i="67"/>
  <c r="H45" i="67"/>
  <c r="AK44" i="67"/>
  <c r="AJ44" i="67"/>
  <c r="AI44" i="67"/>
  <c r="AH44" i="67"/>
  <c r="AG44" i="67"/>
  <c r="AF44" i="67"/>
  <c r="AE44" i="67"/>
  <c r="AD44" i="67"/>
  <c r="AC44" i="67"/>
  <c r="AB44" i="67"/>
  <c r="AA44" i="67"/>
  <c r="Z44" i="67"/>
  <c r="Y44" i="67"/>
  <c r="X44" i="67"/>
  <c r="W44" i="67"/>
  <c r="V44" i="67"/>
  <c r="U44" i="67"/>
  <c r="T44" i="67"/>
  <c r="S44" i="67"/>
  <c r="R44" i="67"/>
  <c r="Q44" i="67"/>
  <c r="P44" i="67"/>
  <c r="O44" i="67"/>
  <c r="N44" i="67"/>
  <c r="M44" i="67"/>
  <c r="L44" i="67"/>
  <c r="K44" i="67"/>
  <c r="J44" i="67"/>
  <c r="I44" i="67"/>
  <c r="H44" i="67"/>
  <c r="AK43" i="67"/>
  <c r="AJ43" i="67"/>
  <c r="AI43" i="67"/>
  <c r="AH43" i="67"/>
  <c r="AG43" i="67"/>
  <c r="AF43" i="67"/>
  <c r="AE43" i="67"/>
  <c r="AD43" i="67"/>
  <c r="AC43" i="67"/>
  <c r="AB43" i="67"/>
  <c r="AA43" i="67"/>
  <c r="Z43" i="67"/>
  <c r="Y43" i="67"/>
  <c r="X43" i="67"/>
  <c r="W43" i="67"/>
  <c r="V43" i="67"/>
  <c r="U43" i="67"/>
  <c r="T43" i="67"/>
  <c r="S43" i="67"/>
  <c r="R43" i="67"/>
  <c r="Q43" i="67"/>
  <c r="P43" i="67"/>
  <c r="O43" i="67"/>
  <c r="N43" i="67"/>
  <c r="M43" i="67"/>
  <c r="L43" i="67"/>
  <c r="K43" i="67"/>
  <c r="J43" i="67"/>
  <c r="I43" i="67"/>
  <c r="H43" i="67"/>
  <c r="AK42" i="67"/>
  <c r="AJ42" i="67"/>
  <c r="AI42" i="67"/>
  <c r="AH42" i="67"/>
  <c r="AG42" i="67"/>
  <c r="AF42" i="67"/>
  <c r="AE42" i="67"/>
  <c r="AD42" i="67"/>
  <c r="AC42" i="67"/>
  <c r="AB42" i="67"/>
  <c r="AA42" i="67"/>
  <c r="Z42" i="67"/>
  <c r="Y42" i="67"/>
  <c r="X42" i="67"/>
  <c r="W42" i="67"/>
  <c r="V42" i="67"/>
  <c r="U42" i="67"/>
  <c r="T42" i="67"/>
  <c r="S42" i="67"/>
  <c r="R42" i="67"/>
  <c r="Q42" i="67"/>
  <c r="P42" i="67"/>
  <c r="O42" i="67"/>
  <c r="N42" i="67"/>
  <c r="M42" i="67"/>
  <c r="L42" i="67"/>
  <c r="K42" i="67"/>
  <c r="J42" i="67"/>
  <c r="I42" i="67"/>
  <c r="H42" i="67"/>
  <c r="AK41" i="67"/>
  <c r="AJ41" i="67"/>
  <c r="AI41" i="67"/>
  <c r="AH41" i="67"/>
  <c r="AG41" i="67"/>
  <c r="AF41" i="67"/>
  <c r="AE41" i="67"/>
  <c r="AD41" i="67"/>
  <c r="AC41" i="67"/>
  <c r="AB41" i="67"/>
  <c r="AA41" i="67"/>
  <c r="Z41" i="67"/>
  <c r="Y41" i="67"/>
  <c r="X41" i="67"/>
  <c r="W41" i="67"/>
  <c r="V41" i="67"/>
  <c r="U41" i="67"/>
  <c r="T41" i="67"/>
  <c r="S41" i="67"/>
  <c r="R41" i="67"/>
  <c r="Q41" i="67"/>
  <c r="P41" i="67"/>
  <c r="O41" i="67"/>
  <c r="N41" i="67"/>
  <c r="M41" i="67"/>
  <c r="L41" i="67"/>
  <c r="K41" i="67"/>
  <c r="J41" i="67"/>
  <c r="I41" i="67"/>
  <c r="H41" i="67"/>
  <c r="AK40" i="67"/>
  <c r="AJ40" i="67"/>
  <c r="AI40" i="67"/>
  <c r="AH40" i="67"/>
  <c r="AG40" i="67"/>
  <c r="AF40" i="67"/>
  <c r="AE40" i="67"/>
  <c r="AD40" i="67"/>
  <c r="AC40" i="67"/>
  <c r="AB40" i="67"/>
  <c r="AA40" i="67"/>
  <c r="Z40" i="67"/>
  <c r="Y40" i="67"/>
  <c r="X40" i="67"/>
  <c r="W40" i="67"/>
  <c r="V40" i="67"/>
  <c r="U40" i="67"/>
  <c r="T40" i="67"/>
  <c r="S40" i="67"/>
  <c r="R40" i="67"/>
  <c r="Q40" i="67"/>
  <c r="P40" i="67"/>
  <c r="O40" i="67"/>
  <c r="N40" i="67"/>
  <c r="M40" i="67"/>
  <c r="L40" i="67"/>
  <c r="K40" i="67"/>
  <c r="J40" i="67"/>
  <c r="I40" i="67"/>
  <c r="H40" i="67"/>
  <c r="AK39" i="67"/>
  <c r="AJ39" i="67"/>
  <c r="AI39" i="67"/>
  <c r="AH39" i="67"/>
  <c r="AG39" i="67"/>
  <c r="AF39" i="67"/>
  <c r="AE39" i="67"/>
  <c r="AD39" i="67"/>
  <c r="AC39" i="67"/>
  <c r="AB39" i="67"/>
  <c r="AA39" i="67"/>
  <c r="Z39" i="67"/>
  <c r="Y39" i="67"/>
  <c r="X39" i="67"/>
  <c r="W39" i="67"/>
  <c r="V39" i="67"/>
  <c r="U39" i="67"/>
  <c r="T39" i="67"/>
  <c r="S39" i="67"/>
  <c r="R39" i="67"/>
  <c r="Q39" i="67"/>
  <c r="P39" i="67"/>
  <c r="O39" i="67"/>
  <c r="N39" i="67"/>
  <c r="M39" i="67"/>
  <c r="L39" i="67"/>
  <c r="K39" i="67"/>
  <c r="J39" i="67"/>
  <c r="I39" i="67"/>
  <c r="H39" i="67"/>
  <c r="AK38" i="67"/>
  <c r="AJ38" i="67"/>
  <c r="AI38" i="67"/>
  <c r="AH38" i="67"/>
  <c r="AG38" i="67"/>
  <c r="AF38" i="67"/>
  <c r="AE38" i="67"/>
  <c r="AD38" i="67"/>
  <c r="AC38" i="67"/>
  <c r="AB38" i="67"/>
  <c r="AA38" i="67"/>
  <c r="Z38" i="67"/>
  <c r="Y38" i="67"/>
  <c r="X38" i="67"/>
  <c r="W38" i="67"/>
  <c r="V38" i="67"/>
  <c r="U38" i="67"/>
  <c r="T38" i="67"/>
  <c r="S38" i="67"/>
  <c r="R38" i="67"/>
  <c r="Q38" i="67"/>
  <c r="P38" i="67"/>
  <c r="O38" i="67"/>
  <c r="N38" i="67"/>
  <c r="M38" i="67"/>
  <c r="L38" i="67"/>
  <c r="K38" i="67"/>
  <c r="J38" i="67"/>
  <c r="I38" i="67"/>
  <c r="H38" i="67"/>
  <c r="AK37" i="67"/>
  <c r="AJ37" i="67"/>
  <c r="AI37" i="67"/>
  <c r="AH37" i="67"/>
  <c r="AG37" i="67"/>
  <c r="AF37" i="67"/>
  <c r="AE37" i="67"/>
  <c r="AD37" i="67"/>
  <c r="AC37" i="67"/>
  <c r="AB37" i="67"/>
  <c r="AA37" i="67"/>
  <c r="Z37" i="67"/>
  <c r="Y37" i="67"/>
  <c r="X37" i="67"/>
  <c r="W37" i="67"/>
  <c r="V37" i="67"/>
  <c r="U37" i="67"/>
  <c r="T37" i="67"/>
  <c r="S37" i="67"/>
  <c r="R37" i="67"/>
  <c r="Q37" i="67"/>
  <c r="P37" i="67"/>
  <c r="O37" i="67"/>
  <c r="N37" i="67"/>
  <c r="M37" i="67"/>
  <c r="L37" i="67"/>
  <c r="K37" i="67"/>
  <c r="J37" i="67"/>
  <c r="I37" i="67"/>
  <c r="H37" i="67"/>
  <c r="AK36" i="67"/>
  <c r="AJ36" i="67"/>
  <c r="AI36" i="67"/>
  <c r="AH36" i="67"/>
  <c r="AG36" i="67"/>
  <c r="AF36" i="67"/>
  <c r="AE36" i="67"/>
  <c r="AD36" i="67"/>
  <c r="AC36" i="67"/>
  <c r="AB36" i="67"/>
  <c r="AA36" i="67"/>
  <c r="Z36" i="67"/>
  <c r="Y36" i="67"/>
  <c r="X36" i="67"/>
  <c r="W36" i="67"/>
  <c r="V36" i="67"/>
  <c r="U36" i="67"/>
  <c r="T36" i="67"/>
  <c r="S36" i="67"/>
  <c r="R36" i="67"/>
  <c r="Q36" i="67"/>
  <c r="P36" i="67"/>
  <c r="O36" i="67"/>
  <c r="N36" i="67"/>
  <c r="M36" i="67"/>
  <c r="L36" i="67"/>
  <c r="K36" i="67"/>
  <c r="J36" i="67"/>
  <c r="I36" i="67"/>
  <c r="H36" i="67"/>
  <c r="AK35" i="67"/>
  <c r="AJ35" i="67"/>
  <c r="AI35" i="67"/>
  <c r="AH35" i="67"/>
  <c r="AG35" i="67"/>
  <c r="AF35" i="67"/>
  <c r="AE35" i="67"/>
  <c r="AD35" i="67"/>
  <c r="AC35" i="67"/>
  <c r="AB35" i="67"/>
  <c r="AA35" i="67"/>
  <c r="Z35" i="67"/>
  <c r="Y35" i="67"/>
  <c r="X35" i="67"/>
  <c r="W35" i="67"/>
  <c r="V35" i="67"/>
  <c r="U35" i="67"/>
  <c r="T35" i="67"/>
  <c r="S35" i="67"/>
  <c r="R35" i="67"/>
  <c r="Q35" i="67"/>
  <c r="P35" i="67"/>
  <c r="O35" i="67"/>
  <c r="N35" i="67"/>
  <c r="M35" i="67"/>
  <c r="L35" i="67"/>
  <c r="K35" i="67"/>
  <c r="J35" i="67"/>
  <c r="I35" i="67"/>
  <c r="H35" i="67"/>
  <c r="AK34" i="67"/>
  <c r="AJ34" i="67"/>
  <c r="AI34" i="67"/>
  <c r="AH34" i="67"/>
  <c r="AG34" i="67"/>
  <c r="AF34" i="67"/>
  <c r="AE34" i="67"/>
  <c r="AD34" i="67"/>
  <c r="AC34" i="67"/>
  <c r="AB34" i="67"/>
  <c r="AA34" i="67"/>
  <c r="Z34" i="67"/>
  <c r="Y34" i="67"/>
  <c r="X34" i="67"/>
  <c r="W34" i="67"/>
  <c r="V34" i="67"/>
  <c r="U34" i="67"/>
  <c r="T34" i="67"/>
  <c r="S34" i="67"/>
  <c r="R34" i="67"/>
  <c r="Q34" i="67"/>
  <c r="P34" i="67"/>
  <c r="O34" i="67"/>
  <c r="N34" i="67"/>
  <c r="M34" i="67"/>
  <c r="L34" i="67"/>
  <c r="K34" i="67"/>
  <c r="J34" i="67"/>
  <c r="I34" i="67"/>
  <c r="H34" i="67"/>
  <c r="AK33" i="67"/>
  <c r="AJ33" i="67"/>
  <c r="AI33" i="67"/>
  <c r="AH33" i="67"/>
  <c r="AG33" i="67"/>
  <c r="AF33" i="67"/>
  <c r="AE33" i="67"/>
  <c r="AD33" i="67"/>
  <c r="AC33" i="67"/>
  <c r="AB33" i="67"/>
  <c r="AA33" i="67"/>
  <c r="Z33" i="67"/>
  <c r="Y33" i="67"/>
  <c r="X33" i="67"/>
  <c r="W33" i="67"/>
  <c r="V33" i="67"/>
  <c r="U33" i="67"/>
  <c r="T33" i="67"/>
  <c r="S33" i="67"/>
  <c r="R33" i="67"/>
  <c r="Q33" i="67"/>
  <c r="P33" i="67"/>
  <c r="O33" i="67"/>
  <c r="N33" i="67"/>
  <c r="M33" i="67"/>
  <c r="L33" i="67"/>
  <c r="K33" i="67"/>
  <c r="J33" i="67"/>
  <c r="I33" i="67"/>
  <c r="H33" i="67"/>
  <c r="Z32" i="67"/>
  <c r="Y32" i="67"/>
  <c r="X32" i="67"/>
  <c r="W32" i="67"/>
  <c r="V32" i="67"/>
  <c r="U32" i="67"/>
  <c r="T32" i="67"/>
  <c r="S32" i="67"/>
  <c r="R32" i="67"/>
  <c r="Q32" i="67"/>
  <c r="P32" i="67"/>
  <c r="O32" i="67"/>
  <c r="N32" i="67"/>
  <c r="M32" i="67"/>
  <c r="L32" i="67"/>
  <c r="K32" i="67"/>
  <c r="J32" i="67"/>
  <c r="I32" i="67"/>
  <c r="H32" i="67"/>
  <c r="E59" i="67"/>
  <c r="D59" i="67"/>
  <c r="E58" i="67"/>
  <c r="D58" i="67"/>
  <c r="E57" i="67"/>
  <c r="D57" i="67"/>
  <c r="E56" i="67"/>
  <c r="D56" i="67"/>
  <c r="E55" i="67"/>
  <c r="D55" i="67"/>
  <c r="E54" i="67"/>
  <c r="D54" i="67"/>
  <c r="E53" i="67"/>
  <c r="D53" i="67"/>
  <c r="E52" i="67"/>
  <c r="D52" i="67"/>
  <c r="E51" i="67"/>
  <c r="D51" i="67"/>
  <c r="E50" i="67"/>
  <c r="D50" i="67"/>
  <c r="E49" i="67"/>
  <c r="D49" i="67"/>
  <c r="E48" i="67"/>
  <c r="D48" i="67"/>
  <c r="E47" i="67"/>
  <c r="D47" i="67"/>
  <c r="E46" i="67"/>
  <c r="D46" i="67"/>
  <c r="E45" i="67"/>
  <c r="D45" i="67"/>
  <c r="E44" i="67"/>
  <c r="D44" i="67"/>
  <c r="E43" i="67"/>
  <c r="D43" i="67"/>
  <c r="E42" i="67"/>
  <c r="D42" i="67"/>
  <c r="E41" i="67"/>
  <c r="D41" i="67"/>
  <c r="E40" i="67"/>
  <c r="D40" i="67"/>
  <c r="E39" i="67"/>
  <c r="D39" i="67"/>
  <c r="E38" i="67"/>
  <c r="D38" i="67"/>
  <c r="E37" i="67"/>
  <c r="D37" i="67"/>
  <c r="E36" i="67"/>
  <c r="D36" i="67"/>
  <c r="E35" i="67"/>
  <c r="D35" i="67"/>
  <c r="E34" i="67"/>
  <c r="D34" i="67"/>
  <c r="E33" i="67"/>
  <c r="D33" i="67"/>
  <c r="E32" i="67"/>
  <c r="D32" i="67"/>
  <c r="E31" i="67"/>
  <c r="D31" i="67"/>
  <c r="E30" i="67"/>
  <c r="D30" i="67"/>
  <c r="E29" i="67"/>
  <c r="D29" i="67"/>
  <c r="E28" i="67"/>
  <c r="D28" i="67"/>
  <c r="E27" i="67"/>
  <c r="D27" i="67"/>
  <c r="E26" i="67"/>
  <c r="D26" i="67"/>
  <c r="E25" i="67"/>
  <c r="D25" i="67"/>
  <c r="E24" i="67"/>
  <c r="D24" i="67"/>
  <c r="E23" i="67"/>
  <c r="D23" i="67"/>
  <c r="E22" i="67"/>
  <c r="D22" i="67"/>
  <c r="E21" i="67"/>
  <c r="D21" i="67"/>
  <c r="E20" i="67"/>
  <c r="D20" i="67"/>
  <c r="E19" i="67"/>
  <c r="D19" i="67"/>
  <c r="E18" i="67"/>
  <c r="D18" i="67"/>
  <c r="E17" i="67"/>
  <c r="D17" i="67"/>
  <c r="E16" i="67"/>
  <c r="D16" i="67"/>
  <c r="E15" i="67"/>
  <c r="D15" i="67"/>
  <c r="BW8" i="67"/>
  <c r="CA38" i="67" s="1"/>
  <c r="AW50" i="67"/>
  <c r="AV50" i="67"/>
  <c r="AU50" i="67"/>
  <c r="AW49" i="67"/>
  <c r="AV49" i="67"/>
  <c r="AU49" i="67"/>
  <c r="AW48" i="67"/>
  <c r="AV48" i="67"/>
  <c r="AU48" i="67"/>
  <c r="AW47" i="67"/>
  <c r="AV47" i="67"/>
  <c r="AU47" i="67"/>
  <c r="AW46" i="67"/>
  <c r="AV46" i="67"/>
  <c r="AU46" i="67"/>
  <c r="AW45" i="67"/>
  <c r="AV45" i="67"/>
  <c r="AU45" i="67"/>
  <c r="AW44" i="67"/>
  <c r="AV44" i="67"/>
  <c r="AU44" i="67"/>
  <c r="AW43" i="67"/>
  <c r="AV43" i="67"/>
  <c r="AU43" i="67"/>
  <c r="AW42" i="67"/>
  <c r="AV42" i="67"/>
  <c r="AU42" i="67"/>
  <c r="AW41" i="67"/>
  <c r="AV41" i="67"/>
  <c r="AU41" i="67"/>
  <c r="AW40" i="67"/>
  <c r="AV40" i="67"/>
  <c r="AU40" i="67"/>
  <c r="AW39" i="67"/>
  <c r="AV39" i="67"/>
  <c r="AU39" i="67"/>
  <c r="AW38" i="67"/>
  <c r="AV38" i="67"/>
  <c r="AU38" i="67"/>
  <c r="AW37" i="67"/>
  <c r="AV37" i="67"/>
  <c r="AU37" i="67"/>
  <c r="AW36" i="67"/>
  <c r="AV36" i="67"/>
  <c r="AU36" i="67"/>
  <c r="AW35" i="67"/>
  <c r="AV35" i="67"/>
  <c r="AU35" i="67"/>
  <c r="AW34" i="67"/>
  <c r="AV34" i="67"/>
  <c r="AU34" i="67"/>
  <c r="AW33" i="67"/>
  <c r="AV33" i="67"/>
  <c r="AU33" i="67"/>
  <c r="AW32" i="67"/>
  <c r="AV32" i="67"/>
  <c r="AU32" i="67"/>
  <c r="AW31" i="67"/>
  <c r="AV31" i="67"/>
  <c r="AU31" i="67"/>
  <c r="AW30" i="67"/>
  <c r="AV30" i="67"/>
  <c r="AU30" i="67"/>
  <c r="AW29" i="67"/>
  <c r="AV29" i="67"/>
  <c r="AU29" i="67"/>
  <c r="AW28" i="67"/>
  <c r="AV28" i="67"/>
  <c r="AU28" i="67"/>
  <c r="AW27" i="67"/>
  <c r="AV27" i="67"/>
  <c r="AU27" i="67"/>
  <c r="AW26" i="67"/>
  <c r="AV26" i="67"/>
  <c r="AU26" i="67"/>
  <c r="AW25" i="67"/>
  <c r="AV25" i="67"/>
  <c r="AU25" i="67"/>
  <c r="AW19" i="67"/>
  <c r="AV19" i="67"/>
  <c r="AU19" i="67"/>
  <c r="AW18" i="67"/>
  <c r="AV18" i="67"/>
  <c r="AU18" i="67"/>
  <c r="AW17" i="67"/>
  <c r="AV17" i="67"/>
  <c r="AU17" i="67"/>
  <c r="AW16" i="67"/>
  <c r="AV16" i="67"/>
  <c r="AU16" i="67"/>
  <c r="AW15" i="67"/>
  <c r="AV15" i="67"/>
  <c r="AU15" i="67"/>
  <c r="AW14" i="67"/>
  <c r="AV14" i="67"/>
  <c r="AU14" i="67"/>
  <c r="AW13" i="67"/>
  <c r="AV13" i="67"/>
  <c r="AU13" i="67"/>
  <c r="AW12" i="67"/>
  <c r="AV12" i="67"/>
  <c r="AU12" i="67"/>
  <c r="AW11" i="67"/>
  <c r="AV11" i="67"/>
  <c r="AU11" i="67"/>
  <c r="AW10" i="67"/>
  <c r="BJ106" i="15" s="1"/>
  <c r="AV10" i="67"/>
  <c r="AU10" i="67"/>
  <c r="BH106" i="15" s="1"/>
  <c r="AW9" i="67"/>
  <c r="AV9" i="67"/>
  <c r="AU9" i="67"/>
  <c r="AW8" i="67"/>
  <c r="BJ65" i="15" s="1"/>
  <c r="AV8" i="67"/>
  <c r="AU8" i="67"/>
  <c r="BH65" i="15" s="1"/>
  <c r="AS50" i="67"/>
  <c r="AR50" i="67"/>
  <c r="AQ50" i="67"/>
  <c r="AS49" i="67"/>
  <c r="AR49" i="67"/>
  <c r="AQ49" i="67"/>
  <c r="AS48" i="67"/>
  <c r="AR48" i="67"/>
  <c r="AQ48" i="67"/>
  <c r="AS47" i="67"/>
  <c r="AR47" i="67"/>
  <c r="AQ47" i="67"/>
  <c r="AS46" i="67"/>
  <c r="AR46" i="67"/>
  <c r="AQ46" i="67"/>
  <c r="AS45" i="67"/>
  <c r="AR45" i="67"/>
  <c r="AQ45" i="67"/>
  <c r="AS44" i="67"/>
  <c r="AR44" i="67"/>
  <c r="AQ44" i="67"/>
  <c r="AS43" i="67"/>
  <c r="AR43" i="67"/>
  <c r="AQ43" i="67"/>
  <c r="AS42" i="67"/>
  <c r="AR42" i="67"/>
  <c r="AQ42" i="67"/>
  <c r="AS41" i="67"/>
  <c r="AR41" i="67"/>
  <c r="AQ41" i="67"/>
  <c r="AS40" i="67"/>
  <c r="AR40" i="67"/>
  <c r="AQ40" i="67"/>
  <c r="AS39" i="67"/>
  <c r="AR39" i="67"/>
  <c r="AQ39" i="67"/>
  <c r="AS38" i="67"/>
  <c r="AR38" i="67"/>
  <c r="AQ38" i="67"/>
  <c r="AS37" i="67"/>
  <c r="AR37" i="67"/>
  <c r="AQ37" i="67"/>
  <c r="AS36" i="67"/>
  <c r="AR36" i="67"/>
  <c r="AQ36" i="67"/>
  <c r="AS35" i="67"/>
  <c r="AR35" i="67"/>
  <c r="AQ35" i="67"/>
  <c r="AS34" i="67"/>
  <c r="AR34" i="67"/>
  <c r="AQ34" i="67"/>
  <c r="AS33" i="67"/>
  <c r="AR33" i="67"/>
  <c r="AQ33" i="67"/>
  <c r="AS32" i="67"/>
  <c r="AR32" i="67"/>
  <c r="AQ32" i="67"/>
  <c r="AS31" i="67"/>
  <c r="AR31" i="67"/>
  <c r="AQ31" i="67"/>
  <c r="AS30" i="67"/>
  <c r="AR30" i="67"/>
  <c r="AQ30" i="67"/>
  <c r="AS29" i="67"/>
  <c r="AR29" i="67"/>
  <c r="AQ29" i="67"/>
  <c r="AS28" i="67"/>
  <c r="AR28" i="67"/>
  <c r="AQ28" i="67"/>
  <c r="AS27" i="67"/>
  <c r="AR27" i="67"/>
  <c r="AQ27" i="67"/>
  <c r="AS26" i="67"/>
  <c r="AR26" i="67"/>
  <c r="AQ26" i="67"/>
  <c r="AS25" i="67"/>
  <c r="AR25" i="67"/>
  <c r="AQ25" i="67"/>
  <c r="AS19" i="67"/>
  <c r="AR19" i="67"/>
  <c r="AQ19" i="67"/>
  <c r="AS18" i="67"/>
  <c r="AR18" i="67"/>
  <c r="AQ18" i="67"/>
  <c r="AS17" i="67"/>
  <c r="AR17" i="67"/>
  <c r="AQ17" i="67"/>
  <c r="AS16" i="67"/>
  <c r="AR16" i="67"/>
  <c r="AQ16" i="67"/>
  <c r="AS15" i="67"/>
  <c r="AR15" i="67"/>
  <c r="AQ15" i="67"/>
  <c r="AS14" i="67"/>
  <c r="AR14" i="67"/>
  <c r="AQ14" i="67"/>
  <c r="AS13" i="67"/>
  <c r="AR13" i="67"/>
  <c r="AQ13" i="67"/>
  <c r="AS12" i="67"/>
  <c r="AR12" i="67"/>
  <c r="AQ12" i="67"/>
  <c r="AS11" i="67"/>
  <c r="AR11" i="67"/>
  <c r="AQ11" i="67"/>
  <c r="AS10" i="67"/>
  <c r="BE106" i="15" s="1"/>
  <c r="AR10" i="67"/>
  <c r="BD106" i="15" s="1"/>
  <c r="AQ10" i="67"/>
  <c r="BC106" i="15" s="1"/>
  <c r="AS9" i="67"/>
  <c r="AR9" i="67"/>
  <c r="AQ9" i="67"/>
  <c r="AS8" i="67"/>
  <c r="BE65" i="15" s="1"/>
  <c r="AR8" i="67"/>
  <c r="BD65" i="15" s="1"/>
  <c r="AQ8" i="67"/>
  <c r="BC65" i="15" s="1"/>
  <c r="E13" i="67"/>
  <c r="D13" i="67"/>
  <c r="C13" i="67"/>
  <c r="E12" i="67"/>
  <c r="D12" i="67"/>
  <c r="C12" i="67"/>
  <c r="E11" i="67"/>
  <c r="D11" i="67"/>
  <c r="C11" i="67"/>
  <c r="E10" i="67"/>
  <c r="D10" i="67"/>
  <c r="C10" i="67"/>
  <c r="E9" i="67"/>
  <c r="D9" i="67"/>
  <c r="C9" i="67"/>
  <c r="E8" i="67"/>
  <c r="D8" i="67"/>
  <c r="C8" i="67"/>
  <c r="E7" i="67"/>
  <c r="D7" i="67"/>
  <c r="C7" i="67"/>
  <c r="AO50" i="67"/>
  <c r="AN50" i="67"/>
  <c r="AM50" i="67"/>
  <c r="AO49" i="67"/>
  <c r="AN49" i="67"/>
  <c r="AM49" i="67"/>
  <c r="AO48" i="67"/>
  <c r="AN48" i="67"/>
  <c r="AM48" i="67"/>
  <c r="AO47" i="67"/>
  <c r="AN47" i="67"/>
  <c r="AM47" i="67"/>
  <c r="AO46" i="67"/>
  <c r="AN46" i="67"/>
  <c r="AM46" i="67"/>
  <c r="AO45" i="67"/>
  <c r="AN45" i="67"/>
  <c r="AM45" i="67"/>
  <c r="AO44" i="67"/>
  <c r="AN44" i="67"/>
  <c r="AM44" i="67"/>
  <c r="AO43" i="67"/>
  <c r="AN43" i="67"/>
  <c r="AM43" i="67"/>
  <c r="AO42" i="67"/>
  <c r="AN42" i="67"/>
  <c r="AM42" i="67"/>
  <c r="AO41" i="67"/>
  <c r="AN41" i="67"/>
  <c r="AM41" i="67"/>
  <c r="AO40" i="67"/>
  <c r="AN40" i="67"/>
  <c r="AM40" i="67"/>
  <c r="AO39" i="67"/>
  <c r="AN39" i="67"/>
  <c r="AM39" i="67"/>
  <c r="AO38" i="67"/>
  <c r="AN38" i="67"/>
  <c r="AM38" i="67"/>
  <c r="AO37" i="67"/>
  <c r="AN37" i="67"/>
  <c r="AM37" i="67"/>
  <c r="AO36" i="67"/>
  <c r="AM36" i="67"/>
  <c r="AO35" i="67"/>
  <c r="AN35" i="67"/>
  <c r="AM35" i="67"/>
  <c r="AO34" i="67"/>
  <c r="AN34" i="67"/>
  <c r="AM34" i="67"/>
  <c r="AO33" i="67"/>
  <c r="AN33" i="67"/>
  <c r="AM33" i="67"/>
  <c r="AO32" i="67"/>
  <c r="AN32" i="67"/>
  <c r="AM32" i="67"/>
  <c r="AO31" i="67"/>
  <c r="AN31" i="67"/>
  <c r="AM31" i="67"/>
  <c r="AO30" i="67"/>
  <c r="AN30" i="67"/>
  <c r="AM30" i="67"/>
  <c r="AO29" i="67"/>
  <c r="AN29" i="67"/>
  <c r="AM29" i="67"/>
  <c r="AO28" i="67"/>
  <c r="AN28" i="67"/>
  <c r="AM28" i="67"/>
  <c r="AO27" i="67"/>
  <c r="AN27" i="67"/>
  <c r="AM27" i="67"/>
  <c r="AO26" i="67"/>
  <c r="AN26" i="67"/>
  <c r="AM26" i="67"/>
  <c r="AO25" i="67"/>
  <c r="AN25" i="67"/>
  <c r="AM25" i="67"/>
  <c r="AO24" i="67"/>
  <c r="AN24" i="67"/>
  <c r="AM24" i="67"/>
  <c r="AO23" i="67"/>
  <c r="AN23" i="67"/>
  <c r="AM23" i="67"/>
  <c r="AO22" i="67"/>
  <c r="AN22" i="67"/>
  <c r="AM22" i="67"/>
  <c r="AO21" i="67"/>
  <c r="AN21" i="67"/>
  <c r="AM21" i="67"/>
  <c r="AO20" i="67"/>
  <c r="AN20" i="67"/>
  <c r="AM20" i="67"/>
  <c r="AO19" i="67"/>
  <c r="AN19" i="67"/>
  <c r="AM19" i="67"/>
  <c r="AO18" i="67"/>
  <c r="AN18" i="67"/>
  <c r="AM18" i="67"/>
  <c r="AO17" i="67"/>
  <c r="AN17" i="67"/>
  <c r="AM17" i="67"/>
  <c r="AO16" i="67"/>
  <c r="AN16" i="67"/>
  <c r="AM16" i="67"/>
  <c r="AO15" i="67"/>
  <c r="AN15" i="67"/>
  <c r="AM15" i="67"/>
  <c r="AO14" i="67"/>
  <c r="AN14" i="67"/>
  <c r="AM14" i="67"/>
  <c r="AO13" i="67"/>
  <c r="AN13" i="67"/>
  <c r="AM13" i="67"/>
  <c r="AO12" i="67"/>
  <c r="AN12" i="67"/>
  <c r="AM12" i="67"/>
  <c r="AO11" i="67"/>
  <c r="AN11" i="67"/>
  <c r="AM11" i="67"/>
  <c r="AO10" i="67"/>
  <c r="AZ106" i="15" s="1"/>
  <c r="AN10" i="67"/>
  <c r="AY106" i="15" s="1"/>
  <c r="AM10" i="67"/>
  <c r="AX106" i="15" s="1"/>
  <c r="AO9" i="67"/>
  <c r="AN9" i="67"/>
  <c r="AM9" i="67"/>
  <c r="AO8" i="67"/>
  <c r="AN8" i="67"/>
  <c r="AM8" i="67"/>
  <c r="AO7" i="67"/>
  <c r="AN7" i="67"/>
  <c r="AM7" i="67"/>
  <c r="AO6" i="67"/>
  <c r="AN6" i="67"/>
  <c r="AM6" i="67"/>
  <c r="AK32" i="67"/>
  <c r="AJ32" i="67"/>
  <c r="AI32" i="67"/>
  <c r="AH32" i="67"/>
  <c r="AG32" i="67"/>
  <c r="AF32" i="67"/>
  <c r="AE32" i="67"/>
  <c r="AK31" i="67"/>
  <c r="AJ31" i="67"/>
  <c r="AI31" i="67"/>
  <c r="AH31" i="67"/>
  <c r="AG31" i="67"/>
  <c r="AF31" i="67"/>
  <c r="AE31" i="67"/>
  <c r="AK30" i="67"/>
  <c r="AJ30" i="67"/>
  <c r="AI30" i="67"/>
  <c r="AH30" i="67"/>
  <c r="AG30" i="67"/>
  <c r="AF30" i="67"/>
  <c r="AE30" i="67"/>
  <c r="AK29" i="67"/>
  <c r="AJ29" i="67"/>
  <c r="AI29" i="67"/>
  <c r="AH29" i="67"/>
  <c r="AG29" i="67"/>
  <c r="AF29" i="67"/>
  <c r="AE29" i="67"/>
  <c r="AK28" i="67"/>
  <c r="AJ28" i="67"/>
  <c r="AI28" i="67"/>
  <c r="AH28" i="67"/>
  <c r="AG28" i="67"/>
  <c r="AF28" i="67"/>
  <c r="AE28" i="67"/>
  <c r="AK27" i="67"/>
  <c r="AJ27" i="67"/>
  <c r="AI27" i="67"/>
  <c r="AH27" i="67"/>
  <c r="AG27" i="67"/>
  <c r="AF27" i="67"/>
  <c r="AE27" i="67"/>
  <c r="AK26" i="67"/>
  <c r="AJ26" i="67"/>
  <c r="AI26" i="67"/>
  <c r="AH26" i="67"/>
  <c r="AG26" i="67"/>
  <c r="AF26" i="67"/>
  <c r="AE26" i="67"/>
  <c r="AK25" i="67"/>
  <c r="AJ25" i="67"/>
  <c r="AI25" i="67"/>
  <c r="AH25" i="67"/>
  <c r="AG25" i="67"/>
  <c r="AF25" i="67"/>
  <c r="AE25" i="67"/>
  <c r="AK24" i="67"/>
  <c r="AJ24" i="67"/>
  <c r="AI24" i="67"/>
  <c r="AH24" i="67"/>
  <c r="AG24" i="67"/>
  <c r="AF24" i="67"/>
  <c r="AE24" i="67"/>
  <c r="AK23" i="67"/>
  <c r="AJ23" i="67"/>
  <c r="AI23" i="67"/>
  <c r="AH23" i="67"/>
  <c r="AG23" i="67"/>
  <c r="AF23" i="67"/>
  <c r="AE23" i="67"/>
  <c r="AK22" i="67"/>
  <c r="AJ22" i="67"/>
  <c r="AI22" i="67"/>
  <c r="AH22" i="67"/>
  <c r="AG22" i="67"/>
  <c r="AF22" i="67"/>
  <c r="AE22" i="67"/>
  <c r="AK21" i="67"/>
  <c r="AJ21" i="67"/>
  <c r="AI21" i="67"/>
  <c r="AH21" i="67"/>
  <c r="AG21" i="67"/>
  <c r="AF21" i="67"/>
  <c r="AE21" i="67"/>
  <c r="AK20" i="67"/>
  <c r="AJ20" i="67"/>
  <c r="AI20" i="67"/>
  <c r="AH20" i="67"/>
  <c r="AG20" i="67"/>
  <c r="AF20" i="67"/>
  <c r="AE20" i="67"/>
  <c r="AK19" i="67"/>
  <c r="AJ19" i="67"/>
  <c r="AI19" i="67"/>
  <c r="AH19" i="67"/>
  <c r="AG19" i="67"/>
  <c r="AF19" i="67"/>
  <c r="AE19" i="67"/>
  <c r="AK18" i="67"/>
  <c r="AJ18" i="67"/>
  <c r="AI18" i="67"/>
  <c r="AH18" i="67"/>
  <c r="AG18" i="67"/>
  <c r="AF18" i="67"/>
  <c r="AE18" i="67"/>
  <c r="AK17" i="67"/>
  <c r="AJ17" i="67"/>
  <c r="AI17" i="67"/>
  <c r="AH17" i="67"/>
  <c r="AG17" i="67"/>
  <c r="AF17" i="67"/>
  <c r="AE17" i="67"/>
  <c r="AK16" i="67"/>
  <c r="AJ16" i="67"/>
  <c r="AI16" i="67"/>
  <c r="AH16" i="67"/>
  <c r="AG16" i="67"/>
  <c r="AF16" i="67"/>
  <c r="AE16" i="67"/>
  <c r="AK15" i="67"/>
  <c r="AJ15" i="67"/>
  <c r="AI15" i="67"/>
  <c r="AH15" i="67"/>
  <c r="AG15" i="67"/>
  <c r="AF15" i="67"/>
  <c r="AE15" i="67"/>
  <c r="AK14" i="67"/>
  <c r="AJ14" i="67"/>
  <c r="AI14" i="67"/>
  <c r="AH14" i="67"/>
  <c r="AG14" i="67"/>
  <c r="AF14" i="67"/>
  <c r="AE14" i="67"/>
  <c r="AK13" i="67"/>
  <c r="AJ13" i="67"/>
  <c r="AI13" i="67"/>
  <c r="AH13" i="67"/>
  <c r="AG13" i="67"/>
  <c r="AF13" i="67"/>
  <c r="AE13" i="67"/>
  <c r="AK12" i="67"/>
  <c r="AJ12" i="67"/>
  <c r="AI12" i="67"/>
  <c r="AH12" i="67"/>
  <c r="AG12" i="67"/>
  <c r="AF12" i="67"/>
  <c r="AE12" i="67"/>
  <c r="AK11" i="67"/>
  <c r="AJ11" i="67"/>
  <c r="AI11" i="67"/>
  <c r="AH11" i="67"/>
  <c r="AG11" i="67"/>
  <c r="AF11" i="67"/>
  <c r="AE11" i="67"/>
  <c r="AK10" i="67"/>
  <c r="AU106" i="15" s="1"/>
  <c r="AU108" i="15" s="1"/>
  <c r="AU321" i="15" s="1"/>
  <c r="AJ10" i="67"/>
  <c r="AT106" i="15" s="1"/>
  <c r="AI10" i="67"/>
  <c r="AS106" i="15" s="1"/>
  <c r="AH10" i="67"/>
  <c r="AQ106" i="15" s="1"/>
  <c r="AG10" i="67"/>
  <c r="AP106" i="15" s="1"/>
  <c r="AF10" i="67"/>
  <c r="AN106" i="15" s="1"/>
  <c r="AE10" i="67"/>
  <c r="AK9" i="67"/>
  <c r="AJ9" i="67"/>
  <c r="AI9" i="67"/>
  <c r="AH9" i="67"/>
  <c r="AG9" i="67"/>
  <c r="AF9" i="67"/>
  <c r="AE9" i="67"/>
  <c r="AK8" i="67"/>
  <c r="AU65" i="15" s="1"/>
  <c r="AJ8" i="67"/>
  <c r="AI8" i="67"/>
  <c r="AH8" i="67"/>
  <c r="AG8" i="67"/>
  <c r="AF8" i="67"/>
  <c r="AE8" i="67"/>
  <c r="AK7" i="67"/>
  <c r="AJ7" i="67"/>
  <c r="AI7" i="67"/>
  <c r="AH7" i="67"/>
  <c r="AG7" i="67"/>
  <c r="AF7" i="67"/>
  <c r="AE7" i="67"/>
  <c r="AK6" i="67"/>
  <c r="AJ6" i="67"/>
  <c r="AI6" i="67"/>
  <c r="AH6" i="67"/>
  <c r="AG6" i="67"/>
  <c r="AF6" i="67"/>
  <c r="AE6" i="67"/>
  <c r="AD31" i="67"/>
  <c r="AC31" i="67"/>
  <c r="AB31" i="67"/>
  <c r="AA31" i="67"/>
  <c r="Z31" i="67"/>
  <c r="Y31" i="67"/>
  <c r="X31" i="67"/>
  <c r="W31" i="67"/>
  <c r="V31" i="67"/>
  <c r="U31" i="67"/>
  <c r="T31" i="67"/>
  <c r="S31" i="67"/>
  <c r="R31" i="67"/>
  <c r="Q31" i="67"/>
  <c r="P31" i="67"/>
  <c r="O31" i="67"/>
  <c r="N31" i="67"/>
  <c r="M31" i="67"/>
  <c r="L31" i="67"/>
  <c r="K31" i="67"/>
  <c r="J31" i="67"/>
  <c r="I31" i="67"/>
  <c r="H31" i="67"/>
  <c r="AD30" i="67"/>
  <c r="AC30" i="67"/>
  <c r="AB30" i="67"/>
  <c r="AA30" i="67"/>
  <c r="Z30" i="67"/>
  <c r="Y30" i="67"/>
  <c r="X30" i="67"/>
  <c r="W30" i="67"/>
  <c r="V30" i="67"/>
  <c r="U30" i="67"/>
  <c r="T30" i="67"/>
  <c r="S30" i="67"/>
  <c r="R30" i="67"/>
  <c r="Q30" i="67"/>
  <c r="P30" i="67"/>
  <c r="O30" i="67"/>
  <c r="N30" i="67"/>
  <c r="M30" i="67"/>
  <c r="L30" i="67"/>
  <c r="K30" i="67"/>
  <c r="J30" i="67"/>
  <c r="I30" i="67"/>
  <c r="H30" i="67"/>
  <c r="AD29" i="67"/>
  <c r="AC29" i="67"/>
  <c r="AB29" i="67"/>
  <c r="AA29" i="67"/>
  <c r="Z29" i="67"/>
  <c r="Y29" i="67"/>
  <c r="X29" i="67"/>
  <c r="W29" i="67"/>
  <c r="V29" i="67"/>
  <c r="U29" i="67"/>
  <c r="T29" i="67"/>
  <c r="S29" i="67"/>
  <c r="R29" i="67"/>
  <c r="Q29" i="67"/>
  <c r="P29" i="67"/>
  <c r="O29" i="67"/>
  <c r="N29" i="67"/>
  <c r="M29" i="67"/>
  <c r="L29" i="67"/>
  <c r="K29" i="67"/>
  <c r="J29" i="67"/>
  <c r="I29" i="67"/>
  <c r="H29" i="67"/>
  <c r="AD28" i="67"/>
  <c r="AC28" i="67"/>
  <c r="AB28" i="67"/>
  <c r="AA28" i="67"/>
  <c r="Z28" i="67"/>
  <c r="Y28" i="67"/>
  <c r="X28" i="67"/>
  <c r="W28" i="67"/>
  <c r="V28" i="67"/>
  <c r="U28" i="67"/>
  <c r="T28" i="67"/>
  <c r="S28" i="67"/>
  <c r="R28" i="67"/>
  <c r="Q28" i="67"/>
  <c r="P28" i="67"/>
  <c r="O28" i="67"/>
  <c r="N28" i="67"/>
  <c r="M28" i="67"/>
  <c r="L28" i="67"/>
  <c r="K28" i="67"/>
  <c r="J28" i="67"/>
  <c r="I28" i="67"/>
  <c r="H28" i="67"/>
  <c r="AD27" i="67"/>
  <c r="AC27" i="67"/>
  <c r="AB27" i="67"/>
  <c r="AA27" i="67"/>
  <c r="Z27" i="67"/>
  <c r="Y27" i="67"/>
  <c r="X27" i="67"/>
  <c r="W27" i="67"/>
  <c r="V27" i="67"/>
  <c r="U27" i="67"/>
  <c r="T27" i="67"/>
  <c r="S27" i="67"/>
  <c r="R27" i="67"/>
  <c r="Q27" i="67"/>
  <c r="P27" i="67"/>
  <c r="O27" i="67"/>
  <c r="N27" i="67"/>
  <c r="M27" i="67"/>
  <c r="L27" i="67"/>
  <c r="K27" i="67"/>
  <c r="J27" i="67"/>
  <c r="I27" i="67"/>
  <c r="H27" i="67"/>
  <c r="AD26" i="67"/>
  <c r="AC26" i="67"/>
  <c r="AB26" i="67"/>
  <c r="AA26" i="67"/>
  <c r="Z26" i="67"/>
  <c r="Y26" i="67"/>
  <c r="X26" i="67"/>
  <c r="W26" i="67"/>
  <c r="V26" i="67"/>
  <c r="U26" i="67"/>
  <c r="T26" i="67"/>
  <c r="S26" i="67"/>
  <c r="R26" i="67"/>
  <c r="Q26" i="67"/>
  <c r="P26" i="67"/>
  <c r="O26" i="67"/>
  <c r="N26" i="67"/>
  <c r="M26" i="67"/>
  <c r="L26" i="67"/>
  <c r="K26" i="67"/>
  <c r="J26" i="67"/>
  <c r="I26" i="67"/>
  <c r="H26" i="67"/>
  <c r="AD25" i="67"/>
  <c r="AC25" i="67"/>
  <c r="AB25" i="67"/>
  <c r="AA25" i="67"/>
  <c r="Z25" i="67"/>
  <c r="Y25" i="67"/>
  <c r="X25" i="67"/>
  <c r="W25" i="67"/>
  <c r="V25" i="67"/>
  <c r="U25" i="67"/>
  <c r="T25" i="67"/>
  <c r="S25" i="67"/>
  <c r="R25" i="67"/>
  <c r="Q25" i="67"/>
  <c r="P25" i="67"/>
  <c r="O25" i="67"/>
  <c r="N25" i="67"/>
  <c r="M25" i="67"/>
  <c r="L25" i="67"/>
  <c r="K25" i="67"/>
  <c r="J25" i="67"/>
  <c r="I25" i="67"/>
  <c r="H25" i="67"/>
  <c r="AD24" i="67"/>
  <c r="AC24" i="67"/>
  <c r="AB24" i="67"/>
  <c r="AA24" i="67"/>
  <c r="Z24" i="67"/>
  <c r="Y24" i="67"/>
  <c r="X24" i="67"/>
  <c r="W24" i="67"/>
  <c r="V24" i="67"/>
  <c r="U24" i="67"/>
  <c r="T24" i="67"/>
  <c r="S24" i="67"/>
  <c r="R24" i="67"/>
  <c r="Q24" i="67"/>
  <c r="P24" i="67"/>
  <c r="O24" i="67"/>
  <c r="N24" i="67"/>
  <c r="M24" i="67"/>
  <c r="L24" i="67"/>
  <c r="K24" i="67"/>
  <c r="J24" i="67"/>
  <c r="I24" i="67"/>
  <c r="H24" i="67"/>
  <c r="AD23" i="67"/>
  <c r="AC23" i="67"/>
  <c r="AB23" i="67"/>
  <c r="AA23" i="67"/>
  <c r="Z23" i="67"/>
  <c r="Y23" i="67"/>
  <c r="X23" i="67"/>
  <c r="W23" i="67"/>
  <c r="V23" i="67"/>
  <c r="U23" i="67"/>
  <c r="T23" i="67"/>
  <c r="S23" i="67"/>
  <c r="R23" i="67"/>
  <c r="Q23" i="67"/>
  <c r="P23" i="67"/>
  <c r="O23" i="67"/>
  <c r="N23" i="67"/>
  <c r="M23" i="67"/>
  <c r="L23" i="67"/>
  <c r="K23" i="67"/>
  <c r="J23" i="67"/>
  <c r="I23" i="67"/>
  <c r="H23" i="67"/>
  <c r="AD22" i="67"/>
  <c r="AC22" i="67"/>
  <c r="AB22" i="67"/>
  <c r="AA22" i="67"/>
  <c r="Z22" i="67"/>
  <c r="Y22" i="67"/>
  <c r="X22" i="67"/>
  <c r="W22" i="67"/>
  <c r="V22" i="67"/>
  <c r="U22" i="67"/>
  <c r="T22" i="67"/>
  <c r="S22" i="67"/>
  <c r="R22" i="67"/>
  <c r="Q22" i="67"/>
  <c r="P22" i="67"/>
  <c r="O22" i="67"/>
  <c r="N22" i="67"/>
  <c r="M22" i="67"/>
  <c r="L22" i="67"/>
  <c r="K22" i="67"/>
  <c r="J22" i="67"/>
  <c r="I22" i="67"/>
  <c r="H22" i="67"/>
  <c r="AD21" i="67"/>
  <c r="AC21" i="67"/>
  <c r="AB21" i="67"/>
  <c r="AA21" i="67"/>
  <c r="Z21" i="67"/>
  <c r="Y21" i="67"/>
  <c r="X21" i="67"/>
  <c r="W21" i="67"/>
  <c r="V21" i="67"/>
  <c r="U21" i="67"/>
  <c r="T21" i="67"/>
  <c r="S21" i="67"/>
  <c r="R21" i="67"/>
  <c r="Q21" i="67"/>
  <c r="P21" i="67"/>
  <c r="O21" i="67"/>
  <c r="N21" i="67"/>
  <c r="M21" i="67"/>
  <c r="L21" i="67"/>
  <c r="K21" i="67"/>
  <c r="J21" i="67"/>
  <c r="I21" i="67"/>
  <c r="H21" i="67"/>
  <c r="AD20" i="67"/>
  <c r="AC20" i="67"/>
  <c r="AB20" i="67"/>
  <c r="AA20" i="67"/>
  <c r="Z20" i="67"/>
  <c r="Y20" i="67"/>
  <c r="X20" i="67"/>
  <c r="W20" i="67"/>
  <c r="V20" i="67"/>
  <c r="U20" i="67"/>
  <c r="T20" i="67"/>
  <c r="S20" i="67"/>
  <c r="R20" i="67"/>
  <c r="Q20" i="67"/>
  <c r="P20" i="67"/>
  <c r="O20" i="67"/>
  <c r="N20" i="67"/>
  <c r="M20" i="67"/>
  <c r="L20" i="67"/>
  <c r="K20" i="67"/>
  <c r="J20" i="67"/>
  <c r="I20" i="67"/>
  <c r="H20" i="67"/>
  <c r="AD19" i="67"/>
  <c r="AC19" i="67"/>
  <c r="AB19" i="67"/>
  <c r="AA19" i="67"/>
  <c r="Z19" i="67"/>
  <c r="Y19" i="67"/>
  <c r="X19" i="67"/>
  <c r="W19" i="67"/>
  <c r="V19" i="67"/>
  <c r="U19" i="67"/>
  <c r="T19" i="67"/>
  <c r="S19" i="67"/>
  <c r="R19" i="67"/>
  <c r="Q19" i="67"/>
  <c r="P19" i="67"/>
  <c r="O19" i="67"/>
  <c r="N19" i="67"/>
  <c r="M19" i="67"/>
  <c r="L19" i="67"/>
  <c r="K19" i="67"/>
  <c r="J19" i="67"/>
  <c r="I19" i="67"/>
  <c r="H19" i="67"/>
  <c r="AD18" i="67"/>
  <c r="AC18" i="67"/>
  <c r="AB18" i="67"/>
  <c r="AA18" i="67"/>
  <c r="Z18" i="67"/>
  <c r="Y18" i="67"/>
  <c r="X18" i="67"/>
  <c r="W18" i="67"/>
  <c r="V18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AD17" i="67"/>
  <c r="AC17" i="67"/>
  <c r="AB17" i="67"/>
  <c r="AA17" i="67"/>
  <c r="Z17" i="67"/>
  <c r="Y17" i="67"/>
  <c r="X17" i="67"/>
  <c r="W17" i="67"/>
  <c r="V17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AD16" i="67"/>
  <c r="AC16" i="67"/>
  <c r="AB16" i="67"/>
  <c r="AA16" i="67"/>
  <c r="Z16" i="67"/>
  <c r="Y16" i="67"/>
  <c r="X16" i="67"/>
  <c r="W16" i="67"/>
  <c r="V16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AD15" i="67"/>
  <c r="AC15" i="67"/>
  <c r="AB15" i="67"/>
  <c r="AA15" i="67"/>
  <c r="Z15" i="67"/>
  <c r="Y15" i="67"/>
  <c r="X15" i="67"/>
  <c r="W15" i="67"/>
  <c r="V15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AD14" i="67"/>
  <c r="AC14" i="67"/>
  <c r="AB14" i="67"/>
  <c r="AA14" i="67"/>
  <c r="Z14" i="67"/>
  <c r="Y14" i="67"/>
  <c r="X14" i="67"/>
  <c r="W14" i="67"/>
  <c r="V14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AD13" i="67"/>
  <c r="AC13" i="67"/>
  <c r="AB13" i="67"/>
  <c r="AA13" i="67"/>
  <c r="Z13" i="67"/>
  <c r="Y13" i="67"/>
  <c r="X13" i="67"/>
  <c r="W13" i="67"/>
  <c r="V13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AD12" i="67"/>
  <c r="AC12" i="67"/>
  <c r="AB12" i="67"/>
  <c r="AA12" i="67"/>
  <c r="Z12" i="67"/>
  <c r="Y12" i="67"/>
  <c r="X12" i="67"/>
  <c r="W12" i="67"/>
  <c r="V12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AD11" i="67"/>
  <c r="AC11" i="67"/>
  <c r="AB11" i="67"/>
  <c r="AA11" i="67"/>
  <c r="Z11" i="67"/>
  <c r="Y11" i="67"/>
  <c r="X11" i="67"/>
  <c r="W11" i="67"/>
  <c r="V11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AD10" i="67"/>
  <c r="AL106" i="15" s="1"/>
  <c r="AC10" i="67"/>
  <c r="AK106" i="15" s="1"/>
  <c r="AB10" i="67"/>
  <c r="AJ106" i="15" s="1"/>
  <c r="AA10" i="67"/>
  <c r="Z10" i="67"/>
  <c r="Y10" i="67"/>
  <c r="AF106" i="15" s="1"/>
  <c r="X10" i="67"/>
  <c r="AE106" i="15" s="1"/>
  <c r="W10" i="67"/>
  <c r="V10" i="67"/>
  <c r="U10" i="67"/>
  <c r="AA106" i="15" s="1"/>
  <c r="T10" i="67"/>
  <c r="Z106" i="15" s="1"/>
  <c r="S10" i="67"/>
  <c r="R10" i="67"/>
  <c r="Q10" i="67"/>
  <c r="V106" i="15" s="1"/>
  <c r="P10" i="67"/>
  <c r="U106" i="15" s="1"/>
  <c r="O10" i="67"/>
  <c r="N10" i="67"/>
  <c r="M10" i="67"/>
  <c r="L10" i="67"/>
  <c r="K10" i="67"/>
  <c r="J10" i="67"/>
  <c r="I10" i="67"/>
  <c r="H10" i="67"/>
  <c r="AD9" i="67"/>
  <c r="AC9" i="67"/>
  <c r="AB9" i="67"/>
  <c r="AA9" i="67"/>
  <c r="Z9" i="67"/>
  <c r="Y9" i="67"/>
  <c r="X9" i="67"/>
  <c r="W9" i="67"/>
  <c r="V9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AD8" i="67"/>
  <c r="AC8" i="67"/>
  <c r="AB8" i="67"/>
  <c r="AA8" i="67"/>
  <c r="Z8" i="67"/>
  <c r="Y8" i="67"/>
  <c r="X8" i="67"/>
  <c r="W8" i="67"/>
  <c r="V8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AD7" i="67"/>
  <c r="AC7" i="67"/>
  <c r="AB7" i="67"/>
  <c r="AA7" i="67"/>
  <c r="Z7" i="67"/>
  <c r="Y7" i="67"/>
  <c r="X7" i="67"/>
  <c r="W7" i="67"/>
  <c r="V7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AD6" i="67"/>
  <c r="AC6" i="67"/>
  <c r="AB6" i="67"/>
  <c r="AA6" i="67"/>
  <c r="Z6" i="67"/>
  <c r="Y6" i="67"/>
  <c r="X6" i="67"/>
  <c r="W6" i="67"/>
  <c r="V6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F6" i="67"/>
  <c r="E6" i="67"/>
  <c r="D6" i="67"/>
  <c r="C6" i="67"/>
  <c r="BG4" i="67"/>
  <c r="BH4" i="67" s="1"/>
  <c r="BI4" i="67" s="1"/>
  <c r="BJ4" i="67" s="1"/>
  <c r="BK4" i="67" s="1"/>
  <c r="BL4" i="67" s="1"/>
  <c r="BM4" i="67" s="1"/>
  <c r="BN4" i="67" s="1"/>
  <c r="BO4" i="67" s="1"/>
  <c r="BP4" i="67" s="1"/>
  <c r="D4" i="67"/>
  <c r="F199" i="72"/>
  <c r="E196" i="72"/>
  <c r="BA196" i="72" s="1"/>
  <c r="AZ196" i="72" s="1"/>
  <c r="E195" i="72"/>
  <c r="BA195" i="72" s="1"/>
  <c r="E194" i="72"/>
  <c r="BA194" i="72" s="1"/>
  <c r="AZ194" i="72" s="1"/>
  <c r="DA196" i="72"/>
  <c r="CZ196" i="72"/>
  <c r="CY196" i="72"/>
  <c r="CX196" i="72"/>
  <c r="CV196" i="72"/>
  <c r="CU196" i="72"/>
  <c r="CT196" i="72"/>
  <c r="CS196" i="72"/>
  <c r="CQ196" i="72"/>
  <c r="CP196" i="72"/>
  <c r="CO196" i="72"/>
  <c r="CN196" i="72"/>
  <c r="CL196" i="72"/>
  <c r="CK196" i="72"/>
  <c r="CJ196" i="72"/>
  <c r="CI196" i="72"/>
  <c r="CG196" i="72"/>
  <c r="CF196" i="72"/>
  <c r="CE196" i="72"/>
  <c r="CD196" i="72"/>
  <c r="CB196" i="72"/>
  <c r="CA196" i="72"/>
  <c r="BZ196" i="72"/>
  <c r="BY196" i="72"/>
  <c r="BW196" i="72"/>
  <c r="BV196" i="72"/>
  <c r="BU196" i="72"/>
  <c r="BT196" i="72"/>
  <c r="BR196" i="72"/>
  <c r="BS196" i="72" s="1"/>
  <c r="BX196" i="72" s="1"/>
  <c r="CC196" i="72" s="1"/>
  <c r="CH196" i="72" s="1"/>
  <c r="CM196" i="72" s="1"/>
  <c r="CR196" i="72" s="1"/>
  <c r="CW196" i="72" s="1"/>
  <c r="DB196" i="72" s="1"/>
  <c r="DA195" i="72"/>
  <c r="CZ195" i="72"/>
  <c r="CY195" i="72"/>
  <c r="CX195" i="72"/>
  <c r="CV195" i="72"/>
  <c r="CU195" i="72"/>
  <c r="CT195" i="72"/>
  <c r="CS195" i="72"/>
  <c r="CQ195" i="72"/>
  <c r="CP195" i="72"/>
  <c r="CO195" i="72"/>
  <c r="CN195" i="72"/>
  <c r="CL195" i="72"/>
  <c r="CK195" i="72"/>
  <c r="CJ195" i="72"/>
  <c r="CI195" i="72"/>
  <c r="CG195" i="72"/>
  <c r="CF195" i="72"/>
  <c r="CE195" i="72"/>
  <c r="CD195" i="72"/>
  <c r="CB195" i="72"/>
  <c r="CA195" i="72"/>
  <c r="BZ195" i="72"/>
  <c r="BY195" i="72"/>
  <c r="BW195" i="72"/>
  <c r="BV195" i="72"/>
  <c r="BU195" i="72"/>
  <c r="BT195" i="72"/>
  <c r="BR195" i="72"/>
  <c r="BS195" i="72" s="1"/>
  <c r="BX195" i="72" s="1"/>
  <c r="CC195" i="72" s="1"/>
  <c r="CH195" i="72" s="1"/>
  <c r="CM195" i="72" s="1"/>
  <c r="CR195" i="72" s="1"/>
  <c r="CW195" i="72" s="1"/>
  <c r="DB195" i="72" s="1"/>
  <c r="DP194" i="72"/>
  <c r="DO194" i="72"/>
  <c r="DN194" i="72"/>
  <c r="DM194" i="72"/>
  <c r="DA194" i="72"/>
  <c r="CZ194" i="72"/>
  <c r="CY194" i="72"/>
  <c r="CX194" i="72"/>
  <c r="CV194" i="72"/>
  <c r="CU194" i="72"/>
  <c r="CT194" i="72"/>
  <c r="CS194" i="72"/>
  <c r="CQ194" i="72"/>
  <c r="CP194" i="72"/>
  <c r="CO194" i="72"/>
  <c r="CN194" i="72"/>
  <c r="CL194" i="72"/>
  <c r="CK194" i="72"/>
  <c r="CJ194" i="72"/>
  <c r="CI194" i="72"/>
  <c r="CG194" i="72"/>
  <c r="CF194" i="72"/>
  <c r="CE194" i="72"/>
  <c r="CD194" i="72"/>
  <c r="CB194" i="72"/>
  <c r="CA194" i="72"/>
  <c r="BZ194" i="72"/>
  <c r="BY194" i="72"/>
  <c r="BW194" i="72"/>
  <c r="BV194" i="72"/>
  <c r="BU194" i="72"/>
  <c r="BT194" i="72"/>
  <c r="BR194" i="72"/>
  <c r="BS194" i="72" s="1"/>
  <c r="BX194" i="72" s="1"/>
  <c r="CC194" i="72" s="1"/>
  <c r="CH194" i="72" s="1"/>
  <c r="CM194" i="72" s="1"/>
  <c r="CR194" i="72" s="1"/>
  <c r="CW194" i="72" s="1"/>
  <c r="DB194" i="72" s="1"/>
  <c r="BF196" i="72"/>
  <c r="BD196" i="72" s="1"/>
  <c r="AV196" i="72"/>
  <c r="AQ196" i="72"/>
  <c r="AL196" i="72"/>
  <c r="AG196" i="72"/>
  <c r="AF196" i="72" s="1"/>
  <c r="AB196" i="72"/>
  <c r="W196" i="72"/>
  <c r="R196" i="72"/>
  <c r="M196" i="72"/>
  <c r="L196" i="72"/>
  <c r="BK195" i="72"/>
  <c r="BJ195" i="72" s="1"/>
  <c r="AV195" i="72"/>
  <c r="AS195" i="72" s="1"/>
  <c r="AQ195" i="72"/>
  <c r="AP195" i="72" s="1"/>
  <c r="AL195" i="72"/>
  <c r="AG195" i="72"/>
  <c r="AB195" i="72"/>
  <c r="Z195" i="72" s="1"/>
  <c r="W195" i="72"/>
  <c r="V195" i="72" s="1"/>
  <c r="R195" i="72"/>
  <c r="Q195" i="72" s="1"/>
  <c r="M195" i="72"/>
  <c r="L195" i="72"/>
  <c r="BK194" i="72"/>
  <c r="BF194" i="72"/>
  <c r="BB194" i="72" s="1"/>
  <c r="AV194" i="72"/>
  <c r="AQ194" i="72"/>
  <c r="AL194" i="72"/>
  <c r="AJ194" i="72" s="1"/>
  <c r="AG194" i="72"/>
  <c r="AE194" i="72" s="1"/>
  <c r="AB194" i="72"/>
  <c r="AA194" i="72" s="1"/>
  <c r="W194" i="72"/>
  <c r="S194" i="72" s="1"/>
  <c r="R194" i="72"/>
  <c r="Q194" i="72" s="1"/>
  <c r="M194" i="72"/>
  <c r="L194" i="72"/>
  <c r="F191" i="72"/>
  <c r="DP189" i="72"/>
  <c r="DP191" i="72" s="1"/>
  <c r="BK447" i="15" s="1"/>
  <c r="DO189" i="72"/>
  <c r="DO191" i="72" s="1"/>
  <c r="BJ447" i="15" s="1"/>
  <c r="DN189" i="72"/>
  <c r="DN191" i="72" s="1"/>
  <c r="BI447" i="15" s="1"/>
  <c r="DM189" i="72"/>
  <c r="DM191" i="72" s="1"/>
  <c r="BH447" i="15" s="1"/>
  <c r="DK189" i="72"/>
  <c r="DK191" i="72" s="1"/>
  <c r="BF447" i="15" s="1"/>
  <c r="DJ189" i="72"/>
  <c r="DJ191" i="72" s="1"/>
  <c r="BE447" i="15" s="1"/>
  <c r="DI189" i="72"/>
  <c r="DI191" i="72" s="1"/>
  <c r="BD447" i="15" s="1"/>
  <c r="DH189" i="72"/>
  <c r="DH191" i="72" s="1"/>
  <c r="BC447" i="15" s="1"/>
  <c r="DF189" i="72"/>
  <c r="DF191" i="72" s="1"/>
  <c r="BA447" i="15" s="1"/>
  <c r="DE189" i="72"/>
  <c r="DE191" i="72" s="1"/>
  <c r="AZ447" i="15" s="1"/>
  <c r="DD189" i="72"/>
  <c r="DD191" i="72" s="1"/>
  <c r="AY447" i="15" s="1"/>
  <c r="DC189" i="72"/>
  <c r="DC191" i="72" s="1"/>
  <c r="AX447" i="15" s="1"/>
  <c r="DA189" i="72"/>
  <c r="DA191" i="72" s="1"/>
  <c r="CZ189" i="72"/>
  <c r="CZ191" i="72" s="1"/>
  <c r="CY189" i="72"/>
  <c r="CY191" i="72" s="1"/>
  <c r="CX189" i="72"/>
  <c r="CX191" i="72" s="1"/>
  <c r="CV189" i="72"/>
  <c r="CV191" i="72" s="1"/>
  <c r="CU189" i="72"/>
  <c r="CU191" i="72" s="1"/>
  <c r="CT189" i="72"/>
  <c r="CT191" i="72" s="1"/>
  <c r="CS189" i="72"/>
  <c r="CS191" i="72" s="1"/>
  <c r="CG189" i="72"/>
  <c r="CG191" i="72" s="1"/>
  <c r="CF189" i="72"/>
  <c r="CF191" i="72" s="1"/>
  <c r="CE189" i="72"/>
  <c r="CE191" i="72" s="1"/>
  <c r="CD189" i="72"/>
  <c r="CD191" i="72" s="1"/>
  <c r="CB189" i="72"/>
  <c r="CB191" i="72" s="1"/>
  <c r="CA189" i="72"/>
  <c r="CA191" i="72" s="1"/>
  <c r="BZ189" i="72"/>
  <c r="BZ191" i="72" s="1"/>
  <c r="BY189" i="72"/>
  <c r="BY191" i="72" s="1"/>
  <c r="BW189" i="72"/>
  <c r="BW191" i="72" s="1"/>
  <c r="BV189" i="72"/>
  <c r="BV191" i="72" s="1"/>
  <c r="BU189" i="72"/>
  <c r="BU191" i="72" s="1"/>
  <c r="BT189" i="72"/>
  <c r="BT191" i="72" s="1"/>
  <c r="BP442" i="15" s="1"/>
  <c r="BP465" i="15" s="1"/>
  <c r="BP469" i="15" s="1"/>
  <c r="BR189" i="72"/>
  <c r="BK189" i="72"/>
  <c r="BK191" i="72" s="1"/>
  <c r="BF189" i="72"/>
  <c r="BB189" i="72" s="1"/>
  <c r="BB191" i="72" s="1"/>
  <c r="BC442" i="15" s="1"/>
  <c r="BC465" i="15" s="1"/>
  <c r="BA189" i="72"/>
  <c r="BA191" i="72" s="1"/>
  <c r="AV189" i="72"/>
  <c r="AQ189" i="72"/>
  <c r="AQ191" i="72" s="1"/>
  <c r="AL189" i="72"/>
  <c r="AH189" i="72" s="1"/>
  <c r="AH191" i="72" s="1"/>
  <c r="AB189" i="72"/>
  <c r="Z189" i="72" s="1"/>
  <c r="Z191" i="72" s="1"/>
  <c r="W189" i="72"/>
  <c r="R189" i="72"/>
  <c r="P189" i="72" s="1"/>
  <c r="P191" i="72" s="1"/>
  <c r="M189" i="72"/>
  <c r="M191" i="72" s="1"/>
  <c r="L189" i="72"/>
  <c r="L191" i="72" s="1"/>
  <c r="E189" i="72"/>
  <c r="AG189" i="72" s="1"/>
  <c r="H177" i="72"/>
  <c r="BK177" i="72" s="1"/>
  <c r="BJ177" i="72" s="1"/>
  <c r="E178" i="72"/>
  <c r="E177" i="72"/>
  <c r="E176" i="72"/>
  <c r="BA176" i="72" s="1"/>
  <c r="AZ176" i="72" s="1"/>
  <c r="BK176" i="72"/>
  <c r="BF176" i="72"/>
  <c r="BD176" i="72" s="1"/>
  <c r="AV176" i="72"/>
  <c r="AQ176" i="72"/>
  <c r="AP176" i="72" s="1"/>
  <c r="AL176" i="72"/>
  <c r="AK176" i="72" s="1"/>
  <c r="AG176" i="72"/>
  <c r="AF176" i="72" s="1"/>
  <c r="AB176" i="72"/>
  <c r="AA176" i="72" s="1"/>
  <c r="W176" i="72"/>
  <c r="V176" i="72" s="1"/>
  <c r="R176" i="72"/>
  <c r="Q176" i="72" s="1"/>
  <c r="M176" i="72"/>
  <c r="L176" i="72"/>
  <c r="DP176" i="72"/>
  <c r="DO176" i="72"/>
  <c r="DN176" i="72"/>
  <c r="DM176" i="72"/>
  <c r="DA176" i="72"/>
  <c r="CZ176" i="72"/>
  <c r="CY176" i="72"/>
  <c r="CX176" i="72"/>
  <c r="CV176" i="72"/>
  <c r="CU176" i="72"/>
  <c r="CT176" i="72"/>
  <c r="CS176" i="72"/>
  <c r="CQ176" i="72"/>
  <c r="CP176" i="72"/>
  <c r="CO176" i="72"/>
  <c r="CN176" i="72"/>
  <c r="CL176" i="72"/>
  <c r="CK176" i="72"/>
  <c r="CJ176" i="72"/>
  <c r="CI176" i="72"/>
  <c r="CG176" i="72"/>
  <c r="CF176" i="72"/>
  <c r="CE176" i="72"/>
  <c r="CD176" i="72"/>
  <c r="CB176" i="72"/>
  <c r="CA176" i="72"/>
  <c r="BZ176" i="72"/>
  <c r="BY176" i="72"/>
  <c r="BW176" i="72"/>
  <c r="BV176" i="72"/>
  <c r="BU176" i="72"/>
  <c r="BT176" i="72"/>
  <c r="BR176" i="72"/>
  <c r="BS176" i="72" s="1"/>
  <c r="BX176" i="72" s="1"/>
  <c r="CC176" i="72" s="1"/>
  <c r="CH176" i="72" s="1"/>
  <c r="CM176" i="72" s="1"/>
  <c r="CR176" i="72" s="1"/>
  <c r="CW176" i="72" s="1"/>
  <c r="DB176" i="72" s="1"/>
  <c r="E167" i="72"/>
  <c r="E166" i="72"/>
  <c r="DP167" i="72"/>
  <c r="DO167" i="72"/>
  <c r="DN167" i="72"/>
  <c r="DM167" i="72"/>
  <c r="DK167" i="72"/>
  <c r="DJ167" i="72"/>
  <c r="DI167" i="72"/>
  <c r="DH167" i="72"/>
  <c r="DF167" i="72"/>
  <c r="DE167" i="72"/>
  <c r="DD167" i="72"/>
  <c r="DC167" i="72"/>
  <c r="DA167" i="72"/>
  <c r="CZ167" i="72"/>
  <c r="CY167" i="72"/>
  <c r="CX167" i="72"/>
  <c r="CV167" i="72"/>
  <c r="CU167" i="72"/>
  <c r="CT167" i="72"/>
  <c r="CS167" i="72"/>
  <c r="CQ167" i="72"/>
  <c r="CP167" i="72"/>
  <c r="CO167" i="72"/>
  <c r="CN167" i="72"/>
  <c r="CL167" i="72"/>
  <c r="CK167" i="72"/>
  <c r="CJ167" i="72"/>
  <c r="CI167" i="72"/>
  <c r="CG167" i="72"/>
  <c r="CF167" i="72"/>
  <c r="CE167" i="72"/>
  <c r="CD167" i="72"/>
  <c r="CB167" i="72"/>
  <c r="CA167" i="72"/>
  <c r="BZ167" i="72"/>
  <c r="BY167" i="72"/>
  <c r="BW167" i="72"/>
  <c r="BV167" i="72"/>
  <c r="BU167" i="72"/>
  <c r="BT167" i="72"/>
  <c r="BR167" i="72"/>
  <c r="BS167" i="72" s="1"/>
  <c r="BX167" i="72" s="1"/>
  <c r="CC167" i="72" s="1"/>
  <c r="CH167" i="72" s="1"/>
  <c r="CM167" i="72" s="1"/>
  <c r="CR167" i="72" s="1"/>
  <c r="CW167" i="72" s="1"/>
  <c r="DB167" i="72" s="1"/>
  <c r="DG167" i="72" s="1"/>
  <c r="DL167" i="72" s="1"/>
  <c r="DQ167" i="72" s="1"/>
  <c r="DV167" i="72" s="1"/>
  <c r="DP166" i="72"/>
  <c r="DO166" i="72"/>
  <c r="DN166" i="72"/>
  <c r="DM166" i="72"/>
  <c r="DK166" i="72"/>
  <c r="DJ166" i="72"/>
  <c r="DI166" i="72"/>
  <c r="DH166" i="72"/>
  <c r="DF166" i="72"/>
  <c r="DE166" i="72"/>
  <c r="DD166" i="72"/>
  <c r="DC166" i="72"/>
  <c r="DA166" i="72"/>
  <c r="CZ166" i="72"/>
  <c r="CY166" i="72"/>
  <c r="CX166" i="72"/>
  <c r="CV166" i="72"/>
  <c r="CU166" i="72"/>
  <c r="CT166" i="72"/>
  <c r="CS166" i="72"/>
  <c r="CQ166" i="72"/>
  <c r="CP166" i="72"/>
  <c r="CO166" i="72"/>
  <c r="CN166" i="72"/>
  <c r="CL166" i="72"/>
  <c r="CK166" i="72"/>
  <c r="CJ166" i="72"/>
  <c r="CI166" i="72"/>
  <c r="CG166" i="72"/>
  <c r="CF166" i="72"/>
  <c r="CE166" i="72"/>
  <c r="CD166" i="72"/>
  <c r="CB166" i="72"/>
  <c r="CA166" i="72"/>
  <c r="BZ166" i="72"/>
  <c r="BY166" i="72"/>
  <c r="BW166" i="72"/>
  <c r="BV166" i="72"/>
  <c r="BU166" i="72"/>
  <c r="BT166" i="72"/>
  <c r="BR166" i="72"/>
  <c r="BS166" i="72" s="1"/>
  <c r="BX166" i="72" s="1"/>
  <c r="CC166" i="72" s="1"/>
  <c r="CH166" i="72" s="1"/>
  <c r="CM166" i="72" s="1"/>
  <c r="CR166" i="72" s="1"/>
  <c r="CW166" i="72" s="1"/>
  <c r="DB166" i="72" s="1"/>
  <c r="DG166" i="72" s="1"/>
  <c r="DL166" i="72" s="1"/>
  <c r="DQ166" i="72" s="1"/>
  <c r="DV166" i="72" s="1"/>
  <c r="DP165" i="72"/>
  <c r="DO165" i="72"/>
  <c r="DN165" i="72"/>
  <c r="DM165" i="72"/>
  <c r="DK165" i="72"/>
  <c r="DJ165" i="72"/>
  <c r="DI165" i="72"/>
  <c r="DH165" i="72"/>
  <c r="DF165" i="72"/>
  <c r="DE165" i="72"/>
  <c r="DD165" i="72"/>
  <c r="DC165" i="72"/>
  <c r="DA165" i="72"/>
  <c r="CZ165" i="72"/>
  <c r="CY165" i="72"/>
  <c r="CX165" i="72"/>
  <c r="CV165" i="72"/>
  <c r="CU165" i="72"/>
  <c r="CT165" i="72"/>
  <c r="CS165" i="72"/>
  <c r="CQ165" i="72"/>
  <c r="CP165" i="72"/>
  <c r="CO165" i="72"/>
  <c r="CN165" i="72"/>
  <c r="CL165" i="72"/>
  <c r="CK165" i="72"/>
  <c r="CJ165" i="72"/>
  <c r="CI165" i="72"/>
  <c r="CG165" i="72"/>
  <c r="CF165" i="72"/>
  <c r="CE165" i="72"/>
  <c r="CD165" i="72"/>
  <c r="CB165" i="72"/>
  <c r="CA165" i="72"/>
  <c r="BZ165" i="72"/>
  <c r="BY165" i="72"/>
  <c r="BW165" i="72"/>
  <c r="BV165" i="72"/>
  <c r="BU165" i="72"/>
  <c r="BT165" i="72"/>
  <c r="BR165" i="72"/>
  <c r="BS165" i="72" s="1"/>
  <c r="BX165" i="72" s="1"/>
  <c r="CC165" i="72" s="1"/>
  <c r="CH165" i="72" s="1"/>
  <c r="CM165" i="72" s="1"/>
  <c r="CR165" i="72" s="1"/>
  <c r="CW165" i="72" s="1"/>
  <c r="DB165" i="72" s="1"/>
  <c r="DG165" i="72" s="1"/>
  <c r="DL165" i="72" s="1"/>
  <c r="DQ165" i="72" s="1"/>
  <c r="DV165" i="72" s="1"/>
  <c r="BK167" i="72"/>
  <c r="BI167" i="72" s="1"/>
  <c r="BF167" i="72"/>
  <c r="BE167" i="72" s="1"/>
  <c r="BA167" i="72"/>
  <c r="AV167" i="72"/>
  <c r="AQ167" i="72"/>
  <c r="AO167" i="72" s="1"/>
  <c r="AL167" i="72"/>
  <c r="AH167" i="72" s="1"/>
  <c r="AG167" i="72"/>
  <c r="AE167" i="72" s="1"/>
  <c r="AB167" i="72"/>
  <c r="AA167" i="72" s="1"/>
  <c r="W167" i="72"/>
  <c r="U167" i="72" s="1"/>
  <c r="R167" i="72"/>
  <c r="Q167" i="72" s="1"/>
  <c r="M167" i="72"/>
  <c r="L167" i="72"/>
  <c r="BK166" i="72"/>
  <c r="BF166" i="72"/>
  <c r="BD166" i="72" s="1"/>
  <c r="BA166" i="72"/>
  <c r="AY166" i="72" s="1"/>
  <c r="AV166" i="72"/>
  <c r="AQ166" i="72"/>
  <c r="AO166" i="72" s="1"/>
  <c r="AL166" i="72"/>
  <c r="AK166" i="72" s="1"/>
  <c r="AG166" i="72"/>
  <c r="AE166" i="72" s="1"/>
  <c r="AB166" i="72"/>
  <c r="AA166" i="72" s="1"/>
  <c r="W166" i="72"/>
  <c r="R166" i="72"/>
  <c r="P166" i="72" s="1"/>
  <c r="M166" i="72"/>
  <c r="L166" i="72"/>
  <c r="BK165" i="72"/>
  <c r="BI165" i="72" s="1"/>
  <c r="BF165" i="72"/>
  <c r="BB165" i="72" s="1"/>
  <c r="BA165" i="72"/>
  <c r="AY165" i="72" s="1"/>
  <c r="AV165" i="72"/>
  <c r="AQ165" i="72"/>
  <c r="AO165" i="72" s="1"/>
  <c r="AL165" i="72"/>
  <c r="AK165" i="72" s="1"/>
  <c r="AG165" i="72"/>
  <c r="AB165" i="72"/>
  <c r="Z165" i="72" s="1"/>
  <c r="W165" i="72"/>
  <c r="U165" i="72" s="1"/>
  <c r="R165" i="72"/>
  <c r="N165" i="72" s="1"/>
  <c r="M165" i="72"/>
  <c r="L165" i="72"/>
  <c r="E163" i="72"/>
  <c r="BA163" i="72" s="1"/>
  <c r="E162" i="72"/>
  <c r="AV162" i="72" s="1"/>
  <c r="AS162" i="72" s="1"/>
  <c r="DP163" i="72"/>
  <c r="DO163" i="72"/>
  <c r="DN163" i="72"/>
  <c r="DM163" i="72"/>
  <c r="DA163" i="72"/>
  <c r="CZ163" i="72"/>
  <c r="CY163" i="72"/>
  <c r="CX163" i="72"/>
  <c r="CV163" i="72"/>
  <c r="CU163" i="72"/>
  <c r="CT163" i="72"/>
  <c r="CS163" i="72"/>
  <c r="CQ163" i="72"/>
  <c r="CP163" i="72"/>
  <c r="CO163" i="72"/>
  <c r="CN163" i="72"/>
  <c r="CL163" i="72"/>
  <c r="CK163" i="72"/>
  <c r="CJ163" i="72"/>
  <c r="CI163" i="72"/>
  <c r="CG163" i="72"/>
  <c r="CF163" i="72"/>
  <c r="CE163" i="72"/>
  <c r="CD163" i="72"/>
  <c r="CB163" i="72"/>
  <c r="CA163" i="72"/>
  <c r="BZ163" i="72"/>
  <c r="BY163" i="72"/>
  <c r="BW163" i="72"/>
  <c r="BV163" i="72"/>
  <c r="BU163" i="72"/>
  <c r="BT163" i="72"/>
  <c r="BR163" i="72"/>
  <c r="BS163" i="72" s="1"/>
  <c r="BX163" i="72" s="1"/>
  <c r="CC163" i="72" s="1"/>
  <c r="CH163" i="72" s="1"/>
  <c r="CM163" i="72" s="1"/>
  <c r="CR163" i="72" s="1"/>
  <c r="CW163" i="72" s="1"/>
  <c r="DB163" i="72" s="1"/>
  <c r="DP162" i="72"/>
  <c r="DO162" i="72"/>
  <c r="DN162" i="72"/>
  <c r="DM162" i="72"/>
  <c r="DK162" i="72"/>
  <c r="DJ162" i="72"/>
  <c r="DI162" i="72"/>
  <c r="DH162" i="72"/>
  <c r="CV162" i="72"/>
  <c r="CU162" i="72"/>
  <c r="CT162" i="72"/>
  <c r="CS162" i="72"/>
  <c r="CQ162" i="72"/>
  <c r="CP162" i="72"/>
  <c r="CO162" i="72"/>
  <c r="CN162" i="72"/>
  <c r="CL162" i="72"/>
  <c r="CK162" i="72"/>
  <c r="CJ162" i="72"/>
  <c r="CI162" i="72"/>
  <c r="CG162" i="72"/>
  <c r="CF162" i="72"/>
  <c r="CE162" i="72"/>
  <c r="CD162" i="72"/>
  <c r="CB162" i="72"/>
  <c r="CA162" i="72"/>
  <c r="BZ162" i="72"/>
  <c r="BY162" i="72"/>
  <c r="BW162" i="72"/>
  <c r="BV162" i="72"/>
  <c r="BU162" i="72"/>
  <c r="BT162" i="72"/>
  <c r="BR162" i="72"/>
  <c r="BS162" i="72" s="1"/>
  <c r="BX162" i="72" s="1"/>
  <c r="CC162" i="72" s="1"/>
  <c r="CH162" i="72" s="1"/>
  <c r="CM162" i="72" s="1"/>
  <c r="CR162" i="72" s="1"/>
  <c r="CW162" i="72" s="1"/>
  <c r="DP161" i="72"/>
  <c r="DO161" i="72"/>
  <c r="DN161" i="72"/>
  <c r="DM161" i="72"/>
  <c r="DK161" i="72"/>
  <c r="DJ161" i="72"/>
  <c r="DI161" i="72"/>
  <c r="DH161" i="72"/>
  <c r="DF161" i="72"/>
  <c r="DE161" i="72"/>
  <c r="DD161" i="72"/>
  <c r="DC161" i="72"/>
  <c r="DA161" i="72"/>
  <c r="CZ161" i="72"/>
  <c r="CY161" i="72"/>
  <c r="CX161" i="72"/>
  <c r="CV161" i="72"/>
  <c r="CU161" i="72"/>
  <c r="CT161" i="72"/>
  <c r="CS161" i="72"/>
  <c r="CQ161" i="72"/>
  <c r="CP161" i="72"/>
  <c r="CO161" i="72"/>
  <c r="CN161" i="72"/>
  <c r="CL161" i="72"/>
  <c r="CK161" i="72"/>
  <c r="CJ161" i="72"/>
  <c r="CI161" i="72"/>
  <c r="CG161" i="72"/>
  <c r="CF161" i="72"/>
  <c r="CE161" i="72"/>
  <c r="CD161" i="72"/>
  <c r="CB161" i="72"/>
  <c r="CA161" i="72"/>
  <c r="BZ161" i="72"/>
  <c r="BY161" i="72"/>
  <c r="BW161" i="72"/>
  <c r="BV161" i="72"/>
  <c r="BU161" i="72"/>
  <c r="BT161" i="72"/>
  <c r="BR161" i="72"/>
  <c r="BS161" i="72" s="1"/>
  <c r="BX161" i="72" s="1"/>
  <c r="CC161" i="72" s="1"/>
  <c r="CH161" i="72" s="1"/>
  <c r="CM161" i="72" s="1"/>
  <c r="CR161" i="72" s="1"/>
  <c r="CW161" i="72" s="1"/>
  <c r="DB161" i="72" s="1"/>
  <c r="DG161" i="72" s="1"/>
  <c r="DL161" i="72" s="1"/>
  <c r="DQ161" i="72" s="1"/>
  <c r="DV161" i="72" s="1"/>
  <c r="BK163" i="72"/>
  <c r="BF163" i="72"/>
  <c r="BE163" i="72" s="1"/>
  <c r="AV163" i="72"/>
  <c r="AS163" i="72" s="1"/>
  <c r="AQ163" i="72"/>
  <c r="AP163" i="72" s="1"/>
  <c r="AL163" i="72"/>
  <c r="AG163" i="72"/>
  <c r="AB163" i="72"/>
  <c r="AA163" i="72" s="1"/>
  <c r="W163" i="72"/>
  <c r="R163" i="72"/>
  <c r="Q163" i="72" s="1"/>
  <c r="M163" i="72"/>
  <c r="L163" i="72"/>
  <c r="BK162" i="72"/>
  <c r="BJ162" i="72" s="1"/>
  <c r="BF162" i="72"/>
  <c r="BE162" i="72" s="1"/>
  <c r="BA162" i="72"/>
  <c r="AZ162" i="72" s="1"/>
  <c r="AQ162" i="72"/>
  <c r="AL162" i="72"/>
  <c r="AK162" i="72" s="1"/>
  <c r="AG162" i="72"/>
  <c r="AB162" i="72"/>
  <c r="AA162" i="72" s="1"/>
  <c r="W162" i="72"/>
  <c r="V162" i="72" s="1"/>
  <c r="R162" i="72"/>
  <c r="Q162" i="72" s="1"/>
  <c r="M162" i="72"/>
  <c r="L162" i="72"/>
  <c r="BK161" i="72"/>
  <c r="BF161" i="72"/>
  <c r="BE161" i="72" s="1"/>
  <c r="BA161" i="72"/>
  <c r="AZ161" i="72" s="1"/>
  <c r="AV161" i="72"/>
  <c r="AQ161" i="72"/>
  <c r="AP161" i="72" s="1"/>
  <c r="AL161" i="72"/>
  <c r="AG161" i="72"/>
  <c r="AC161" i="72" s="1"/>
  <c r="AB161" i="72"/>
  <c r="AA161" i="72" s="1"/>
  <c r="W161" i="72"/>
  <c r="R161" i="72"/>
  <c r="Q161" i="72" s="1"/>
  <c r="M161" i="72"/>
  <c r="L161" i="72"/>
  <c r="E159" i="72"/>
  <c r="DP159" i="72"/>
  <c r="DO159" i="72"/>
  <c r="DN159" i="72"/>
  <c r="DM159" i="72"/>
  <c r="DK159" i="72"/>
  <c r="DJ159" i="72"/>
  <c r="DI159" i="72"/>
  <c r="DH159" i="72"/>
  <c r="DF159" i="72"/>
  <c r="DE159" i="72"/>
  <c r="DD159" i="72"/>
  <c r="DC159" i="72"/>
  <c r="DA159" i="72"/>
  <c r="CZ159" i="72"/>
  <c r="CY159" i="72"/>
  <c r="CX159" i="72"/>
  <c r="CV159" i="72"/>
  <c r="CU159" i="72"/>
  <c r="CT159" i="72"/>
  <c r="CS159" i="72"/>
  <c r="CQ159" i="72"/>
  <c r="CP159" i="72"/>
  <c r="CO159" i="72"/>
  <c r="CN159" i="72"/>
  <c r="CL159" i="72"/>
  <c r="CK159" i="72"/>
  <c r="CJ159" i="72"/>
  <c r="CI159" i="72"/>
  <c r="CG159" i="72"/>
  <c r="CF159" i="72"/>
  <c r="CE159" i="72"/>
  <c r="CD159" i="72"/>
  <c r="CB159" i="72"/>
  <c r="CA159" i="72"/>
  <c r="BZ159" i="72"/>
  <c r="BY159" i="72"/>
  <c r="BW159" i="72"/>
  <c r="BV159" i="72"/>
  <c r="BU159" i="72"/>
  <c r="BT159" i="72"/>
  <c r="BR159" i="72"/>
  <c r="BS159" i="72" s="1"/>
  <c r="BX159" i="72" s="1"/>
  <c r="CC159" i="72" s="1"/>
  <c r="CH159" i="72" s="1"/>
  <c r="CM159" i="72" s="1"/>
  <c r="CR159" i="72" s="1"/>
  <c r="CW159" i="72" s="1"/>
  <c r="DB159" i="72" s="1"/>
  <c r="DG159" i="72" s="1"/>
  <c r="DL159" i="72" s="1"/>
  <c r="DQ159" i="72" s="1"/>
  <c r="DV159" i="72" s="1"/>
  <c r="DP158" i="72"/>
  <c r="DO158" i="72"/>
  <c r="DN158" i="72"/>
  <c r="DM158" i="72"/>
  <c r="DK158" i="72"/>
  <c r="DJ158" i="72"/>
  <c r="DI158" i="72"/>
  <c r="DH158" i="72"/>
  <c r="DF158" i="72"/>
  <c r="DE158" i="72"/>
  <c r="DD158" i="72"/>
  <c r="DC158" i="72"/>
  <c r="DA158" i="72"/>
  <c r="CZ158" i="72"/>
  <c r="CY158" i="72"/>
  <c r="CX158" i="72"/>
  <c r="CV158" i="72"/>
  <c r="CU158" i="72"/>
  <c r="CT158" i="72"/>
  <c r="CS158" i="72"/>
  <c r="CQ158" i="72"/>
  <c r="CP158" i="72"/>
  <c r="CO158" i="72"/>
  <c r="CN158" i="72"/>
  <c r="CL158" i="72"/>
  <c r="CK158" i="72"/>
  <c r="CJ158" i="72"/>
  <c r="CI158" i="72"/>
  <c r="CG158" i="72"/>
  <c r="CF158" i="72"/>
  <c r="CE158" i="72"/>
  <c r="CD158" i="72"/>
  <c r="CB158" i="72"/>
  <c r="CA158" i="72"/>
  <c r="BZ158" i="72"/>
  <c r="BY158" i="72"/>
  <c r="BW158" i="72"/>
  <c r="BV158" i="72"/>
  <c r="BU158" i="72"/>
  <c r="BT158" i="72"/>
  <c r="BR158" i="72"/>
  <c r="BS158" i="72" s="1"/>
  <c r="BX158" i="72" s="1"/>
  <c r="CC158" i="72" s="1"/>
  <c r="CH158" i="72" s="1"/>
  <c r="CM158" i="72" s="1"/>
  <c r="CR158" i="72" s="1"/>
  <c r="CW158" i="72" s="1"/>
  <c r="DB158" i="72" s="1"/>
  <c r="DG158" i="72" s="1"/>
  <c r="DL158" i="72" s="1"/>
  <c r="DQ158" i="72" s="1"/>
  <c r="DV158" i="72" s="1"/>
  <c r="BK159" i="72"/>
  <c r="BJ159" i="72" s="1"/>
  <c r="BF159" i="72"/>
  <c r="BA159" i="72"/>
  <c r="AZ159" i="72" s="1"/>
  <c r="AV159" i="72"/>
  <c r="AQ159" i="72"/>
  <c r="AP159" i="72" s="1"/>
  <c r="AL159" i="72"/>
  <c r="AK159" i="72" s="1"/>
  <c r="AG159" i="72"/>
  <c r="AF159" i="72" s="1"/>
  <c r="AB159" i="72"/>
  <c r="AA159" i="72" s="1"/>
  <c r="W159" i="72"/>
  <c r="V159" i="72" s="1"/>
  <c r="R159" i="72"/>
  <c r="M159" i="72"/>
  <c r="L159" i="72"/>
  <c r="BK158" i="72"/>
  <c r="BF158" i="72"/>
  <c r="BD158" i="72" s="1"/>
  <c r="BA158" i="72"/>
  <c r="AZ158" i="72" s="1"/>
  <c r="AV158" i="72"/>
  <c r="AQ158" i="72"/>
  <c r="AP158" i="72" s="1"/>
  <c r="AL158" i="72"/>
  <c r="AK158" i="72" s="1"/>
  <c r="AG158" i="72"/>
  <c r="AF158" i="72" s="1"/>
  <c r="AB158" i="72"/>
  <c r="AA158" i="72" s="1"/>
  <c r="W158" i="72"/>
  <c r="R158" i="72"/>
  <c r="P158" i="72" s="1"/>
  <c r="M158" i="72"/>
  <c r="L158" i="72"/>
  <c r="E156" i="72"/>
  <c r="DP156" i="72"/>
  <c r="DO156" i="72"/>
  <c r="DN156" i="72"/>
  <c r="DM156" i="72"/>
  <c r="DK156" i="72"/>
  <c r="DJ156" i="72"/>
  <c r="DI156" i="72"/>
  <c r="DH156" i="72"/>
  <c r="DF156" i="72"/>
  <c r="DE156" i="72"/>
  <c r="DD156" i="72"/>
  <c r="DC156" i="72"/>
  <c r="DA156" i="72"/>
  <c r="CZ156" i="72"/>
  <c r="CY156" i="72"/>
  <c r="CX156" i="72"/>
  <c r="CV156" i="72"/>
  <c r="CU156" i="72"/>
  <c r="CT156" i="72"/>
  <c r="CS156" i="72"/>
  <c r="CQ156" i="72"/>
  <c r="CP156" i="72"/>
  <c r="CO156" i="72"/>
  <c r="CN156" i="72"/>
  <c r="CL156" i="72"/>
  <c r="CK156" i="72"/>
  <c r="CJ156" i="72"/>
  <c r="CI156" i="72"/>
  <c r="CG156" i="72"/>
  <c r="CF156" i="72"/>
  <c r="CE156" i="72"/>
  <c r="CD156" i="72"/>
  <c r="CB156" i="72"/>
  <c r="CA156" i="72"/>
  <c r="BZ156" i="72"/>
  <c r="BY156" i="72"/>
  <c r="BW156" i="72"/>
  <c r="BV156" i="72"/>
  <c r="BU156" i="72"/>
  <c r="BT156" i="72"/>
  <c r="BR156" i="72"/>
  <c r="BS156" i="72" s="1"/>
  <c r="BX156" i="72" s="1"/>
  <c r="CC156" i="72" s="1"/>
  <c r="CH156" i="72" s="1"/>
  <c r="CM156" i="72" s="1"/>
  <c r="CR156" i="72" s="1"/>
  <c r="CW156" i="72" s="1"/>
  <c r="DB156" i="72" s="1"/>
  <c r="DG156" i="72" s="1"/>
  <c r="DL156" i="72" s="1"/>
  <c r="DQ156" i="72" s="1"/>
  <c r="DV156" i="72" s="1"/>
  <c r="DP155" i="72"/>
  <c r="DO155" i="72"/>
  <c r="DN155" i="72"/>
  <c r="DM155" i="72"/>
  <c r="DK155" i="72"/>
  <c r="DJ155" i="72"/>
  <c r="DI155" i="72"/>
  <c r="DH155" i="72"/>
  <c r="DF155" i="72"/>
  <c r="DE155" i="72"/>
  <c r="DD155" i="72"/>
  <c r="DC155" i="72"/>
  <c r="DA155" i="72"/>
  <c r="CZ155" i="72"/>
  <c r="CY155" i="72"/>
  <c r="CX155" i="72"/>
  <c r="CV155" i="72"/>
  <c r="CU155" i="72"/>
  <c r="CT155" i="72"/>
  <c r="CS155" i="72"/>
  <c r="CQ155" i="72"/>
  <c r="CP155" i="72"/>
  <c r="CO155" i="72"/>
  <c r="CN155" i="72"/>
  <c r="CL155" i="72"/>
  <c r="CK155" i="72"/>
  <c r="CJ155" i="72"/>
  <c r="CI155" i="72"/>
  <c r="CG155" i="72"/>
  <c r="CF155" i="72"/>
  <c r="CE155" i="72"/>
  <c r="CD155" i="72"/>
  <c r="CB155" i="72"/>
  <c r="CA155" i="72"/>
  <c r="BZ155" i="72"/>
  <c r="BY155" i="72"/>
  <c r="BW155" i="72"/>
  <c r="BV155" i="72"/>
  <c r="BU155" i="72"/>
  <c r="BT155" i="72"/>
  <c r="BR155" i="72"/>
  <c r="BS155" i="72" s="1"/>
  <c r="BX155" i="72" s="1"/>
  <c r="CC155" i="72" s="1"/>
  <c r="CH155" i="72" s="1"/>
  <c r="CM155" i="72" s="1"/>
  <c r="CR155" i="72" s="1"/>
  <c r="CW155" i="72" s="1"/>
  <c r="DB155" i="72" s="1"/>
  <c r="DG155" i="72" s="1"/>
  <c r="DL155" i="72" s="1"/>
  <c r="DQ155" i="72" s="1"/>
  <c r="DV155" i="72" s="1"/>
  <c r="BK156" i="72"/>
  <c r="BI156" i="72" s="1"/>
  <c r="BF156" i="72"/>
  <c r="BE156" i="72" s="1"/>
  <c r="BA156" i="72"/>
  <c r="AW156" i="72" s="1"/>
  <c r="AV156" i="72"/>
  <c r="AQ156" i="72"/>
  <c r="AP156" i="72" s="1"/>
  <c r="AL156" i="72"/>
  <c r="AK156" i="72" s="1"/>
  <c r="AG156" i="72"/>
  <c r="AF156" i="72" s="1"/>
  <c r="AB156" i="72"/>
  <c r="W156" i="72"/>
  <c r="U156" i="72" s="1"/>
  <c r="R156" i="72"/>
  <c r="Q156" i="72" s="1"/>
  <c r="M156" i="72"/>
  <c r="L156" i="72"/>
  <c r="BK155" i="72"/>
  <c r="BG155" i="72" s="1"/>
  <c r="BF155" i="72"/>
  <c r="BE155" i="72" s="1"/>
  <c r="BA155" i="72"/>
  <c r="AZ155" i="72" s="1"/>
  <c r="AV155" i="72"/>
  <c r="AQ155" i="72"/>
  <c r="AP155" i="72" s="1"/>
  <c r="AL155" i="72"/>
  <c r="AG155" i="72"/>
  <c r="AE155" i="72" s="1"/>
  <c r="AB155" i="72"/>
  <c r="AA155" i="72" s="1"/>
  <c r="W155" i="72"/>
  <c r="S155" i="72" s="1"/>
  <c r="R155" i="72"/>
  <c r="Q155" i="72" s="1"/>
  <c r="M155" i="72"/>
  <c r="L155" i="72"/>
  <c r="E152" i="72"/>
  <c r="E149" i="72"/>
  <c r="E148" i="72"/>
  <c r="BF148" i="72" s="1"/>
  <c r="E147" i="72"/>
  <c r="E146" i="72"/>
  <c r="BA146" i="72" s="1"/>
  <c r="E142" i="72"/>
  <c r="E140" i="72"/>
  <c r="E139" i="72"/>
  <c r="BP139" i="72" s="1"/>
  <c r="E138" i="72"/>
  <c r="BF138" i="72" s="1"/>
  <c r="BD138" i="72" s="1"/>
  <c r="DP152" i="72"/>
  <c r="DO152" i="72"/>
  <c r="DN152" i="72"/>
  <c r="DM152" i="72"/>
  <c r="DK152" i="72"/>
  <c r="DJ152" i="72"/>
  <c r="DI152" i="72"/>
  <c r="DH152" i="72"/>
  <c r="DF152" i="72"/>
  <c r="DE152" i="72"/>
  <c r="DD152" i="72"/>
  <c r="DC152" i="72"/>
  <c r="DA152" i="72"/>
  <c r="CZ152" i="72"/>
  <c r="CY152" i="72"/>
  <c r="CX152" i="72"/>
  <c r="CV152" i="72"/>
  <c r="CU152" i="72"/>
  <c r="CT152" i="72"/>
  <c r="CS152" i="72"/>
  <c r="CQ152" i="72"/>
  <c r="CP152" i="72"/>
  <c r="CO152" i="72"/>
  <c r="CN152" i="72"/>
  <c r="CL152" i="72"/>
  <c r="CK152" i="72"/>
  <c r="CJ152" i="72"/>
  <c r="CI152" i="72"/>
  <c r="CG152" i="72"/>
  <c r="CF152" i="72"/>
  <c r="CE152" i="72"/>
  <c r="CD152" i="72"/>
  <c r="CB152" i="72"/>
  <c r="CA152" i="72"/>
  <c r="BZ152" i="72"/>
  <c r="BY152" i="72"/>
  <c r="BW152" i="72"/>
  <c r="BV152" i="72"/>
  <c r="BU152" i="72"/>
  <c r="BT152" i="72"/>
  <c r="BR152" i="72"/>
  <c r="BS152" i="72" s="1"/>
  <c r="BX152" i="72" s="1"/>
  <c r="CC152" i="72" s="1"/>
  <c r="CH152" i="72" s="1"/>
  <c r="CM152" i="72" s="1"/>
  <c r="CR152" i="72" s="1"/>
  <c r="CW152" i="72" s="1"/>
  <c r="DB152" i="72" s="1"/>
  <c r="DG152" i="72" s="1"/>
  <c r="DL152" i="72" s="1"/>
  <c r="DQ152" i="72" s="1"/>
  <c r="DV152" i="72" s="1"/>
  <c r="DP151" i="72"/>
  <c r="DO151" i="72"/>
  <c r="DN151" i="72"/>
  <c r="DM151" i="72"/>
  <c r="DK151" i="72"/>
  <c r="DJ151" i="72"/>
  <c r="DI151" i="72"/>
  <c r="DH151" i="72"/>
  <c r="DF151" i="72"/>
  <c r="DE151" i="72"/>
  <c r="DD151" i="72"/>
  <c r="DC151" i="72"/>
  <c r="DA151" i="72"/>
  <c r="CZ151" i="72"/>
  <c r="CY151" i="72"/>
  <c r="CX151" i="72"/>
  <c r="CV151" i="72"/>
  <c r="CU151" i="72"/>
  <c r="CT151" i="72"/>
  <c r="CS151" i="72"/>
  <c r="CQ151" i="72"/>
  <c r="CP151" i="72"/>
  <c r="CO151" i="72"/>
  <c r="CN151" i="72"/>
  <c r="CL151" i="72"/>
  <c r="CK151" i="72"/>
  <c r="CJ151" i="72"/>
  <c r="CI151" i="72"/>
  <c r="CG151" i="72"/>
  <c r="CF151" i="72"/>
  <c r="CE151" i="72"/>
  <c r="CD151" i="72"/>
  <c r="CB151" i="72"/>
  <c r="CA151" i="72"/>
  <c r="BZ151" i="72"/>
  <c r="BY151" i="72"/>
  <c r="BW151" i="72"/>
  <c r="BV151" i="72"/>
  <c r="BU151" i="72"/>
  <c r="BT151" i="72"/>
  <c r="BR151" i="72"/>
  <c r="BS151" i="72" s="1"/>
  <c r="BX151" i="72" s="1"/>
  <c r="CC151" i="72" s="1"/>
  <c r="CH151" i="72" s="1"/>
  <c r="CM151" i="72" s="1"/>
  <c r="CR151" i="72" s="1"/>
  <c r="CW151" i="72" s="1"/>
  <c r="DB151" i="72" s="1"/>
  <c r="DG151" i="72" s="1"/>
  <c r="DL151" i="72" s="1"/>
  <c r="DQ151" i="72" s="1"/>
  <c r="DV151" i="72" s="1"/>
  <c r="DP150" i="72"/>
  <c r="DO150" i="72"/>
  <c r="DN150" i="72"/>
  <c r="DM150" i="72"/>
  <c r="DK150" i="72"/>
  <c r="DJ150" i="72"/>
  <c r="DI150" i="72"/>
  <c r="DH150" i="72"/>
  <c r="DF150" i="72"/>
  <c r="DE150" i="72"/>
  <c r="DD150" i="72"/>
  <c r="DC150" i="72"/>
  <c r="DA150" i="72"/>
  <c r="CZ150" i="72"/>
  <c r="CY150" i="72"/>
  <c r="CX150" i="72"/>
  <c r="CV150" i="72"/>
  <c r="CU150" i="72"/>
  <c r="CT150" i="72"/>
  <c r="CS150" i="72"/>
  <c r="CQ150" i="72"/>
  <c r="CP150" i="72"/>
  <c r="CO150" i="72"/>
  <c r="CN150" i="72"/>
  <c r="CL150" i="72"/>
  <c r="CK150" i="72"/>
  <c r="CJ150" i="72"/>
  <c r="CI150" i="72"/>
  <c r="CG150" i="72"/>
  <c r="CF150" i="72"/>
  <c r="CE150" i="72"/>
  <c r="CD150" i="72"/>
  <c r="CB150" i="72"/>
  <c r="CA150" i="72"/>
  <c r="BZ150" i="72"/>
  <c r="BY150" i="72"/>
  <c r="BW150" i="72"/>
  <c r="BV150" i="72"/>
  <c r="BU150" i="72"/>
  <c r="BT150" i="72"/>
  <c r="BR150" i="72"/>
  <c r="BS150" i="72" s="1"/>
  <c r="BX150" i="72" s="1"/>
  <c r="CC150" i="72" s="1"/>
  <c r="CH150" i="72" s="1"/>
  <c r="CM150" i="72" s="1"/>
  <c r="CR150" i="72" s="1"/>
  <c r="CW150" i="72" s="1"/>
  <c r="DB150" i="72" s="1"/>
  <c r="DG150" i="72" s="1"/>
  <c r="DL150" i="72" s="1"/>
  <c r="DQ150" i="72" s="1"/>
  <c r="DV150" i="72" s="1"/>
  <c r="DP149" i="72"/>
  <c r="DO149" i="72"/>
  <c r="DN149" i="72"/>
  <c r="DM149" i="72"/>
  <c r="DK149" i="72"/>
  <c r="DJ149" i="72"/>
  <c r="DI149" i="72"/>
  <c r="DH149" i="72"/>
  <c r="DF149" i="72"/>
  <c r="DE149" i="72"/>
  <c r="DD149" i="72"/>
  <c r="DC149" i="72"/>
  <c r="DA149" i="72"/>
  <c r="CZ149" i="72"/>
  <c r="CY149" i="72"/>
  <c r="CX149" i="72"/>
  <c r="CV149" i="72"/>
  <c r="CU149" i="72"/>
  <c r="CT149" i="72"/>
  <c r="CS149" i="72"/>
  <c r="CQ149" i="72"/>
  <c r="CP149" i="72"/>
  <c r="CO149" i="72"/>
  <c r="CN149" i="72"/>
  <c r="CL149" i="72"/>
  <c r="CK149" i="72"/>
  <c r="CJ149" i="72"/>
  <c r="CI149" i="72"/>
  <c r="CG149" i="72"/>
  <c r="CF149" i="72"/>
  <c r="CE149" i="72"/>
  <c r="CD149" i="72"/>
  <c r="CB149" i="72"/>
  <c r="CA149" i="72"/>
  <c r="BZ149" i="72"/>
  <c r="BY149" i="72"/>
  <c r="BW149" i="72"/>
  <c r="BV149" i="72"/>
  <c r="BU149" i="72"/>
  <c r="BT149" i="72"/>
  <c r="BR149" i="72"/>
  <c r="BS149" i="72" s="1"/>
  <c r="BX149" i="72" s="1"/>
  <c r="CC149" i="72" s="1"/>
  <c r="CH149" i="72" s="1"/>
  <c r="CM149" i="72" s="1"/>
  <c r="CR149" i="72" s="1"/>
  <c r="CW149" i="72" s="1"/>
  <c r="DB149" i="72" s="1"/>
  <c r="DG149" i="72" s="1"/>
  <c r="DL149" i="72" s="1"/>
  <c r="DQ149" i="72" s="1"/>
  <c r="DV149" i="72" s="1"/>
  <c r="DF148" i="72"/>
  <c r="DE148" i="72"/>
  <c r="DD148" i="72"/>
  <c r="DC148" i="72"/>
  <c r="DA148" i="72"/>
  <c r="CZ148" i="72"/>
  <c r="CY148" i="72"/>
  <c r="CX148" i="72"/>
  <c r="CV148" i="72"/>
  <c r="CU148" i="72"/>
  <c r="CT148" i="72"/>
  <c r="CS148" i="72"/>
  <c r="CQ148" i="72"/>
  <c r="CP148" i="72"/>
  <c r="CO148" i="72"/>
  <c r="CN148" i="72"/>
  <c r="CL148" i="72"/>
  <c r="CK148" i="72"/>
  <c r="CJ148" i="72"/>
  <c r="CI148" i="72"/>
  <c r="CG148" i="72"/>
  <c r="CF148" i="72"/>
  <c r="CE148" i="72"/>
  <c r="CD148" i="72"/>
  <c r="CB148" i="72"/>
  <c r="CA148" i="72"/>
  <c r="BZ148" i="72"/>
  <c r="BY148" i="72"/>
  <c r="BW148" i="72"/>
  <c r="BV148" i="72"/>
  <c r="BU148" i="72"/>
  <c r="BT148" i="72"/>
  <c r="BR148" i="72"/>
  <c r="BS148" i="72" s="1"/>
  <c r="BX148" i="72" s="1"/>
  <c r="CC148" i="72" s="1"/>
  <c r="CH148" i="72" s="1"/>
  <c r="CM148" i="72" s="1"/>
  <c r="CR148" i="72" s="1"/>
  <c r="CW148" i="72" s="1"/>
  <c r="DB148" i="72" s="1"/>
  <c r="DG148" i="72" s="1"/>
  <c r="DP147" i="72"/>
  <c r="DO147" i="72"/>
  <c r="DN147" i="72"/>
  <c r="DM147" i="72"/>
  <c r="DK147" i="72"/>
  <c r="DJ147" i="72"/>
  <c r="DI147" i="72"/>
  <c r="DH147" i="72"/>
  <c r="DF147" i="72"/>
  <c r="DE147" i="72"/>
  <c r="DD147" i="72"/>
  <c r="DC147" i="72"/>
  <c r="DA147" i="72"/>
  <c r="CZ147" i="72"/>
  <c r="CY147" i="72"/>
  <c r="CX147" i="72"/>
  <c r="CV147" i="72"/>
  <c r="CU147" i="72"/>
  <c r="CT147" i="72"/>
  <c r="CS147" i="72"/>
  <c r="CQ147" i="72"/>
  <c r="CP147" i="72"/>
  <c r="CO147" i="72"/>
  <c r="CN147" i="72"/>
  <c r="CL147" i="72"/>
  <c r="CK147" i="72"/>
  <c r="CJ147" i="72"/>
  <c r="CI147" i="72"/>
  <c r="CG147" i="72"/>
  <c r="CF147" i="72"/>
  <c r="CE147" i="72"/>
  <c r="CD147" i="72"/>
  <c r="CB147" i="72"/>
  <c r="CA147" i="72"/>
  <c r="BZ147" i="72"/>
  <c r="BY147" i="72"/>
  <c r="BW147" i="72"/>
  <c r="BV147" i="72"/>
  <c r="BU147" i="72"/>
  <c r="BT147" i="72"/>
  <c r="BR147" i="72"/>
  <c r="BS147" i="72" s="1"/>
  <c r="BX147" i="72" s="1"/>
  <c r="CC147" i="72" s="1"/>
  <c r="CH147" i="72" s="1"/>
  <c r="CM147" i="72" s="1"/>
  <c r="CR147" i="72" s="1"/>
  <c r="CW147" i="72" s="1"/>
  <c r="DB147" i="72" s="1"/>
  <c r="DG147" i="72" s="1"/>
  <c r="DL147" i="72" s="1"/>
  <c r="DQ147" i="72" s="1"/>
  <c r="DV147" i="72" s="1"/>
  <c r="DP146" i="72"/>
  <c r="DO146" i="72"/>
  <c r="DN146" i="72"/>
  <c r="DM146" i="72"/>
  <c r="CV146" i="72"/>
  <c r="CU146" i="72"/>
  <c r="CT146" i="72"/>
  <c r="CS146" i="72"/>
  <c r="CQ146" i="72"/>
  <c r="CP146" i="72"/>
  <c r="CO146" i="72"/>
  <c r="CN146" i="72"/>
  <c r="CL146" i="72"/>
  <c r="CK146" i="72"/>
  <c r="CJ146" i="72"/>
  <c r="CI146" i="72"/>
  <c r="CG146" i="72"/>
  <c r="CF146" i="72"/>
  <c r="CE146" i="72"/>
  <c r="CD146" i="72"/>
  <c r="CB146" i="72"/>
  <c r="CA146" i="72"/>
  <c r="BZ146" i="72"/>
  <c r="BY146" i="72"/>
  <c r="BW146" i="72"/>
  <c r="BV146" i="72"/>
  <c r="BU146" i="72"/>
  <c r="BT146" i="72"/>
  <c r="BR146" i="72"/>
  <c r="BS146" i="72" s="1"/>
  <c r="BX146" i="72" s="1"/>
  <c r="CC146" i="72" s="1"/>
  <c r="CH146" i="72" s="1"/>
  <c r="CM146" i="72" s="1"/>
  <c r="CR146" i="72" s="1"/>
  <c r="CW146" i="72" s="1"/>
  <c r="DB146" i="72" s="1"/>
  <c r="DA146" i="72" s="1"/>
  <c r="DP145" i="72"/>
  <c r="DO145" i="72"/>
  <c r="DN145" i="72"/>
  <c r="DM145" i="72"/>
  <c r="DK145" i="72"/>
  <c r="DJ145" i="72"/>
  <c r="DI145" i="72"/>
  <c r="DH145" i="72"/>
  <c r="DF145" i="72"/>
  <c r="DE145" i="72"/>
  <c r="DD145" i="72"/>
  <c r="DC145" i="72"/>
  <c r="DA145" i="72"/>
  <c r="CZ145" i="72"/>
  <c r="CY145" i="72"/>
  <c r="CX145" i="72"/>
  <c r="CV145" i="72"/>
  <c r="CU145" i="72"/>
  <c r="CT145" i="72"/>
  <c r="CS145" i="72"/>
  <c r="CQ145" i="72"/>
  <c r="CP145" i="72"/>
  <c r="CO145" i="72"/>
  <c r="CN145" i="72"/>
  <c r="CL145" i="72"/>
  <c r="CK145" i="72"/>
  <c r="CJ145" i="72"/>
  <c r="CI145" i="72"/>
  <c r="CG145" i="72"/>
  <c r="CF145" i="72"/>
  <c r="CE145" i="72"/>
  <c r="CD145" i="72"/>
  <c r="CB145" i="72"/>
  <c r="CA145" i="72"/>
  <c r="BZ145" i="72"/>
  <c r="BY145" i="72"/>
  <c r="BW145" i="72"/>
  <c r="BV145" i="72"/>
  <c r="BU145" i="72"/>
  <c r="BT145" i="72"/>
  <c r="BR145" i="72"/>
  <c r="BS145" i="72" s="1"/>
  <c r="BX145" i="72" s="1"/>
  <c r="CC145" i="72" s="1"/>
  <c r="CH145" i="72" s="1"/>
  <c r="CM145" i="72" s="1"/>
  <c r="CR145" i="72" s="1"/>
  <c r="CW145" i="72" s="1"/>
  <c r="DB145" i="72" s="1"/>
  <c r="DG145" i="72" s="1"/>
  <c r="DL145" i="72" s="1"/>
  <c r="DQ145" i="72" s="1"/>
  <c r="DV145" i="72" s="1"/>
  <c r="DP144" i="72"/>
  <c r="DO144" i="72"/>
  <c r="DN144" i="72"/>
  <c r="DM144" i="72"/>
  <c r="DK144" i="72"/>
  <c r="DJ144" i="72"/>
  <c r="DI144" i="72"/>
  <c r="DH144" i="72"/>
  <c r="DF144" i="72"/>
  <c r="DE144" i="72"/>
  <c r="DD144" i="72"/>
  <c r="DC144" i="72"/>
  <c r="DA144" i="72"/>
  <c r="CZ144" i="72"/>
  <c r="CY144" i="72"/>
  <c r="CX144" i="72"/>
  <c r="CV144" i="72"/>
  <c r="CU144" i="72"/>
  <c r="CT144" i="72"/>
  <c r="CS144" i="72"/>
  <c r="CQ144" i="72"/>
  <c r="CP144" i="72"/>
  <c r="CO144" i="72"/>
  <c r="CN144" i="72"/>
  <c r="CL144" i="72"/>
  <c r="CK144" i="72"/>
  <c r="CJ144" i="72"/>
  <c r="CI144" i="72"/>
  <c r="CG144" i="72"/>
  <c r="CF144" i="72"/>
  <c r="CE144" i="72"/>
  <c r="CD144" i="72"/>
  <c r="CB144" i="72"/>
  <c r="CA144" i="72"/>
  <c r="BZ144" i="72"/>
  <c r="BY144" i="72"/>
  <c r="BW144" i="72"/>
  <c r="BV144" i="72"/>
  <c r="BU144" i="72"/>
  <c r="BT144" i="72"/>
  <c r="BR144" i="72"/>
  <c r="BS144" i="72" s="1"/>
  <c r="BX144" i="72" s="1"/>
  <c r="CC144" i="72" s="1"/>
  <c r="CH144" i="72" s="1"/>
  <c r="CM144" i="72" s="1"/>
  <c r="CR144" i="72" s="1"/>
  <c r="CW144" i="72" s="1"/>
  <c r="DB144" i="72" s="1"/>
  <c r="DG144" i="72" s="1"/>
  <c r="DL144" i="72" s="1"/>
  <c r="DQ144" i="72" s="1"/>
  <c r="DV144" i="72" s="1"/>
  <c r="DP143" i="72"/>
  <c r="DO143" i="72"/>
  <c r="DN143" i="72"/>
  <c r="DM143" i="72"/>
  <c r="DK143" i="72"/>
  <c r="DJ143" i="72"/>
  <c r="DI143" i="72"/>
  <c r="DH143" i="72"/>
  <c r="DF143" i="72"/>
  <c r="DE143" i="72"/>
  <c r="DD143" i="72"/>
  <c r="DC143" i="72"/>
  <c r="DA143" i="72"/>
  <c r="CZ143" i="72"/>
  <c r="CY143" i="72"/>
  <c r="CX143" i="72"/>
  <c r="CV143" i="72"/>
  <c r="CU143" i="72"/>
  <c r="CT143" i="72"/>
  <c r="CS143" i="72"/>
  <c r="CQ143" i="72"/>
  <c r="CP143" i="72"/>
  <c r="CO143" i="72"/>
  <c r="CN143" i="72"/>
  <c r="CL143" i="72"/>
  <c r="CK143" i="72"/>
  <c r="CJ143" i="72"/>
  <c r="CI143" i="72"/>
  <c r="CG143" i="72"/>
  <c r="CF143" i="72"/>
  <c r="CE143" i="72"/>
  <c r="CD143" i="72"/>
  <c r="CB143" i="72"/>
  <c r="CA143" i="72"/>
  <c r="BZ143" i="72"/>
  <c r="BY143" i="72"/>
  <c r="BW143" i="72"/>
  <c r="BV143" i="72"/>
  <c r="BU143" i="72"/>
  <c r="BT143" i="72"/>
  <c r="BR143" i="72"/>
  <c r="BS143" i="72" s="1"/>
  <c r="BX143" i="72" s="1"/>
  <c r="CC143" i="72" s="1"/>
  <c r="CH143" i="72" s="1"/>
  <c r="CM143" i="72" s="1"/>
  <c r="CR143" i="72" s="1"/>
  <c r="CW143" i="72" s="1"/>
  <c r="DB143" i="72" s="1"/>
  <c r="DG143" i="72" s="1"/>
  <c r="DL143" i="72" s="1"/>
  <c r="DQ143" i="72" s="1"/>
  <c r="DV143" i="72" s="1"/>
  <c r="DP142" i="72"/>
  <c r="DO142" i="72"/>
  <c r="DN142" i="72"/>
  <c r="DM142" i="72"/>
  <c r="DK142" i="72"/>
  <c r="DJ142" i="72"/>
  <c r="DI142" i="72"/>
  <c r="DH142" i="72"/>
  <c r="DF142" i="72"/>
  <c r="DE142" i="72"/>
  <c r="DD142" i="72"/>
  <c r="DC142" i="72"/>
  <c r="DA142" i="72"/>
  <c r="CZ142" i="72"/>
  <c r="CY142" i="72"/>
  <c r="CX142" i="72"/>
  <c r="CV142" i="72"/>
  <c r="CU142" i="72"/>
  <c r="CT142" i="72"/>
  <c r="CS142" i="72"/>
  <c r="CQ142" i="72"/>
  <c r="CP142" i="72"/>
  <c r="CO142" i="72"/>
  <c r="CN142" i="72"/>
  <c r="CL142" i="72"/>
  <c r="CK142" i="72"/>
  <c r="CJ142" i="72"/>
  <c r="CI142" i="72"/>
  <c r="CG142" i="72"/>
  <c r="CF142" i="72"/>
  <c r="CE142" i="72"/>
  <c r="CD142" i="72"/>
  <c r="CB142" i="72"/>
  <c r="CA142" i="72"/>
  <c r="BZ142" i="72"/>
  <c r="BY142" i="72"/>
  <c r="BW142" i="72"/>
  <c r="BV142" i="72"/>
  <c r="BU142" i="72"/>
  <c r="BT142" i="72"/>
  <c r="BR142" i="72"/>
  <c r="BS142" i="72" s="1"/>
  <c r="BX142" i="72" s="1"/>
  <c r="CC142" i="72" s="1"/>
  <c r="CH142" i="72" s="1"/>
  <c r="CM142" i="72" s="1"/>
  <c r="CR142" i="72" s="1"/>
  <c r="CW142" i="72" s="1"/>
  <c r="DB142" i="72" s="1"/>
  <c r="DG142" i="72" s="1"/>
  <c r="DL142" i="72" s="1"/>
  <c r="DQ142" i="72" s="1"/>
  <c r="DV142" i="72" s="1"/>
  <c r="DP140" i="72"/>
  <c r="DO140" i="72"/>
  <c r="DN140" i="72"/>
  <c r="DM140" i="72"/>
  <c r="DK140" i="72"/>
  <c r="DJ140" i="72"/>
  <c r="DI140" i="72"/>
  <c r="DH140" i="72"/>
  <c r="DF140" i="72"/>
  <c r="DE140" i="72"/>
  <c r="DD140" i="72"/>
  <c r="DC140" i="72"/>
  <c r="DA140" i="72"/>
  <c r="CZ140" i="72"/>
  <c r="CY140" i="72"/>
  <c r="CX140" i="72"/>
  <c r="CV140" i="72"/>
  <c r="CU140" i="72"/>
  <c r="CT140" i="72"/>
  <c r="CS140" i="72"/>
  <c r="CQ140" i="72"/>
  <c r="CP140" i="72"/>
  <c r="CO140" i="72"/>
  <c r="CN140" i="72"/>
  <c r="CL140" i="72"/>
  <c r="CK140" i="72"/>
  <c r="CJ140" i="72"/>
  <c r="CI140" i="72"/>
  <c r="CG140" i="72"/>
  <c r="CF140" i="72"/>
  <c r="CE140" i="72"/>
  <c r="CD140" i="72"/>
  <c r="CB140" i="72"/>
  <c r="CA140" i="72"/>
  <c r="BZ140" i="72"/>
  <c r="BY140" i="72"/>
  <c r="BW140" i="72"/>
  <c r="BV140" i="72"/>
  <c r="BU140" i="72"/>
  <c r="BT140" i="72"/>
  <c r="BR140" i="72"/>
  <c r="BS140" i="72" s="1"/>
  <c r="BX140" i="72" s="1"/>
  <c r="CC140" i="72" s="1"/>
  <c r="CH140" i="72" s="1"/>
  <c r="CM140" i="72" s="1"/>
  <c r="CR140" i="72" s="1"/>
  <c r="CW140" i="72" s="1"/>
  <c r="DB140" i="72" s="1"/>
  <c r="DG140" i="72" s="1"/>
  <c r="DL140" i="72" s="1"/>
  <c r="DQ140" i="72" s="1"/>
  <c r="DV140" i="72" s="1"/>
  <c r="DP139" i="72"/>
  <c r="DO139" i="72"/>
  <c r="DN139" i="72"/>
  <c r="DM139" i="72"/>
  <c r="DK139" i="72"/>
  <c r="DJ139" i="72"/>
  <c r="DI139" i="72"/>
  <c r="DH139" i="72"/>
  <c r="DF139" i="72"/>
  <c r="DE139" i="72"/>
  <c r="DD139" i="72"/>
  <c r="DC139" i="72"/>
  <c r="DA139" i="72"/>
  <c r="CZ139" i="72"/>
  <c r="CY139" i="72"/>
  <c r="CX139" i="72"/>
  <c r="CV139" i="72"/>
  <c r="CU139" i="72"/>
  <c r="CT139" i="72"/>
  <c r="CS139" i="72"/>
  <c r="CQ139" i="72"/>
  <c r="CP139" i="72"/>
  <c r="CO139" i="72"/>
  <c r="CN139" i="72"/>
  <c r="CL139" i="72"/>
  <c r="CK139" i="72"/>
  <c r="CJ139" i="72"/>
  <c r="CI139" i="72"/>
  <c r="CG139" i="72"/>
  <c r="CF139" i="72"/>
  <c r="CE139" i="72"/>
  <c r="CD139" i="72"/>
  <c r="CB139" i="72"/>
  <c r="CA139" i="72"/>
  <c r="BZ139" i="72"/>
  <c r="BY139" i="72"/>
  <c r="BW139" i="72"/>
  <c r="BV139" i="72"/>
  <c r="BU139" i="72"/>
  <c r="BT139" i="72"/>
  <c r="BR139" i="72"/>
  <c r="BS139" i="72" s="1"/>
  <c r="BX139" i="72" s="1"/>
  <c r="CC139" i="72" s="1"/>
  <c r="CH139" i="72" s="1"/>
  <c r="CM139" i="72" s="1"/>
  <c r="CR139" i="72" s="1"/>
  <c r="CW139" i="72" s="1"/>
  <c r="DB139" i="72" s="1"/>
  <c r="DG139" i="72" s="1"/>
  <c r="DL139" i="72" s="1"/>
  <c r="DQ139" i="72" s="1"/>
  <c r="DF138" i="72"/>
  <c r="DE138" i="72"/>
  <c r="DD138" i="72"/>
  <c r="DC138" i="72"/>
  <c r="DA138" i="72"/>
  <c r="CZ138" i="72"/>
  <c r="CY138" i="72"/>
  <c r="CX138" i="72"/>
  <c r="CV138" i="72"/>
  <c r="CU138" i="72"/>
  <c r="CT138" i="72"/>
  <c r="CS138" i="72"/>
  <c r="CQ138" i="72"/>
  <c r="CP138" i="72"/>
  <c r="CO138" i="72"/>
  <c r="CN138" i="72"/>
  <c r="CL138" i="72"/>
  <c r="CK138" i="72"/>
  <c r="CJ138" i="72"/>
  <c r="CI138" i="72"/>
  <c r="CG138" i="72"/>
  <c r="CF138" i="72"/>
  <c r="CE138" i="72"/>
  <c r="CD138" i="72"/>
  <c r="CB138" i="72"/>
  <c r="CA138" i="72"/>
  <c r="BZ138" i="72"/>
  <c r="BY138" i="72"/>
  <c r="BW138" i="72"/>
  <c r="BV138" i="72"/>
  <c r="BU138" i="72"/>
  <c r="BT138" i="72"/>
  <c r="BR138" i="72"/>
  <c r="BS138" i="72" s="1"/>
  <c r="BX138" i="72" s="1"/>
  <c r="CC138" i="72" s="1"/>
  <c r="CH138" i="72" s="1"/>
  <c r="CM138" i="72" s="1"/>
  <c r="CR138" i="72" s="1"/>
  <c r="CW138" i="72" s="1"/>
  <c r="DB138" i="72" s="1"/>
  <c r="DG138" i="72" s="1"/>
  <c r="DP137" i="72"/>
  <c r="DO137" i="72"/>
  <c r="DN137" i="72"/>
  <c r="DM137" i="72"/>
  <c r="DK137" i="72"/>
  <c r="DJ137" i="72"/>
  <c r="DI137" i="72"/>
  <c r="DH137" i="72"/>
  <c r="DF137" i="72"/>
  <c r="DE137" i="72"/>
  <c r="DD137" i="72"/>
  <c r="DC137" i="72"/>
  <c r="DA137" i="72"/>
  <c r="CZ137" i="72"/>
  <c r="CY137" i="72"/>
  <c r="CX137" i="72"/>
  <c r="CV137" i="72"/>
  <c r="CU137" i="72"/>
  <c r="CT137" i="72"/>
  <c r="CS137" i="72"/>
  <c r="CQ137" i="72"/>
  <c r="CP137" i="72"/>
  <c r="CO137" i="72"/>
  <c r="CN137" i="72"/>
  <c r="CL137" i="72"/>
  <c r="CK137" i="72"/>
  <c r="CJ137" i="72"/>
  <c r="CI137" i="72"/>
  <c r="CG137" i="72"/>
  <c r="CF137" i="72"/>
  <c r="CE137" i="72"/>
  <c r="CD137" i="72"/>
  <c r="CB137" i="72"/>
  <c r="CA137" i="72"/>
  <c r="BZ137" i="72"/>
  <c r="BY137" i="72"/>
  <c r="BW137" i="72"/>
  <c r="BV137" i="72"/>
  <c r="BU137" i="72"/>
  <c r="BT137" i="72"/>
  <c r="BR137" i="72"/>
  <c r="BS137" i="72" s="1"/>
  <c r="BX137" i="72" s="1"/>
  <c r="CC137" i="72" s="1"/>
  <c r="CH137" i="72" s="1"/>
  <c r="CM137" i="72" s="1"/>
  <c r="CR137" i="72" s="1"/>
  <c r="CW137" i="72" s="1"/>
  <c r="DB137" i="72" s="1"/>
  <c r="DG137" i="72" s="1"/>
  <c r="DL137" i="72" s="1"/>
  <c r="DQ137" i="72" s="1"/>
  <c r="DV137" i="72" s="1"/>
  <c r="BK152" i="72"/>
  <c r="BF152" i="72"/>
  <c r="BA152" i="72"/>
  <c r="AV152" i="72"/>
  <c r="AQ152" i="72"/>
  <c r="AL152" i="72"/>
  <c r="AG152" i="72"/>
  <c r="AC152" i="72" s="1"/>
  <c r="AB152" i="72"/>
  <c r="Z152" i="72" s="1"/>
  <c r="W152" i="72"/>
  <c r="R152" i="72"/>
  <c r="M152" i="72"/>
  <c r="L152" i="72"/>
  <c r="BK151" i="72"/>
  <c r="BF151" i="72"/>
  <c r="BD151" i="72" s="1"/>
  <c r="BA151" i="72"/>
  <c r="AV151" i="72"/>
  <c r="AQ151" i="72"/>
  <c r="AM151" i="72" s="1"/>
  <c r="AL151" i="72"/>
  <c r="AJ151" i="72" s="1"/>
  <c r="AG151" i="72"/>
  <c r="AB151" i="72"/>
  <c r="W151" i="72"/>
  <c r="R151" i="72"/>
  <c r="P151" i="72" s="1"/>
  <c r="M151" i="72"/>
  <c r="L151" i="72"/>
  <c r="BK150" i="72"/>
  <c r="BF150" i="72"/>
  <c r="BA150" i="72"/>
  <c r="AW150" i="72" s="1"/>
  <c r="AV150" i="72"/>
  <c r="AQ150" i="72"/>
  <c r="AL150" i="72"/>
  <c r="AG150" i="72"/>
  <c r="AB150" i="72"/>
  <c r="Z150" i="72" s="1"/>
  <c r="W150" i="72"/>
  <c r="R150" i="72"/>
  <c r="P150" i="72" s="1"/>
  <c r="M150" i="72"/>
  <c r="L150" i="72"/>
  <c r="BK149" i="72"/>
  <c r="BG149" i="72" s="1"/>
  <c r="BF149" i="72"/>
  <c r="BD149" i="72" s="1"/>
  <c r="BA149" i="72"/>
  <c r="AV149" i="72"/>
  <c r="AS149" i="72" s="1"/>
  <c r="AQ149" i="72"/>
  <c r="AL149" i="72"/>
  <c r="AJ149" i="72" s="1"/>
  <c r="AG149" i="72"/>
  <c r="AB149" i="72"/>
  <c r="W149" i="72"/>
  <c r="S149" i="72" s="1"/>
  <c r="R149" i="72"/>
  <c r="P149" i="72" s="1"/>
  <c r="M149" i="72"/>
  <c r="L149" i="72"/>
  <c r="BK148" i="72"/>
  <c r="BA148" i="72"/>
  <c r="AV148" i="72"/>
  <c r="AQ148" i="72"/>
  <c r="AL148" i="72"/>
  <c r="AJ148" i="72" s="1"/>
  <c r="AG148" i="72"/>
  <c r="AC148" i="72" s="1"/>
  <c r="AB148" i="72"/>
  <c r="Z148" i="72" s="1"/>
  <c r="W148" i="72"/>
  <c r="R148" i="72"/>
  <c r="M148" i="72"/>
  <c r="L148" i="72"/>
  <c r="BK147" i="72"/>
  <c r="BF147" i="72"/>
  <c r="BD147" i="72" s="1"/>
  <c r="BA147" i="72"/>
  <c r="AW147" i="72" s="1"/>
  <c r="AV147" i="72"/>
  <c r="AQ147" i="72"/>
  <c r="AL147" i="72"/>
  <c r="AG147" i="72"/>
  <c r="AB147" i="72"/>
  <c r="Z147" i="72" s="1"/>
  <c r="W147" i="72"/>
  <c r="R147" i="72"/>
  <c r="M147" i="72"/>
  <c r="L147" i="72"/>
  <c r="BK146" i="72"/>
  <c r="BG146" i="72" s="1"/>
  <c r="BF146" i="72"/>
  <c r="BD146" i="72" s="1"/>
  <c r="AV146" i="72"/>
  <c r="AS146" i="72" s="1"/>
  <c r="AQ146" i="72"/>
  <c r="AL146" i="72"/>
  <c r="AJ146" i="72" s="1"/>
  <c r="AG146" i="72"/>
  <c r="AB146" i="72"/>
  <c r="Z146" i="72" s="1"/>
  <c r="W146" i="72"/>
  <c r="S146" i="72" s="1"/>
  <c r="R146" i="72"/>
  <c r="P146" i="72" s="1"/>
  <c r="M146" i="72"/>
  <c r="L146" i="72"/>
  <c r="BK145" i="72"/>
  <c r="BF145" i="72"/>
  <c r="BA145" i="72"/>
  <c r="AV145" i="72"/>
  <c r="AQ145" i="72"/>
  <c r="AL145" i="72"/>
  <c r="AG145" i="72"/>
  <c r="AC145" i="72" s="1"/>
  <c r="AB145" i="72"/>
  <c r="Z145" i="72" s="1"/>
  <c r="W145" i="72"/>
  <c r="R145" i="72"/>
  <c r="M145" i="72"/>
  <c r="L145" i="72"/>
  <c r="BK144" i="72"/>
  <c r="BF144" i="72"/>
  <c r="BD144" i="72" s="1"/>
  <c r="BA144" i="72"/>
  <c r="AV144" i="72"/>
  <c r="AQ144" i="72"/>
  <c r="AM144" i="72" s="1"/>
  <c r="AL144" i="72"/>
  <c r="AJ144" i="72" s="1"/>
  <c r="AG144" i="72"/>
  <c r="AB144" i="72"/>
  <c r="W144" i="72"/>
  <c r="R144" i="72"/>
  <c r="P144" i="72" s="1"/>
  <c r="M144" i="72"/>
  <c r="L144" i="72"/>
  <c r="BK143" i="72"/>
  <c r="BF143" i="72"/>
  <c r="BA143" i="72"/>
  <c r="AW143" i="72" s="1"/>
  <c r="AV143" i="72"/>
  <c r="AQ143" i="72"/>
  <c r="AL143" i="72"/>
  <c r="AG143" i="72"/>
  <c r="AB143" i="72"/>
  <c r="Z143" i="72" s="1"/>
  <c r="W143" i="72"/>
  <c r="R143" i="72"/>
  <c r="P143" i="72" s="1"/>
  <c r="M143" i="72"/>
  <c r="L143" i="72"/>
  <c r="BK142" i="72"/>
  <c r="BG142" i="72" s="1"/>
  <c r="BF142" i="72"/>
  <c r="BD142" i="72" s="1"/>
  <c r="BA142" i="72"/>
  <c r="AV142" i="72"/>
  <c r="AS142" i="72" s="1"/>
  <c r="AQ142" i="72"/>
  <c r="AL142" i="72"/>
  <c r="AJ142" i="72" s="1"/>
  <c r="AG142" i="72"/>
  <c r="AB142" i="72"/>
  <c r="W142" i="72"/>
  <c r="S142" i="72" s="1"/>
  <c r="R142" i="72"/>
  <c r="P142" i="72" s="1"/>
  <c r="M142" i="72"/>
  <c r="L142" i="72"/>
  <c r="BK140" i="72"/>
  <c r="BF140" i="72"/>
  <c r="BA140" i="72"/>
  <c r="AV140" i="72"/>
  <c r="AQ140" i="72"/>
  <c r="AL140" i="72"/>
  <c r="AJ140" i="72" s="1"/>
  <c r="AG140" i="72"/>
  <c r="AC140" i="72" s="1"/>
  <c r="AB140" i="72"/>
  <c r="Z140" i="72" s="1"/>
  <c r="W140" i="72"/>
  <c r="R140" i="72"/>
  <c r="M140" i="72"/>
  <c r="L140" i="72"/>
  <c r="BK139" i="72"/>
  <c r="BF139" i="72"/>
  <c r="BD139" i="72" s="1"/>
  <c r="BA139" i="72"/>
  <c r="AV139" i="72"/>
  <c r="AS139" i="72" s="1"/>
  <c r="AQ139" i="72"/>
  <c r="AM139" i="72" s="1"/>
  <c r="AL139" i="72"/>
  <c r="AJ139" i="72" s="1"/>
  <c r="AG139" i="72"/>
  <c r="AB139" i="72"/>
  <c r="W139" i="72"/>
  <c r="R139" i="72"/>
  <c r="P139" i="72" s="1"/>
  <c r="M139" i="72"/>
  <c r="L139" i="72"/>
  <c r="BK138" i="72"/>
  <c r="BA138" i="72"/>
  <c r="AW138" i="72" s="1"/>
  <c r="AV138" i="72"/>
  <c r="AQ138" i="72"/>
  <c r="AL138" i="72"/>
  <c r="AG138" i="72"/>
  <c r="AB138" i="72"/>
  <c r="Z138" i="72" s="1"/>
  <c r="W138" i="72"/>
  <c r="R138" i="72"/>
  <c r="M138" i="72"/>
  <c r="L138" i="72"/>
  <c r="BK137" i="72"/>
  <c r="BF137" i="72"/>
  <c r="BA137" i="72"/>
  <c r="AV137" i="72"/>
  <c r="AQ137" i="72"/>
  <c r="AL137" i="72"/>
  <c r="AG137" i="72"/>
  <c r="AC137" i="72" s="1"/>
  <c r="AB137" i="72"/>
  <c r="Z137" i="72" s="1"/>
  <c r="W137" i="72"/>
  <c r="R137" i="72"/>
  <c r="M137" i="72"/>
  <c r="L137" i="72"/>
  <c r="DP134" i="72"/>
  <c r="DO134" i="72"/>
  <c r="DN134" i="72"/>
  <c r="DM134" i="72"/>
  <c r="DK134" i="72"/>
  <c r="DJ134" i="72"/>
  <c r="DI134" i="72"/>
  <c r="DH134" i="72"/>
  <c r="DF134" i="72"/>
  <c r="DE134" i="72"/>
  <c r="DD134" i="72"/>
  <c r="DC134" i="72"/>
  <c r="DA134" i="72"/>
  <c r="CZ134" i="72"/>
  <c r="CY134" i="72"/>
  <c r="CX134" i="72"/>
  <c r="CV134" i="72"/>
  <c r="CU134" i="72"/>
  <c r="CT134" i="72"/>
  <c r="CS134" i="72"/>
  <c r="CQ134" i="72"/>
  <c r="CP134" i="72"/>
  <c r="CO134" i="72"/>
  <c r="CN134" i="72"/>
  <c r="CL134" i="72"/>
  <c r="CK134" i="72"/>
  <c r="CJ134" i="72"/>
  <c r="CI134" i="72"/>
  <c r="CG134" i="72"/>
  <c r="CF134" i="72"/>
  <c r="CE134" i="72"/>
  <c r="CD134" i="72"/>
  <c r="CB134" i="72"/>
  <c r="CA134" i="72"/>
  <c r="BZ134" i="72"/>
  <c r="BY134" i="72"/>
  <c r="BW134" i="72"/>
  <c r="BV134" i="72"/>
  <c r="BU134" i="72"/>
  <c r="BT134" i="72"/>
  <c r="BR134" i="72"/>
  <c r="BS134" i="72" s="1"/>
  <c r="BX134" i="72" s="1"/>
  <c r="CC134" i="72" s="1"/>
  <c r="CH134" i="72" s="1"/>
  <c r="CM134" i="72" s="1"/>
  <c r="CR134" i="72" s="1"/>
  <c r="CW134" i="72" s="1"/>
  <c r="DB134" i="72" s="1"/>
  <c r="DG134" i="72" s="1"/>
  <c r="DL134" i="72" s="1"/>
  <c r="DQ134" i="72" s="1"/>
  <c r="DV134" i="72" s="1"/>
  <c r="BK134" i="72"/>
  <c r="BF134" i="72"/>
  <c r="BA134" i="72"/>
  <c r="AV134" i="72"/>
  <c r="AQ134" i="72"/>
  <c r="AL134" i="72"/>
  <c r="AJ134" i="72" s="1"/>
  <c r="AG134" i="72"/>
  <c r="AC134" i="72" s="1"/>
  <c r="AB134" i="72"/>
  <c r="Z134" i="72" s="1"/>
  <c r="W134" i="72"/>
  <c r="R134" i="72"/>
  <c r="M134" i="72"/>
  <c r="L134" i="72"/>
  <c r="E134" i="72"/>
  <c r="E130" i="72"/>
  <c r="E129" i="72"/>
  <c r="E128" i="72"/>
  <c r="DP132" i="72"/>
  <c r="DO132" i="72"/>
  <c r="DN132" i="72"/>
  <c r="DM132" i="72"/>
  <c r="DK132" i="72"/>
  <c r="DJ132" i="72"/>
  <c r="DI132" i="72"/>
  <c r="DH132" i="72"/>
  <c r="DF132" i="72"/>
  <c r="DE132" i="72"/>
  <c r="DD132" i="72"/>
  <c r="DC132" i="72"/>
  <c r="DA132" i="72"/>
  <c r="CZ132" i="72"/>
  <c r="CY132" i="72"/>
  <c r="CX132" i="72"/>
  <c r="CV132" i="72"/>
  <c r="CU132" i="72"/>
  <c r="CT132" i="72"/>
  <c r="CS132" i="72"/>
  <c r="CQ132" i="72"/>
  <c r="CP132" i="72"/>
  <c r="CO132" i="72"/>
  <c r="CN132" i="72"/>
  <c r="CL132" i="72"/>
  <c r="CK132" i="72"/>
  <c r="CJ132" i="72"/>
  <c r="CI132" i="72"/>
  <c r="CG132" i="72"/>
  <c r="CF132" i="72"/>
  <c r="CE132" i="72"/>
  <c r="CD132" i="72"/>
  <c r="CB132" i="72"/>
  <c r="CA132" i="72"/>
  <c r="BZ132" i="72"/>
  <c r="BY132" i="72"/>
  <c r="BW132" i="72"/>
  <c r="BV132" i="72"/>
  <c r="BU132" i="72"/>
  <c r="BT132" i="72"/>
  <c r="BR132" i="72"/>
  <c r="BS132" i="72" s="1"/>
  <c r="BX132" i="72" s="1"/>
  <c r="CC132" i="72" s="1"/>
  <c r="CH132" i="72" s="1"/>
  <c r="CM132" i="72" s="1"/>
  <c r="CR132" i="72" s="1"/>
  <c r="CW132" i="72" s="1"/>
  <c r="DB132" i="72" s="1"/>
  <c r="DG132" i="72" s="1"/>
  <c r="DL132" i="72" s="1"/>
  <c r="DQ132" i="72" s="1"/>
  <c r="DV132" i="72" s="1"/>
  <c r="DP131" i="72"/>
  <c r="DO131" i="72"/>
  <c r="DN131" i="72"/>
  <c r="DM131" i="72"/>
  <c r="DK131" i="72"/>
  <c r="DJ131" i="72"/>
  <c r="DI131" i="72"/>
  <c r="DH131" i="72"/>
  <c r="DF131" i="72"/>
  <c r="DE131" i="72"/>
  <c r="DD131" i="72"/>
  <c r="DC131" i="72"/>
  <c r="DA131" i="72"/>
  <c r="CZ131" i="72"/>
  <c r="CY131" i="72"/>
  <c r="CX131" i="72"/>
  <c r="CV131" i="72"/>
  <c r="CU131" i="72"/>
  <c r="CT131" i="72"/>
  <c r="CS131" i="72"/>
  <c r="CQ131" i="72"/>
  <c r="CP131" i="72"/>
  <c r="CO131" i="72"/>
  <c r="CN131" i="72"/>
  <c r="CL131" i="72"/>
  <c r="CK131" i="72"/>
  <c r="CJ131" i="72"/>
  <c r="CI131" i="72"/>
  <c r="CG131" i="72"/>
  <c r="CF131" i="72"/>
  <c r="CE131" i="72"/>
  <c r="CD131" i="72"/>
  <c r="CB131" i="72"/>
  <c r="CA131" i="72"/>
  <c r="BZ131" i="72"/>
  <c r="BY131" i="72"/>
  <c r="BW131" i="72"/>
  <c r="BV131" i="72"/>
  <c r="BU131" i="72"/>
  <c r="BT131" i="72"/>
  <c r="BR131" i="72"/>
  <c r="BS131" i="72" s="1"/>
  <c r="BX131" i="72" s="1"/>
  <c r="CC131" i="72" s="1"/>
  <c r="CH131" i="72" s="1"/>
  <c r="CM131" i="72" s="1"/>
  <c r="CR131" i="72" s="1"/>
  <c r="CW131" i="72" s="1"/>
  <c r="DB131" i="72" s="1"/>
  <c r="DG131" i="72" s="1"/>
  <c r="DL131" i="72" s="1"/>
  <c r="DQ131" i="72" s="1"/>
  <c r="DV131" i="72" s="1"/>
  <c r="DP130" i="72"/>
  <c r="DO130" i="72"/>
  <c r="DN130" i="72"/>
  <c r="DM130" i="72"/>
  <c r="DK130" i="72"/>
  <c r="DJ130" i="72"/>
  <c r="DI130" i="72"/>
  <c r="DH130" i="72"/>
  <c r="DF130" i="72"/>
  <c r="DE130" i="72"/>
  <c r="DD130" i="72"/>
  <c r="DC130" i="72"/>
  <c r="DA130" i="72"/>
  <c r="CZ130" i="72"/>
  <c r="CY130" i="72"/>
  <c r="CX130" i="72"/>
  <c r="CV130" i="72"/>
  <c r="CU130" i="72"/>
  <c r="CT130" i="72"/>
  <c r="CS130" i="72"/>
  <c r="CQ130" i="72"/>
  <c r="CP130" i="72"/>
  <c r="CO130" i="72"/>
  <c r="CN130" i="72"/>
  <c r="CL130" i="72"/>
  <c r="CK130" i="72"/>
  <c r="CJ130" i="72"/>
  <c r="CI130" i="72"/>
  <c r="CG130" i="72"/>
  <c r="CF130" i="72"/>
  <c r="CE130" i="72"/>
  <c r="CD130" i="72"/>
  <c r="CB130" i="72"/>
  <c r="CA130" i="72"/>
  <c r="BZ130" i="72"/>
  <c r="BY130" i="72"/>
  <c r="BW130" i="72"/>
  <c r="BV130" i="72"/>
  <c r="BU130" i="72"/>
  <c r="BT130" i="72"/>
  <c r="BR130" i="72"/>
  <c r="BS130" i="72" s="1"/>
  <c r="BX130" i="72" s="1"/>
  <c r="CC130" i="72" s="1"/>
  <c r="CH130" i="72" s="1"/>
  <c r="CM130" i="72" s="1"/>
  <c r="CR130" i="72" s="1"/>
  <c r="CW130" i="72" s="1"/>
  <c r="DB130" i="72" s="1"/>
  <c r="DG130" i="72" s="1"/>
  <c r="DL130" i="72" s="1"/>
  <c r="DQ130" i="72" s="1"/>
  <c r="DV130" i="72" s="1"/>
  <c r="DP129" i="72"/>
  <c r="DO129" i="72"/>
  <c r="DN129" i="72"/>
  <c r="DM129" i="72"/>
  <c r="DK129" i="72"/>
  <c r="DJ129" i="72"/>
  <c r="DI129" i="72"/>
  <c r="DH129" i="72"/>
  <c r="DF129" i="72"/>
  <c r="DE129" i="72"/>
  <c r="DD129" i="72"/>
  <c r="DC129" i="72"/>
  <c r="DA129" i="72"/>
  <c r="CZ129" i="72"/>
  <c r="CY129" i="72"/>
  <c r="CX129" i="72"/>
  <c r="CV129" i="72"/>
  <c r="CU129" i="72"/>
  <c r="CT129" i="72"/>
  <c r="CS129" i="72"/>
  <c r="CQ129" i="72"/>
  <c r="CP129" i="72"/>
  <c r="CO129" i="72"/>
  <c r="CN129" i="72"/>
  <c r="CL129" i="72"/>
  <c r="CK129" i="72"/>
  <c r="CJ129" i="72"/>
  <c r="CI129" i="72"/>
  <c r="CG129" i="72"/>
  <c r="CF129" i="72"/>
  <c r="CE129" i="72"/>
  <c r="CD129" i="72"/>
  <c r="CB129" i="72"/>
  <c r="CA129" i="72"/>
  <c r="BZ129" i="72"/>
  <c r="BY129" i="72"/>
  <c r="BW129" i="72"/>
  <c r="BV129" i="72"/>
  <c r="BU129" i="72"/>
  <c r="BT129" i="72"/>
  <c r="BR129" i="72"/>
  <c r="BS129" i="72" s="1"/>
  <c r="BX129" i="72" s="1"/>
  <c r="CC129" i="72" s="1"/>
  <c r="CH129" i="72" s="1"/>
  <c r="CM129" i="72" s="1"/>
  <c r="CR129" i="72" s="1"/>
  <c r="CW129" i="72" s="1"/>
  <c r="DB129" i="72" s="1"/>
  <c r="DG129" i="72" s="1"/>
  <c r="DL129" i="72" s="1"/>
  <c r="DQ129" i="72" s="1"/>
  <c r="DV129" i="72" s="1"/>
  <c r="DK128" i="72"/>
  <c r="DJ128" i="72"/>
  <c r="DI128" i="72"/>
  <c r="DH128" i="72"/>
  <c r="DF128" i="72"/>
  <c r="DE128" i="72"/>
  <c r="DD128" i="72"/>
  <c r="DC128" i="72"/>
  <c r="DA128" i="72"/>
  <c r="CZ128" i="72"/>
  <c r="CY128" i="72"/>
  <c r="CX128" i="72"/>
  <c r="CV128" i="72"/>
  <c r="CU128" i="72"/>
  <c r="CT128" i="72"/>
  <c r="CS128" i="72"/>
  <c r="CQ128" i="72"/>
  <c r="CP128" i="72"/>
  <c r="CO128" i="72"/>
  <c r="CN128" i="72"/>
  <c r="CL128" i="72"/>
  <c r="CK128" i="72"/>
  <c r="CJ128" i="72"/>
  <c r="CI128" i="72"/>
  <c r="CG128" i="72"/>
  <c r="CF128" i="72"/>
  <c r="CE128" i="72"/>
  <c r="CD128" i="72"/>
  <c r="CB128" i="72"/>
  <c r="CA128" i="72"/>
  <c r="BZ128" i="72"/>
  <c r="BY128" i="72"/>
  <c r="BW128" i="72"/>
  <c r="BV128" i="72"/>
  <c r="BU128" i="72"/>
  <c r="BT128" i="72"/>
  <c r="BR128" i="72"/>
  <c r="BS128" i="72" s="1"/>
  <c r="BX128" i="72" s="1"/>
  <c r="CC128" i="72" s="1"/>
  <c r="CH128" i="72" s="1"/>
  <c r="CM128" i="72" s="1"/>
  <c r="CR128" i="72" s="1"/>
  <c r="CW128" i="72" s="1"/>
  <c r="DB128" i="72" s="1"/>
  <c r="DG128" i="72" s="1"/>
  <c r="DL128" i="72" s="1"/>
  <c r="DP127" i="72"/>
  <c r="DO127" i="72"/>
  <c r="DN127" i="72"/>
  <c r="DM127" i="72"/>
  <c r="DK127" i="72"/>
  <c r="DJ127" i="72"/>
  <c r="DI127" i="72"/>
  <c r="DH127" i="72"/>
  <c r="DF127" i="72"/>
  <c r="DE127" i="72"/>
  <c r="DD127" i="72"/>
  <c r="DC127" i="72"/>
  <c r="DA127" i="72"/>
  <c r="CZ127" i="72"/>
  <c r="CY127" i="72"/>
  <c r="CX127" i="72"/>
  <c r="CV127" i="72"/>
  <c r="CU127" i="72"/>
  <c r="CT127" i="72"/>
  <c r="CS127" i="72"/>
  <c r="CQ127" i="72"/>
  <c r="CP127" i="72"/>
  <c r="CO127" i="72"/>
  <c r="CN127" i="72"/>
  <c r="CL127" i="72"/>
  <c r="CK127" i="72"/>
  <c r="CJ127" i="72"/>
  <c r="CI127" i="72"/>
  <c r="CG127" i="72"/>
  <c r="CF127" i="72"/>
  <c r="CE127" i="72"/>
  <c r="CD127" i="72"/>
  <c r="CB127" i="72"/>
  <c r="CA127" i="72"/>
  <c r="BZ127" i="72"/>
  <c r="BY127" i="72"/>
  <c r="BW127" i="72"/>
  <c r="BV127" i="72"/>
  <c r="BU127" i="72"/>
  <c r="BT127" i="72"/>
  <c r="BR127" i="72"/>
  <c r="BS127" i="72" s="1"/>
  <c r="BX127" i="72" s="1"/>
  <c r="CC127" i="72" s="1"/>
  <c r="CH127" i="72" s="1"/>
  <c r="CM127" i="72" s="1"/>
  <c r="CR127" i="72" s="1"/>
  <c r="CW127" i="72" s="1"/>
  <c r="DB127" i="72" s="1"/>
  <c r="DG127" i="72" s="1"/>
  <c r="DL127" i="72" s="1"/>
  <c r="DQ127" i="72" s="1"/>
  <c r="DV127" i="72" s="1"/>
  <c r="BK132" i="72"/>
  <c r="BF132" i="72"/>
  <c r="BA132" i="72"/>
  <c r="AV132" i="72"/>
  <c r="AQ132" i="72"/>
  <c r="AL132" i="72"/>
  <c r="AG132" i="72"/>
  <c r="AC132" i="72" s="1"/>
  <c r="AB132" i="72"/>
  <c r="Z132" i="72" s="1"/>
  <c r="W132" i="72"/>
  <c r="S132" i="72" s="1"/>
  <c r="R132" i="72"/>
  <c r="M132" i="72"/>
  <c r="L132" i="72"/>
  <c r="BK131" i="72"/>
  <c r="BF131" i="72"/>
  <c r="BA131" i="72"/>
  <c r="AV131" i="72"/>
  <c r="AS131" i="72" s="1"/>
  <c r="AQ131" i="72"/>
  <c r="AM131" i="72" s="1"/>
  <c r="AL131" i="72"/>
  <c r="AG131" i="72"/>
  <c r="AC131" i="72" s="1"/>
  <c r="AB131" i="72"/>
  <c r="W131" i="72"/>
  <c r="R131" i="72"/>
  <c r="M131" i="72"/>
  <c r="L131" i="72"/>
  <c r="BK130" i="72"/>
  <c r="BG130" i="72" s="1"/>
  <c r="BF130" i="72"/>
  <c r="BA130" i="72"/>
  <c r="AW130" i="72" s="1"/>
  <c r="AV130" i="72"/>
  <c r="AS130" i="72" s="1"/>
  <c r="AQ130" i="72"/>
  <c r="AM130" i="72" s="1"/>
  <c r="AL130" i="72"/>
  <c r="AG130" i="72"/>
  <c r="AE130" i="72" s="1"/>
  <c r="AB130" i="72"/>
  <c r="Z130" i="72" s="1"/>
  <c r="W130" i="72"/>
  <c r="R130" i="72"/>
  <c r="M130" i="72"/>
  <c r="L130" i="72"/>
  <c r="BK129" i="72"/>
  <c r="BG129" i="72" s="1"/>
  <c r="BF129" i="72"/>
  <c r="BD129" i="72" s="1"/>
  <c r="BA129" i="72"/>
  <c r="AW129" i="72" s="1"/>
  <c r="AV129" i="72"/>
  <c r="AS129" i="72" s="1"/>
  <c r="AQ129" i="72"/>
  <c r="AL129" i="72"/>
  <c r="AG129" i="72"/>
  <c r="AC129" i="72" s="1"/>
  <c r="AB129" i="72"/>
  <c r="W129" i="72"/>
  <c r="S129" i="72" s="1"/>
  <c r="R129" i="72"/>
  <c r="M129" i="72"/>
  <c r="L129" i="72"/>
  <c r="BF128" i="72"/>
  <c r="BD128" i="72" s="1"/>
  <c r="BA128" i="72"/>
  <c r="AZ128" i="72" s="1"/>
  <c r="AV128" i="72"/>
  <c r="AS128" i="72" s="1"/>
  <c r="AQ128" i="72"/>
  <c r="AO128" i="72" s="1"/>
  <c r="AL128" i="72"/>
  <c r="AJ128" i="72" s="1"/>
  <c r="AG128" i="72"/>
  <c r="AB128" i="72"/>
  <c r="W128" i="72"/>
  <c r="S128" i="72" s="1"/>
  <c r="R128" i="72"/>
  <c r="P128" i="72" s="1"/>
  <c r="M128" i="72"/>
  <c r="L128" i="72"/>
  <c r="BK127" i="72"/>
  <c r="BG127" i="72" s="1"/>
  <c r="BF127" i="72"/>
  <c r="BC127" i="72" s="1"/>
  <c r="BA127" i="72"/>
  <c r="AY127" i="72" s="1"/>
  <c r="AV127" i="72"/>
  <c r="AQ127" i="72"/>
  <c r="AO127" i="72" s="1"/>
  <c r="AL127" i="72"/>
  <c r="AK127" i="72" s="1"/>
  <c r="AG127" i="72"/>
  <c r="AE127" i="72" s="1"/>
  <c r="AB127" i="72"/>
  <c r="AA127" i="72" s="1"/>
  <c r="W127" i="72"/>
  <c r="U127" i="72" s="1"/>
  <c r="R127" i="72"/>
  <c r="Q127" i="72" s="1"/>
  <c r="M127" i="72"/>
  <c r="L127" i="72"/>
  <c r="E119" i="72"/>
  <c r="E118" i="72"/>
  <c r="E117" i="72"/>
  <c r="BF117" i="72" s="1"/>
  <c r="BD117" i="72" s="1"/>
  <c r="DP125" i="72"/>
  <c r="DO125" i="72"/>
  <c r="DN125" i="72"/>
  <c r="DM125" i="72"/>
  <c r="DK125" i="72"/>
  <c r="DJ125" i="72"/>
  <c r="DI125" i="72"/>
  <c r="DH125" i="72"/>
  <c r="DF125" i="72"/>
  <c r="DE125" i="72"/>
  <c r="DD125" i="72"/>
  <c r="DC125" i="72"/>
  <c r="DA125" i="72"/>
  <c r="CZ125" i="72"/>
  <c r="CY125" i="72"/>
  <c r="CX125" i="72"/>
  <c r="CV125" i="72"/>
  <c r="CU125" i="72"/>
  <c r="CT125" i="72"/>
  <c r="CS125" i="72"/>
  <c r="CQ125" i="72"/>
  <c r="CP125" i="72"/>
  <c r="CO125" i="72"/>
  <c r="CN125" i="72"/>
  <c r="CL125" i="72"/>
  <c r="CK125" i="72"/>
  <c r="CJ125" i="72"/>
  <c r="CI125" i="72"/>
  <c r="CG125" i="72"/>
  <c r="CF125" i="72"/>
  <c r="CE125" i="72"/>
  <c r="CD125" i="72"/>
  <c r="CB125" i="72"/>
  <c r="CA125" i="72"/>
  <c r="BZ125" i="72"/>
  <c r="BY125" i="72"/>
  <c r="BW125" i="72"/>
  <c r="BV125" i="72"/>
  <c r="BU125" i="72"/>
  <c r="BT125" i="72"/>
  <c r="BR125" i="72"/>
  <c r="BS125" i="72" s="1"/>
  <c r="BX125" i="72" s="1"/>
  <c r="CC125" i="72" s="1"/>
  <c r="CH125" i="72" s="1"/>
  <c r="CM125" i="72" s="1"/>
  <c r="CR125" i="72" s="1"/>
  <c r="CW125" i="72" s="1"/>
  <c r="DB125" i="72" s="1"/>
  <c r="DG125" i="72" s="1"/>
  <c r="DL125" i="72" s="1"/>
  <c r="DQ125" i="72" s="1"/>
  <c r="DV125" i="72" s="1"/>
  <c r="DP124" i="72"/>
  <c r="DO124" i="72"/>
  <c r="DN124" i="72"/>
  <c r="DM124" i="72"/>
  <c r="DK124" i="72"/>
  <c r="DJ124" i="72"/>
  <c r="DI124" i="72"/>
  <c r="DH124" i="72"/>
  <c r="DF124" i="72"/>
  <c r="DE124" i="72"/>
  <c r="DD124" i="72"/>
  <c r="DC124" i="72"/>
  <c r="DA124" i="72"/>
  <c r="CZ124" i="72"/>
  <c r="CY124" i="72"/>
  <c r="CX124" i="72"/>
  <c r="CV124" i="72"/>
  <c r="CU124" i="72"/>
  <c r="CT124" i="72"/>
  <c r="CS124" i="72"/>
  <c r="CQ124" i="72"/>
  <c r="CP124" i="72"/>
  <c r="CO124" i="72"/>
  <c r="CN124" i="72"/>
  <c r="CL124" i="72"/>
  <c r="CK124" i="72"/>
  <c r="CJ124" i="72"/>
  <c r="CI124" i="72"/>
  <c r="CG124" i="72"/>
  <c r="CF124" i="72"/>
  <c r="CE124" i="72"/>
  <c r="CD124" i="72"/>
  <c r="CB124" i="72"/>
  <c r="CA124" i="72"/>
  <c r="BZ124" i="72"/>
  <c r="BY124" i="72"/>
  <c r="BW124" i="72"/>
  <c r="BV124" i="72"/>
  <c r="BU124" i="72"/>
  <c r="BT124" i="72"/>
  <c r="BR124" i="72"/>
  <c r="BS124" i="72" s="1"/>
  <c r="BX124" i="72" s="1"/>
  <c r="CC124" i="72" s="1"/>
  <c r="CH124" i="72" s="1"/>
  <c r="CM124" i="72" s="1"/>
  <c r="CR124" i="72" s="1"/>
  <c r="CW124" i="72" s="1"/>
  <c r="DB124" i="72" s="1"/>
  <c r="DG124" i="72" s="1"/>
  <c r="DL124" i="72" s="1"/>
  <c r="DQ124" i="72" s="1"/>
  <c r="DV124" i="72" s="1"/>
  <c r="DP123" i="72"/>
  <c r="DO123" i="72"/>
  <c r="DN123" i="72"/>
  <c r="DM123" i="72"/>
  <c r="DK123" i="72"/>
  <c r="DJ123" i="72"/>
  <c r="DI123" i="72"/>
  <c r="DH123" i="72"/>
  <c r="DF123" i="72"/>
  <c r="DE123" i="72"/>
  <c r="DD123" i="72"/>
  <c r="DC123" i="72"/>
  <c r="DA123" i="72"/>
  <c r="CZ123" i="72"/>
  <c r="CY123" i="72"/>
  <c r="CX123" i="72"/>
  <c r="CV123" i="72"/>
  <c r="CU123" i="72"/>
  <c r="CT123" i="72"/>
  <c r="CS123" i="72"/>
  <c r="CQ123" i="72"/>
  <c r="CP123" i="72"/>
  <c r="CO123" i="72"/>
  <c r="CN123" i="72"/>
  <c r="CL123" i="72"/>
  <c r="CK123" i="72"/>
  <c r="CJ123" i="72"/>
  <c r="CI123" i="72"/>
  <c r="CG123" i="72"/>
  <c r="CF123" i="72"/>
  <c r="CE123" i="72"/>
  <c r="CD123" i="72"/>
  <c r="CB123" i="72"/>
  <c r="CA123" i="72"/>
  <c r="BZ123" i="72"/>
  <c r="BY123" i="72"/>
  <c r="BW123" i="72"/>
  <c r="BV123" i="72"/>
  <c r="BU123" i="72"/>
  <c r="BT123" i="72"/>
  <c r="BR123" i="72"/>
  <c r="BS123" i="72" s="1"/>
  <c r="BX123" i="72" s="1"/>
  <c r="CC123" i="72" s="1"/>
  <c r="CH123" i="72" s="1"/>
  <c r="CM123" i="72" s="1"/>
  <c r="CR123" i="72" s="1"/>
  <c r="CW123" i="72" s="1"/>
  <c r="DB123" i="72" s="1"/>
  <c r="DG123" i="72" s="1"/>
  <c r="DL123" i="72" s="1"/>
  <c r="DQ123" i="72" s="1"/>
  <c r="DV123" i="72" s="1"/>
  <c r="DP121" i="72"/>
  <c r="DO121" i="72"/>
  <c r="DN121" i="72"/>
  <c r="DM121" i="72"/>
  <c r="DK121" i="72"/>
  <c r="DJ121" i="72"/>
  <c r="DI121" i="72"/>
  <c r="DH121" i="72"/>
  <c r="DF121" i="72"/>
  <c r="DE121" i="72"/>
  <c r="DD121" i="72"/>
  <c r="DC121" i="72"/>
  <c r="DA121" i="72"/>
  <c r="CZ121" i="72"/>
  <c r="CY121" i="72"/>
  <c r="CX121" i="72"/>
  <c r="CV121" i="72"/>
  <c r="CU121" i="72"/>
  <c r="CT121" i="72"/>
  <c r="CS121" i="72"/>
  <c r="CQ121" i="72"/>
  <c r="CP121" i="72"/>
  <c r="CO121" i="72"/>
  <c r="CN121" i="72"/>
  <c r="CL121" i="72"/>
  <c r="CK121" i="72"/>
  <c r="CJ121" i="72"/>
  <c r="CI121" i="72"/>
  <c r="CG121" i="72"/>
  <c r="CF121" i="72"/>
  <c r="CE121" i="72"/>
  <c r="CD121" i="72"/>
  <c r="CB121" i="72"/>
  <c r="CA121" i="72"/>
  <c r="BZ121" i="72"/>
  <c r="BY121" i="72"/>
  <c r="BW121" i="72"/>
  <c r="BV121" i="72"/>
  <c r="BU121" i="72"/>
  <c r="BT121" i="72"/>
  <c r="BR121" i="72"/>
  <c r="BS121" i="72" s="1"/>
  <c r="BX121" i="72" s="1"/>
  <c r="CC121" i="72" s="1"/>
  <c r="CH121" i="72" s="1"/>
  <c r="CM121" i="72" s="1"/>
  <c r="CR121" i="72" s="1"/>
  <c r="CW121" i="72" s="1"/>
  <c r="DB121" i="72" s="1"/>
  <c r="DG121" i="72" s="1"/>
  <c r="DL121" i="72" s="1"/>
  <c r="DQ121" i="72" s="1"/>
  <c r="DV121" i="72" s="1"/>
  <c r="DP119" i="72"/>
  <c r="DO119" i="72"/>
  <c r="DN119" i="72"/>
  <c r="DM119" i="72"/>
  <c r="DK119" i="72"/>
  <c r="DJ119" i="72"/>
  <c r="DI119" i="72"/>
  <c r="DH119" i="72"/>
  <c r="DF119" i="72"/>
  <c r="DE119" i="72"/>
  <c r="DD119" i="72"/>
  <c r="DC119" i="72"/>
  <c r="DA119" i="72"/>
  <c r="CZ119" i="72"/>
  <c r="CY119" i="72"/>
  <c r="CX119" i="72"/>
  <c r="CV119" i="72"/>
  <c r="CU119" i="72"/>
  <c r="CT119" i="72"/>
  <c r="CS119" i="72"/>
  <c r="CQ119" i="72"/>
  <c r="CP119" i="72"/>
  <c r="CO119" i="72"/>
  <c r="CN119" i="72"/>
  <c r="CL119" i="72"/>
  <c r="CK119" i="72"/>
  <c r="CJ119" i="72"/>
  <c r="CI119" i="72"/>
  <c r="CG119" i="72"/>
  <c r="CF119" i="72"/>
  <c r="CE119" i="72"/>
  <c r="CD119" i="72"/>
  <c r="CB119" i="72"/>
  <c r="CA119" i="72"/>
  <c r="BZ119" i="72"/>
  <c r="BY119" i="72"/>
  <c r="BW119" i="72"/>
  <c r="BV119" i="72"/>
  <c r="BU119" i="72"/>
  <c r="BT119" i="72"/>
  <c r="BR119" i="72"/>
  <c r="BS119" i="72" s="1"/>
  <c r="BX119" i="72" s="1"/>
  <c r="CC119" i="72" s="1"/>
  <c r="CH119" i="72" s="1"/>
  <c r="CM119" i="72" s="1"/>
  <c r="CR119" i="72" s="1"/>
  <c r="CW119" i="72" s="1"/>
  <c r="DB119" i="72" s="1"/>
  <c r="DG119" i="72" s="1"/>
  <c r="DL119" i="72" s="1"/>
  <c r="DQ119" i="72" s="1"/>
  <c r="DV119" i="72" s="1"/>
  <c r="DP118" i="72"/>
  <c r="DO118" i="72"/>
  <c r="DN118" i="72"/>
  <c r="DM118" i="72"/>
  <c r="DK118" i="72"/>
  <c r="DJ118" i="72"/>
  <c r="DI118" i="72"/>
  <c r="DH118" i="72"/>
  <c r="DF118" i="72"/>
  <c r="DE118" i="72"/>
  <c r="DD118" i="72"/>
  <c r="DC118" i="72"/>
  <c r="DA118" i="72"/>
  <c r="CZ118" i="72"/>
  <c r="CY118" i="72"/>
  <c r="CX118" i="72"/>
  <c r="CV118" i="72"/>
  <c r="CU118" i="72"/>
  <c r="CT118" i="72"/>
  <c r="CS118" i="72"/>
  <c r="CQ118" i="72"/>
  <c r="CP118" i="72"/>
  <c r="CO118" i="72"/>
  <c r="CN118" i="72"/>
  <c r="CL118" i="72"/>
  <c r="CK118" i="72"/>
  <c r="CJ118" i="72"/>
  <c r="CI118" i="72"/>
  <c r="CG118" i="72"/>
  <c r="CF118" i="72"/>
  <c r="CE118" i="72"/>
  <c r="CD118" i="72"/>
  <c r="CB118" i="72"/>
  <c r="CA118" i="72"/>
  <c r="BZ118" i="72"/>
  <c r="BY118" i="72"/>
  <c r="BW118" i="72"/>
  <c r="BV118" i="72"/>
  <c r="BU118" i="72"/>
  <c r="BT118" i="72"/>
  <c r="BR118" i="72"/>
  <c r="BS118" i="72" s="1"/>
  <c r="BX118" i="72" s="1"/>
  <c r="CC118" i="72" s="1"/>
  <c r="CH118" i="72" s="1"/>
  <c r="CM118" i="72" s="1"/>
  <c r="CR118" i="72" s="1"/>
  <c r="CW118" i="72" s="1"/>
  <c r="DB118" i="72" s="1"/>
  <c r="DG118" i="72" s="1"/>
  <c r="DL118" i="72" s="1"/>
  <c r="DQ118" i="72" s="1"/>
  <c r="DV118" i="72" s="1"/>
  <c r="DF117" i="72"/>
  <c r="DE117" i="72"/>
  <c r="DD117" i="72"/>
  <c r="DC117" i="72"/>
  <c r="DA117" i="72"/>
  <c r="CZ117" i="72"/>
  <c r="CY117" i="72"/>
  <c r="CX117" i="72"/>
  <c r="CV117" i="72"/>
  <c r="CU117" i="72"/>
  <c r="CT117" i="72"/>
  <c r="CS117" i="72"/>
  <c r="CQ117" i="72"/>
  <c r="CP117" i="72"/>
  <c r="CO117" i="72"/>
  <c r="CN117" i="72"/>
  <c r="CL117" i="72"/>
  <c r="CK117" i="72"/>
  <c r="CJ117" i="72"/>
  <c r="CI117" i="72"/>
  <c r="CG117" i="72"/>
  <c r="CF117" i="72"/>
  <c r="CE117" i="72"/>
  <c r="CD117" i="72"/>
  <c r="CB117" i="72"/>
  <c r="CA117" i="72"/>
  <c r="BZ117" i="72"/>
  <c r="BY117" i="72"/>
  <c r="BW117" i="72"/>
  <c r="BV117" i="72"/>
  <c r="BU117" i="72"/>
  <c r="BT117" i="72"/>
  <c r="BR117" i="72"/>
  <c r="BS117" i="72" s="1"/>
  <c r="BX117" i="72" s="1"/>
  <c r="CC117" i="72" s="1"/>
  <c r="CH117" i="72" s="1"/>
  <c r="CM117" i="72" s="1"/>
  <c r="CR117" i="72" s="1"/>
  <c r="CW117" i="72" s="1"/>
  <c r="DB117" i="72" s="1"/>
  <c r="DG117" i="72" s="1"/>
  <c r="DP116" i="72"/>
  <c r="DO116" i="72"/>
  <c r="DN116" i="72"/>
  <c r="DM116" i="72"/>
  <c r="DK116" i="72"/>
  <c r="DJ116" i="72"/>
  <c r="DI116" i="72"/>
  <c r="DH116" i="72"/>
  <c r="DF116" i="72"/>
  <c r="DE116" i="72"/>
  <c r="DD116" i="72"/>
  <c r="DC116" i="72"/>
  <c r="DA116" i="72"/>
  <c r="CZ116" i="72"/>
  <c r="CY116" i="72"/>
  <c r="CX116" i="72"/>
  <c r="CV116" i="72"/>
  <c r="CU116" i="72"/>
  <c r="CT116" i="72"/>
  <c r="CS116" i="72"/>
  <c r="CQ116" i="72"/>
  <c r="CP116" i="72"/>
  <c r="CO116" i="72"/>
  <c r="CN116" i="72"/>
  <c r="CL116" i="72"/>
  <c r="CK116" i="72"/>
  <c r="CJ116" i="72"/>
  <c r="CI116" i="72"/>
  <c r="CG116" i="72"/>
  <c r="CF116" i="72"/>
  <c r="CE116" i="72"/>
  <c r="CD116" i="72"/>
  <c r="CB116" i="72"/>
  <c r="CA116" i="72"/>
  <c r="BZ116" i="72"/>
  <c r="BY116" i="72"/>
  <c r="BW116" i="72"/>
  <c r="BV116" i="72"/>
  <c r="BU116" i="72"/>
  <c r="BT116" i="72"/>
  <c r="BR116" i="72"/>
  <c r="BS116" i="72" s="1"/>
  <c r="BX116" i="72" s="1"/>
  <c r="CC116" i="72" s="1"/>
  <c r="CH116" i="72" s="1"/>
  <c r="CM116" i="72" s="1"/>
  <c r="CR116" i="72" s="1"/>
  <c r="CW116" i="72" s="1"/>
  <c r="DB116" i="72" s="1"/>
  <c r="DG116" i="72" s="1"/>
  <c r="DL116" i="72" s="1"/>
  <c r="DQ116" i="72" s="1"/>
  <c r="DV116" i="72" s="1"/>
  <c r="BK125" i="72"/>
  <c r="BF125" i="72"/>
  <c r="BD125" i="72" s="1"/>
  <c r="BA125" i="72"/>
  <c r="AV125" i="72"/>
  <c r="AS125" i="72" s="1"/>
  <c r="AQ125" i="72"/>
  <c r="AL125" i="72"/>
  <c r="AJ125" i="72" s="1"/>
  <c r="AG125" i="72"/>
  <c r="AC125" i="72" s="1"/>
  <c r="AB125" i="72"/>
  <c r="Z125" i="72" s="1"/>
  <c r="W125" i="72"/>
  <c r="R125" i="72"/>
  <c r="P125" i="72" s="1"/>
  <c r="M125" i="72"/>
  <c r="L125" i="72"/>
  <c r="BK124" i="72"/>
  <c r="BF124" i="72"/>
  <c r="BA124" i="72"/>
  <c r="AW124" i="72" s="1"/>
  <c r="AV124" i="72"/>
  <c r="AQ124" i="72"/>
  <c r="AL124" i="72"/>
  <c r="AJ124" i="72" s="1"/>
  <c r="AG124" i="72"/>
  <c r="AB124" i="72"/>
  <c r="Z124" i="72" s="1"/>
  <c r="W124" i="72"/>
  <c r="R124" i="72"/>
  <c r="M124" i="72"/>
  <c r="L124" i="72"/>
  <c r="BK123" i="72"/>
  <c r="BF123" i="72"/>
  <c r="BD123" i="72" s="1"/>
  <c r="BA123" i="72"/>
  <c r="AW123" i="72" s="1"/>
  <c r="AV123" i="72"/>
  <c r="AQ123" i="72"/>
  <c r="AL123" i="72"/>
  <c r="AJ123" i="72" s="1"/>
  <c r="AG123" i="72"/>
  <c r="AB123" i="72"/>
  <c r="W123" i="72"/>
  <c r="R123" i="72"/>
  <c r="P123" i="72" s="1"/>
  <c r="M123" i="72"/>
  <c r="L123" i="72"/>
  <c r="BK121" i="72"/>
  <c r="BG121" i="72" s="1"/>
  <c r="BF121" i="72"/>
  <c r="BD121" i="72" s="1"/>
  <c r="BA121" i="72"/>
  <c r="AV121" i="72"/>
  <c r="AQ121" i="72"/>
  <c r="AL121" i="72"/>
  <c r="AG121" i="72"/>
  <c r="AC121" i="72" s="1"/>
  <c r="AB121" i="72"/>
  <c r="Z121" i="72" s="1"/>
  <c r="W121" i="72"/>
  <c r="R121" i="72"/>
  <c r="P121" i="72" s="1"/>
  <c r="M121" i="72"/>
  <c r="L121" i="72"/>
  <c r="BK119" i="72"/>
  <c r="BF119" i="72"/>
  <c r="BD119" i="72" s="1"/>
  <c r="BA119" i="72"/>
  <c r="AV119" i="72"/>
  <c r="AS119" i="72" s="1"/>
  <c r="AQ119" i="72"/>
  <c r="AM119" i="72" s="1"/>
  <c r="AL119" i="72"/>
  <c r="AJ119" i="72" s="1"/>
  <c r="AG119" i="72"/>
  <c r="AB119" i="72"/>
  <c r="Z119" i="72" s="1"/>
  <c r="W119" i="72"/>
  <c r="R119" i="72"/>
  <c r="P119" i="72" s="1"/>
  <c r="M119" i="72"/>
  <c r="L119" i="72"/>
  <c r="BK118" i="72"/>
  <c r="BF118" i="72"/>
  <c r="BA118" i="72"/>
  <c r="AW118" i="72" s="1"/>
  <c r="AV118" i="72"/>
  <c r="AQ118" i="72"/>
  <c r="AP118" i="72" s="1"/>
  <c r="AL118" i="72"/>
  <c r="AG118" i="72"/>
  <c r="AC118" i="72" s="1"/>
  <c r="AB118" i="72"/>
  <c r="Z118" i="72" s="1"/>
  <c r="W118" i="72"/>
  <c r="R118" i="72"/>
  <c r="M118" i="72"/>
  <c r="L118" i="72"/>
  <c r="BK117" i="72"/>
  <c r="BG117" i="72" s="1"/>
  <c r="BA117" i="72"/>
  <c r="AZ117" i="72" s="1"/>
  <c r="AV117" i="72"/>
  <c r="AS117" i="72" s="1"/>
  <c r="AQ117" i="72"/>
  <c r="AM117" i="72" s="1"/>
  <c r="AL117" i="72"/>
  <c r="AJ117" i="72" s="1"/>
  <c r="AG117" i="72"/>
  <c r="AB117" i="72"/>
  <c r="W117" i="72"/>
  <c r="S117" i="72" s="1"/>
  <c r="R117" i="72"/>
  <c r="P117" i="72" s="1"/>
  <c r="M117" i="72"/>
  <c r="L117" i="72"/>
  <c r="BK116" i="72"/>
  <c r="BF116" i="72"/>
  <c r="BA116" i="72"/>
  <c r="AZ116" i="72" s="1"/>
  <c r="AV116" i="72"/>
  <c r="AQ116" i="72"/>
  <c r="AP116" i="72" s="1"/>
  <c r="AL116" i="72"/>
  <c r="AG116" i="72"/>
  <c r="AF116" i="72" s="1"/>
  <c r="AB116" i="72"/>
  <c r="X116" i="72" s="1"/>
  <c r="W116" i="72"/>
  <c r="V116" i="72" s="1"/>
  <c r="R116" i="72"/>
  <c r="M116" i="72"/>
  <c r="L116" i="72"/>
  <c r="E112" i="72"/>
  <c r="E111" i="72"/>
  <c r="DP113" i="72"/>
  <c r="DO113" i="72"/>
  <c r="DN113" i="72"/>
  <c r="DM113" i="72"/>
  <c r="DK113" i="72"/>
  <c r="DJ113" i="72"/>
  <c r="DI113" i="72"/>
  <c r="DH113" i="72"/>
  <c r="CV113" i="72"/>
  <c r="CU113" i="72"/>
  <c r="CT113" i="72"/>
  <c r="CS113" i="72"/>
  <c r="CQ113" i="72"/>
  <c r="CP113" i="72"/>
  <c r="CO113" i="72"/>
  <c r="CN113" i="72"/>
  <c r="CL113" i="72"/>
  <c r="CK113" i="72"/>
  <c r="CJ113" i="72"/>
  <c r="CI113" i="72"/>
  <c r="CG113" i="72"/>
  <c r="CF113" i="72"/>
  <c r="CE113" i="72"/>
  <c r="CD113" i="72"/>
  <c r="CB113" i="72"/>
  <c r="CA113" i="72"/>
  <c r="BZ113" i="72"/>
  <c r="BY113" i="72"/>
  <c r="BW113" i="72"/>
  <c r="BV113" i="72"/>
  <c r="BU113" i="72"/>
  <c r="BT113" i="72"/>
  <c r="BR113" i="72"/>
  <c r="BS113" i="72" s="1"/>
  <c r="BX113" i="72" s="1"/>
  <c r="CC113" i="72" s="1"/>
  <c r="CH113" i="72" s="1"/>
  <c r="CM113" i="72" s="1"/>
  <c r="CR113" i="72" s="1"/>
  <c r="CW113" i="72" s="1"/>
  <c r="DB113" i="72" s="1"/>
  <c r="DP112" i="72"/>
  <c r="DO112" i="72"/>
  <c r="DN112" i="72"/>
  <c r="DM112" i="72"/>
  <c r="DK112" i="72"/>
  <c r="DJ112" i="72"/>
  <c r="DI112" i="72"/>
  <c r="DH112" i="72"/>
  <c r="DF112" i="72"/>
  <c r="DE112" i="72"/>
  <c r="DD112" i="72"/>
  <c r="DC112" i="72"/>
  <c r="DA112" i="72"/>
  <c r="CZ112" i="72"/>
  <c r="CY112" i="72"/>
  <c r="CX112" i="72"/>
  <c r="CV112" i="72"/>
  <c r="CU112" i="72"/>
  <c r="CT112" i="72"/>
  <c r="CS112" i="72"/>
  <c r="CQ112" i="72"/>
  <c r="CP112" i="72"/>
  <c r="CO112" i="72"/>
  <c r="CN112" i="72"/>
  <c r="CL112" i="72"/>
  <c r="CK112" i="72"/>
  <c r="CJ112" i="72"/>
  <c r="CI112" i="72"/>
  <c r="CG112" i="72"/>
  <c r="CF112" i="72"/>
  <c r="CE112" i="72"/>
  <c r="CD112" i="72"/>
  <c r="CB112" i="72"/>
  <c r="CA112" i="72"/>
  <c r="BZ112" i="72"/>
  <c r="BY112" i="72"/>
  <c r="BW112" i="72"/>
  <c r="BV112" i="72"/>
  <c r="BU112" i="72"/>
  <c r="BT112" i="72"/>
  <c r="BR112" i="72"/>
  <c r="BS112" i="72" s="1"/>
  <c r="BX112" i="72" s="1"/>
  <c r="CC112" i="72" s="1"/>
  <c r="CH112" i="72" s="1"/>
  <c r="CM112" i="72" s="1"/>
  <c r="CR112" i="72" s="1"/>
  <c r="CW112" i="72" s="1"/>
  <c r="DB112" i="72" s="1"/>
  <c r="DG112" i="72" s="1"/>
  <c r="DL112" i="72" s="1"/>
  <c r="DQ112" i="72" s="1"/>
  <c r="DV112" i="72" s="1"/>
  <c r="DP111" i="72"/>
  <c r="DO111" i="72"/>
  <c r="DN111" i="72"/>
  <c r="DM111" i="72"/>
  <c r="DK111" i="72"/>
  <c r="DJ111" i="72"/>
  <c r="DI111" i="72"/>
  <c r="DH111" i="72"/>
  <c r="CV111" i="72"/>
  <c r="CU111" i="72"/>
  <c r="CT111" i="72"/>
  <c r="CS111" i="72"/>
  <c r="CQ111" i="72"/>
  <c r="CP111" i="72"/>
  <c r="CO111" i="72"/>
  <c r="CN111" i="72"/>
  <c r="CL111" i="72"/>
  <c r="CK111" i="72"/>
  <c r="CJ111" i="72"/>
  <c r="CI111" i="72"/>
  <c r="CG111" i="72"/>
  <c r="CF111" i="72"/>
  <c r="CE111" i="72"/>
  <c r="CD111" i="72"/>
  <c r="CB111" i="72"/>
  <c r="CA111" i="72"/>
  <c r="BZ111" i="72"/>
  <c r="BY111" i="72"/>
  <c r="BW111" i="72"/>
  <c r="BV111" i="72"/>
  <c r="BU111" i="72"/>
  <c r="BT111" i="72"/>
  <c r="BR111" i="72"/>
  <c r="BS111" i="72" s="1"/>
  <c r="BX111" i="72" s="1"/>
  <c r="CC111" i="72" s="1"/>
  <c r="CH111" i="72" s="1"/>
  <c r="CM111" i="72" s="1"/>
  <c r="CR111" i="72" s="1"/>
  <c r="CW111" i="72" s="1"/>
  <c r="DB111" i="72" s="1"/>
  <c r="DG111" i="72" s="1"/>
  <c r="DL111" i="72" s="1"/>
  <c r="DQ111" i="72" s="1"/>
  <c r="DV111" i="72" s="1"/>
  <c r="DP110" i="72"/>
  <c r="DO110" i="72"/>
  <c r="DN110" i="72"/>
  <c r="DM110" i="72"/>
  <c r="DK110" i="72"/>
  <c r="DJ110" i="72"/>
  <c r="DI110" i="72"/>
  <c r="DH110" i="72"/>
  <c r="DF110" i="72"/>
  <c r="DE110" i="72"/>
  <c r="DD110" i="72"/>
  <c r="DC110" i="72"/>
  <c r="DA110" i="72"/>
  <c r="CZ110" i="72"/>
  <c r="CY110" i="72"/>
  <c r="CX110" i="72"/>
  <c r="CV110" i="72"/>
  <c r="CU110" i="72"/>
  <c r="CT110" i="72"/>
  <c r="CS110" i="72"/>
  <c r="CQ110" i="72"/>
  <c r="CP110" i="72"/>
  <c r="CO110" i="72"/>
  <c r="CN110" i="72"/>
  <c r="CL110" i="72"/>
  <c r="CK110" i="72"/>
  <c r="CJ110" i="72"/>
  <c r="CI110" i="72"/>
  <c r="CG110" i="72"/>
  <c r="CF110" i="72"/>
  <c r="CE110" i="72"/>
  <c r="CD110" i="72"/>
  <c r="CB110" i="72"/>
  <c r="CA110" i="72"/>
  <c r="BZ110" i="72"/>
  <c r="BY110" i="72"/>
  <c r="BW110" i="72"/>
  <c r="BV110" i="72"/>
  <c r="BU110" i="72"/>
  <c r="BT110" i="72"/>
  <c r="BR110" i="72"/>
  <c r="BS110" i="72" s="1"/>
  <c r="BX110" i="72" s="1"/>
  <c r="CC110" i="72" s="1"/>
  <c r="CH110" i="72" s="1"/>
  <c r="CM110" i="72" s="1"/>
  <c r="CR110" i="72" s="1"/>
  <c r="CW110" i="72" s="1"/>
  <c r="DB110" i="72" s="1"/>
  <c r="DG110" i="72" s="1"/>
  <c r="DL110" i="72" s="1"/>
  <c r="DQ110" i="72" s="1"/>
  <c r="DV110" i="72" s="1"/>
  <c r="BK113" i="72"/>
  <c r="BG113" i="72" s="1"/>
  <c r="BF113" i="72"/>
  <c r="BA113" i="72"/>
  <c r="AY113" i="72" s="1"/>
  <c r="AV113" i="72"/>
  <c r="AQ113" i="72"/>
  <c r="AM113" i="72" s="1"/>
  <c r="AL113" i="72"/>
  <c r="AG113" i="72"/>
  <c r="AE113" i="72" s="1"/>
  <c r="AB113" i="72"/>
  <c r="AA113" i="72" s="1"/>
  <c r="W113" i="72"/>
  <c r="S113" i="72" s="1"/>
  <c r="R113" i="72"/>
  <c r="M113" i="72"/>
  <c r="L113" i="72"/>
  <c r="BK112" i="72"/>
  <c r="BG112" i="72" s="1"/>
  <c r="BF112" i="72"/>
  <c r="BE112" i="72" s="1"/>
  <c r="BA112" i="72"/>
  <c r="AV112" i="72"/>
  <c r="AS112" i="72" s="1"/>
  <c r="AQ112" i="72"/>
  <c r="AO112" i="72" s="1"/>
  <c r="AL112" i="72"/>
  <c r="AK112" i="72" s="1"/>
  <c r="AG112" i="72"/>
  <c r="AC112" i="72" s="1"/>
  <c r="AB112" i="72"/>
  <c r="AA112" i="72" s="1"/>
  <c r="W112" i="72"/>
  <c r="S112" i="72" s="1"/>
  <c r="R112" i="72"/>
  <c r="M112" i="72"/>
  <c r="L112" i="72"/>
  <c r="BK111" i="72"/>
  <c r="BF111" i="72"/>
  <c r="BA111" i="72"/>
  <c r="AY111" i="72" s="1"/>
  <c r="AV111" i="72"/>
  <c r="AS111" i="72" s="1"/>
  <c r="AQ111" i="72"/>
  <c r="AL111" i="72"/>
  <c r="AG111" i="72"/>
  <c r="AB111" i="72"/>
  <c r="W111" i="72"/>
  <c r="U111" i="72" s="1"/>
  <c r="R111" i="72"/>
  <c r="Q111" i="72" s="1"/>
  <c r="M111" i="72"/>
  <c r="L111" i="72"/>
  <c r="BK110" i="72"/>
  <c r="BJ110" i="72" s="1"/>
  <c r="BF110" i="72"/>
  <c r="BA110" i="72"/>
  <c r="AY110" i="72" s="1"/>
  <c r="AV110" i="72"/>
  <c r="AQ110" i="72"/>
  <c r="AP110" i="72" s="1"/>
  <c r="AL110" i="72"/>
  <c r="AG110" i="72"/>
  <c r="AE110" i="72" s="1"/>
  <c r="AB110" i="72"/>
  <c r="W110" i="72"/>
  <c r="U110" i="72" s="1"/>
  <c r="R110" i="72"/>
  <c r="M110" i="72"/>
  <c r="L110" i="72"/>
  <c r="E108" i="72"/>
  <c r="BP108" i="72" s="1"/>
  <c r="DP108" i="72"/>
  <c r="DO108" i="72"/>
  <c r="DN108" i="72"/>
  <c r="DM108" i="72"/>
  <c r="DK108" i="72"/>
  <c r="DJ108" i="72"/>
  <c r="DI108" i="72"/>
  <c r="DH108" i="72"/>
  <c r="DF108" i="72"/>
  <c r="DE108" i="72"/>
  <c r="DD108" i="72"/>
  <c r="DC108" i="72"/>
  <c r="DA108" i="72"/>
  <c r="CZ108" i="72"/>
  <c r="CY108" i="72"/>
  <c r="CX108" i="72"/>
  <c r="CV108" i="72"/>
  <c r="CU108" i="72"/>
  <c r="CT108" i="72"/>
  <c r="CS108" i="72"/>
  <c r="CQ108" i="72"/>
  <c r="CP108" i="72"/>
  <c r="CO108" i="72"/>
  <c r="CN108" i="72"/>
  <c r="CL108" i="72"/>
  <c r="CK108" i="72"/>
  <c r="CJ108" i="72"/>
  <c r="CI108" i="72"/>
  <c r="CG108" i="72"/>
  <c r="CF108" i="72"/>
  <c r="CE108" i="72"/>
  <c r="CD108" i="72"/>
  <c r="CB108" i="72"/>
  <c r="CA108" i="72"/>
  <c r="BZ108" i="72"/>
  <c r="BY108" i="72"/>
  <c r="BW108" i="72"/>
  <c r="BV108" i="72"/>
  <c r="BU108" i="72"/>
  <c r="BT108" i="72"/>
  <c r="BR108" i="72"/>
  <c r="BS108" i="72" s="1"/>
  <c r="BX108" i="72" s="1"/>
  <c r="CC108" i="72" s="1"/>
  <c r="CH108" i="72" s="1"/>
  <c r="CM108" i="72" s="1"/>
  <c r="CR108" i="72" s="1"/>
  <c r="CW108" i="72" s="1"/>
  <c r="DB108" i="72" s="1"/>
  <c r="DG108" i="72" s="1"/>
  <c r="DL108" i="72" s="1"/>
  <c r="DQ108" i="72" s="1"/>
  <c r="DP107" i="72"/>
  <c r="DO107" i="72"/>
  <c r="DN107" i="72"/>
  <c r="DM107" i="72"/>
  <c r="DK107" i="72"/>
  <c r="DJ107" i="72"/>
  <c r="DI107" i="72"/>
  <c r="DH107" i="72"/>
  <c r="DF107" i="72"/>
  <c r="DE107" i="72"/>
  <c r="DD107" i="72"/>
  <c r="DC107" i="72"/>
  <c r="DA107" i="72"/>
  <c r="CZ107" i="72"/>
  <c r="CY107" i="72"/>
  <c r="CX107" i="72"/>
  <c r="CV107" i="72"/>
  <c r="CU107" i="72"/>
  <c r="CT107" i="72"/>
  <c r="CS107" i="72"/>
  <c r="CQ107" i="72"/>
  <c r="CP107" i="72"/>
  <c r="CO107" i="72"/>
  <c r="CN107" i="72"/>
  <c r="CL107" i="72"/>
  <c r="CK107" i="72"/>
  <c r="CJ107" i="72"/>
  <c r="CI107" i="72"/>
  <c r="CG107" i="72"/>
  <c r="CF107" i="72"/>
  <c r="CE107" i="72"/>
  <c r="CD107" i="72"/>
  <c r="CB107" i="72"/>
  <c r="CA107" i="72"/>
  <c r="BZ107" i="72"/>
  <c r="BY107" i="72"/>
  <c r="BW107" i="72"/>
  <c r="BV107" i="72"/>
  <c r="BU107" i="72"/>
  <c r="BT107" i="72"/>
  <c r="BR107" i="72"/>
  <c r="BS107" i="72" s="1"/>
  <c r="BX107" i="72" s="1"/>
  <c r="CC107" i="72" s="1"/>
  <c r="CH107" i="72" s="1"/>
  <c r="CM107" i="72" s="1"/>
  <c r="CR107" i="72" s="1"/>
  <c r="CW107" i="72" s="1"/>
  <c r="DB107" i="72" s="1"/>
  <c r="DG107" i="72" s="1"/>
  <c r="DL107" i="72" s="1"/>
  <c r="DQ107" i="72" s="1"/>
  <c r="DV107" i="72" s="1"/>
  <c r="BK108" i="72"/>
  <c r="BF108" i="72"/>
  <c r="BD108" i="72" s="1"/>
  <c r="BA108" i="72"/>
  <c r="AV108" i="72"/>
  <c r="AQ108" i="72"/>
  <c r="AL108" i="72"/>
  <c r="AH108" i="72" s="1"/>
  <c r="AG108" i="72"/>
  <c r="AB108" i="72"/>
  <c r="W108" i="72"/>
  <c r="R108" i="72"/>
  <c r="N108" i="72" s="1"/>
  <c r="M108" i="72"/>
  <c r="L108" i="72"/>
  <c r="BK107" i="72"/>
  <c r="BF107" i="72"/>
  <c r="BD107" i="72" s="1"/>
  <c r="BA107" i="72"/>
  <c r="AV107" i="72"/>
  <c r="AQ107" i="72"/>
  <c r="AL107" i="72"/>
  <c r="AG107" i="72"/>
  <c r="AB107" i="72"/>
  <c r="Z107" i="72" s="1"/>
  <c r="W107" i="72"/>
  <c r="R107" i="72"/>
  <c r="P107" i="72" s="1"/>
  <c r="M107" i="72"/>
  <c r="L107" i="72"/>
  <c r="E104" i="72"/>
  <c r="BP104" i="72" s="1"/>
  <c r="DP104" i="72"/>
  <c r="DO104" i="72"/>
  <c r="DN104" i="72"/>
  <c r="DM104" i="72"/>
  <c r="DK104" i="72"/>
  <c r="DJ104" i="72"/>
  <c r="DI104" i="72"/>
  <c r="DH104" i="72"/>
  <c r="DF104" i="72"/>
  <c r="DE104" i="72"/>
  <c r="DD104" i="72"/>
  <c r="DC104" i="72"/>
  <c r="DA104" i="72"/>
  <c r="CZ104" i="72"/>
  <c r="CY104" i="72"/>
  <c r="CX104" i="72"/>
  <c r="CV104" i="72"/>
  <c r="CU104" i="72"/>
  <c r="CT104" i="72"/>
  <c r="CS104" i="72"/>
  <c r="CQ104" i="72"/>
  <c r="CP104" i="72"/>
  <c r="CO104" i="72"/>
  <c r="CN104" i="72"/>
  <c r="CL104" i="72"/>
  <c r="CK104" i="72"/>
  <c r="CJ104" i="72"/>
  <c r="CI104" i="72"/>
  <c r="CG104" i="72"/>
  <c r="CF104" i="72"/>
  <c r="CE104" i="72"/>
  <c r="CD104" i="72"/>
  <c r="CB104" i="72"/>
  <c r="CA104" i="72"/>
  <c r="BZ104" i="72"/>
  <c r="BY104" i="72"/>
  <c r="BW104" i="72"/>
  <c r="BV104" i="72"/>
  <c r="BU104" i="72"/>
  <c r="BT104" i="72"/>
  <c r="BR104" i="72"/>
  <c r="BS104" i="72" s="1"/>
  <c r="BX104" i="72" s="1"/>
  <c r="CC104" i="72" s="1"/>
  <c r="CH104" i="72" s="1"/>
  <c r="CM104" i="72" s="1"/>
  <c r="CR104" i="72" s="1"/>
  <c r="CW104" i="72" s="1"/>
  <c r="DB104" i="72" s="1"/>
  <c r="DG104" i="72" s="1"/>
  <c r="DL104" i="72" s="1"/>
  <c r="DQ104" i="72" s="1"/>
  <c r="DV104" i="72" s="1"/>
  <c r="DP103" i="72"/>
  <c r="DO103" i="72"/>
  <c r="DN103" i="72"/>
  <c r="DM103" i="72"/>
  <c r="DK103" i="72"/>
  <c r="DJ103" i="72"/>
  <c r="DI103" i="72"/>
  <c r="DH103" i="72"/>
  <c r="DF103" i="72"/>
  <c r="DE103" i="72"/>
  <c r="DD103" i="72"/>
  <c r="DC103" i="72"/>
  <c r="DA103" i="72"/>
  <c r="CZ103" i="72"/>
  <c r="CY103" i="72"/>
  <c r="CX103" i="72"/>
  <c r="CV103" i="72"/>
  <c r="CU103" i="72"/>
  <c r="CT103" i="72"/>
  <c r="CS103" i="72"/>
  <c r="CQ103" i="72"/>
  <c r="CP103" i="72"/>
  <c r="CO103" i="72"/>
  <c r="CN103" i="72"/>
  <c r="CL103" i="72"/>
  <c r="CK103" i="72"/>
  <c r="CJ103" i="72"/>
  <c r="CI103" i="72"/>
  <c r="CG103" i="72"/>
  <c r="CF103" i="72"/>
  <c r="CE103" i="72"/>
  <c r="CD103" i="72"/>
  <c r="CB103" i="72"/>
  <c r="CA103" i="72"/>
  <c r="BZ103" i="72"/>
  <c r="BY103" i="72"/>
  <c r="BW103" i="72"/>
  <c r="BV103" i="72"/>
  <c r="BU103" i="72"/>
  <c r="BT103" i="72"/>
  <c r="BR103" i="72"/>
  <c r="BS103" i="72" s="1"/>
  <c r="BX103" i="72" s="1"/>
  <c r="CC103" i="72" s="1"/>
  <c r="CH103" i="72" s="1"/>
  <c r="CM103" i="72" s="1"/>
  <c r="CR103" i="72" s="1"/>
  <c r="CW103" i="72" s="1"/>
  <c r="DB103" i="72" s="1"/>
  <c r="DG103" i="72" s="1"/>
  <c r="DL103" i="72" s="1"/>
  <c r="DQ103" i="72" s="1"/>
  <c r="DV103" i="72" s="1"/>
  <c r="BK104" i="72"/>
  <c r="BF104" i="72"/>
  <c r="BD104" i="72" s="1"/>
  <c r="BA104" i="72"/>
  <c r="AV104" i="72"/>
  <c r="AQ104" i="72"/>
  <c r="AL104" i="72"/>
  <c r="AG104" i="72"/>
  <c r="AB104" i="72"/>
  <c r="AA104" i="72" s="1"/>
  <c r="W104" i="72"/>
  <c r="R104" i="72"/>
  <c r="P104" i="72" s="1"/>
  <c r="M104" i="72"/>
  <c r="L104" i="72"/>
  <c r="BK103" i="72"/>
  <c r="BG103" i="72" s="1"/>
  <c r="BF103" i="72"/>
  <c r="BE103" i="72" s="1"/>
  <c r="BA103" i="72"/>
  <c r="AW103" i="72" s="1"/>
  <c r="AV103" i="72"/>
  <c r="AQ103" i="72"/>
  <c r="AM103" i="72" s="1"/>
  <c r="AL103" i="72"/>
  <c r="AG103" i="72"/>
  <c r="AC103" i="72" s="1"/>
  <c r="AB103" i="72"/>
  <c r="AA103" i="72" s="1"/>
  <c r="W103" i="72"/>
  <c r="S103" i="72" s="1"/>
  <c r="R103" i="72"/>
  <c r="Q103" i="72" s="1"/>
  <c r="M103" i="72"/>
  <c r="L103" i="72"/>
  <c r="DP101" i="72"/>
  <c r="DO101" i="72"/>
  <c r="DN101" i="72"/>
  <c r="DM101" i="72"/>
  <c r="DK101" i="72"/>
  <c r="DJ101" i="72"/>
  <c r="DI101" i="72"/>
  <c r="DH101" i="72"/>
  <c r="DF101" i="72"/>
  <c r="DE101" i="72"/>
  <c r="DD101" i="72"/>
  <c r="DC101" i="72"/>
  <c r="DA101" i="72"/>
  <c r="CZ101" i="72"/>
  <c r="CY101" i="72"/>
  <c r="CX101" i="72"/>
  <c r="CV101" i="72"/>
  <c r="CU101" i="72"/>
  <c r="CT101" i="72"/>
  <c r="CS101" i="72"/>
  <c r="CQ101" i="72"/>
  <c r="CP101" i="72"/>
  <c r="CO101" i="72"/>
  <c r="CN101" i="72"/>
  <c r="CL101" i="72"/>
  <c r="CK101" i="72"/>
  <c r="CJ101" i="72"/>
  <c r="CI101" i="72"/>
  <c r="CG101" i="72"/>
  <c r="CF101" i="72"/>
  <c r="CE101" i="72"/>
  <c r="CD101" i="72"/>
  <c r="CB101" i="72"/>
  <c r="CA101" i="72"/>
  <c r="BZ101" i="72"/>
  <c r="BY101" i="72"/>
  <c r="BW101" i="72"/>
  <c r="BV101" i="72"/>
  <c r="BU101" i="72"/>
  <c r="BT101" i="72"/>
  <c r="BR101" i="72"/>
  <c r="BS101" i="72" s="1"/>
  <c r="BX101" i="72" s="1"/>
  <c r="CC101" i="72" s="1"/>
  <c r="CH101" i="72" s="1"/>
  <c r="CM101" i="72" s="1"/>
  <c r="CR101" i="72" s="1"/>
  <c r="CW101" i="72" s="1"/>
  <c r="DB101" i="72" s="1"/>
  <c r="DG101" i="72" s="1"/>
  <c r="DL101" i="72" s="1"/>
  <c r="DQ101" i="72" s="1"/>
  <c r="DV101" i="72" s="1"/>
  <c r="DP100" i="72"/>
  <c r="DO100" i="72"/>
  <c r="DN100" i="72"/>
  <c r="DM100" i="72"/>
  <c r="DK100" i="72"/>
  <c r="DJ100" i="72"/>
  <c r="DI100" i="72"/>
  <c r="DH100" i="72"/>
  <c r="DF100" i="72"/>
  <c r="DE100" i="72"/>
  <c r="DD100" i="72"/>
  <c r="DC100" i="72"/>
  <c r="DA100" i="72"/>
  <c r="CZ100" i="72"/>
  <c r="CY100" i="72"/>
  <c r="CX100" i="72"/>
  <c r="CV100" i="72"/>
  <c r="CU100" i="72"/>
  <c r="CT100" i="72"/>
  <c r="CS100" i="72"/>
  <c r="CQ100" i="72"/>
  <c r="CP100" i="72"/>
  <c r="CO100" i="72"/>
  <c r="CN100" i="72"/>
  <c r="CL100" i="72"/>
  <c r="CK100" i="72"/>
  <c r="CJ100" i="72"/>
  <c r="CI100" i="72"/>
  <c r="CG100" i="72"/>
  <c r="CF100" i="72"/>
  <c r="CE100" i="72"/>
  <c r="CD100" i="72"/>
  <c r="CB100" i="72"/>
  <c r="CA100" i="72"/>
  <c r="BZ100" i="72"/>
  <c r="BY100" i="72"/>
  <c r="BW100" i="72"/>
  <c r="BV100" i="72"/>
  <c r="BU100" i="72"/>
  <c r="BT100" i="72"/>
  <c r="BR100" i="72"/>
  <c r="BS100" i="72" s="1"/>
  <c r="BX100" i="72" s="1"/>
  <c r="CC100" i="72" s="1"/>
  <c r="CH100" i="72" s="1"/>
  <c r="CM100" i="72" s="1"/>
  <c r="CR100" i="72" s="1"/>
  <c r="CW100" i="72" s="1"/>
  <c r="DB100" i="72" s="1"/>
  <c r="DG100" i="72" s="1"/>
  <c r="DL100" i="72" s="1"/>
  <c r="DQ100" i="72" s="1"/>
  <c r="DV100" i="72" s="1"/>
  <c r="DP99" i="72"/>
  <c r="DO99" i="72"/>
  <c r="DN99" i="72"/>
  <c r="DM99" i="72"/>
  <c r="DK99" i="72"/>
  <c r="DJ99" i="72"/>
  <c r="DI99" i="72"/>
  <c r="DH99" i="72"/>
  <c r="DF99" i="72"/>
  <c r="DE99" i="72"/>
  <c r="DD99" i="72"/>
  <c r="DC99" i="72"/>
  <c r="DA99" i="72"/>
  <c r="CZ99" i="72"/>
  <c r="CY99" i="72"/>
  <c r="CX99" i="72"/>
  <c r="CV99" i="72"/>
  <c r="CU99" i="72"/>
  <c r="CT99" i="72"/>
  <c r="CS99" i="72"/>
  <c r="CQ99" i="72"/>
  <c r="CP99" i="72"/>
  <c r="CO99" i="72"/>
  <c r="CN99" i="72"/>
  <c r="CL99" i="72"/>
  <c r="CK99" i="72"/>
  <c r="CJ99" i="72"/>
  <c r="CI99" i="72"/>
  <c r="CG99" i="72"/>
  <c r="CF99" i="72"/>
  <c r="CE99" i="72"/>
  <c r="CD99" i="72"/>
  <c r="CB99" i="72"/>
  <c r="CA99" i="72"/>
  <c r="BZ99" i="72"/>
  <c r="BY99" i="72"/>
  <c r="BW99" i="72"/>
  <c r="BV99" i="72"/>
  <c r="BU99" i="72"/>
  <c r="BT99" i="72"/>
  <c r="BR99" i="72"/>
  <c r="BS99" i="72" s="1"/>
  <c r="BX99" i="72" s="1"/>
  <c r="CC99" i="72" s="1"/>
  <c r="CH99" i="72" s="1"/>
  <c r="CM99" i="72" s="1"/>
  <c r="CR99" i="72" s="1"/>
  <c r="CW99" i="72" s="1"/>
  <c r="DB99" i="72" s="1"/>
  <c r="DG99" i="72" s="1"/>
  <c r="DL99" i="72" s="1"/>
  <c r="DQ99" i="72" s="1"/>
  <c r="DV99" i="72" s="1"/>
  <c r="BK101" i="72"/>
  <c r="BG101" i="72" s="1"/>
  <c r="BF101" i="72"/>
  <c r="BA101" i="72"/>
  <c r="AW101" i="72" s="1"/>
  <c r="AV101" i="72"/>
  <c r="AQ101" i="72"/>
  <c r="AM101" i="72" s="1"/>
  <c r="AL101" i="72"/>
  <c r="AK101" i="72" s="1"/>
  <c r="AG101" i="72"/>
  <c r="AC101" i="72" s="1"/>
  <c r="AB101" i="72"/>
  <c r="AA101" i="72" s="1"/>
  <c r="W101" i="72"/>
  <c r="S101" i="72" s="1"/>
  <c r="R101" i="72"/>
  <c r="N101" i="72" s="1"/>
  <c r="M101" i="72"/>
  <c r="L101" i="72"/>
  <c r="BK100" i="72"/>
  <c r="BG100" i="72" s="1"/>
  <c r="BF100" i="72"/>
  <c r="BA100" i="72"/>
  <c r="AW100" i="72" s="1"/>
  <c r="AV100" i="72"/>
  <c r="AQ100" i="72"/>
  <c r="AM100" i="72" s="1"/>
  <c r="AL100" i="72"/>
  <c r="AK100" i="72" s="1"/>
  <c r="AG100" i="72"/>
  <c r="AC100" i="72" s="1"/>
  <c r="AB100" i="72"/>
  <c r="W100" i="72"/>
  <c r="S100" i="72" s="1"/>
  <c r="R100" i="72"/>
  <c r="N100" i="72" s="1"/>
  <c r="M100" i="72"/>
  <c r="L100" i="72"/>
  <c r="BK99" i="72"/>
  <c r="BG99" i="72" s="1"/>
  <c r="BF99" i="72"/>
  <c r="BE99" i="72" s="1"/>
  <c r="BA99" i="72"/>
  <c r="AW99" i="72" s="1"/>
  <c r="AV99" i="72"/>
  <c r="AS99" i="72" s="1"/>
  <c r="AQ99" i="72"/>
  <c r="AM99" i="72" s="1"/>
  <c r="AL99" i="72"/>
  <c r="AH99" i="72" s="1"/>
  <c r="AG99" i="72"/>
  <c r="AC99" i="72" s="1"/>
  <c r="AB99" i="72"/>
  <c r="AA99" i="72" s="1"/>
  <c r="W99" i="72"/>
  <c r="S99" i="72" s="1"/>
  <c r="R99" i="72"/>
  <c r="Q99" i="72" s="1"/>
  <c r="M99" i="72"/>
  <c r="L99" i="72"/>
  <c r="E90" i="72"/>
  <c r="E89" i="72"/>
  <c r="E88" i="72"/>
  <c r="E87" i="72"/>
  <c r="E86" i="72"/>
  <c r="E85" i="72"/>
  <c r="E84" i="72"/>
  <c r="E83" i="72"/>
  <c r="E82" i="72"/>
  <c r="E81" i="72"/>
  <c r="BP81" i="72" s="1"/>
  <c r="E80" i="72"/>
  <c r="BA80" i="72" s="1"/>
  <c r="AW80" i="72" s="1"/>
  <c r="DP93" i="72"/>
  <c r="DO93" i="72"/>
  <c r="DN93" i="72"/>
  <c r="DM93" i="72"/>
  <c r="DK93" i="72"/>
  <c r="DJ93" i="72"/>
  <c r="DI93" i="72"/>
  <c r="DH93" i="72"/>
  <c r="DF93" i="72"/>
  <c r="DE93" i="72"/>
  <c r="DD93" i="72"/>
  <c r="DC93" i="72"/>
  <c r="DA93" i="72"/>
  <c r="CZ93" i="72"/>
  <c r="CY93" i="72"/>
  <c r="CX93" i="72"/>
  <c r="CV93" i="72"/>
  <c r="CU93" i="72"/>
  <c r="CT93" i="72"/>
  <c r="CS93" i="72"/>
  <c r="CQ93" i="72"/>
  <c r="CP93" i="72"/>
  <c r="CO93" i="72"/>
  <c r="CN93" i="72"/>
  <c r="CL93" i="72"/>
  <c r="CK93" i="72"/>
  <c r="CJ93" i="72"/>
  <c r="CI93" i="72"/>
  <c r="CG93" i="72"/>
  <c r="CF93" i="72"/>
  <c r="CE93" i="72"/>
  <c r="CD93" i="72"/>
  <c r="CB93" i="72"/>
  <c r="CA93" i="72"/>
  <c r="BZ93" i="72"/>
  <c r="BY93" i="72"/>
  <c r="BW93" i="72"/>
  <c r="BV93" i="72"/>
  <c r="BU93" i="72"/>
  <c r="BT93" i="72"/>
  <c r="BR93" i="72"/>
  <c r="BS93" i="72" s="1"/>
  <c r="BX93" i="72" s="1"/>
  <c r="CC93" i="72" s="1"/>
  <c r="CH93" i="72" s="1"/>
  <c r="CM93" i="72" s="1"/>
  <c r="CR93" i="72" s="1"/>
  <c r="CW93" i="72" s="1"/>
  <c r="DB93" i="72" s="1"/>
  <c r="DG93" i="72" s="1"/>
  <c r="DL93" i="72" s="1"/>
  <c r="DQ93" i="72" s="1"/>
  <c r="DV93" i="72" s="1"/>
  <c r="DP92" i="72"/>
  <c r="DO92" i="72"/>
  <c r="DN92" i="72"/>
  <c r="DM92" i="72"/>
  <c r="DK92" i="72"/>
  <c r="DJ92" i="72"/>
  <c r="DI92" i="72"/>
  <c r="DH92" i="72"/>
  <c r="DF92" i="72"/>
  <c r="DE92" i="72"/>
  <c r="DD92" i="72"/>
  <c r="DC92" i="72"/>
  <c r="DA92" i="72"/>
  <c r="CZ92" i="72"/>
  <c r="CY92" i="72"/>
  <c r="CX92" i="72"/>
  <c r="CV92" i="72"/>
  <c r="CU92" i="72"/>
  <c r="CT92" i="72"/>
  <c r="CS92" i="72"/>
  <c r="CQ92" i="72"/>
  <c r="CP92" i="72"/>
  <c r="CO92" i="72"/>
  <c r="CN92" i="72"/>
  <c r="CL92" i="72"/>
  <c r="CK92" i="72"/>
  <c r="CJ92" i="72"/>
  <c r="CI92" i="72"/>
  <c r="CG92" i="72"/>
  <c r="CF92" i="72"/>
  <c r="CE92" i="72"/>
  <c r="CD92" i="72"/>
  <c r="CB92" i="72"/>
  <c r="CA92" i="72"/>
  <c r="BZ92" i="72"/>
  <c r="BY92" i="72"/>
  <c r="BW92" i="72"/>
  <c r="BV92" i="72"/>
  <c r="BU92" i="72"/>
  <c r="BT92" i="72"/>
  <c r="BR92" i="72"/>
  <c r="BS92" i="72" s="1"/>
  <c r="BX92" i="72" s="1"/>
  <c r="CC92" i="72" s="1"/>
  <c r="CH92" i="72" s="1"/>
  <c r="CM92" i="72" s="1"/>
  <c r="CR92" i="72" s="1"/>
  <c r="CW92" i="72" s="1"/>
  <c r="DB92" i="72" s="1"/>
  <c r="DG92" i="72" s="1"/>
  <c r="DL92" i="72" s="1"/>
  <c r="DQ92" i="72" s="1"/>
  <c r="DV92" i="72" s="1"/>
  <c r="DP90" i="72"/>
  <c r="DO90" i="72"/>
  <c r="DN90" i="72"/>
  <c r="DM90" i="72"/>
  <c r="DK90" i="72"/>
  <c r="DJ90" i="72"/>
  <c r="DI90" i="72"/>
  <c r="DH90" i="72"/>
  <c r="DF90" i="72"/>
  <c r="DE90" i="72"/>
  <c r="DD90" i="72"/>
  <c r="DC90" i="72"/>
  <c r="DA90" i="72"/>
  <c r="CZ90" i="72"/>
  <c r="CY90" i="72"/>
  <c r="CX90" i="72"/>
  <c r="CV90" i="72"/>
  <c r="CU90" i="72"/>
  <c r="CT90" i="72"/>
  <c r="CS90" i="72"/>
  <c r="CQ90" i="72"/>
  <c r="CP90" i="72"/>
  <c r="CO90" i="72"/>
  <c r="CN90" i="72"/>
  <c r="CL90" i="72"/>
  <c r="CK90" i="72"/>
  <c r="CJ90" i="72"/>
  <c r="CI90" i="72"/>
  <c r="CG90" i="72"/>
  <c r="CF90" i="72"/>
  <c r="CE90" i="72"/>
  <c r="CD90" i="72"/>
  <c r="CB90" i="72"/>
  <c r="CA90" i="72"/>
  <c r="BZ90" i="72"/>
  <c r="BY90" i="72"/>
  <c r="BW90" i="72"/>
  <c r="BV90" i="72"/>
  <c r="BU90" i="72"/>
  <c r="BT90" i="72"/>
  <c r="BR90" i="72"/>
  <c r="BS90" i="72" s="1"/>
  <c r="BX90" i="72" s="1"/>
  <c r="CC90" i="72" s="1"/>
  <c r="CH90" i="72" s="1"/>
  <c r="CM90" i="72" s="1"/>
  <c r="CR90" i="72" s="1"/>
  <c r="CW90" i="72" s="1"/>
  <c r="DB90" i="72" s="1"/>
  <c r="DG90" i="72" s="1"/>
  <c r="DL90" i="72" s="1"/>
  <c r="DQ90" i="72" s="1"/>
  <c r="DV90" i="72" s="1"/>
  <c r="DP89" i="72"/>
  <c r="DO89" i="72"/>
  <c r="DN89" i="72"/>
  <c r="DM89" i="72"/>
  <c r="DK89" i="72"/>
  <c r="DJ89" i="72"/>
  <c r="DI89" i="72"/>
  <c r="DH89" i="72"/>
  <c r="DF89" i="72"/>
  <c r="DE89" i="72"/>
  <c r="DD89" i="72"/>
  <c r="DC89" i="72"/>
  <c r="DA89" i="72"/>
  <c r="CZ89" i="72"/>
  <c r="CY89" i="72"/>
  <c r="CX89" i="72"/>
  <c r="CV89" i="72"/>
  <c r="CU89" i="72"/>
  <c r="CT89" i="72"/>
  <c r="CS89" i="72"/>
  <c r="CQ89" i="72"/>
  <c r="CP89" i="72"/>
  <c r="CO89" i="72"/>
  <c r="CN89" i="72"/>
  <c r="CL89" i="72"/>
  <c r="CK89" i="72"/>
  <c r="CJ89" i="72"/>
  <c r="CI89" i="72"/>
  <c r="CG89" i="72"/>
  <c r="CF89" i="72"/>
  <c r="CE89" i="72"/>
  <c r="CD89" i="72"/>
  <c r="CB89" i="72"/>
  <c r="CA89" i="72"/>
  <c r="BZ89" i="72"/>
  <c r="BY89" i="72"/>
  <c r="BW89" i="72"/>
  <c r="BV89" i="72"/>
  <c r="BU89" i="72"/>
  <c r="BT89" i="72"/>
  <c r="BR89" i="72"/>
  <c r="BS89" i="72" s="1"/>
  <c r="BX89" i="72" s="1"/>
  <c r="CC89" i="72" s="1"/>
  <c r="CH89" i="72" s="1"/>
  <c r="CM89" i="72" s="1"/>
  <c r="CR89" i="72" s="1"/>
  <c r="CW89" i="72" s="1"/>
  <c r="DB89" i="72" s="1"/>
  <c r="DG89" i="72" s="1"/>
  <c r="DL89" i="72" s="1"/>
  <c r="DQ89" i="72" s="1"/>
  <c r="DV89" i="72" s="1"/>
  <c r="DP88" i="72"/>
  <c r="DO88" i="72"/>
  <c r="DN88" i="72"/>
  <c r="DM88" i="72"/>
  <c r="DK88" i="72"/>
  <c r="DJ88" i="72"/>
  <c r="DI88" i="72"/>
  <c r="DH88" i="72"/>
  <c r="DF88" i="72"/>
  <c r="DE88" i="72"/>
  <c r="DD88" i="72"/>
  <c r="DC88" i="72"/>
  <c r="DA88" i="72"/>
  <c r="CZ88" i="72"/>
  <c r="CY88" i="72"/>
  <c r="CX88" i="72"/>
  <c r="CV88" i="72"/>
  <c r="CU88" i="72"/>
  <c r="CT88" i="72"/>
  <c r="CS88" i="72"/>
  <c r="CQ88" i="72"/>
  <c r="CP88" i="72"/>
  <c r="CO88" i="72"/>
  <c r="CN88" i="72"/>
  <c r="CL88" i="72"/>
  <c r="CK88" i="72"/>
  <c r="CJ88" i="72"/>
  <c r="CI88" i="72"/>
  <c r="CG88" i="72"/>
  <c r="CF88" i="72"/>
  <c r="CE88" i="72"/>
  <c r="CD88" i="72"/>
  <c r="CB88" i="72"/>
  <c r="CA88" i="72"/>
  <c r="BZ88" i="72"/>
  <c r="BY88" i="72"/>
  <c r="BW88" i="72"/>
  <c r="BV88" i="72"/>
  <c r="BU88" i="72"/>
  <c r="BT88" i="72"/>
  <c r="BR88" i="72"/>
  <c r="BS88" i="72" s="1"/>
  <c r="BX88" i="72" s="1"/>
  <c r="CC88" i="72" s="1"/>
  <c r="CH88" i="72" s="1"/>
  <c r="CM88" i="72" s="1"/>
  <c r="CR88" i="72" s="1"/>
  <c r="CW88" i="72" s="1"/>
  <c r="DB88" i="72" s="1"/>
  <c r="DG88" i="72" s="1"/>
  <c r="DL88" i="72" s="1"/>
  <c r="DQ88" i="72" s="1"/>
  <c r="DV88" i="72" s="1"/>
  <c r="DP87" i="72"/>
  <c r="DO87" i="72"/>
  <c r="DN87" i="72"/>
  <c r="DM87" i="72"/>
  <c r="DK87" i="72"/>
  <c r="DJ87" i="72"/>
  <c r="DI87" i="72"/>
  <c r="DH87" i="72"/>
  <c r="DF87" i="72"/>
  <c r="DE87" i="72"/>
  <c r="DD87" i="72"/>
  <c r="DC87" i="72"/>
  <c r="DA87" i="72"/>
  <c r="CZ87" i="72"/>
  <c r="CY87" i="72"/>
  <c r="CX87" i="72"/>
  <c r="CV87" i="72"/>
  <c r="CU87" i="72"/>
  <c r="CT87" i="72"/>
  <c r="CS87" i="72"/>
  <c r="CQ87" i="72"/>
  <c r="CP87" i="72"/>
  <c r="CO87" i="72"/>
  <c r="CN87" i="72"/>
  <c r="CL87" i="72"/>
  <c r="CK87" i="72"/>
  <c r="CJ87" i="72"/>
  <c r="CI87" i="72"/>
  <c r="CG87" i="72"/>
  <c r="CF87" i="72"/>
  <c r="CE87" i="72"/>
  <c r="CD87" i="72"/>
  <c r="CB87" i="72"/>
  <c r="CA87" i="72"/>
  <c r="BZ87" i="72"/>
  <c r="BY87" i="72"/>
  <c r="BW87" i="72"/>
  <c r="BV87" i="72"/>
  <c r="BU87" i="72"/>
  <c r="BT87" i="72"/>
  <c r="BR87" i="72"/>
  <c r="BS87" i="72" s="1"/>
  <c r="BX87" i="72" s="1"/>
  <c r="CC87" i="72" s="1"/>
  <c r="CH87" i="72" s="1"/>
  <c r="CM87" i="72" s="1"/>
  <c r="CR87" i="72" s="1"/>
  <c r="CW87" i="72" s="1"/>
  <c r="DB87" i="72" s="1"/>
  <c r="DG87" i="72" s="1"/>
  <c r="DL87" i="72" s="1"/>
  <c r="DQ87" i="72" s="1"/>
  <c r="DV87" i="72" s="1"/>
  <c r="DP86" i="72"/>
  <c r="DO86" i="72"/>
  <c r="DN86" i="72"/>
  <c r="DM86" i="72"/>
  <c r="DK86" i="72"/>
  <c r="DJ86" i="72"/>
  <c r="DI86" i="72"/>
  <c r="DH86" i="72"/>
  <c r="DF86" i="72"/>
  <c r="DE86" i="72"/>
  <c r="DD86" i="72"/>
  <c r="DC86" i="72"/>
  <c r="DA86" i="72"/>
  <c r="CZ86" i="72"/>
  <c r="CY86" i="72"/>
  <c r="CX86" i="72"/>
  <c r="CV86" i="72"/>
  <c r="CU86" i="72"/>
  <c r="CT86" i="72"/>
  <c r="CS86" i="72"/>
  <c r="CQ86" i="72"/>
  <c r="CP86" i="72"/>
  <c r="CO86" i="72"/>
  <c r="CN86" i="72"/>
  <c r="CL86" i="72"/>
  <c r="CK86" i="72"/>
  <c r="CJ86" i="72"/>
  <c r="CI86" i="72"/>
  <c r="CG86" i="72"/>
  <c r="CF86" i="72"/>
  <c r="CE86" i="72"/>
  <c r="CD86" i="72"/>
  <c r="CB86" i="72"/>
  <c r="CA86" i="72"/>
  <c r="BZ86" i="72"/>
  <c r="BY86" i="72"/>
  <c r="BW86" i="72"/>
  <c r="BV86" i="72"/>
  <c r="BU86" i="72"/>
  <c r="BT86" i="72"/>
  <c r="BR86" i="72"/>
  <c r="BS86" i="72" s="1"/>
  <c r="BX86" i="72" s="1"/>
  <c r="CC86" i="72" s="1"/>
  <c r="CH86" i="72" s="1"/>
  <c r="CM86" i="72" s="1"/>
  <c r="CR86" i="72" s="1"/>
  <c r="CW86" i="72" s="1"/>
  <c r="DB86" i="72" s="1"/>
  <c r="DG86" i="72" s="1"/>
  <c r="DL86" i="72" s="1"/>
  <c r="DQ86" i="72" s="1"/>
  <c r="DV86" i="72" s="1"/>
  <c r="DP85" i="72"/>
  <c r="DO85" i="72"/>
  <c r="DN85" i="72"/>
  <c r="DM85" i="72"/>
  <c r="DK85" i="72"/>
  <c r="DJ85" i="72"/>
  <c r="DI85" i="72"/>
  <c r="DH85" i="72"/>
  <c r="DF85" i="72"/>
  <c r="DE85" i="72"/>
  <c r="DD85" i="72"/>
  <c r="DC85" i="72"/>
  <c r="DA85" i="72"/>
  <c r="CZ85" i="72"/>
  <c r="CY85" i="72"/>
  <c r="CX85" i="72"/>
  <c r="CV85" i="72"/>
  <c r="CU85" i="72"/>
  <c r="CT85" i="72"/>
  <c r="CS85" i="72"/>
  <c r="CQ85" i="72"/>
  <c r="CP85" i="72"/>
  <c r="CO85" i="72"/>
  <c r="CN85" i="72"/>
  <c r="CL85" i="72"/>
  <c r="CK85" i="72"/>
  <c r="CJ85" i="72"/>
  <c r="CI85" i="72"/>
  <c r="CG85" i="72"/>
  <c r="CF85" i="72"/>
  <c r="CE85" i="72"/>
  <c r="CD85" i="72"/>
  <c r="CB85" i="72"/>
  <c r="CA85" i="72"/>
  <c r="BZ85" i="72"/>
  <c r="BY85" i="72"/>
  <c r="BW85" i="72"/>
  <c r="BV85" i="72"/>
  <c r="BU85" i="72"/>
  <c r="BT85" i="72"/>
  <c r="BR85" i="72"/>
  <c r="BS85" i="72" s="1"/>
  <c r="BX85" i="72" s="1"/>
  <c r="CC85" i="72" s="1"/>
  <c r="CH85" i="72" s="1"/>
  <c r="CM85" i="72" s="1"/>
  <c r="CR85" i="72" s="1"/>
  <c r="CW85" i="72" s="1"/>
  <c r="DB85" i="72" s="1"/>
  <c r="DG85" i="72" s="1"/>
  <c r="DL85" i="72" s="1"/>
  <c r="DQ85" i="72" s="1"/>
  <c r="DV85" i="72" s="1"/>
  <c r="DP84" i="72"/>
  <c r="DO84" i="72"/>
  <c r="DN84" i="72"/>
  <c r="DM84" i="72"/>
  <c r="DK84" i="72"/>
  <c r="DJ84" i="72"/>
  <c r="DI84" i="72"/>
  <c r="DH84" i="72"/>
  <c r="DF84" i="72"/>
  <c r="DE84" i="72"/>
  <c r="DD84" i="72"/>
  <c r="DC84" i="72"/>
  <c r="DA84" i="72"/>
  <c r="CZ84" i="72"/>
  <c r="CY84" i="72"/>
  <c r="CX84" i="72"/>
  <c r="CV84" i="72"/>
  <c r="CU84" i="72"/>
  <c r="CT84" i="72"/>
  <c r="CS84" i="72"/>
  <c r="CQ84" i="72"/>
  <c r="CP84" i="72"/>
  <c r="CO84" i="72"/>
  <c r="CN84" i="72"/>
  <c r="CL84" i="72"/>
  <c r="CK84" i="72"/>
  <c r="CJ84" i="72"/>
  <c r="CI84" i="72"/>
  <c r="CG84" i="72"/>
  <c r="CF84" i="72"/>
  <c r="CE84" i="72"/>
  <c r="CD84" i="72"/>
  <c r="CB84" i="72"/>
  <c r="CA84" i="72"/>
  <c r="BZ84" i="72"/>
  <c r="BY84" i="72"/>
  <c r="BW84" i="72"/>
  <c r="BV84" i="72"/>
  <c r="BU84" i="72"/>
  <c r="BT84" i="72"/>
  <c r="BR84" i="72"/>
  <c r="BS84" i="72" s="1"/>
  <c r="BX84" i="72" s="1"/>
  <c r="CC84" i="72" s="1"/>
  <c r="CH84" i="72" s="1"/>
  <c r="CM84" i="72" s="1"/>
  <c r="CR84" i="72" s="1"/>
  <c r="CW84" i="72" s="1"/>
  <c r="DB84" i="72" s="1"/>
  <c r="DG84" i="72" s="1"/>
  <c r="DL84" i="72" s="1"/>
  <c r="DQ84" i="72" s="1"/>
  <c r="DV84" i="72" s="1"/>
  <c r="DP83" i="72"/>
  <c r="DO83" i="72"/>
  <c r="DN83" i="72"/>
  <c r="DM83" i="72"/>
  <c r="DK83" i="72"/>
  <c r="DJ83" i="72"/>
  <c r="DI83" i="72"/>
  <c r="DH83" i="72"/>
  <c r="DF83" i="72"/>
  <c r="DE83" i="72"/>
  <c r="DD83" i="72"/>
  <c r="DC83" i="72"/>
  <c r="DA83" i="72"/>
  <c r="CZ83" i="72"/>
  <c r="CY83" i="72"/>
  <c r="CX83" i="72"/>
  <c r="CV83" i="72"/>
  <c r="CU83" i="72"/>
  <c r="CT83" i="72"/>
  <c r="CS83" i="72"/>
  <c r="CQ83" i="72"/>
  <c r="CP83" i="72"/>
  <c r="CO83" i="72"/>
  <c r="CN83" i="72"/>
  <c r="CL83" i="72"/>
  <c r="CK83" i="72"/>
  <c r="CJ83" i="72"/>
  <c r="CI83" i="72"/>
  <c r="CG83" i="72"/>
  <c r="CF83" i="72"/>
  <c r="CE83" i="72"/>
  <c r="CD83" i="72"/>
  <c r="CB83" i="72"/>
  <c r="CA83" i="72"/>
  <c r="BZ83" i="72"/>
  <c r="BY83" i="72"/>
  <c r="BW83" i="72"/>
  <c r="BV83" i="72"/>
  <c r="BU83" i="72"/>
  <c r="BT83" i="72"/>
  <c r="BR83" i="72"/>
  <c r="BS83" i="72" s="1"/>
  <c r="BX83" i="72" s="1"/>
  <c r="CC83" i="72" s="1"/>
  <c r="CH83" i="72" s="1"/>
  <c r="CM83" i="72" s="1"/>
  <c r="CR83" i="72" s="1"/>
  <c r="CW83" i="72" s="1"/>
  <c r="DB83" i="72" s="1"/>
  <c r="DG83" i="72" s="1"/>
  <c r="DL83" i="72" s="1"/>
  <c r="DQ83" i="72" s="1"/>
  <c r="DV83" i="72" s="1"/>
  <c r="DP82" i="72"/>
  <c r="DO82" i="72"/>
  <c r="DN82" i="72"/>
  <c r="DM82" i="72"/>
  <c r="DK82" i="72"/>
  <c r="DJ82" i="72"/>
  <c r="DI82" i="72"/>
  <c r="DH82" i="72"/>
  <c r="DF82" i="72"/>
  <c r="DE82" i="72"/>
  <c r="DD82" i="72"/>
  <c r="DC82" i="72"/>
  <c r="DA82" i="72"/>
  <c r="CZ82" i="72"/>
  <c r="CY82" i="72"/>
  <c r="CX82" i="72"/>
  <c r="CV82" i="72"/>
  <c r="CU82" i="72"/>
  <c r="CT82" i="72"/>
  <c r="CS82" i="72"/>
  <c r="CQ82" i="72"/>
  <c r="CP82" i="72"/>
  <c r="CO82" i="72"/>
  <c r="CN82" i="72"/>
  <c r="CL82" i="72"/>
  <c r="CK82" i="72"/>
  <c r="CJ82" i="72"/>
  <c r="CI82" i="72"/>
  <c r="CG82" i="72"/>
  <c r="CF82" i="72"/>
  <c r="CE82" i="72"/>
  <c r="CD82" i="72"/>
  <c r="CB82" i="72"/>
  <c r="CA82" i="72"/>
  <c r="BZ82" i="72"/>
  <c r="BY82" i="72"/>
  <c r="BW82" i="72"/>
  <c r="BV82" i="72"/>
  <c r="BU82" i="72"/>
  <c r="BT82" i="72"/>
  <c r="BR82" i="72"/>
  <c r="BS82" i="72" s="1"/>
  <c r="BX82" i="72" s="1"/>
  <c r="CC82" i="72" s="1"/>
  <c r="CH82" i="72" s="1"/>
  <c r="CM82" i="72" s="1"/>
  <c r="CR82" i="72" s="1"/>
  <c r="CW82" i="72" s="1"/>
  <c r="DB82" i="72" s="1"/>
  <c r="DG82" i="72" s="1"/>
  <c r="DL82" i="72" s="1"/>
  <c r="DQ82" i="72" s="1"/>
  <c r="DV82" i="72" s="1"/>
  <c r="DP81" i="72"/>
  <c r="DO81" i="72"/>
  <c r="DN81" i="72"/>
  <c r="DM81" i="72"/>
  <c r="DK81" i="72"/>
  <c r="DJ81" i="72"/>
  <c r="DI81" i="72"/>
  <c r="DH81" i="72"/>
  <c r="DF81" i="72"/>
  <c r="DE81" i="72"/>
  <c r="DD81" i="72"/>
  <c r="DC81" i="72"/>
  <c r="DA81" i="72"/>
  <c r="CZ81" i="72"/>
  <c r="CY81" i="72"/>
  <c r="CX81" i="72"/>
  <c r="CV81" i="72"/>
  <c r="CU81" i="72"/>
  <c r="CT81" i="72"/>
  <c r="CS81" i="72"/>
  <c r="CQ81" i="72"/>
  <c r="CP81" i="72"/>
  <c r="CO81" i="72"/>
  <c r="CN81" i="72"/>
  <c r="CL81" i="72"/>
  <c r="CK81" i="72"/>
  <c r="CJ81" i="72"/>
  <c r="CI81" i="72"/>
  <c r="CG81" i="72"/>
  <c r="CF81" i="72"/>
  <c r="CE81" i="72"/>
  <c r="CD81" i="72"/>
  <c r="CB81" i="72"/>
  <c r="CA81" i="72"/>
  <c r="BZ81" i="72"/>
  <c r="BY81" i="72"/>
  <c r="BW81" i="72"/>
  <c r="BV81" i="72"/>
  <c r="BU81" i="72"/>
  <c r="BT81" i="72"/>
  <c r="BR81" i="72"/>
  <c r="BS81" i="72" s="1"/>
  <c r="BX81" i="72" s="1"/>
  <c r="CC81" i="72" s="1"/>
  <c r="CH81" i="72" s="1"/>
  <c r="CM81" i="72" s="1"/>
  <c r="CR81" i="72" s="1"/>
  <c r="CW81" i="72" s="1"/>
  <c r="DB81" i="72" s="1"/>
  <c r="DG81" i="72" s="1"/>
  <c r="DL81" i="72" s="1"/>
  <c r="DQ81" i="72" s="1"/>
  <c r="DP80" i="72"/>
  <c r="DO80" i="72"/>
  <c r="DN80" i="72"/>
  <c r="DM80" i="72"/>
  <c r="DA80" i="72"/>
  <c r="CZ80" i="72"/>
  <c r="CY80" i="72"/>
  <c r="CX80" i="72"/>
  <c r="CV80" i="72"/>
  <c r="CU80" i="72"/>
  <c r="CT80" i="72"/>
  <c r="CS80" i="72"/>
  <c r="CQ80" i="72"/>
  <c r="CP80" i="72"/>
  <c r="CO80" i="72"/>
  <c r="CN80" i="72"/>
  <c r="CL80" i="72"/>
  <c r="CK80" i="72"/>
  <c r="CJ80" i="72"/>
  <c r="CI80" i="72"/>
  <c r="CG80" i="72"/>
  <c r="CF80" i="72"/>
  <c r="CE80" i="72"/>
  <c r="CD80" i="72"/>
  <c r="CB80" i="72"/>
  <c r="CA80" i="72"/>
  <c r="BZ80" i="72"/>
  <c r="BY80" i="72"/>
  <c r="BW80" i="72"/>
  <c r="BV80" i="72"/>
  <c r="BU80" i="72"/>
  <c r="BT80" i="72"/>
  <c r="BR80" i="72"/>
  <c r="BS80" i="72" s="1"/>
  <c r="BX80" i="72" s="1"/>
  <c r="CC80" i="72" s="1"/>
  <c r="CH80" i="72" s="1"/>
  <c r="CM80" i="72" s="1"/>
  <c r="CR80" i="72" s="1"/>
  <c r="CW80" i="72" s="1"/>
  <c r="DB80" i="72" s="1"/>
  <c r="DP79" i="72"/>
  <c r="DO79" i="72"/>
  <c r="DN79" i="72"/>
  <c r="DM79" i="72"/>
  <c r="DK79" i="72"/>
  <c r="DJ79" i="72"/>
  <c r="DI79" i="72"/>
  <c r="DH79" i="72"/>
  <c r="DF79" i="72"/>
  <c r="DE79" i="72"/>
  <c r="DD79" i="72"/>
  <c r="DC79" i="72"/>
  <c r="DA79" i="72"/>
  <c r="CZ79" i="72"/>
  <c r="CY79" i="72"/>
  <c r="CX79" i="72"/>
  <c r="CV79" i="72"/>
  <c r="CU79" i="72"/>
  <c r="CT79" i="72"/>
  <c r="CS79" i="72"/>
  <c r="CQ79" i="72"/>
  <c r="CP79" i="72"/>
  <c r="CO79" i="72"/>
  <c r="CN79" i="72"/>
  <c r="CL79" i="72"/>
  <c r="CK79" i="72"/>
  <c r="CJ79" i="72"/>
  <c r="CI79" i="72"/>
  <c r="CG79" i="72"/>
  <c r="CF79" i="72"/>
  <c r="CE79" i="72"/>
  <c r="CD79" i="72"/>
  <c r="CB79" i="72"/>
  <c r="CA79" i="72"/>
  <c r="BZ79" i="72"/>
  <c r="BY79" i="72"/>
  <c r="BW79" i="72"/>
  <c r="BV79" i="72"/>
  <c r="BU79" i="72"/>
  <c r="BT79" i="72"/>
  <c r="BR79" i="72"/>
  <c r="BS79" i="72" s="1"/>
  <c r="BX79" i="72" s="1"/>
  <c r="CC79" i="72" s="1"/>
  <c r="CH79" i="72" s="1"/>
  <c r="CM79" i="72" s="1"/>
  <c r="CR79" i="72" s="1"/>
  <c r="CW79" i="72" s="1"/>
  <c r="DB79" i="72" s="1"/>
  <c r="DG79" i="72" s="1"/>
  <c r="DL79" i="72" s="1"/>
  <c r="DQ79" i="72" s="1"/>
  <c r="DV79" i="72" s="1"/>
  <c r="BK93" i="72"/>
  <c r="BG93" i="72" s="1"/>
  <c r="BF93" i="72"/>
  <c r="BB93" i="72" s="1"/>
  <c r="BA93" i="72"/>
  <c r="AW93" i="72" s="1"/>
  <c r="AV93" i="72"/>
  <c r="AS93" i="72" s="1"/>
  <c r="AQ93" i="72"/>
  <c r="AM93" i="72" s="1"/>
  <c r="AL93" i="72"/>
  <c r="AJ93" i="72" s="1"/>
  <c r="AG93" i="72"/>
  <c r="AC93" i="72" s="1"/>
  <c r="AB93" i="72"/>
  <c r="X93" i="72" s="1"/>
  <c r="W93" i="72"/>
  <c r="S93" i="72" s="1"/>
  <c r="R93" i="72"/>
  <c r="N93" i="72" s="1"/>
  <c r="M93" i="72"/>
  <c r="L93" i="72"/>
  <c r="BK92" i="72"/>
  <c r="BG92" i="72" s="1"/>
  <c r="BF92" i="72"/>
  <c r="BA92" i="72"/>
  <c r="AW92" i="72" s="1"/>
  <c r="AV92" i="72"/>
  <c r="AQ92" i="72"/>
  <c r="AM92" i="72" s="1"/>
  <c r="AL92" i="72"/>
  <c r="AH92" i="72" s="1"/>
  <c r="AG92" i="72"/>
  <c r="AC92" i="72" s="1"/>
  <c r="AB92" i="72"/>
  <c r="X92" i="72" s="1"/>
  <c r="W92" i="72"/>
  <c r="S92" i="72" s="1"/>
  <c r="R92" i="72"/>
  <c r="M92" i="72"/>
  <c r="L92" i="72"/>
  <c r="BK90" i="72"/>
  <c r="BG90" i="72" s="1"/>
  <c r="BF90" i="72"/>
  <c r="BB90" i="72" s="1"/>
  <c r="BA90" i="72"/>
  <c r="AW90" i="72" s="1"/>
  <c r="AV90" i="72"/>
  <c r="AQ90" i="72"/>
  <c r="AM90" i="72" s="1"/>
  <c r="AL90" i="72"/>
  <c r="AG90" i="72"/>
  <c r="AC90" i="72" s="1"/>
  <c r="AB90" i="72"/>
  <c r="Z90" i="72" s="1"/>
  <c r="W90" i="72"/>
  <c r="S90" i="72" s="1"/>
  <c r="R90" i="72"/>
  <c r="N90" i="72" s="1"/>
  <c r="M90" i="72"/>
  <c r="L90" i="72"/>
  <c r="BK89" i="72"/>
  <c r="BG89" i="72" s="1"/>
  <c r="BF89" i="72"/>
  <c r="BB89" i="72" s="1"/>
  <c r="BA89" i="72"/>
  <c r="AW89" i="72" s="1"/>
  <c r="AV89" i="72"/>
  <c r="AS89" i="72" s="1"/>
  <c r="AQ89" i="72"/>
  <c r="AM89" i="72" s="1"/>
  <c r="AL89" i="72"/>
  <c r="AJ89" i="72" s="1"/>
  <c r="AG89" i="72"/>
  <c r="AC89" i="72" s="1"/>
  <c r="AB89" i="72"/>
  <c r="X89" i="72" s="1"/>
  <c r="W89" i="72"/>
  <c r="S89" i="72" s="1"/>
  <c r="R89" i="72"/>
  <c r="N89" i="72" s="1"/>
  <c r="M89" i="72"/>
  <c r="L89" i="72"/>
  <c r="BK88" i="72"/>
  <c r="BG88" i="72" s="1"/>
  <c r="BF88" i="72"/>
  <c r="BA88" i="72"/>
  <c r="AW88" i="72" s="1"/>
  <c r="AV88" i="72"/>
  <c r="AQ88" i="72"/>
  <c r="AM88" i="72" s="1"/>
  <c r="AL88" i="72"/>
  <c r="AH88" i="72" s="1"/>
  <c r="AG88" i="72"/>
  <c r="AC88" i="72" s="1"/>
  <c r="AB88" i="72"/>
  <c r="X88" i="72" s="1"/>
  <c r="W88" i="72"/>
  <c r="S88" i="72" s="1"/>
  <c r="R88" i="72"/>
  <c r="M88" i="72"/>
  <c r="L88" i="72"/>
  <c r="BK87" i="72"/>
  <c r="BG87" i="72" s="1"/>
  <c r="BF87" i="72"/>
  <c r="BD87" i="72" s="1"/>
  <c r="BA87" i="72"/>
  <c r="AW87" i="72" s="1"/>
  <c r="AV87" i="72"/>
  <c r="AQ87" i="72"/>
  <c r="AM87" i="72" s="1"/>
  <c r="AL87" i="72"/>
  <c r="AH87" i="72" s="1"/>
  <c r="AG87" i="72"/>
  <c r="AC87" i="72" s="1"/>
  <c r="AB87" i="72"/>
  <c r="W87" i="72"/>
  <c r="S87" i="72" s="1"/>
  <c r="R87" i="72"/>
  <c r="P87" i="72" s="1"/>
  <c r="M87" i="72"/>
  <c r="L87" i="72"/>
  <c r="BK86" i="72"/>
  <c r="BG86" i="72" s="1"/>
  <c r="BF86" i="72"/>
  <c r="BB86" i="72" s="1"/>
  <c r="BA86" i="72"/>
  <c r="AW86" i="72" s="1"/>
  <c r="AV86" i="72"/>
  <c r="AQ86" i="72"/>
  <c r="AM86" i="72" s="1"/>
  <c r="AL86" i="72"/>
  <c r="AG86" i="72"/>
  <c r="AC86" i="72" s="1"/>
  <c r="AB86" i="72"/>
  <c r="Z86" i="72" s="1"/>
  <c r="W86" i="72"/>
  <c r="S86" i="72" s="1"/>
  <c r="R86" i="72"/>
  <c r="M86" i="72"/>
  <c r="L86" i="72"/>
  <c r="BK85" i="72"/>
  <c r="BG85" i="72" s="1"/>
  <c r="BF85" i="72"/>
  <c r="BB85" i="72" s="1"/>
  <c r="BA85" i="72"/>
  <c r="AW85" i="72" s="1"/>
  <c r="AV85" i="72"/>
  <c r="AS85" i="72" s="1"/>
  <c r="AQ85" i="72"/>
  <c r="AM85" i="72" s="1"/>
  <c r="AL85" i="72"/>
  <c r="AK85" i="72" s="1"/>
  <c r="AG85" i="72"/>
  <c r="AC85" i="72" s="1"/>
  <c r="AB85" i="72"/>
  <c r="AA85" i="72" s="1"/>
  <c r="W85" i="72"/>
  <c r="S85" i="72" s="1"/>
  <c r="R85" i="72"/>
  <c r="N85" i="72" s="1"/>
  <c r="M85" i="72"/>
  <c r="L85" i="72"/>
  <c r="BK84" i="72"/>
  <c r="BG84" i="72" s="1"/>
  <c r="BF84" i="72"/>
  <c r="BA84" i="72"/>
  <c r="AW84" i="72" s="1"/>
  <c r="AV84" i="72"/>
  <c r="AQ84" i="72"/>
  <c r="AM84" i="72" s="1"/>
  <c r="AL84" i="72"/>
  <c r="AG84" i="72"/>
  <c r="AC84" i="72" s="1"/>
  <c r="AB84" i="72"/>
  <c r="AA84" i="72" s="1"/>
  <c r="W84" i="72"/>
  <c r="S84" i="72" s="1"/>
  <c r="R84" i="72"/>
  <c r="Q84" i="72" s="1"/>
  <c r="M84" i="72"/>
  <c r="L84" i="72"/>
  <c r="BK83" i="72"/>
  <c r="BG83" i="72" s="1"/>
  <c r="BF83" i="72"/>
  <c r="BB83" i="72" s="1"/>
  <c r="BA83" i="72"/>
  <c r="AW83" i="72" s="1"/>
  <c r="AV83" i="72"/>
  <c r="AS83" i="72" s="1"/>
  <c r="AQ83" i="72"/>
  <c r="AM83" i="72" s="1"/>
  <c r="AL83" i="72"/>
  <c r="AH83" i="72" s="1"/>
  <c r="AG83" i="72"/>
  <c r="AC83" i="72" s="1"/>
  <c r="AB83" i="72"/>
  <c r="W83" i="72"/>
  <c r="S83" i="72" s="1"/>
  <c r="R83" i="72"/>
  <c r="N83" i="72" s="1"/>
  <c r="M83" i="72"/>
  <c r="L83" i="72"/>
  <c r="BK82" i="72"/>
  <c r="BG82" i="72" s="1"/>
  <c r="BF82" i="72"/>
  <c r="BA82" i="72"/>
  <c r="AW82" i="72" s="1"/>
  <c r="AV82" i="72"/>
  <c r="AQ82" i="72"/>
  <c r="AM82" i="72" s="1"/>
  <c r="AL82" i="72"/>
  <c r="AK82" i="72" s="1"/>
  <c r="AG82" i="72"/>
  <c r="AC82" i="72" s="1"/>
  <c r="AB82" i="72"/>
  <c r="X82" i="72" s="1"/>
  <c r="W82" i="72"/>
  <c r="S82" i="72" s="1"/>
  <c r="R82" i="72"/>
  <c r="M82" i="72"/>
  <c r="L82" i="72"/>
  <c r="BK81" i="72"/>
  <c r="BG81" i="72" s="1"/>
  <c r="BF81" i="72"/>
  <c r="BB81" i="72" s="1"/>
  <c r="BA81" i="72"/>
  <c r="AW81" i="72" s="1"/>
  <c r="AV81" i="72"/>
  <c r="AS81" i="72" s="1"/>
  <c r="AQ81" i="72"/>
  <c r="AM81" i="72" s="1"/>
  <c r="AL81" i="72"/>
  <c r="AH81" i="72" s="1"/>
  <c r="AG81" i="72"/>
  <c r="AC81" i="72" s="1"/>
  <c r="AB81" i="72"/>
  <c r="W81" i="72"/>
  <c r="S81" i="72" s="1"/>
  <c r="R81" i="72"/>
  <c r="Q81" i="72" s="1"/>
  <c r="M81" i="72"/>
  <c r="L81" i="72"/>
  <c r="BK80" i="72"/>
  <c r="BG80" i="72" s="1"/>
  <c r="BF80" i="72"/>
  <c r="BE80" i="72" s="1"/>
  <c r="AV80" i="72"/>
  <c r="AQ80" i="72"/>
  <c r="AM80" i="72" s="1"/>
  <c r="AL80" i="72"/>
  <c r="AG80" i="72"/>
  <c r="AC80" i="72" s="1"/>
  <c r="AB80" i="72"/>
  <c r="X80" i="72" s="1"/>
  <c r="W80" i="72"/>
  <c r="S80" i="72" s="1"/>
  <c r="R80" i="72"/>
  <c r="M80" i="72"/>
  <c r="L80" i="72"/>
  <c r="BK79" i="72"/>
  <c r="BG79" i="72" s="1"/>
  <c r="BF79" i="72"/>
  <c r="BB79" i="72" s="1"/>
  <c r="BA79" i="72"/>
  <c r="AW79" i="72" s="1"/>
  <c r="AV79" i="72"/>
  <c r="AS79" i="72" s="1"/>
  <c r="AQ79" i="72"/>
  <c r="AM79" i="72" s="1"/>
  <c r="AL79" i="72"/>
  <c r="AK79" i="72" s="1"/>
  <c r="AG79" i="72"/>
  <c r="AC79" i="72" s="1"/>
  <c r="AB79" i="72"/>
  <c r="AA79" i="72" s="1"/>
  <c r="W79" i="72"/>
  <c r="S79" i="72" s="1"/>
  <c r="R79" i="72"/>
  <c r="N79" i="72" s="1"/>
  <c r="M79" i="72"/>
  <c r="L79" i="72"/>
  <c r="E76" i="72"/>
  <c r="DP76" i="72"/>
  <c r="DO76" i="72"/>
  <c r="DN76" i="72"/>
  <c r="DM76" i="72"/>
  <c r="DK76" i="72"/>
  <c r="DJ76" i="72"/>
  <c r="DI76" i="72"/>
  <c r="DH76" i="72"/>
  <c r="DF76" i="72"/>
  <c r="DE76" i="72"/>
  <c r="DD76" i="72"/>
  <c r="DC76" i="72"/>
  <c r="DA76" i="72"/>
  <c r="CZ76" i="72"/>
  <c r="CY76" i="72"/>
  <c r="CX76" i="72"/>
  <c r="CV76" i="72"/>
  <c r="CU76" i="72"/>
  <c r="CT76" i="72"/>
  <c r="CS76" i="72"/>
  <c r="CQ76" i="72"/>
  <c r="CP76" i="72"/>
  <c r="CO76" i="72"/>
  <c r="CN76" i="72"/>
  <c r="CL76" i="72"/>
  <c r="CK76" i="72"/>
  <c r="CJ76" i="72"/>
  <c r="CI76" i="72"/>
  <c r="CG76" i="72"/>
  <c r="CF76" i="72"/>
  <c r="CE76" i="72"/>
  <c r="CD76" i="72"/>
  <c r="CB76" i="72"/>
  <c r="CA76" i="72"/>
  <c r="BZ76" i="72"/>
  <c r="BY76" i="72"/>
  <c r="BW76" i="72"/>
  <c r="BV76" i="72"/>
  <c r="BU76" i="72"/>
  <c r="BT76" i="72"/>
  <c r="BR76" i="72"/>
  <c r="BS76" i="72" s="1"/>
  <c r="BX76" i="72" s="1"/>
  <c r="CC76" i="72" s="1"/>
  <c r="CH76" i="72" s="1"/>
  <c r="CM76" i="72" s="1"/>
  <c r="CR76" i="72" s="1"/>
  <c r="CW76" i="72" s="1"/>
  <c r="DB76" i="72" s="1"/>
  <c r="DG76" i="72" s="1"/>
  <c r="DL76" i="72" s="1"/>
  <c r="DQ76" i="72" s="1"/>
  <c r="DV76" i="72" s="1"/>
  <c r="DP75" i="72"/>
  <c r="DO75" i="72"/>
  <c r="DN75" i="72"/>
  <c r="DM75" i="72"/>
  <c r="DK75" i="72"/>
  <c r="DJ75" i="72"/>
  <c r="DI75" i="72"/>
  <c r="DH75" i="72"/>
  <c r="DF75" i="72"/>
  <c r="DE75" i="72"/>
  <c r="DD75" i="72"/>
  <c r="DC75" i="72"/>
  <c r="DA75" i="72"/>
  <c r="CZ75" i="72"/>
  <c r="CY75" i="72"/>
  <c r="CX75" i="72"/>
  <c r="CV75" i="72"/>
  <c r="CU75" i="72"/>
  <c r="CT75" i="72"/>
  <c r="CS75" i="72"/>
  <c r="CQ75" i="72"/>
  <c r="CP75" i="72"/>
  <c r="CO75" i="72"/>
  <c r="CN75" i="72"/>
  <c r="CL75" i="72"/>
  <c r="CK75" i="72"/>
  <c r="CJ75" i="72"/>
  <c r="CI75" i="72"/>
  <c r="CG75" i="72"/>
  <c r="CF75" i="72"/>
  <c r="CE75" i="72"/>
  <c r="CD75" i="72"/>
  <c r="CB75" i="72"/>
  <c r="CA75" i="72"/>
  <c r="BZ75" i="72"/>
  <c r="BY75" i="72"/>
  <c r="BW75" i="72"/>
  <c r="BV75" i="72"/>
  <c r="BU75" i="72"/>
  <c r="BT75" i="72"/>
  <c r="BR75" i="72"/>
  <c r="BS75" i="72" s="1"/>
  <c r="BX75" i="72" s="1"/>
  <c r="CC75" i="72" s="1"/>
  <c r="CH75" i="72" s="1"/>
  <c r="CM75" i="72" s="1"/>
  <c r="CR75" i="72" s="1"/>
  <c r="CW75" i="72" s="1"/>
  <c r="DB75" i="72" s="1"/>
  <c r="DG75" i="72" s="1"/>
  <c r="DL75" i="72" s="1"/>
  <c r="DQ75" i="72" s="1"/>
  <c r="DV75" i="72" s="1"/>
  <c r="BK76" i="72"/>
  <c r="BI76" i="72" s="1"/>
  <c r="BF76" i="72"/>
  <c r="BB76" i="72" s="1"/>
  <c r="BA76" i="72"/>
  <c r="AW76" i="72" s="1"/>
  <c r="AV76" i="72"/>
  <c r="AQ76" i="72"/>
  <c r="AL76" i="72"/>
  <c r="AH76" i="72" s="1"/>
  <c r="AG76" i="72"/>
  <c r="AB76" i="72"/>
  <c r="X76" i="72" s="1"/>
  <c r="W76" i="72"/>
  <c r="U76" i="72" s="1"/>
  <c r="R76" i="72"/>
  <c r="N76" i="72" s="1"/>
  <c r="M76" i="72"/>
  <c r="L76" i="72"/>
  <c r="BK75" i="72"/>
  <c r="BG75" i="72" s="1"/>
  <c r="BF75" i="72"/>
  <c r="BB75" i="72" s="1"/>
  <c r="BA75" i="72"/>
  <c r="AV75" i="72"/>
  <c r="AQ75" i="72"/>
  <c r="AL75" i="72"/>
  <c r="AH75" i="72" s="1"/>
  <c r="AG75" i="72"/>
  <c r="AE75" i="72" s="1"/>
  <c r="AB75" i="72"/>
  <c r="X75" i="72" s="1"/>
  <c r="W75" i="72"/>
  <c r="S75" i="72" s="1"/>
  <c r="R75" i="72"/>
  <c r="N75" i="72" s="1"/>
  <c r="M75" i="72"/>
  <c r="L75" i="72"/>
  <c r="E73" i="72"/>
  <c r="BP73" i="72" s="1"/>
  <c r="E72" i="72"/>
  <c r="AV72" i="72" s="1"/>
  <c r="DK73" i="72"/>
  <c r="DJ73" i="72"/>
  <c r="DI73" i="72"/>
  <c r="DH73" i="72"/>
  <c r="DF73" i="72"/>
  <c r="DE73" i="72"/>
  <c r="DD73" i="72"/>
  <c r="DC73" i="72"/>
  <c r="DA73" i="72"/>
  <c r="CZ73" i="72"/>
  <c r="CY73" i="72"/>
  <c r="CX73" i="72"/>
  <c r="CV73" i="72"/>
  <c r="CU73" i="72"/>
  <c r="CT73" i="72"/>
  <c r="CS73" i="72"/>
  <c r="CQ73" i="72"/>
  <c r="CP73" i="72"/>
  <c r="CO73" i="72"/>
  <c r="CN73" i="72"/>
  <c r="CL73" i="72"/>
  <c r="CK73" i="72"/>
  <c r="CJ73" i="72"/>
  <c r="CI73" i="72"/>
  <c r="CG73" i="72"/>
  <c r="CF73" i="72"/>
  <c r="CE73" i="72"/>
  <c r="CD73" i="72"/>
  <c r="CB73" i="72"/>
  <c r="CA73" i="72"/>
  <c r="BZ73" i="72"/>
  <c r="BY73" i="72"/>
  <c r="BW73" i="72"/>
  <c r="BV73" i="72"/>
  <c r="BU73" i="72"/>
  <c r="BT73" i="72"/>
  <c r="BR73" i="72"/>
  <c r="BS73" i="72" s="1"/>
  <c r="BX73" i="72" s="1"/>
  <c r="CC73" i="72" s="1"/>
  <c r="CH73" i="72" s="1"/>
  <c r="CM73" i="72" s="1"/>
  <c r="CR73" i="72" s="1"/>
  <c r="CW73" i="72" s="1"/>
  <c r="DB73" i="72" s="1"/>
  <c r="DG73" i="72" s="1"/>
  <c r="DL73" i="72" s="1"/>
  <c r="DP72" i="72"/>
  <c r="DO72" i="72"/>
  <c r="DN72" i="72"/>
  <c r="DM72" i="72"/>
  <c r="DK72" i="72"/>
  <c r="DJ72" i="72"/>
  <c r="DI72" i="72"/>
  <c r="DH72" i="72"/>
  <c r="CV72" i="72"/>
  <c r="CU72" i="72"/>
  <c r="CT72" i="72"/>
  <c r="CS72" i="72"/>
  <c r="CQ72" i="72"/>
  <c r="CP72" i="72"/>
  <c r="CO72" i="72"/>
  <c r="CN72" i="72"/>
  <c r="CL72" i="72"/>
  <c r="CK72" i="72"/>
  <c r="CJ72" i="72"/>
  <c r="CI72" i="72"/>
  <c r="CG72" i="72"/>
  <c r="CF72" i="72"/>
  <c r="CE72" i="72"/>
  <c r="CD72" i="72"/>
  <c r="CB72" i="72"/>
  <c r="CA72" i="72"/>
  <c r="BZ72" i="72"/>
  <c r="BY72" i="72"/>
  <c r="BW72" i="72"/>
  <c r="BV72" i="72"/>
  <c r="BU72" i="72"/>
  <c r="BT72" i="72"/>
  <c r="BR72" i="72"/>
  <c r="BS72" i="72" s="1"/>
  <c r="BX72" i="72" s="1"/>
  <c r="CC72" i="72" s="1"/>
  <c r="CH72" i="72" s="1"/>
  <c r="CM72" i="72" s="1"/>
  <c r="CR72" i="72" s="1"/>
  <c r="CW72" i="72" s="1"/>
  <c r="DP71" i="72"/>
  <c r="DO71" i="72"/>
  <c r="DN71" i="72"/>
  <c r="DM71" i="72"/>
  <c r="DK71" i="72"/>
  <c r="DJ71" i="72"/>
  <c r="DI71" i="72"/>
  <c r="DH71" i="72"/>
  <c r="DF71" i="72"/>
  <c r="DE71" i="72"/>
  <c r="DD71" i="72"/>
  <c r="DC71" i="72"/>
  <c r="DA71" i="72"/>
  <c r="CZ71" i="72"/>
  <c r="CY71" i="72"/>
  <c r="CX71" i="72"/>
  <c r="CV71" i="72"/>
  <c r="CU71" i="72"/>
  <c r="CT71" i="72"/>
  <c r="CS71" i="72"/>
  <c r="CQ71" i="72"/>
  <c r="CP71" i="72"/>
  <c r="CO71" i="72"/>
  <c r="CN71" i="72"/>
  <c r="CL71" i="72"/>
  <c r="CK71" i="72"/>
  <c r="CJ71" i="72"/>
  <c r="CI71" i="72"/>
  <c r="CG71" i="72"/>
  <c r="CF71" i="72"/>
  <c r="CE71" i="72"/>
  <c r="CD71" i="72"/>
  <c r="CB71" i="72"/>
  <c r="CA71" i="72"/>
  <c r="BZ71" i="72"/>
  <c r="BY71" i="72"/>
  <c r="BW71" i="72"/>
  <c r="BV71" i="72"/>
  <c r="BU71" i="72"/>
  <c r="BT71" i="72"/>
  <c r="BR71" i="72"/>
  <c r="BS71" i="72" s="1"/>
  <c r="BX71" i="72" s="1"/>
  <c r="CC71" i="72" s="1"/>
  <c r="CH71" i="72" s="1"/>
  <c r="CM71" i="72" s="1"/>
  <c r="CR71" i="72" s="1"/>
  <c r="CW71" i="72" s="1"/>
  <c r="DB71" i="72" s="1"/>
  <c r="DG71" i="72" s="1"/>
  <c r="DL71" i="72" s="1"/>
  <c r="DQ71" i="72" s="1"/>
  <c r="DV71" i="72" s="1"/>
  <c r="BF73" i="72"/>
  <c r="BE73" i="72" s="1"/>
  <c r="BA73" i="72"/>
  <c r="AW73" i="72" s="1"/>
  <c r="AV73" i="72"/>
  <c r="AQ73" i="72"/>
  <c r="AM73" i="72" s="1"/>
  <c r="AL73" i="72"/>
  <c r="AK73" i="72" s="1"/>
  <c r="AG73" i="72"/>
  <c r="AC73" i="72" s="1"/>
  <c r="AB73" i="72"/>
  <c r="AA73" i="72" s="1"/>
  <c r="W73" i="72"/>
  <c r="S73" i="72" s="1"/>
  <c r="R73" i="72"/>
  <c r="Q73" i="72" s="1"/>
  <c r="M73" i="72"/>
  <c r="L73" i="72"/>
  <c r="BK72" i="72"/>
  <c r="BG72" i="72" s="1"/>
  <c r="BF72" i="72"/>
  <c r="BE72" i="72" s="1"/>
  <c r="BA72" i="72"/>
  <c r="AW72" i="72" s="1"/>
  <c r="AQ72" i="72"/>
  <c r="AM72" i="72" s="1"/>
  <c r="AL72" i="72"/>
  <c r="AK72" i="72" s="1"/>
  <c r="AG72" i="72"/>
  <c r="AC72" i="72" s="1"/>
  <c r="AB72" i="72"/>
  <c r="AA72" i="72" s="1"/>
  <c r="W72" i="72"/>
  <c r="S72" i="72" s="1"/>
  <c r="R72" i="72"/>
  <c r="Q72" i="72" s="1"/>
  <c r="M72" i="72"/>
  <c r="L72" i="72"/>
  <c r="BK71" i="72"/>
  <c r="BG71" i="72" s="1"/>
  <c r="BF71" i="72"/>
  <c r="BA71" i="72"/>
  <c r="AW71" i="72" s="1"/>
  <c r="AV71" i="72"/>
  <c r="AQ71" i="72"/>
  <c r="AM71" i="72" s="1"/>
  <c r="AL71" i="72"/>
  <c r="AH71" i="72" s="1"/>
  <c r="AG71" i="72"/>
  <c r="AC71" i="72" s="1"/>
  <c r="AB71" i="72"/>
  <c r="AA71" i="72" s="1"/>
  <c r="W71" i="72"/>
  <c r="S71" i="72" s="1"/>
  <c r="R71" i="72"/>
  <c r="Q71" i="72" s="1"/>
  <c r="M71" i="72"/>
  <c r="L71" i="72"/>
  <c r="DP69" i="72"/>
  <c r="DO69" i="72"/>
  <c r="DN69" i="72"/>
  <c r="DM69" i="72"/>
  <c r="DK69" i="72"/>
  <c r="DJ69" i="72"/>
  <c r="DI69" i="72"/>
  <c r="DH69" i="72"/>
  <c r="DF69" i="72"/>
  <c r="DE69" i="72"/>
  <c r="DD69" i="72"/>
  <c r="DC69" i="72"/>
  <c r="DA69" i="72"/>
  <c r="CZ69" i="72"/>
  <c r="CY69" i="72"/>
  <c r="CX69" i="72"/>
  <c r="CV69" i="72"/>
  <c r="CU69" i="72"/>
  <c r="CT69" i="72"/>
  <c r="CS69" i="72"/>
  <c r="CQ69" i="72"/>
  <c r="CP69" i="72"/>
  <c r="CO69" i="72"/>
  <c r="CN69" i="72"/>
  <c r="CL69" i="72"/>
  <c r="CK69" i="72"/>
  <c r="CJ69" i="72"/>
  <c r="CI69" i="72"/>
  <c r="CG69" i="72"/>
  <c r="CF69" i="72"/>
  <c r="CE69" i="72"/>
  <c r="CD69" i="72"/>
  <c r="CB69" i="72"/>
  <c r="CA69" i="72"/>
  <c r="BZ69" i="72"/>
  <c r="BY69" i="72"/>
  <c r="BW69" i="72"/>
  <c r="BV69" i="72"/>
  <c r="BU69" i="72"/>
  <c r="BT69" i="72"/>
  <c r="BR69" i="72"/>
  <c r="BS69" i="72" s="1"/>
  <c r="BX69" i="72" s="1"/>
  <c r="CC69" i="72" s="1"/>
  <c r="CH69" i="72" s="1"/>
  <c r="CM69" i="72" s="1"/>
  <c r="CR69" i="72" s="1"/>
  <c r="CW69" i="72" s="1"/>
  <c r="DB69" i="72" s="1"/>
  <c r="DG69" i="72" s="1"/>
  <c r="DL69" i="72" s="1"/>
  <c r="DQ69" i="72" s="1"/>
  <c r="DV69" i="72" s="1"/>
  <c r="BK69" i="72"/>
  <c r="BI69" i="72" s="1"/>
  <c r="BF69" i="72"/>
  <c r="BA69" i="72"/>
  <c r="AV69" i="72"/>
  <c r="AQ69" i="72"/>
  <c r="AO69" i="72" s="1"/>
  <c r="AL69" i="72"/>
  <c r="AG69" i="72"/>
  <c r="AE69" i="72" s="1"/>
  <c r="AB69" i="72"/>
  <c r="X69" i="72" s="1"/>
  <c r="W69" i="72"/>
  <c r="U69" i="72" s="1"/>
  <c r="R69" i="72"/>
  <c r="M69" i="72"/>
  <c r="L69" i="72"/>
  <c r="E67" i="72"/>
  <c r="E66" i="72"/>
  <c r="E65" i="72"/>
  <c r="BP65" i="72" s="1"/>
  <c r="E64" i="72"/>
  <c r="BA64" i="72" s="1"/>
  <c r="AW64" i="72" s="1"/>
  <c r="DP67" i="72"/>
  <c r="DO67" i="72"/>
  <c r="DN67" i="72"/>
  <c r="DM67" i="72"/>
  <c r="DK67" i="72"/>
  <c r="DJ67" i="72"/>
  <c r="DI67" i="72"/>
  <c r="DH67" i="72"/>
  <c r="DF67" i="72"/>
  <c r="DE67" i="72"/>
  <c r="DD67" i="72"/>
  <c r="DC67" i="72"/>
  <c r="DA67" i="72"/>
  <c r="CZ67" i="72"/>
  <c r="CY67" i="72"/>
  <c r="CX67" i="72"/>
  <c r="CV67" i="72"/>
  <c r="CU67" i="72"/>
  <c r="CT67" i="72"/>
  <c r="CS67" i="72"/>
  <c r="CQ67" i="72"/>
  <c r="CP67" i="72"/>
  <c r="CO67" i="72"/>
  <c r="CN67" i="72"/>
  <c r="CL67" i="72"/>
  <c r="CK67" i="72"/>
  <c r="CJ67" i="72"/>
  <c r="CI67" i="72"/>
  <c r="CG67" i="72"/>
  <c r="CF67" i="72"/>
  <c r="CE67" i="72"/>
  <c r="CD67" i="72"/>
  <c r="CB67" i="72"/>
  <c r="CA67" i="72"/>
  <c r="BZ67" i="72"/>
  <c r="BY67" i="72"/>
  <c r="BW67" i="72"/>
  <c r="BV67" i="72"/>
  <c r="BU67" i="72"/>
  <c r="BT67" i="72"/>
  <c r="BR67" i="72"/>
  <c r="BS67" i="72" s="1"/>
  <c r="BX67" i="72" s="1"/>
  <c r="CC67" i="72" s="1"/>
  <c r="CH67" i="72" s="1"/>
  <c r="CM67" i="72" s="1"/>
  <c r="CR67" i="72" s="1"/>
  <c r="CW67" i="72" s="1"/>
  <c r="DB67" i="72" s="1"/>
  <c r="DG67" i="72" s="1"/>
  <c r="DL67" i="72" s="1"/>
  <c r="DQ67" i="72" s="1"/>
  <c r="DV67" i="72" s="1"/>
  <c r="DP66" i="72"/>
  <c r="DO66" i="72"/>
  <c r="DN66" i="72"/>
  <c r="DM66" i="72"/>
  <c r="DK66" i="72"/>
  <c r="DJ66" i="72"/>
  <c r="DI66" i="72"/>
  <c r="DH66" i="72"/>
  <c r="DF66" i="72"/>
  <c r="DE66" i="72"/>
  <c r="DD66" i="72"/>
  <c r="DC66" i="72"/>
  <c r="DA66" i="72"/>
  <c r="CZ66" i="72"/>
  <c r="CY66" i="72"/>
  <c r="CX66" i="72"/>
  <c r="CV66" i="72"/>
  <c r="CU66" i="72"/>
  <c r="CT66" i="72"/>
  <c r="CS66" i="72"/>
  <c r="CQ66" i="72"/>
  <c r="CP66" i="72"/>
  <c r="CO66" i="72"/>
  <c r="CN66" i="72"/>
  <c r="CL66" i="72"/>
  <c r="CK66" i="72"/>
  <c r="CJ66" i="72"/>
  <c r="CI66" i="72"/>
  <c r="CG66" i="72"/>
  <c r="CF66" i="72"/>
  <c r="CE66" i="72"/>
  <c r="CD66" i="72"/>
  <c r="CB66" i="72"/>
  <c r="CA66" i="72"/>
  <c r="BZ66" i="72"/>
  <c r="BY66" i="72"/>
  <c r="BW66" i="72"/>
  <c r="BV66" i="72"/>
  <c r="BU66" i="72"/>
  <c r="BT66" i="72"/>
  <c r="BR66" i="72"/>
  <c r="BS66" i="72" s="1"/>
  <c r="BX66" i="72" s="1"/>
  <c r="CC66" i="72" s="1"/>
  <c r="CH66" i="72" s="1"/>
  <c r="CM66" i="72" s="1"/>
  <c r="CR66" i="72" s="1"/>
  <c r="CW66" i="72" s="1"/>
  <c r="DB66" i="72" s="1"/>
  <c r="DG66" i="72" s="1"/>
  <c r="DL66" i="72" s="1"/>
  <c r="DQ66" i="72" s="1"/>
  <c r="DV66" i="72" s="1"/>
  <c r="DK65" i="72"/>
  <c r="DJ65" i="72"/>
  <c r="DI65" i="72"/>
  <c r="DH65" i="72"/>
  <c r="DF65" i="72"/>
  <c r="DE65" i="72"/>
  <c r="DD65" i="72"/>
  <c r="DC65" i="72"/>
  <c r="DA65" i="72"/>
  <c r="CZ65" i="72"/>
  <c r="CY65" i="72"/>
  <c r="CX65" i="72"/>
  <c r="CV65" i="72"/>
  <c r="CU65" i="72"/>
  <c r="CT65" i="72"/>
  <c r="CS65" i="72"/>
  <c r="CQ65" i="72"/>
  <c r="CP65" i="72"/>
  <c r="CO65" i="72"/>
  <c r="CN65" i="72"/>
  <c r="CL65" i="72"/>
  <c r="CK65" i="72"/>
  <c r="CJ65" i="72"/>
  <c r="CI65" i="72"/>
  <c r="CG65" i="72"/>
  <c r="CF65" i="72"/>
  <c r="CE65" i="72"/>
  <c r="CD65" i="72"/>
  <c r="CB65" i="72"/>
  <c r="CA65" i="72"/>
  <c r="BZ65" i="72"/>
  <c r="BY65" i="72"/>
  <c r="BW65" i="72"/>
  <c r="BV65" i="72"/>
  <c r="BU65" i="72"/>
  <c r="BT65" i="72"/>
  <c r="BR65" i="72"/>
  <c r="BS65" i="72" s="1"/>
  <c r="BX65" i="72" s="1"/>
  <c r="CC65" i="72" s="1"/>
  <c r="CH65" i="72" s="1"/>
  <c r="CM65" i="72" s="1"/>
  <c r="CR65" i="72" s="1"/>
  <c r="CW65" i="72" s="1"/>
  <c r="DB65" i="72" s="1"/>
  <c r="DG65" i="72" s="1"/>
  <c r="DL65" i="72" s="1"/>
  <c r="DP64" i="72"/>
  <c r="DO64" i="72"/>
  <c r="DN64" i="72"/>
  <c r="DM64" i="72"/>
  <c r="DA64" i="72"/>
  <c r="CZ64" i="72"/>
  <c r="CY64" i="72"/>
  <c r="CX64" i="72"/>
  <c r="CV64" i="72"/>
  <c r="CU64" i="72"/>
  <c r="CT64" i="72"/>
  <c r="CS64" i="72"/>
  <c r="CQ64" i="72"/>
  <c r="CP64" i="72"/>
  <c r="CO64" i="72"/>
  <c r="CN64" i="72"/>
  <c r="CL64" i="72"/>
  <c r="CK64" i="72"/>
  <c r="CJ64" i="72"/>
  <c r="CI64" i="72"/>
  <c r="CG64" i="72"/>
  <c r="CF64" i="72"/>
  <c r="CE64" i="72"/>
  <c r="CD64" i="72"/>
  <c r="CB64" i="72"/>
  <c r="CA64" i="72"/>
  <c r="BZ64" i="72"/>
  <c r="BY64" i="72"/>
  <c r="BW64" i="72"/>
  <c r="BV64" i="72"/>
  <c r="BU64" i="72"/>
  <c r="BT64" i="72"/>
  <c r="BR64" i="72"/>
  <c r="BS64" i="72" s="1"/>
  <c r="BX64" i="72" s="1"/>
  <c r="CC64" i="72" s="1"/>
  <c r="CH64" i="72" s="1"/>
  <c r="CM64" i="72" s="1"/>
  <c r="CR64" i="72" s="1"/>
  <c r="CW64" i="72" s="1"/>
  <c r="DB64" i="72" s="1"/>
  <c r="DP63" i="72"/>
  <c r="DO63" i="72"/>
  <c r="DN63" i="72"/>
  <c r="DM63" i="72"/>
  <c r="DK63" i="72"/>
  <c r="DJ63" i="72"/>
  <c r="DI63" i="72"/>
  <c r="DH63" i="72"/>
  <c r="DF63" i="72"/>
  <c r="DE63" i="72"/>
  <c r="DD63" i="72"/>
  <c r="DC63" i="72"/>
  <c r="DA63" i="72"/>
  <c r="CZ63" i="72"/>
  <c r="CY63" i="72"/>
  <c r="CX63" i="72"/>
  <c r="CV63" i="72"/>
  <c r="CU63" i="72"/>
  <c r="CT63" i="72"/>
  <c r="CS63" i="72"/>
  <c r="CQ63" i="72"/>
  <c r="CP63" i="72"/>
  <c r="CO63" i="72"/>
  <c r="CN63" i="72"/>
  <c r="CL63" i="72"/>
  <c r="CK63" i="72"/>
  <c r="CJ63" i="72"/>
  <c r="CI63" i="72"/>
  <c r="CG63" i="72"/>
  <c r="CF63" i="72"/>
  <c r="CE63" i="72"/>
  <c r="CD63" i="72"/>
  <c r="CB63" i="72"/>
  <c r="CA63" i="72"/>
  <c r="BZ63" i="72"/>
  <c r="BY63" i="72"/>
  <c r="BW63" i="72"/>
  <c r="BV63" i="72"/>
  <c r="BU63" i="72"/>
  <c r="BT63" i="72"/>
  <c r="BR63" i="72"/>
  <c r="BS63" i="72" s="1"/>
  <c r="BX63" i="72" s="1"/>
  <c r="CC63" i="72" s="1"/>
  <c r="CH63" i="72" s="1"/>
  <c r="CM63" i="72" s="1"/>
  <c r="CR63" i="72" s="1"/>
  <c r="CW63" i="72" s="1"/>
  <c r="DB63" i="72" s="1"/>
  <c r="DG63" i="72" s="1"/>
  <c r="DL63" i="72" s="1"/>
  <c r="DQ63" i="72" s="1"/>
  <c r="DV63" i="72" s="1"/>
  <c r="BK67" i="72"/>
  <c r="BG67" i="72" s="1"/>
  <c r="BF67" i="72"/>
  <c r="BE67" i="72" s="1"/>
  <c r="BA67" i="72"/>
  <c r="AW67" i="72" s="1"/>
  <c r="AV67" i="72"/>
  <c r="AQ67" i="72"/>
  <c r="AM67" i="72" s="1"/>
  <c r="AL67" i="72"/>
  <c r="AH67" i="72" s="1"/>
  <c r="AG67" i="72"/>
  <c r="AC67" i="72" s="1"/>
  <c r="AB67" i="72"/>
  <c r="AA67" i="72" s="1"/>
  <c r="W67" i="72"/>
  <c r="S67" i="72" s="1"/>
  <c r="R67" i="72"/>
  <c r="Q67" i="72" s="1"/>
  <c r="M67" i="72"/>
  <c r="L67" i="72"/>
  <c r="BK66" i="72"/>
  <c r="BG66" i="72" s="1"/>
  <c r="BF66" i="72"/>
  <c r="BB66" i="72" s="1"/>
  <c r="BA66" i="72"/>
  <c r="AW66" i="72" s="1"/>
  <c r="AV66" i="72"/>
  <c r="AQ66" i="72"/>
  <c r="AM66" i="72" s="1"/>
  <c r="AL66" i="72"/>
  <c r="AK66" i="72" s="1"/>
  <c r="AG66" i="72"/>
  <c r="AC66" i="72" s="1"/>
  <c r="AB66" i="72"/>
  <c r="AA66" i="72" s="1"/>
  <c r="W66" i="72"/>
  <c r="S66" i="72" s="1"/>
  <c r="R66" i="72"/>
  <c r="Q66" i="72" s="1"/>
  <c r="M66" i="72"/>
  <c r="L66" i="72"/>
  <c r="BF65" i="72"/>
  <c r="BD65" i="72" s="1"/>
  <c r="BA65" i="72"/>
  <c r="AW65" i="72" s="1"/>
  <c r="AV65" i="72"/>
  <c r="AQ65" i="72"/>
  <c r="AM65" i="72" s="1"/>
  <c r="AL65" i="72"/>
  <c r="AH65" i="72" s="1"/>
  <c r="AG65" i="72"/>
  <c r="AC65" i="72" s="1"/>
  <c r="AB65" i="72"/>
  <c r="W65" i="72"/>
  <c r="S65" i="72" s="1"/>
  <c r="R65" i="72"/>
  <c r="Q65" i="72" s="1"/>
  <c r="M65" i="72"/>
  <c r="L65" i="72"/>
  <c r="BK64" i="72"/>
  <c r="BG64" i="72" s="1"/>
  <c r="BF64" i="72"/>
  <c r="BE64" i="72" s="1"/>
  <c r="AV64" i="72"/>
  <c r="AQ64" i="72"/>
  <c r="AM64" i="72" s="1"/>
  <c r="AL64" i="72"/>
  <c r="AK64" i="72" s="1"/>
  <c r="AG64" i="72"/>
  <c r="AC64" i="72" s="1"/>
  <c r="AB64" i="72"/>
  <c r="X64" i="72" s="1"/>
  <c r="W64" i="72"/>
  <c r="S64" i="72" s="1"/>
  <c r="R64" i="72"/>
  <c r="N64" i="72" s="1"/>
  <c r="M64" i="72"/>
  <c r="L64" i="72"/>
  <c r="BK63" i="72"/>
  <c r="BG63" i="72" s="1"/>
  <c r="BF63" i="72"/>
  <c r="BA63" i="72"/>
  <c r="AW63" i="72" s="1"/>
  <c r="AV63" i="72"/>
  <c r="AQ63" i="72"/>
  <c r="AM63" i="72" s="1"/>
  <c r="AL63" i="72"/>
  <c r="AK63" i="72" s="1"/>
  <c r="AG63" i="72"/>
  <c r="AC63" i="72" s="1"/>
  <c r="AB63" i="72"/>
  <c r="AA63" i="72" s="1"/>
  <c r="W63" i="72"/>
  <c r="S63" i="72" s="1"/>
  <c r="R63" i="72"/>
  <c r="Q63" i="72" s="1"/>
  <c r="M63" i="72"/>
  <c r="L63" i="72"/>
  <c r="F169" i="72"/>
  <c r="E60" i="72"/>
  <c r="DP60" i="72"/>
  <c r="DO60" i="72"/>
  <c r="DN60" i="72"/>
  <c r="DM60" i="72"/>
  <c r="DK60" i="72"/>
  <c r="DJ60" i="72"/>
  <c r="DI60" i="72"/>
  <c r="DH60" i="72"/>
  <c r="DF60" i="72"/>
  <c r="DE60" i="72"/>
  <c r="DD60" i="72"/>
  <c r="DC60" i="72"/>
  <c r="DA60" i="72"/>
  <c r="CZ60" i="72"/>
  <c r="CY60" i="72"/>
  <c r="CX60" i="72"/>
  <c r="CV60" i="72"/>
  <c r="CU60" i="72"/>
  <c r="CT60" i="72"/>
  <c r="CS60" i="72"/>
  <c r="CQ60" i="72"/>
  <c r="CP60" i="72"/>
  <c r="CO60" i="72"/>
  <c r="CN60" i="72"/>
  <c r="CL60" i="72"/>
  <c r="CK60" i="72"/>
  <c r="CJ60" i="72"/>
  <c r="CI60" i="72"/>
  <c r="CG60" i="72"/>
  <c r="CF60" i="72"/>
  <c r="CE60" i="72"/>
  <c r="CD60" i="72"/>
  <c r="CB60" i="72"/>
  <c r="CA60" i="72"/>
  <c r="BZ60" i="72"/>
  <c r="BY60" i="72"/>
  <c r="BW60" i="72"/>
  <c r="BV60" i="72"/>
  <c r="BU60" i="72"/>
  <c r="BT60" i="72"/>
  <c r="BR60" i="72"/>
  <c r="BS60" i="72" s="1"/>
  <c r="BX60" i="72" s="1"/>
  <c r="CC60" i="72" s="1"/>
  <c r="CH60" i="72" s="1"/>
  <c r="CM60" i="72" s="1"/>
  <c r="CR60" i="72" s="1"/>
  <c r="CW60" i="72" s="1"/>
  <c r="DB60" i="72" s="1"/>
  <c r="DG60" i="72" s="1"/>
  <c r="DL60" i="72" s="1"/>
  <c r="DQ60" i="72" s="1"/>
  <c r="DV60" i="72" s="1"/>
  <c r="BK60" i="72"/>
  <c r="BJ60" i="72" s="1"/>
  <c r="BF60" i="72"/>
  <c r="BB60" i="72" s="1"/>
  <c r="BA60" i="72"/>
  <c r="AZ60" i="72" s="1"/>
  <c r="AV60" i="72"/>
  <c r="AQ60" i="72"/>
  <c r="AP60" i="72" s="1"/>
  <c r="AL60" i="72"/>
  <c r="AH60" i="72" s="1"/>
  <c r="AG60" i="72"/>
  <c r="AE60" i="72" s="1"/>
  <c r="AB60" i="72"/>
  <c r="X60" i="72" s="1"/>
  <c r="W60" i="72"/>
  <c r="U60" i="72" s="1"/>
  <c r="R60" i="72"/>
  <c r="N60" i="72" s="1"/>
  <c r="M60" i="72"/>
  <c r="L60" i="72"/>
  <c r="DP57" i="72"/>
  <c r="DO57" i="72"/>
  <c r="DN57" i="72"/>
  <c r="DM57" i="72"/>
  <c r="DK57" i="72"/>
  <c r="DJ57" i="72"/>
  <c r="DI57" i="72"/>
  <c r="DH57" i="72"/>
  <c r="DF57" i="72"/>
  <c r="DE57" i="72"/>
  <c r="DD57" i="72"/>
  <c r="DC57" i="72"/>
  <c r="DA57" i="72"/>
  <c r="CZ57" i="72"/>
  <c r="CY57" i="72"/>
  <c r="CX57" i="72"/>
  <c r="CV57" i="72"/>
  <c r="CU57" i="72"/>
  <c r="CT57" i="72"/>
  <c r="CS57" i="72"/>
  <c r="CQ57" i="72"/>
  <c r="CP57" i="72"/>
  <c r="CO57" i="72"/>
  <c r="CN57" i="72"/>
  <c r="CL57" i="72"/>
  <c r="CK57" i="72"/>
  <c r="CJ57" i="72"/>
  <c r="CI57" i="72"/>
  <c r="CG57" i="72"/>
  <c r="CF57" i="72"/>
  <c r="CE57" i="72"/>
  <c r="CD57" i="72"/>
  <c r="CB57" i="72"/>
  <c r="CA57" i="72"/>
  <c r="BZ57" i="72"/>
  <c r="BY57" i="72"/>
  <c r="BW57" i="72"/>
  <c r="BV57" i="72"/>
  <c r="BU57" i="72"/>
  <c r="BT57" i="72"/>
  <c r="BR57" i="72"/>
  <c r="BS57" i="72" s="1"/>
  <c r="BX57" i="72" s="1"/>
  <c r="CC57" i="72" s="1"/>
  <c r="CH57" i="72" s="1"/>
  <c r="CM57" i="72" s="1"/>
  <c r="CR57" i="72" s="1"/>
  <c r="CW57" i="72" s="1"/>
  <c r="DB57" i="72" s="1"/>
  <c r="DG57" i="72" s="1"/>
  <c r="DL57" i="72" s="1"/>
  <c r="DQ57" i="72" s="1"/>
  <c r="BK57" i="72"/>
  <c r="BG57" i="72" s="1"/>
  <c r="BF57" i="72"/>
  <c r="BB57" i="72" s="1"/>
  <c r="BA57" i="72"/>
  <c r="AZ57" i="72" s="1"/>
  <c r="AV57" i="72"/>
  <c r="AQ57" i="72"/>
  <c r="AL57" i="72"/>
  <c r="AH57" i="72" s="1"/>
  <c r="AG57" i="72"/>
  <c r="AF57" i="72" s="1"/>
  <c r="AB57" i="72"/>
  <c r="X57" i="72" s="1"/>
  <c r="W57" i="72"/>
  <c r="V57" i="72" s="1"/>
  <c r="R57" i="72"/>
  <c r="N57" i="72" s="1"/>
  <c r="M57" i="72"/>
  <c r="L57" i="72"/>
  <c r="E57" i="72"/>
  <c r="BP57" i="72" s="1"/>
  <c r="E53" i="72"/>
  <c r="BP53" i="72" s="1"/>
  <c r="E52" i="72"/>
  <c r="AV52" i="72" s="1"/>
  <c r="AS52" i="72" s="1"/>
  <c r="DP53" i="72"/>
  <c r="DO53" i="72"/>
  <c r="DN53" i="72"/>
  <c r="DM53" i="72"/>
  <c r="DK53" i="72"/>
  <c r="DJ53" i="72"/>
  <c r="DI53" i="72"/>
  <c r="DH53" i="72"/>
  <c r="DF53" i="72"/>
  <c r="DE53" i="72"/>
  <c r="DD53" i="72"/>
  <c r="DC53" i="72"/>
  <c r="DA53" i="72"/>
  <c r="CZ53" i="72"/>
  <c r="CY53" i="72"/>
  <c r="CX53" i="72"/>
  <c r="CV53" i="72"/>
  <c r="CU53" i="72"/>
  <c r="CT53" i="72"/>
  <c r="CS53" i="72"/>
  <c r="CQ53" i="72"/>
  <c r="CP53" i="72"/>
  <c r="CO53" i="72"/>
  <c r="CN53" i="72"/>
  <c r="CL53" i="72"/>
  <c r="CK53" i="72"/>
  <c r="CJ53" i="72"/>
  <c r="CI53" i="72"/>
  <c r="CG53" i="72"/>
  <c r="CF53" i="72"/>
  <c r="CE53" i="72"/>
  <c r="CD53" i="72"/>
  <c r="CB53" i="72"/>
  <c r="CA53" i="72"/>
  <c r="BZ53" i="72"/>
  <c r="BY53" i="72"/>
  <c r="BW53" i="72"/>
  <c r="BV53" i="72"/>
  <c r="BU53" i="72"/>
  <c r="BT53" i="72"/>
  <c r="BR53" i="72"/>
  <c r="BS53" i="72" s="1"/>
  <c r="BX53" i="72" s="1"/>
  <c r="CC53" i="72" s="1"/>
  <c r="CH53" i="72" s="1"/>
  <c r="CM53" i="72" s="1"/>
  <c r="CR53" i="72" s="1"/>
  <c r="CW53" i="72" s="1"/>
  <c r="DB53" i="72" s="1"/>
  <c r="DG53" i="72" s="1"/>
  <c r="DL53" i="72" s="1"/>
  <c r="DQ53" i="72" s="1"/>
  <c r="DP52" i="72"/>
  <c r="DO52" i="72"/>
  <c r="DN52" i="72"/>
  <c r="DM52" i="72"/>
  <c r="DK52" i="72"/>
  <c r="DJ52" i="72"/>
  <c r="DI52" i="72"/>
  <c r="DH52" i="72"/>
  <c r="CV52" i="72"/>
  <c r="CU52" i="72"/>
  <c r="CT52" i="72"/>
  <c r="CS52" i="72"/>
  <c r="CQ52" i="72"/>
  <c r="CP52" i="72"/>
  <c r="CO52" i="72"/>
  <c r="CN52" i="72"/>
  <c r="CL52" i="72"/>
  <c r="CK52" i="72"/>
  <c r="CJ52" i="72"/>
  <c r="CI52" i="72"/>
  <c r="CG52" i="72"/>
  <c r="CF52" i="72"/>
  <c r="CE52" i="72"/>
  <c r="CD52" i="72"/>
  <c r="CB52" i="72"/>
  <c r="CA52" i="72"/>
  <c r="BZ52" i="72"/>
  <c r="BY52" i="72"/>
  <c r="BW52" i="72"/>
  <c r="BV52" i="72"/>
  <c r="BU52" i="72"/>
  <c r="BT52" i="72"/>
  <c r="BR52" i="72"/>
  <c r="BS52" i="72" s="1"/>
  <c r="BX52" i="72" s="1"/>
  <c r="CC52" i="72" s="1"/>
  <c r="CH52" i="72" s="1"/>
  <c r="CM52" i="72" s="1"/>
  <c r="CR52" i="72" s="1"/>
  <c r="CW52" i="72" s="1"/>
  <c r="BK53" i="72"/>
  <c r="BG53" i="72" s="1"/>
  <c r="BF53" i="72"/>
  <c r="BB53" i="72" s="1"/>
  <c r="BA53" i="72"/>
  <c r="AZ53" i="72" s="1"/>
  <c r="AV53" i="72"/>
  <c r="AQ53" i="72"/>
  <c r="AP53" i="72" s="1"/>
  <c r="AL53" i="72"/>
  <c r="AH53" i="72" s="1"/>
  <c r="AG53" i="72"/>
  <c r="AF53" i="72" s="1"/>
  <c r="AB53" i="72"/>
  <c r="X53" i="72" s="1"/>
  <c r="W53" i="72"/>
  <c r="R53" i="72"/>
  <c r="O53" i="72" s="1"/>
  <c r="M53" i="72"/>
  <c r="L53" i="72"/>
  <c r="BK52" i="72"/>
  <c r="BI52" i="72" s="1"/>
  <c r="BF52" i="72"/>
  <c r="BA52" i="72"/>
  <c r="AY52" i="72" s="1"/>
  <c r="AQ52" i="72"/>
  <c r="AL52" i="72"/>
  <c r="AH52" i="72" s="1"/>
  <c r="AG52" i="72"/>
  <c r="AE52" i="72" s="1"/>
  <c r="AB52" i="72"/>
  <c r="X52" i="72" s="1"/>
  <c r="W52" i="72"/>
  <c r="U52" i="72" s="1"/>
  <c r="R52" i="72"/>
  <c r="M52" i="72"/>
  <c r="L52" i="72"/>
  <c r="E49" i="72"/>
  <c r="BP49" i="72" s="1"/>
  <c r="E48" i="72"/>
  <c r="AV48" i="72" s="1"/>
  <c r="AS48" i="72" s="1"/>
  <c r="DP49" i="72"/>
  <c r="DO49" i="72"/>
  <c r="DN49" i="72"/>
  <c r="DM49" i="72"/>
  <c r="DK49" i="72"/>
  <c r="DJ49" i="72"/>
  <c r="DI49" i="72"/>
  <c r="DH49" i="72"/>
  <c r="DF49" i="72"/>
  <c r="DE49" i="72"/>
  <c r="DD49" i="72"/>
  <c r="DC49" i="72"/>
  <c r="DA49" i="72"/>
  <c r="CZ49" i="72"/>
  <c r="CY49" i="72"/>
  <c r="CX49" i="72"/>
  <c r="CV49" i="72"/>
  <c r="CU49" i="72"/>
  <c r="CT49" i="72"/>
  <c r="CS49" i="72"/>
  <c r="CQ49" i="72"/>
  <c r="CP49" i="72"/>
  <c r="CO49" i="72"/>
  <c r="CN49" i="72"/>
  <c r="CL49" i="72"/>
  <c r="CK49" i="72"/>
  <c r="CJ49" i="72"/>
  <c r="CI49" i="72"/>
  <c r="CG49" i="72"/>
  <c r="CF49" i="72"/>
  <c r="CE49" i="72"/>
  <c r="CD49" i="72"/>
  <c r="CB49" i="72"/>
  <c r="CA49" i="72"/>
  <c r="BZ49" i="72"/>
  <c r="BY49" i="72"/>
  <c r="BW49" i="72"/>
  <c r="BV49" i="72"/>
  <c r="BU49" i="72"/>
  <c r="BT49" i="72"/>
  <c r="BR49" i="72"/>
  <c r="BS49" i="72" s="1"/>
  <c r="BX49" i="72" s="1"/>
  <c r="CC49" i="72" s="1"/>
  <c r="CH49" i="72" s="1"/>
  <c r="CM49" i="72" s="1"/>
  <c r="CR49" i="72" s="1"/>
  <c r="CW49" i="72" s="1"/>
  <c r="DB49" i="72" s="1"/>
  <c r="DG49" i="72" s="1"/>
  <c r="DL49" i="72" s="1"/>
  <c r="DQ49" i="72" s="1"/>
  <c r="DP48" i="72"/>
  <c r="DO48" i="72"/>
  <c r="DN48" i="72"/>
  <c r="DM48" i="72"/>
  <c r="DK48" i="72"/>
  <c r="DJ48" i="72"/>
  <c r="DI48" i="72"/>
  <c r="DH48" i="72"/>
  <c r="CV48" i="72"/>
  <c r="CU48" i="72"/>
  <c r="CT48" i="72"/>
  <c r="CS48" i="72"/>
  <c r="CQ48" i="72"/>
  <c r="CP48" i="72"/>
  <c r="CO48" i="72"/>
  <c r="CN48" i="72"/>
  <c r="CL48" i="72"/>
  <c r="CK48" i="72"/>
  <c r="CJ48" i="72"/>
  <c r="CI48" i="72"/>
  <c r="CG48" i="72"/>
  <c r="CF48" i="72"/>
  <c r="CE48" i="72"/>
  <c r="CD48" i="72"/>
  <c r="CB48" i="72"/>
  <c r="CA48" i="72"/>
  <c r="BZ48" i="72"/>
  <c r="BY48" i="72"/>
  <c r="BW48" i="72"/>
  <c r="BV48" i="72"/>
  <c r="BU48" i="72"/>
  <c r="BT48" i="72"/>
  <c r="BR48" i="72"/>
  <c r="BS48" i="72" s="1"/>
  <c r="BX48" i="72" s="1"/>
  <c r="CC48" i="72" s="1"/>
  <c r="CH48" i="72" s="1"/>
  <c r="CM48" i="72" s="1"/>
  <c r="CR48" i="72" s="1"/>
  <c r="CW48" i="72" s="1"/>
  <c r="BK49" i="72"/>
  <c r="BJ49" i="72" s="1"/>
  <c r="BF49" i="72"/>
  <c r="BA49" i="72"/>
  <c r="AZ49" i="72" s="1"/>
  <c r="AV49" i="72"/>
  <c r="AQ49" i="72"/>
  <c r="AP49" i="72" s="1"/>
  <c r="AL49" i="72"/>
  <c r="AG49" i="72"/>
  <c r="AC49" i="72" s="1"/>
  <c r="AB49" i="72"/>
  <c r="X49" i="72" s="1"/>
  <c r="W49" i="72"/>
  <c r="R49" i="72"/>
  <c r="M49" i="72"/>
  <c r="L49" i="72"/>
  <c r="BK48" i="72"/>
  <c r="BJ48" i="72" s="1"/>
  <c r="BF48" i="72"/>
  <c r="BB48" i="72" s="1"/>
  <c r="BA48" i="72"/>
  <c r="AZ48" i="72" s="1"/>
  <c r="AQ48" i="72"/>
  <c r="AL48" i="72"/>
  <c r="AK48" i="72" s="1"/>
  <c r="AG48" i="72"/>
  <c r="AC48" i="72" s="1"/>
  <c r="AB48" i="72"/>
  <c r="AA48" i="72" s="1"/>
  <c r="W48" i="72"/>
  <c r="R48" i="72"/>
  <c r="Q48" i="72" s="1"/>
  <c r="M48" i="72"/>
  <c r="L48" i="72"/>
  <c r="E40" i="72"/>
  <c r="E42" i="72"/>
  <c r="E38" i="72"/>
  <c r="E43" i="72"/>
  <c r="E39" i="72"/>
  <c r="E44" i="72"/>
  <c r="DP41" i="72"/>
  <c r="DO41" i="72"/>
  <c r="DN41" i="72"/>
  <c r="DM41" i="72"/>
  <c r="DK41" i="72"/>
  <c r="DJ41" i="72"/>
  <c r="DI41" i="72"/>
  <c r="DH41" i="72"/>
  <c r="DF41" i="72"/>
  <c r="DE41" i="72"/>
  <c r="DD41" i="72"/>
  <c r="DC41" i="72"/>
  <c r="DA41" i="72"/>
  <c r="CZ41" i="72"/>
  <c r="CY41" i="72"/>
  <c r="CX41" i="72"/>
  <c r="CV41" i="72"/>
  <c r="CU41" i="72"/>
  <c r="CT41" i="72"/>
  <c r="CS41" i="72"/>
  <c r="CQ41" i="72"/>
  <c r="CP41" i="72"/>
  <c r="CO41" i="72"/>
  <c r="CN41" i="72"/>
  <c r="CL41" i="72"/>
  <c r="CK41" i="72"/>
  <c r="CJ41" i="72"/>
  <c r="CI41" i="72"/>
  <c r="CG41" i="72"/>
  <c r="CF41" i="72"/>
  <c r="CE41" i="72"/>
  <c r="CD41" i="72"/>
  <c r="CB41" i="72"/>
  <c r="CA41" i="72"/>
  <c r="BZ41" i="72"/>
  <c r="BY41" i="72"/>
  <c r="BW41" i="72"/>
  <c r="BV41" i="72"/>
  <c r="BU41" i="72"/>
  <c r="BT41" i="72"/>
  <c r="BR41" i="72"/>
  <c r="BS41" i="72" s="1"/>
  <c r="BX41" i="72" s="1"/>
  <c r="CC41" i="72" s="1"/>
  <c r="CH41" i="72" s="1"/>
  <c r="CM41" i="72" s="1"/>
  <c r="CR41" i="72" s="1"/>
  <c r="CW41" i="72" s="1"/>
  <c r="DB41" i="72" s="1"/>
  <c r="DG41" i="72" s="1"/>
  <c r="DL41" i="72" s="1"/>
  <c r="DQ41" i="72" s="1"/>
  <c r="DV41" i="72" s="1"/>
  <c r="DP40" i="72"/>
  <c r="DO40" i="72"/>
  <c r="DN40" i="72"/>
  <c r="DM40" i="72"/>
  <c r="DK40" i="72"/>
  <c r="DJ40" i="72"/>
  <c r="DI40" i="72"/>
  <c r="DH40" i="72"/>
  <c r="DF40" i="72"/>
  <c r="DE40" i="72"/>
  <c r="DD40" i="72"/>
  <c r="DC40" i="72"/>
  <c r="DA40" i="72"/>
  <c r="CZ40" i="72"/>
  <c r="CY40" i="72"/>
  <c r="CX40" i="72"/>
  <c r="CV40" i="72"/>
  <c r="CU40" i="72"/>
  <c r="CT40" i="72"/>
  <c r="CS40" i="72"/>
  <c r="CQ40" i="72"/>
  <c r="CP40" i="72"/>
  <c r="CO40" i="72"/>
  <c r="CN40" i="72"/>
  <c r="CL40" i="72"/>
  <c r="CK40" i="72"/>
  <c r="CJ40" i="72"/>
  <c r="CI40" i="72"/>
  <c r="CG40" i="72"/>
  <c r="CF40" i="72"/>
  <c r="CE40" i="72"/>
  <c r="CD40" i="72"/>
  <c r="CB40" i="72"/>
  <c r="CA40" i="72"/>
  <c r="BZ40" i="72"/>
  <c r="BY40" i="72"/>
  <c r="BW40" i="72"/>
  <c r="BV40" i="72"/>
  <c r="BU40" i="72"/>
  <c r="BT40" i="72"/>
  <c r="BR40" i="72"/>
  <c r="BS40" i="72" s="1"/>
  <c r="BX40" i="72" s="1"/>
  <c r="CC40" i="72" s="1"/>
  <c r="CH40" i="72" s="1"/>
  <c r="CM40" i="72" s="1"/>
  <c r="CR40" i="72" s="1"/>
  <c r="CW40" i="72" s="1"/>
  <c r="DB40" i="72" s="1"/>
  <c r="DG40" i="72" s="1"/>
  <c r="DL40" i="72" s="1"/>
  <c r="DQ40" i="72" s="1"/>
  <c r="DV40" i="72" s="1"/>
  <c r="DP42" i="72"/>
  <c r="DO42" i="72"/>
  <c r="DN42" i="72"/>
  <c r="DM42" i="72"/>
  <c r="DK42" i="72"/>
  <c r="DJ42" i="72"/>
  <c r="DI42" i="72"/>
  <c r="DH42" i="72"/>
  <c r="DF42" i="72"/>
  <c r="DE42" i="72"/>
  <c r="DD42" i="72"/>
  <c r="DC42" i="72"/>
  <c r="DA42" i="72"/>
  <c r="CZ42" i="72"/>
  <c r="CY42" i="72"/>
  <c r="CX42" i="72"/>
  <c r="CV42" i="72"/>
  <c r="CU42" i="72"/>
  <c r="CT42" i="72"/>
  <c r="CS42" i="72"/>
  <c r="CQ42" i="72"/>
  <c r="CP42" i="72"/>
  <c r="CO42" i="72"/>
  <c r="CN42" i="72"/>
  <c r="CL42" i="72"/>
  <c r="CK42" i="72"/>
  <c r="CJ42" i="72"/>
  <c r="CI42" i="72"/>
  <c r="CG42" i="72"/>
  <c r="CF42" i="72"/>
  <c r="CE42" i="72"/>
  <c r="CD42" i="72"/>
  <c r="CB42" i="72"/>
  <c r="CA42" i="72"/>
  <c r="BZ42" i="72"/>
  <c r="BY42" i="72"/>
  <c r="BW42" i="72"/>
  <c r="BV42" i="72"/>
  <c r="BU42" i="72"/>
  <c r="BT42" i="72"/>
  <c r="BR42" i="72"/>
  <c r="BS42" i="72" s="1"/>
  <c r="BX42" i="72" s="1"/>
  <c r="CC42" i="72" s="1"/>
  <c r="CH42" i="72" s="1"/>
  <c r="CM42" i="72" s="1"/>
  <c r="CR42" i="72" s="1"/>
  <c r="CW42" i="72" s="1"/>
  <c r="DB42" i="72" s="1"/>
  <c r="DG42" i="72" s="1"/>
  <c r="DL42" i="72" s="1"/>
  <c r="DQ42" i="72" s="1"/>
  <c r="DV42" i="72" s="1"/>
  <c r="DP38" i="72"/>
  <c r="DO38" i="72"/>
  <c r="DN38" i="72"/>
  <c r="DM38" i="72"/>
  <c r="DK38" i="72"/>
  <c r="DJ38" i="72"/>
  <c r="DI38" i="72"/>
  <c r="DH38" i="72"/>
  <c r="DF38" i="72"/>
  <c r="DE38" i="72"/>
  <c r="DD38" i="72"/>
  <c r="DC38" i="72"/>
  <c r="DA38" i="72"/>
  <c r="CZ38" i="72"/>
  <c r="CY38" i="72"/>
  <c r="CX38" i="72"/>
  <c r="CV38" i="72"/>
  <c r="CU38" i="72"/>
  <c r="CT38" i="72"/>
  <c r="CS38" i="72"/>
  <c r="CQ38" i="72"/>
  <c r="CP38" i="72"/>
  <c r="CO38" i="72"/>
  <c r="CN38" i="72"/>
  <c r="CL38" i="72"/>
  <c r="CK38" i="72"/>
  <c r="CJ38" i="72"/>
  <c r="CI38" i="72"/>
  <c r="CG38" i="72"/>
  <c r="CF38" i="72"/>
  <c r="CE38" i="72"/>
  <c r="CD38" i="72"/>
  <c r="CB38" i="72"/>
  <c r="CA38" i="72"/>
  <c r="BZ38" i="72"/>
  <c r="BY38" i="72"/>
  <c r="BW38" i="72"/>
  <c r="BV38" i="72"/>
  <c r="BU38" i="72"/>
  <c r="BT38" i="72"/>
  <c r="BR38" i="72"/>
  <c r="DP43" i="72"/>
  <c r="DO43" i="72"/>
  <c r="DN43" i="72"/>
  <c r="DM43" i="72"/>
  <c r="DK43" i="72"/>
  <c r="DJ43" i="72"/>
  <c r="DI43" i="72"/>
  <c r="DH43" i="72"/>
  <c r="DF43" i="72"/>
  <c r="DE43" i="72"/>
  <c r="DD43" i="72"/>
  <c r="DC43" i="72"/>
  <c r="DA43" i="72"/>
  <c r="CZ43" i="72"/>
  <c r="CY43" i="72"/>
  <c r="CX43" i="72"/>
  <c r="CV43" i="72"/>
  <c r="CU43" i="72"/>
  <c r="CT43" i="72"/>
  <c r="CS43" i="72"/>
  <c r="CQ43" i="72"/>
  <c r="CP43" i="72"/>
  <c r="CO43" i="72"/>
  <c r="CN43" i="72"/>
  <c r="CL43" i="72"/>
  <c r="CK43" i="72"/>
  <c r="CJ43" i="72"/>
  <c r="CI43" i="72"/>
  <c r="CG43" i="72"/>
  <c r="CF43" i="72"/>
  <c r="CE43" i="72"/>
  <c r="CD43" i="72"/>
  <c r="CB43" i="72"/>
  <c r="CA43" i="72"/>
  <c r="BZ43" i="72"/>
  <c r="BY43" i="72"/>
  <c r="BW43" i="72"/>
  <c r="BV43" i="72"/>
  <c r="BU43" i="72"/>
  <c r="BT43" i="72"/>
  <c r="BR43" i="72"/>
  <c r="BS43" i="72" s="1"/>
  <c r="BX43" i="72" s="1"/>
  <c r="CC43" i="72" s="1"/>
  <c r="CH43" i="72" s="1"/>
  <c r="CM43" i="72" s="1"/>
  <c r="CR43" i="72" s="1"/>
  <c r="CW43" i="72" s="1"/>
  <c r="DB43" i="72" s="1"/>
  <c r="DG43" i="72" s="1"/>
  <c r="DL43" i="72" s="1"/>
  <c r="DQ43" i="72" s="1"/>
  <c r="DV43" i="72" s="1"/>
  <c r="DP39" i="72"/>
  <c r="DO39" i="72"/>
  <c r="DN39" i="72"/>
  <c r="DM39" i="72"/>
  <c r="DK39" i="72"/>
  <c r="DJ39" i="72"/>
  <c r="DI39" i="72"/>
  <c r="DH39" i="72"/>
  <c r="DF39" i="72"/>
  <c r="DE39" i="72"/>
  <c r="DD39" i="72"/>
  <c r="DC39" i="72"/>
  <c r="DA39" i="72"/>
  <c r="CZ39" i="72"/>
  <c r="CY39" i="72"/>
  <c r="CX39" i="72"/>
  <c r="CV39" i="72"/>
  <c r="CU39" i="72"/>
  <c r="CT39" i="72"/>
  <c r="CS39" i="72"/>
  <c r="CQ39" i="72"/>
  <c r="CP39" i="72"/>
  <c r="CO39" i="72"/>
  <c r="CN39" i="72"/>
  <c r="CL39" i="72"/>
  <c r="CK39" i="72"/>
  <c r="CJ39" i="72"/>
  <c r="CI39" i="72"/>
  <c r="CG39" i="72"/>
  <c r="CF39" i="72"/>
  <c r="CE39" i="72"/>
  <c r="CD39" i="72"/>
  <c r="CB39" i="72"/>
  <c r="CA39" i="72"/>
  <c r="BZ39" i="72"/>
  <c r="BY39" i="72"/>
  <c r="BW39" i="72"/>
  <c r="BV39" i="72"/>
  <c r="BU39" i="72"/>
  <c r="BT39" i="72"/>
  <c r="BR39" i="72"/>
  <c r="BS39" i="72" s="1"/>
  <c r="BX39" i="72" s="1"/>
  <c r="CC39" i="72" s="1"/>
  <c r="CH39" i="72" s="1"/>
  <c r="CM39" i="72" s="1"/>
  <c r="CR39" i="72" s="1"/>
  <c r="CW39" i="72" s="1"/>
  <c r="DB39" i="72" s="1"/>
  <c r="DG39" i="72" s="1"/>
  <c r="DL39" i="72" s="1"/>
  <c r="DQ39" i="72" s="1"/>
  <c r="DV39" i="72" s="1"/>
  <c r="DP44" i="72"/>
  <c r="DO44" i="72"/>
  <c r="DN44" i="72"/>
  <c r="DM44" i="72"/>
  <c r="DK44" i="72"/>
  <c r="DJ44" i="72"/>
  <c r="DI44" i="72"/>
  <c r="DH44" i="72"/>
  <c r="DF44" i="72"/>
  <c r="DE44" i="72"/>
  <c r="DD44" i="72"/>
  <c r="DC44" i="72"/>
  <c r="DA44" i="72"/>
  <c r="CZ44" i="72"/>
  <c r="CY44" i="72"/>
  <c r="CX44" i="72"/>
  <c r="CV44" i="72"/>
  <c r="CU44" i="72"/>
  <c r="CT44" i="72"/>
  <c r="CS44" i="72"/>
  <c r="CQ44" i="72"/>
  <c r="CP44" i="72"/>
  <c r="CO44" i="72"/>
  <c r="CN44" i="72"/>
  <c r="CL44" i="72"/>
  <c r="CK44" i="72"/>
  <c r="CJ44" i="72"/>
  <c r="CI44" i="72"/>
  <c r="CG44" i="72"/>
  <c r="CF44" i="72"/>
  <c r="CE44" i="72"/>
  <c r="CD44" i="72"/>
  <c r="CB44" i="72"/>
  <c r="CA44" i="72"/>
  <c r="BZ44" i="72"/>
  <c r="BY44" i="72"/>
  <c r="BW44" i="72"/>
  <c r="BV44" i="72"/>
  <c r="BU44" i="72"/>
  <c r="BT44" i="72"/>
  <c r="BR44" i="72"/>
  <c r="BK41" i="72"/>
  <c r="BG41" i="72" s="1"/>
  <c r="BF41" i="72"/>
  <c r="BE41" i="72" s="1"/>
  <c r="BA41" i="72"/>
  <c r="AZ41" i="72" s="1"/>
  <c r="AV41" i="72"/>
  <c r="AS41" i="72" s="1"/>
  <c r="AQ41" i="72"/>
  <c r="AO41" i="72" s="1"/>
  <c r="AL41" i="72"/>
  <c r="AG41" i="72"/>
  <c r="AE41" i="72" s="1"/>
  <c r="AB41" i="72"/>
  <c r="W41" i="72"/>
  <c r="S41" i="72" s="1"/>
  <c r="R41" i="72"/>
  <c r="M41" i="72"/>
  <c r="L41" i="72"/>
  <c r="BK40" i="72"/>
  <c r="BI40" i="72" s="1"/>
  <c r="BF40" i="72"/>
  <c r="BA40" i="72"/>
  <c r="AY40" i="72" s="1"/>
  <c r="AV40" i="72"/>
  <c r="AQ40" i="72"/>
  <c r="AP40" i="72" s="1"/>
  <c r="AL40" i="72"/>
  <c r="AG40" i="72"/>
  <c r="AC40" i="72" s="1"/>
  <c r="AB40" i="72"/>
  <c r="AA40" i="72" s="1"/>
  <c r="W40" i="72"/>
  <c r="V40" i="72" s="1"/>
  <c r="R40" i="72"/>
  <c r="M40" i="72"/>
  <c r="L40" i="72"/>
  <c r="BK42" i="72"/>
  <c r="BI42" i="72" s="1"/>
  <c r="BF42" i="72"/>
  <c r="BA42" i="72"/>
  <c r="AY42" i="72" s="1"/>
  <c r="AV42" i="72"/>
  <c r="AS42" i="72" s="1"/>
  <c r="AQ42" i="72"/>
  <c r="AM42" i="72" s="1"/>
  <c r="AL42" i="72"/>
  <c r="AG42" i="72"/>
  <c r="AE42" i="72" s="1"/>
  <c r="AB42" i="72"/>
  <c r="W42" i="72"/>
  <c r="U42" i="72" s="1"/>
  <c r="R42" i="72"/>
  <c r="Q42" i="72" s="1"/>
  <c r="M42" i="72"/>
  <c r="L42" i="72"/>
  <c r="BK38" i="72"/>
  <c r="BF38" i="72"/>
  <c r="BA38" i="72"/>
  <c r="AV38" i="72"/>
  <c r="AS38" i="72" s="1"/>
  <c r="AQ38" i="72"/>
  <c r="AL38" i="72"/>
  <c r="AG38" i="72"/>
  <c r="AB38" i="72"/>
  <c r="W38" i="72"/>
  <c r="R38" i="72"/>
  <c r="M38" i="72"/>
  <c r="L38" i="72"/>
  <c r="BK43" i="72"/>
  <c r="BJ43" i="72" s="1"/>
  <c r="BF43" i="72"/>
  <c r="BE43" i="72" s="1"/>
  <c r="BA43" i="72"/>
  <c r="AZ43" i="72" s="1"/>
  <c r="AV43" i="72"/>
  <c r="AS43" i="72" s="1"/>
  <c r="AQ43" i="72"/>
  <c r="AO43" i="72" s="1"/>
  <c r="AL43" i="72"/>
  <c r="AK43" i="72" s="1"/>
  <c r="AG43" i="72"/>
  <c r="AC43" i="72" s="1"/>
  <c r="AB43" i="72"/>
  <c r="AA43" i="72" s="1"/>
  <c r="W43" i="72"/>
  <c r="V43" i="72" s="1"/>
  <c r="R43" i="72"/>
  <c r="Q43" i="72" s="1"/>
  <c r="M43" i="72"/>
  <c r="L43" i="72"/>
  <c r="BK39" i="72"/>
  <c r="BJ39" i="72" s="1"/>
  <c r="BF39" i="72"/>
  <c r="BA39" i="72"/>
  <c r="AY39" i="72" s="1"/>
  <c r="AV39" i="72"/>
  <c r="AQ39" i="72"/>
  <c r="AM39" i="72" s="1"/>
  <c r="AL39" i="72"/>
  <c r="AK39" i="72" s="1"/>
  <c r="AG39" i="72"/>
  <c r="AF39" i="72" s="1"/>
  <c r="AB39" i="72"/>
  <c r="AA39" i="72" s="1"/>
  <c r="W39" i="72"/>
  <c r="V39" i="72" s="1"/>
  <c r="R39" i="72"/>
  <c r="M39" i="72"/>
  <c r="L39" i="72"/>
  <c r="BK44" i="72"/>
  <c r="BI44" i="72" s="1"/>
  <c r="BF44" i="72"/>
  <c r="BD44" i="72" s="1"/>
  <c r="BA44" i="72"/>
  <c r="AZ44" i="72" s="1"/>
  <c r="AV44" i="72"/>
  <c r="AQ44" i="72"/>
  <c r="AP44" i="72" s="1"/>
  <c r="AL44" i="72"/>
  <c r="AH44" i="72" s="1"/>
  <c r="AG44" i="72"/>
  <c r="AE44" i="72" s="1"/>
  <c r="AB44" i="72"/>
  <c r="X44" i="72" s="1"/>
  <c r="W44" i="72"/>
  <c r="U44" i="72" s="1"/>
  <c r="R44" i="72"/>
  <c r="O44" i="72" s="1"/>
  <c r="M44" i="72"/>
  <c r="L44" i="72"/>
  <c r="F30" i="72"/>
  <c r="H26" i="72"/>
  <c r="DA26" i="72" s="1"/>
  <c r="E27" i="72"/>
  <c r="E26" i="72"/>
  <c r="E25" i="72"/>
  <c r="BA25" i="72" s="1"/>
  <c r="AW25" i="72" s="1"/>
  <c r="DP25" i="72"/>
  <c r="DO25" i="72"/>
  <c r="DN25" i="72"/>
  <c r="DM25" i="72"/>
  <c r="DA25" i="72"/>
  <c r="CZ25" i="72"/>
  <c r="CY25" i="72"/>
  <c r="CX25" i="72"/>
  <c r="CV25" i="72"/>
  <c r="CU25" i="72"/>
  <c r="CT25" i="72"/>
  <c r="CS25" i="72"/>
  <c r="CQ25" i="72"/>
  <c r="CP25" i="72"/>
  <c r="CO25" i="72"/>
  <c r="CN25" i="72"/>
  <c r="CL25" i="72"/>
  <c r="CK25" i="72"/>
  <c r="CJ25" i="72"/>
  <c r="CI25" i="72"/>
  <c r="CG25" i="72"/>
  <c r="CF25" i="72"/>
  <c r="CE25" i="72"/>
  <c r="CD25" i="72"/>
  <c r="CB25" i="72"/>
  <c r="CA25" i="72"/>
  <c r="BZ25" i="72"/>
  <c r="BY25" i="72"/>
  <c r="BW25" i="72"/>
  <c r="BV25" i="72"/>
  <c r="BU25" i="72"/>
  <c r="BT25" i="72"/>
  <c r="BR25" i="72"/>
  <c r="BS25" i="72" s="1"/>
  <c r="BX25" i="72" s="1"/>
  <c r="CC25" i="72" s="1"/>
  <c r="CH25" i="72" s="1"/>
  <c r="CM25" i="72" s="1"/>
  <c r="CR25" i="72" s="1"/>
  <c r="CW25" i="72" s="1"/>
  <c r="DB25" i="72" s="1"/>
  <c r="BK25" i="72"/>
  <c r="BI25" i="72" s="1"/>
  <c r="BF25" i="72"/>
  <c r="BD25" i="72" s="1"/>
  <c r="AV25" i="72"/>
  <c r="AQ25" i="72"/>
  <c r="AO25" i="72" s="1"/>
  <c r="AL25" i="72"/>
  <c r="AJ25" i="72" s="1"/>
  <c r="AG25" i="72"/>
  <c r="AE25" i="72" s="1"/>
  <c r="AB25" i="72"/>
  <c r="Z25" i="72" s="1"/>
  <c r="W25" i="72"/>
  <c r="S25" i="72" s="1"/>
  <c r="R25" i="72"/>
  <c r="P25" i="72" s="1"/>
  <c r="M25" i="72"/>
  <c r="L25" i="72"/>
  <c r="F22" i="72"/>
  <c r="E19" i="72"/>
  <c r="E18" i="72"/>
  <c r="DP19" i="72"/>
  <c r="DO19" i="72"/>
  <c r="DN19" i="72"/>
  <c r="DM19" i="72"/>
  <c r="DK19" i="72"/>
  <c r="DJ19" i="72"/>
  <c r="DI19" i="72"/>
  <c r="DH19" i="72"/>
  <c r="DF19" i="72"/>
  <c r="DE19" i="72"/>
  <c r="DD19" i="72"/>
  <c r="DC19" i="72"/>
  <c r="DA19" i="72"/>
  <c r="CZ19" i="72"/>
  <c r="CY19" i="72"/>
  <c r="CX19" i="72"/>
  <c r="CV19" i="72"/>
  <c r="CU19" i="72"/>
  <c r="CT19" i="72"/>
  <c r="CS19" i="72"/>
  <c r="CQ19" i="72"/>
  <c r="CP19" i="72"/>
  <c r="CO19" i="72"/>
  <c r="CN19" i="72"/>
  <c r="CL19" i="72"/>
  <c r="CK19" i="72"/>
  <c r="CJ19" i="72"/>
  <c r="CI19" i="72"/>
  <c r="CG19" i="72"/>
  <c r="CF19" i="72"/>
  <c r="CE19" i="72"/>
  <c r="CD19" i="72"/>
  <c r="CB19" i="72"/>
  <c r="CA19" i="72"/>
  <c r="BZ19" i="72"/>
  <c r="BY19" i="72"/>
  <c r="BW19" i="72"/>
  <c r="BV19" i="72"/>
  <c r="BU19" i="72"/>
  <c r="BT19" i="72"/>
  <c r="BR19" i="72"/>
  <c r="BS19" i="72" s="1"/>
  <c r="BX19" i="72" s="1"/>
  <c r="CC19" i="72" s="1"/>
  <c r="CH19" i="72" s="1"/>
  <c r="CM19" i="72" s="1"/>
  <c r="CR19" i="72" s="1"/>
  <c r="CW19" i="72" s="1"/>
  <c r="DB19" i="72" s="1"/>
  <c r="DG19" i="72" s="1"/>
  <c r="DL19" i="72" s="1"/>
  <c r="DQ19" i="72" s="1"/>
  <c r="DV19" i="72" s="1"/>
  <c r="DK18" i="72"/>
  <c r="DJ18" i="72"/>
  <c r="DI18" i="72"/>
  <c r="DH18" i="72"/>
  <c r="DF18" i="72"/>
  <c r="DE18" i="72"/>
  <c r="DD18" i="72"/>
  <c r="DC18" i="72"/>
  <c r="DA18" i="72"/>
  <c r="CZ18" i="72"/>
  <c r="CY18" i="72"/>
  <c r="CX18" i="72"/>
  <c r="CV18" i="72"/>
  <c r="CU18" i="72"/>
  <c r="CT18" i="72"/>
  <c r="CS18" i="72"/>
  <c r="CQ18" i="72"/>
  <c r="CP18" i="72"/>
  <c r="CO18" i="72"/>
  <c r="CN18" i="72"/>
  <c r="CL18" i="72"/>
  <c r="CK18" i="72"/>
  <c r="CJ18" i="72"/>
  <c r="CI18" i="72"/>
  <c r="CG18" i="72"/>
  <c r="CF18" i="72"/>
  <c r="CE18" i="72"/>
  <c r="CD18" i="72"/>
  <c r="CB18" i="72"/>
  <c r="CA18" i="72"/>
  <c r="BZ18" i="72"/>
  <c r="BY18" i="72"/>
  <c r="BW18" i="72"/>
  <c r="BV18" i="72"/>
  <c r="BU18" i="72"/>
  <c r="BT18" i="72"/>
  <c r="BR18" i="72"/>
  <c r="BK19" i="72"/>
  <c r="BI19" i="72" s="1"/>
  <c r="BF19" i="72"/>
  <c r="BB19" i="72" s="1"/>
  <c r="BA19" i="72"/>
  <c r="AZ19" i="72" s="1"/>
  <c r="AV19" i="72"/>
  <c r="AQ19" i="72"/>
  <c r="AO19" i="72" s="1"/>
  <c r="AL19" i="72"/>
  <c r="AH19" i="72" s="1"/>
  <c r="AG19" i="72"/>
  <c r="AF19" i="72" s="1"/>
  <c r="AB19" i="72"/>
  <c r="X19" i="72" s="1"/>
  <c r="W19" i="72"/>
  <c r="U19" i="72" s="1"/>
  <c r="R19" i="72"/>
  <c r="N19" i="72" s="1"/>
  <c r="M19" i="72"/>
  <c r="L19" i="72"/>
  <c r="BF18" i="72"/>
  <c r="BD18" i="72" s="1"/>
  <c r="BA18" i="72"/>
  <c r="AZ18" i="72" s="1"/>
  <c r="AV18" i="72"/>
  <c r="AQ18" i="72"/>
  <c r="AO18" i="72" s="1"/>
  <c r="AL18" i="72"/>
  <c r="AJ18" i="72" s="1"/>
  <c r="AG18" i="72"/>
  <c r="AF18" i="72" s="1"/>
  <c r="AB18" i="72"/>
  <c r="Z18" i="72" s="1"/>
  <c r="W18" i="72"/>
  <c r="R18" i="72"/>
  <c r="P18" i="72" s="1"/>
  <c r="M18" i="72"/>
  <c r="L18" i="72"/>
  <c r="B2" i="72"/>
  <c r="BL70" i="51"/>
  <c r="BL69" i="51"/>
  <c r="BL68" i="51"/>
  <c r="BL67" i="51"/>
  <c r="BG70" i="51"/>
  <c r="BG69" i="51"/>
  <c r="BG68" i="51"/>
  <c r="BG67" i="51"/>
  <c r="BB70" i="51"/>
  <c r="BB69" i="51"/>
  <c r="BB68" i="51"/>
  <c r="BB67" i="51"/>
  <c r="BK63" i="51"/>
  <c r="BJ63" i="51"/>
  <c r="BI63" i="51"/>
  <c r="BH63" i="51"/>
  <c r="BF63" i="51"/>
  <c r="BE63" i="51"/>
  <c r="BD63" i="51"/>
  <c r="BC63" i="51"/>
  <c r="BA63" i="51"/>
  <c r="AZ63" i="51"/>
  <c r="AY63" i="51"/>
  <c r="AX63" i="51"/>
  <c r="BL62" i="51"/>
  <c r="BL61" i="51"/>
  <c r="BG62" i="51"/>
  <c r="BG61" i="51"/>
  <c r="BG81" i="46" s="1"/>
  <c r="BB62" i="51"/>
  <c r="BB61" i="51"/>
  <c r="AL59" i="51"/>
  <c r="AG59" i="51"/>
  <c r="AB59" i="51"/>
  <c r="W59" i="51"/>
  <c r="R59" i="51"/>
  <c r="M59" i="51"/>
  <c r="BK57" i="51"/>
  <c r="BJ57" i="51"/>
  <c r="BF57" i="51"/>
  <c r="BE57" i="51"/>
  <c r="BA57" i="51"/>
  <c r="AZ57" i="51"/>
  <c r="AO42" i="51"/>
  <c r="AN42" i="51"/>
  <c r="AM42" i="51"/>
  <c r="AL42" i="51"/>
  <c r="AK42" i="51"/>
  <c r="AJ42" i="51"/>
  <c r="AI42" i="51"/>
  <c r="AH42" i="51"/>
  <c r="AG42" i="51"/>
  <c r="AF42" i="51"/>
  <c r="AE42" i="51"/>
  <c r="AD42" i="51"/>
  <c r="AC42" i="51"/>
  <c r="AA42" i="51"/>
  <c r="Z42" i="51"/>
  <c r="Y42" i="51"/>
  <c r="X42" i="51"/>
  <c r="V42" i="51"/>
  <c r="U42" i="51"/>
  <c r="T42" i="51"/>
  <c r="S42" i="51"/>
  <c r="Q42" i="51"/>
  <c r="P42" i="51"/>
  <c r="O42" i="51"/>
  <c r="L42" i="51"/>
  <c r="K42" i="51"/>
  <c r="J42" i="51"/>
  <c r="G42" i="51"/>
  <c r="F42" i="51"/>
  <c r="E42" i="51"/>
  <c r="AO41" i="51"/>
  <c r="AN41" i="51"/>
  <c r="AM41" i="51"/>
  <c r="AL41" i="51"/>
  <c r="AK41" i="51"/>
  <c r="AJ41" i="51"/>
  <c r="AI41" i="51"/>
  <c r="AH41" i="51"/>
  <c r="AG41" i="51"/>
  <c r="AF41" i="51"/>
  <c r="AE41" i="51"/>
  <c r="AD41" i="51"/>
  <c r="AC41" i="51"/>
  <c r="AA41" i="51"/>
  <c r="Z41" i="51"/>
  <c r="Y41" i="51"/>
  <c r="X41" i="51"/>
  <c r="V41" i="51"/>
  <c r="U41" i="51"/>
  <c r="T41" i="51"/>
  <c r="S41" i="51"/>
  <c r="Q41" i="51"/>
  <c r="P41" i="51"/>
  <c r="O41" i="51"/>
  <c r="L41" i="51"/>
  <c r="K41" i="51"/>
  <c r="J41" i="51"/>
  <c r="G41" i="51"/>
  <c r="F41" i="51"/>
  <c r="E41" i="51"/>
  <c r="BL38" i="51"/>
  <c r="BG38" i="51"/>
  <c r="BB38" i="51"/>
  <c r="AO38" i="51"/>
  <c r="AN38" i="51"/>
  <c r="AJ38" i="51"/>
  <c r="AI38" i="51"/>
  <c r="AD38" i="51"/>
  <c r="Y38" i="51"/>
  <c r="V38" i="51"/>
  <c r="Q38" i="51"/>
  <c r="P38" i="51"/>
  <c r="O38" i="51"/>
  <c r="L38" i="51"/>
  <c r="AO35" i="51"/>
  <c r="AY35" i="51" s="1"/>
  <c r="BD35" i="51" s="1"/>
  <c r="BI35" i="51" s="1"/>
  <c r="BN35" i="51" s="1"/>
  <c r="AN35" i="51"/>
  <c r="AM35" i="51"/>
  <c r="AK35" i="51"/>
  <c r="AZ35" i="51" s="1"/>
  <c r="BE35" i="51" s="1"/>
  <c r="BJ35" i="51" s="1"/>
  <c r="BO35" i="51" s="1"/>
  <c r="AJ35" i="51"/>
  <c r="AI35" i="51"/>
  <c r="AH35" i="51"/>
  <c r="AF35" i="51"/>
  <c r="AE35" i="51"/>
  <c r="AD35" i="51"/>
  <c r="AC35" i="51"/>
  <c r="AA35" i="51"/>
  <c r="Z35" i="51"/>
  <c r="Y35" i="51"/>
  <c r="X35" i="51"/>
  <c r="V35" i="51"/>
  <c r="U35" i="51"/>
  <c r="T35" i="51"/>
  <c r="S35" i="51"/>
  <c r="Q35" i="51"/>
  <c r="P35" i="51"/>
  <c r="O35" i="51"/>
  <c r="N35" i="51"/>
  <c r="L35" i="51"/>
  <c r="K35" i="51"/>
  <c r="J35" i="51"/>
  <c r="I35" i="51"/>
  <c r="G35" i="51"/>
  <c r="F35" i="51"/>
  <c r="E35" i="51"/>
  <c r="AO32" i="51"/>
  <c r="AN32" i="51"/>
  <c r="AM32" i="51"/>
  <c r="AK32" i="51"/>
  <c r="AJ32" i="51"/>
  <c r="AI32" i="51"/>
  <c r="AH32" i="51"/>
  <c r="AF32" i="51"/>
  <c r="AE32" i="51"/>
  <c r="AD32" i="51"/>
  <c r="AC32" i="51"/>
  <c r="AA32" i="51"/>
  <c r="Z32" i="51"/>
  <c r="Y32" i="51"/>
  <c r="X32" i="51"/>
  <c r="V32" i="51"/>
  <c r="U32" i="51"/>
  <c r="T32" i="51"/>
  <c r="S32" i="51"/>
  <c r="Q32" i="51"/>
  <c r="P32" i="51"/>
  <c r="O32" i="51"/>
  <c r="N32" i="51"/>
  <c r="L32" i="51"/>
  <c r="K32" i="51"/>
  <c r="J32" i="51"/>
  <c r="I32" i="51"/>
  <c r="G32" i="51"/>
  <c r="F32" i="51"/>
  <c r="E32" i="51"/>
  <c r="AJ24" i="51"/>
  <c r="AI24" i="51"/>
  <c r="AE24" i="51"/>
  <c r="AD24" i="51"/>
  <c r="Z24" i="51"/>
  <c r="Y24" i="51"/>
  <c r="V24" i="51"/>
  <c r="U24" i="51"/>
  <c r="Q24" i="51"/>
  <c r="P24" i="51"/>
  <c r="O24" i="51"/>
  <c r="L24" i="51"/>
  <c r="K24" i="51"/>
  <c r="AZ24" i="51"/>
  <c r="BE24" i="51" s="1"/>
  <c r="BJ24" i="51" s="1"/>
  <c r="BO24" i="51" s="1"/>
  <c r="AO23" i="51"/>
  <c r="AN23" i="51"/>
  <c r="AM23" i="51"/>
  <c r="AK23" i="51"/>
  <c r="AJ23" i="51"/>
  <c r="AI23" i="51"/>
  <c r="AH23" i="51"/>
  <c r="AF23" i="51"/>
  <c r="AE23" i="51"/>
  <c r="AD23" i="51"/>
  <c r="AC23" i="51"/>
  <c r="AA23" i="51"/>
  <c r="Z23" i="51"/>
  <c r="Y23" i="51"/>
  <c r="X23" i="51"/>
  <c r="V23" i="51"/>
  <c r="U23" i="51"/>
  <c r="T23" i="51"/>
  <c r="S23" i="51"/>
  <c r="Q23" i="51"/>
  <c r="P23" i="51"/>
  <c r="O23" i="51"/>
  <c r="N23" i="51"/>
  <c r="L23" i="51"/>
  <c r="K23" i="51"/>
  <c r="J23" i="51"/>
  <c r="I23" i="51"/>
  <c r="G23" i="51"/>
  <c r="F23" i="51"/>
  <c r="E23" i="51"/>
  <c r="AO22" i="51"/>
  <c r="AY22" i="51" s="1"/>
  <c r="BD22" i="51" s="1"/>
  <c r="BI22" i="51" s="1"/>
  <c r="BN22" i="51" s="1"/>
  <c r="AN22" i="51"/>
  <c r="AX22" i="51" s="1"/>
  <c r="AM22" i="51"/>
  <c r="AK22" i="51"/>
  <c r="AZ22" i="51" s="1"/>
  <c r="BE22" i="51" s="1"/>
  <c r="BJ22" i="51" s="1"/>
  <c r="BO22" i="51" s="1"/>
  <c r="AJ22" i="51"/>
  <c r="AI22" i="51"/>
  <c r="AH22" i="51"/>
  <c r="AF22" i="51"/>
  <c r="AE22" i="51"/>
  <c r="AD22" i="51"/>
  <c r="AC22" i="51"/>
  <c r="AA22" i="51"/>
  <c r="Z22" i="51"/>
  <c r="Y22" i="51"/>
  <c r="X22" i="51"/>
  <c r="V22" i="51"/>
  <c r="U22" i="51"/>
  <c r="T22" i="51"/>
  <c r="S22" i="51"/>
  <c r="Q22" i="51"/>
  <c r="P22" i="51"/>
  <c r="O22" i="51"/>
  <c r="N22" i="51"/>
  <c r="L22" i="51"/>
  <c r="K22" i="51"/>
  <c r="J22" i="51"/>
  <c r="I22" i="51"/>
  <c r="G22" i="51"/>
  <c r="F22" i="51"/>
  <c r="E22" i="51"/>
  <c r="AO17" i="51"/>
  <c r="AY17" i="51" s="1"/>
  <c r="BD17" i="51" s="1"/>
  <c r="BI17" i="51" s="1"/>
  <c r="AN17" i="51"/>
  <c r="AX17" i="51" s="1"/>
  <c r="BC17" i="51" s="1"/>
  <c r="BH17" i="51" s="1"/>
  <c r="AM17" i="51"/>
  <c r="AK17" i="51"/>
  <c r="AJ17" i="51"/>
  <c r="AI17" i="51"/>
  <c r="AH17" i="51"/>
  <c r="AF17" i="51"/>
  <c r="AE17" i="51"/>
  <c r="AD17" i="51"/>
  <c r="AC17" i="51"/>
  <c r="AA17" i="51"/>
  <c r="Z17" i="51"/>
  <c r="Y17" i="51"/>
  <c r="X17" i="51"/>
  <c r="V17" i="51"/>
  <c r="U17" i="51"/>
  <c r="T17" i="51"/>
  <c r="S17" i="51"/>
  <c r="Q17" i="51"/>
  <c r="P17" i="51"/>
  <c r="O17" i="51"/>
  <c r="N17" i="51"/>
  <c r="L17" i="51"/>
  <c r="K17" i="51"/>
  <c r="J17" i="51"/>
  <c r="I17" i="51"/>
  <c r="G17" i="51"/>
  <c r="F17" i="51"/>
  <c r="E17" i="51"/>
  <c r="AO16" i="51"/>
  <c r="AY16" i="51" s="1"/>
  <c r="BD16" i="51" s="1"/>
  <c r="BI16" i="51" s="1"/>
  <c r="BN16" i="51" s="1"/>
  <c r="AN16" i="51"/>
  <c r="AX16" i="51" s="1"/>
  <c r="BC16" i="51" s="1"/>
  <c r="BH16" i="51" s="1"/>
  <c r="AM16" i="51"/>
  <c r="AK16" i="51"/>
  <c r="AJ16" i="51"/>
  <c r="AI16" i="51"/>
  <c r="AH16" i="51"/>
  <c r="AF16" i="51"/>
  <c r="AE16" i="51"/>
  <c r="AD16" i="51"/>
  <c r="AC16" i="51"/>
  <c r="AA16" i="51"/>
  <c r="Z16" i="51"/>
  <c r="Y16" i="51"/>
  <c r="X16" i="51"/>
  <c r="V16" i="51"/>
  <c r="U16" i="51"/>
  <c r="T16" i="51"/>
  <c r="S16" i="51"/>
  <c r="Q16" i="51"/>
  <c r="P16" i="51"/>
  <c r="O16" i="51"/>
  <c r="N16" i="51"/>
  <c r="L16" i="51"/>
  <c r="K16" i="51"/>
  <c r="J16" i="51"/>
  <c r="I16" i="51"/>
  <c r="G16" i="51"/>
  <c r="F16" i="51"/>
  <c r="E16" i="51"/>
  <c r="AO15" i="51"/>
  <c r="AY15" i="51" s="1"/>
  <c r="BD15" i="51" s="1"/>
  <c r="BI15" i="51" s="1"/>
  <c r="BN15" i="51" s="1"/>
  <c r="AN15" i="51"/>
  <c r="AX15" i="51" s="1"/>
  <c r="BC15" i="51" s="1"/>
  <c r="BH15" i="51" s="1"/>
  <c r="AM15" i="51"/>
  <c r="AK15" i="51"/>
  <c r="AJ15" i="51"/>
  <c r="AI15" i="51"/>
  <c r="AH15" i="51"/>
  <c r="AF15" i="51"/>
  <c r="AE15" i="51"/>
  <c r="AD15" i="51"/>
  <c r="AC15" i="51"/>
  <c r="AA15" i="51"/>
  <c r="Z15" i="51"/>
  <c r="Y15" i="51"/>
  <c r="X15" i="51"/>
  <c r="V15" i="51"/>
  <c r="U15" i="51"/>
  <c r="T15" i="51"/>
  <c r="S15" i="51"/>
  <c r="Q15" i="51"/>
  <c r="P15" i="51"/>
  <c r="O15" i="51"/>
  <c r="N15" i="51"/>
  <c r="L15" i="51"/>
  <c r="K15" i="51"/>
  <c r="J15" i="51"/>
  <c r="I15" i="51"/>
  <c r="G15" i="51"/>
  <c r="F15" i="51"/>
  <c r="E15" i="51"/>
  <c r="AO14" i="51"/>
  <c r="AY14" i="51" s="1"/>
  <c r="BD14" i="51" s="1"/>
  <c r="BI14" i="51" s="1"/>
  <c r="AN14" i="51"/>
  <c r="AX14" i="51" s="1"/>
  <c r="BC14" i="51" s="1"/>
  <c r="BH14" i="51" s="1"/>
  <c r="AM14" i="51"/>
  <c r="AK14" i="51"/>
  <c r="AJ14" i="51"/>
  <c r="AI14" i="51"/>
  <c r="AH14" i="51"/>
  <c r="AF14" i="51"/>
  <c r="AE14" i="51"/>
  <c r="AD14" i="51"/>
  <c r="AC14" i="51"/>
  <c r="AA14" i="51"/>
  <c r="Z14" i="51"/>
  <c r="Y14" i="51"/>
  <c r="X14" i="51"/>
  <c r="V14" i="51"/>
  <c r="U14" i="51"/>
  <c r="T14" i="51"/>
  <c r="S14" i="51"/>
  <c r="Q14" i="51"/>
  <c r="P14" i="51"/>
  <c r="O14" i="51"/>
  <c r="N14" i="51"/>
  <c r="L14" i="51"/>
  <c r="K14" i="51"/>
  <c r="J14" i="51"/>
  <c r="I14" i="51"/>
  <c r="G14" i="51"/>
  <c r="F14" i="51"/>
  <c r="E14" i="51"/>
  <c r="AO13" i="51"/>
  <c r="AY13" i="51" s="1"/>
  <c r="BD13" i="51" s="1"/>
  <c r="BI13" i="51" s="1"/>
  <c r="BN13" i="51" s="1"/>
  <c r="AN13" i="51"/>
  <c r="AX13" i="51" s="1"/>
  <c r="BC13" i="51" s="1"/>
  <c r="BH13" i="51" s="1"/>
  <c r="AM13" i="51"/>
  <c r="AK13" i="51"/>
  <c r="AJ13" i="51"/>
  <c r="AI13" i="51"/>
  <c r="AH13" i="51"/>
  <c r="AF13" i="51"/>
  <c r="AE13" i="51"/>
  <c r="AD13" i="51"/>
  <c r="AC13" i="51"/>
  <c r="AA13" i="51"/>
  <c r="Z13" i="51"/>
  <c r="Y13" i="51"/>
  <c r="X13" i="51"/>
  <c r="V13" i="51"/>
  <c r="U13" i="51"/>
  <c r="T13" i="51"/>
  <c r="S13" i="51"/>
  <c r="Q13" i="51"/>
  <c r="P13" i="51"/>
  <c r="O13" i="51"/>
  <c r="N13" i="51"/>
  <c r="L13" i="51"/>
  <c r="K13" i="51"/>
  <c r="J13" i="51"/>
  <c r="I13" i="51"/>
  <c r="G13" i="51"/>
  <c r="F13" i="51"/>
  <c r="E13" i="51"/>
  <c r="B2" i="51"/>
  <c r="AM489" i="15"/>
  <c r="AH489" i="15"/>
  <c r="AC489" i="15"/>
  <c r="X489" i="15"/>
  <c r="S489" i="15"/>
  <c r="P489" i="15"/>
  <c r="N489" i="15"/>
  <c r="I489" i="15"/>
  <c r="AM486" i="15"/>
  <c r="AH486" i="15"/>
  <c r="AC486" i="15"/>
  <c r="X486" i="15"/>
  <c r="S486" i="15"/>
  <c r="N486" i="15"/>
  <c r="I486" i="15"/>
  <c r="L483" i="15"/>
  <c r="L107" i="46" s="1"/>
  <c r="K483" i="15"/>
  <c r="K107" i="46" s="1"/>
  <c r="J483" i="15"/>
  <c r="J107" i="46" s="1"/>
  <c r="G483" i="15"/>
  <c r="F483" i="15"/>
  <c r="E483" i="15"/>
  <c r="AO482" i="15"/>
  <c r="AN482" i="15"/>
  <c r="AL482" i="15"/>
  <c r="AM482" i="15" s="1"/>
  <c r="AK482" i="15"/>
  <c r="AJ482" i="15"/>
  <c r="AI482" i="15"/>
  <c r="AG482" i="15"/>
  <c r="AH482" i="15" s="1"/>
  <c r="AF482" i="15"/>
  <c r="AE482" i="15"/>
  <c r="AD482" i="15"/>
  <c r="AB482" i="15"/>
  <c r="AC482" i="15" s="1"/>
  <c r="AA482" i="15"/>
  <c r="Z482" i="15"/>
  <c r="Y482" i="15"/>
  <c r="W482" i="15"/>
  <c r="X482" i="15" s="1"/>
  <c r="V482" i="15"/>
  <c r="U482" i="15"/>
  <c r="T482" i="15"/>
  <c r="R482" i="15"/>
  <c r="S482" i="15" s="1"/>
  <c r="N482" i="15"/>
  <c r="I482" i="15"/>
  <c r="AM481" i="15"/>
  <c r="AH481" i="15"/>
  <c r="AC481" i="15"/>
  <c r="X481" i="15"/>
  <c r="S481" i="15"/>
  <c r="Q481" i="15"/>
  <c r="Q483" i="15" s="1"/>
  <c r="Q107" i="46" s="1"/>
  <c r="P481" i="15"/>
  <c r="P483" i="15" s="1"/>
  <c r="P107" i="46" s="1"/>
  <c r="O481" i="15"/>
  <c r="O483" i="15" s="1"/>
  <c r="O107" i="46" s="1"/>
  <c r="M481" i="15"/>
  <c r="M483" i="15" s="1"/>
  <c r="M107" i="46" s="1"/>
  <c r="H481" i="15"/>
  <c r="H483" i="15" s="1"/>
  <c r="AM479" i="15"/>
  <c r="AM474" i="15" s="1"/>
  <c r="AH479" i="15"/>
  <c r="AH474" i="15" s="1"/>
  <c r="AB479" i="15"/>
  <c r="AC479" i="15" s="1"/>
  <c r="X479" i="15"/>
  <c r="X474" i="15" s="1"/>
  <c r="S479" i="15"/>
  <c r="N479" i="15"/>
  <c r="I479" i="15"/>
  <c r="BH467" i="15"/>
  <c r="BH114" i="46" s="1"/>
  <c r="BC467" i="15"/>
  <c r="BD467" i="15" s="1"/>
  <c r="BD114" i="46" s="1"/>
  <c r="AX467" i="15"/>
  <c r="AX114" i="46" s="1"/>
  <c r="AT114" i="46"/>
  <c r="BL466" i="15"/>
  <c r="BG466" i="15"/>
  <c r="BB466" i="15"/>
  <c r="BL461" i="15"/>
  <c r="BG461" i="15"/>
  <c r="BB461" i="15"/>
  <c r="AL458" i="15"/>
  <c r="AE458" i="15"/>
  <c r="AF458" i="15" s="1"/>
  <c r="BK457" i="15"/>
  <c r="BJ457" i="15"/>
  <c r="BI457" i="15"/>
  <c r="BH457" i="15"/>
  <c r="BK456" i="15"/>
  <c r="BJ456" i="15"/>
  <c r="BI456" i="15"/>
  <c r="BH456" i="15"/>
  <c r="BF457" i="15"/>
  <c r="BE457" i="15"/>
  <c r="BD457" i="15"/>
  <c r="BC457" i="15"/>
  <c r="BF456" i="15"/>
  <c r="BE456" i="15"/>
  <c r="BD456" i="15"/>
  <c r="BC456" i="15"/>
  <c r="BA457" i="15"/>
  <c r="AZ457" i="15"/>
  <c r="AY457" i="15"/>
  <c r="AX457" i="15"/>
  <c r="BA456" i="15"/>
  <c r="AZ456" i="15"/>
  <c r="AY456" i="15"/>
  <c r="AX456" i="15"/>
  <c r="AM456" i="15"/>
  <c r="AH456" i="15"/>
  <c r="X455" i="15"/>
  <c r="S455" i="15"/>
  <c r="N455" i="15"/>
  <c r="AO455" i="15"/>
  <c r="AN455" i="15"/>
  <c r="AK455" i="15"/>
  <c r="AJ455" i="15"/>
  <c r="AI455" i="15"/>
  <c r="AF455" i="15"/>
  <c r="AE455" i="15"/>
  <c r="AD455" i="15"/>
  <c r="AC455" i="15"/>
  <c r="BL450" i="15"/>
  <c r="BG450" i="15"/>
  <c r="BB450" i="15"/>
  <c r="BK435" i="15"/>
  <c r="BJ435" i="15"/>
  <c r="BI435" i="15"/>
  <c r="BH435" i="15"/>
  <c r="BF435" i="15"/>
  <c r="BE435" i="15"/>
  <c r="BD435" i="15"/>
  <c r="BC435" i="15"/>
  <c r="BA435" i="15"/>
  <c r="AZ435" i="15"/>
  <c r="AY435" i="15"/>
  <c r="AX435" i="15"/>
  <c r="AC431" i="15"/>
  <c r="X431" i="15"/>
  <c r="X460" i="15" s="1"/>
  <c r="X80" i="46" s="1"/>
  <c r="CI38" i="65" s="1"/>
  <c r="S431" i="15"/>
  <c r="S460" i="15" s="1"/>
  <c r="S80" i="46" s="1"/>
  <c r="CD38" i="65" s="1"/>
  <c r="N431" i="15"/>
  <c r="N460" i="15" s="1"/>
  <c r="N80" i="46" s="1"/>
  <c r="BY38" i="65" s="1"/>
  <c r="I431" i="15"/>
  <c r="I430" i="15" s="1"/>
  <c r="W429" i="15"/>
  <c r="V429" i="15"/>
  <c r="U429" i="15"/>
  <c r="T429" i="15"/>
  <c r="R429" i="15"/>
  <c r="Q429" i="15"/>
  <c r="P429" i="15"/>
  <c r="O429" i="15"/>
  <c r="M429" i="15"/>
  <c r="L429" i="15"/>
  <c r="K429" i="15"/>
  <c r="J429" i="15"/>
  <c r="H429" i="15"/>
  <c r="G429" i="15"/>
  <c r="F429" i="15"/>
  <c r="E429" i="15"/>
  <c r="AO426" i="15"/>
  <c r="AN426" i="15"/>
  <c r="AK426" i="15"/>
  <c r="AJ426" i="15"/>
  <c r="AI426" i="15"/>
  <c r="AF426" i="15"/>
  <c r="AE426" i="15"/>
  <c r="AD426" i="15"/>
  <c r="AA426" i="15"/>
  <c r="Z426" i="15"/>
  <c r="Y426" i="15"/>
  <c r="V426" i="15"/>
  <c r="U426" i="15"/>
  <c r="T426" i="15"/>
  <c r="Q426" i="15"/>
  <c r="P426" i="15"/>
  <c r="O426" i="15"/>
  <c r="L426" i="15"/>
  <c r="K426" i="15"/>
  <c r="J426" i="15"/>
  <c r="I426" i="15"/>
  <c r="G426" i="15"/>
  <c r="F426" i="15"/>
  <c r="E426" i="15"/>
  <c r="AM424" i="15"/>
  <c r="AH424" i="15"/>
  <c r="AC424" i="15"/>
  <c r="X424" i="15"/>
  <c r="S424" i="15"/>
  <c r="N424" i="15"/>
  <c r="AM422" i="15"/>
  <c r="AH422" i="15"/>
  <c r="AC422" i="15"/>
  <c r="X422" i="15"/>
  <c r="S422" i="15"/>
  <c r="N422" i="15"/>
  <c r="AO420" i="15"/>
  <c r="AN420" i="15"/>
  <c r="AL420" i="15"/>
  <c r="AK420" i="15"/>
  <c r="AJ420" i="15"/>
  <c r="AI420" i="15"/>
  <c r="AG420" i="15"/>
  <c r="AE420" i="15"/>
  <c r="AD420" i="15"/>
  <c r="AM419" i="15"/>
  <c r="AM418" i="15"/>
  <c r="AM417" i="15"/>
  <c r="AH419" i="15"/>
  <c r="AH418" i="15"/>
  <c r="AH417" i="15"/>
  <c r="AC419" i="15"/>
  <c r="AC418" i="15"/>
  <c r="X418" i="15"/>
  <c r="S418" i="15"/>
  <c r="N418" i="15"/>
  <c r="AF417" i="15"/>
  <c r="AF420" i="15" s="1"/>
  <c r="AB417" i="15"/>
  <c r="AC417" i="15" s="1"/>
  <c r="AA417" i="15"/>
  <c r="AA420" i="15" s="1"/>
  <c r="Z417" i="15"/>
  <c r="Z420" i="15" s="1"/>
  <c r="Y417" i="15"/>
  <c r="Y420" i="15" s="1"/>
  <c r="W417" i="15"/>
  <c r="W420" i="15" s="1"/>
  <c r="X420" i="15" s="1"/>
  <c r="EE61" i="64" s="1"/>
  <c r="V417" i="15"/>
  <c r="V420" i="15" s="1"/>
  <c r="U417" i="15"/>
  <c r="U420" i="15" s="1"/>
  <c r="T417" i="15"/>
  <c r="T420" i="15" s="1"/>
  <c r="R417" i="15"/>
  <c r="S417" i="15" s="1"/>
  <c r="Q417" i="15"/>
  <c r="Q420" i="15" s="1"/>
  <c r="P417" i="15"/>
  <c r="P420" i="15" s="1"/>
  <c r="O417" i="15"/>
  <c r="O420" i="15" s="1"/>
  <c r="M417" i="15"/>
  <c r="M420" i="15" s="1"/>
  <c r="N420" i="15" s="1"/>
  <c r="L417" i="15"/>
  <c r="L420" i="15" s="1"/>
  <c r="BL409" i="15"/>
  <c r="BG409" i="15"/>
  <c r="BB409" i="15"/>
  <c r="AL409" i="15"/>
  <c r="AG409" i="15"/>
  <c r="AB409" i="15"/>
  <c r="W409" i="15"/>
  <c r="R409" i="15"/>
  <c r="M409" i="15"/>
  <c r="H409" i="15"/>
  <c r="AM408" i="15"/>
  <c r="AM411" i="15" s="1"/>
  <c r="AR412" i="15" s="1"/>
  <c r="AK408" i="15"/>
  <c r="AK411" i="15" s="1"/>
  <c r="AP412" i="15" s="1"/>
  <c r="AJ408" i="15"/>
  <c r="AJ411" i="15" s="1"/>
  <c r="AO412" i="15" s="1"/>
  <c r="AI408" i="15"/>
  <c r="AI411" i="15" s="1"/>
  <c r="AN412" i="15" s="1"/>
  <c r="AH408" i="15"/>
  <c r="AH411" i="15" s="1"/>
  <c r="AF408" i="15"/>
  <c r="AF411" i="15" s="1"/>
  <c r="AE408" i="15"/>
  <c r="AE411" i="15" s="1"/>
  <c r="AD408" i="15"/>
  <c r="AD411" i="15" s="1"/>
  <c r="AC408" i="15"/>
  <c r="AC411" i="15" s="1"/>
  <c r="AA408" i="15"/>
  <c r="AA411" i="15" s="1"/>
  <c r="Z408" i="15"/>
  <c r="Z411" i="15" s="1"/>
  <c r="Y408" i="15"/>
  <c r="Y411" i="15" s="1"/>
  <c r="X408" i="15"/>
  <c r="X411" i="15" s="1"/>
  <c r="V408" i="15"/>
  <c r="V411" i="15" s="1"/>
  <c r="U408" i="15"/>
  <c r="U411" i="15" s="1"/>
  <c r="T408" i="15"/>
  <c r="T411" i="15" s="1"/>
  <c r="S408" i="15"/>
  <c r="S411" i="15" s="1"/>
  <c r="Q408" i="15"/>
  <c r="Q411" i="15" s="1"/>
  <c r="P408" i="15"/>
  <c r="P411" i="15" s="1"/>
  <c r="O408" i="15"/>
  <c r="O411" i="15" s="1"/>
  <c r="N408" i="15"/>
  <c r="N411" i="15" s="1"/>
  <c r="L408" i="15"/>
  <c r="L411" i="15" s="1"/>
  <c r="K408" i="15"/>
  <c r="K411" i="15" s="1"/>
  <c r="J408" i="15"/>
  <c r="J411" i="15" s="1"/>
  <c r="I408" i="15"/>
  <c r="I411" i="15" s="1"/>
  <c r="G408" i="15"/>
  <c r="G411" i="15" s="1"/>
  <c r="F408" i="15"/>
  <c r="F411" i="15" s="1"/>
  <c r="E408" i="15"/>
  <c r="E411" i="15" s="1"/>
  <c r="BK398" i="15"/>
  <c r="BJ398" i="15"/>
  <c r="BI398" i="15"/>
  <c r="BH398" i="15"/>
  <c r="BF398" i="15"/>
  <c r="BE398" i="15"/>
  <c r="BD398" i="15"/>
  <c r="BC398" i="15"/>
  <c r="BA398" i="15"/>
  <c r="AZ398" i="15"/>
  <c r="AY398" i="15"/>
  <c r="AX398" i="15"/>
  <c r="BL395" i="15"/>
  <c r="BG395" i="15"/>
  <c r="BB395" i="15"/>
  <c r="AL395" i="15"/>
  <c r="AG395" i="15"/>
  <c r="AB395" i="15"/>
  <c r="W395" i="15"/>
  <c r="R395" i="15"/>
  <c r="M395" i="15"/>
  <c r="H395" i="15"/>
  <c r="AM394" i="15"/>
  <c r="AM397" i="15" s="1"/>
  <c r="AR398" i="15" s="1"/>
  <c r="AK394" i="15"/>
  <c r="AK397" i="15" s="1"/>
  <c r="AP398" i="15" s="1"/>
  <c r="AJ394" i="15"/>
  <c r="AJ397" i="15" s="1"/>
  <c r="AO398" i="15" s="1"/>
  <c r="AI394" i="15"/>
  <c r="AI397" i="15" s="1"/>
  <c r="AN398" i="15" s="1"/>
  <c r="AH394" i="15"/>
  <c r="AH397" i="15" s="1"/>
  <c r="AF394" i="15"/>
  <c r="AF397" i="15" s="1"/>
  <c r="AE394" i="15"/>
  <c r="AE397" i="15" s="1"/>
  <c r="AD394" i="15"/>
  <c r="AD397" i="15" s="1"/>
  <c r="AC394" i="15"/>
  <c r="AC397" i="15" s="1"/>
  <c r="AA394" i="15"/>
  <c r="AA397" i="15" s="1"/>
  <c r="Z394" i="15"/>
  <c r="Z397" i="15" s="1"/>
  <c r="Y394" i="15"/>
  <c r="Y397" i="15" s="1"/>
  <c r="X394" i="15"/>
  <c r="X397" i="15" s="1"/>
  <c r="V394" i="15"/>
  <c r="V397" i="15" s="1"/>
  <c r="U394" i="15"/>
  <c r="U397" i="15" s="1"/>
  <c r="T394" i="15"/>
  <c r="T397" i="15" s="1"/>
  <c r="S394" i="15"/>
  <c r="S397" i="15" s="1"/>
  <c r="Q394" i="15"/>
  <c r="Q397" i="15" s="1"/>
  <c r="P394" i="15"/>
  <c r="P397" i="15" s="1"/>
  <c r="O394" i="15"/>
  <c r="O397" i="15" s="1"/>
  <c r="N394" i="15"/>
  <c r="N397" i="15" s="1"/>
  <c r="L394" i="15"/>
  <c r="L397" i="15" s="1"/>
  <c r="K394" i="15"/>
  <c r="K397" i="15" s="1"/>
  <c r="J394" i="15"/>
  <c r="J397" i="15" s="1"/>
  <c r="I394" i="15"/>
  <c r="I397" i="15" s="1"/>
  <c r="G394" i="15"/>
  <c r="G397" i="15" s="1"/>
  <c r="F394" i="15"/>
  <c r="F397" i="15" s="1"/>
  <c r="E394" i="15"/>
  <c r="E397" i="15" s="1"/>
  <c r="BL389" i="15"/>
  <c r="BG389" i="15"/>
  <c r="BB389" i="15"/>
  <c r="AL389" i="15"/>
  <c r="AG389" i="15"/>
  <c r="AB389" i="15"/>
  <c r="W389" i="15"/>
  <c r="R389" i="15"/>
  <c r="N389" i="15"/>
  <c r="L389" i="15"/>
  <c r="H389" i="15"/>
  <c r="AM388" i="15"/>
  <c r="AM391" i="15" s="1"/>
  <c r="AR392" i="15" s="1"/>
  <c r="AK388" i="15"/>
  <c r="AK391" i="15" s="1"/>
  <c r="AP392" i="15" s="1"/>
  <c r="AJ388" i="15"/>
  <c r="AJ391" i="15" s="1"/>
  <c r="AO392" i="15" s="1"/>
  <c r="AI388" i="15"/>
  <c r="AI391" i="15" s="1"/>
  <c r="AN392" i="15" s="1"/>
  <c r="AH388" i="15"/>
  <c r="AH391" i="15" s="1"/>
  <c r="AF388" i="15"/>
  <c r="AF391" i="15" s="1"/>
  <c r="AE388" i="15"/>
  <c r="AE391" i="15" s="1"/>
  <c r="AD388" i="15"/>
  <c r="AD391" i="15" s="1"/>
  <c r="AC388" i="15"/>
  <c r="AC391" i="15" s="1"/>
  <c r="AA388" i="15"/>
  <c r="AA391" i="15" s="1"/>
  <c r="Z388" i="15"/>
  <c r="Z391" i="15" s="1"/>
  <c r="Y388" i="15"/>
  <c r="Y391" i="15" s="1"/>
  <c r="X388" i="15"/>
  <c r="X391" i="15" s="1"/>
  <c r="V388" i="15"/>
  <c r="V391" i="15" s="1"/>
  <c r="U388" i="15"/>
  <c r="U391" i="15" s="1"/>
  <c r="T388" i="15"/>
  <c r="T391" i="15" s="1"/>
  <c r="S388" i="15"/>
  <c r="S391" i="15" s="1"/>
  <c r="Q388" i="15"/>
  <c r="Q391" i="15" s="1"/>
  <c r="P388" i="15"/>
  <c r="P391" i="15" s="1"/>
  <c r="O388" i="15"/>
  <c r="O391" i="15" s="1"/>
  <c r="N388" i="15"/>
  <c r="L388" i="15"/>
  <c r="K388" i="15"/>
  <c r="K391" i="15" s="1"/>
  <c r="J388" i="15"/>
  <c r="J391" i="15" s="1"/>
  <c r="I388" i="15"/>
  <c r="I391" i="15" s="1"/>
  <c r="G388" i="15"/>
  <c r="G391" i="15" s="1"/>
  <c r="F388" i="15"/>
  <c r="F391" i="15" s="1"/>
  <c r="E388" i="15"/>
  <c r="E391" i="15" s="1"/>
  <c r="BK386" i="15"/>
  <c r="BJ386" i="15"/>
  <c r="BI386" i="15"/>
  <c r="BH386" i="15"/>
  <c r="BF386" i="15"/>
  <c r="BE386" i="15"/>
  <c r="BD386" i="15"/>
  <c r="BC386" i="15"/>
  <c r="BA386" i="15"/>
  <c r="AZ386" i="15"/>
  <c r="AY386" i="15"/>
  <c r="AX386" i="15"/>
  <c r="BL383" i="15"/>
  <c r="BG383" i="15"/>
  <c r="BB383" i="15"/>
  <c r="AL383" i="15"/>
  <c r="AG383" i="15"/>
  <c r="AB383" i="15"/>
  <c r="W383" i="15"/>
  <c r="R383" i="15"/>
  <c r="M383" i="15"/>
  <c r="H383" i="15"/>
  <c r="AM382" i="15"/>
  <c r="AM385" i="15" s="1"/>
  <c r="AR386" i="15" s="1"/>
  <c r="AK382" i="15"/>
  <c r="AK385" i="15" s="1"/>
  <c r="AP386" i="15" s="1"/>
  <c r="AJ382" i="15"/>
  <c r="AJ385" i="15" s="1"/>
  <c r="AO386" i="15" s="1"/>
  <c r="AI382" i="15"/>
  <c r="AI385" i="15" s="1"/>
  <c r="AN386" i="15" s="1"/>
  <c r="AH382" i="15"/>
  <c r="AH385" i="15" s="1"/>
  <c r="AF382" i="15"/>
  <c r="AF385" i="15" s="1"/>
  <c r="AE382" i="15"/>
  <c r="AE385" i="15" s="1"/>
  <c r="AD382" i="15"/>
  <c r="AD385" i="15" s="1"/>
  <c r="AC382" i="15"/>
  <c r="AC385" i="15" s="1"/>
  <c r="AA382" i="15"/>
  <c r="AA385" i="15" s="1"/>
  <c r="Z382" i="15"/>
  <c r="Z385" i="15" s="1"/>
  <c r="Y382" i="15"/>
  <c r="Y385" i="15" s="1"/>
  <c r="X382" i="15"/>
  <c r="X385" i="15" s="1"/>
  <c r="V382" i="15"/>
  <c r="V385" i="15" s="1"/>
  <c r="U382" i="15"/>
  <c r="U385" i="15" s="1"/>
  <c r="T382" i="15"/>
  <c r="T385" i="15" s="1"/>
  <c r="S382" i="15"/>
  <c r="S385" i="15" s="1"/>
  <c r="Q382" i="15"/>
  <c r="Q385" i="15" s="1"/>
  <c r="P382" i="15"/>
  <c r="P385" i="15" s="1"/>
  <c r="O382" i="15"/>
  <c r="O385" i="15" s="1"/>
  <c r="N382" i="15"/>
  <c r="N385" i="15" s="1"/>
  <c r="L382" i="15"/>
  <c r="L385" i="15" s="1"/>
  <c r="K382" i="15"/>
  <c r="K385" i="15" s="1"/>
  <c r="J382" i="15"/>
  <c r="J385" i="15" s="1"/>
  <c r="I382" i="15"/>
  <c r="I385" i="15" s="1"/>
  <c r="G382" i="15"/>
  <c r="G385" i="15" s="1"/>
  <c r="F382" i="15"/>
  <c r="F385" i="15" s="1"/>
  <c r="E382" i="15"/>
  <c r="E385" i="15" s="1"/>
  <c r="AN370" i="15"/>
  <c r="AN163" i="15" s="1"/>
  <c r="AQ366" i="15"/>
  <c r="AO366" i="15"/>
  <c r="AQ361" i="15"/>
  <c r="AO361" i="15"/>
  <c r="AC354" i="15"/>
  <c r="AH354" i="15" s="1"/>
  <c r="Y345" i="15"/>
  <c r="Z345" i="15" s="1"/>
  <c r="AA345" i="15" s="1"/>
  <c r="AB345" i="15" s="1"/>
  <c r="Y343" i="15"/>
  <c r="Z343" i="15" s="1"/>
  <c r="Z157" i="15" s="1"/>
  <c r="AC342" i="15"/>
  <c r="AH342" i="15" s="1"/>
  <c r="Y323" i="15"/>
  <c r="Z323" i="15" s="1"/>
  <c r="Z156" i="15" s="1"/>
  <c r="Y308" i="15"/>
  <c r="Z308" i="15" s="1"/>
  <c r="Y290" i="15"/>
  <c r="Z290" i="15" s="1"/>
  <c r="AA290" i="15" s="1"/>
  <c r="AB290" i="15" s="1"/>
  <c r="Y288" i="15"/>
  <c r="Z288" i="15" s="1"/>
  <c r="AN276" i="15"/>
  <c r="AE273" i="15"/>
  <c r="AE270" i="15"/>
  <c r="AF270" i="15" s="1"/>
  <c r="AG270" i="15" s="1"/>
  <c r="Y270" i="15"/>
  <c r="AO268" i="15"/>
  <c r="AP268" i="15" s="1"/>
  <c r="Y268" i="15"/>
  <c r="Z268" i="15" s="1"/>
  <c r="AO244" i="15"/>
  <c r="AP244" i="15" s="1"/>
  <c r="AQ244" i="15" s="1"/>
  <c r="Y242" i="15"/>
  <c r="Y375" i="15" s="1"/>
  <c r="Y164" i="15" s="1"/>
  <c r="AM240" i="15"/>
  <c r="BG239" i="15"/>
  <c r="BQ239" i="15" s="1"/>
  <c r="BA239" i="15"/>
  <c r="AZ239" i="15" s="1"/>
  <c r="AV239" i="15"/>
  <c r="AT239" i="15" s="1"/>
  <c r="AQ239" i="15"/>
  <c r="AP239" i="15" s="1"/>
  <c r="AH239" i="15"/>
  <c r="AM239" i="15" s="1"/>
  <c r="AB239" i="15"/>
  <c r="AA239" i="15" s="1"/>
  <c r="AO230" i="15"/>
  <c r="AP230" i="15" s="1"/>
  <c r="AQ230" i="15" s="1"/>
  <c r="Y228" i="15"/>
  <c r="Y365" i="15" s="1"/>
  <c r="AM226" i="15"/>
  <c r="AT217" i="15"/>
  <c r="AO217" i="15"/>
  <c r="AP217" i="15" s="1"/>
  <c r="AQ217" i="15" s="1"/>
  <c r="I217" i="15"/>
  <c r="I230" i="15" s="1"/>
  <c r="Y215" i="15"/>
  <c r="Y360" i="15" s="1"/>
  <c r="Y161" i="15" s="1"/>
  <c r="AM213" i="15"/>
  <c r="BB208" i="15"/>
  <c r="AW208" i="15"/>
  <c r="AN205" i="15"/>
  <c r="AX204" i="15"/>
  <c r="BH204" i="15" s="1"/>
  <c r="BM204" i="15" s="1"/>
  <c r="AY204" i="15"/>
  <c r="BI204" i="15" s="1"/>
  <c r="BN204" i="15" s="1"/>
  <c r="AO204" i="15"/>
  <c r="AP204" i="15" s="1"/>
  <c r="AQ204" i="15" s="1"/>
  <c r="Y204" i="15"/>
  <c r="Z204" i="15" s="1"/>
  <c r="BF202" i="15"/>
  <c r="BG202" i="15" s="1"/>
  <c r="BH202" i="15" s="1"/>
  <c r="AO202" i="15"/>
  <c r="Y202" i="15"/>
  <c r="AL200" i="15"/>
  <c r="AL226" i="15" s="1"/>
  <c r="AC200" i="15"/>
  <c r="AC240" i="15" s="1"/>
  <c r="AR200" i="15"/>
  <c r="AR226" i="15" s="1"/>
  <c r="BB180" i="15"/>
  <c r="AW180" i="15"/>
  <c r="AV180" i="15" s="1"/>
  <c r="AR180" i="15"/>
  <c r="AQ180" i="15" s="1"/>
  <c r="AP180" i="15" s="1"/>
  <c r="AO180" i="15" s="1"/>
  <c r="AN180" i="15" s="1"/>
  <c r="AC180" i="15"/>
  <c r="AB180" i="15" s="1"/>
  <c r="AA180" i="15" s="1"/>
  <c r="Z180" i="15" s="1"/>
  <c r="Y180" i="15" s="1"/>
  <c r="BK176" i="15"/>
  <c r="BA176" i="15"/>
  <c r="AG176" i="15"/>
  <c r="AF176" i="15" s="1"/>
  <c r="AB176" i="15"/>
  <c r="BL174" i="15"/>
  <c r="BG174" i="15"/>
  <c r="BB174" i="15"/>
  <c r="AW174" i="15"/>
  <c r="AR174" i="15"/>
  <c r="AM174" i="15"/>
  <c r="AH174" i="15"/>
  <c r="AC174" i="15"/>
  <c r="BK173" i="15"/>
  <c r="BK172" i="15"/>
  <c r="BJ172" i="15"/>
  <c r="BI172" i="15"/>
  <c r="BH172" i="15"/>
  <c r="BF173" i="15"/>
  <c r="BF172" i="15"/>
  <c r="BE172" i="15"/>
  <c r="BD172" i="15"/>
  <c r="BA173" i="15"/>
  <c r="AZ173" i="15" s="1"/>
  <c r="BA172" i="15"/>
  <c r="AZ172" i="15"/>
  <c r="AY172" i="15"/>
  <c r="AX172" i="15"/>
  <c r="AU172" i="15" s="1"/>
  <c r="AV173" i="15"/>
  <c r="AS172" i="15"/>
  <c r="AQ174" i="15"/>
  <c r="AP174" i="15"/>
  <c r="AO172" i="15"/>
  <c r="AN172" i="15"/>
  <c r="AL173" i="15"/>
  <c r="AL172" i="15"/>
  <c r="AK172" i="15"/>
  <c r="AJ172" i="15"/>
  <c r="AI172" i="15"/>
  <c r="AG173" i="15"/>
  <c r="AF173" i="15" s="1"/>
  <c r="AG172" i="15"/>
  <c r="AF172" i="15"/>
  <c r="AE172" i="15"/>
  <c r="AD172" i="15"/>
  <c r="AB173" i="15"/>
  <c r="AA173" i="15" s="1"/>
  <c r="AB172" i="15"/>
  <c r="AA172" i="15"/>
  <c r="Z172" i="15"/>
  <c r="Y172" i="15"/>
  <c r="Y162" i="15"/>
  <c r="BL122" i="15"/>
  <c r="BG122" i="15"/>
  <c r="BB122" i="15"/>
  <c r="AW122" i="15"/>
  <c r="AR122" i="15"/>
  <c r="AM122" i="15"/>
  <c r="AH122" i="15"/>
  <c r="AC122" i="15"/>
  <c r="BH107" i="15"/>
  <c r="AX107" i="15"/>
  <c r="AI107" i="15"/>
  <c r="AD107" i="15"/>
  <c r="Y107" i="15"/>
  <c r="T107" i="15"/>
  <c r="BF106" i="15"/>
  <c r="AG106" i="15"/>
  <c r="AB106" i="15"/>
  <c r="W106" i="15"/>
  <c r="AB103" i="15"/>
  <c r="AB376" i="15" s="1"/>
  <c r="AA103" i="15"/>
  <c r="AA376" i="15" s="1"/>
  <c r="Z103" i="15"/>
  <c r="Z376" i="15" s="1"/>
  <c r="Y103" i="15"/>
  <c r="Y376" i="15" s="1"/>
  <c r="X103" i="15"/>
  <c r="BD102" i="15"/>
  <c r="BD371" i="15" s="1"/>
  <c r="AY102" i="15"/>
  <c r="AY371" i="15" s="1"/>
  <c r="AP102" i="15"/>
  <c r="AP371" i="15" s="1"/>
  <c r="AO102" i="15"/>
  <c r="AO371" i="15" s="1"/>
  <c r="AJ102" i="15"/>
  <c r="AJ371" i="15" s="1"/>
  <c r="AE102" i="15"/>
  <c r="AE371" i="15" s="1"/>
  <c r="Z102" i="15"/>
  <c r="Z371" i="15" s="1"/>
  <c r="U102" i="15"/>
  <c r="BF101" i="15"/>
  <c r="BF366" i="15" s="1"/>
  <c r="AK100" i="15"/>
  <c r="AJ100" i="15"/>
  <c r="AE100" i="15"/>
  <c r="Z100" i="15"/>
  <c r="U100" i="15"/>
  <c r="AJ99" i="15"/>
  <c r="AJ361" i="15" s="1"/>
  <c r="AE99" i="15"/>
  <c r="AE361" i="15" s="1"/>
  <c r="Z99" i="15"/>
  <c r="Z361" i="15" s="1"/>
  <c r="U99" i="15"/>
  <c r="AJ96" i="15"/>
  <c r="AE96" i="15"/>
  <c r="Z96" i="15"/>
  <c r="U96" i="15"/>
  <c r="AX95" i="15"/>
  <c r="AI95" i="15"/>
  <c r="AD95" i="15"/>
  <c r="Y95" i="15"/>
  <c r="T95" i="15"/>
  <c r="AO93" i="15"/>
  <c r="AJ93" i="15"/>
  <c r="AE93" i="15"/>
  <c r="Z93" i="15"/>
  <c r="U93" i="15"/>
  <c r="AX92" i="15"/>
  <c r="AI92" i="15"/>
  <c r="AD92" i="15"/>
  <c r="Y92" i="15"/>
  <c r="T92" i="15"/>
  <c r="AJ90" i="15"/>
  <c r="AE90" i="15"/>
  <c r="Z90" i="15"/>
  <c r="U90" i="15"/>
  <c r="AS89" i="15"/>
  <c r="AI89" i="15"/>
  <c r="AD89" i="15"/>
  <c r="Y89" i="15"/>
  <c r="T89" i="15"/>
  <c r="AI73" i="15"/>
  <c r="AD73" i="15"/>
  <c r="Y73" i="15"/>
  <c r="T73" i="15"/>
  <c r="AS72" i="15"/>
  <c r="AI72" i="15"/>
  <c r="AD72" i="15"/>
  <c r="Y72" i="15"/>
  <c r="T72" i="15"/>
  <c r="AX71" i="15"/>
  <c r="AI71" i="15"/>
  <c r="AD71" i="15"/>
  <c r="Y71" i="15"/>
  <c r="T71" i="15"/>
  <c r="BH68" i="15"/>
  <c r="BI68" i="15" s="1"/>
  <c r="BJ68" i="15" s="1"/>
  <c r="BK68" i="15" s="1"/>
  <c r="BH67" i="15"/>
  <c r="BI67" i="15" s="1"/>
  <c r="BJ67" i="15" s="1"/>
  <c r="BK67" i="15" s="1"/>
  <c r="BC68" i="15"/>
  <c r="BD68" i="15" s="1"/>
  <c r="BE68" i="15" s="1"/>
  <c r="BF68" i="15" s="1"/>
  <c r="BB68" i="15"/>
  <c r="AX68" i="15" s="1"/>
  <c r="AY68" i="15" s="1"/>
  <c r="AZ68" i="15" s="1"/>
  <c r="BA68" i="15" s="1"/>
  <c r="AW68" i="15"/>
  <c r="AS68" i="15" s="1"/>
  <c r="AR68" i="15"/>
  <c r="AN68" i="15" s="1"/>
  <c r="AO68" i="15" s="1"/>
  <c r="AP68" i="15" s="1"/>
  <c r="AM68" i="15"/>
  <c r="AI68" i="15" s="1"/>
  <c r="AJ68" i="15" s="1"/>
  <c r="AK68" i="15" s="1"/>
  <c r="AL68" i="15" s="1"/>
  <c r="AH68" i="15"/>
  <c r="AD68" i="15" s="1"/>
  <c r="AE68" i="15" s="1"/>
  <c r="AF68" i="15" s="1"/>
  <c r="AG68" i="15" s="1"/>
  <c r="AC68" i="15"/>
  <c r="Y68" i="15" s="1"/>
  <c r="X68" i="15"/>
  <c r="T68" i="15" s="1"/>
  <c r="BC67" i="15"/>
  <c r="BD67" i="15" s="1"/>
  <c r="BE67" i="15" s="1"/>
  <c r="BF67" i="15" s="1"/>
  <c r="BB67" i="15"/>
  <c r="AX67" i="15" s="1"/>
  <c r="AY67" i="15" s="1"/>
  <c r="AW67" i="15"/>
  <c r="AS67" i="15" s="1"/>
  <c r="AT67" i="15" s="1"/>
  <c r="AR67" i="15"/>
  <c r="AN67" i="15" s="1"/>
  <c r="AO67" i="15" s="1"/>
  <c r="AP67" i="15" s="1"/>
  <c r="AM67" i="15"/>
  <c r="AI67" i="15" s="1"/>
  <c r="AJ67" i="15" s="1"/>
  <c r="AH67" i="15"/>
  <c r="AD67" i="15" s="1"/>
  <c r="AE67" i="15" s="1"/>
  <c r="AC67" i="15"/>
  <c r="Y67" i="15" s="1"/>
  <c r="X67" i="15"/>
  <c r="T67" i="15" s="1"/>
  <c r="X58" i="15"/>
  <c r="X56" i="15"/>
  <c r="X55" i="15"/>
  <c r="X54" i="15"/>
  <c r="X53" i="15"/>
  <c r="X52" i="15"/>
  <c r="S58" i="15"/>
  <c r="S56" i="15"/>
  <c r="S55" i="15"/>
  <c r="S54" i="15"/>
  <c r="S53" i="15"/>
  <c r="S52" i="15"/>
  <c r="N58" i="15"/>
  <c r="N56" i="15"/>
  <c r="N55" i="15"/>
  <c r="N54" i="15"/>
  <c r="N53" i="15"/>
  <c r="N52" i="15"/>
  <c r="I56" i="15"/>
  <c r="I55" i="15"/>
  <c r="I54" i="15"/>
  <c r="I53" i="15"/>
  <c r="I52" i="15"/>
  <c r="BK58" i="15"/>
  <c r="BJ58" i="15"/>
  <c r="BI58" i="15"/>
  <c r="BH58" i="15"/>
  <c r="BF58" i="15"/>
  <c r="BE58" i="15"/>
  <c r="BD58" i="15"/>
  <c r="BC58" i="15"/>
  <c r="BA58" i="15"/>
  <c r="AZ58" i="15"/>
  <c r="AY58" i="15"/>
  <c r="AX58" i="15"/>
  <c r="AN58" i="15"/>
  <c r="AR58" i="15" s="1"/>
  <c r="AL58" i="15"/>
  <c r="AJ58" i="15"/>
  <c r="AI58" i="15"/>
  <c r="AE58" i="15"/>
  <c r="AD58" i="15"/>
  <c r="AO56" i="15"/>
  <c r="AN56" i="15"/>
  <c r="AM56" i="15"/>
  <c r="AK56" i="15"/>
  <c r="AJ56" i="15"/>
  <c r="AI56" i="15"/>
  <c r="AH56" i="15"/>
  <c r="AF56" i="15"/>
  <c r="AE56" i="15"/>
  <c r="AD56" i="15"/>
  <c r="AC56" i="15"/>
  <c r="AQ55" i="15"/>
  <c r="AO55" i="15"/>
  <c r="AN55" i="15"/>
  <c r="AM55" i="15"/>
  <c r="AK55" i="15"/>
  <c r="AJ55" i="15"/>
  <c r="AI55" i="15"/>
  <c r="AH55" i="15"/>
  <c r="AF55" i="15"/>
  <c r="AE55" i="15"/>
  <c r="AD55" i="15"/>
  <c r="AC55" i="15"/>
  <c r="AO54" i="15"/>
  <c r="AN54" i="15"/>
  <c r="AM54" i="15"/>
  <c r="AK54" i="15"/>
  <c r="AJ54" i="15"/>
  <c r="AI54" i="15"/>
  <c r="AH54" i="15"/>
  <c r="AF54" i="15"/>
  <c r="AE54" i="15"/>
  <c r="AD54" i="15"/>
  <c r="AC54" i="15"/>
  <c r="AO53" i="15"/>
  <c r="AN53" i="15"/>
  <c r="AM53" i="15"/>
  <c r="AK53" i="15"/>
  <c r="AJ53" i="15"/>
  <c r="AI53" i="15"/>
  <c r="AH53" i="15"/>
  <c r="AF53" i="15"/>
  <c r="AE53" i="15"/>
  <c r="AD53" i="15"/>
  <c r="AC53" i="15"/>
  <c r="AO52" i="15"/>
  <c r="AN52" i="15"/>
  <c r="AM52" i="15"/>
  <c r="AK52" i="15"/>
  <c r="AJ52" i="15"/>
  <c r="AI52" i="15"/>
  <c r="AH52" i="15"/>
  <c r="AF52" i="15"/>
  <c r="AE52" i="15"/>
  <c r="AD52" i="15"/>
  <c r="AC5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A42" i="15"/>
  <c r="Z42" i="15"/>
  <c r="Y42" i="15"/>
  <c r="X42" i="15"/>
  <c r="V42" i="15"/>
  <c r="U42" i="15"/>
  <c r="T42" i="15"/>
  <c r="S42" i="15"/>
  <c r="Q42" i="15"/>
  <c r="P42" i="15"/>
  <c r="O42" i="15"/>
  <c r="L42" i="15"/>
  <c r="K42" i="15"/>
  <c r="J42" i="15"/>
  <c r="G42" i="15"/>
  <c r="F42" i="15"/>
  <c r="E42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A41" i="15"/>
  <c r="Z41" i="15"/>
  <c r="Y41" i="15"/>
  <c r="X41" i="15"/>
  <c r="V41" i="15"/>
  <c r="U41" i="15"/>
  <c r="T41" i="15"/>
  <c r="S41" i="15"/>
  <c r="Q41" i="15"/>
  <c r="P41" i="15"/>
  <c r="O41" i="15"/>
  <c r="L41" i="15"/>
  <c r="K41" i="15"/>
  <c r="J41" i="15"/>
  <c r="G41" i="15"/>
  <c r="F41" i="15"/>
  <c r="E41" i="15"/>
  <c r="BL38" i="15"/>
  <c r="BL58" i="15" s="1"/>
  <c r="BG38" i="15"/>
  <c r="BG58" i="15" s="1"/>
  <c r="BB38" i="15"/>
  <c r="BB58" i="15" s="1"/>
  <c r="AM38" i="15"/>
  <c r="AK38" i="15"/>
  <c r="AK58" i="15" s="1"/>
  <c r="AH38" i="15"/>
  <c r="AH58" i="15" s="1"/>
  <c r="AF38" i="15"/>
  <c r="AF58" i="15" s="1"/>
  <c r="AC38" i="15"/>
  <c r="AC58" i="15" s="1"/>
  <c r="AA38" i="15"/>
  <c r="W38" i="15"/>
  <c r="R38" i="15"/>
  <c r="M38" i="15"/>
  <c r="I38" i="15"/>
  <c r="I58" i="15" s="1"/>
  <c r="G38" i="15"/>
  <c r="F38" i="15"/>
  <c r="E38" i="15"/>
  <c r="BL35" i="15"/>
  <c r="BG35" i="15"/>
  <c r="BB35" i="15"/>
  <c r="AL35" i="15"/>
  <c r="AG35" i="15"/>
  <c r="AB35" i="15"/>
  <c r="W35" i="15"/>
  <c r="R35" i="15"/>
  <c r="M35" i="15"/>
  <c r="H35" i="15"/>
  <c r="AL32" i="15"/>
  <c r="AG32" i="15"/>
  <c r="AB32" i="15"/>
  <c r="W32" i="15"/>
  <c r="R32" i="15"/>
  <c r="M32" i="15"/>
  <c r="H32" i="15"/>
  <c r="AL28" i="15"/>
  <c r="AP500" i="15" s="1"/>
  <c r="AG28" i="15"/>
  <c r="AB28" i="15"/>
  <c r="W28" i="15"/>
  <c r="R28" i="15"/>
  <c r="M28" i="15"/>
  <c r="E28" i="15"/>
  <c r="H28" i="15" s="1"/>
  <c r="AR55" i="15"/>
  <c r="AO23" i="15"/>
  <c r="AN23" i="15"/>
  <c r="AM23" i="15"/>
  <c r="AK23" i="15"/>
  <c r="AH23" i="15"/>
  <c r="AF23" i="15"/>
  <c r="AC23" i="15"/>
  <c r="AA23" i="15"/>
  <c r="X23" i="15"/>
  <c r="T23" i="15"/>
  <c r="S23" i="15"/>
  <c r="R23" i="15" s="1"/>
  <c r="N23" i="15"/>
  <c r="J23" i="15"/>
  <c r="J24" i="51" s="1"/>
  <c r="I23" i="15"/>
  <c r="G23" i="15"/>
  <c r="F23" i="15"/>
  <c r="E23" i="15"/>
  <c r="AL22" i="15"/>
  <c r="AL55" i="15" s="1"/>
  <c r="AG22" i="15"/>
  <c r="AG55" i="15" s="1"/>
  <c r="AB22" i="15"/>
  <c r="W22" i="15"/>
  <c r="R22" i="15"/>
  <c r="M22" i="15"/>
  <c r="H22" i="15"/>
  <c r="X18" i="15"/>
  <c r="X20" i="15" s="1"/>
  <c r="X25" i="15" s="1"/>
  <c r="V18" i="15"/>
  <c r="V20" i="15" s="1"/>
  <c r="V25" i="15" s="1"/>
  <c r="U18" i="15"/>
  <c r="U20" i="15" s="1"/>
  <c r="U25" i="15" s="1"/>
  <c r="T18" i="15"/>
  <c r="T20" i="15" s="1"/>
  <c r="S18" i="15"/>
  <c r="S20" i="15" s="1"/>
  <c r="Q18" i="15"/>
  <c r="Q20" i="15" s="1"/>
  <c r="Q25" i="15" s="1"/>
  <c r="P18" i="15"/>
  <c r="P20" i="15" s="1"/>
  <c r="P25" i="15" s="1"/>
  <c r="O18" i="15"/>
  <c r="O20" i="15" s="1"/>
  <c r="O25" i="15" s="1"/>
  <c r="N18" i="15"/>
  <c r="N20" i="15" s="1"/>
  <c r="L18" i="15"/>
  <c r="L20" i="15" s="1"/>
  <c r="L25" i="15" s="1"/>
  <c r="K18" i="15"/>
  <c r="K20" i="15" s="1"/>
  <c r="K25" i="15" s="1"/>
  <c r="J18" i="15"/>
  <c r="J20" i="15" s="1"/>
  <c r="I18" i="15"/>
  <c r="I20" i="15" s="1"/>
  <c r="G18" i="15"/>
  <c r="G20" i="15" s="1"/>
  <c r="F18" i="15"/>
  <c r="F20" i="15" s="1"/>
  <c r="E18" i="15"/>
  <c r="E20" i="15" s="1"/>
  <c r="AL17" i="15"/>
  <c r="AL16" i="15"/>
  <c r="AL408" i="15" s="1"/>
  <c r="AL15" i="15"/>
  <c r="AL14" i="15"/>
  <c r="AL388" i="15" s="1"/>
  <c r="AL13" i="15"/>
  <c r="AL382" i="15" s="1"/>
  <c r="AG17" i="15"/>
  <c r="AG16" i="15"/>
  <c r="AG408" i="15" s="1"/>
  <c r="AG15" i="15"/>
  <c r="AG14" i="15"/>
  <c r="AG388" i="15" s="1"/>
  <c r="AG13" i="15"/>
  <c r="AG382" i="15" s="1"/>
  <c r="AB17" i="15"/>
  <c r="AB426" i="15" s="1"/>
  <c r="AB16" i="15"/>
  <c r="AB408" i="15" s="1"/>
  <c r="AB15" i="15"/>
  <c r="AB394" i="15" s="1"/>
  <c r="AB14" i="15"/>
  <c r="AB388" i="15" s="1"/>
  <c r="AB13" i="15"/>
  <c r="AB382" i="15" s="1"/>
  <c r="W17" i="15"/>
  <c r="W426" i="15" s="1"/>
  <c r="W16" i="15"/>
  <c r="W408" i="15" s="1"/>
  <c r="W15" i="15"/>
  <c r="W394" i="15" s="1"/>
  <c r="W14" i="15"/>
  <c r="W388" i="15" s="1"/>
  <c r="W13" i="15"/>
  <c r="W382" i="15" s="1"/>
  <c r="R17" i="15"/>
  <c r="R426" i="15" s="1"/>
  <c r="R16" i="15"/>
  <c r="R408" i="15" s="1"/>
  <c r="R15" i="15"/>
  <c r="R394" i="15" s="1"/>
  <c r="R14" i="15"/>
  <c r="R388" i="15" s="1"/>
  <c r="R13" i="15"/>
  <c r="R382" i="15" s="1"/>
  <c r="M17" i="15"/>
  <c r="M426" i="15" s="1"/>
  <c r="M16" i="15"/>
  <c r="M408" i="15" s="1"/>
  <c r="M15" i="15"/>
  <c r="M394" i="15" s="1"/>
  <c r="M14" i="15"/>
  <c r="M388" i="15" s="1"/>
  <c r="M13" i="15"/>
  <c r="M382" i="15" s="1"/>
  <c r="H17" i="15"/>
  <c r="H426" i="15" s="1"/>
  <c r="H16" i="15"/>
  <c r="H408" i="15" s="1"/>
  <c r="H15" i="15"/>
  <c r="H394" i="15" s="1"/>
  <c r="H14" i="15"/>
  <c r="H388" i="15" s="1"/>
  <c r="H13" i="15"/>
  <c r="H382" i="15" s="1"/>
  <c r="X11" i="15"/>
  <c r="V11" i="15"/>
  <c r="U11" i="15"/>
  <c r="T11" i="15"/>
  <c r="S11" i="15"/>
  <c r="Q11" i="15"/>
  <c r="P11" i="15"/>
  <c r="O11" i="15"/>
  <c r="N11" i="15"/>
  <c r="L11" i="15"/>
  <c r="K11" i="15"/>
  <c r="J11" i="15"/>
  <c r="I11" i="15"/>
  <c r="G11" i="15"/>
  <c r="F11" i="15"/>
  <c r="E11" i="15"/>
  <c r="AO10" i="15"/>
  <c r="AO18" i="15" s="1"/>
  <c r="AO20" i="15" s="1"/>
  <c r="AN10" i="15"/>
  <c r="AM10" i="15"/>
  <c r="AK10" i="15"/>
  <c r="AK18" i="15" s="1"/>
  <c r="AK20" i="15" s="1"/>
  <c r="AJ10" i="15"/>
  <c r="AJ18" i="15" s="1"/>
  <c r="AJ20" i="15" s="1"/>
  <c r="AJ25" i="15" s="1"/>
  <c r="AI10" i="15"/>
  <c r="AI18" i="15" s="1"/>
  <c r="AI20" i="15" s="1"/>
  <c r="AI25" i="15" s="1"/>
  <c r="AH10" i="15"/>
  <c r="AH18" i="15" s="1"/>
  <c r="AH20" i="15" s="1"/>
  <c r="AF10" i="15"/>
  <c r="AF18" i="15" s="1"/>
  <c r="AF20" i="15" s="1"/>
  <c r="AE10" i="15"/>
  <c r="AE18" i="15" s="1"/>
  <c r="AE20" i="15" s="1"/>
  <c r="AE25" i="15" s="1"/>
  <c r="AD10" i="15"/>
  <c r="AD18" i="15" s="1"/>
  <c r="AD20" i="15" s="1"/>
  <c r="AD25" i="15" s="1"/>
  <c r="AC10" i="15"/>
  <c r="AA10" i="15"/>
  <c r="AA18" i="15" s="1"/>
  <c r="AA20" i="15" s="1"/>
  <c r="Z10" i="15"/>
  <c r="Z18" i="15" s="1"/>
  <c r="Z20" i="15" s="1"/>
  <c r="Z25" i="15" s="1"/>
  <c r="Y10" i="15"/>
  <c r="Y18" i="15" s="1"/>
  <c r="Y20" i="15" s="1"/>
  <c r="Y25" i="15" s="1"/>
  <c r="W10" i="15"/>
  <c r="W9" i="15"/>
  <c r="R10" i="15"/>
  <c r="R9" i="15"/>
  <c r="M10" i="15"/>
  <c r="M9" i="15"/>
  <c r="H10" i="15"/>
  <c r="H9" i="15"/>
  <c r="AL9" i="15"/>
  <c r="AG9" i="15"/>
  <c r="AB9" i="15"/>
  <c r="B2" i="15"/>
  <c r="AW304" i="47"/>
  <c r="BB304" i="47" s="1"/>
  <c r="BG304" i="47" s="1"/>
  <c r="BL304" i="47" s="1"/>
  <c r="BQ304" i="47" s="1"/>
  <c r="AM307" i="47"/>
  <c r="AW307" i="47" s="1"/>
  <c r="BB307" i="47" s="1"/>
  <c r="BG307" i="47" s="1"/>
  <c r="BL307" i="47" s="1"/>
  <c r="BQ307" i="47" s="1"/>
  <c r="AM304" i="47"/>
  <c r="AH308" i="47"/>
  <c r="AM308" i="47" s="1"/>
  <c r="AC304" i="47"/>
  <c r="X310" i="47"/>
  <c r="AC310" i="47" s="1"/>
  <c r="AH310" i="47" s="1"/>
  <c r="AM310" i="47" s="1"/>
  <c r="AR310" i="47" s="1"/>
  <c r="AW310" i="47" s="1"/>
  <c r="BB310" i="47" s="1"/>
  <c r="BG310" i="47" s="1"/>
  <c r="BL310" i="47" s="1"/>
  <c r="BQ310" i="47" s="1"/>
  <c r="X309" i="47"/>
  <c r="AC309" i="47" s="1"/>
  <c r="AH309" i="47" s="1"/>
  <c r="AM309" i="47" s="1"/>
  <c r="AR309" i="47" s="1"/>
  <c r="AW309" i="47" s="1"/>
  <c r="BB309" i="47" s="1"/>
  <c r="BG309" i="47" s="1"/>
  <c r="BL309" i="47" s="1"/>
  <c r="BQ309" i="47" s="1"/>
  <c r="S308" i="47"/>
  <c r="X308" i="47" s="1"/>
  <c r="AC308" i="47" s="1"/>
  <c r="S307" i="47"/>
  <c r="X307" i="47" s="1"/>
  <c r="AC307" i="47" s="1"/>
  <c r="S306" i="47"/>
  <c r="X306" i="47" s="1"/>
  <c r="AC306" i="47" s="1"/>
  <c r="S305" i="47"/>
  <c r="X305" i="47" s="1"/>
  <c r="AC305" i="47" s="1"/>
  <c r="AH306" i="47"/>
  <c r="AM306" i="47" s="1"/>
  <c r="AH305" i="47"/>
  <c r="AM305" i="47" s="1"/>
  <c r="AR305" i="47" s="1"/>
  <c r="AW305" i="47" s="1"/>
  <c r="BB305" i="47" s="1"/>
  <c r="BG305" i="47" s="1"/>
  <c r="BL305" i="47" s="1"/>
  <c r="BQ305" i="47" s="1"/>
  <c r="X297" i="47"/>
  <c r="AC297" i="47" s="1"/>
  <c r="AH297" i="47" s="1"/>
  <c r="AM297" i="47" s="1"/>
  <c r="AW297" i="47" s="1"/>
  <c r="BB297" i="47" s="1"/>
  <c r="BG297" i="47" s="1"/>
  <c r="BL297" i="47" s="1"/>
  <c r="BQ297" i="47" s="1"/>
  <c r="X296" i="47"/>
  <c r="AC296" i="47" s="1"/>
  <c r="AH296" i="47" s="1"/>
  <c r="AM296" i="47" s="1"/>
  <c r="AW296" i="47" s="1"/>
  <c r="BB296" i="47" s="1"/>
  <c r="BG296" i="47" s="1"/>
  <c r="BL296" i="47" s="1"/>
  <c r="BQ296" i="47" s="1"/>
  <c r="X295" i="47"/>
  <c r="AC295" i="47" s="1"/>
  <c r="AH295" i="47" s="1"/>
  <c r="AM295" i="47" s="1"/>
  <c r="AW295" i="47" s="1"/>
  <c r="BB295" i="47" s="1"/>
  <c r="BG295" i="47" s="1"/>
  <c r="BL295" i="47" s="1"/>
  <c r="BQ295" i="47" s="1"/>
  <c r="X294" i="47"/>
  <c r="AC294" i="47" s="1"/>
  <c r="AH294" i="47" s="1"/>
  <c r="AM294" i="47" s="1"/>
  <c r="AW294" i="47" s="1"/>
  <c r="BB294" i="47" s="1"/>
  <c r="BG294" i="47" s="1"/>
  <c r="BL294" i="47" s="1"/>
  <c r="BQ294" i="47" s="1"/>
  <c r="X293" i="47"/>
  <c r="AC293" i="47" s="1"/>
  <c r="AH293" i="47" s="1"/>
  <c r="AM293" i="47" s="1"/>
  <c r="AR293" i="47" s="1"/>
  <c r="AW293" i="47" s="1"/>
  <c r="BB293" i="47" s="1"/>
  <c r="BG293" i="47" s="1"/>
  <c r="BL293" i="47" s="1"/>
  <c r="BQ293" i="47" s="1"/>
  <c r="X292" i="47"/>
  <c r="AC292" i="47" s="1"/>
  <c r="AH292" i="47" s="1"/>
  <c r="AM292" i="47" s="1"/>
  <c r="S298" i="47"/>
  <c r="X298" i="47" s="1"/>
  <c r="AC298" i="47" s="1"/>
  <c r="AH298" i="47" s="1"/>
  <c r="AM298" i="47" s="1"/>
  <c r="AW298" i="47" s="1"/>
  <c r="BB298" i="47" s="1"/>
  <c r="BG298" i="47" s="1"/>
  <c r="BL298" i="47" s="1"/>
  <c r="BQ298" i="47" s="1"/>
  <c r="S289" i="47"/>
  <c r="S276" i="47" s="1"/>
  <c r="R276" i="47" s="1"/>
  <c r="T270" i="47" s="1"/>
  <c r="AO275" i="47"/>
  <c r="AK275" i="47"/>
  <c r="AJ275" i="47"/>
  <c r="AF275" i="47"/>
  <c r="AE275" i="47"/>
  <c r="AA275" i="47"/>
  <c r="Z275" i="47"/>
  <c r="V275" i="47"/>
  <c r="U275" i="47"/>
  <c r="AM255" i="47"/>
  <c r="AH255" i="47"/>
  <c r="AC255" i="47"/>
  <c r="X255" i="47"/>
  <c r="S255" i="47"/>
  <c r="N255" i="47"/>
  <c r="AO248" i="47"/>
  <c r="AP248" i="47" s="1"/>
  <c r="AP236" i="47" s="1"/>
  <c r="AL248" i="47"/>
  <c r="AI248" i="47"/>
  <c r="AG248" i="47"/>
  <c r="AD248" i="47"/>
  <c r="AE248" i="47" s="1"/>
  <c r="AB248" i="47"/>
  <c r="Y248" i="47"/>
  <c r="Z248" i="47" s="1"/>
  <c r="AA248" i="47" s="1"/>
  <c r="W248" i="47"/>
  <c r="V248" i="47" s="1"/>
  <c r="U248" i="47" s="1"/>
  <c r="T248" i="47" s="1"/>
  <c r="R248" i="47"/>
  <c r="Q248" i="47" s="1"/>
  <c r="P248" i="47" s="1"/>
  <c r="O248" i="47" s="1"/>
  <c r="O236" i="47" s="1"/>
  <c r="O106" i="46" s="1"/>
  <c r="M248" i="47"/>
  <c r="L248" i="47" s="1"/>
  <c r="K248" i="47" s="1"/>
  <c r="J248" i="47" s="1"/>
  <c r="I248" i="47" s="1"/>
  <c r="H248" i="47" s="1"/>
  <c r="H236" i="47" s="1"/>
  <c r="H106" i="46" s="1"/>
  <c r="AM242" i="47"/>
  <c r="AH242" i="47"/>
  <c r="AC242" i="47"/>
  <c r="X242" i="47"/>
  <c r="S242" i="47"/>
  <c r="N242" i="47"/>
  <c r="I242" i="47"/>
  <c r="AM239" i="47"/>
  <c r="AJ239" i="47"/>
  <c r="AI239" i="47"/>
  <c r="AG239" i="47"/>
  <c r="AH239" i="47" s="1"/>
  <c r="AF239" i="47"/>
  <c r="AE239" i="47"/>
  <c r="AD239" i="47"/>
  <c r="AB239" i="47"/>
  <c r="AA239" i="47"/>
  <c r="Z239" i="47"/>
  <c r="Y239" i="47"/>
  <c r="W239" i="47"/>
  <c r="X239" i="47" s="1"/>
  <c r="V239" i="47"/>
  <c r="U239" i="47"/>
  <c r="T239" i="47"/>
  <c r="R239" i="47"/>
  <c r="Q239" i="47"/>
  <c r="P239" i="47"/>
  <c r="O239" i="47"/>
  <c r="M239" i="47"/>
  <c r="N239" i="47" s="1"/>
  <c r="L239" i="47"/>
  <c r="I239" i="47"/>
  <c r="AO235" i="47"/>
  <c r="AN235" i="47"/>
  <c r="AL235" i="47"/>
  <c r="AK235" i="47"/>
  <c r="AJ235" i="47"/>
  <c r="AI235" i="47"/>
  <c r="AG235" i="47"/>
  <c r="AF235" i="47"/>
  <c r="AE235" i="47"/>
  <c r="AD235" i="47"/>
  <c r="AB235" i="47"/>
  <c r="AA235" i="47"/>
  <c r="Z235" i="47"/>
  <c r="Y235" i="47"/>
  <c r="W235" i="47"/>
  <c r="X235" i="47" s="1"/>
  <c r="V235" i="47"/>
  <c r="U235" i="47"/>
  <c r="T235" i="47"/>
  <c r="R235" i="47"/>
  <c r="N235" i="47"/>
  <c r="I235" i="47"/>
  <c r="I234" i="47"/>
  <c r="AM234" i="47"/>
  <c r="AH234" i="47"/>
  <c r="AC234" i="47"/>
  <c r="W234" i="47"/>
  <c r="S234" i="47"/>
  <c r="Q234" i="47"/>
  <c r="P234" i="47"/>
  <c r="M234" i="47"/>
  <c r="L234" i="47"/>
  <c r="K234" i="47"/>
  <c r="J234" i="47"/>
  <c r="AM232" i="47"/>
  <c r="AM228" i="47" s="1"/>
  <c r="AH232" i="47"/>
  <c r="AH228" i="47" s="1"/>
  <c r="AC232" i="47"/>
  <c r="AC228" i="47" s="1"/>
  <c r="X232" i="47"/>
  <c r="X228" i="47" s="1"/>
  <c r="S232" i="47"/>
  <c r="N232" i="47"/>
  <c r="I232" i="47"/>
  <c r="BL222" i="47"/>
  <c r="BG222" i="47"/>
  <c r="BB222" i="47"/>
  <c r="BH221" i="47"/>
  <c r="BI221" i="47" s="1"/>
  <c r="BI113" i="46" s="1"/>
  <c r="BC221" i="47"/>
  <c r="BC113" i="46" s="1"/>
  <c r="AX221" i="47"/>
  <c r="AX113" i="46" s="1"/>
  <c r="BL220" i="47"/>
  <c r="BL219" i="47"/>
  <c r="BG220" i="47"/>
  <c r="BG219" i="47"/>
  <c r="BB220" i="47"/>
  <c r="BB219" i="47"/>
  <c r="BH214" i="47"/>
  <c r="BC214" i="47"/>
  <c r="AX214" i="47"/>
  <c r="K213" i="47"/>
  <c r="K61" i="51" s="1"/>
  <c r="AL211" i="47"/>
  <c r="AG211" i="47"/>
  <c r="AB211" i="47"/>
  <c r="W211" i="47"/>
  <c r="R211" i="47"/>
  <c r="M211" i="47"/>
  <c r="BH210" i="47"/>
  <c r="BC210" i="47"/>
  <c r="AX210" i="47"/>
  <c r="AQ273" i="47"/>
  <c r="AO209" i="47"/>
  <c r="AO273" i="47" s="1"/>
  <c r="AN209" i="47"/>
  <c r="AN273" i="47" s="1"/>
  <c r="AM209" i="47"/>
  <c r="AO208" i="47"/>
  <c r="AN208" i="47"/>
  <c r="AO207" i="47"/>
  <c r="AN207" i="47"/>
  <c r="AK273" i="47"/>
  <c r="AJ209" i="47"/>
  <c r="AJ273" i="47" s="1"/>
  <c r="AI209" i="47"/>
  <c r="AI273" i="47" s="1"/>
  <c r="AH209" i="47"/>
  <c r="AJ208" i="47"/>
  <c r="AI208" i="47"/>
  <c r="AK207" i="47"/>
  <c r="AJ207" i="47"/>
  <c r="AI207" i="47"/>
  <c r="AF209" i="47"/>
  <c r="AF273" i="47" s="1"/>
  <c r="AE209" i="47"/>
  <c r="AE273" i="47" s="1"/>
  <c r="AD209" i="47"/>
  <c r="AD273" i="47" s="1"/>
  <c r="AC209" i="47"/>
  <c r="AF208" i="47"/>
  <c r="AE208" i="47"/>
  <c r="AD208" i="47"/>
  <c r="AF207" i="47"/>
  <c r="AE207" i="47"/>
  <c r="AD207" i="47"/>
  <c r="AA209" i="47"/>
  <c r="AA273" i="47" s="1"/>
  <c r="Z209" i="47"/>
  <c r="Z273" i="47" s="1"/>
  <c r="Y209" i="47"/>
  <c r="Y273" i="47" s="1"/>
  <c r="X209" i="47"/>
  <c r="AA208" i="47"/>
  <c r="Z208" i="47"/>
  <c r="Y208" i="47"/>
  <c r="AA207" i="47"/>
  <c r="AA57" i="51" s="1"/>
  <c r="Z207" i="47"/>
  <c r="Z57" i="51" s="1"/>
  <c r="Y207" i="47"/>
  <c r="Y57" i="51" s="1"/>
  <c r="V209" i="47"/>
  <c r="V273" i="47" s="1"/>
  <c r="U209" i="47"/>
  <c r="U273" i="47" s="1"/>
  <c r="T209" i="47"/>
  <c r="T273" i="47" s="1"/>
  <c r="S209" i="47"/>
  <c r="V208" i="47"/>
  <c r="U208" i="47"/>
  <c r="T208" i="47"/>
  <c r="V207" i="47"/>
  <c r="V57" i="51" s="1"/>
  <c r="U207" i="47"/>
  <c r="U57" i="51" s="1"/>
  <c r="T207" i="47"/>
  <c r="T57" i="51" s="1"/>
  <c r="Q209" i="47"/>
  <c r="P209" i="47"/>
  <c r="O209" i="47"/>
  <c r="N209" i="47"/>
  <c r="Q208" i="47"/>
  <c r="P208" i="47"/>
  <c r="O208" i="47"/>
  <c r="Q207" i="47"/>
  <c r="Q57" i="51" s="1"/>
  <c r="P207" i="47"/>
  <c r="P57" i="51" s="1"/>
  <c r="O207" i="47"/>
  <c r="O57" i="51" s="1"/>
  <c r="L209" i="47"/>
  <c r="K209" i="47"/>
  <c r="J209" i="47"/>
  <c r="L208" i="47"/>
  <c r="K208" i="47"/>
  <c r="J208" i="47"/>
  <c r="L207" i="47"/>
  <c r="L57" i="51" s="1"/>
  <c r="K207" i="47"/>
  <c r="K57" i="51" s="1"/>
  <c r="J207" i="47"/>
  <c r="J57" i="51" s="1"/>
  <c r="BK202" i="47"/>
  <c r="BK30" i="47" s="1"/>
  <c r="BJ202" i="47"/>
  <c r="BJ30" i="47" s="1"/>
  <c r="BI202" i="47"/>
  <c r="BI30" i="47" s="1"/>
  <c r="BH202" i="47"/>
  <c r="BH30" i="47" s="1"/>
  <c r="BF202" i="47"/>
  <c r="BF30" i="47" s="1"/>
  <c r="BE202" i="47"/>
  <c r="BE30" i="47" s="1"/>
  <c r="BD202" i="47"/>
  <c r="BD30" i="47" s="1"/>
  <c r="BC202" i="47"/>
  <c r="BC30" i="47" s="1"/>
  <c r="BA202" i="47"/>
  <c r="BA30" i="47" s="1"/>
  <c r="AZ202" i="47"/>
  <c r="AZ30" i="47" s="1"/>
  <c r="AY202" i="47"/>
  <c r="AY30" i="47" s="1"/>
  <c r="AX202" i="47"/>
  <c r="AX30" i="47" s="1"/>
  <c r="AV202" i="47"/>
  <c r="AQ202" i="47"/>
  <c r="AC202" i="47"/>
  <c r="X202" i="47" s="1"/>
  <c r="BL200" i="47"/>
  <c r="BG200" i="47"/>
  <c r="BB200" i="47"/>
  <c r="AN186" i="47"/>
  <c r="AN187" i="47" s="1"/>
  <c r="AM186" i="47"/>
  <c r="AK186" i="47"/>
  <c r="AK187" i="47" s="1"/>
  <c r="AJ186" i="47"/>
  <c r="AJ187" i="47" s="1"/>
  <c r="AI186" i="47"/>
  <c r="AI187" i="47" s="1"/>
  <c r="AH186" i="47"/>
  <c r="AF186" i="47"/>
  <c r="AF187" i="47" s="1"/>
  <c r="AE186" i="47"/>
  <c r="AE187" i="47" s="1"/>
  <c r="AD186" i="47"/>
  <c r="AD187" i="47" s="1"/>
  <c r="AC186" i="47"/>
  <c r="AA186" i="47"/>
  <c r="AA187" i="47" s="1"/>
  <c r="Z186" i="47"/>
  <c r="Z187" i="47" s="1"/>
  <c r="Y186" i="47"/>
  <c r="Y187" i="47" s="1"/>
  <c r="X186" i="47"/>
  <c r="V186" i="47"/>
  <c r="V187" i="47" s="1"/>
  <c r="U186" i="47"/>
  <c r="U187" i="47" s="1"/>
  <c r="T186" i="47"/>
  <c r="T187" i="47" s="1"/>
  <c r="S186" i="47"/>
  <c r="Q186" i="47"/>
  <c r="Q187" i="47" s="1"/>
  <c r="P186" i="47"/>
  <c r="P187" i="47" s="1"/>
  <c r="O186" i="47"/>
  <c r="O187" i="47" s="1"/>
  <c r="N186" i="47"/>
  <c r="L186" i="47"/>
  <c r="L187" i="47" s="1"/>
  <c r="K186" i="47"/>
  <c r="K187" i="47" s="1"/>
  <c r="J186" i="47"/>
  <c r="J187" i="47" s="1"/>
  <c r="I186" i="47"/>
  <c r="G186" i="47"/>
  <c r="G187" i="47" s="1"/>
  <c r="F186" i="47"/>
  <c r="F187" i="47" s="1"/>
  <c r="E186" i="47"/>
  <c r="E187" i="47" s="1"/>
  <c r="AN183" i="47"/>
  <c r="AN184" i="47" s="1"/>
  <c r="AM183" i="47"/>
  <c r="AK183" i="47"/>
  <c r="AK184" i="47" s="1"/>
  <c r="AJ183" i="47"/>
  <c r="AJ184" i="47" s="1"/>
  <c r="AI183" i="47"/>
  <c r="AI184" i="47" s="1"/>
  <c r="AH183" i="47"/>
  <c r="AF183" i="47"/>
  <c r="AF184" i="47" s="1"/>
  <c r="AE183" i="47"/>
  <c r="AE184" i="47" s="1"/>
  <c r="AD183" i="47"/>
  <c r="AD184" i="47" s="1"/>
  <c r="AC183" i="47"/>
  <c r="AA183" i="47"/>
  <c r="AA184" i="47" s="1"/>
  <c r="Z183" i="47"/>
  <c r="Z184" i="47" s="1"/>
  <c r="Y183" i="47"/>
  <c r="Y184" i="47" s="1"/>
  <c r="X183" i="47"/>
  <c r="V183" i="47"/>
  <c r="V184" i="47" s="1"/>
  <c r="U183" i="47"/>
  <c r="U184" i="47" s="1"/>
  <c r="T183" i="47"/>
  <c r="T184" i="47" s="1"/>
  <c r="S183" i="47"/>
  <c r="Q183" i="47"/>
  <c r="Q184" i="47" s="1"/>
  <c r="P183" i="47"/>
  <c r="P184" i="47" s="1"/>
  <c r="O183" i="47"/>
  <c r="O184" i="47" s="1"/>
  <c r="N183" i="47"/>
  <c r="L183" i="47"/>
  <c r="L184" i="47" s="1"/>
  <c r="K183" i="47"/>
  <c r="K184" i="47" s="1"/>
  <c r="J183" i="47"/>
  <c r="J184" i="47" s="1"/>
  <c r="I183" i="47"/>
  <c r="G183" i="47"/>
  <c r="G184" i="47" s="1"/>
  <c r="F183" i="47"/>
  <c r="F184" i="47" s="1"/>
  <c r="E183" i="47"/>
  <c r="E184" i="47" s="1"/>
  <c r="AX177" i="47"/>
  <c r="AX176" i="47"/>
  <c r="AX175" i="47"/>
  <c r="AX174" i="47"/>
  <c r="AO177" i="47"/>
  <c r="AP177" i="47" s="1"/>
  <c r="AO176" i="47"/>
  <c r="AP176" i="47" s="1"/>
  <c r="AO175" i="47"/>
  <c r="AP175" i="47" s="1"/>
  <c r="AO174" i="47"/>
  <c r="AP174" i="47" s="1"/>
  <c r="AX173" i="47"/>
  <c r="AO173" i="47"/>
  <c r="AP173" i="47" s="1"/>
  <c r="BH177" i="47"/>
  <c r="BH176" i="47"/>
  <c r="BH175" i="47"/>
  <c r="BH174" i="47"/>
  <c r="BH173" i="47"/>
  <c r="BH172" i="47"/>
  <c r="BH171" i="47"/>
  <c r="BC177" i="47"/>
  <c r="BC176" i="47"/>
  <c r="BC175" i="47"/>
  <c r="BC174" i="47"/>
  <c r="BC173" i="47"/>
  <c r="BC172" i="47"/>
  <c r="BC171" i="47"/>
  <c r="AX172" i="47"/>
  <c r="AX171" i="47"/>
  <c r="AQ172" i="47"/>
  <c r="AO171" i="47"/>
  <c r="AP171" i="47" s="1"/>
  <c r="AJ177" i="47"/>
  <c r="AJ176" i="47"/>
  <c r="AJ175" i="47"/>
  <c r="AJ174" i="47"/>
  <c r="AJ173" i="47"/>
  <c r="AJ172" i="47"/>
  <c r="AJ171" i="47"/>
  <c r="AE177" i="47"/>
  <c r="AF177" i="47" s="1"/>
  <c r="AE176" i="47"/>
  <c r="AE175" i="47"/>
  <c r="AF175" i="47" s="1"/>
  <c r="AE174" i="47"/>
  <c r="AE173" i="47"/>
  <c r="AE172" i="47"/>
  <c r="AE171" i="47"/>
  <c r="Z177" i="47"/>
  <c r="Z176" i="47"/>
  <c r="AA176" i="47" s="1"/>
  <c r="Z175" i="47"/>
  <c r="Z174" i="47"/>
  <c r="Z173" i="47"/>
  <c r="Z172" i="47"/>
  <c r="Z171" i="47"/>
  <c r="U177" i="47"/>
  <c r="U176" i="47"/>
  <c r="U175" i="47"/>
  <c r="V175" i="47" s="1"/>
  <c r="U174" i="47"/>
  <c r="U173" i="47"/>
  <c r="V173" i="47" s="1"/>
  <c r="U172" i="47"/>
  <c r="U171" i="47"/>
  <c r="P177" i="47"/>
  <c r="P176" i="47"/>
  <c r="P175" i="47"/>
  <c r="P174" i="47"/>
  <c r="Q174" i="47" s="1"/>
  <c r="P173" i="47"/>
  <c r="P172" i="47"/>
  <c r="P171" i="47"/>
  <c r="K177" i="47"/>
  <c r="K176" i="47"/>
  <c r="K175" i="47"/>
  <c r="L175" i="47" s="1"/>
  <c r="K174" i="47"/>
  <c r="K173" i="47"/>
  <c r="L173" i="47" s="1"/>
  <c r="K172" i="47"/>
  <c r="K171" i="47"/>
  <c r="F177" i="47"/>
  <c r="F176" i="47"/>
  <c r="F175" i="47"/>
  <c r="F174" i="47"/>
  <c r="G174" i="47" s="1"/>
  <c r="F173" i="47"/>
  <c r="F172" i="47"/>
  <c r="G172" i="47" s="1"/>
  <c r="F171" i="47"/>
  <c r="BL168" i="47"/>
  <c r="BL178" i="47" s="1"/>
  <c r="BL179" i="47" s="1"/>
  <c r="BG168" i="47"/>
  <c r="BG178" i="47" s="1"/>
  <c r="BG179" i="47" s="1"/>
  <c r="BG209" i="47" s="1"/>
  <c r="BB168" i="47"/>
  <c r="AR178" i="47"/>
  <c r="N168" i="47"/>
  <c r="N178" i="47" s="1"/>
  <c r="I168" i="47"/>
  <c r="I178" i="47" s="1"/>
  <c r="I179" i="47" s="1"/>
  <c r="AQ167" i="47"/>
  <c r="AO167" i="47"/>
  <c r="AN167" i="47"/>
  <c r="AM167" i="47"/>
  <c r="AH167" i="47"/>
  <c r="AE167" i="47" s="1"/>
  <c r="AC167" i="47"/>
  <c r="AB167" i="47" s="1"/>
  <c r="X167" i="47"/>
  <c r="U167" i="47" s="1"/>
  <c r="S167" i="47"/>
  <c r="R167" i="47" s="1"/>
  <c r="AQ166" i="47"/>
  <c r="AO166" i="47"/>
  <c r="AN166" i="47"/>
  <c r="AQ165" i="47"/>
  <c r="AO165" i="47"/>
  <c r="AN165" i="47"/>
  <c r="BK167" i="47"/>
  <c r="BJ167" i="47"/>
  <c r="BI167" i="47"/>
  <c r="BH167" i="47"/>
  <c r="BK166" i="47"/>
  <c r="BJ166" i="47"/>
  <c r="BI166" i="47"/>
  <c r="BH166" i="47"/>
  <c r="BK165" i="47"/>
  <c r="BJ165" i="47"/>
  <c r="BI165" i="47"/>
  <c r="BH165" i="47"/>
  <c r="BK164" i="47"/>
  <c r="BJ164" i="47"/>
  <c r="BI164" i="47"/>
  <c r="BH164" i="47"/>
  <c r="BF167" i="47"/>
  <c r="BE167" i="47"/>
  <c r="BD167" i="47"/>
  <c r="BC167" i="47"/>
  <c r="BF166" i="47"/>
  <c r="BE166" i="47"/>
  <c r="BD166" i="47"/>
  <c r="BC166" i="47"/>
  <c r="BF165" i="47"/>
  <c r="BE165" i="47"/>
  <c r="BD165" i="47"/>
  <c r="BC165" i="47"/>
  <c r="BF164" i="47"/>
  <c r="BE164" i="47"/>
  <c r="BE168" i="47" s="1"/>
  <c r="BD164" i="47"/>
  <c r="BD168" i="47" s="1"/>
  <c r="BD213" i="47" s="1"/>
  <c r="BD79" i="46" s="1"/>
  <c r="BC164" i="47"/>
  <c r="BA167" i="47"/>
  <c r="AZ167" i="47"/>
  <c r="AY167" i="47"/>
  <c r="AX167" i="47"/>
  <c r="BA166" i="47"/>
  <c r="AZ166" i="47"/>
  <c r="AY166" i="47"/>
  <c r="AX166" i="47"/>
  <c r="BA165" i="47"/>
  <c r="AZ165" i="47"/>
  <c r="AY165" i="47"/>
  <c r="AX165" i="47"/>
  <c r="BA164" i="47"/>
  <c r="BA168" i="47" s="1"/>
  <c r="AZ164" i="47"/>
  <c r="AZ168" i="47" s="1"/>
  <c r="AY164" i="47"/>
  <c r="AX164" i="47"/>
  <c r="AX168" i="47" s="1"/>
  <c r="AV167" i="47"/>
  <c r="AV166" i="47"/>
  <c r="AV165" i="47"/>
  <c r="AV164" i="47"/>
  <c r="AQ164" i="47"/>
  <c r="AO164" i="47"/>
  <c r="AN164" i="47"/>
  <c r="AL166" i="47"/>
  <c r="AJ166" i="47"/>
  <c r="AI166" i="47"/>
  <c r="AL165" i="47"/>
  <c r="AJ165" i="47"/>
  <c r="AI165" i="47"/>
  <c r="AL164" i="47"/>
  <c r="AJ164" i="47"/>
  <c r="AI164" i="47"/>
  <c r="AG166" i="47"/>
  <c r="AF166" i="47"/>
  <c r="AE166" i="47"/>
  <c r="AD166" i="47"/>
  <c r="AC166" i="47"/>
  <c r="AB166" i="47" s="1"/>
  <c r="X166" i="47"/>
  <c r="U166" i="47" s="1"/>
  <c r="S166" i="47"/>
  <c r="R166" i="47" s="1"/>
  <c r="AG165" i="47"/>
  <c r="AF165" i="47"/>
  <c r="AE165" i="47"/>
  <c r="AD165" i="47"/>
  <c r="AC165" i="47"/>
  <c r="Z165" i="47" s="1"/>
  <c r="X165" i="47"/>
  <c r="V165" i="47" s="1"/>
  <c r="S165" i="47"/>
  <c r="P165" i="47" s="1"/>
  <c r="AG164" i="47"/>
  <c r="AF164" i="47"/>
  <c r="AE164" i="47"/>
  <c r="AD164" i="47"/>
  <c r="AC164" i="47"/>
  <c r="Y164" i="47" s="1"/>
  <c r="X164" i="47"/>
  <c r="U164" i="47" s="1"/>
  <c r="S164" i="47"/>
  <c r="O164" i="47" s="1"/>
  <c r="AO162" i="47"/>
  <c r="AO272" i="47"/>
  <c r="AN159" i="47"/>
  <c r="AM159" i="47"/>
  <c r="AK272" i="47"/>
  <c r="AJ159" i="47"/>
  <c r="AJ272" i="47" s="1"/>
  <c r="AI159" i="47"/>
  <c r="AI272" i="47" s="1"/>
  <c r="AH159" i="47"/>
  <c r="AF159" i="47"/>
  <c r="AF272" i="47" s="1"/>
  <c r="AE159" i="47"/>
  <c r="AE272" i="47" s="1"/>
  <c r="AD159" i="47"/>
  <c r="AD272" i="47" s="1"/>
  <c r="AC159" i="47"/>
  <c r="AA159" i="47"/>
  <c r="AA272" i="47" s="1"/>
  <c r="Z159" i="47"/>
  <c r="Z272" i="47" s="1"/>
  <c r="Y159" i="47"/>
  <c r="Y272" i="47" s="1"/>
  <c r="X159" i="47"/>
  <c r="V159" i="47"/>
  <c r="U159" i="47"/>
  <c r="U272" i="47" s="1"/>
  <c r="T159" i="47"/>
  <c r="S159" i="47"/>
  <c r="Q159" i="47"/>
  <c r="P159" i="47"/>
  <c r="O159" i="47"/>
  <c r="N159" i="47"/>
  <c r="L159" i="47"/>
  <c r="K159" i="47"/>
  <c r="J159" i="47"/>
  <c r="I159" i="47"/>
  <c r="G159" i="47"/>
  <c r="F159" i="47"/>
  <c r="E159" i="47"/>
  <c r="AM157" i="47"/>
  <c r="AM156" i="47"/>
  <c r="AH157" i="47"/>
  <c r="AH156" i="47"/>
  <c r="AI275" i="47" s="1"/>
  <c r="AC157" i="47"/>
  <c r="AC156" i="47"/>
  <c r="AD275" i="47" s="1"/>
  <c r="X157" i="47"/>
  <c r="X156" i="47"/>
  <c r="Y275" i="47" s="1"/>
  <c r="S157" i="47"/>
  <c r="S156" i="47"/>
  <c r="T275" i="47" s="1"/>
  <c r="N157" i="47"/>
  <c r="N156" i="47"/>
  <c r="I157" i="47"/>
  <c r="I156" i="47"/>
  <c r="K154" i="47"/>
  <c r="J154" i="47"/>
  <c r="H154" i="47"/>
  <c r="G154" i="47"/>
  <c r="F154" i="47"/>
  <c r="E154" i="47"/>
  <c r="AM153" i="47"/>
  <c r="AH153" i="47"/>
  <c r="AC153" i="47"/>
  <c r="X153" i="47"/>
  <c r="S153" i="47"/>
  <c r="N153" i="47"/>
  <c r="I153" i="47"/>
  <c r="I152" i="47"/>
  <c r="J213" i="47" s="1"/>
  <c r="J61" i="51" s="1"/>
  <c r="AP213" i="47"/>
  <c r="AN152" i="47"/>
  <c r="AN154" i="47" s="1"/>
  <c r="AL152" i="47"/>
  <c r="AM152" i="47" s="1"/>
  <c r="AK152" i="47"/>
  <c r="AK154" i="47" s="1"/>
  <c r="AJ152" i="47"/>
  <c r="AI152" i="47"/>
  <c r="AG152" i="47"/>
  <c r="AF152" i="47"/>
  <c r="AF154" i="47" s="1"/>
  <c r="AE152" i="47"/>
  <c r="AD152" i="47"/>
  <c r="AD154" i="47" s="1"/>
  <c r="AB152" i="47"/>
  <c r="AC152" i="47" s="1"/>
  <c r="AA152" i="47"/>
  <c r="Z152" i="47"/>
  <c r="Z154" i="47" s="1"/>
  <c r="Y152" i="47"/>
  <c r="W152" i="47"/>
  <c r="V152" i="47"/>
  <c r="V154" i="47" s="1"/>
  <c r="U152" i="47"/>
  <c r="T152" i="47"/>
  <c r="T154" i="47" s="1"/>
  <c r="R152" i="47"/>
  <c r="S152" i="47" s="1"/>
  <c r="Q152" i="47"/>
  <c r="P152" i="47"/>
  <c r="O152" i="47"/>
  <c r="M152" i="47"/>
  <c r="L152" i="47"/>
  <c r="L154" i="47" s="1"/>
  <c r="BL147" i="47"/>
  <c r="BK147" i="47" s="1"/>
  <c r="BJ147" i="47" s="1"/>
  <c r="BI147" i="47" s="1"/>
  <c r="BH147" i="47" s="1"/>
  <c r="BG147" i="47"/>
  <c r="BF147" i="47" s="1"/>
  <c r="BE147" i="47" s="1"/>
  <c r="BD147" i="47" s="1"/>
  <c r="BC147" i="47" s="1"/>
  <c r="BB147" i="47"/>
  <c r="BA147" i="47" s="1"/>
  <c r="AZ147" i="47" s="1"/>
  <c r="AY147" i="47" s="1"/>
  <c r="AX147" i="47" s="1"/>
  <c r="BL145" i="47"/>
  <c r="BG145" i="47"/>
  <c r="BB145" i="47"/>
  <c r="AL145" i="47"/>
  <c r="AG145" i="47"/>
  <c r="AB145" i="47"/>
  <c r="W145" i="47"/>
  <c r="R145" i="47"/>
  <c r="M145" i="47"/>
  <c r="H145" i="47"/>
  <c r="AN144" i="47"/>
  <c r="AN146" i="47" s="1"/>
  <c r="AS147" i="47" s="1"/>
  <c r="AS80" i="47" s="1"/>
  <c r="AM144" i="47"/>
  <c r="AM146" i="47" s="1"/>
  <c r="AR147" i="47" s="1"/>
  <c r="AJ144" i="47"/>
  <c r="AJ146" i="47" s="1"/>
  <c r="AI144" i="47"/>
  <c r="AI146" i="47" s="1"/>
  <c r="AH144" i="47"/>
  <c r="AH146" i="47" s="1"/>
  <c r="AF144" i="47"/>
  <c r="AF146" i="47" s="1"/>
  <c r="AK147" i="47" s="1"/>
  <c r="AE144" i="47"/>
  <c r="AE146" i="47" s="1"/>
  <c r="AD144" i="47"/>
  <c r="AD146" i="47" s="1"/>
  <c r="AC144" i="47"/>
  <c r="AC146" i="47" s="1"/>
  <c r="AA144" i="47"/>
  <c r="AA146" i="47" s="1"/>
  <c r="Z144" i="47"/>
  <c r="Z146" i="47" s="1"/>
  <c r="Y144" i="47"/>
  <c r="Y146" i="47" s="1"/>
  <c r="X144" i="47"/>
  <c r="X146" i="47" s="1"/>
  <c r="V144" i="47"/>
  <c r="V146" i="47" s="1"/>
  <c r="U144" i="47"/>
  <c r="U146" i="47" s="1"/>
  <c r="T144" i="47"/>
  <c r="T146" i="47" s="1"/>
  <c r="S144" i="47"/>
  <c r="S146" i="47" s="1"/>
  <c r="Q144" i="47"/>
  <c r="Q146" i="47" s="1"/>
  <c r="P144" i="47"/>
  <c r="P146" i="47" s="1"/>
  <c r="O144" i="47"/>
  <c r="O146" i="47" s="1"/>
  <c r="N144" i="47"/>
  <c r="N146" i="47" s="1"/>
  <c r="L144" i="47"/>
  <c r="L146" i="47" s="1"/>
  <c r="K144" i="47"/>
  <c r="K146" i="47" s="1"/>
  <c r="J144" i="47"/>
  <c r="J146" i="47" s="1"/>
  <c r="I144" i="47"/>
  <c r="I146" i="47" s="1"/>
  <c r="G144" i="47"/>
  <c r="G146" i="47" s="1"/>
  <c r="F144" i="47"/>
  <c r="F146" i="47" s="1"/>
  <c r="E144" i="47"/>
  <c r="E146" i="47" s="1"/>
  <c r="BL142" i="47"/>
  <c r="BK142" i="47" s="1"/>
  <c r="BJ142" i="47" s="1"/>
  <c r="BI142" i="47" s="1"/>
  <c r="BH142" i="47" s="1"/>
  <c r="BG142" i="47"/>
  <c r="BF142" i="47" s="1"/>
  <c r="BE142" i="47" s="1"/>
  <c r="BD142" i="47" s="1"/>
  <c r="BC142" i="47" s="1"/>
  <c r="BB142" i="47"/>
  <c r="BA142" i="47" s="1"/>
  <c r="AZ142" i="47" s="1"/>
  <c r="AY142" i="47" s="1"/>
  <c r="AX142" i="47" s="1"/>
  <c r="BL140" i="47"/>
  <c r="BG140" i="47"/>
  <c r="BB140" i="47"/>
  <c r="AL140" i="47"/>
  <c r="AG140" i="47"/>
  <c r="AB140" i="47"/>
  <c r="W140" i="47"/>
  <c r="R140" i="47"/>
  <c r="M140" i="47"/>
  <c r="H140" i="47"/>
  <c r="AN139" i="47"/>
  <c r="AM139" i="47"/>
  <c r="AM141" i="47" s="1"/>
  <c r="AR142" i="47" s="1"/>
  <c r="AJ139" i="47"/>
  <c r="AJ141" i="47" s="1"/>
  <c r="AI139" i="47"/>
  <c r="AI141" i="47" s="1"/>
  <c r="AH139" i="47"/>
  <c r="AH141" i="47" s="1"/>
  <c r="AF139" i="47"/>
  <c r="AF141" i="47" s="1"/>
  <c r="AK142" i="47" s="1"/>
  <c r="AE139" i="47"/>
  <c r="AE141" i="47" s="1"/>
  <c r="AD139" i="47"/>
  <c r="AD141" i="47" s="1"/>
  <c r="AC139" i="47"/>
  <c r="AC141" i="47" s="1"/>
  <c r="AA139" i="47"/>
  <c r="AA141" i="47" s="1"/>
  <c r="Z139" i="47"/>
  <c r="Z141" i="47" s="1"/>
  <c r="Y139" i="47"/>
  <c r="Y141" i="47" s="1"/>
  <c r="X139" i="47"/>
  <c r="X141" i="47" s="1"/>
  <c r="V139" i="47"/>
  <c r="V141" i="47" s="1"/>
  <c r="U139" i="47"/>
  <c r="U141" i="47" s="1"/>
  <c r="T139" i="47"/>
  <c r="T141" i="47" s="1"/>
  <c r="S139" i="47"/>
  <c r="S141" i="47" s="1"/>
  <c r="Q139" i="47"/>
  <c r="Q141" i="47" s="1"/>
  <c r="P139" i="47"/>
  <c r="P141" i="47" s="1"/>
  <c r="O139" i="47"/>
  <c r="O141" i="47" s="1"/>
  <c r="N139" i="47"/>
  <c r="N141" i="47" s="1"/>
  <c r="L139" i="47"/>
  <c r="L141" i="47" s="1"/>
  <c r="K139" i="47"/>
  <c r="K141" i="47" s="1"/>
  <c r="J139" i="47"/>
  <c r="J141" i="47" s="1"/>
  <c r="I139" i="47"/>
  <c r="I141" i="47" s="1"/>
  <c r="G139" i="47"/>
  <c r="G141" i="47" s="1"/>
  <c r="F139" i="47"/>
  <c r="F141" i="47" s="1"/>
  <c r="E139" i="47"/>
  <c r="E141" i="47" s="1"/>
  <c r="BL137" i="47"/>
  <c r="BG137" i="47"/>
  <c r="BB137" i="47"/>
  <c r="BL135" i="47"/>
  <c r="BG135" i="47"/>
  <c r="BB135" i="47"/>
  <c r="AL135" i="47"/>
  <c r="AH135" i="47"/>
  <c r="AG135" i="47" s="1"/>
  <c r="AC135" i="47"/>
  <c r="Z135" i="47"/>
  <c r="Z134" i="47"/>
  <c r="W135" i="47"/>
  <c r="R135" i="47"/>
  <c r="M135" i="47"/>
  <c r="H135" i="47"/>
  <c r="AN134" i="47"/>
  <c r="AR134" i="47" s="1"/>
  <c r="AR136" i="47" s="1"/>
  <c r="AJ134" i="47"/>
  <c r="AJ136" i="47" s="1"/>
  <c r="AI134" i="47"/>
  <c r="AI136" i="47" s="1"/>
  <c r="AF134" i="47"/>
  <c r="AF136" i="47" s="1"/>
  <c r="AK137" i="47" s="1"/>
  <c r="AE134" i="47"/>
  <c r="AE136" i="47" s="1"/>
  <c r="AD134" i="47"/>
  <c r="AD136" i="47" s="1"/>
  <c r="AA134" i="47"/>
  <c r="AA136" i="47" s="1"/>
  <c r="Y134" i="47"/>
  <c r="Y136" i="47" s="1"/>
  <c r="X134" i="47"/>
  <c r="X136" i="47" s="1"/>
  <c r="V134" i="47"/>
  <c r="V136" i="47" s="1"/>
  <c r="U134" i="47"/>
  <c r="U136" i="47" s="1"/>
  <c r="T134" i="47"/>
  <c r="T136" i="47" s="1"/>
  <c r="S134" i="47"/>
  <c r="S136" i="47" s="1"/>
  <c r="Q134" i="47"/>
  <c r="Q136" i="47" s="1"/>
  <c r="P134" i="47"/>
  <c r="P136" i="47" s="1"/>
  <c r="O134" i="47"/>
  <c r="O136" i="47" s="1"/>
  <c r="N134" i="47"/>
  <c r="N136" i="47" s="1"/>
  <c r="L134" i="47"/>
  <c r="L136" i="47" s="1"/>
  <c r="K134" i="47"/>
  <c r="K136" i="47" s="1"/>
  <c r="J134" i="47"/>
  <c r="J136" i="47" s="1"/>
  <c r="I134" i="47"/>
  <c r="I136" i="47" s="1"/>
  <c r="G134" i="47"/>
  <c r="G136" i="47" s="1"/>
  <c r="F134" i="47"/>
  <c r="F136" i="47" s="1"/>
  <c r="E134" i="47"/>
  <c r="E136" i="47" s="1"/>
  <c r="BL132" i="47"/>
  <c r="BK132" i="47" s="1"/>
  <c r="BJ132" i="47" s="1"/>
  <c r="BI132" i="47" s="1"/>
  <c r="BH132" i="47" s="1"/>
  <c r="BG132" i="47"/>
  <c r="BF132" i="47" s="1"/>
  <c r="BE132" i="47" s="1"/>
  <c r="BD132" i="47" s="1"/>
  <c r="BC132" i="47" s="1"/>
  <c r="BB132" i="47"/>
  <c r="BA132" i="47" s="1"/>
  <c r="AZ132" i="47" s="1"/>
  <c r="AY132" i="47" s="1"/>
  <c r="AX132" i="47" s="1"/>
  <c r="BL130" i="47"/>
  <c r="BG130" i="47"/>
  <c r="BB130" i="47"/>
  <c r="AL130" i="47"/>
  <c r="AG130" i="47"/>
  <c r="AB130" i="47"/>
  <c r="W130" i="47"/>
  <c r="R130" i="47"/>
  <c r="M130" i="47"/>
  <c r="H130" i="47"/>
  <c r="AN129" i="47"/>
  <c r="AN131" i="47" s="1"/>
  <c r="AS132" i="47" s="1"/>
  <c r="AS77" i="47" s="1"/>
  <c r="AM129" i="47"/>
  <c r="AM131" i="47" s="1"/>
  <c r="AR132" i="47" s="1"/>
  <c r="AJ129" i="47"/>
  <c r="AJ131" i="47" s="1"/>
  <c r="AO132" i="47" s="1"/>
  <c r="AO77" i="47" s="1"/>
  <c r="AI129" i="47"/>
  <c r="AI131" i="47" s="1"/>
  <c r="AH129" i="47"/>
  <c r="AH131" i="47" s="1"/>
  <c r="AF129" i="47"/>
  <c r="AF131" i="47" s="1"/>
  <c r="AK132" i="47" s="1"/>
  <c r="AE129" i="47"/>
  <c r="AE131" i="47" s="1"/>
  <c r="AD129" i="47"/>
  <c r="AD131" i="47" s="1"/>
  <c r="AC129" i="47"/>
  <c r="AC131" i="47" s="1"/>
  <c r="AA129" i="47"/>
  <c r="AA131" i="47" s="1"/>
  <c r="Z129" i="47"/>
  <c r="Z131" i="47" s="1"/>
  <c r="Y129" i="47"/>
  <c r="Y131" i="47" s="1"/>
  <c r="X129" i="47"/>
  <c r="X131" i="47" s="1"/>
  <c r="V129" i="47"/>
  <c r="V131" i="47" s="1"/>
  <c r="U129" i="47"/>
  <c r="U131" i="47" s="1"/>
  <c r="T129" i="47"/>
  <c r="T131" i="47" s="1"/>
  <c r="S129" i="47"/>
  <c r="S131" i="47" s="1"/>
  <c r="Q129" i="47"/>
  <c r="Q131" i="47" s="1"/>
  <c r="P129" i="47"/>
  <c r="P131" i="47" s="1"/>
  <c r="O129" i="47"/>
  <c r="O131" i="47" s="1"/>
  <c r="N129" i="47"/>
  <c r="N131" i="47" s="1"/>
  <c r="L129" i="47"/>
  <c r="L131" i="47" s="1"/>
  <c r="K129" i="47"/>
  <c r="K131" i="47" s="1"/>
  <c r="J129" i="47"/>
  <c r="J131" i="47" s="1"/>
  <c r="I129" i="47"/>
  <c r="I131" i="47" s="1"/>
  <c r="G129" i="47"/>
  <c r="G131" i="47" s="1"/>
  <c r="F129" i="47"/>
  <c r="F131" i="47" s="1"/>
  <c r="E129" i="47"/>
  <c r="E131" i="47" s="1"/>
  <c r="AM124" i="47"/>
  <c r="AK124" i="47"/>
  <c r="AJ124" i="47"/>
  <c r="AI124" i="47"/>
  <c r="AH124" i="47"/>
  <c r="AG124" i="47"/>
  <c r="AF124" i="47"/>
  <c r="AE124" i="47"/>
  <c r="AD124" i="47"/>
  <c r="AC124" i="47"/>
  <c r="AB124" i="47"/>
  <c r="AA124" i="47"/>
  <c r="Z124" i="47"/>
  <c r="Y124" i="47"/>
  <c r="X124" i="47"/>
  <c r="W124" i="47"/>
  <c r="V124" i="47"/>
  <c r="U124" i="47"/>
  <c r="T124" i="47"/>
  <c r="S124" i="47"/>
  <c r="R124" i="47"/>
  <c r="Q124" i="47"/>
  <c r="P124" i="47"/>
  <c r="O124" i="47"/>
  <c r="N124" i="47"/>
  <c r="M124" i="47"/>
  <c r="L124" i="47"/>
  <c r="K124" i="47"/>
  <c r="J124" i="47"/>
  <c r="AO120" i="47"/>
  <c r="AN120" i="47"/>
  <c r="AK120" i="47"/>
  <c r="AJ120" i="47"/>
  <c r="AI120" i="47"/>
  <c r="AF120" i="47"/>
  <c r="AE120" i="47"/>
  <c r="AD120" i="47"/>
  <c r="AA120" i="47"/>
  <c r="Z120" i="47"/>
  <c r="Y120" i="47"/>
  <c r="V120" i="47"/>
  <c r="U120" i="47"/>
  <c r="T120" i="47"/>
  <c r="Q120" i="47"/>
  <c r="P120" i="47"/>
  <c r="O120" i="47"/>
  <c r="L120" i="47"/>
  <c r="K120" i="47"/>
  <c r="J120" i="47"/>
  <c r="G120" i="47"/>
  <c r="F120" i="47"/>
  <c r="E120" i="47"/>
  <c r="AO117" i="47"/>
  <c r="AY117" i="47" s="1"/>
  <c r="BD117" i="47" s="1"/>
  <c r="BI117" i="47" s="1"/>
  <c r="AN117" i="47"/>
  <c r="AK117" i="47"/>
  <c r="AZ117" i="47" s="1"/>
  <c r="BE117" i="47" s="1"/>
  <c r="BJ117" i="47" s="1"/>
  <c r="BO117" i="47" s="1"/>
  <c r="AJ117" i="47"/>
  <c r="AI117" i="47"/>
  <c r="AF117" i="47"/>
  <c r="AE117" i="47"/>
  <c r="AD117" i="47"/>
  <c r="AA117" i="47"/>
  <c r="Z117" i="47"/>
  <c r="Y117" i="47"/>
  <c r="V117" i="47"/>
  <c r="U117" i="47"/>
  <c r="T117" i="47"/>
  <c r="Q117" i="47"/>
  <c r="P117" i="47"/>
  <c r="O117" i="47"/>
  <c r="L117" i="47"/>
  <c r="K117" i="47"/>
  <c r="J117" i="47"/>
  <c r="G117" i="47"/>
  <c r="F117" i="47"/>
  <c r="E117" i="47"/>
  <c r="AL115" i="47"/>
  <c r="AL113" i="47"/>
  <c r="AG115" i="47"/>
  <c r="AG113" i="47"/>
  <c r="AB115" i="47"/>
  <c r="AB113" i="47"/>
  <c r="W115" i="47"/>
  <c r="W113" i="47"/>
  <c r="R115" i="47"/>
  <c r="R113" i="47"/>
  <c r="N115" i="47"/>
  <c r="N113" i="47"/>
  <c r="I115" i="47"/>
  <c r="I100" i="47" s="1"/>
  <c r="I113" i="47"/>
  <c r="AO114" i="47"/>
  <c r="AY114" i="47" s="1"/>
  <c r="BD114" i="47" s="1"/>
  <c r="BI114" i="47" s="1"/>
  <c r="BN114" i="47" s="1"/>
  <c r="AN114" i="47"/>
  <c r="AX114" i="47" s="1"/>
  <c r="BC114" i="47" s="1"/>
  <c r="BH114" i="47" s="1"/>
  <c r="BM114" i="47" s="1"/>
  <c r="AM114" i="47"/>
  <c r="AK114" i="47"/>
  <c r="AJ114" i="47"/>
  <c r="AI114" i="47"/>
  <c r="AH114" i="47"/>
  <c r="AF114" i="47"/>
  <c r="AE114" i="47"/>
  <c r="AD114" i="47"/>
  <c r="AC114" i="47"/>
  <c r="AA114" i="47"/>
  <c r="Z114" i="47"/>
  <c r="Y114" i="47"/>
  <c r="X114" i="47"/>
  <c r="V114" i="47"/>
  <c r="U114" i="47"/>
  <c r="T114" i="47"/>
  <c r="S114" i="47"/>
  <c r="Q114" i="47"/>
  <c r="P114" i="47"/>
  <c r="O114" i="47"/>
  <c r="M114" i="47"/>
  <c r="L114" i="47"/>
  <c r="K114" i="47"/>
  <c r="J114" i="47"/>
  <c r="H114" i="47"/>
  <c r="G114" i="47"/>
  <c r="F114" i="47"/>
  <c r="E114" i="47"/>
  <c r="AG107" i="47"/>
  <c r="AB107" i="47"/>
  <c r="W107" i="47"/>
  <c r="U107" i="47"/>
  <c r="T107" i="47"/>
  <c r="Q107" i="47"/>
  <c r="P107" i="47"/>
  <c r="O107" i="47"/>
  <c r="M107" i="47"/>
  <c r="L107" i="47"/>
  <c r="K107" i="47"/>
  <c r="P67" i="47" s="1"/>
  <c r="J107" i="47"/>
  <c r="H107" i="47"/>
  <c r="G107" i="47"/>
  <c r="F107" i="47"/>
  <c r="E107" i="47"/>
  <c r="AM106" i="47"/>
  <c r="AM105" i="47"/>
  <c r="AM103" i="47"/>
  <c r="AH106" i="47"/>
  <c r="AH105" i="47"/>
  <c r="AH103" i="47"/>
  <c r="AC106" i="47"/>
  <c r="AC105" i="47"/>
  <c r="AC103" i="47"/>
  <c r="X106" i="47"/>
  <c r="X105" i="47"/>
  <c r="X103" i="47"/>
  <c r="S106" i="47"/>
  <c r="S104" i="47"/>
  <c r="S103" i="47"/>
  <c r="N106" i="47"/>
  <c r="N105" i="47"/>
  <c r="N104" i="47"/>
  <c r="N103" i="47"/>
  <c r="I106" i="47"/>
  <c r="I105" i="47"/>
  <c r="I104" i="47"/>
  <c r="I103" i="47"/>
  <c r="R105" i="47"/>
  <c r="AO104" i="47"/>
  <c r="AO107" i="47" s="1"/>
  <c r="AT67" i="47" s="1"/>
  <c r="AN104" i="47"/>
  <c r="AL104" i="47"/>
  <c r="AL107" i="47" s="1"/>
  <c r="AK104" i="47"/>
  <c r="AK107" i="47" s="1"/>
  <c r="AP67" i="47" s="1"/>
  <c r="AJ104" i="47"/>
  <c r="AJ107" i="47" s="1"/>
  <c r="AI104" i="47"/>
  <c r="AI107" i="47" s="1"/>
  <c r="AF104" i="47"/>
  <c r="AF107" i="47" s="1"/>
  <c r="AE104" i="47"/>
  <c r="AE107" i="47" s="1"/>
  <c r="AD104" i="47"/>
  <c r="AA104" i="47"/>
  <c r="AA107" i="47" s="1"/>
  <c r="Z104" i="47"/>
  <c r="Z107" i="47" s="1"/>
  <c r="Y104" i="47"/>
  <c r="V104" i="47"/>
  <c r="AO100" i="47"/>
  <c r="AN100" i="47"/>
  <c r="AM100" i="47"/>
  <c r="AJ100" i="47"/>
  <c r="AJ109" i="47" s="1"/>
  <c r="AI100" i="47"/>
  <c r="AH100" i="47"/>
  <c r="AF100" i="47"/>
  <c r="AE100" i="47"/>
  <c r="AD100" i="47"/>
  <c r="AC100" i="47"/>
  <c r="AA100" i="47"/>
  <c r="Z100" i="47"/>
  <c r="Y100" i="47"/>
  <c r="X100" i="47"/>
  <c r="V100" i="47"/>
  <c r="U100" i="47"/>
  <c r="T100" i="47"/>
  <c r="S100" i="47"/>
  <c r="Q100" i="47"/>
  <c r="P100" i="47"/>
  <c r="O100" i="47"/>
  <c r="N100" i="47"/>
  <c r="L100" i="47"/>
  <c r="K100" i="47"/>
  <c r="J100" i="47"/>
  <c r="G100" i="47"/>
  <c r="F100" i="47"/>
  <c r="E100" i="47"/>
  <c r="AO98" i="47"/>
  <c r="AN98" i="47"/>
  <c r="AM98" i="47"/>
  <c r="AJ98" i="47"/>
  <c r="AI98" i="47"/>
  <c r="AH98" i="47"/>
  <c r="AF98" i="47"/>
  <c r="AE98" i="47"/>
  <c r="AD98" i="47"/>
  <c r="AC98" i="47"/>
  <c r="AA98" i="47"/>
  <c r="Z98" i="47"/>
  <c r="Y98" i="47"/>
  <c r="X98" i="47"/>
  <c r="V98" i="47"/>
  <c r="U98" i="47"/>
  <c r="T98" i="47"/>
  <c r="S98" i="47"/>
  <c r="Q98" i="47"/>
  <c r="P98" i="47"/>
  <c r="O98" i="47"/>
  <c r="M98" i="47"/>
  <c r="L98" i="47"/>
  <c r="K98" i="47"/>
  <c r="J98" i="47"/>
  <c r="H98" i="47"/>
  <c r="G98" i="47"/>
  <c r="F98" i="47"/>
  <c r="E98" i="47"/>
  <c r="AL97" i="47"/>
  <c r="AL96" i="47"/>
  <c r="AL95" i="47"/>
  <c r="AL94" i="47"/>
  <c r="AG97" i="47"/>
  <c r="AG96" i="47"/>
  <c r="AG95" i="47"/>
  <c r="AG94" i="47"/>
  <c r="AB97" i="47"/>
  <c r="AB96" i="47"/>
  <c r="AB95" i="47"/>
  <c r="AB94" i="47"/>
  <c r="W97" i="47"/>
  <c r="W96" i="47"/>
  <c r="W95" i="47"/>
  <c r="W94" i="47"/>
  <c r="R97" i="47"/>
  <c r="R96" i="47"/>
  <c r="R95" i="47"/>
  <c r="R94" i="47"/>
  <c r="N97" i="47"/>
  <c r="N96" i="47"/>
  <c r="N95" i="47"/>
  <c r="N94" i="47"/>
  <c r="I97" i="47"/>
  <c r="I96" i="47"/>
  <c r="I95" i="47"/>
  <c r="I94" i="47"/>
  <c r="C97" i="47"/>
  <c r="C96" i="47"/>
  <c r="C95" i="47"/>
  <c r="C94" i="47"/>
  <c r="BK82" i="47"/>
  <c r="BJ82" i="47" s="1"/>
  <c r="BI82" i="47" s="1"/>
  <c r="BH82" i="47" s="1"/>
  <c r="BF82" i="47"/>
  <c r="BE82" i="47" s="1"/>
  <c r="BD82" i="47" s="1"/>
  <c r="BC82" i="47" s="1"/>
  <c r="BA82" i="47"/>
  <c r="AZ82" i="47" s="1"/>
  <c r="AY82" i="47" s="1"/>
  <c r="AX82" i="47" s="1"/>
  <c r="BK80" i="47"/>
  <c r="BJ80" i="47"/>
  <c r="BI80" i="47"/>
  <c r="BH80" i="47"/>
  <c r="BK79" i="47"/>
  <c r="BJ79" i="47"/>
  <c r="BI79" i="47"/>
  <c r="BH79" i="47"/>
  <c r="BK78" i="47"/>
  <c r="BK137" i="47" s="1"/>
  <c r="BJ78" i="47"/>
  <c r="BJ137" i="47" s="1"/>
  <c r="BI78" i="47"/>
  <c r="BI137" i="47" s="1"/>
  <c r="BH78" i="47"/>
  <c r="BH137" i="47" s="1"/>
  <c r="BK77" i="47"/>
  <c r="BJ77" i="47"/>
  <c r="BI77" i="47"/>
  <c r="BH77" i="47"/>
  <c r="BF80" i="47"/>
  <c r="BE80" i="47"/>
  <c r="BD80" i="47"/>
  <c r="BC80" i="47"/>
  <c r="BF79" i="47"/>
  <c r="BE79" i="47"/>
  <c r="BD79" i="47"/>
  <c r="BC79" i="47"/>
  <c r="BF78" i="47"/>
  <c r="BF137" i="47" s="1"/>
  <c r="BE78" i="47"/>
  <c r="BE137" i="47" s="1"/>
  <c r="BD78" i="47"/>
  <c r="BD137" i="47" s="1"/>
  <c r="BC78" i="47"/>
  <c r="BC137" i="47" s="1"/>
  <c r="BF77" i="47"/>
  <c r="BE77" i="47"/>
  <c r="BD77" i="47"/>
  <c r="BC77" i="47"/>
  <c r="BA80" i="47"/>
  <c r="AZ80" i="47"/>
  <c r="AY80" i="47"/>
  <c r="AX80" i="47"/>
  <c r="BA79" i="47"/>
  <c r="AZ79" i="47"/>
  <c r="AY79" i="47"/>
  <c r="AX79" i="47"/>
  <c r="BA78" i="47"/>
  <c r="BA137" i="47" s="1"/>
  <c r="AZ78" i="47"/>
  <c r="AZ137" i="47" s="1"/>
  <c r="AY78" i="47"/>
  <c r="AY137" i="47" s="1"/>
  <c r="AX78" i="47"/>
  <c r="AX137" i="47" s="1"/>
  <c r="BA77" i="47"/>
  <c r="AZ77" i="47"/>
  <c r="AY77" i="47"/>
  <c r="AX77" i="47"/>
  <c r="BK74" i="47"/>
  <c r="BJ74" i="47"/>
  <c r="BI74" i="47"/>
  <c r="BH74" i="47"/>
  <c r="BK73" i="47"/>
  <c r="BJ73" i="47"/>
  <c r="BI73" i="47"/>
  <c r="BH73" i="47"/>
  <c r="BK72" i="47"/>
  <c r="BJ72" i="47"/>
  <c r="BI72" i="47"/>
  <c r="BH72" i="47"/>
  <c r="BK71" i="47"/>
  <c r="BJ71" i="47"/>
  <c r="BI71" i="47"/>
  <c r="BH71" i="47"/>
  <c r="BK70" i="47"/>
  <c r="BJ70" i="47"/>
  <c r="BJ75" i="47" s="1"/>
  <c r="BJ110" i="47" s="1"/>
  <c r="BI70" i="47"/>
  <c r="BH70" i="47"/>
  <c r="BH75" i="47" s="1"/>
  <c r="BH110" i="47" s="1"/>
  <c r="BF74" i="47"/>
  <c r="BE74" i="47"/>
  <c r="BD74" i="47"/>
  <c r="BC74" i="47"/>
  <c r="BF73" i="47"/>
  <c r="BE73" i="47"/>
  <c r="BD73" i="47"/>
  <c r="BC73" i="47"/>
  <c r="BF72" i="47"/>
  <c r="BE72" i="47"/>
  <c r="BD72" i="47"/>
  <c r="BC72" i="47"/>
  <c r="BF71" i="47"/>
  <c r="BE71" i="47"/>
  <c r="BD71" i="47"/>
  <c r="BC71" i="47"/>
  <c r="BF70" i="47"/>
  <c r="BE70" i="47"/>
  <c r="BD70" i="47"/>
  <c r="BC70" i="47"/>
  <c r="BA74" i="47"/>
  <c r="AZ74" i="47"/>
  <c r="AY74" i="47"/>
  <c r="AX74" i="47"/>
  <c r="BA73" i="47"/>
  <c r="AZ73" i="47"/>
  <c r="AY73" i="47"/>
  <c r="AX73" i="47"/>
  <c r="BA72" i="47"/>
  <c r="AZ72" i="47"/>
  <c r="AY72" i="47"/>
  <c r="AX72" i="47"/>
  <c r="BA71" i="47"/>
  <c r="AZ71" i="47"/>
  <c r="AY71" i="47"/>
  <c r="AX71" i="47"/>
  <c r="BA70" i="47"/>
  <c r="BA75" i="47" s="1"/>
  <c r="BA110" i="47" s="1"/>
  <c r="AZ70" i="47"/>
  <c r="AY70" i="47"/>
  <c r="AX70" i="47"/>
  <c r="BK68" i="47"/>
  <c r="BJ68" i="47"/>
  <c r="BI68" i="47"/>
  <c r="BH68" i="47"/>
  <c r="BK67" i="47"/>
  <c r="BJ67" i="47"/>
  <c r="BI67" i="47"/>
  <c r="BH67" i="47"/>
  <c r="BF68" i="47"/>
  <c r="BE68" i="47"/>
  <c r="BD68" i="47"/>
  <c r="BC68" i="47"/>
  <c r="BF67" i="47"/>
  <c r="BE67" i="47"/>
  <c r="BD67" i="47"/>
  <c r="BC67" i="47"/>
  <c r="BA68" i="47"/>
  <c r="AZ68" i="47"/>
  <c r="AY68" i="47"/>
  <c r="AX68" i="47"/>
  <c r="AZ67" i="47"/>
  <c r="AT100" i="47"/>
  <c r="AO54" i="47"/>
  <c r="AN54" i="47"/>
  <c r="AM54" i="47"/>
  <c r="AL54" i="47"/>
  <c r="AK54" i="47"/>
  <c r="AJ54" i="47"/>
  <c r="AI54" i="47"/>
  <c r="AH54" i="47"/>
  <c r="AG54" i="47"/>
  <c r="AF54" i="47"/>
  <c r="AE54" i="47"/>
  <c r="AD54" i="47"/>
  <c r="AC54" i="47"/>
  <c r="AA54" i="47"/>
  <c r="Z54" i="47"/>
  <c r="Y54" i="47"/>
  <c r="X54" i="47"/>
  <c r="V54" i="47"/>
  <c r="U54" i="47"/>
  <c r="T54" i="47"/>
  <c r="S54" i="47"/>
  <c r="Q54" i="47"/>
  <c r="P54" i="47"/>
  <c r="O54" i="47"/>
  <c r="L54" i="47"/>
  <c r="K54" i="47"/>
  <c r="J54" i="47"/>
  <c r="G54" i="47"/>
  <c r="F54" i="47"/>
  <c r="E54" i="47"/>
  <c r="AO53" i="47"/>
  <c r="AN53" i="47"/>
  <c r="AM53" i="47"/>
  <c r="AL53" i="47"/>
  <c r="AK53" i="47"/>
  <c r="AJ53" i="47"/>
  <c r="AI53" i="47"/>
  <c r="AH53" i="47"/>
  <c r="AG53" i="47"/>
  <c r="AF53" i="47"/>
  <c r="AE53" i="47"/>
  <c r="AD53" i="47"/>
  <c r="AC53" i="47"/>
  <c r="AA53" i="47"/>
  <c r="Z53" i="47"/>
  <c r="Y53" i="47"/>
  <c r="X53" i="47"/>
  <c r="V53" i="47"/>
  <c r="U53" i="47"/>
  <c r="T53" i="47"/>
  <c r="S53" i="47"/>
  <c r="Q53" i="47"/>
  <c r="P53" i="47"/>
  <c r="O53" i="47"/>
  <c r="L53" i="47"/>
  <c r="K53" i="47"/>
  <c r="J53" i="47"/>
  <c r="G53" i="47"/>
  <c r="F53" i="47"/>
  <c r="E53" i="47"/>
  <c r="BL50" i="47"/>
  <c r="BG50" i="47"/>
  <c r="BB50" i="47"/>
  <c r="AL50" i="47"/>
  <c r="AG50" i="47"/>
  <c r="AC50" i="47"/>
  <c r="AA50" i="47"/>
  <c r="Z50" i="47"/>
  <c r="W50" i="47"/>
  <c r="R50" i="47"/>
  <c r="M50" i="47"/>
  <c r="H50" i="47"/>
  <c r="AY47" i="47"/>
  <c r="BD47" i="47" s="1"/>
  <c r="AL47" i="47"/>
  <c r="AG47" i="47"/>
  <c r="AB47" i="47"/>
  <c r="W47" i="47"/>
  <c r="R47" i="47"/>
  <c r="M47" i="47"/>
  <c r="H47" i="47"/>
  <c r="AL43" i="47"/>
  <c r="AG43" i="47"/>
  <c r="AB43" i="47"/>
  <c r="W43" i="47"/>
  <c r="R43" i="47"/>
  <c r="M43" i="47"/>
  <c r="H43" i="47"/>
  <c r="AO39" i="47"/>
  <c r="AN39" i="47"/>
  <c r="AM39" i="47"/>
  <c r="AK39" i="47"/>
  <c r="AJ39" i="47"/>
  <c r="AI39" i="47"/>
  <c r="AH39" i="47"/>
  <c r="AF39" i="47"/>
  <c r="AE39" i="47"/>
  <c r="AD39" i="47"/>
  <c r="AC39" i="47"/>
  <c r="AA39" i="47"/>
  <c r="Z39" i="47"/>
  <c r="Y39" i="47"/>
  <c r="X39" i="47"/>
  <c r="V39" i="47"/>
  <c r="U39" i="47"/>
  <c r="T39" i="47"/>
  <c r="S39" i="47"/>
  <c r="Q39" i="47"/>
  <c r="P39" i="47"/>
  <c r="O39" i="47"/>
  <c r="N39" i="47"/>
  <c r="K39" i="47"/>
  <c r="J39" i="47"/>
  <c r="I39" i="47"/>
  <c r="AL38" i="47"/>
  <c r="AL186" i="47" s="1"/>
  <c r="AL187" i="47" s="1"/>
  <c r="AL37" i="47"/>
  <c r="AG38" i="47"/>
  <c r="AG186" i="47" s="1"/>
  <c r="AG187" i="47" s="1"/>
  <c r="AG37" i="47"/>
  <c r="AB38" i="47"/>
  <c r="AB186" i="47" s="1"/>
  <c r="AB187" i="47" s="1"/>
  <c r="AB37" i="47"/>
  <c r="W38" i="47"/>
  <c r="W186" i="47" s="1"/>
  <c r="W187" i="47" s="1"/>
  <c r="W37" i="47"/>
  <c r="R38" i="47"/>
  <c r="R186" i="47" s="1"/>
  <c r="R187" i="47" s="1"/>
  <c r="R37" i="47"/>
  <c r="M38" i="47"/>
  <c r="M186" i="47" s="1"/>
  <c r="M187" i="47" s="1"/>
  <c r="H38" i="47"/>
  <c r="H186" i="47" s="1"/>
  <c r="H187" i="47" s="1"/>
  <c r="L37" i="47"/>
  <c r="L39" i="47" s="1"/>
  <c r="G37" i="47"/>
  <c r="G39" i="47" s="1"/>
  <c r="F37" i="47"/>
  <c r="F39" i="47" s="1"/>
  <c r="E37" i="47"/>
  <c r="E39" i="47" s="1"/>
  <c r="AO32" i="47"/>
  <c r="AN32" i="47"/>
  <c r="AK32" i="47"/>
  <c r="AJ32" i="47"/>
  <c r="AI32" i="47"/>
  <c r="AE32" i="47"/>
  <c r="AD32" i="47"/>
  <c r="AA32" i="47"/>
  <c r="Z32" i="47"/>
  <c r="Y32" i="47"/>
  <c r="X32" i="47"/>
  <c r="V32" i="47"/>
  <c r="U32" i="47"/>
  <c r="T32" i="47"/>
  <c r="S32" i="47"/>
  <c r="Q32" i="47"/>
  <c r="P32" i="47"/>
  <c r="O32" i="47"/>
  <c r="N32" i="47"/>
  <c r="L32" i="47"/>
  <c r="K32" i="47"/>
  <c r="J32" i="47"/>
  <c r="I32" i="47"/>
  <c r="G32" i="47"/>
  <c r="F32" i="47"/>
  <c r="AM31" i="47"/>
  <c r="AH31" i="47"/>
  <c r="AF31" i="47"/>
  <c r="AC31" i="47"/>
  <c r="AB31" i="47" s="1"/>
  <c r="W31" i="47"/>
  <c r="W30" i="47"/>
  <c r="W29" i="47"/>
  <c r="R31" i="47"/>
  <c r="R30" i="47"/>
  <c r="R29" i="47"/>
  <c r="M31" i="47"/>
  <c r="M30" i="47"/>
  <c r="M29" i="47"/>
  <c r="H30" i="47"/>
  <c r="H29" i="47"/>
  <c r="E31" i="47"/>
  <c r="H31" i="47" s="1"/>
  <c r="AL30" i="47"/>
  <c r="AL29" i="47"/>
  <c r="AG30" i="47"/>
  <c r="AG29" i="47"/>
  <c r="AB30" i="47"/>
  <c r="AB29" i="47"/>
  <c r="AY31" i="47"/>
  <c r="BD31" i="47" s="1"/>
  <c r="BI31" i="47" s="1"/>
  <c r="BN31" i="47" s="1"/>
  <c r="AX31" i="47"/>
  <c r="AL24" i="47"/>
  <c r="AL23" i="47"/>
  <c r="AL22" i="47"/>
  <c r="AL144" i="47" s="1"/>
  <c r="AL21" i="47"/>
  <c r="AL139" i="47" s="1"/>
  <c r="AL20" i="47"/>
  <c r="AL134" i="47" s="1"/>
  <c r="AL19" i="47"/>
  <c r="AL129" i="47" s="1"/>
  <c r="AG24" i="47"/>
  <c r="AG23" i="47"/>
  <c r="AG22" i="47"/>
  <c r="AG144" i="47" s="1"/>
  <c r="AG21" i="47"/>
  <c r="AG139" i="47" s="1"/>
  <c r="AG20" i="47"/>
  <c r="AG134" i="47" s="1"/>
  <c r="AG19" i="47"/>
  <c r="AG129" i="47" s="1"/>
  <c r="AB24" i="47"/>
  <c r="AB23" i="47"/>
  <c r="AB22" i="47"/>
  <c r="AB144" i="47" s="1"/>
  <c r="AB21" i="47"/>
  <c r="AB139" i="47" s="1"/>
  <c r="AB20" i="47"/>
  <c r="AB134" i="47" s="1"/>
  <c r="AB19" i="47"/>
  <c r="AB129" i="47" s="1"/>
  <c r="W24" i="47"/>
  <c r="W23" i="47"/>
  <c r="W22" i="47"/>
  <c r="W144" i="47" s="1"/>
  <c r="W21" i="47"/>
  <c r="W139" i="47" s="1"/>
  <c r="W20" i="47"/>
  <c r="W134" i="47" s="1"/>
  <c r="W19" i="47"/>
  <c r="W129" i="47" s="1"/>
  <c r="R24" i="47"/>
  <c r="R23" i="47"/>
  <c r="R22" i="47"/>
  <c r="R144" i="47" s="1"/>
  <c r="R146" i="47" s="1"/>
  <c r="R21" i="47"/>
  <c r="R139" i="47" s="1"/>
  <c r="R20" i="47"/>
  <c r="R134" i="47" s="1"/>
  <c r="R19" i="47"/>
  <c r="R129" i="47" s="1"/>
  <c r="M24" i="47"/>
  <c r="M23" i="47"/>
  <c r="M22" i="47"/>
  <c r="M144" i="47" s="1"/>
  <c r="M21" i="47"/>
  <c r="M139" i="47" s="1"/>
  <c r="M20" i="47"/>
  <c r="M134" i="47" s="1"/>
  <c r="M136" i="47" s="1"/>
  <c r="M19" i="47"/>
  <c r="M129" i="47" s="1"/>
  <c r="H24" i="47"/>
  <c r="H23" i="47"/>
  <c r="H159" i="47" s="1"/>
  <c r="H22" i="47"/>
  <c r="H144" i="47" s="1"/>
  <c r="H21" i="47"/>
  <c r="H139" i="47" s="1"/>
  <c r="H20" i="47"/>
  <c r="H134" i="47" s="1"/>
  <c r="H19" i="47"/>
  <c r="H129" i="47" s="1"/>
  <c r="BD24" i="47"/>
  <c r="AO15" i="47"/>
  <c r="AN15" i="47"/>
  <c r="AM15" i="47"/>
  <c r="AK15" i="47"/>
  <c r="AJ15" i="47"/>
  <c r="AI15" i="47"/>
  <c r="AH15" i="47"/>
  <c r="AF15" i="47"/>
  <c r="AE15" i="47"/>
  <c r="AD15" i="47"/>
  <c r="AC15" i="47"/>
  <c r="AA15" i="47"/>
  <c r="Z15" i="47"/>
  <c r="Y15" i="47"/>
  <c r="X15" i="47"/>
  <c r="V15" i="47"/>
  <c r="U15" i="47"/>
  <c r="U10" i="51" s="1"/>
  <c r="T15" i="47"/>
  <c r="S15" i="47"/>
  <c r="S10" i="51" s="1"/>
  <c r="Q15" i="47"/>
  <c r="Q10" i="51" s="1"/>
  <c r="P15" i="47"/>
  <c r="O15" i="47"/>
  <c r="O10" i="51" s="1"/>
  <c r="N15" i="47"/>
  <c r="L15" i="47"/>
  <c r="K15" i="47"/>
  <c r="K10" i="51" s="1"/>
  <c r="J15" i="47"/>
  <c r="I15" i="47"/>
  <c r="I10" i="51" s="1"/>
  <c r="G15" i="47"/>
  <c r="G10" i="51" s="1"/>
  <c r="F15" i="47"/>
  <c r="E15" i="47"/>
  <c r="E10" i="51" s="1"/>
  <c r="AL14" i="47"/>
  <c r="AL13" i="47"/>
  <c r="AG14" i="47"/>
  <c r="AG13" i="47"/>
  <c r="AB14" i="47"/>
  <c r="AB13" i="47"/>
  <c r="W14" i="47"/>
  <c r="W13" i="47"/>
  <c r="R14" i="47"/>
  <c r="R13" i="47"/>
  <c r="M14" i="47"/>
  <c r="M13" i="47"/>
  <c r="H14" i="47"/>
  <c r="H13" i="47"/>
  <c r="AO11" i="47"/>
  <c r="AN11" i="47"/>
  <c r="AN17" i="47" s="1"/>
  <c r="AM11" i="47"/>
  <c r="AK11" i="47"/>
  <c r="AJ11" i="47"/>
  <c r="AJ17" i="47" s="1"/>
  <c r="AI11" i="47"/>
  <c r="AH11" i="47"/>
  <c r="AF11" i="47"/>
  <c r="AE11" i="47"/>
  <c r="AD11" i="47"/>
  <c r="AC11" i="47"/>
  <c r="AA11" i="47"/>
  <c r="Z11" i="47"/>
  <c r="Y11" i="47"/>
  <c r="X11" i="47"/>
  <c r="V11" i="47"/>
  <c r="U11" i="47"/>
  <c r="T11" i="47"/>
  <c r="T17" i="47" s="1"/>
  <c r="S11" i="47"/>
  <c r="Q11" i="47"/>
  <c r="P11" i="47"/>
  <c r="P17" i="47" s="1"/>
  <c r="O11" i="47"/>
  <c r="N11" i="47"/>
  <c r="L11" i="47"/>
  <c r="K11" i="47"/>
  <c r="J11" i="47"/>
  <c r="I11" i="47"/>
  <c r="G11" i="47"/>
  <c r="F11" i="47"/>
  <c r="E11" i="47"/>
  <c r="AL10" i="47"/>
  <c r="AL117" i="47" s="1"/>
  <c r="AL9" i="47"/>
  <c r="AG10" i="47"/>
  <c r="AG117" i="47" s="1"/>
  <c r="AG9" i="47"/>
  <c r="AB10" i="47"/>
  <c r="AB117" i="47" s="1"/>
  <c r="AB9" i="47"/>
  <c r="W10" i="47"/>
  <c r="W117" i="47" s="1"/>
  <c r="W9" i="47"/>
  <c r="R10" i="47"/>
  <c r="R117" i="47" s="1"/>
  <c r="R9" i="47"/>
  <c r="M10" i="47"/>
  <c r="M117" i="47" s="1"/>
  <c r="M9" i="47"/>
  <c r="M100" i="47" s="1"/>
  <c r="H10" i="47"/>
  <c r="H117" i="47" s="1"/>
  <c r="H9" i="47"/>
  <c r="H100" i="47" s="1"/>
  <c r="B2" i="47"/>
  <c r="H247" i="46"/>
  <c r="F247" i="46"/>
  <c r="E247" i="46"/>
  <c r="AO248" i="46"/>
  <c r="AN248" i="46"/>
  <c r="AL248" i="46"/>
  <c r="AJ248" i="46"/>
  <c r="AI248" i="46"/>
  <c r="AG248" i="46"/>
  <c r="AF248" i="46"/>
  <c r="AB248" i="46"/>
  <c r="AA248" i="46"/>
  <c r="W248" i="46"/>
  <c r="V248" i="46"/>
  <c r="Q248" i="46"/>
  <c r="P248" i="46"/>
  <c r="O248" i="46"/>
  <c r="M248" i="46"/>
  <c r="L248" i="46"/>
  <c r="K248" i="46"/>
  <c r="J248" i="46"/>
  <c r="AO247" i="46"/>
  <c r="AN247" i="46"/>
  <c r="AL247" i="46"/>
  <c r="AK247" i="46"/>
  <c r="AJ247" i="46"/>
  <c r="AF247" i="46"/>
  <c r="AD247" i="46"/>
  <c r="AB247" i="46"/>
  <c r="AA247" i="46"/>
  <c r="Z247" i="46"/>
  <c r="Y247" i="46"/>
  <c r="W247" i="46"/>
  <c r="V247" i="46"/>
  <c r="U247" i="46"/>
  <c r="T247" i="46"/>
  <c r="I245" i="46"/>
  <c r="N245" i="46" s="1"/>
  <c r="S245" i="46" s="1"/>
  <c r="X245" i="46" s="1"/>
  <c r="AC245" i="46" s="1"/>
  <c r="AH245" i="46" s="1"/>
  <c r="AM245" i="46" s="1"/>
  <c r="AR245" i="46" s="1"/>
  <c r="BB245" i="46" s="1"/>
  <c r="BG245" i="46" s="1"/>
  <c r="BL245" i="46" s="1"/>
  <c r="BQ245" i="46" s="1"/>
  <c r="AC244" i="46"/>
  <c r="AE244" i="46" s="1"/>
  <c r="AF244" i="46" s="1"/>
  <c r="AG244" i="46" s="1"/>
  <c r="AJ244" i="46" s="1"/>
  <c r="AK244" i="46" s="1"/>
  <c r="AL244" i="46" s="1"/>
  <c r="AO244" i="46" s="1"/>
  <c r="AP244" i="46" s="1"/>
  <c r="AQ244" i="46" s="1"/>
  <c r="X244" i="46"/>
  <c r="V244" i="46" s="1"/>
  <c r="S244" i="46"/>
  <c r="R244" i="46" s="1"/>
  <c r="N244" i="46"/>
  <c r="L244" i="46" s="1"/>
  <c r="I244" i="46"/>
  <c r="G244" i="46" s="1"/>
  <c r="F245" i="46"/>
  <c r="G245" i="46" s="1"/>
  <c r="H245" i="46" s="1"/>
  <c r="J245" i="46" s="1"/>
  <c r="K245" i="46" s="1"/>
  <c r="L245" i="46" s="1"/>
  <c r="M245" i="46" s="1"/>
  <c r="O245" i="46" s="1"/>
  <c r="P245" i="46" s="1"/>
  <c r="Q245" i="46" s="1"/>
  <c r="R245" i="46" s="1"/>
  <c r="T245" i="46" s="1"/>
  <c r="U245" i="46" s="1"/>
  <c r="V245" i="46" s="1"/>
  <c r="W245" i="46" s="1"/>
  <c r="Y245" i="46" s="1"/>
  <c r="Z245" i="46" s="1"/>
  <c r="AA245" i="46" s="1"/>
  <c r="AB245" i="46" s="1"/>
  <c r="AD245" i="46" s="1"/>
  <c r="AE245" i="46" s="1"/>
  <c r="AF245" i="46" s="1"/>
  <c r="AG245" i="46" s="1"/>
  <c r="AI245" i="46" s="1"/>
  <c r="AJ245" i="46" s="1"/>
  <c r="AK245" i="46" s="1"/>
  <c r="AL245" i="46" s="1"/>
  <c r="AN245" i="46" s="1"/>
  <c r="AO245" i="46" s="1"/>
  <c r="AP245" i="46" s="1"/>
  <c r="AQ245" i="46" s="1"/>
  <c r="AM223" i="46"/>
  <c r="AH223" i="46"/>
  <c r="AC223" i="46"/>
  <c r="X223" i="46"/>
  <c r="S223" i="46"/>
  <c r="N223" i="46"/>
  <c r="I223" i="46"/>
  <c r="AO208" i="46"/>
  <c r="AN208" i="46"/>
  <c r="AL208" i="46"/>
  <c r="R208" i="46"/>
  <c r="L208" i="46"/>
  <c r="H208" i="46"/>
  <c r="E208" i="46"/>
  <c r="AO204" i="46"/>
  <c r="AN204" i="46"/>
  <c r="AL204" i="46"/>
  <c r="AK204" i="46"/>
  <c r="AJ204" i="46"/>
  <c r="AI204" i="46"/>
  <c r="AG204" i="46"/>
  <c r="AF204" i="46"/>
  <c r="AE204" i="46"/>
  <c r="AD204" i="46"/>
  <c r="AB204" i="46"/>
  <c r="AA204" i="46"/>
  <c r="Z204" i="46"/>
  <c r="Y204" i="46"/>
  <c r="W204" i="46"/>
  <c r="V204" i="46"/>
  <c r="U204" i="46"/>
  <c r="T204" i="46"/>
  <c r="Q204" i="46"/>
  <c r="P204" i="46"/>
  <c r="O204" i="46"/>
  <c r="M204" i="46"/>
  <c r="L204" i="46"/>
  <c r="K204" i="46"/>
  <c r="J204" i="46"/>
  <c r="H204" i="46"/>
  <c r="G204" i="46"/>
  <c r="F204" i="46"/>
  <c r="E204" i="46"/>
  <c r="AO203" i="46"/>
  <c r="AN203" i="46"/>
  <c r="AL203" i="46"/>
  <c r="AK203" i="46"/>
  <c r="AJ203" i="46"/>
  <c r="AI203" i="46"/>
  <c r="AG203" i="46"/>
  <c r="AF203" i="46"/>
  <c r="AE203" i="46"/>
  <c r="AD203" i="46"/>
  <c r="AB203" i="46"/>
  <c r="AA203" i="46"/>
  <c r="Z203" i="46"/>
  <c r="Y203" i="46"/>
  <c r="W203" i="46"/>
  <c r="V203" i="46"/>
  <c r="U203" i="46"/>
  <c r="T203" i="46"/>
  <c r="Q203" i="46"/>
  <c r="P203" i="46"/>
  <c r="O203" i="46"/>
  <c r="M203" i="46"/>
  <c r="L203" i="46"/>
  <c r="K203" i="46"/>
  <c r="J203" i="46"/>
  <c r="H203" i="46"/>
  <c r="G203" i="46"/>
  <c r="F203" i="46"/>
  <c r="E203" i="46"/>
  <c r="AO201" i="46"/>
  <c r="AN201" i="46"/>
  <c r="AL201" i="46"/>
  <c r="AK201" i="46"/>
  <c r="AJ201" i="46"/>
  <c r="AI201" i="46"/>
  <c r="AG201" i="46"/>
  <c r="AF201" i="46"/>
  <c r="AE201" i="46"/>
  <c r="AD201" i="46"/>
  <c r="AB201" i="46"/>
  <c r="AA201" i="46"/>
  <c r="Z201" i="46"/>
  <c r="Y201" i="46"/>
  <c r="W201" i="46"/>
  <c r="V201" i="46"/>
  <c r="U201" i="46"/>
  <c r="T201" i="46"/>
  <c r="Q201" i="46"/>
  <c r="P201" i="46"/>
  <c r="O201" i="46"/>
  <c r="M201" i="46"/>
  <c r="L201" i="46"/>
  <c r="K201" i="46"/>
  <c r="J201" i="46"/>
  <c r="H201" i="46"/>
  <c r="G201" i="46"/>
  <c r="F201" i="46"/>
  <c r="E201" i="46"/>
  <c r="BL194" i="46"/>
  <c r="BG194" i="46"/>
  <c r="BB194" i="46"/>
  <c r="AM194" i="46"/>
  <c r="AM191" i="46"/>
  <c r="AM190" i="46"/>
  <c r="AM189" i="46"/>
  <c r="AO192" i="46"/>
  <c r="AO193" i="46" s="1"/>
  <c r="AN192" i="46"/>
  <c r="AN193" i="46" s="1"/>
  <c r="AL192" i="46"/>
  <c r="AM192" i="46" s="1"/>
  <c r="AK192" i="46"/>
  <c r="AK193" i="46" s="1"/>
  <c r="AJ192" i="46"/>
  <c r="AJ193" i="46" s="1"/>
  <c r="AI192" i="46"/>
  <c r="AI193" i="46" s="1"/>
  <c r="AG192" i="46"/>
  <c r="AG193" i="46" s="1"/>
  <c r="AF192" i="46"/>
  <c r="AF193" i="46" s="1"/>
  <c r="AE192" i="46"/>
  <c r="AE193" i="46" s="1"/>
  <c r="AD192" i="46"/>
  <c r="AD193" i="46" s="1"/>
  <c r="AB192" i="46"/>
  <c r="AB193" i="46" s="1"/>
  <c r="AA192" i="46"/>
  <c r="AA193" i="46" s="1"/>
  <c r="Z192" i="46"/>
  <c r="Z193" i="46" s="1"/>
  <c r="Y192" i="46"/>
  <c r="Y193" i="46" s="1"/>
  <c r="W192" i="46"/>
  <c r="W193" i="46" s="1"/>
  <c r="V192" i="46"/>
  <c r="V193" i="46" s="1"/>
  <c r="U192" i="46"/>
  <c r="U193" i="46" s="1"/>
  <c r="T192" i="46"/>
  <c r="T193" i="46" s="1"/>
  <c r="R192" i="46"/>
  <c r="R193" i="46" s="1"/>
  <c r="Q192" i="46"/>
  <c r="Q193" i="46" s="1"/>
  <c r="P192" i="46"/>
  <c r="P193" i="46" s="1"/>
  <c r="O192" i="46"/>
  <c r="O193" i="46" s="1"/>
  <c r="M192" i="46"/>
  <c r="M193" i="46" s="1"/>
  <c r="L192" i="46"/>
  <c r="L193" i="46" s="1"/>
  <c r="K192" i="46"/>
  <c r="K193" i="46" s="1"/>
  <c r="J192" i="46"/>
  <c r="J193" i="46" s="1"/>
  <c r="H192" i="46"/>
  <c r="H193" i="46" s="1"/>
  <c r="G192" i="46"/>
  <c r="G193" i="46" s="1"/>
  <c r="F192" i="46"/>
  <c r="F193" i="46" s="1"/>
  <c r="E192" i="46"/>
  <c r="E193" i="46" s="1"/>
  <c r="AH191" i="46"/>
  <c r="AH190" i="46"/>
  <c r="AH189" i="46"/>
  <c r="AC191" i="46"/>
  <c r="AC190" i="46"/>
  <c r="AC189" i="46"/>
  <c r="X191" i="46"/>
  <c r="X190" i="46"/>
  <c r="X189" i="46"/>
  <c r="S191" i="46"/>
  <c r="S190" i="46"/>
  <c r="S189" i="46"/>
  <c r="N191" i="46"/>
  <c r="N190" i="46"/>
  <c r="N189" i="46"/>
  <c r="I191" i="46"/>
  <c r="I190" i="46"/>
  <c r="I189" i="46"/>
  <c r="AM187" i="46"/>
  <c r="AM208" i="46" s="1"/>
  <c r="CX14" i="65" s="1"/>
  <c r="AM186" i="46"/>
  <c r="AK187" i="46"/>
  <c r="AK208" i="46" s="1"/>
  <c r="AJ187" i="46"/>
  <c r="AJ208" i="46" s="1"/>
  <c r="AI187" i="46"/>
  <c r="AI208" i="46" s="1"/>
  <c r="AG187" i="46"/>
  <c r="AG208" i="46" s="1"/>
  <c r="AF187" i="46"/>
  <c r="AF208" i="46" s="1"/>
  <c r="AE187" i="46"/>
  <c r="AE208" i="46" s="1"/>
  <c r="AD187" i="46"/>
  <c r="AD208" i="46" s="1"/>
  <c r="AB187" i="46"/>
  <c r="AB208" i="46" s="1"/>
  <c r="AA187" i="46"/>
  <c r="AA208" i="46" s="1"/>
  <c r="Z187" i="46"/>
  <c r="Z208" i="46" s="1"/>
  <c r="Y187" i="46"/>
  <c r="Y208" i="46" s="1"/>
  <c r="W187" i="46"/>
  <c r="W208" i="46" s="1"/>
  <c r="V187" i="46"/>
  <c r="V208" i="46" s="1"/>
  <c r="U187" i="46"/>
  <c r="U208" i="46" s="1"/>
  <c r="T187" i="46"/>
  <c r="T208" i="46" s="1"/>
  <c r="S187" i="46"/>
  <c r="S208" i="46" s="1"/>
  <c r="CD14" i="65" s="1"/>
  <c r="Q187" i="46"/>
  <c r="Q208" i="46" s="1"/>
  <c r="P187" i="46"/>
  <c r="P208" i="46" s="1"/>
  <c r="O187" i="46"/>
  <c r="O208" i="46" s="1"/>
  <c r="M187" i="46"/>
  <c r="M208" i="46" s="1"/>
  <c r="K187" i="46"/>
  <c r="K208" i="46" s="1"/>
  <c r="J187" i="46"/>
  <c r="J208" i="46" s="1"/>
  <c r="I187" i="46"/>
  <c r="I208" i="46" s="1"/>
  <c r="G187" i="46"/>
  <c r="G208" i="46" s="1"/>
  <c r="F187" i="46"/>
  <c r="F208" i="46" s="1"/>
  <c r="AH186" i="46"/>
  <c r="AC186" i="46"/>
  <c r="X186" i="46"/>
  <c r="R186" i="46"/>
  <c r="S186" i="46" s="1"/>
  <c r="P186" i="46"/>
  <c r="N186" i="46"/>
  <c r="I186" i="46"/>
  <c r="AO183" i="46"/>
  <c r="AN183" i="46"/>
  <c r="AL183" i="46"/>
  <c r="AM183" i="46" s="1"/>
  <c r="AK183" i="46"/>
  <c r="AJ183" i="46"/>
  <c r="AI183" i="46"/>
  <c r="AG183" i="46"/>
  <c r="AH183" i="46" s="1"/>
  <c r="AF183" i="46"/>
  <c r="AE183" i="46"/>
  <c r="AD183" i="46"/>
  <c r="AB183" i="46"/>
  <c r="AC183" i="46" s="1"/>
  <c r="AA183" i="46"/>
  <c r="Z183" i="46"/>
  <c r="Y183" i="46"/>
  <c r="W183" i="46"/>
  <c r="X183" i="46" s="1"/>
  <c r="V183" i="46"/>
  <c r="U183" i="46"/>
  <c r="T183" i="46"/>
  <c r="R183" i="46"/>
  <c r="S183" i="46" s="1"/>
  <c r="Q183" i="46"/>
  <c r="P183" i="46"/>
  <c r="O183" i="46"/>
  <c r="M183" i="46"/>
  <c r="N183" i="46" s="1"/>
  <c r="L183" i="46"/>
  <c r="K183" i="46"/>
  <c r="J183" i="46"/>
  <c r="H183" i="46"/>
  <c r="I183" i="46" s="1"/>
  <c r="G183" i="46"/>
  <c r="F183" i="46"/>
  <c r="E183" i="46"/>
  <c r="BL182" i="46"/>
  <c r="BG182" i="46"/>
  <c r="BB182" i="46"/>
  <c r="AM182" i="46"/>
  <c r="AM180" i="46"/>
  <c r="AM179" i="46"/>
  <c r="AH182" i="46"/>
  <c r="AH180" i="46"/>
  <c r="AH179" i="46"/>
  <c r="AC182" i="46"/>
  <c r="AC180" i="46"/>
  <c r="AC179" i="46"/>
  <c r="X182" i="46"/>
  <c r="X180" i="46"/>
  <c r="X179" i="46"/>
  <c r="S182" i="46"/>
  <c r="S180" i="46"/>
  <c r="N182" i="46"/>
  <c r="N180" i="46"/>
  <c r="N179" i="46"/>
  <c r="I182" i="46"/>
  <c r="I180" i="46"/>
  <c r="I179" i="46"/>
  <c r="AO181" i="46"/>
  <c r="AN181" i="46"/>
  <c r="AL181" i="46"/>
  <c r="AM181" i="46" s="1"/>
  <c r="AK181" i="46"/>
  <c r="AJ181" i="46"/>
  <c r="AI181" i="46"/>
  <c r="AG181" i="46"/>
  <c r="AH181" i="46" s="1"/>
  <c r="AF181" i="46"/>
  <c r="AE181" i="46"/>
  <c r="AD181" i="46"/>
  <c r="AB181" i="46"/>
  <c r="AC181" i="46" s="1"/>
  <c r="AA181" i="46"/>
  <c r="Z181" i="46"/>
  <c r="Y181" i="46"/>
  <c r="W181" i="46"/>
  <c r="X181" i="46" s="1"/>
  <c r="V181" i="46"/>
  <c r="U181" i="46"/>
  <c r="T181" i="46"/>
  <c r="R181" i="46"/>
  <c r="S181" i="46" s="1"/>
  <c r="Q181" i="46"/>
  <c r="P181" i="46"/>
  <c r="O181" i="46"/>
  <c r="M181" i="46"/>
  <c r="N181" i="46" s="1"/>
  <c r="L181" i="46"/>
  <c r="K181" i="46"/>
  <c r="J181" i="46"/>
  <c r="H181" i="46"/>
  <c r="I181" i="46" s="1"/>
  <c r="G181" i="46"/>
  <c r="F181" i="46"/>
  <c r="E181" i="46"/>
  <c r="AX180" i="46"/>
  <c r="AY180" i="46" s="1"/>
  <c r="AZ180" i="46" s="1"/>
  <c r="BA180" i="46" s="1"/>
  <c r="BB180" i="46" s="1"/>
  <c r="BC180" i="46" s="1"/>
  <c r="BD180" i="46" s="1"/>
  <c r="BE180" i="46" s="1"/>
  <c r="BF180" i="46" s="1"/>
  <c r="BG180" i="46" s="1"/>
  <c r="BH180" i="46" s="1"/>
  <c r="BI180" i="46" s="1"/>
  <c r="BJ180" i="46" s="1"/>
  <c r="BK180" i="46" s="1"/>
  <c r="BL180" i="46" s="1"/>
  <c r="BM180" i="46" s="1"/>
  <c r="BN180" i="46" s="1"/>
  <c r="BO180" i="46" s="1"/>
  <c r="BP180" i="46" s="1"/>
  <c r="BQ180" i="46" s="1"/>
  <c r="R179" i="46"/>
  <c r="R204" i="46" s="1"/>
  <c r="AX176" i="46"/>
  <c r="AY176" i="46" s="1"/>
  <c r="AZ176" i="46" s="1"/>
  <c r="BA176" i="46" s="1"/>
  <c r="BB176" i="46" s="1"/>
  <c r="BC176" i="46" s="1"/>
  <c r="BD176" i="46" s="1"/>
  <c r="BE176" i="46" s="1"/>
  <c r="BF176" i="46" s="1"/>
  <c r="BG176" i="46" s="1"/>
  <c r="BH176" i="46" s="1"/>
  <c r="BI176" i="46" s="1"/>
  <c r="BJ176" i="46" s="1"/>
  <c r="BK176" i="46" s="1"/>
  <c r="BL176" i="46" s="1"/>
  <c r="BM176" i="46" s="1"/>
  <c r="BN176" i="46" s="1"/>
  <c r="BO176" i="46" s="1"/>
  <c r="BP176" i="46" s="1"/>
  <c r="BQ176" i="46" s="1"/>
  <c r="AO176" i="46"/>
  <c r="AO177" i="46" s="1"/>
  <c r="AN176" i="46"/>
  <c r="AN177" i="46" s="1"/>
  <c r="AL176" i="46"/>
  <c r="AL177" i="46" s="1"/>
  <c r="AK176" i="46"/>
  <c r="AK177" i="46" s="1"/>
  <c r="AJ176" i="46"/>
  <c r="AJ177" i="46" s="1"/>
  <c r="AI176" i="46"/>
  <c r="AI177" i="46" s="1"/>
  <c r="AG176" i="46"/>
  <c r="AG177" i="46" s="1"/>
  <c r="AF176" i="46"/>
  <c r="AF177" i="46" s="1"/>
  <c r="AE176" i="46"/>
  <c r="AE177" i="46" s="1"/>
  <c r="AD176" i="46"/>
  <c r="AD177" i="46" s="1"/>
  <c r="AB176" i="46"/>
  <c r="AB177" i="46" s="1"/>
  <c r="AA176" i="46"/>
  <c r="AA177" i="46" s="1"/>
  <c r="Z176" i="46"/>
  <c r="Z177" i="46" s="1"/>
  <c r="Y176" i="46"/>
  <c r="Y177" i="46" s="1"/>
  <c r="W176" i="46"/>
  <c r="W177" i="46" s="1"/>
  <c r="V176" i="46"/>
  <c r="V177" i="46" s="1"/>
  <c r="U176" i="46"/>
  <c r="U177" i="46" s="1"/>
  <c r="T176" i="46"/>
  <c r="T177" i="46" s="1"/>
  <c r="R176" i="46"/>
  <c r="S176" i="46" s="1"/>
  <c r="Q176" i="46"/>
  <c r="Q177" i="46" s="1"/>
  <c r="P176" i="46"/>
  <c r="P177" i="46" s="1"/>
  <c r="O176" i="46"/>
  <c r="O177" i="46" s="1"/>
  <c r="M176" i="46"/>
  <c r="M177" i="46" s="1"/>
  <c r="L176" i="46"/>
  <c r="L177" i="46" s="1"/>
  <c r="K176" i="46"/>
  <c r="K177" i="46" s="1"/>
  <c r="J176" i="46"/>
  <c r="J177" i="46" s="1"/>
  <c r="H176" i="46"/>
  <c r="H177" i="46" s="1"/>
  <c r="G176" i="46"/>
  <c r="G177" i="46" s="1"/>
  <c r="F176" i="46"/>
  <c r="F177" i="46" s="1"/>
  <c r="E176" i="46"/>
  <c r="E177" i="46" s="1"/>
  <c r="AM175" i="46"/>
  <c r="AM174" i="46"/>
  <c r="AM203" i="46" s="1"/>
  <c r="CX10" i="65" s="1"/>
  <c r="AM173" i="46"/>
  <c r="AH175" i="46"/>
  <c r="AH174" i="46"/>
  <c r="AH203" i="46" s="1"/>
  <c r="CS10" i="65" s="1"/>
  <c r="AH173" i="46"/>
  <c r="AC175" i="46"/>
  <c r="AC174" i="46"/>
  <c r="AC203" i="46" s="1"/>
  <c r="CN10" i="65" s="1"/>
  <c r="AC173" i="46"/>
  <c r="X175" i="46"/>
  <c r="X174" i="46"/>
  <c r="X203" i="46" s="1"/>
  <c r="CI10" i="65" s="1"/>
  <c r="X173" i="46"/>
  <c r="N175" i="46"/>
  <c r="N174" i="46"/>
  <c r="N203" i="46" s="1"/>
  <c r="BY10" i="65" s="1"/>
  <c r="N173" i="46"/>
  <c r="I175" i="46"/>
  <c r="I174" i="46"/>
  <c r="I203" i="46" s="1"/>
  <c r="I173" i="46"/>
  <c r="AX175" i="46"/>
  <c r="AY175" i="46" s="1"/>
  <c r="AZ175" i="46" s="1"/>
  <c r="BA175" i="46" s="1"/>
  <c r="BB175" i="46" s="1"/>
  <c r="BC175" i="46" s="1"/>
  <c r="BD175" i="46" s="1"/>
  <c r="BE175" i="46" s="1"/>
  <c r="BF175" i="46" s="1"/>
  <c r="BG175" i="46" s="1"/>
  <c r="BH175" i="46" s="1"/>
  <c r="BI175" i="46" s="1"/>
  <c r="BJ175" i="46" s="1"/>
  <c r="BK175" i="46" s="1"/>
  <c r="BL175" i="46" s="1"/>
  <c r="BM175" i="46" s="1"/>
  <c r="BN175" i="46" s="1"/>
  <c r="BO175" i="46" s="1"/>
  <c r="BP175" i="46" s="1"/>
  <c r="BQ175" i="46" s="1"/>
  <c r="R175" i="46"/>
  <c r="S175" i="46" s="1"/>
  <c r="R174" i="46"/>
  <c r="R203" i="46" s="1"/>
  <c r="S173" i="46"/>
  <c r="AM170" i="46"/>
  <c r="AM169" i="46"/>
  <c r="AM167" i="46"/>
  <c r="AM166" i="46"/>
  <c r="AH170" i="46"/>
  <c r="AH169" i="46"/>
  <c r="AH167" i="46"/>
  <c r="AH166" i="46"/>
  <c r="AC170" i="46"/>
  <c r="AC169" i="46"/>
  <c r="AC167" i="46"/>
  <c r="AC166" i="46"/>
  <c r="X170" i="46"/>
  <c r="X169" i="46"/>
  <c r="X167" i="46"/>
  <c r="X166" i="46"/>
  <c r="R170" i="46"/>
  <c r="S170" i="46" s="1"/>
  <c r="Q170" i="46"/>
  <c r="P170" i="46"/>
  <c r="O170" i="46"/>
  <c r="M170" i="46"/>
  <c r="N170" i="46" s="1"/>
  <c r="L170" i="46"/>
  <c r="K170" i="46"/>
  <c r="J170" i="46"/>
  <c r="H170" i="46"/>
  <c r="I170" i="46" s="1"/>
  <c r="G170" i="46"/>
  <c r="F170" i="46"/>
  <c r="E170" i="46"/>
  <c r="R169" i="46"/>
  <c r="S169" i="46" s="1"/>
  <c r="Q169" i="46"/>
  <c r="N169" i="46"/>
  <c r="N167" i="46"/>
  <c r="N166" i="46"/>
  <c r="I169" i="46"/>
  <c r="I167" i="46"/>
  <c r="I166" i="46"/>
  <c r="AO168" i="46"/>
  <c r="AX168" i="46" s="1"/>
  <c r="AY168" i="46" s="1"/>
  <c r="AZ168" i="46" s="1"/>
  <c r="BA168" i="46" s="1"/>
  <c r="BB168" i="46" s="1"/>
  <c r="BC168" i="46" s="1"/>
  <c r="BD168" i="46" s="1"/>
  <c r="BE168" i="46" s="1"/>
  <c r="BF168" i="46" s="1"/>
  <c r="BG168" i="46" s="1"/>
  <c r="BH168" i="46" s="1"/>
  <c r="BI168" i="46" s="1"/>
  <c r="BJ168" i="46" s="1"/>
  <c r="BK168" i="46" s="1"/>
  <c r="BL168" i="46" s="1"/>
  <c r="BM168" i="46" s="1"/>
  <c r="BN168" i="46" s="1"/>
  <c r="BO168" i="46" s="1"/>
  <c r="BP168" i="46" s="1"/>
  <c r="BQ168" i="46" s="1"/>
  <c r="AN168" i="46"/>
  <c r="AL168" i="46"/>
  <c r="AM168" i="46" s="1"/>
  <c r="AK168" i="46"/>
  <c r="AJ168" i="46"/>
  <c r="AI168" i="46"/>
  <c r="AG168" i="46"/>
  <c r="AH168" i="46" s="1"/>
  <c r="AF168" i="46"/>
  <c r="AE168" i="46"/>
  <c r="AD168" i="46"/>
  <c r="AB168" i="46"/>
  <c r="AC168" i="46" s="1"/>
  <c r="AA168" i="46"/>
  <c r="Z168" i="46"/>
  <c r="Y168" i="46"/>
  <c r="W168" i="46"/>
  <c r="X168" i="46" s="1"/>
  <c r="V168" i="46"/>
  <c r="U168" i="46"/>
  <c r="T168" i="46"/>
  <c r="R168" i="46"/>
  <c r="S168" i="46" s="1"/>
  <c r="Q168" i="46"/>
  <c r="P168" i="46"/>
  <c r="O168" i="46"/>
  <c r="M168" i="46"/>
  <c r="N168" i="46" s="1"/>
  <c r="L168" i="46"/>
  <c r="K168" i="46"/>
  <c r="J168" i="46"/>
  <c r="H168" i="46"/>
  <c r="I168" i="46" s="1"/>
  <c r="G168" i="46"/>
  <c r="F168" i="46"/>
  <c r="E168" i="46"/>
  <c r="S167" i="46"/>
  <c r="AX167" i="46"/>
  <c r="AY167" i="46" s="1"/>
  <c r="AZ167" i="46" s="1"/>
  <c r="BA167" i="46" s="1"/>
  <c r="BB167" i="46" s="1"/>
  <c r="BC167" i="46" s="1"/>
  <c r="BD167" i="46" s="1"/>
  <c r="BE167" i="46" s="1"/>
  <c r="BF167" i="46" s="1"/>
  <c r="BG167" i="46" s="1"/>
  <c r="BH167" i="46" s="1"/>
  <c r="BI167" i="46" s="1"/>
  <c r="BJ167" i="46" s="1"/>
  <c r="BK167" i="46" s="1"/>
  <c r="BL167" i="46" s="1"/>
  <c r="BM167" i="46" s="1"/>
  <c r="BN167" i="46" s="1"/>
  <c r="BO167" i="46" s="1"/>
  <c r="BP167" i="46" s="1"/>
  <c r="BQ167" i="46" s="1"/>
  <c r="AX166" i="46"/>
  <c r="AY166" i="46" s="1"/>
  <c r="AZ166" i="46" s="1"/>
  <c r="BA166" i="46" s="1"/>
  <c r="BB166" i="46" s="1"/>
  <c r="BC166" i="46" s="1"/>
  <c r="BD166" i="46" s="1"/>
  <c r="BE166" i="46" s="1"/>
  <c r="BF166" i="46" s="1"/>
  <c r="BG166" i="46" s="1"/>
  <c r="BH166" i="46" s="1"/>
  <c r="BI166" i="46" s="1"/>
  <c r="BJ166" i="46" s="1"/>
  <c r="BK166" i="46" s="1"/>
  <c r="BL166" i="46" s="1"/>
  <c r="BM166" i="46" s="1"/>
  <c r="BN166" i="46" s="1"/>
  <c r="BO166" i="46" s="1"/>
  <c r="BP166" i="46" s="1"/>
  <c r="BQ166" i="46" s="1"/>
  <c r="R166" i="46"/>
  <c r="S166" i="46" s="1"/>
  <c r="AM163" i="46"/>
  <c r="AM162" i="46"/>
  <c r="AH163" i="46"/>
  <c r="AH162" i="46"/>
  <c r="AC163" i="46"/>
  <c r="AC162" i="46"/>
  <c r="X163" i="46"/>
  <c r="X162" i="46"/>
  <c r="S163" i="46"/>
  <c r="N163" i="46"/>
  <c r="N162" i="46"/>
  <c r="I163" i="46"/>
  <c r="I162" i="46"/>
  <c r="R162" i="46"/>
  <c r="S162" i="46" s="1"/>
  <c r="R161" i="46"/>
  <c r="AX163" i="46"/>
  <c r="AY163" i="46" s="1"/>
  <c r="AZ163" i="46" s="1"/>
  <c r="BA163" i="46" s="1"/>
  <c r="BB163" i="46" s="1"/>
  <c r="BC163" i="46" s="1"/>
  <c r="BD163" i="46" s="1"/>
  <c r="BE163" i="46" s="1"/>
  <c r="BF163" i="46" s="1"/>
  <c r="BG163" i="46" s="1"/>
  <c r="BH163" i="46" s="1"/>
  <c r="BI163" i="46" s="1"/>
  <c r="BJ163" i="46" s="1"/>
  <c r="BK163" i="46" s="1"/>
  <c r="BL163" i="46" s="1"/>
  <c r="BM163" i="46" s="1"/>
  <c r="BN163" i="46" s="1"/>
  <c r="BO163" i="46" s="1"/>
  <c r="BP163" i="46" s="1"/>
  <c r="BQ163" i="46" s="1"/>
  <c r="AO161" i="46"/>
  <c r="AO164" i="46" s="1"/>
  <c r="AN161" i="46"/>
  <c r="AN164" i="46" s="1"/>
  <c r="AL161" i="46"/>
  <c r="AL164" i="46" s="1"/>
  <c r="AK161" i="46"/>
  <c r="AK164" i="46" s="1"/>
  <c r="AJ161" i="46"/>
  <c r="AJ164" i="46" s="1"/>
  <c r="AI161" i="46"/>
  <c r="AI164" i="46" s="1"/>
  <c r="AG161" i="46"/>
  <c r="AG164" i="46" s="1"/>
  <c r="AF161" i="46"/>
  <c r="AF164" i="46" s="1"/>
  <c r="AE161" i="46"/>
  <c r="AE164" i="46" s="1"/>
  <c r="AD161" i="46"/>
  <c r="AD164" i="46" s="1"/>
  <c r="AB161" i="46"/>
  <c r="AB164" i="46" s="1"/>
  <c r="AA161" i="46"/>
  <c r="AA164" i="46" s="1"/>
  <c r="Z161" i="46"/>
  <c r="Z164" i="46" s="1"/>
  <c r="Y161" i="46"/>
  <c r="Y164" i="46" s="1"/>
  <c r="W161" i="46"/>
  <c r="X161" i="46" s="1"/>
  <c r="V161" i="46"/>
  <c r="V164" i="46" s="1"/>
  <c r="U161" i="46"/>
  <c r="U164" i="46" s="1"/>
  <c r="T161" i="46"/>
  <c r="T164" i="46" s="1"/>
  <c r="Q161" i="46"/>
  <c r="Q164" i="46" s="1"/>
  <c r="P161" i="46"/>
  <c r="P164" i="46" s="1"/>
  <c r="O161" i="46"/>
  <c r="O164" i="46" s="1"/>
  <c r="M161" i="46"/>
  <c r="M164" i="46" s="1"/>
  <c r="L161" i="46"/>
  <c r="L164" i="46" s="1"/>
  <c r="K161" i="46"/>
  <c r="K164" i="46" s="1"/>
  <c r="J161" i="46"/>
  <c r="J164" i="46" s="1"/>
  <c r="H161" i="46"/>
  <c r="H164" i="46" s="1"/>
  <c r="G161" i="46"/>
  <c r="G164" i="46" s="1"/>
  <c r="F161" i="46"/>
  <c r="F164" i="46" s="1"/>
  <c r="E161" i="46"/>
  <c r="E164" i="46" s="1"/>
  <c r="E158" i="46"/>
  <c r="AX158" i="46"/>
  <c r="AY158" i="46" s="1"/>
  <c r="AZ158" i="46" s="1"/>
  <c r="BA158" i="46" s="1"/>
  <c r="BB158" i="46" s="1"/>
  <c r="BC158" i="46" s="1"/>
  <c r="BD158" i="46" s="1"/>
  <c r="BE158" i="46" s="1"/>
  <c r="BF158" i="46" s="1"/>
  <c r="BG158" i="46" s="1"/>
  <c r="BH158" i="46" s="1"/>
  <c r="BI158" i="46" s="1"/>
  <c r="BJ158" i="46" s="1"/>
  <c r="BK158" i="46" s="1"/>
  <c r="BL158" i="46" s="1"/>
  <c r="BM158" i="46" s="1"/>
  <c r="BN158" i="46" s="1"/>
  <c r="BO158" i="46" s="1"/>
  <c r="BP158" i="46" s="1"/>
  <c r="BQ158" i="46" s="1"/>
  <c r="AO158" i="46"/>
  <c r="AN158" i="46"/>
  <c r="AL158" i="46"/>
  <c r="AM158" i="46" s="1"/>
  <c r="AK158" i="46"/>
  <c r="AJ158" i="46"/>
  <c r="AI158" i="46"/>
  <c r="AG158" i="46"/>
  <c r="AH158" i="46" s="1"/>
  <c r="AF158" i="46"/>
  <c r="AE158" i="46"/>
  <c r="AD158" i="46"/>
  <c r="AB158" i="46"/>
  <c r="AC158" i="46" s="1"/>
  <c r="AA158" i="46"/>
  <c r="Z158" i="46"/>
  <c r="Y158" i="46"/>
  <c r="W158" i="46"/>
  <c r="X158" i="46" s="1"/>
  <c r="V158" i="46"/>
  <c r="U158" i="46"/>
  <c r="T158" i="46"/>
  <c r="R158" i="46"/>
  <c r="S158" i="46" s="1"/>
  <c r="Q158" i="46"/>
  <c r="P158" i="46"/>
  <c r="O158" i="46"/>
  <c r="M158" i="46"/>
  <c r="N158" i="46" s="1"/>
  <c r="L158" i="46"/>
  <c r="K158" i="46"/>
  <c r="J158" i="46"/>
  <c r="H158" i="46"/>
  <c r="I158" i="46" s="1"/>
  <c r="G158" i="46"/>
  <c r="F158" i="46"/>
  <c r="AO157" i="46"/>
  <c r="AN157" i="46"/>
  <c r="AL157" i="46"/>
  <c r="AM157" i="46" s="1"/>
  <c r="AK157" i="46"/>
  <c r="AJ157" i="46"/>
  <c r="AI157" i="46"/>
  <c r="AG157" i="46"/>
  <c r="AF157" i="46"/>
  <c r="AE157" i="46"/>
  <c r="AD157" i="46"/>
  <c r="AB157" i="46"/>
  <c r="AC157" i="46" s="1"/>
  <c r="AA157" i="46"/>
  <c r="Z157" i="46"/>
  <c r="Y157" i="46"/>
  <c r="W157" i="46"/>
  <c r="V157" i="46"/>
  <c r="U157" i="46"/>
  <c r="T157" i="46"/>
  <c r="R157" i="46"/>
  <c r="S157" i="46" s="1"/>
  <c r="Q157" i="46"/>
  <c r="P157" i="46"/>
  <c r="O157" i="46"/>
  <c r="M157" i="46"/>
  <c r="L157" i="46"/>
  <c r="K157" i="46"/>
  <c r="J157" i="46"/>
  <c r="H157" i="46"/>
  <c r="G157" i="46"/>
  <c r="F157" i="46"/>
  <c r="AM156" i="46"/>
  <c r="AM155" i="46"/>
  <c r="AM201" i="46" s="1"/>
  <c r="AH156" i="46"/>
  <c r="AH155" i="46"/>
  <c r="AH201" i="46" s="1"/>
  <c r="AC156" i="46"/>
  <c r="AC155" i="46"/>
  <c r="AC201" i="46" s="1"/>
  <c r="X156" i="46"/>
  <c r="X155" i="46"/>
  <c r="X201" i="46" s="1"/>
  <c r="S156" i="46"/>
  <c r="N156" i="46"/>
  <c r="N155" i="46"/>
  <c r="N201" i="46" s="1"/>
  <c r="I156" i="46"/>
  <c r="I155" i="46"/>
  <c r="I201" i="46" s="1"/>
  <c r="AX156" i="46"/>
  <c r="AY156" i="46" s="1"/>
  <c r="AZ156" i="46" s="1"/>
  <c r="BA156" i="46" s="1"/>
  <c r="BB156" i="46" s="1"/>
  <c r="BC156" i="46" s="1"/>
  <c r="BD156" i="46" s="1"/>
  <c r="BE156" i="46" s="1"/>
  <c r="BF156" i="46" s="1"/>
  <c r="BG156" i="46" s="1"/>
  <c r="BH156" i="46" s="1"/>
  <c r="BI156" i="46" s="1"/>
  <c r="BJ156" i="46" s="1"/>
  <c r="BK156" i="46" s="1"/>
  <c r="BL156" i="46" s="1"/>
  <c r="BM156" i="46" s="1"/>
  <c r="BN156" i="46" s="1"/>
  <c r="BO156" i="46" s="1"/>
  <c r="BP156" i="46" s="1"/>
  <c r="BQ156" i="46" s="1"/>
  <c r="R155" i="46"/>
  <c r="R201" i="46" s="1"/>
  <c r="I149" i="46"/>
  <c r="BL145" i="46"/>
  <c r="BG145" i="46"/>
  <c r="BB145" i="46"/>
  <c r="AM145" i="46"/>
  <c r="AH145" i="46"/>
  <c r="AC145" i="46"/>
  <c r="X145" i="46"/>
  <c r="S145" i="46"/>
  <c r="N145" i="46"/>
  <c r="I145" i="46"/>
  <c r="AB143" i="46"/>
  <c r="AA143" i="46"/>
  <c r="W143" i="46"/>
  <c r="V143" i="46"/>
  <c r="H143" i="46"/>
  <c r="F143" i="46"/>
  <c r="E143" i="46"/>
  <c r="BL142" i="46"/>
  <c r="BL138" i="46"/>
  <c r="BG142" i="46"/>
  <c r="BG138" i="46"/>
  <c r="BB142" i="46"/>
  <c r="BB138" i="46"/>
  <c r="AO142" i="46"/>
  <c r="AO143" i="46" s="1"/>
  <c r="AN142" i="46"/>
  <c r="AL142" i="46"/>
  <c r="AL143" i="46" s="1"/>
  <c r="AK142" i="46"/>
  <c r="AJ142" i="46"/>
  <c r="AJ143" i="46" s="1"/>
  <c r="AI142" i="46"/>
  <c r="AG142" i="46"/>
  <c r="AF142" i="46"/>
  <c r="AF143" i="46" s="1"/>
  <c r="AC142" i="46"/>
  <c r="AC140" i="46"/>
  <c r="AC247" i="46" s="1"/>
  <c r="AC139" i="46"/>
  <c r="AC138" i="46"/>
  <c r="CN54" i="65" s="1"/>
  <c r="AC137" i="46"/>
  <c r="CN53" i="65" s="1"/>
  <c r="AC136" i="46"/>
  <c r="CN52" i="65" s="1"/>
  <c r="X142" i="46"/>
  <c r="X140" i="46"/>
  <c r="X247" i="46" s="1"/>
  <c r="X139" i="46"/>
  <c r="X138" i="46"/>
  <c r="CI54" i="65" s="1"/>
  <c r="X137" i="46"/>
  <c r="X88" i="46" s="1"/>
  <c r="X136" i="46"/>
  <c r="CI52" i="65" s="1"/>
  <c r="R142" i="46"/>
  <c r="S142" i="46" s="1"/>
  <c r="N142" i="46"/>
  <c r="N141" i="46"/>
  <c r="N248" i="46" s="1"/>
  <c r="N139" i="46"/>
  <c r="N138" i="46"/>
  <c r="BY54" i="65" s="1"/>
  <c r="N137" i="46"/>
  <c r="BY53" i="65" s="1"/>
  <c r="N136" i="46"/>
  <c r="BY52" i="65" s="1"/>
  <c r="I141" i="46"/>
  <c r="I248" i="46" s="1"/>
  <c r="I139" i="46"/>
  <c r="I138" i="46"/>
  <c r="I137" i="46"/>
  <c r="I136" i="46"/>
  <c r="G142" i="46"/>
  <c r="I142" i="46" s="1"/>
  <c r="AM139" i="46"/>
  <c r="AM138" i="46"/>
  <c r="CX54" i="65" s="1"/>
  <c r="AM137" i="46"/>
  <c r="CX53" i="65" s="1"/>
  <c r="AM136" i="46"/>
  <c r="AM87" i="46" s="1"/>
  <c r="AK141" i="46"/>
  <c r="AK118" i="46" s="1"/>
  <c r="AH139" i="46"/>
  <c r="AH138" i="46"/>
  <c r="CS54" i="65" s="1"/>
  <c r="AH137" i="46"/>
  <c r="AH88" i="46" s="1"/>
  <c r="AH136" i="46"/>
  <c r="CS52" i="65" s="1"/>
  <c r="AE141" i="46"/>
  <c r="AE248" i="46" s="1"/>
  <c r="AD141" i="46"/>
  <c r="AD118" i="46" s="1"/>
  <c r="Z141" i="46"/>
  <c r="Y141" i="46"/>
  <c r="U141" i="46"/>
  <c r="U248" i="46" s="1"/>
  <c r="T141" i="46"/>
  <c r="R141" i="46"/>
  <c r="R248" i="46" s="1"/>
  <c r="AI140" i="46"/>
  <c r="AI68" i="46" s="1"/>
  <c r="AG140" i="46"/>
  <c r="AG115" i="46" s="1"/>
  <c r="AE140" i="46"/>
  <c r="AE115" i="46" s="1"/>
  <c r="R140" i="46"/>
  <c r="R247" i="46" s="1"/>
  <c r="Q140" i="46"/>
  <c r="Q247" i="46" s="1"/>
  <c r="P140" i="46"/>
  <c r="P68" i="46" s="1"/>
  <c r="O140" i="46"/>
  <c r="O247" i="46" s="1"/>
  <c r="M140" i="46"/>
  <c r="M247" i="46" s="1"/>
  <c r="L140" i="46"/>
  <c r="L68" i="46" s="1"/>
  <c r="K140" i="46"/>
  <c r="K247" i="46" s="1"/>
  <c r="J140" i="46"/>
  <c r="J68" i="46" s="1"/>
  <c r="G140" i="46"/>
  <c r="G247" i="46" s="1"/>
  <c r="BK139" i="46"/>
  <c r="BJ139" i="46"/>
  <c r="BI139" i="46"/>
  <c r="BH139" i="46"/>
  <c r="BF139" i="46"/>
  <c r="BE139" i="46"/>
  <c r="BD139" i="46"/>
  <c r="BC139" i="46"/>
  <c r="BA139" i="46"/>
  <c r="AZ139" i="46"/>
  <c r="AY139" i="46"/>
  <c r="AX139" i="46"/>
  <c r="S139" i="46"/>
  <c r="R138" i="46"/>
  <c r="S138" i="46" s="1"/>
  <c r="CD54" i="65" s="1"/>
  <c r="R137" i="46"/>
  <c r="S137" i="46" s="1"/>
  <c r="S88" i="46" s="1"/>
  <c r="R136" i="46"/>
  <c r="S136" i="46" s="1"/>
  <c r="BL133" i="46"/>
  <c r="BL132" i="46"/>
  <c r="BG133" i="46"/>
  <c r="BG132" i="46"/>
  <c r="BB133" i="46"/>
  <c r="BB132" i="46"/>
  <c r="Q133" i="46"/>
  <c r="P133" i="46"/>
  <c r="O133" i="46"/>
  <c r="M133" i="46"/>
  <c r="L133" i="46"/>
  <c r="K133" i="46"/>
  <c r="J133" i="46"/>
  <c r="H133" i="46"/>
  <c r="G133" i="46"/>
  <c r="F133" i="46"/>
  <c r="E133" i="46"/>
  <c r="AO133" i="46"/>
  <c r="AN133" i="46"/>
  <c r="AL133" i="46"/>
  <c r="AK133" i="46"/>
  <c r="AJ133" i="46"/>
  <c r="AI133" i="46"/>
  <c r="AG133" i="46"/>
  <c r="AF133" i="46"/>
  <c r="AE133" i="46"/>
  <c r="AD133" i="46"/>
  <c r="AB133" i="46"/>
  <c r="AA133" i="46"/>
  <c r="Z133" i="46"/>
  <c r="Y133" i="46"/>
  <c r="W133" i="46"/>
  <c r="V133" i="46"/>
  <c r="U133" i="46"/>
  <c r="T133" i="46"/>
  <c r="AO132" i="46"/>
  <c r="AN132" i="46"/>
  <c r="AL132" i="46"/>
  <c r="AK132" i="46"/>
  <c r="AJ132" i="46"/>
  <c r="AI132" i="46"/>
  <c r="AG132" i="46"/>
  <c r="AF132" i="46"/>
  <c r="AE132" i="46"/>
  <c r="AD132" i="46"/>
  <c r="AB132" i="46"/>
  <c r="AA132" i="46"/>
  <c r="Z132" i="46"/>
  <c r="Y132" i="46"/>
  <c r="W132" i="46"/>
  <c r="V132" i="46"/>
  <c r="U132" i="46"/>
  <c r="T132" i="46"/>
  <c r="R132" i="46"/>
  <c r="Q132" i="46"/>
  <c r="P132" i="46"/>
  <c r="O132" i="46"/>
  <c r="M132" i="46"/>
  <c r="L132" i="46"/>
  <c r="K132" i="46"/>
  <c r="K134" i="46" s="1"/>
  <c r="J132" i="46"/>
  <c r="H132" i="46"/>
  <c r="G132" i="46"/>
  <c r="F132" i="46"/>
  <c r="F134" i="46" s="1"/>
  <c r="E132" i="46"/>
  <c r="AM131" i="46"/>
  <c r="AH131" i="46"/>
  <c r="AC131" i="46"/>
  <c r="X131" i="46"/>
  <c r="X82" i="46" s="1"/>
  <c r="CI39" i="65" s="1"/>
  <c r="R131" i="46"/>
  <c r="S131" i="46" s="1"/>
  <c r="S82" i="46" s="1"/>
  <c r="CD39" i="65" s="1"/>
  <c r="N131" i="46"/>
  <c r="N82" i="46" s="1"/>
  <c r="BY39" i="65" s="1"/>
  <c r="I131" i="46"/>
  <c r="H128" i="46"/>
  <c r="H129" i="46" s="1"/>
  <c r="AO128" i="46"/>
  <c r="AO129" i="46" s="1"/>
  <c r="AN128" i="46"/>
  <c r="AL128" i="46"/>
  <c r="AL129" i="46" s="1"/>
  <c r="AK128" i="46"/>
  <c r="AK129" i="46" s="1"/>
  <c r="AJ128" i="46"/>
  <c r="AJ129" i="46" s="1"/>
  <c r="AI128" i="46"/>
  <c r="AI129" i="46" s="1"/>
  <c r="AG128" i="46"/>
  <c r="AG129" i="46" s="1"/>
  <c r="AF128" i="46"/>
  <c r="AF129" i="46" s="1"/>
  <c r="AE128" i="46"/>
  <c r="AE129" i="46" s="1"/>
  <c r="AD128" i="46"/>
  <c r="AD129" i="46" s="1"/>
  <c r="AB128" i="46"/>
  <c r="AB129" i="46" s="1"/>
  <c r="AA128" i="46"/>
  <c r="AA129" i="46" s="1"/>
  <c r="Y128" i="46"/>
  <c r="Y129" i="46" s="1"/>
  <c r="W128" i="46"/>
  <c r="W129" i="46" s="1"/>
  <c r="V128" i="46"/>
  <c r="V129" i="46" s="1"/>
  <c r="T128" i="46"/>
  <c r="T129" i="46" s="1"/>
  <c r="R128" i="46"/>
  <c r="Q128" i="46"/>
  <c r="Q129" i="46" s="1"/>
  <c r="P128" i="46"/>
  <c r="P129" i="46" s="1"/>
  <c r="O128" i="46"/>
  <c r="O129" i="46" s="1"/>
  <c r="M128" i="46"/>
  <c r="M129" i="46" s="1"/>
  <c r="L128" i="46"/>
  <c r="L129" i="46" s="1"/>
  <c r="K128" i="46"/>
  <c r="K129" i="46" s="1"/>
  <c r="J128" i="46"/>
  <c r="J129" i="46" s="1"/>
  <c r="G128" i="46"/>
  <c r="G129" i="46" s="1"/>
  <c r="F128" i="46"/>
  <c r="F129" i="46" s="1"/>
  <c r="E128" i="46"/>
  <c r="AM127" i="46"/>
  <c r="AM126" i="46"/>
  <c r="AM125" i="46"/>
  <c r="AM124" i="46"/>
  <c r="AH127" i="46"/>
  <c r="AH126" i="46"/>
  <c r="AH125" i="46"/>
  <c r="AH124" i="46"/>
  <c r="AC127" i="46"/>
  <c r="AC126" i="46"/>
  <c r="AC125" i="46"/>
  <c r="AC124" i="46"/>
  <c r="X127" i="46"/>
  <c r="X126" i="46"/>
  <c r="X125" i="46"/>
  <c r="X124" i="46"/>
  <c r="R127" i="46"/>
  <c r="N127" i="46"/>
  <c r="N126" i="46"/>
  <c r="N125" i="46"/>
  <c r="N124" i="46"/>
  <c r="I127" i="46"/>
  <c r="I126" i="46"/>
  <c r="I125" i="46"/>
  <c r="I124" i="46"/>
  <c r="S126" i="46"/>
  <c r="S125" i="46"/>
  <c r="S124" i="46"/>
  <c r="BL119" i="46"/>
  <c r="BL114" i="46"/>
  <c r="BL113" i="46"/>
  <c r="BG119" i="46"/>
  <c r="BG114" i="46"/>
  <c r="BG113" i="46"/>
  <c r="BB119" i="46"/>
  <c r="BB114" i="46"/>
  <c r="BB113" i="46"/>
  <c r="AM119" i="46"/>
  <c r="AM117" i="46"/>
  <c r="AM114" i="46"/>
  <c r="AM113" i="46"/>
  <c r="AH119" i="46"/>
  <c r="AH117" i="46"/>
  <c r="AH114" i="46"/>
  <c r="AH113" i="46"/>
  <c r="AN118" i="46"/>
  <c r="AN117" i="46"/>
  <c r="AN115" i="46"/>
  <c r="AN114" i="46"/>
  <c r="AN113" i="46"/>
  <c r="AL118" i="46"/>
  <c r="AJ118" i="46"/>
  <c r="AI118" i="46"/>
  <c r="AL117" i="46"/>
  <c r="AK117" i="46"/>
  <c r="AJ117" i="46"/>
  <c r="AI117" i="46"/>
  <c r="AL115" i="46"/>
  <c r="AK115" i="46"/>
  <c r="AJ115" i="46"/>
  <c r="AL114" i="46"/>
  <c r="AK114" i="46"/>
  <c r="AJ114" i="46"/>
  <c r="AI114" i="46"/>
  <c r="AL113" i="46"/>
  <c r="AK113" i="46"/>
  <c r="AJ113" i="46"/>
  <c r="AI113" i="46"/>
  <c r="AG118" i="46"/>
  <c r="AF118" i="46"/>
  <c r="AG117" i="46"/>
  <c r="AF117" i="46"/>
  <c r="AE117" i="46"/>
  <c r="AD117" i="46"/>
  <c r="AF115" i="46"/>
  <c r="AD115" i="46"/>
  <c r="AG114" i="46"/>
  <c r="AF114" i="46"/>
  <c r="AE114" i="46"/>
  <c r="AD114" i="46"/>
  <c r="AG113" i="46"/>
  <c r="AF113" i="46"/>
  <c r="AE113" i="46"/>
  <c r="AD113" i="46"/>
  <c r="G106" i="46"/>
  <c r="F106" i="46"/>
  <c r="E106" i="46"/>
  <c r="BK99" i="46"/>
  <c r="BJ99" i="46" s="1"/>
  <c r="BI99" i="46" s="1"/>
  <c r="BH99" i="46" s="1"/>
  <c r="BF99" i="46"/>
  <c r="BE99" i="46" s="1"/>
  <c r="BD99" i="46" s="1"/>
  <c r="BC99" i="46" s="1"/>
  <c r="BA99" i="46"/>
  <c r="AZ99" i="46" s="1"/>
  <c r="AY99" i="46" s="1"/>
  <c r="AX99" i="46" s="1"/>
  <c r="BK96" i="46"/>
  <c r="BJ96" i="46" s="1"/>
  <c r="BJ450" i="15" s="1"/>
  <c r="BF96" i="46"/>
  <c r="BE96" i="46" s="1"/>
  <c r="BE450" i="15" s="1"/>
  <c r="BA96" i="46"/>
  <c r="AZ96" i="46" s="1"/>
  <c r="AZ200" i="47" s="1"/>
  <c r="AN88" i="46"/>
  <c r="AL88" i="46"/>
  <c r="AK88" i="46"/>
  <c r="AJ88" i="46"/>
  <c r="AI88" i="46"/>
  <c r="AG88" i="46"/>
  <c r="AF88" i="46"/>
  <c r="AE88" i="46"/>
  <c r="AD88" i="46"/>
  <c r="AB88" i="46"/>
  <c r="AA88" i="46"/>
  <c r="Z88" i="46"/>
  <c r="Y88" i="46"/>
  <c r="W88" i="46"/>
  <c r="V88" i="46"/>
  <c r="U88" i="46"/>
  <c r="T88" i="46"/>
  <c r="Q88" i="46"/>
  <c r="P88" i="46"/>
  <c r="O88" i="46"/>
  <c r="M88" i="46"/>
  <c r="L88" i="46"/>
  <c r="K88" i="46"/>
  <c r="J88" i="46"/>
  <c r="AN87" i="46"/>
  <c r="AL87" i="46"/>
  <c r="AK87" i="46"/>
  <c r="AJ87" i="46"/>
  <c r="AI87" i="46"/>
  <c r="AG87" i="46"/>
  <c r="AF87" i="46"/>
  <c r="AE87" i="46"/>
  <c r="AD87" i="46"/>
  <c r="AB87" i="46"/>
  <c r="AA87" i="46"/>
  <c r="Z87" i="46"/>
  <c r="Y87" i="46"/>
  <c r="W87" i="46"/>
  <c r="V87" i="46"/>
  <c r="U87" i="46"/>
  <c r="T87" i="46"/>
  <c r="Q87" i="46"/>
  <c r="P87" i="46"/>
  <c r="O87" i="46"/>
  <c r="M87" i="46"/>
  <c r="L87" i="46"/>
  <c r="K87" i="46"/>
  <c r="J87" i="46"/>
  <c r="AN82" i="46"/>
  <c r="AJ82" i="46"/>
  <c r="AI82" i="46"/>
  <c r="AE82" i="46"/>
  <c r="AD82" i="46"/>
  <c r="AA82" i="46"/>
  <c r="Z82" i="46"/>
  <c r="Y82" i="46"/>
  <c r="BK81" i="46"/>
  <c r="BJ81" i="46"/>
  <c r="BI81" i="46"/>
  <c r="BH81" i="46"/>
  <c r="BF81" i="46"/>
  <c r="BE81" i="46"/>
  <c r="BD81" i="46"/>
  <c r="BC81" i="46"/>
  <c r="BA81" i="46"/>
  <c r="AZ81" i="46"/>
  <c r="AY81" i="46"/>
  <c r="AX81" i="46"/>
  <c r="AN80" i="46"/>
  <c r="AM80" i="46"/>
  <c r="CX38" i="65" s="1"/>
  <c r="AL80" i="46"/>
  <c r="AK80" i="46"/>
  <c r="AJ80" i="46"/>
  <c r="AI80" i="46"/>
  <c r="AH80" i="46"/>
  <c r="CS38" i="65" s="1"/>
  <c r="AG80" i="46"/>
  <c r="AF80" i="46"/>
  <c r="AE80" i="46"/>
  <c r="AD80" i="46"/>
  <c r="AC80" i="46"/>
  <c r="CN38" i="65" s="1"/>
  <c r="AB80" i="46"/>
  <c r="AA80" i="46"/>
  <c r="Z80" i="46"/>
  <c r="Y80" i="46"/>
  <c r="AN68" i="46"/>
  <c r="AL68" i="46"/>
  <c r="AK68" i="46"/>
  <c r="AJ68" i="46"/>
  <c r="AF68" i="46"/>
  <c r="AD68" i="46"/>
  <c r="AB68" i="46"/>
  <c r="AA68" i="46"/>
  <c r="Z68" i="46"/>
  <c r="Y68" i="46"/>
  <c r="W68" i="46"/>
  <c r="V68" i="46"/>
  <c r="U68" i="46"/>
  <c r="T68" i="46"/>
  <c r="H68" i="46"/>
  <c r="F68" i="46"/>
  <c r="E68" i="46"/>
  <c r="BL67" i="46"/>
  <c r="BG67" i="46"/>
  <c r="BB67" i="46"/>
  <c r="AN62" i="46"/>
  <c r="AR62" i="46" s="1"/>
  <c r="AK62" i="46"/>
  <c r="AJ62" i="46"/>
  <c r="AI62" i="46"/>
  <c r="AF62" i="46"/>
  <c r="AE62" i="46"/>
  <c r="AD62" i="46"/>
  <c r="AA62" i="46"/>
  <c r="Z62" i="46"/>
  <c r="Y62" i="46"/>
  <c r="V62" i="46"/>
  <c r="U62" i="46"/>
  <c r="T62" i="46"/>
  <c r="Q62" i="46"/>
  <c r="P62" i="46"/>
  <c r="O62" i="46"/>
  <c r="L62" i="46"/>
  <c r="K62" i="46"/>
  <c r="J62" i="46"/>
  <c r="G62" i="46"/>
  <c r="F62" i="46"/>
  <c r="E62" i="46"/>
  <c r="AN60" i="46"/>
  <c r="AM60" i="46"/>
  <c r="AK60" i="46"/>
  <c r="AJ60" i="46"/>
  <c r="AI60" i="46"/>
  <c r="AH60" i="46"/>
  <c r="AF60" i="46"/>
  <c r="AE60" i="46"/>
  <c r="AD60" i="46"/>
  <c r="AC60" i="46"/>
  <c r="AA60" i="46"/>
  <c r="Z60" i="46"/>
  <c r="Y60" i="46"/>
  <c r="X60" i="46"/>
  <c r="V60" i="46"/>
  <c r="U60" i="46"/>
  <c r="T60" i="46"/>
  <c r="S60" i="46"/>
  <c r="Q60" i="46"/>
  <c r="P60" i="46"/>
  <c r="O60" i="46"/>
  <c r="N60" i="46"/>
  <c r="L60" i="46"/>
  <c r="K60" i="46"/>
  <c r="J60" i="46"/>
  <c r="AN59" i="46"/>
  <c r="AM59" i="46"/>
  <c r="AK59" i="46"/>
  <c r="AJ59" i="46"/>
  <c r="AI59" i="46"/>
  <c r="AH59" i="46"/>
  <c r="AF59" i="46"/>
  <c r="AE59" i="46"/>
  <c r="AD59" i="46"/>
  <c r="AC59" i="46"/>
  <c r="AA59" i="46"/>
  <c r="Z59" i="46"/>
  <c r="Y59" i="46"/>
  <c r="X59" i="46"/>
  <c r="V59" i="46"/>
  <c r="U59" i="46"/>
  <c r="T59" i="46"/>
  <c r="S59" i="46"/>
  <c r="Q59" i="46"/>
  <c r="P59" i="46"/>
  <c r="O59" i="46"/>
  <c r="N59" i="46"/>
  <c r="L59" i="46"/>
  <c r="K59" i="46"/>
  <c r="J59" i="46"/>
  <c r="AL58" i="46"/>
  <c r="AL31" i="65" s="1"/>
  <c r="AG58" i="46"/>
  <c r="AG31" i="65" s="1"/>
  <c r="AB58" i="46"/>
  <c r="W58" i="46"/>
  <c r="W31" i="65" s="1"/>
  <c r="R58" i="46"/>
  <c r="R31" i="65" s="1"/>
  <c r="M58" i="46"/>
  <c r="H58" i="46"/>
  <c r="AB47" i="46"/>
  <c r="AB42" i="15" s="1"/>
  <c r="W47" i="46"/>
  <c r="W42" i="51" s="1"/>
  <c r="R47" i="46"/>
  <c r="R54" i="47" s="1"/>
  <c r="R46" i="46"/>
  <c r="R41" i="15" s="1"/>
  <c r="M47" i="46"/>
  <c r="N47" i="46" s="1"/>
  <c r="N54" i="47" s="1"/>
  <c r="M46" i="46"/>
  <c r="M41" i="15" s="1"/>
  <c r="H47" i="46"/>
  <c r="I47" i="46" s="1"/>
  <c r="I46" i="46" s="1"/>
  <c r="I41" i="15" s="1"/>
  <c r="H46" i="46"/>
  <c r="H41" i="51" s="1"/>
  <c r="AO45" i="46"/>
  <c r="AO36" i="65" s="1"/>
  <c r="AN45" i="46"/>
  <c r="AN36" i="65" s="1"/>
  <c r="AM45" i="46"/>
  <c r="AL45" i="46" s="1"/>
  <c r="AL36" i="65" s="1"/>
  <c r="AK45" i="46"/>
  <c r="AK36" i="65" s="1"/>
  <c r="AJ45" i="46"/>
  <c r="AJ36" i="65" s="1"/>
  <c r="AI45" i="46"/>
  <c r="AI36" i="65" s="1"/>
  <c r="AH45" i="46"/>
  <c r="AG45" i="46" s="1"/>
  <c r="AG36" i="65" s="1"/>
  <c r="AF45" i="46"/>
  <c r="AF36" i="65" s="1"/>
  <c r="AE45" i="46"/>
  <c r="AE36" i="65" s="1"/>
  <c r="AD45" i="46"/>
  <c r="AD36" i="65" s="1"/>
  <c r="AC45" i="46"/>
  <c r="AC36" i="65" s="1"/>
  <c r="AA45" i="46"/>
  <c r="AB45" i="46" s="1"/>
  <c r="AB36" i="65" s="1"/>
  <c r="Z45" i="46"/>
  <c r="Z36" i="65" s="1"/>
  <c r="Y45" i="46"/>
  <c r="Y36" i="65" s="1"/>
  <c r="X45" i="46"/>
  <c r="S53" i="65" s="1"/>
  <c r="X53" i="65" s="1"/>
  <c r="AC53" i="65" s="1"/>
  <c r="AH53" i="65" s="1"/>
  <c r="AM53" i="65" s="1"/>
  <c r="AR53" i="65" s="1"/>
  <c r="AW53" i="65" s="1"/>
  <c r="BB53" i="65" s="1"/>
  <c r="BG53" i="65" s="1"/>
  <c r="BL53" i="65" s="1"/>
  <c r="BQ53" i="65" s="1"/>
  <c r="V45" i="46"/>
  <c r="V36" i="65" s="1"/>
  <c r="U45" i="46"/>
  <c r="U36" i="65" s="1"/>
  <c r="T45" i="46"/>
  <c r="T36" i="65" s="1"/>
  <c r="S45" i="46"/>
  <c r="R45" i="46" s="1"/>
  <c r="Q45" i="46"/>
  <c r="P45" i="46"/>
  <c r="O45" i="46"/>
  <c r="N45" i="46"/>
  <c r="M45" i="46" s="1"/>
  <c r="L45" i="46"/>
  <c r="K45" i="46"/>
  <c r="J45" i="46"/>
  <c r="I45" i="46"/>
  <c r="H45" i="46" s="1"/>
  <c r="G45" i="46"/>
  <c r="F45" i="46"/>
  <c r="E45" i="46"/>
  <c r="AK42" i="46"/>
  <c r="AL42" i="46" s="1"/>
  <c r="AH42" i="46"/>
  <c r="AF42" i="46"/>
  <c r="AE42" i="46"/>
  <c r="AE38" i="51" s="1"/>
  <c r="AC42" i="46"/>
  <c r="AA42" i="46"/>
  <c r="Z42" i="46"/>
  <c r="X42" i="46"/>
  <c r="U42" i="46"/>
  <c r="U38" i="51" s="1"/>
  <c r="T42" i="46"/>
  <c r="T38" i="51" s="1"/>
  <c r="S42" i="46"/>
  <c r="R42" i="46" s="1"/>
  <c r="N42" i="46"/>
  <c r="K42" i="46"/>
  <c r="K38" i="51" s="1"/>
  <c r="J42" i="46"/>
  <c r="J38" i="51" s="1"/>
  <c r="I42" i="46"/>
  <c r="G42" i="46"/>
  <c r="F42" i="46"/>
  <c r="E42" i="46"/>
  <c r="BK42" i="46"/>
  <c r="BJ42" i="46"/>
  <c r="BI42" i="46"/>
  <c r="BH42" i="46"/>
  <c r="BF42" i="46"/>
  <c r="BE42" i="46"/>
  <c r="BD42" i="46"/>
  <c r="BC42" i="46"/>
  <c r="BA42" i="46"/>
  <c r="AZ42" i="46"/>
  <c r="AY42" i="46"/>
  <c r="AX42" i="46"/>
  <c r="AL39" i="46"/>
  <c r="AG39" i="46"/>
  <c r="AB39" i="46"/>
  <c r="W39" i="46"/>
  <c r="R39" i="46"/>
  <c r="M39" i="46"/>
  <c r="H39" i="46"/>
  <c r="AL36" i="46"/>
  <c r="AG36" i="46"/>
  <c r="AB36" i="46"/>
  <c r="W36" i="46"/>
  <c r="R36" i="46"/>
  <c r="M36" i="46"/>
  <c r="H36" i="46"/>
  <c r="AO32" i="46"/>
  <c r="AN32" i="46"/>
  <c r="AM32" i="46"/>
  <c r="AK32" i="46"/>
  <c r="AJ32" i="46"/>
  <c r="AI32" i="46"/>
  <c r="AH32" i="46"/>
  <c r="AF32" i="46"/>
  <c r="AE32" i="46"/>
  <c r="AD32" i="46"/>
  <c r="AC32" i="46"/>
  <c r="AA32" i="46"/>
  <c r="Z32" i="46"/>
  <c r="Y32" i="46"/>
  <c r="X32" i="46"/>
  <c r="V32" i="46"/>
  <c r="U32" i="46"/>
  <c r="T32" i="46"/>
  <c r="S32" i="46"/>
  <c r="Q32" i="46"/>
  <c r="P32" i="46"/>
  <c r="O32" i="46"/>
  <c r="N32" i="46"/>
  <c r="L32" i="46"/>
  <c r="K32" i="46"/>
  <c r="J32" i="46"/>
  <c r="I32" i="46"/>
  <c r="AL31" i="46"/>
  <c r="AL30" i="46"/>
  <c r="AG31" i="46"/>
  <c r="AG30" i="46"/>
  <c r="AB31" i="46"/>
  <c r="AB30" i="46"/>
  <c r="W31" i="46"/>
  <c r="W30" i="46"/>
  <c r="R31" i="46"/>
  <c r="R30" i="46"/>
  <c r="M31" i="46"/>
  <c r="M30" i="46"/>
  <c r="H31" i="46"/>
  <c r="G30" i="46"/>
  <c r="G32" i="46" s="1"/>
  <c r="F30" i="46"/>
  <c r="F32" i="46" s="1"/>
  <c r="E30" i="46"/>
  <c r="E32" i="46" s="1"/>
  <c r="AJ25" i="46"/>
  <c r="AI25" i="46"/>
  <c r="AE25" i="46"/>
  <c r="AD25" i="46"/>
  <c r="Z25" i="46"/>
  <c r="Y25" i="46"/>
  <c r="V25" i="46"/>
  <c r="U25" i="46"/>
  <c r="Q25" i="46"/>
  <c r="P25" i="46"/>
  <c r="O25" i="46"/>
  <c r="L25" i="46"/>
  <c r="K25" i="46"/>
  <c r="J25" i="46"/>
  <c r="AO24" i="46"/>
  <c r="AO25" i="46" s="1"/>
  <c r="AN24" i="46"/>
  <c r="AM24" i="46"/>
  <c r="AM25" i="46" s="1"/>
  <c r="AK24" i="46"/>
  <c r="AK25" i="46" s="1"/>
  <c r="AH24" i="46"/>
  <c r="AH25" i="46" s="1"/>
  <c r="AF24" i="46"/>
  <c r="AF25" i="46" s="1"/>
  <c r="AC24" i="46"/>
  <c r="AC25" i="46" s="1"/>
  <c r="AA24" i="46"/>
  <c r="AA25" i="46" s="1"/>
  <c r="X24" i="46"/>
  <c r="X25" i="46" s="1"/>
  <c r="T24" i="46"/>
  <c r="T25" i="46" s="1"/>
  <c r="S24" i="46"/>
  <c r="S25" i="46" s="1"/>
  <c r="N24" i="46"/>
  <c r="N25" i="46" s="1"/>
  <c r="I24" i="46"/>
  <c r="I25" i="46" s="1"/>
  <c r="G24" i="46"/>
  <c r="G25" i="46" s="1"/>
  <c r="F24" i="46"/>
  <c r="F25" i="46" s="1"/>
  <c r="E24" i="46"/>
  <c r="E25" i="46" s="1"/>
  <c r="AL23" i="46"/>
  <c r="AL22" i="46"/>
  <c r="AG23" i="46"/>
  <c r="AG22" i="46"/>
  <c r="AB23" i="46"/>
  <c r="AB22" i="46"/>
  <c r="W23" i="46"/>
  <c r="W22" i="46"/>
  <c r="R23" i="46"/>
  <c r="R22" i="46"/>
  <c r="M23" i="46"/>
  <c r="M22" i="46"/>
  <c r="H23" i="46"/>
  <c r="H22" i="46"/>
  <c r="X18" i="46"/>
  <c r="X20" i="46" s="1"/>
  <c r="V18" i="46"/>
  <c r="V20" i="46" s="1"/>
  <c r="U18" i="46"/>
  <c r="U20" i="46" s="1"/>
  <c r="T18" i="46"/>
  <c r="T20" i="46" s="1"/>
  <c r="T27" i="46" s="1"/>
  <c r="S18" i="46"/>
  <c r="S20" i="46" s="1"/>
  <c r="S27" i="46" s="1"/>
  <c r="Q18" i="46"/>
  <c r="Q20" i="46" s="1"/>
  <c r="P18" i="46"/>
  <c r="P20" i="46" s="1"/>
  <c r="O18" i="46"/>
  <c r="O20" i="46" s="1"/>
  <c r="N18" i="46"/>
  <c r="N20" i="46" s="1"/>
  <c r="L18" i="46"/>
  <c r="L20" i="46" s="1"/>
  <c r="K18" i="46"/>
  <c r="K20" i="46" s="1"/>
  <c r="J18" i="46"/>
  <c r="J20" i="46" s="1"/>
  <c r="I18" i="46"/>
  <c r="I20" i="46" s="1"/>
  <c r="G18" i="46"/>
  <c r="G20" i="46" s="1"/>
  <c r="F18" i="46"/>
  <c r="F20" i="46" s="1"/>
  <c r="E18" i="46"/>
  <c r="E20" i="46" s="1"/>
  <c r="AL17" i="46"/>
  <c r="AL16" i="46"/>
  <c r="AL15" i="46"/>
  <c r="AL14" i="46"/>
  <c r="AL13" i="46"/>
  <c r="AL12" i="46"/>
  <c r="AG17" i="46"/>
  <c r="AG16" i="46"/>
  <c r="AG15" i="46"/>
  <c r="AG14" i="46"/>
  <c r="AG13" i="46"/>
  <c r="AG12" i="46"/>
  <c r="AB17" i="46"/>
  <c r="AB16" i="46"/>
  <c r="AB15" i="46"/>
  <c r="AB14" i="46"/>
  <c r="AB13" i="46"/>
  <c r="AB12" i="46"/>
  <c r="W17" i="46"/>
  <c r="W16" i="46"/>
  <c r="W15" i="46"/>
  <c r="W14" i="46"/>
  <c r="W13" i="46"/>
  <c r="W12" i="46"/>
  <c r="R17" i="46"/>
  <c r="R16" i="46"/>
  <c r="R15" i="46"/>
  <c r="R14" i="46"/>
  <c r="R13" i="46"/>
  <c r="R12" i="46"/>
  <c r="M17" i="46"/>
  <c r="M16" i="46"/>
  <c r="M15" i="46"/>
  <c r="M14" i="46"/>
  <c r="M13" i="46"/>
  <c r="M12" i="46"/>
  <c r="H17" i="46"/>
  <c r="H16" i="46"/>
  <c r="H15" i="46"/>
  <c r="H14" i="46"/>
  <c r="H13" i="46"/>
  <c r="H12" i="46"/>
  <c r="X10" i="46"/>
  <c r="V10" i="46"/>
  <c r="U10" i="46"/>
  <c r="T10" i="46"/>
  <c r="S10" i="46"/>
  <c r="Q10" i="46"/>
  <c r="P10" i="46"/>
  <c r="O10" i="46"/>
  <c r="N10" i="46"/>
  <c r="L10" i="46"/>
  <c r="K10" i="46"/>
  <c r="J10" i="46"/>
  <c r="I10" i="46"/>
  <c r="G10" i="46"/>
  <c r="F10" i="46"/>
  <c r="E10" i="46"/>
  <c r="AO9" i="46"/>
  <c r="AO18" i="46" s="1"/>
  <c r="AO20" i="46" s="1"/>
  <c r="AO27" i="46" s="1"/>
  <c r="AN9" i="46"/>
  <c r="AM9" i="46"/>
  <c r="AM18" i="46" s="1"/>
  <c r="AM20" i="46" s="1"/>
  <c r="AK9" i="46"/>
  <c r="AK18" i="46" s="1"/>
  <c r="AK20" i="46" s="1"/>
  <c r="AJ9" i="46"/>
  <c r="AJ18" i="46" s="1"/>
  <c r="AJ20" i="46" s="1"/>
  <c r="AI9" i="46"/>
  <c r="AI18" i="46" s="1"/>
  <c r="AI20" i="46" s="1"/>
  <c r="AH9" i="46"/>
  <c r="AF9" i="46"/>
  <c r="AF18" i="46" s="1"/>
  <c r="AF20" i="46" s="1"/>
  <c r="AE9" i="46"/>
  <c r="AE18" i="46" s="1"/>
  <c r="AE20" i="46" s="1"/>
  <c r="AE27" i="46" s="1"/>
  <c r="AD9" i="46"/>
  <c r="AD18" i="46" s="1"/>
  <c r="AD20" i="46" s="1"/>
  <c r="AD27" i="46" s="1"/>
  <c r="AC9" i="46"/>
  <c r="AC18" i="46" s="1"/>
  <c r="AC20" i="46" s="1"/>
  <c r="AC27" i="46" s="1"/>
  <c r="AA9" i="46"/>
  <c r="AA18" i="46" s="1"/>
  <c r="AA20" i="46" s="1"/>
  <c r="Z9" i="46"/>
  <c r="Z18" i="46" s="1"/>
  <c r="Z20" i="46" s="1"/>
  <c r="Y9" i="46"/>
  <c r="Y18" i="46" s="1"/>
  <c r="Y20" i="46" s="1"/>
  <c r="W9" i="46"/>
  <c r="W8" i="46"/>
  <c r="R9" i="46"/>
  <c r="R8" i="46"/>
  <c r="M9" i="46"/>
  <c r="M8" i="46"/>
  <c r="H9" i="46"/>
  <c r="H8" i="46"/>
  <c r="AL8" i="46"/>
  <c r="AG8" i="46"/>
  <c r="AB8" i="46"/>
  <c r="B2" i="46"/>
  <c r="BX48" i="65"/>
  <c r="BW48" i="65"/>
  <c r="BV48" i="65"/>
  <c r="BU48" i="65"/>
  <c r="BK46" i="65"/>
  <c r="BJ46" i="65"/>
  <c r="BI46" i="65"/>
  <c r="BH46" i="65"/>
  <c r="BF46" i="65"/>
  <c r="BE46" i="65"/>
  <c r="BD46" i="65"/>
  <c r="BC46" i="65"/>
  <c r="BA46" i="65"/>
  <c r="AZ46" i="65"/>
  <c r="AY46" i="65"/>
  <c r="AX46" i="65"/>
  <c r="AV46" i="65"/>
  <c r="AU46" i="65"/>
  <c r="AT46" i="65"/>
  <c r="AS46" i="65"/>
  <c r="AQ46" i="65"/>
  <c r="AP46" i="65"/>
  <c r="AO46" i="65"/>
  <c r="AN46" i="65"/>
  <c r="AL46" i="65"/>
  <c r="AK46" i="65"/>
  <c r="AJ46" i="65"/>
  <c r="AI46" i="65"/>
  <c r="AG46" i="65"/>
  <c r="AF46" i="65"/>
  <c r="AE46" i="65"/>
  <c r="AD46" i="65"/>
  <c r="AB46" i="65"/>
  <c r="AA46" i="65"/>
  <c r="Z46" i="65"/>
  <c r="Y46" i="65"/>
  <c r="DQ44" i="65"/>
  <c r="DQ48" i="65" s="1"/>
  <c r="DP44" i="65"/>
  <c r="DP48" i="65" s="1"/>
  <c r="DO44" i="65"/>
  <c r="DO48" i="65" s="1"/>
  <c r="DN44" i="65"/>
  <c r="DN48" i="65" s="1"/>
  <c r="DL44" i="65"/>
  <c r="DL48" i="65" s="1"/>
  <c r="DK44" i="65"/>
  <c r="DK48" i="65" s="1"/>
  <c r="DJ44" i="65"/>
  <c r="DJ48" i="65" s="1"/>
  <c r="DI44" i="65"/>
  <c r="DI48" i="65" s="1"/>
  <c r="CC44" i="65"/>
  <c r="CC48" i="65" s="1"/>
  <c r="CB44" i="65"/>
  <c r="CB48" i="65" s="1"/>
  <c r="CA44" i="65"/>
  <c r="CA48" i="65" s="1"/>
  <c r="BZ44" i="65"/>
  <c r="BZ48" i="65" s="1"/>
  <c r="AV43" i="65"/>
  <c r="AU43" i="65"/>
  <c r="AT43" i="65"/>
  <c r="AS43" i="65"/>
  <c r="AO38" i="65"/>
  <c r="AN38" i="65"/>
  <c r="AM38" i="65"/>
  <c r="AL38" i="65"/>
  <c r="AK38" i="65"/>
  <c r="AJ38" i="65"/>
  <c r="AI38" i="65"/>
  <c r="AH38" i="65"/>
  <c r="AG38" i="65"/>
  <c r="AF38" i="65"/>
  <c r="AE38" i="65"/>
  <c r="AD38" i="65"/>
  <c r="AC38" i="65"/>
  <c r="AA38" i="65"/>
  <c r="Z38" i="65"/>
  <c r="Y38" i="65"/>
  <c r="X38" i="65"/>
  <c r="V38" i="65"/>
  <c r="U38" i="65"/>
  <c r="T38" i="65"/>
  <c r="S38" i="65"/>
  <c r="AO37" i="65"/>
  <c r="AN37" i="65"/>
  <c r="AM37" i="65"/>
  <c r="AL37" i="65"/>
  <c r="AK37" i="65"/>
  <c r="AJ37" i="65"/>
  <c r="AI37" i="65"/>
  <c r="AH37" i="65"/>
  <c r="AG37" i="65"/>
  <c r="AF37" i="65"/>
  <c r="AE37" i="65"/>
  <c r="AD37" i="65"/>
  <c r="AC37" i="65"/>
  <c r="AA37" i="65"/>
  <c r="Z37" i="65"/>
  <c r="Y37" i="65"/>
  <c r="X37" i="65"/>
  <c r="V37" i="65"/>
  <c r="U37" i="65"/>
  <c r="T37" i="65"/>
  <c r="S37" i="65"/>
  <c r="CN33" i="65"/>
  <c r="CI33" i="65"/>
  <c r="CD33" i="65"/>
  <c r="BY33" i="65"/>
  <c r="AM31" i="65"/>
  <c r="AH31" i="65"/>
  <c r="AC31" i="65"/>
  <c r="X31" i="65"/>
  <c r="S31" i="65"/>
  <c r="N31" i="65"/>
  <c r="AO31" i="65"/>
  <c r="AN31" i="65"/>
  <c r="AK31" i="65"/>
  <c r="AJ31" i="65"/>
  <c r="AI31" i="65"/>
  <c r="AF31" i="65"/>
  <c r="AE31" i="65"/>
  <c r="AD31" i="65"/>
  <c r="AA31" i="65"/>
  <c r="Z31" i="65"/>
  <c r="Y31" i="65"/>
  <c r="V31" i="65"/>
  <c r="U31" i="65"/>
  <c r="T31" i="65"/>
  <c r="Q31" i="65"/>
  <c r="P31" i="65"/>
  <c r="O31" i="65"/>
  <c r="AV17" i="65"/>
  <c r="AU17" i="65"/>
  <c r="AT17" i="65"/>
  <c r="AS17" i="65"/>
  <c r="R17" i="65"/>
  <c r="Q17" i="65"/>
  <c r="P17" i="65"/>
  <c r="O17" i="65"/>
  <c r="AV16" i="65"/>
  <c r="AU16" i="65"/>
  <c r="AT16" i="65"/>
  <c r="AS16" i="65"/>
  <c r="BK12" i="65"/>
  <c r="BK16" i="65" s="1"/>
  <c r="BJ12" i="65"/>
  <c r="BI12" i="65"/>
  <c r="BI16" i="65" s="1"/>
  <c r="BH12" i="65"/>
  <c r="BF12" i="65"/>
  <c r="BE12" i="65"/>
  <c r="BE16" i="65" s="1"/>
  <c r="BD12" i="65"/>
  <c r="BC12" i="65"/>
  <c r="BC16" i="65" s="1"/>
  <c r="BA12" i="65"/>
  <c r="BA16" i="65" s="1"/>
  <c r="AZ12" i="65"/>
  <c r="AY12" i="65"/>
  <c r="AY16" i="65" s="1"/>
  <c r="AX12" i="65"/>
  <c r="AQ12" i="65"/>
  <c r="AQ16" i="65" s="1"/>
  <c r="AP12" i="65"/>
  <c r="AO12" i="65"/>
  <c r="AO16" i="65" s="1"/>
  <c r="AN12" i="65"/>
  <c r="AL12" i="65"/>
  <c r="AK12" i="65"/>
  <c r="AK16" i="65" s="1"/>
  <c r="AJ12" i="65"/>
  <c r="AI12" i="65"/>
  <c r="AI16" i="65" s="1"/>
  <c r="AG12" i="65"/>
  <c r="AG16" i="65" s="1"/>
  <c r="AF12" i="65"/>
  <c r="AE12" i="65"/>
  <c r="AE16" i="65" s="1"/>
  <c r="AD12" i="65"/>
  <c r="AB12" i="65"/>
  <c r="AB17" i="65" s="1"/>
  <c r="AA12" i="65"/>
  <c r="Z12" i="65"/>
  <c r="Z17" i="65" s="1"/>
  <c r="Y12" i="65"/>
  <c r="W12" i="65"/>
  <c r="W43" i="65" s="1"/>
  <c r="V12" i="65"/>
  <c r="V43" i="65" s="1"/>
  <c r="U12" i="65"/>
  <c r="U43" i="65" s="1"/>
  <c r="T12" i="65"/>
  <c r="T43" i="65" s="1"/>
  <c r="CD5" i="65"/>
  <c r="CI5" i="65" s="1"/>
  <c r="CN5" i="65" s="1"/>
  <c r="CS5" i="65" s="1"/>
  <c r="CX5" i="65" s="1"/>
  <c r="DC5" i="65" s="1"/>
  <c r="DH5" i="65" s="1"/>
  <c r="DM5" i="65" s="1"/>
  <c r="DR5" i="65" s="1"/>
  <c r="DW5" i="65" s="1"/>
  <c r="EB5" i="65" s="1"/>
  <c r="S5" i="65"/>
  <c r="X5" i="65" s="1"/>
  <c r="AC5" i="65" s="1"/>
  <c r="AH5" i="65" s="1"/>
  <c r="AM5" i="65" s="1"/>
  <c r="AR5" i="65" s="1"/>
  <c r="AW5" i="65" s="1"/>
  <c r="BB5" i="65" s="1"/>
  <c r="BG5" i="65" s="1"/>
  <c r="BL5" i="65" s="1"/>
  <c r="BQ5" i="65" s="1"/>
  <c r="B2" i="65"/>
  <c r="AT52" i="72" l="1"/>
  <c r="CX146" i="72"/>
  <c r="CZ146" i="72"/>
  <c r="CY146" i="72"/>
  <c r="CY111" i="72"/>
  <c r="DA111" i="72"/>
  <c r="DD111" i="72"/>
  <c r="DF111" i="72"/>
  <c r="CX111" i="72"/>
  <c r="CZ111" i="72"/>
  <c r="DC111" i="72"/>
  <c r="DE111" i="72"/>
  <c r="DL117" i="72"/>
  <c r="AU173" i="15"/>
  <c r="AT173" i="15" s="1"/>
  <c r="AT174" i="15" s="1"/>
  <c r="AU174" i="15"/>
  <c r="BK75" i="47"/>
  <c r="BK110" i="47" s="1"/>
  <c r="AU84" i="15"/>
  <c r="AU266" i="15"/>
  <c r="AU306" i="15"/>
  <c r="AU80" i="15"/>
  <c r="AU76" i="15"/>
  <c r="AU286" i="15"/>
  <c r="AU77" i="15"/>
  <c r="AU265" i="15" s="1"/>
  <c r="AU273" i="15" s="1"/>
  <c r="AU274" i="15" s="1"/>
  <c r="AU85" i="15"/>
  <c r="AU81" i="15"/>
  <c r="AT218" i="15"/>
  <c r="AU217" i="15"/>
  <c r="AU218" i="15" s="1"/>
  <c r="AU194" i="15"/>
  <c r="AU154" i="15" s="1"/>
  <c r="AU158" i="15" s="1"/>
  <c r="AU360" i="15"/>
  <c r="BK168" i="47"/>
  <c r="R385" i="15"/>
  <c r="AL385" i="15"/>
  <c r="AQ386" i="15" s="1"/>
  <c r="AC68" i="46"/>
  <c r="AI115" i="46"/>
  <c r="AM115" i="46" s="1"/>
  <c r="W146" i="47"/>
  <c r="W147" i="47" s="1"/>
  <c r="W80" i="47" s="1"/>
  <c r="X430" i="15"/>
  <c r="W430" i="15" s="1"/>
  <c r="W431" i="15" s="1"/>
  <c r="H131" i="47"/>
  <c r="M141" i="47"/>
  <c r="AB131" i="47"/>
  <c r="AG141" i="47"/>
  <c r="BD75" i="47"/>
  <c r="BD110" i="47" s="1"/>
  <c r="BJ168" i="47"/>
  <c r="BJ213" i="47" s="1"/>
  <c r="BI168" i="47"/>
  <c r="BI213" i="47" s="1"/>
  <c r="CS8" i="65"/>
  <c r="BI75" i="47"/>
  <c r="BI110" i="47" s="1"/>
  <c r="AF57" i="51"/>
  <c r="AX75" i="47"/>
  <c r="AX110" i="47" s="1"/>
  <c r="J147" i="47"/>
  <c r="J80" i="47" s="1"/>
  <c r="CN51" i="65"/>
  <c r="AC87" i="46"/>
  <c r="CI8" i="65"/>
  <c r="AH87" i="46"/>
  <c r="BA213" i="47"/>
  <c r="CX52" i="65"/>
  <c r="DV139" i="72"/>
  <c r="DS139" i="72" s="1"/>
  <c r="BH168" i="47"/>
  <c r="BH178" i="47" s="1"/>
  <c r="BH179" i="47" s="1"/>
  <c r="R411" i="15"/>
  <c r="W397" i="15"/>
  <c r="AL411" i="15"/>
  <c r="AQ412" i="15" s="1"/>
  <c r="BY8" i="65"/>
  <c r="AC88" i="46"/>
  <c r="AJ67" i="47"/>
  <c r="M236" i="47"/>
  <c r="M106" i="46" s="1"/>
  <c r="G25" i="15"/>
  <c r="G30" i="15" s="1"/>
  <c r="J236" i="47"/>
  <c r="J106" i="46" s="1"/>
  <c r="BY47" i="65"/>
  <c r="CS53" i="65"/>
  <c r="DM46" i="65"/>
  <c r="DW46" i="65"/>
  <c r="K236" i="47"/>
  <c r="K106" i="46" s="1"/>
  <c r="P134" i="46"/>
  <c r="H385" i="15"/>
  <c r="AB385" i="15"/>
  <c r="AQ93" i="15"/>
  <c r="AR93" i="15" s="1"/>
  <c r="F11" i="72"/>
  <c r="AD57" i="51"/>
  <c r="AA36" i="65"/>
  <c r="O27" i="46"/>
  <c r="O34" i="46" s="1"/>
  <c r="X87" i="46"/>
  <c r="X68" i="46"/>
  <c r="W184" i="46"/>
  <c r="W195" i="46" s="1"/>
  <c r="AB184" i="46"/>
  <c r="AB195" i="46" s="1"/>
  <c r="AG184" i="46"/>
  <c r="AG195" i="46" s="1"/>
  <c r="N27" i="46"/>
  <c r="N221" i="46" s="1"/>
  <c r="N240" i="46" s="1"/>
  <c r="BY27" i="65" s="1"/>
  <c r="AO57" i="51"/>
  <c r="AA25" i="15"/>
  <c r="AA30" i="15" s="1"/>
  <c r="AK25" i="15"/>
  <c r="AK26" i="15" s="1"/>
  <c r="W391" i="15"/>
  <c r="AQ90" i="15"/>
  <c r="AB38" i="65"/>
  <c r="AB48" i="65" s="1"/>
  <c r="Y27" i="46"/>
  <c r="Y34" i="46" s="1"/>
  <c r="AI27" i="46"/>
  <c r="AI28" i="46" s="1"/>
  <c r="E27" i="46"/>
  <c r="E28" i="46" s="1"/>
  <c r="J27" i="46"/>
  <c r="J34" i="46" s="1"/>
  <c r="H391" i="15"/>
  <c r="AQ96" i="15"/>
  <c r="CI53" i="65"/>
  <c r="W131" i="47"/>
  <c r="AI57" i="51"/>
  <c r="AA236" i="47"/>
  <c r="AA106" i="46" s="1"/>
  <c r="H397" i="15"/>
  <c r="W411" i="15"/>
  <c r="AB397" i="15"/>
  <c r="N25" i="15"/>
  <c r="N30" i="15" s="1"/>
  <c r="S25" i="15"/>
  <c r="S26" i="15" s="1"/>
  <c r="S21" i="65" s="1"/>
  <c r="AD159" i="46"/>
  <c r="AD171" i="46" s="1"/>
  <c r="AI159" i="46"/>
  <c r="AI171" i="46" s="1"/>
  <c r="AN159" i="46"/>
  <c r="AN171" i="46" s="1"/>
  <c r="AM204" i="46"/>
  <c r="CX11" i="65" s="1"/>
  <c r="CX12" i="65" s="1"/>
  <c r="AL38" i="15"/>
  <c r="AL38" i="51" s="1"/>
  <c r="O68" i="46"/>
  <c r="AM88" i="46"/>
  <c r="K159" i="46"/>
  <c r="K171" i="46" s="1"/>
  <c r="U159" i="46"/>
  <c r="U171" i="46" s="1"/>
  <c r="Z159" i="46"/>
  <c r="Z171" i="46" s="1"/>
  <c r="AE159" i="46"/>
  <c r="AE171" i="46" s="1"/>
  <c r="W385" i="15"/>
  <c r="DQ73" i="72"/>
  <c r="DR73" i="72" s="1"/>
  <c r="DL138" i="72"/>
  <c r="DO138" i="72" s="1"/>
  <c r="CX8" i="65"/>
  <c r="N36" i="65"/>
  <c r="R32" i="46"/>
  <c r="E38" i="51"/>
  <c r="AE68" i="46"/>
  <c r="AF184" i="46"/>
  <c r="AF195" i="46" s="1"/>
  <c r="AK184" i="46"/>
  <c r="AK195" i="46" s="1"/>
  <c r="M411" i="15"/>
  <c r="AG411" i="15"/>
  <c r="S36" i="65"/>
  <c r="X36" i="65"/>
  <c r="AH36" i="65"/>
  <c r="AM36" i="65"/>
  <c r="CI51" i="65"/>
  <c r="P27" i="46"/>
  <c r="P34" i="46" s="1"/>
  <c r="X204" i="46"/>
  <c r="CI11" i="65" s="1"/>
  <c r="CI12" i="65" s="1"/>
  <c r="N162" i="47"/>
  <c r="AG391" i="15"/>
  <c r="I25" i="15"/>
  <c r="I30" i="15" s="1"/>
  <c r="W23" i="15"/>
  <c r="R60" i="46"/>
  <c r="S483" i="15"/>
  <c r="S107" i="46" s="1"/>
  <c r="K68" i="46"/>
  <c r="AG68" i="46"/>
  <c r="R87" i="46"/>
  <c r="AE118" i="46"/>
  <c r="E184" i="46"/>
  <c r="E195" i="46" s="1"/>
  <c r="J184" i="46"/>
  <c r="J195" i="46" s="1"/>
  <c r="N176" i="46"/>
  <c r="N177" i="46" s="1"/>
  <c r="N184" i="46" s="1"/>
  <c r="F25" i="15"/>
  <c r="F26" i="15" s="1"/>
  <c r="AL23" i="15"/>
  <c r="Y157" i="15"/>
  <c r="Y194" i="15"/>
  <c r="Y154" i="15" s="1"/>
  <c r="Z259" i="15"/>
  <c r="X483" i="15"/>
  <c r="X107" i="46" s="1"/>
  <c r="DH55" i="65"/>
  <c r="Q67" i="47"/>
  <c r="X27" i="46"/>
  <c r="X34" i="46" s="1"/>
  <c r="AB32" i="46"/>
  <c r="AL32" i="46"/>
  <c r="L159" i="46"/>
  <c r="L171" i="46" s="1"/>
  <c r="Q159" i="46"/>
  <c r="Q171" i="46" s="1"/>
  <c r="V159" i="46"/>
  <c r="V171" i="46" s="1"/>
  <c r="F244" i="46"/>
  <c r="L27" i="46"/>
  <c r="L28" i="46" s="1"/>
  <c r="U134" i="46"/>
  <c r="Z134" i="46"/>
  <c r="AE134" i="46"/>
  <c r="AJ134" i="46"/>
  <c r="AJ147" i="46" s="1"/>
  <c r="AO134" i="46"/>
  <c r="AO147" i="46" s="1"/>
  <c r="E171" i="46"/>
  <c r="R205" i="46"/>
  <c r="R109" i="46" s="1"/>
  <c r="I204" i="46"/>
  <c r="I205" i="46" s="1"/>
  <c r="I109" i="46" s="1"/>
  <c r="L109" i="47"/>
  <c r="AH25" i="15"/>
  <c r="AH26" i="15" s="1"/>
  <c r="AH21" i="65" s="1"/>
  <c r="BG180" i="15"/>
  <c r="BF180" i="15" s="1"/>
  <c r="BE180" i="15" s="1"/>
  <c r="BD180" i="15" s="1"/>
  <c r="BC180" i="15" s="1"/>
  <c r="BB63" i="51"/>
  <c r="U128" i="46"/>
  <c r="U129" i="46" s="1"/>
  <c r="R134" i="46"/>
  <c r="H159" i="46"/>
  <c r="M159" i="46"/>
  <c r="M171" i="46" s="1"/>
  <c r="W159" i="46"/>
  <c r="AF159" i="46"/>
  <c r="AF171" i="46" s="1"/>
  <c r="AO159" i="46"/>
  <c r="AO171" i="46" s="1"/>
  <c r="X164" i="46"/>
  <c r="H18" i="46"/>
  <c r="H20" i="46" s="1"/>
  <c r="R18" i="46"/>
  <c r="R20" i="46" s="1"/>
  <c r="Z27" i="46"/>
  <c r="Z34" i="46" s="1"/>
  <c r="AJ27" i="46"/>
  <c r="AJ28" i="46" s="1"/>
  <c r="F27" i="46"/>
  <c r="F34" i="46" s="1"/>
  <c r="K27" i="46"/>
  <c r="K28" i="46" s="1"/>
  <c r="U27" i="46"/>
  <c r="U34" i="46" s="1"/>
  <c r="T134" i="46"/>
  <c r="Y134" i="46"/>
  <c r="AD134" i="46"/>
  <c r="AI134" i="46"/>
  <c r="I133" i="46"/>
  <c r="N133" i="46"/>
  <c r="S133" i="46"/>
  <c r="DR46" i="65"/>
  <c r="BY55" i="65"/>
  <c r="CI55" i="65"/>
  <c r="CN55" i="65"/>
  <c r="J159" i="46"/>
  <c r="J171" i="46" s="1"/>
  <c r="T159" i="46"/>
  <c r="T171" i="46" s="1"/>
  <c r="AG159" i="46"/>
  <c r="AG171" i="46" s="1"/>
  <c r="N204" i="46"/>
  <c r="BY11" i="65" s="1"/>
  <c r="BY12" i="65" s="1"/>
  <c r="F184" i="46"/>
  <c r="F195" i="46" s="1"/>
  <c r="K184" i="46"/>
  <c r="K195" i="46" s="1"/>
  <c r="O184" i="46"/>
  <c r="O195" i="46" s="1"/>
  <c r="T184" i="46"/>
  <c r="T195" i="46" s="1"/>
  <c r="N187" i="46"/>
  <c r="N208" i="46" s="1"/>
  <c r="BY14" i="65" s="1"/>
  <c r="F205" i="46"/>
  <c r="K205" i="46"/>
  <c r="K109" i="46" s="1"/>
  <c r="P205" i="46"/>
  <c r="P109" i="46" s="1"/>
  <c r="V205" i="46"/>
  <c r="V109" i="46" s="1"/>
  <c r="AA205" i="46"/>
  <c r="AA109" i="46" s="1"/>
  <c r="AF205" i="46"/>
  <c r="AF109" i="46" s="1"/>
  <c r="AK205" i="46"/>
  <c r="AK109" i="46" s="1"/>
  <c r="H244" i="46"/>
  <c r="AO25" i="15"/>
  <c r="AO26" i="15" s="1"/>
  <c r="AO21" i="65" s="1"/>
  <c r="BF174" i="15"/>
  <c r="AO205" i="15"/>
  <c r="H42" i="46"/>
  <c r="W134" i="46"/>
  <c r="W147" i="46" s="1"/>
  <c r="AB134" i="46"/>
  <c r="AB147" i="46" s="1"/>
  <c r="AG134" i="46"/>
  <c r="AL134" i="46"/>
  <c r="AL147" i="46" s="1"/>
  <c r="CD55" i="65"/>
  <c r="O143" i="46"/>
  <c r="AH192" i="46"/>
  <c r="AB54" i="47"/>
  <c r="AU79" i="46"/>
  <c r="BJ200" i="47"/>
  <c r="BK450" i="15"/>
  <c r="X176" i="46"/>
  <c r="X177" i="46" s="1"/>
  <c r="X184" i="46" s="1"/>
  <c r="I53" i="47"/>
  <c r="M53" i="47"/>
  <c r="H54" i="47"/>
  <c r="N42" i="15"/>
  <c r="R42" i="15"/>
  <c r="AE427" i="15"/>
  <c r="AK427" i="15"/>
  <c r="I42" i="51"/>
  <c r="M42" i="51"/>
  <c r="BL63" i="51"/>
  <c r="W24" i="46"/>
  <c r="W25" i="46" s="1"/>
  <c r="H171" i="46"/>
  <c r="M22" i="51"/>
  <c r="G29" i="51"/>
  <c r="Q29" i="51"/>
  <c r="V29" i="51"/>
  <c r="AA29" i="51"/>
  <c r="AF29" i="51"/>
  <c r="AK29" i="51"/>
  <c r="H32" i="51"/>
  <c r="AB32" i="51"/>
  <c r="M35" i="51"/>
  <c r="AG35" i="51"/>
  <c r="AA38" i="51"/>
  <c r="BF200" i="47"/>
  <c r="M42" i="46"/>
  <c r="M38" i="51" s="1"/>
  <c r="W42" i="46"/>
  <c r="W38" i="51" s="1"/>
  <c r="AB60" i="46"/>
  <c r="BB139" i="46"/>
  <c r="DM55" i="65" s="1"/>
  <c r="BG139" i="46"/>
  <c r="DR55" i="65" s="1"/>
  <c r="BL139" i="46"/>
  <c r="DW55" i="65" s="1"/>
  <c r="X192" i="46"/>
  <c r="AN24" i="51"/>
  <c r="AF174" i="15"/>
  <c r="Z215" i="15"/>
  <c r="Z360" i="15" s="1"/>
  <c r="Z161" i="15" s="1"/>
  <c r="CD52" i="65"/>
  <c r="S87" i="46"/>
  <c r="G430" i="15"/>
  <c r="G431" i="15" s="1"/>
  <c r="E430" i="15"/>
  <c r="E431" i="15" s="1"/>
  <c r="F430" i="15"/>
  <c r="F431" i="15" s="1"/>
  <c r="H430" i="15"/>
  <c r="H431" i="15" s="1"/>
  <c r="J244" i="46"/>
  <c r="T244" i="46"/>
  <c r="AE10" i="51"/>
  <c r="AE18" i="51" s="1"/>
  <c r="R23" i="51"/>
  <c r="H41" i="15"/>
  <c r="AR49" i="72"/>
  <c r="AS49" i="72"/>
  <c r="AU72" i="72"/>
  <c r="AS72" i="72"/>
  <c r="AB31" i="65"/>
  <c r="CD53" i="65"/>
  <c r="AN18" i="46"/>
  <c r="AN20" i="46" s="1"/>
  <c r="AQ9" i="46"/>
  <c r="N88" i="46"/>
  <c r="AH115" i="46"/>
  <c r="E134" i="46"/>
  <c r="J134" i="46"/>
  <c r="O134" i="46"/>
  <c r="AN134" i="46"/>
  <c r="AR132" i="46"/>
  <c r="G159" i="46"/>
  <c r="G171" i="46" s="1"/>
  <c r="P159" i="46"/>
  <c r="P171" i="46" s="1"/>
  <c r="Y159" i="46"/>
  <c r="Y171" i="46" s="1"/>
  <c r="AL159" i="46"/>
  <c r="AL171" i="46" s="1"/>
  <c r="R164" i="46"/>
  <c r="AH161" i="46"/>
  <c r="AH164" i="46" s="1"/>
  <c r="AA184" i="46"/>
  <c r="AA195" i="46" s="1"/>
  <c r="AJ184" i="46"/>
  <c r="AJ195" i="46" s="1"/>
  <c r="AO184" i="46"/>
  <c r="AO195" i="46" s="1"/>
  <c r="E205" i="46"/>
  <c r="J205" i="46"/>
  <c r="J109" i="46" s="1"/>
  <c r="O205" i="46"/>
  <c r="O109" i="46" s="1"/>
  <c r="O108" i="46" s="1"/>
  <c r="U205" i="46"/>
  <c r="U109" i="46" s="1"/>
  <c r="Z205" i="46"/>
  <c r="Z109" i="46" s="1"/>
  <c r="AE205" i="46"/>
  <c r="AE109" i="46" s="1"/>
  <c r="AJ205" i="46"/>
  <c r="AJ109" i="46" s="1"/>
  <c r="AO205" i="46"/>
  <c r="AO109" i="46" s="1"/>
  <c r="M244" i="46"/>
  <c r="W244" i="46"/>
  <c r="W141" i="47"/>
  <c r="AB17" i="51"/>
  <c r="AB22" i="51"/>
  <c r="H23" i="51"/>
  <c r="R22" i="51"/>
  <c r="F29" i="51"/>
  <c r="J29" i="51"/>
  <c r="P29" i="51"/>
  <c r="U29" i="51"/>
  <c r="Z29" i="51"/>
  <c r="AE29" i="51"/>
  <c r="AJ29" i="51"/>
  <c r="AO29" i="51"/>
  <c r="W32" i="51"/>
  <c r="H35" i="51"/>
  <c r="AB35" i="51"/>
  <c r="H53" i="47"/>
  <c r="W54" i="47"/>
  <c r="W167" i="47"/>
  <c r="BA200" i="47"/>
  <c r="BE200" i="47"/>
  <c r="AB391" i="15"/>
  <c r="I24" i="51"/>
  <c r="T24" i="51"/>
  <c r="I42" i="15"/>
  <c r="M42" i="15"/>
  <c r="AQ72" i="15"/>
  <c r="AH420" i="15"/>
  <c r="AI427" i="15" s="1"/>
  <c r="BF450" i="15"/>
  <c r="G24" i="51"/>
  <c r="I41" i="51"/>
  <c r="M41" i="51"/>
  <c r="H42" i="51"/>
  <c r="AB42" i="51"/>
  <c r="AR19" i="72"/>
  <c r="AS19" i="72"/>
  <c r="AR53" i="72"/>
  <c r="AS53" i="72"/>
  <c r="AR60" i="72"/>
  <c r="AS60" i="72"/>
  <c r="AT71" i="72"/>
  <c r="AS71" i="72"/>
  <c r="AU110" i="72"/>
  <c r="AS110" i="72"/>
  <c r="AU113" i="72"/>
  <c r="AS113" i="72"/>
  <c r="AU165" i="72"/>
  <c r="AS165" i="72"/>
  <c r="AR166" i="72"/>
  <c r="AS166" i="72"/>
  <c r="AT167" i="72"/>
  <c r="AS167" i="72"/>
  <c r="AR189" i="72"/>
  <c r="AR191" i="72" s="1"/>
  <c r="AS189" i="72"/>
  <c r="AS191" i="72" s="1"/>
  <c r="AO10" i="51"/>
  <c r="AY10" i="51" s="1"/>
  <c r="BD10" i="51" s="1"/>
  <c r="BI10" i="51" s="1"/>
  <c r="BN10" i="51" s="1"/>
  <c r="AL23" i="51"/>
  <c r="K29" i="51"/>
  <c r="AM38" i="51"/>
  <c r="R41" i="51"/>
  <c r="AT44" i="72"/>
  <c r="AS44" i="72"/>
  <c r="AN129" i="46"/>
  <c r="AR128" i="46"/>
  <c r="AR129" i="46" s="1"/>
  <c r="W38" i="65"/>
  <c r="AA27" i="46"/>
  <c r="AA28" i="46" s="1"/>
  <c r="AF27" i="46"/>
  <c r="AF34" i="46" s="1"/>
  <c r="AK27" i="46"/>
  <c r="AK28" i="46" s="1"/>
  <c r="G27" i="46"/>
  <c r="G28" i="46" s="1"/>
  <c r="Q27" i="46"/>
  <c r="Q34" i="46" s="1"/>
  <c r="V27" i="46"/>
  <c r="V34" i="46" s="1"/>
  <c r="AG24" i="46"/>
  <c r="AG25" i="46" s="1"/>
  <c r="AN25" i="46"/>
  <c r="AQ24" i="46"/>
  <c r="AQ25" i="46" s="1"/>
  <c r="M32" i="46"/>
  <c r="W32" i="46"/>
  <c r="AG32" i="46"/>
  <c r="AG42" i="46"/>
  <c r="G68" i="46"/>
  <c r="Q68" i="46"/>
  <c r="N87" i="46"/>
  <c r="I128" i="46"/>
  <c r="I129" i="46" s="1"/>
  <c r="G134" i="46"/>
  <c r="L134" i="46"/>
  <c r="Q134" i="46"/>
  <c r="V134" i="46"/>
  <c r="V147" i="46" s="1"/>
  <c r="AA134" i="46"/>
  <c r="AA147" i="46" s="1"/>
  <c r="AF134" i="46"/>
  <c r="AF147" i="46" s="1"/>
  <c r="AK134" i="46"/>
  <c r="AH140" i="46"/>
  <c r="CS51" i="65" s="1"/>
  <c r="S141" i="46"/>
  <c r="AM142" i="46"/>
  <c r="CX55" i="65" s="1"/>
  <c r="AN143" i="46"/>
  <c r="AR143" i="46" s="1"/>
  <c r="AR142" i="46"/>
  <c r="I157" i="46"/>
  <c r="I159" i="46" s="1"/>
  <c r="AA159" i="46"/>
  <c r="AA171" i="46" s="1"/>
  <c r="AJ159" i="46"/>
  <c r="AJ171" i="46" s="1"/>
  <c r="W164" i="46"/>
  <c r="S174" i="46"/>
  <c r="S203" i="46" s="1"/>
  <c r="CD10" i="65" s="1"/>
  <c r="AH204" i="46"/>
  <c r="CS11" i="65" s="1"/>
  <c r="CS12" i="65" s="1"/>
  <c r="G184" i="46"/>
  <c r="G195" i="46" s="1"/>
  <c r="L184" i="46"/>
  <c r="L195" i="46" s="1"/>
  <c r="P184" i="46"/>
  <c r="P195" i="46" s="1"/>
  <c r="U184" i="46"/>
  <c r="U195" i="46" s="1"/>
  <c r="Y184" i="46"/>
  <c r="Y195" i="46" s="1"/>
  <c r="AD184" i="46"/>
  <c r="AD195" i="46" s="1"/>
  <c r="AH176" i="46"/>
  <c r="AH177" i="46" s="1"/>
  <c r="AH184" i="46" s="1"/>
  <c r="AL184" i="46"/>
  <c r="AC187" i="46"/>
  <c r="AC208" i="46" s="1"/>
  <c r="CN14" i="65" s="1"/>
  <c r="N192" i="46"/>
  <c r="G205" i="46"/>
  <c r="L205" i="46"/>
  <c r="L109" i="46" s="1"/>
  <c r="Q205" i="46"/>
  <c r="Q109" i="46" s="1"/>
  <c r="W205" i="46"/>
  <c r="W109" i="46" s="1"/>
  <c r="AB205" i="46"/>
  <c r="AB109" i="46" s="1"/>
  <c r="AG205" i="46"/>
  <c r="AG109" i="46" s="1"/>
  <c r="AL205" i="46"/>
  <c r="AL109" i="46" s="1"/>
  <c r="K244" i="46"/>
  <c r="O244" i="46"/>
  <c r="U244" i="46"/>
  <c r="Y244" i="46"/>
  <c r="Z244" i="46" s="1"/>
  <c r="AA244" i="46" s="1"/>
  <c r="AB244" i="46" s="1"/>
  <c r="H109" i="47"/>
  <c r="R100" i="47"/>
  <c r="AB100" i="47"/>
  <c r="AB109" i="47" s="1"/>
  <c r="AL100" i="47"/>
  <c r="AL109" i="47" s="1"/>
  <c r="AA10" i="51"/>
  <c r="AA18" i="51" s="1"/>
  <c r="AK10" i="51"/>
  <c r="AK18" i="51" s="1"/>
  <c r="M17" i="51"/>
  <c r="R141" i="47"/>
  <c r="W17" i="51"/>
  <c r="AG17" i="51"/>
  <c r="AG22" i="51"/>
  <c r="M23" i="51"/>
  <c r="L29" i="51"/>
  <c r="N29" i="51"/>
  <c r="S29" i="51"/>
  <c r="X29" i="51"/>
  <c r="AC29" i="51"/>
  <c r="AH29" i="51"/>
  <c r="AM29" i="51"/>
  <c r="M32" i="51"/>
  <c r="AG32" i="51"/>
  <c r="R35" i="51"/>
  <c r="R38" i="51"/>
  <c r="AC38" i="51"/>
  <c r="R53" i="47"/>
  <c r="I54" i="47"/>
  <c r="M54" i="47"/>
  <c r="F99" i="47"/>
  <c r="P99" i="47"/>
  <c r="Z99" i="47"/>
  <c r="AJ99" i="47"/>
  <c r="AO109" i="47"/>
  <c r="I114" i="47"/>
  <c r="BK200" i="47"/>
  <c r="AJ57" i="51"/>
  <c r="L236" i="47"/>
  <c r="L106" i="46" s="1"/>
  <c r="AB236" i="47"/>
  <c r="AB106" i="46" s="1"/>
  <c r="AL236" i="47"/>
  <c r="AL106" i="46" s="1"/>
  <c r="H411" i="15"/>
  <c r="M397" i="15"/>
  <c r="R391" i="15"/>
  <c r="AB411" i="15"/>
  <c r="AL391" i="15"/>
  <c r="AQ392" i="15" s="1"/>
  <c r="T25" i="15"/>
  <c r="T26" i="15" s="1"/>
  <c r="F24" i="51"/>
  <c r="X24" i="51"/>
  <c r="AG23" i="15"/>
  <c r="AO24" i="51"/>
  <c r="W42" i="15"/>
  <c r="AT68" i="15"/>
  <c r="AV68" i="15" s="1"/>
  <c r="Y156" i="15"/>
  <c r="Y165" i="15"/>
  <c r="AL174" i="15"/>
  <c r="BA180" i="15"/>
  <c r="AZ180" i="15" s="1"/>
  <c r="AY180" i="15" s="1"/>
  <c r="AX180" i="15" s="1"/>
  <c r="Z165" i="15"/>
  <c r="L391" i="15"/>
  <c r="Q392" i="15" s="1"/>
  <c r="M389" i="15"/>
  <c r="M391" i="15" s="1"/>
  <c r="S430" i="15"/>
  <c r="AZ450" i="15"/>
  <c r="AA24" i="51"/>
  <c r="N42" i="51"/>
  <c r="R42" i="51"/>
  <c r="AT18" i="72"/>
  <c r="AS18" i="72"/>
  <c r="DV49" i="72"/>
  <c r="DU49" i="72" s="1"/>
  <c r="DG64" i="72"/>
  <c r="DL64" i="72" s="1"/>
  <c r="DQ64" i="72" s="1"/>
  <c r="DV64" i="72" s="1"/>
  <c r="AR69" i="72"/>
  <c r="AS69" i="72"/>
  <c r="AR75" i="72"/>
  <c r="AS75" i="72"/>
  <c r="AR76" i="72"/>
  <c r="AS76" i="72"/>
  <c r="AR158" i="72"/>
  <c r="AS158" i="72"/>
  <c r="AU159" i="72"/>
  <c r="AS159" i="72"/>
  <c r="AT65" i="15"/>
  <c r="AT266" i="15" s="1"/>
  <c r="BC168" i="47"/>
  <c r="BC213" i="47" s="1"/>
  <c r="AT180" i="15"/>
  <c r="AS180" i="15" s="1"/>
  <c r="AT104" i="72"/>
  <c r="AS104" i="72"/>
  <c r="AT107" i="72"/>
  <c r="AS107" i="72"/>
  <c r="AT108" i="72"/>
  <c r="AS108" i="72"/>
  <c r="AT134" i="72"/>
  <c r="AS134" i="72"/>
  <c r="AU161" i="72"/>
  <c r="AS161" i="72"/>
  <c r="CN8" i="65"/>
  <c r="M18" i="46"/>
  <c r="M20" i="46" s="1"/>
  <c r="W18" i="46"/>
  <c r="W20" i="46" s="1"/>
  <c r="AG9" i="46"/>
  <c r="AG18" i="46" s="1"/>
  <c r="AG20" i="46" s="1"/>
  <c r="AM27" i="46"/>
  <c r="AM221" i="46" s="1"/>
  <c r="AM240" i="46" s="1"/>
  <c r="CX27" i="65" s="1"/>
  <c r="I27" i="46"/>
  <c r="I28" i="46" s="1"/>
  <c r="I222" i="46" s="1"/>
  <c r="AB42" i="46"/>
  <c r="AL60" i="46"/>
  <c r="AQ59" i="46"/>
  <c r="AQ60" i="46"/>
  <c r="M68" i="46"/>
  <c r="R68" i="46"/>
  <c r="R88" i="46"/>
  <c r="R129" i="46"/>
  <c r="H134" i="46"/>
  <c r="H147" i="46" s="1"/>
  <c r="M134" i="46"/>
  <c r="X133" i="46"/>
  <c r="AC133" i="46"/>
  <c r="AH133" i="46"/>
  <c r="AM133" i="46"/>
  <c r="AR133" i="46"/>
  <c r="F159" i="46"/>
  <c r="F171" i="46" s="1"/>
  <c r="O159" i="46"/>
  <c r="O171" i="46" s="1"/>
  <c r="AB159" i="46"/>
  <c r="AB171" i="46" s="1"/>
  <c r="AK159" i="46"/>
  <c r="AK171" i="46" s="1"/>
  <c r="AC204" i="46"/>
  <c r="CN11" i="65" s="1"/>
  <c r="CN12" i="65" s="1"/>
  <c r="H184" i="46"/>
  <c r="H195" i="46" s="1"/>
  <c r="M184" i="46"/>
  <c r="M195" i="46" s="1"/>
  <c r="Q184" i="46"/>
  <c r="Q195" i="46" s="1"/>
  <c r="V184" i="46"/>
  <c r="V195" i="46" s="1"/>
  <c r="Z184" i="46"/>
  <c r="Z195" i="46" s="1"/>
  <c r="AE184" i="46"/>
  <c r="AE195" i="46" s="1"/>
  <c r="AI184" i="46"/>
  <c r="AI195" i="46" s="1"/>
  <c r="AN184" i="46"/>
  <c r="AN195" i="46" s="1"/>
  <c r="H205" i="46"/>
  <c r="M205" i="46"/>
  <c r="M109" i="46" s="1"/>
  <c r="T205" i="46"/>
  <c r="T109" i="46" s="1"/>
  <c r="Y205" i="46"/>
  <c r="Y109" i="46" s="1"/>
  <c r="AD205" i="46"/>
  <c r="AD109" i="46" s="1"/>
  <c r="AI205" i="46"/>
  <c r="AI109" i="46" s="1"/>
  <c r="AN205" i="46"/>
  <c r="AN109" i="46" s="1"/>
  <c r="AX245" i="46"/>
  <c r="AY245" i="46" s="1"/>
  <c r="AZ245" i="46" s="1"/>
  <c r="BA245" i="46" s="1"/>
  <c r="BC245" i="46" s="1"/>
  <c r="BD245" i="46" s="1"/>
  <c r="BE245" i="46" s="1"/>
  <c r="BF245" i="46" s="1"/>
  <c r="BH245" i="46" s="1"/>
  <c r="BI245" i="46" s="1"/>
  <c r="BJ245" i="46" s="1"/>
  <c r="BK245" i="46" s="1"/>
  <c r="BM245" i="46" s="1"/>
  <c r="BN245" i="46" s="1"/>
  <c r="BO245" i="46" s="1"/>
  <c r="BP245" i="46" s="1"/>
  <c r="Q244" i="46"/>
  <c r="AC10" i="51"/>
  <c r="AC18" i="51" s="1"/>
  <c r="AM10" i="51"/>
  <c r="AM18" i="51" s="1"/>
  <c r="W136" i="47"/>
  <c r="AG136" i="47"/>
  <c r="AG23" i="51"/>
  <c r="W22" i="51"/>
  <c r="I29" i="51"/>
  <c r="O29" i="51"/>
  <c r="T29" i="51"/>
  <c r="Y29" i="51"/>
  <c r="AD29" i="51"/>
  <c r="AI29" i="51"/>
  <c r="AN29" i="51"/>
  <c r="R32" i="51"/>
  <c r="AL32" i="51"/>
  <c r="W35" i="51"/>
  <c r="AK24" i="51"/>
  <c r="G38" i="51"/>
  <c r="H42" i="15"/>
  <c r="AA174" i="15"/>
  <c r="BA450" i="15"/>
  <c r="N38" i="51"/>
  <c r="S38" i="51"/>
  <c r="X38" i="51"/>
  <c r="AR57" i="72"/>
  <c r="AS57" i="72"/>
  <c r="AU73" i="72"/>
  <c r="AS73" i="72"/>
  <c r="DB72" i="72"/>
  <c r="DF72" i="72" s="1"/>
  <c r="AR103" i="72"/>
  <c r="AS103" i="72"/>
  <c r="AU155" i="72"/>
  <c r="AS155" i="72"/>
  <c r="AU156" i="72"/>
  <c r="AS156" i="72"/>
  <c r="BG189" i="72"/>
  <c r="BG191" i="72" s="1"/>
  <c r="BH442" i="15" s="1"/>
  <c r="BH465" i="15" s="1"/>
  <c r="BH469" i="15" s="1"/>
  <c r="BY38" i="67"/>
  <c r="CB38" i="67" s="1"/>
  <c r="BX38" i="67" s="1"/>
  <c r="BX71" i="67" s="1"/>
  <c r="AT108" i="15"/>
  <c r="AT321" i="15" s="1"/>
  <c r="L67" i="47"/>
  <c r="AB114" i="47"/>
  <c r="BF168" i="47"/>
  <c r="BF213" i="47" s="1"/>
  <c r="BF79" i="46" s="1"/>
  <c r="M146" i="47"/>
  <c r="R147" i="47" s="1"/>
  <c r="R80" i="47" s="1"/>
  <c r="AG146" i="47"/>
  <c r="Q166" i="47"/>
  <c r="AV168" i="47"/>
  <c r="AV213" i="47" s="1"/>
  <c r="BC128" i="46"/>
  <c r="DQ65" i="72"/>
  <c r="DV65" i="72" s="1"/>
  <c r="DU65" i="72" s="1"/>
  <c r="BK196" i="72"/>
  <c r="BG196" i="72" s="1"/>
  <c r="BG129" i="67"/>
  <c r="BH129" i="67"/>
  <c r="BI129" i="67"/>
  <c r="BJ129" i="67"/>
  <c r="BE132" i="67"/>
  <c r="BG132" i="67"/>
  <c r="BH134" i="67"/>
  <c r="BJ134" i="67"/>
  <c r="BE135" i="67"/>
  <c r="BG135" i="67"/>
  <c r="BI135" i="67"/>
  <c r="BE136" i="67"/>
  <c r="BF136" i="67"/>
  <c r="BH136" i="67"/>
  <c r="BJ136" i="67"/>
  <c r="BE137" i="67"/>
  <c r="BG137" i="67"/>
  <c r="BE138" i="67"/>
  <c r="BF138" i="67"/>
  <c r="BH138" i="67"/>
  <c r="BJ138" i="67"/>
  <c r="AT25" i="72"/>
  <c r="AS25" i="72"/>
  <c r="AT65" i="72"/>
  <c r="AS65" i="72"/>
  <c r="AU82" i="72"/>
  <c r="AS82" i="72"/>
  <c r="AR84" i="72"/>
  <c r="AS84" i="72"/>
  <c r="AR86" i="72"/>
  <c r="AS86" i="72"/>
  <c r="AR87" i="72"/>
  <c r="AS87" i="72"/>
  <c r="AT88" i="72"/>
  <c r="AS88" i="72"/>
  <c r="AR90" i="72"/>
  <c r="AS90" i="72"/>
  <c r="AT92" i="72"/>
  <c r="AS92" i="72"/>
  <c r="AR116" i="72"/>
  <c r="AS116" i="72"/>
  <c r="AT121" i="72"/>
  <c r="AS121" i="72"/>
  <c r="AT123" i="72"/>
  <c r="AS123" i="72"/>
  <c r="AT124" i="72"/>
  <c r="AS124" i="72"/>
  <c r="AT132" i="72"/>
  <c r="AS132" i="72"/>
  <c r="AT140" i="72"/>
  <c r="AS140" i="72"/>
  <c r="AT143" i="72"/>
  <c r="AS143" i="72"/>
  <c r="AT144" i="72"/>
  <c r="AS144" i="72"/>
  <c r="AT145" i="72"/>
  <c r="AS145" i="72"/>
  <c r="AT150" i="72"/>
  <c r="AS150" i="72"/>
  <c r="AT151" i="72"/>
  <c r="AS151" i="72"/>
  <c r="AT152" i="72"/>
  <c r="AS152" i="72"/>
  <c r="E181" i="72"/>
  <c r="AU194" i="72"/>
  <c r="AS194" i="72"/>
  <c r="AU39" i="72"/>
  <c r="AS39" i="72"/>
  <c r="AU40" i="72"/>
  <c r="AS40" i="72"/>
  <c r="AR63" i="72"/>
  <c r="AS63" i="72"/>
  <c r="AU64" i="72"/>
  <c r="AS64" i="72"/>
  <c r="AU66" i="72"/>
  <c r="AS66" i="72"/>
  <c r="AT67" i="72"/>
  <c r="AS67" i="72"/>
  <c r="AR80" i="72"/>
  <c r="AS80" i="72"/>
  <c r="AU100" i="72"/>
  <c r="AS100" i="72"/>
  <c r="AR101" i="72"/>
  <c r="AS101" i="72"/>
  <c r="AT118" i="72"/>
  <c r="AS118" i="72"/>
  <c r="AU127" i="72"/>
  <c r="AS127" i="72"/>
  <c r="AT137" i="72"/>
  <c r="AS137" i="72"/>
  <c r="AT138" i="72"/>
  <c r="AS138" i="72"/>
  <c r="AT147" i="72"/>
  <c r="AS147" i="72"/>
  <c r="AT148" i="72"/>
  <c r="AS148" i="72"/>
  <c r="AR196" i="72"/>
  <c r="AS196" i="72"/>
  <c r="AU176" i="72"/>
  <c r="AS176" i="72"/>
  <c r="AT109" i="47"/>
  <c r="AT99" i="47"/>
  <c r="DH46" i="65"/>
  <c r="BE8" i="67"/>
  <c r="BF8" i="67"/>
  <c r="BH8" i="67"/>
  <c r="BI8" i="67"/>
  <c r="AH27" i="64" s="1"/>
  <c r="BJ8" i="67"/>
  <c r="AM27" i="64" s="1"/>
  <c r="BE9" i="67"/>
  <c r="BF9" i="67"/>
  <c r="BH9" i="67"/>
  <c r="BJ9" i="67"/>
  <c r="BE10" i="67"/>
  <c r="BF10" i="67"/>
  <c r="BG10" i="67"/>
  <c r="BH10" i="67"/>
  <c r="BI10" i="67"/>
  <c r="BJ10" i="67"/>
  <c r="BE11" i="67"/>
  <c r="BF11" i="67"/>
  <c r="BH11" i="67"/>
  <c r="BJ11" i="67"/>
  <c r="BE12" i="67"/>
  <c r="BG12" i="67"/>
  <c r="BH12" i="67"/>
  <c r="BI12" i="67"/>
  <c r="BJ12" i="67"/>
  <c r="BF16" i="67"/>
  <c r="BG16" i="67"/>
  <c r="BH16" i="67"/>
  <c r="BI16" i="67"/>
  <c r="BJ16" i="67"/>
  <c r="BE17" i="67"/>
  <c r="BG17" i="67"/>
  <c r="BF18" i="67"/>
  <c r="BG18" i="67"/>
  <c r="BH18" i="67"/>
  <c r="BI18" i="67"/>
  <c r="BJ18" i="67"/>
  <c r="BE19" i="67"/>
  <c r="BI19" i="67"/>
  <c r="BF20" i="67"/>
  <c r="BG20" i="67"/>
  <c r="BH20" i="67"/>
  <c r="BI20" i="67"/>
  <c r="BJ20" i="67"/>
  <c r="BE21" i="67"/>
  <c r="BG21" i="67"/>
  <c r="BF22" i="67"/>
  <c r="BG22" i="67"/>
  <c r="BH22" i="67"/>
  <c r="BI22" i="67"/>
  <c r="BJ22" i="67"/>
  <c r="BE23" i="67"/>
  <c r="BI23" i="67"/>
  <c r="BF24" i="67"/>
  <c r="BG24" i="67"/>
  <c r="BH24" i="67"/>
  <c r="BI24" i="67"/>
  <c r="BJ24" i="67"/>
  <c r="BE25" i="67"/>
  <c r="BG25" i="67"/>
  <c r="BF26" i="67"/>
  <c r="BG26" i="67"/>
  <c r="BH26" i="67"/>
  <c r="BI26" i="67"/>
  <c r="BJ26" i="67"/>
  <c r="BE27" i="67"/>
  <c r="BI27" i="67"/>
  <c r="BF28" i="67"/>
  <c r="BG28" i="67"/>
  <c r="BH28" i="67"/>
  <c r="BI28" i="67"/>
  <c r="BJ28" i="67"/>
  <c r="BE29" i="67"/>
  <c r="BG29" i="67"/>
  <c r="BF30" i="67"/>
  <c r="BG30" i="67"/>
  <c r="BH30" i="67"/>
  <c r="BI30" i="67"/>
  <c r="BJ30" i="67"/>
  <c r="BE31" i="67"/>
  <c r="BI31" i="67"/>
  <c r="T164" i="47"/>
  <c r="W166" i="47"/>
  <c r="BL16" i="51"/>
  <c r="BM16" i="51"/>
  <c r="BQ16" i="51" s="1"/>
  <c r="H141" i="47"/>
  <c r="M131" i="47"/>
  <c r="AB141" i="47"/>
  <c r="AG131" i="47"/>
  <c r="AR208" i="47"/>
  <c r="BF75" i="47"/>
  <c r="BF110" i="47" s="1"/>
  <c r="BL13" i="51"/>
  <c r="BM13" i="51"/>
  <c r="BQ13" i="51" s="1"/>
  <c r="BL15" i="51"/>
  <c r="BM15" i="51"/>
  <c r="BQ15" i="51" s="1"/>
  <c r="BH57" i="51"/>
  <c r="BM17" i="51"/>
  <c r="AR117" i="47"/>
  <c r="BI57" i="51"/>
  <c r="BN17" i="51"/>
  <c r="BN57" i="51" s="1"/>
  <c r="H15" i="47"/>
  <c r="H25" i="47" s="1"/>
  <c r="AL15" i="47"/>
  <c r="AL25" i="47" s="1"/>
  <c r="AY17" i="46"/>
  <c r="N117" i="47"/>
  <c r="AH117" i="47"/>
  <c r="R136" i="47"/>
  <c r="R137" i="47" s="1"/>
  <c r="R78" i="47" s="1"/>
  <c r="W39" i="47"/>
  <c r="AG39" i="47"/>
  <c r="P109" i="47"/>
  <c r="AO67" i="47"/>
  <c r="AG67" i="47"/>
  <c r="R165" i="47"/>
  <c r="AA165" i="47"/>
  <c r="I236" i="47"/>
  <c r="I106" i="46" s="1"/>
  <c r="T236" i="47"/>
  <c r="T106" i="46" s="1"/>
  <c r="AF99" i="47"/>
  <c r="N114" i="47"/>
  <c r="W114" i="47"/>
  <c r="AR120" i="47"/>
  <c r="AN136" i="47"/>
  <c r="AS137" i="47" s="1"/>
  <c r="AS78" i="47" s="1"/>
  <c r="AA164" i="47"/>
  <c r="AG167" i="47"/>
  <c r="AG168" i="47" s="1"/>
  <c r="R15" i="47"/>
  <c r="R25" i="47" s="1"/>
  <c r="AN57" i="51"/>
  <c r="AR207" i="47"/>
  <c r="AB15" i="47"/>
  <c r="AB25" i="47" s="1"/>
  <c r="W100" i="47"/>
  <c r="W109" i="47" s="1"/>
  <c r="AG100" i="47"/>
  <c r="R131" i="47"/>
  <c r="AL131" i="47"/>
  <c r="AQ132" i="47" s="1"/>
  <c r="AD99" i="47"/>
  <c r="AI99" i="47"/>
  <c r="AN107" i="47"/>
  <c r="AN109" i="47" s="1"/>
  <c r="AR104" i="47"/>
  <c r="AR107" i="47" s="1"/>
  <c r="AR109" i="47" s="1"/>
  <c r="AN275" i="47"/>
  <c r="AR187" i="47"/>
  <c r="AR184" i="47"/>
  <c r="V164" i="47"/>
  <c r="Q165" i="47"/>
  <c r="Y165" i="47"/>
  <c r="BB16" i="51"/>
  <c r="BG16" i="51"/>
  <c r="BB13" i="51"/>
  <c r="BG13" i="51"/>
  <c r="AY57" i="51"/>
  <c r="BD57" i="51"/>
  <c r="BB15" i="51"/>
  <c r="BG15" i="51"/>
  <c r="BB17" i="51"/>
  <c r="BG17" i="51"/>
  <c r="BL17" i="51"/>
  <c r="AX57" i="51"/>
  <c r="BC57" i="51"/>
  <c r="AX24" i="51"/>
  <c r="BC24" i="51" s="1"/>
  <c r="W23" i="51"/>
  <c r="AE57" i="51"/>
  <c r="AF25" i="15"/>
  <c r="AF26" i="15" s="1"/>
  <c r="R397" i="15"/>
  <c r="H38" i="15"/>
  <c r="Y155" i="15"/>
  <c r="AK173" i="15"/>
  <c r="AK174" i="15" s="1"/>
  <c r="AO427" i="15"/>
  <c r="N430" i="15"/>
  <c r="K430" i="15" s="1"/>
  <c r="K431" i="15" s="1"/>
  <c r="AH483" i="15"/>
  <c r="AH492" i="15" s="1"/>
  <c r="AH487" i="15" s="1"/>
  <c r="AN18" i="15"/>
  <c r="AN20" i="15" s="1"/>
  <c r="AN25" i="15" s="1"/>
  <c r="AN26" i="15" s="1"/>
  <c r="AQ10" i="15"/>
  <c r="AX128" i="46"/>
  <c r="BH128" i="46"/>
  <c r="M18" i="15"/>
  <c r="M20" i="15" s="1"/>
  <c r="W18" i="15"/>
  <c r="W20" i="15" s="1"/>
  <c r="AB10" i="15"/>
  <c r="AB18" i="15" s="1"/>
  <c r="AB20" i="15" s="1"/>
  <c r="AL10" i="15"/>
  <c r="AL18" i="15" s="1"/>
  <c r="AL20" i="15" s="1"/>
  <c r="M385" i="15"/>
  <c r="R386" i="15" s="1"/>
  <c r="AG385" i="15"/>
  <c r="AB23" i="15"/>
  <c r="AG38" i="15"/>
  <c r="AG58" i="15" s="1"/>
  <c r="Z155" i="15"/>
  <c r="BK174" i="15"/>
  <c r="AQ200" i="15"/>
  <c r="AQ240" i="15" s="1"/>
  <c r="AK200" i="15"/>
  <c r="AK240" i="15" s="1"/>
  <c r="AP202" i="15"/>
  <c r="AP205" i="15" s="1"/>
  <c r="Z228" i="15"/>
  <c r="Z365" i="15" s="1"/>
  <c r="Z162" i="15" s="1"/>
  <c r="Y259" i="15"/>
  <c r="AP276" i="15"/>
  <c r="AB354" i="15"/>
  <c r="AA354" i="15" s="1"/>
  <c r="Z354" i="15" s="1"/>
  <c r="AM420" i="15"/>
  <c r="AN427" i="15" s="1"/>
  <c r="AJ427" i="15"/>
  <c r="AM483" i="15"/>
  <c r="AM492" i="15" s="1"/>
  <c r="AM505" i="15" s="1"/>
  <c r="I38" i="51"/>
  <c r="AF38" i="51"/>
  <c r="AK38" i="51"/>
  <c r="AH38" i="51"/>
  <c r="Y10" i="51"/>
  <c r="Y18" i="51" s="1"/>
  <c r="AI10" i="51"/>
  <c r="AI18" i="51" s="1"/>
  <c r="R17" i="51"/>
  <c r="AL17" i="51"/>
  <c r="E29" i="51"/>
  <c r="AK57" i="51"/>
  <c r="H18" i="15"/>
  <c r="H20" i="15" s="1"/>
  <c r="R18" i="15"/>
  <c r="R20" i="15" s="1"/>
  <c r="R25" i="15" s="1"/>
  <c r="R498" i="15" s="1"/>
  <c r="W427" i="15"/>
  <c r="E25" i="15"/>
  <c r="E26" i="15" s="1"/>
  <c r="J25" i="15"/>
  <c r="J30" i="15" s="1"/>
  <c r="H23" i="15"/>
  <c r="M23" i="15"/>
  <c r="AQ23" i="15"/>
  <c r="AG174" i="15"/>
  <c r="AW240" i="15"/>
  <c r="N391" i="15"/>
  <c r="N392" i="15" s="1"/>
  <c r="AC420" i="15"/>
  <c r="AD427" i="15" s="1"/>
  <c r="AR426" i="15"/>
  <c r="AR455" i="15"/>
  <c r="AC483" i="15"/>
  <c r="AC107" i="46" s="1"/>
  <c r="N24" i="51"/>
  <c r="S24" i="51"/>
  <c r="F38" i="51"/>
  <c r="AP65" i="15"/>
  <c r="AP306" i="15" s="1"/>
  <c r="BG8" i="67"/>
  <c r="BE81" i="67"/>
  <c r="BF81" i="67"/>
  <c r="BG81" i="67"/>
  <c r="BE101" i="67"/>
  <c r="BF101" i="67"/>
  <c r="BG101" i="67"/>
  <c r="BH101" i="67"/>
  <c r="BI101" i="67"/>
  <c r="BJ101" i="67"/>
  <c r="BE102" i="67"/>
  <c r="BF102" i="67"/>
  <c r="BG102" i="67"/>
  <c r="BH102" i="67"/>
  <c r="BI102" i="67"/>
  <c r="BJ102" i="67"/>
  <c r="BE103" i="67"/>
  <c r="BF103" i="67"/>
  <c r="BG103" i="67"/>
  <c r="BH103" i="67"/>
  <c r="BI103" i="67"/>
  <c r="BJ103" i="67"/>
  <c r="BE104" i="67"/>
  <c r="BF104" i="67"/>
  <c r="BG104" i="67"/>
  <c r="BH104" i="67"/>
  <c r="BI104" i="67"/>
  <c r="BJ104" i="67"/>
  <c r="BE105" i="67"/>
  <c r="BF105" i="67"/>
  <c r="BG105" i="67"/>
  <c r="BH105" i="67"/>
  <c r="BI105" i="67"/>
  <c r="BJ105" i="67"/>
  <c r="BE106" i="67"/>
  <c r="BF106" i="67"/>
  <c r="BG106" i="67"/>
  <c r="BH106" i="67"/>
  <c r="BI106" i="67"/>
  <c r="BJ106" i="67"/>
  <c r="BE107" i="67"/>
  <c r="BF107" i="67"/>
  <c r="BG107" i="67"/>
  <c r="BH107" i="67"/>
  <c r="BI107" i="67"/>
  <c r="BJ107" i="67"/>
  <c r="BE108" i="67"/>
  <c r="BF108" i="67"/>
  <c r="BG108" i="67"/>
  <c r="BH108" i="67"/>
  <c r="BI108" i="67"/>
  <c r="BJ108" i="67"/>
  <c r="BE109" i="67"/>
  <c r="BF109" i="67"/>
  <c r="BG109" i="67"/>
  <c r="BH109" i="67"/>
  <c r="BI109" i="67"/>
  <c r="BJ109" i="67"/>
  <c r="BE110" i="67"/>
  <c r="BF110" i="67"/>
  <c r="BG110" i="67"/>
  <c r="BH110" i="67"/>
  <c r="BI110" i="67"/>
  <c r="BJ110" i="67"/>
  <c r="BE111" i="67"/>
  <c r="BF111" i="67"/>
  <c r="BG111" i="67"/>
  <c r="BH111" i="67"/>
  <c r="BI111" i="67"/>
  <c r="BJ111" i="67"/>
  <c r="BE114" i="67"/>
  <c r="BG114" i="67"/>
  <c r="BH114" i="67"/>
  <c r="BI114" i="67"/>
  <c r="BJ114" i="67"/>
  <c r="BE115" i="67"/>
  <c r="BG115" i="67"/>
  <c r="BH115" i="67"/>
  <c r="BI115" i="67"/>
  <c r="BJ115" i="67"/>
  <c r="BE116" i="67"/>
  <c r="BG116" i="67"/>
  <c r="BH116" i="67"/>
  <c r="BI116" i="67"/>
  <c r="BJ116" i="67"/>
  <c r="BE117" i="67"/>
  <c r="BG117" i="67"/>
  <c r="BH117" i="67"/>
  <c r="BI117" i="67"/>
  <c r="BJ117" i="67"/>
  <c r="BE118" i="67"/>
  <c r="BG118" i="67"/>
  <c r="BH118" i="67"/>
  <c r="BI118" i="67"/>
  <c r="BJ118" i="67"/>
  <c r="BE119" i="67"/>
  <c r="BG119" i="67"/>
  <c r="BH119" i="67"/>
  <c r="BI119" i="67"/>
  <c r="BJ119" i="67"/>
  <c r="BE120" i="67"/>
  <c r="BG120" i="67"/>
  <c r="BH120" i="67"/>
  <c r="BI120" i="67"/>
  <c r="BJ120" i="67"/>
  <c r="BE121" i="67"/>
  <c r="BG121" i="67"/>
  <c r="BH121" i="67"/>
  <c r="BI121" i="67"/>
  <c r="BJ121" i="67"/>
  <c r="BE122" i="67"/>
  <c r="BG122" i="67"/>
  <c r="BH122" i="67"/>
  <c r="BI122" i="67"/>
  <c r="BJ122" i="67"/>
  <c r="BE123" i="67"/>
  <c r="BG123" i="67"/>
  <c r="BH123" i="67"/>
  <c r="BI123" i="67"/>
  <c r="BJ123" i="67"/>
  <c r="BE124" i="67"/>
  <c r="BG124" i="67"/>
  <c r="BH124" i="67"/>
  <c r="BI124" i="67"/>
  <c r="BJ124" i="67"/>
  <c r="BE125" i="67"/>
  <c r="BG125" i="67"/>
  <c r="BH125" i="67"/>
  <c r="BI125" i="67"/>
  <c r="BJ125" i="67"/>
  <c r="BE126" i="67"/>
  <c r="BG126" i="67"/>
  <c r="BH126" i="67"/>
  <c r="BI126" i="67"/>
  <c r="BJ126" i="67"/>
  <c r="BE127" i="67"/>
  <c r="BG127" i="67"/>
  <c r="BH127" i="67"/>
  <c r="BI127" i="67"/>
  <c r="BJ127" i="67"/>
  <c r="BE128" i="67"/>
  <c r="BG128" i="67"/>
  <c r="BH128" i="67"/>
  <c r="BI128" i="67"/>
  <c r="BJ128" i="67"/>
  <c r="AY161" i="47"/>
  <c r="AZ161" i="47" s="1"/>
  <c r="DV81" i="72"/>
  <c r="DU81" i="72" s="1"/>
  <c r="CS177" i="72"/>
  <c r="N99" i="72"/>
  <c r="DE26" i="72"/>
  <c r="DG80" i="72"/>
  <c r="DH80" i="72" s="1"/>
  <c r="X99" i="72"/>
  <c r="P99" i="72"/>
  <c r="Z99" i="72"/>
  <c r="BB99" i="72"/>
  <c r="BK26" i="72"/>
  <c r="BI26" i="72" s="1"/>
  <c r="BD99" i="72"/>
  <c r="AY25" i="72"/>
  <c r="S76" i="72"/>
  <c r="CI26" i="72"/>
  <c r="X107" i="72"/>
  <c r="AH159" i="72"/>
  <c r="X167" i="72"/>
  <c r="BG69" i="72"/>
  <c r="AH101" i="72"/>
  <c r="BG110" i="72"/>
  <c r="AM156" i="72"/>
  <c r="BY177" i="72"/>
  <c r="AW57" i="72"/>
  <c r="AM60" i="72"/>
  <c r="X71" i="72"/>
  <c r="AR100" i="72"/>
  <c r="X104" i="72"/>
  <c r="S110" i="72"/>
  <c r="X127" i="72"/>
  <c r="AH158" i="72"/>
  <c r="AW161" i="72"/>
  <c r="N167" i="72"/>
  <c r="Z167" i="72"/>
  <c r="CI177" i="72"/>
  <c r="DC177" i="72"/>
  <c r="W177" i="72"/>
  <c r="V177" i="72" s="1"/>
  <c r="AW18" i="72"/>
  <c r="AW19" i="72"/>
  <c r="N71" i="72"/>
  <c r="Z71" i="72"/>
  <c r="AH100" i="72"/>
  <c r="X101" i="72"/>
  <c r="X103" i="72"/>
  <c r="N104" i="72"/>
  <c r="Z104" i="72"/>
  <c r="AR107" i="72"/>
  <c r="AM110" i="72"/>
  <c r="AW111" i="72"/>
  <c r="AW155" i="72"/>
  <c r="X158" i="72"/>
  <c r="AJ158" i="72"/>
  <c r="AY161" i="72"/>
  <c r="S162" i="72"/>
  <c r="BG162" i="72"/>
  <c r="AR165" i="72"/>
  <c r="BT177" i="72"/>
  <c r="CD177" i="72"/>
  <c r="CN177" i="72"/>
  <c r="CX177" i="72"/>
  <c r="AQ177" i="72"/>
  <c r="AP177" i="72" s="1"/>
  <c r="W22" i="72"/>
  <c r="AC18" i="72"/>
  <c r="AY18" i="72"/>
  <c r="BB18" i="72"/>
  <c r="BB22" i="72" s="1"/>
  <c r="AH48" i="72"/>
  <c r="S69" i="72"/>
  <c r="AH72" i="72"/>
  <c r="X73" i="72"/>
  <c r="AJ100" i="72"/>
  <c r="AT100" i="72"/>
  <c r="Z101" i="72"/>
  <c r="AJ101" i="72"/>
  <c r="N107" i="72"/>
  <c r="AC110" i="72"/>
  <c r="AO110" i="72"/>
  <c r="BI110" i="72"/>
  <c r="AC113" i="72"/>
  <c r="AM155" i="72"/>
  <c r="AY155" i="72"/>
  <c r="N158" i="72"/>
  <c r="BB158" i="72"/>
  <c r="U162" i="72"/>
  <c r="AH166" i="72"/>
  <c r="BB167" i="72"/>
  <c r="BV177" i="72"/>
  <c r="CA177" i="72"/>
  <c r="CF177" i="72"/>
  <c r="CK177" i="72"/>
  <c r="CP177" i="72"/>
  <c r="CU177" i="72"/>
  <c r="CZ177" i="72"/>
  <c r="DE177" i="72"/>
  <c r="M177" i="72"/>
  <c r="AG177" i="72"/>
  <c r="AF177" i="72" s="1"/>
  <c r="BA177" i="72"/>
  <c r="AZ177" i="72" s="1"/>
  <c r="W26" i="72"/>
  <c r="U26" i="72" s="1"/>
  <c r="BY26" i="72"/>
  <c r="CS26" i="72"/>
  <c r="M169" i="72"/>
  <c r="S38" i="72"/>
  <c r="W169" i="72"/>
  <c r="AE38" i="72"/>
  <c r="AG169" i="72"/>
  <c r="AP38" i="72"/>
  <c r="AQ169" i="72"/>
  <c r="AZ38" i="72"/>
  <c r="BA169" i="72"/>
  <c r="BG38" i="72"/>
  <c r="BS38" i="72"/>
  <c r="BR169" i="72"/>
  <c r="BU169" i="72"/>
  <c r="BW169" i="72"/>
  <c r="BZ169" i="72"/>
  <c r="CB169" i="72"/>
  <c r="CE169" i="72"/>
  <c r="CG169" i="72"/>
  <c r="CJ169" i="72"/>
  <c r="CL169" i="72"/>
  <c r="V49" i="72"/>
  <c r="S49" i="72"/>
  <c r="Q52" i="72"/>
  <c r="N52" i="72"/>
  <c r="AK52" i="72"/>
  <c r="AJ52" i="72"/>
  <c r="BE52" i="72"/>
  <c r="BB52" i="72"/>
  <c r="AP57" i="72"/>
  <c r="AM57" i="72"/>
  <c r="AY69" i="72"/>
  <c r="AW69" i="72"/>
  <c r="L169" i="72"/>
  <c r="Q38" i="72"/>
  <c r="R169" i="72"/>
  <c r="AA38" i="72"/>
  <c r="AB169" i="72"/>
  <c r="AL169" i="72"/>
  <c r="AU38" i="72"/>
  <c r="AV169" i="72"/>
  <c r="BE38" i="72"/>
  <c r="BF169" i="72"/>
  <c r="BT169" i="72"/>
  <c r="BV169" i="72"/>
  <c r="BY169" i="72"/>
  <c r="CA169" i="72"/>
  <c r="CD169" i="72"/>
  <c r="CF169" i="72"/>
  <c r="CI169" i="72"/>
  <c r="CK169" i="72"/>
  <c r="AF49" i="72"/>
  <c r="AE49" i="72"/>
  <c r="AA52" i="72"/>
  <c r="Z52" i="72"/>
  <c r="AO52" i="72"/>
  <c r="AM52" i="72"/>
  <c r="V53" i="72"/>
  <c r="S53" i="72"/>
  <c r="BE71" i="72"/>
  <c r="BB71" i="72"/>
  <c r="BP38" i="72"/>
  <c r="BL38" i="72" s="1"/>
  <c r="E169" i="72"/>
  <c r="AC75" i="72"/>
  <c r="N103" i="72"/>
  <c r="BB103" i="72"/>
  <c r="AR104" i="72"/>
  <c r="BB108" i="72"/>
  <c r="AN110" i="72"/>
  <c r="AR110" i="72"/>
  <c r="AW110" i="72"/>
  <c r="BH110" i="72"/>
  <c r="AM112" i="72"/>
  <c r="AW113" i="72"/>
  <c r="AC155" i="72"/>
  <c r="S156" i="72"/>
  <c r="BG156" i="72"/>
  <c r="Z158" i="72"/>
  <c r="AI158" i="72"/>
  <c r="AM158" i="72"/>
  <c r="AM161" i="72"/>
  <c r="AX161" i="72"/>
  <c r="BB161" i="72"/>
  <c r="T162" i="72"/>
  <c r="X162" i="72"/>
  <c r="AW162" i="72"/>
  <c r="BI162" i="72"/>
  <c r="AH165" i="72"/>
  <c r="AT165" i="72"/>
  <c r="BB166" i="72"/>
  <c r="P167" i="72"/>
  <c r="Y167" i="72"/>
  <c r="AC167" i="72"/>
  <c r="AR167" i="72"/>
  <c r="BD167" i="72"/>
  <c r="N189" i="72"/>
  <c r="N191" i="72" s="1"/>
  <c r="AC19" i="72"/>
  <c r="AY19" i="72"/>
  <c r="AQ26" i="72"/>
  <c r="AO26" i="72" s="1"/>
  <c r="BU26" i="72"/>
  <c r="CE26" i="72"/>
  <c r="CO26" i="72"/>
  <c r="CY26" i="72"/>
  <c r="N48" i="72"/>
  <c r="AW48" i="72"/>
  <c r="BG49" i="72"/>
  <c r="AW53" i="72"/>
  <c r="AC57" i="72"/>
  <c r="AO57" i="72"/>
  <c r="AY57" i="72"/>
  <c r="S60" i="72"/>
  <c r="BG60" i="72"/>
  <c r="AC69" i="72"/>
  <c r="AR71" i="72"/>
  <c r="N72" i="72"/>
  <c r="BB72" i="72"/>
  <c r="AR73" i="72"/>
  <c r="P103" i="72"/>
  <c r="Z103" i="72"/>
  <c r="BD103" i="72"/>
  <c r="Y104" i="72"/>
  <c r="AF104" i="72"/>
  <c r="AC104" i="72"/>
  <c r="AZ104" i="72"/>
  <c r="AW104" i="72"/>
  <c r="AA107" i="72"/>
  <c r="Y107" i="72"/>
  <c r="AJ107" i="72"/>
  <c r="AH107" i="72"/>
  <c r="AU107" i="72"/>
  <c r="AR108" i="72"/>
  <c r="BJ108" i="72"/>
  <c r="BG108" i="72"/>
  <c r="BI111" i="72"/>
  <c r="BG111" i="72"/>
  <c r="AZ112" i="72"/>
  <c r="AW112" i="72"/>
  <c r="Q113" i="72"/>
  <c r="N113" i="72"/>
  <c r="BE113" i="72"/>
  <c r="BB113" i="72"/>
  <c r="AJ104" i="72"/>
  <c r="AH104" i="72"/>
  <c r="AU104" i="72"/>
  <c r="AF107" i="72"/>
  <c r="AC107" i="72"/>
  <c r="AZ107" i="72"/>
  <c r="AW107" i="72"/>
  <c r="BE108" i="72"/>
  <c r="BC108" i="72"/>
  <c r="AE111" i="72"/>
  <c r="AC111" i="72"/>
  <c r="V112" i="72"/>
  <c r="U112" i="72"/>
  <c r="BJ112" i="72"/>
  <c r="BI112" i="72"/>
  <c r="AP113" i="72"/>
  <c r="AO113" i="72"/>
  <c r="AZ113" i="72"/>
  <c r="AX113" i="72"/>
  <c r="N155" i="72"/>
  <c r="AO155" i="72"/>
  <c r="AX155" i="72"/>
  <c r="BB155" i="72"/>
  <c r="AC156" i="72"/>
  <c r="AO156" i="72"/>
  <c r="X159" i="72"/>
  <c r="AJ159" i="72"/>
  <c r="N161" i="72"/>
  <c r="BB163" i="72"/>
  <c r="X165" i="72"/>
  <c r="AJ165" i="72"/>
  <c r="AW165" i="72"/>
  <c r="X166" i="72"/>
  <c r="AJ166" i="72"/>
  <c r="BR177" i="72"/>
  <c r="BS177" i="72" s="1"/>
  <c r="BX177" i="72" s="1"/>
  <c r="CC177" i="72" s="1"/>
  <c r="CH177" i="72" s="1"/>
  <c r="CM177" i="72" s="1"/>
  <c r="CR177" i="72" s="1"/>
  <c r="CW177" i="72" s="1"/>
  <c r="DB177" i="72" s="1"/>
  <c r="DG177" i="72" s="1"/>
  <c r="DL177" i="72" s="1"/>
  <c r="DN177" i="72" s="1"/>
  <c r="BU177" i="72"/>
  <c r="BW177" i="72"/>
  <c r="BZ177" i="72"/>
  <c r="CB177" i="72"/>
  <c r="CE177" i="72"/>
  <c r="CG177" i="72"/>
  <c r="CJ177" i="72"/>
  <c r="CL177" i="72"/>
  <c r="CO177" i="72"/>
  <c r="CQ177" i="72"/>
  <c r="CT177" i="72"/>
  <c r="CV177" i="72"/>
  <c r="CY177" i="72"/>
  <c r="DA177" i="72"/>
  <c r="DD177" i="72"/>
  <c r="DF177" i="72"/>
  <c r="L177" i="72"/>
  <c r="R177" i="72"/>
  <c r="Q177" i="72" s="1"/>
  <c r="AB177" i="72"/>
  <c r="AA177" i="72" s="1"/>
  <c r="AL177" i="72"/>
  <c r="AK177" i="72" s="1"/>
  <c r="AV177" i="72"/>
  <c r="AT177" i="72" s="1"/>
  <c r="AW189" i="72"/>
  <c r="AW191" i="72" s="1"/>
  <c r="AX442" i="15" s="1"/>
  <c r="AX465" i="15" s="1"/>
  <c r="AX469" i="15" s="1"/>
  <c r="BI189" i="72"/>
  <c r="BI191" i="72" s="1"/>
  <c r="BJ442" i="15" s="1"/>
  <c r="BJ465" i="15" s="1"/>
  <c r="BF195" i="72"/>
  <c r="BE195" i="72" s="1"/>
  <c r="BB196" i="72"/>
  <c r="N18" i="72"/>
  <c r="N22" i="72" s="1"/>
  <c r="S18" i="72"/>
  <c r="AE18" i="72"/>
  <c r="AX18" i="72"/>
  <c r="X48" i="72"/>
  <c r="AJ48" i="72"/>
  <c r="AY48" i="72"/>
  <c r="BG48" i="72"/>
  <c r="AM49" i="72"/>
  <c r="AW49" i="72"/>
  <c r="BO49" i="72"/>
  <c r="BL49" i="72"/>
  <c r="BM49" i="72"/>
  <c r="BN49" i="72"/>
  <c r="AC53" i="72"/>
  <c r="AY53" i="72"/>
  <c r="DV53" i="72"/>
  <c r="DR53" i="72" s="1"/>
  <c r="BO57" i="72"/>
  <c r="BN57" i="72"/>
  <c r="BL57" i="72"/>
  <c r="BM57" i="72"/>
  <c r="S57" i="72"/>
  <c r="AC60" i="72"/>
  <c r="AW60" i="72"/>
  <c r="BI60" i="72"/>
  <c r="P72" i="72"/>
  <c r="AR72" i="72"/>
  <c r="BD72" i="72"/>
  <c r="AH73" i="72"/>
  <c r="AT73" i="72"/>
  <c r="BG76" i="72"/>
  <c r="BO53" i="72"/>
  <c r="BN53" i="72"/>
  <c r="BL53" i="72"/>
  <c r="BM53" i="72"/>
  <c r="BO104" i="72"/>
  <c r="BL104" i="72"/>
  <c r="BN104" i="72"/>
  <c r="BM104" i="72"/>
  <c r="BO108" i="72"/>
  <c r="BL108" i="72"/>
  <c r="BM108" i="72"/>
  <c r="BN108" i="72"/>
  <c r="N111" i="72"/>
  <c r="S111" i="72"/>
  <c r="T112" i="72"/>
  <c r="X112" i="72"/>
  <c r="AY112" i="72"/>
  <c r="BH112" i="72"/>
  <c r="DG146" i="72"/>
  <c r="DL146" i="72" s="1"/>
  <c r="DQ146" i="72" s="1"/>
  <c r="DV146" i="72" s="1"/>
  <c r="BO139" i="72"/>
  <c r="BL139" i="72"/>
  <c r="BM139" i="72"/>
  <c r="BN139" i="72"/>
  <c r="AE156" i="72"/>
  <c r="AN156" i="72"/>
  <c r="AR156" i="72"/>
  <c r="AY162" i="72"/>
  <c r="BH162" i="72"/>
  <c r="N163" i="72"/>
  <c r="AM163" i="72"/>
  <c r="BD163" i="72"/>
  <c r="DG163" i="72"/>
  <c r="DI163" i="72" s="1"/>
  <c r="N166" i="72"/>
  <c r="Z166" i="72"/>
  <c r="AI166" i="72"/>
  <c r="AM189" i="72"/>
  <c r="AM191" i="72" s="1"/>
  <c r="AY189" i="72"/>
  <c r="AY191" i="72" s="1"/>
  <c r="AZ442" i="15" s="1"/>
  <c r="AZ465" i="15" s="1"/>
  <c r="BH189" i="72"/>
  <c r="BH191" i="72" s="1"/>
  <c r="BI442" i="15" s="1"/>
  <c r="BI465" i="15" s="1"/>
  <c r="BJ189" i="72"/>
  <c r="BJ191" i="72" s="1"/>
  <c r="BK442" i="15" s="1"/>
  <c r="BK465" i="15" s="1"/>
  <c r="AM18" i="72"/>
  <c r="AM53" i="72"/>
  <c r="AM19" i="72"/>
  <c r="AO49" i="72"/>
  <c r="AO53" i="72"/>
  <c r="AM69" i="72"/>
  <c r="AO161" i="72"/>
  <c r="AO163" i="72"/>
  <c r="AM166" i="72"/>
  <c r="AO189" i="72"/>
  <c r="AO191" i="72" s="1"/>
  <c r="BC108" i="15"/>
  <c r="BC321" i="15" s="1"/>
  <c r="AX108" i="15"/>
  <c r="AX321" i="15" s="1"/>
  <c r="AZ75" i="47"/>
  <c r="AZ110" i="47" s="1"/>
  <c r="BH113" i="46"/>
  <c r="AY168" i="47"/>
  <c r="AY213" i="47" s="1"/>
  <c r="AP245" i="47"/>
  <c r="AP246" i="47" s="1"/>
  <c r="AP106" i="46"/>
  <c r="AP108" i="46" s="1"/>
  <c r="AX47" i="47"/>
  <c r="BC47" i="47" s="1"/>
  <c r="E161" i="47"/>
  <c r="Q164" i="47"/>
  <c r="W164" i="47"/>
  <c r="O165" i="47"/>
  <c r="AB165" i="47"/>
  <c r="T166" i="47"/>
  <c r="AA166" i="47"/>
  <c r="AM168" i="47"/>
  <c r="AK162" i="47" s="1"/>
  <c r="AK167" i="47"/>
  <c r="AK168" i="47" s="1"/>
  <c r="E168" i="47"/>
  <c r="E178" i="47" s="1"/>
  <c r="E179" i="47" s="1"/>
  <c r="AD236" i="47"/>
  <c r="AD106" i="46" s="1"/>
  <c r="AN236" i="47"/>
  <c r="AN106" i="46" s="1"/>
  <c r="AL22" i="51"/>
  <c r="BA22" i="51" s="1"/>
  <c r="BF22" i="51" s="1"/>
  <c r="BK22" i="51" s="1"/>
  <c r="BP22" i="51" s="1"/>
  <c r="AL275" i="47"/>
  <c r="AM275" i="47" s="1"/>
  <c r="AK109" i="47"/>
  <c r="H136" i="47"/>
  <c r="M137" i="47" s="1"/>
  <c r="M78" i="47" s="1"/>
  <c r="AL136" i="47"/>
  <c r="AQ137" i="47" s="1"/>
  <c r="AG114" i="47"/>
  <c r="X168" i="47"/>
  <c r="X178" i="47" s="1"/>
  <c r="X179" i="47" s="1"/>
  <c r="V166" i="47"/>
  <c r="T167" i="47"/>
  <c r="AD167" i="47"/>
  <c r="AD168" i="47" s="1"/>
  <c r="AD178" i="47" s="1"/>
  <c r="AD179" i="47" s="1"/>
  <c r="H168" i="47"/>
  <c r="BI10" i="47"/>
  <c r="BN117" i="47"/>
  <c r="BN10" i="47" s="1"/>
  <c r="H146" i="47"/>
  <c r="AB146" i="47"/>
  <c r="BB30" i="47"/>
  <c r="BG30" i="47"/>
  <c r="BL30" i="47"/>
  <c r="AC99" i="47"/>
  <c r="AH99" i="47"/>
  <c r="Z136" i="47"/>
  <c r="AE137" i="47" s="1"/>
  <c r="AE78" i="47" s="1"/>
  <c r="Q213" i="47"/>
  <c r="Q61" i="51" s="1"/>
  <c r="AA213" i="47"/>
  <c r="AA79" i="46" s="1"/>
  <c r="AA81" i="46" s="1"/>
  <c r="AK213" i="47"/>
  <c r="AK79" i="46" s="1"/>
  <c r="AP79" i="46"/>
  <c r="AP271" i="47"/>
  <c r="AP61" i="51"/>
  <c r="AP81" i="46" s="1"/>
  <c r="R154" i="47"/>
  <c r="W236" i="47"/>
  <c r="W106" i="46" s="1"/>
  <c r="BG90" i="15"/>
  <c r="BG93" i="15"/>
  <c r="BG96" i="15"/>
  <c r="AO73" i="15"/>
  <c r="AN92" i="15"/>
  <c r="T99" i="15"/>
  <c r="X99" i="15" s="1"/>
  <c r="Y99" i="15"/>
  <c r="Y361" i="15" s="1"/>
  <c r="Y362" i="15" s="1"/>
  <c r="AD99" i="15"/>
  <c r="AD361" i="15" s="1"/>
  <c r="AI99" i="15"/>
  <c r="AI361" i="15" s="1"/>
  <c r="U101" i="15"/>
  <c r="X101" i="15" s="1"/>
  <c r="Z101" i="15"/>
  <c r="Z366" i="15" s="1"/>
  <c r="AE101" i="15"/>
  <c r="AE366" i="15" s="1"/>
  <c r="AJ101" i="15"/>
  <c r="AJ366" i="15" s="1"/>
  <c r="T102" i="15"/>
  <c r="X102" i="15" s="1"/>
  <c r="Y102" i="15"/>
  <c r="Y371" i="15" s="1"/>
  <c r="AD102" i="15"/>
  <c r="AD371" i="15" s="1"/>
  <c r="AI102" i="15"/>
  <c r="AI371" i="15" s="1"/>
  <c r="BU65" i="15"/>
  <c r="BI65" i="15"/>
  <c r="BL65" i="15" s="1"/>
  <c r="BK73" i="15"/>
  <c r="BI107" i="15"/>
  <c r="BQ107" i="15" s="1"/>
  <c r="BI89" i="15"/>
  <c r="BL89" i="15" s="1"/>
  <c r="BI92" i="15"/>
  <c r="BL92" i="15" s="1"/>
  <c r="BI101" i="15"/>
  <c r="BL101" i="15" s="1"/>
  <c r="BL366" i="15" s="1"/>
  <c r="BG73" i="15"/>
  <c r="BJ73" i="15"/>
  <c r="BE72" i="67"/>
  <c r="BF72" i="67"/>
  <c r="BG72" i="67"/>
  <c r="BH72" i="67"/>
  <c r="BI72" i="67"/>
  <c r="BJ72" i="67"/>
  <c r="BE73" i="67"/>
  <c r="BF73" i="67"/>
  <c r="BG73" i="67"/>
  <c r="BH73" i="67"/>
  <c r="BI73" i="67"/>
  <c r="BJ73" i="67"/>
  <c r="BE74" i="67"/>
  <c r="BF74" i="67"/>
  <c r="BG74" i="67"/>
  <c r="BH74" i="67"/>
  <c r="BI74" i="67"/>
  <c r="BJ74" i="67"/>
  <c r="BE78" i="67"/>
  <c r="BF78" i="67"/>
  <c r="BG78" i="67"/>
  <c r="BH78" i="67"/>
  <c r="BI78" i="67"/>
  <c r="BJ78" i="67"/>
  <c r="BG89" i="15"/>
  <c r="BG92" i="15"/>
  <c r="BE80" i="67"/>
  <c r="BF80" i="67"/>
  <c r="BI95" i="15"/>
  <c r="BL95" i="15" s="1"/>
  <c r="BI90" i="15"/>
  <c r="BL90" i="15" s="1"/>
  <c r="BI93" i="15"/>
  <c r="BL93" i="15" s="1"/>
  <c r="BI96" i="15"/>
  <c r="BL96" i="15" s="1"/>
  <c r="BI102" i="15"/>
  <c r="BL102" i="15" s="1"/>
  <c r="BL371" i="15" s="1"/>
  <c r="BI99" i="15"/>
  <c r="BL99" i="15" s="1"/>
  <c r="BL361" i="15" s="1"/>
  <c r="BI100" i="15"/>
  <c r="BF137" i="67"/>
  <c r="BH137" i="67"/>
  <c r="BJ137" i="67"/>
  <c r="X84" i="72"/>
  <c r="N84" i="72"/>
  <c r="Z84" i="72"/>
  <c r="BG43" i="72"/>
  <c r="AC41" i="72"/>
  <c r="AH64" i="72"/>
  <c r="AR67" i="72"/>
  <c r="AW44" i="72"/>
  <c r="N81" i="72"/>
  <c r="AH85" i="72"/>
  <c r="AH127" i="72"/>
  <c r="AH79" i="72"/>
  <c r="BB80" i="72"/>
  <c r="P81" i="72"/>
  <c r="X85" i="72"/>
  <c r="AJ85" i="72"/>
  <c r="AC39" i="72"/>
  <c r="S40" i="72"/>
  <c r="X63" i="72"/>
  <c r="N65" i="72"/>
  <c r="AH66" i="72"/>
  <c r="AC116" i="72"/>
  <c r="N127" i="72"/>
  <c r="Z127" i="72"/>
  <c r="AJ127" i="72"/>
  <c r="AM127" i="72"/>
  <c r="AR127" i="72"/>
  <c r="AM44" i="72"/>
  <c r="AY44" i="72"/>
  <c r="S43" i="72"/>
  <c r="AW38" i="72"/>
  <c r="AC42" i="72"/>
  <c r="AM40" i="72"/>
  <c r="AH63" i="72"/>
  <c r="BB64" i="72"/>
  <c r="AR65" i="72"/>
  <c r="N66" i="72"/>
  <c r="AR66" i="72"/>
  <c r="X67" i="72"/>
  <c r="AR82" i="72"/>
  <c r="AM116" i="72"/>
  <c r="AW128" i="72"/>
  <c r="AC44" i="72"/>
  <c r="AO44" i="72"/>
  <c r="AX44" i="72"/>
  <c r="BB44" i="72"/>
  <c r="BG44" i="72"/>
  <c r="AW39" i="72"/>
  <c r="AM43" i="72"/>
  <c r="AC38" i="72"/>
  <c r="BG42" i="72"/>
  <c r="U40" i="72"/>
  <c r="AO40" i="72"/>
  <c r="AW41" i="72"/>
  <c r="N63" i="72"/>
  <c r="Z63" i="72"/>
  <c r="AJ63" i="72"/>
  <c r="AR64" i="72"/>
  <c r="BD64" i="72"/>
  <c r="P65" i="72"/>
  <c r="BB65" i="72"/>
  <c r="BK65" i="72"/>
  <c r="BG65" i="72" s="1"/>
  <c r="X66" i="72"/>
  <c r="AJ66" i="72"/>
  <c r="AT66" i="72"/>
  <c r="N67" i="72"/>
  <c r="Z67" i="72"/>
  <c r="BB67" i="72"/>
  <c r="X79" i="72"/>
  <c r="AJ79" i="72"/>
  <c r="AH82" i="72"/>
  <c r="AT82" i="72"/>
  <c r="BB87" i="72"/>
  <c r="BO81" i="72"/>
  <c r="BL81" i="72"/>
  <c r="BN81" i="72"/>
  <c r="BM81" i="72"/>
  <c r="S116" i="72"/>
  <c r="AE116" i="72"/>
  <c r="AO116" i="72"/>
  <c r="AW116" i="72"/>
  <c r="AM118" i="72"/>
  <c r="AM128" i="72"/>
  <c r="AY128" i="72"/>
  <c r="V121" i="72"/>
  <c r="U121" i="72"/>
  <c r="AJ121" i="72"/>
  <c r="AH121" i="72"/>
  <c r="AP123" i="72"/>
  <c r="AM123" i="72"/>
  <c r="BJ123" i="72"/>
  <c r="BI123" i="72"/>
  <c r="V124" i="72"/>
  <c r="S124" i="72"/>
  <c r="V125" i="72"/>
  <c r="S125" i="72"/>
  <c r="AP125" i="72"/>
  <c r="AO125" i="72"/>
  <c r="AZ125" i="72"/>
  <c r="AW125" i="72"/>
  <c r="AO129" i="72"/>
  <c r="AM129" i="72"/>
  <c r="V130" i="72"/>
  <c r="U130" i="72"/>
  <c r="V137" i="72"/>
  <c r="U137" i="72"/>
  <c r="AF137" i="72"/>
  <c r="AD137" i="72"/>
  <c r="BJ137" i="72"/>
  <c r="BG137" i="72"/>
  <c r="AP138" i="72"/>
  <c r="AM138" i="72"/>
  <c r="AF139" i="72"/>
  <c r="AE139" i="72"/>
  <c r="AP139" i="72"/>
  <c r="AN139" i="72"/>
  <c r="V140" i="72"/>
  <c r="S140" i="72"/>
  <c r="BJ140" i="72"/>
  <c r="BI140" i="72"/>
  <c r="V142" i="72"/>
  <c r="T142" i="72"/>
  <c r="AZ142" i="72"/>
  <c r="AW142" i="72"/>
  <c r="AP143" i="72"/>
  <c r="AO143" i="72"/>
  <c r="AZ143" i="72"/>
  <c r="AX143" i="72"/>
  <c r="AF144" i="72"/>
  <c r="AC144" i="72"/>
  <c r="V145" i="72"/>
  <c r="U145" i="72"/>
  <c r="AF145" i="72"/>
  <c r="AD145" i="72"/>
  <c r="BJ145" i="72"/>
  <c r="BG145" i="72"/>
  <c r="AZ146" i="72"/>
  <c r="AY146" i="72"/>
  <c r="BJ146" i="72"/>
  <c r="BH146" i="72"/>
  <c r="AP147" i="72"/>
  <c r="AM147" i="72"/>
  <c r="V148" i="72"/>
  <c r="S148" i="72"/>
  <c r="BJ148" i="72"/>
  <c r="BI148" i="72"/>
  <c r="V149" i="72"/>
  <c r="T149" i="72"/>
  <c r="AZ149" i="72"/>
  <c r="AW149" i="72"/>
  <c r="AP150" i="72"/>
  <c r="AO150" i="72"/>
  <c r="AZ150" i="72"/>
  <c r="AX150" i="72"/>
  <c r="AF151" i="72"/>
  <c r="AC151" i="72"/>
  <c r="V152" i="72"/>
  <c r="U152" i="72"/>
  <c r="AF152" i="72"/>
  <c r="AD152" i="72"/>
  <c r="AK195" i="72"/>
  <c r="AH195" i="72"/>
  <c r="AA196" i="72"/>
  <c r="Z196" i="72"/>
  <c r="S39" i="72"/>
  <c r="AE39" i="72"/>
  <c r="BG39" i="72"/>
  <c r="U43" i="72"/>
  <c r="AW43" i="72"/>
  <c r="BI43" i="72"/>
  <c r="AM38" i="72"/>
  <c r="AY38" i="72"/>
  <c r="AW42" i="72"/>
  <c r="BG40" i="72"/>
  <c r="AM41" i="72"/>
  <c r="AY41" i="72"/>
  <c r="AJ64" i="72"/>
  <c r="AT64" i="72"/>
  <c r="BC64" i="72"/>
  <c r="O65" i="72"/>
  <c r="P66" i="72"/>
  <c r="Z66" i="72"/>
  <c r="AI66" i="72"/>
  <c r="P67" i="72"/>
  <c r="Y67" i="72"/>
  <c r="BD67" i="72"/>
  <c r="X86" i="72"/>
  <c r="AH89" i="72"/>
  <c r="AR92" i="72"/>
  <c r="AW117" i="72"/>
  <c r="BJ119" i="72"/>
  <c r="BG119" i="72"/>
  <c r="S121" i="72"/>
  <c r="AF121" i="72"/>
  <c r="AE121" i="72"/>
  <c r="AP121" i="72"/>
  <c r="AM121" i="72"/>
  <c r="AZ123" i="72"/>
  <c r="AY123" i="72"/>
  <c r="BG123" i="72"/>
  <c r="P124" i="72"/>
  <c r="N124" i="72"/>
  <c r="AF125" i="72"/>
  <c r="AE125" i="72"/>
  <c r="AM125" i="72"/>
  <c r="AT125" i="72"/>
  <c r="AR125" i="72"/>
  <c r="AZ129" i="72"/>
  <c r="AY129" i="72"/>
  <c r="S130" i="72"/>
  <c r="S137" i="72"/>
  <c r="AE137" i="72"/>
  <c r="AJ137" i="72"/>
  <c r="AH137" i="72"/>
  <c r="P138" i="72"/>
  <c r="N138" i="72"/>
  <c r="AZ138" i="72"/>
  <c r="AY138" i="72"/>
  <c r="AC139" i="72"/>
  <c r="AO139" i="72"/>
  <c r="AT139" i="72"/>
  <c r="AR139" i="72"/>
  <c r="AF140" i="72"/>
  <c r="AE140" i="72"/>
  <c r="BG140" i="72"/>
  <c r="U142" i="72"/>
  <c r="Z142" i="72"/>
  <c r="X142" i="72"/>
  <c r="BJ142" i="72"/>
  <c r="BI142" i="72"/>
  <c r="AM143" i="72"/>
  <c r="AY143" i="72"/>
  <c r="BD143" i="72"/>
  <c r="BB143" i="72"/>
  <c r="AP144" i="72"/>
  <c r="AO144" i="72"/>
  <c r="S145" i="72"/>
  <c r="AE145" i="72"/>
  <c r="AJ145" i="72"/>
  <c r="AH145" i="72"/>
  <c r="V146" i="72"/>
  <c r="U146" i="72"/>
  <c r="AW146" i="72"/>
  <c r="BI146" i="72"/>
  <c r="P147" i="72"/>
  <c r="N147" i="72"/>
  <c r="AZ147" i="72"/>
  <c r="AY147" i="72"/>
  <c r="AF148" i="72"/>
  <c r="AE148" i="72"/>
  <c r="BG148" i="72"/>
  <c r="U149" i="72"/>
  <c r="Z149" i="72"/>
  <c r="X149" i="72"/>
  <c r="BJ149" i="72"/>
  <c r="BI149" i="72"/>
  <c r="AM150" i="72"/>
  <c r="AY150" i="72"/>
  <c r="BD150" i="72"/>
  <c r="BB150" i="72"/>
  <c r="AP151" i="72"/>
  <c r="AO151" i="72"/>
  <c r="S152" i="72"/>
  <c r="AE152" i="72"/>
  <c r="AJ152" i="72"/>
  <c r="AH152" i="72"/>
  <c r="P196" i="72"/>
  <c r="N196" i="72"/>
  <c r="X196" i="72"/>
  <c r="AU196" i="72"/>
  <c r="AT196" i="72"/>
  <c r="BS199" i="72"/>
  <c r="BO441" i="15" s="1"/>
  <c r="BO464" i="15" s="1"/>
  <c r="BU199" i="72"/>
  <c r="BU201" i="72" s="1"/>
  <c r="BW199" i="72"/>
  <c r="BW201" i="72" s="1"/>
  <c r="CE199" i="72"/>
  <c r="CE201" i="72" s="1"/>
  <c r="CG199" i="72"/>
  <c r="CG201" i="72" s="1"/>
  <c r="CJ199" i="72"/>
  <c r="CL199" i="72"/>
  <c r="CO199" i="72"/>
  <c r="CQ199" i="72"/>
  <c r="DG194" i="72"/>
  <c r="DJ194" i="72" s="1"/>
  <c r="DG196" i="72"/>
  <c r="DL196" i="72" s="1"/>
  <c r="DQ196" i="72" s="1"/>
  <c r="BQ66" i="46"/>
  <c r="BO66" i="46"/>
  <c r="BO68" i="46" s="1"/>
  <c r="BO140" i="46" s="1"/>
  <c r="BM66" i="46"/>
  <c r="BM68" i="46" s="1"/>
  <c r="BP66" i="46"/>
  <c r="BP68" i="46" s="1"/>
  <c r="BP140" i="46" s="1"/>
  <c r="BN66" i="46"/>
  <c r="BN68" i="46" s="1"/>
  <c r="BN140" i="46" s="1"/>
  <c r="BF12" i="67"/>
  <c r="BI106" i="15"/>
  <c r="BL106" i="15" s="1"/>
  <c r="AN72" i="15"/>
  <c r="AY108" i="15"/>
  <c r="AY321" i="15" s="1"/>
  <c r="BG34" i="67"/>
  <c r="BI34" i="67"/>
  <c r="BE35" i="67"/>
  <c r="BF35" i="67"/>
  <c r="BH35" i="67"/>
  <c r="BJ35" i="67"/>
  <c r="BE36" i="67"/>
  <c r="BG36" i="67"/>
  <c r="BE37" i="67"/>
  <c r="BF37" i="67"/>
  <c r="BH37" i="67"/>
  <c r="BG38" i="67"/>
  <c r="BI38" i="67"/>
  <c r="BE39" i="67"/>
  <c r="BF39" i="67"/>
  <c r="BH39" i="67"/>
  <c r="BJ39" i="67"/>
  <c r="BE40" i="67"/>
  <c r="BG40" i="67"/>
  <c r="BE41" i="67"/>
  <c r="BF41" i="67"/>
  <c r="BH41" i="67"/>
  <c r="BG42" i="67"/>
  <c r="BI42" i="67"/>
  <c r="BE43" i="67"/>
  <c r="BF43" i="67"/>
  <c r="BH43" i="67"/>
  <c r="BJ43" i="67"/>
  <c r="BE44" i="67"/>
  <c r="BG44" i="67"/>
  <c r="BE45" i="67"/>
  <c r="BF45" i="67"/>
  <c r="BH45" i="67"/>
  <c r="BG46" i="67"/>
  <c r="BI46" i="67"/>
  <c r="BE47" i="67"/>
  <c r="BF47" i="67"/>
  <c r="BH47" i="67"/>
  <c r="BJ47" i="67"/>
  <c r="BE48" i="67"/>
  <c r="BG48" i="67"/>
  <c r="BE49" i="67"/>
  <c r="BF49" i="67"/>
  <c r="BH49" i="67"/>
  <c r="BE53" i="67"/>
  <c r="BF53" i="67"/>
  <c r="BG53" i="67"/>
  <c r="BH53" i="67"/>
  <c r="BI53" i="67"/>
  <c r="BJ53" i="67"/>
  <c r="BE54" i="67"/>
  <c r="BF54" i="67"/>
  <c r="BG54" i="67"/>
  <c r="BH54" i="67"/>
  <c r="BI54" i="67"/>
  <c r="BJ54" i="67"/>
  <c r="BE55" i="67"/>
  <c r="BF55" i="67"/>
  <c r="BG55" i="67"/>
  <c r="BH55" i="67"/>
  <c r="BI55" i="67"/>
  <c r="BJ55" i="67"/>
  <c r="BE56" i="67"/>
  <c r="BF56" i="67"/>
  <c r="BG56" i="67"/>
  <c r="BH56" i="67"/>
  <c r="BI56" i="67"/>
  <c r="BJ56" i="67"/>
  <c r="BE57" i="67"/>
  <c r="BF57" i="67"/>
  <c r="BG57" i="67"/>
  <c r="BH57" i="67"/>
  <c r="BI57" i="67"/>
  <c r="BJ57" i="67"/>
  <c r="BE58" i="67"/>
  <c r="BF58" i="67"/>
  <c r="BG58" i="67"/>
  <c r="BH58" i="67"/>
  <c r="BI58" i="67"/>
  <c r="BJ58" i="67"/>
  <c r="BE59" i="67"/>
  <c r="BF59" i="67"/>
  <c r="BG59" i="67"/>
  <c r="BH59" i="67"/>
  <c r="BI59" i="67"/>
  <c r="BJ59" i="67"/>
  <c r="BE60" i="67"/>
  <c r="BF60" i="67"/>
  <c r="BG60" i="67"/>
  <c r="BH60" i="67"/>
  <c r="BI60" i="67"/>
  <c r="BJ60" i="67"/>
  <c r="BE61" i="67"/>
  <c r="BF61" i="67"/>
  <c r="BG61" i="67"/>
  <c r="BH61" i="67"/>
  <c r="BI61" i="67"/>
  <c r="BJ61" i="67"/>
  <c r="BE62" i="67"/>
  <c r="BF62" i="67"/>
  <c r="BG62" i="67"/>
  <c r="BH62" i="67"/>
  <c r="BI62" i="67"/>
  <c r="BJ62" i="67"/>
  <c r="BE63" i="67"/>
  <c r="BF63" i="67"/>
  <c r="BG63" i="67"/>
  <c r="BH63" i="67"/>
  <c r="BI63" i="67"/>
  <c r="BJ63" i="67"/>
  <c r="BE64" i="67"/>
  <c r="BF64" i="67"/>
  <c r="BG64" i="67"/>
  <c r="BH64" i="67"/>
  <c r="BI64" i="67"/>
  <c r="BJ64" i="67"/>
  <c r="BE65" i="67"/>
  <c r="BF65" i="67"/>
  <c r="BG65" i="67"/>
  <c r="BH65" i="67"/>
  <c r="BI65" i="67"/>
  <c r="BJ65" i="67"/>
  <c r="BE66" i="67"/>
  <c r="BF66" i="67"/>
  <c r="BG66" i="67"/>
  <c r="BH66" i="67"/>
  <c r="BI66" i="67"/>
  <c r="BJ66" i="67"/>
  <c r="BE67" i="67"/>
  <c r="BF67" i="67"/>
  <c r="BG67" i="67"/>
  <c r="BH67" i="67"/>
  <c r="BI67" i="67"/>
  <c r="BJ67" i="67"/>
  <c r="BE68" i="67"/>
  <c r="BF68" i="67"/>
  <c r="BG68" i="67"/>
  <c r="BH68" i="67"/>
  <c r="BI68" i="67"/>
  <c r="BJ68" i="67"/>
  <c r="BN361" i="15"/>
  <c r="BK366" i="15"/>
  <c r="BP366" i="15"/>
  <c r="BP108" i="15"/>
  <c r="BP321" i="15" s="1"/>
  <c r="AQ73" i="15"/>
  <c r="AP73" i="15"/>
  <c r="AQ71" i="15"/>
  <c r="AP71" i="15"/>
  <c r="AQ89" i="15"/>
  <c r="AP89" i="15"/>
  <c r="AQ92" i="15"/>
  <c r="AP92" i="15"/>
  <c r="AQ95" i="15"/>
  <c r="AP95" i="15"/>
  <c r="BH81" i="67"/>
  <c r="BI81" i="67"/>
  <c r="BJ81" i="67"/>
  <c r="BE82" i="67"/>
  <c r="BF82" i="67"/>
  <c r="BG82" i="67"/>
  <c r="BH82" i="67"/>
  <c r="BI82" i="67"/>
  <c r="BJ82" i="67"/>
  <c r="BE83" i="67"/>
  <c r="BF83" i="67"/>
  <c r="BG83" i="67"/>
  <c r="BH83" i="67"/>
  <c r="BI83" i="67"/>
  <c r="BJ83" i="67"/>
  <c r="BE84" i="67"/>
  <c r="BF84" i="67"/>
  <c r="BG84" i="67"/>
  <c r="BH84" i="67"/>
  <c r="BI84" i="67"/>
  <c r="BJ84" i="67"/>
  <c r="BE85" i="67"/>
  <c r="BF85" i="67"/>
  <c r="BK361" i="15"/>
  <c r="BP361" i="15"/>
  <c r="BN366" i="15"/>
  <c r="BN108" i="15"/>
  <c r="BN321" i="15" s="1"/>
  <c r="BH361" i="15"/>
  <c r="BJ361" i="15"/>
  <c r="BO361" i="15"/>
  <c r="BJ366" i="15"/>
  <c r="BO366" i="15"/>
  <c r="T106" i="15"/>
  <c r="T108" i="15" s="1"/>
  <c r="Y106" i="15"/>
  <c r="Y108" i="15" s="1"/>
  <c r="AD106" i="15"/>
  <c r="AH106" i="15" s="1"/>
  <c r="AI106" i="15"/>
  <c r="AI108" i="15" s="1"/>
  <c r="BM108" i="15"/>
  <c r="BH72" i="15"/>
  <c r="BB59" i="67"/>
  <c r="AZ59" i="67"/>
  <c r="BB58" i="67"/>
  <c r="AZ58" i="67"/>
  <c r="BB57" i="67"/>
  <c r="AZ57" i="67"/>
  <c r="BB55" i="67"/>
  <c r="AZ55" i="67"/>
  <c r="BB54" i="67"/>
  <c r="AZ54" i="67"/>
  <c r="BA59" i="67"/>
  <c r="AY59" i="67"/>
  <c r="BA58" i="67"/>
  <c r="AY58" i="67"/>
  <c r="BA57" i="67"/>
  <c r="AY57" i="67"/>
  <c r="BA55" i="67"/>
  <c r="AY55" i="67"/>
  <c r="BA54" i="67"/>
  <c r="AY54" i="67"/>
  <c r="BJ108" i="15"/>
  <c r="BJ321" i="15" s="1"/>
  <c r="BO108" i="15"/>
  <c r="BO321" i="15" s="1"/>
  <c r="BE79" i="67"/>
  <c r="BF79" i="67"/>
  <c r="BG79" i="67"/>
  <c r="BH79" i="67"/>
  <c r="BI79" i="67"/>
  <c r="BJ79" i="67"/>
  <c r="BG80" i="67"/>
  <c r="BH80" i="67"/>
  <c r="BI80" i="67"/>
  <c r="BJ80" i="67"/>
  <c r="BG85" i="67"/>
  <c r="BH85" i="67"/>
  <c r="BI85" i="67"/>
  <c r="BJ85" i="67"/>
  <c r="BE86" i="67"/>
  <c r="BF86" i="67"/>
  <c r="BG86" i="67"/>
  <c r="BH86" i="67"/>
  <c r="BI86" i="67"/>
  <c r="BJ86" i="67"/>
  <c r="BE87" i="67"/>
  <c r="BF87" i="67"/>
  <c r="BG87" i="67"/>
  <c r="BH87" i="67"/>
  <c r="BI87" i="67"/>
  <c r="BJ87" i="67"/>
  <c r="BE88" i="67"/>
  <c r="BF88" i="67"/>
  <c r="BG88" i="67"/>
  <c r="BH88" i="67"/>
  <c r="BI88" i="67"/>
  <c r="BJ88" i="67"/>
  <c r="BE89" i="67"/>
  <c r="BF89" i="67"/>
  <c r="BG89" i="67"/>
  <c r="BH89" i="67"/>
  <c r="BI89" i="67"/>
  <c r="BJ89" i="67"/>
  <c r="BE90" i="67"/>
  <c r="BF90" i="67"/>
  <c r="BG90" i="67"/>
  <c r="BH90" i="67"/>
  <c r="BI90" i="67"/>
  <c r="BJ90" i="67"/>
  <c r="BE91" i="67"/>
  <c r="BF91" i="67"/>
  <c r="BG91" i="67"/>
  <c r="BH91" i="67"/>
  <c r="BI91" i="67"/>
  <c r="BJ91" i="67"/>
  <c r="BE92" i="67"/>
  <c r="BF92" i="67"/>
  <c r="BG92" i="67"/>
  <c r="BH92" i="67"/>
  <c r="BI92" i="67"/>
  <c r="BJ92" i="67"/>
  <c r="BE93" i="67"/>
  <c r="BF93" i="67"/>
  <c r="BG93" i="67"/>
  <c r="BH93" i="67"/>
  <c r="BI93" i="67"/>
  <c r="BJ93" i="67"/>
  <c r="BE96" i="67"/>
  <c r="BF96" i="67"/>
  <c r="BG96" i="67"/>
  <c r="BH96" i="67"/>
  <c r="BI96" i="67"/>
  <c r="BJ96" i="67"/>
  <c r="BE97" i="67"/>
  <c r="BF97" i="67"/>
  <c r="BG97" i="67"/>
  <c r="BH97" i="67"/>
  <c r="BI97" i="67"/>
  <c r="BJ97" i="67"/>
  <c r="BE98" i="67"/>
  <c r="BF98" i="67"/>
  <c r="BG98" i="67"/>
  <c r="BH98" i="67"/>
  <c r="BI98" i="67"/>
  <c r="BJ98" i="67"/>
  <c r="BE99" i="67"/>
  <c r="BF99" i="67"/>
  <c r="BG99" i="67"/>
  <c r="BH99" i="67"/>
  <c r="BI99" i="67"/>
  <c r="BJ99" i="67"/>
  <c r="BE100" i="67"/>
  <c r="BF100" i="67"/>
  <c r="BG100" i="67"/>
  <c r="BH100" i="67"/>
  <c r="BI100" i="67"/>
  <c r="BJ100" i="67"/>
  <c r="BH366" i="15"/>
  <c r="AH180" i="15"/>
  <c r="AG180" i="15" s="1"/>
  <c r="AF180" i="15" s="1"/>
  <c r="AE180" i="15" s="1"/>
  <c r="AD180" i="15" s="1"/>
  <c r="BP239" i="15"/>
  <c r="BQ180" i="15"/>
  <c r="BP180" i="15" s="1"/>
  <c r="BO180" i="15" s="1"/>
  <c r="BN180" i="15" s="1"/>
  <c r="BM180" i="15" s="1"/>
  <c r="AZ10" i="47"/>
  <c r="BO10" i="47"/>
  <c r="BJ10" i="47"/>
  <c r="AL146" i="47"/>
  <c r="AQ147" i="47" s="1"/>
  <c r="AL141" i="47"/>
  <c r="AQ142" i="47" s="1"/>
  <c r="AC34" i="65"/>
  <c r="AM34" i="65"/>
  <c r="CD37" i="65"/>
  <c r="V17" i="65"/>
  <c r="T17" i="65"/>
  <c r="X34" i="65"/>
  <c r="AH34" i="65"/>
  <c r="AK155" i="72"/>
  <c r="AH155" i="72"/>
  <c r="AA156" i="72"/>
  <c r="X156" i="72"/>
  <c r="V158" i="72"/>
  <c r="S158" i="72"/>
  <c r="BJ158" i="72"/>
  <c r="BG158" i="72"/>
  <c r="BE159" i="72"/>
  <c r="BB159" i="72"/>
  <c r="V161" i="72"/>
  <c r="U161" i="72"/>
  <c r="S161" i="72"/>
  <c r="BJ161" i="72"/>
  <c r="BI161" i="72"/>
  <c r="BG161" i="72"/>
  <c r="AP162" i="72"/>
  <c r="AN162" i="72"/>
  <c r="AO162" i="72"/>
  <c r="AF163" i="72"/>
  <c r="AD163" i="72"/>
  <c r="AE163" i="72"/>
  <c r="W191" i="72"/>
  <c r="U189" i="72"/>
  <c r="U191" i="72" s="1"/>
  <c r="S189" i="72"/>
  <c r="S191" i="72" s="1"/>
  <c r="AZ75" i="72"/>
  <c r="AY75" i="72"/>
  <c r="AP76" i="72"/>
  <c r="AO76" i="72"/>
  <c r="Q80" i="72"/>
  <c r="N80" i="72"/>
  <c r="AU81" i="72"/>
  <c r="AR81" i="72"/>
  <c r="AA83" i="72"/>
  <c r="X83" i="72"/>
  <c r="BE84" i="72"/>
  <c r="BB84" i="72"/>
  <c r="Q86" i="72"/>
  <c r="N86" i="72"/>
  <c r="AU99" i="72"/>
  <c r="AT99" i="72"/>
  <c r="AA100" i="72"/>
  <c r="Z100" i="72"/>
  <c r="BE100" i="72"/>
  <c r="BD100" i="72"/>
  <c r="BE101" i="72"/>
  <c r="BD101" i="72"/>
  <c r="AK103" i="72"/>
  <c r="AJ103" i="72"/>
  <c r="Q108" i="72"/>
  <c r="O108" i="72"/>
  <c r="Z108" i="72"/>
  <c r="X108" i="72"/>
  <c r="AK108" i="72"/>
  <c r="AI108" i="72"/>
  <c r="AA110" i="72"/>
  <c r="X110" i="72"/>
  <c r="AK111" i="72"/>
  <c r="AH111" i="72"/>
  <c r="BE111" i="72"/>
  <c r="BB111" i="72"/>
  <c r="AU112" i="72"/>
  <c r="AR112" i="72"/>
  <c r="AK113" i="72"/>
  <c r="AH113" i="72"/>
  <c r="BJ116" i="72"/>
  <c r="BG116" i="72"/>
  <c r="AF117" i="72"/>
  <c r="AC117" i="72"/>
  <c r="BJ118" i="72"/>
  <c r="BG118" i="72"/>
  <c r="AF119" i="72"/>
  <c r="AE119" i="72"/>
  <c r="AT119" i="72"/>
  <c r="AR119" i="72"/>
  <c r="AZ121" i="72"/>
  <c r="AW121" i="72"/>
  <c r="V123" i="72"/>
  <c r="U123" i="72"/>
  <c r="AF123" i="72"/>
  <c r="AC123" i="72"/>
  <c r="AP124" i="72"/>
  <c r="AO124" i="72"/>
  <c r="BD124" i="72"/>
  <c r="BB124" i="72"/>
  <c r="BJ125" i="72"/>
  <c r="BG125" i="72"/>
  <c r="BJ127" i="72"/>
  <c r="BH127" i="72"/>
  <c r="V128" i="72"/>
  <c r="T128" i="72"/>
  <c r="AE128" i="72"/>
  <c r="AC128" i="72"/>
  <c r="U131" i="72"/>
  <c r="S131" i="72"/>
  <c r="AP132" i="72"/>
  <c r="AO132" i="72"/>
  <c r="AM132" i="72"/>
  <c r="V134" i="72"/>
  <c r="S134" i="72"/>
  <c r="AZ134" i="72"/>
  <c r="AX134" i="72"/>
  <c r="AY134" i="72"/>
  <c r="BJ134" i="72"/>
  <c r="BG134" i="72"/>
  <c r="U18" i="72"/>
  <c r="AD18" i="72"/>
  <c r="AH18" i="72"/>
  <c r="AH22" i="72" s="1"/>
  <c r="AQ22" i="72"/>
  <c r="AE19" i="72"/>
  <c r="AX19" i="72"/>
  <c r="BG19" i="72"/>
  <c r="DG25" i="72"/>
  <c r="DL25" i="72" s="1"/>
  <c r="DQ25" i="72" s="1"/>
  <c r="DV25" i="72" s="1"/>
  <c r="S44" i="72"/>
  <c r="U39" i="72"/>
  <c r="AD39" i="72"/>
  <c r="AH39" i="72"/>
  <c r="BI39" i="72"/>
  <c r="T43" i="72"/>
  <c r="X43" i="72"/>
  <c r="AY43" i="72"/>
  <c r="BH43" i="72"/>
  <c r="N38" i="72"/>
  <c r="AO38" i="72"/>
  <c r="AX38" i="72"/>
  <c r="BB38" i="72"/>
  <c r="N42" i="72"/>
  <c r="S42" i="72"/>
  <c r="T40" i="72"/>
  <c r="X40" i="72"/>
  <c r="AN40" i="72"/>
  <c r="AR40" i="72"/>
  <c r="AW40" i="72"/>
  <c r="AX41" i="72"/>
  <c r="BB41" i="72"/>
  <c r="P48" i="72"/>
  <c r="Z48" i="72"/>
  <c r="BI48" i="72"/>
  <c r="U49" i="72"/>
  <c r="AY49" i="72"/>
  <c r="BI49" i="72"/>
  <c r="P52" i="72"/>
  <c r="S52" i="72"/>
  <c r="BD52" i="72"/>
  <c r="BG52" i="72"/>
  <c r="U53" i="72"/>
  <c r="AE53" i="72"/>
  <c r="AN53" i="72"/>
  <c r="AX53" i="72"/>
  <c r="U57" i="72"/>
  <c r="AE57" i="72"/>
  <c r="AN57" i="72"/>
  <c r="AX57" i="72"/>
  <c r="AO60" i="72"/>
  <c r="AY60" i="72"/>
  <c r="BH60" i="72"/>
  <c r="P63" i="72"/>
  <c r="Y63" i="72"/>
  <c r="AI63" i="72"/>
  <c r="P71" i="72"/>
  <c r="Y71" i="72"/>
  <c r="BD71" i="72"/>
  <c r="O72" i="72"/>
  <c r="X72" i="72"/>
  <c r="AJ72" i="72"/>
  <c r="AT72" i="72"/>
  <c r="BC72" i="72"/>
  <c r="N73" i="72"/>
  <c r="Z73" i="72"/>
  <c r="AJ73" i="72"/>
  <c r="BB73" i="72"/>
  <c r="V75" i="72"/>
  <c r="U75" i="72"/>
  <c r="AF75" i="72"/>
  <c r="AD75" i="72"/>
  <c r="AP75" i="72"/>
  <c r="AM75" i="72"/>
  <c r="AW75" i="72"/>
  <c r="BJ75" i="72"/>
  <c r="BI75" i="72"/>
  <c r="V76" i="72"/>
  <c r="T76" i="72"/>
  <c r="AF76" i="72"/>
  <c r="AC76" i="72"/>
  <c r="AM76" i="72"/>
  <c r="AZ76" i="72"/>
  <c r="AY76" i="72"/>
  <c r="BJ76" i="72"/>
  <c r="BH76" i="72"/>
  <c r="AA80" i="72"/>
  <c r="Z80" i="72"/>
  <c r="BE81" i="72"/>
  <c r="BD81" i="72"/>
  <c r="AK83" i="72"/>
  <c r="AJ83" i="72"/>
  <c r="N87" i="72"/>
  <c r="AR88" i="72"/>
  <c r="X90" i="72"/>
  <c r="AH93" i="72"/>
  <c r="AK99" i="72"/>
  <c r="AJ99" i="72"/>
  <c r="AR99" i="72"/>
  <c r="Q100" i="72"/>
  <c r="P100" i="72"/>
  <c r="X100" i="72"/>
  <c r="BB100" i="72"/>
  <c r="Q101" i="72"/>
  <c r="P101" i="72"/>
  <c r="AU101" i="72"/>
  <c r="AT101" i="72"/>
  <c r="BB101" i="72"/>
  <c r="AH103" i="72"/>
  <c r="AU103" i="72"/>
  <c r="AT103" i="72"/>
  <c r="BB104" i="72"/>
  <c r="BB107" i="72"/>
  <c r="P108" i="72"/>
  <c r="V108" i="72"/>
  <c r="S108" i="72"/>
  <c r="AJ108" i="72"/>
  <c r="AP108" i="72"/>
  <c r="AM108" i="72"/>
  <c r="V110" i="72"/>
  <c r="T110" i="72"/>
  <c r="AF111" i="72"/>
  <c r="AD111" i="72"/>
  <c r="AO111" i="72"/>
  <c r="AM111" i="72"/>
  <c r="AZ111" i="72"/>
  <c r="AX111" i="72"/>
  <c r="AF112" i="72"/>
  <c r="AE112" i="72"/>
  <c r="AP112" i="72"/>
  <c r="AN112" i="72"/>
  <c r="V113" i="72"/>
  <c r="U113" i="72"/>
  <c r="AF113" i="72"/>
  <c r="AD113" i="72"/>
  <c r="BJ113" i="72"/>
  <c r="BI113" i="72"/>
  <c r="V118" i="72"/>
  <c r="S118" i="72"/>
  <c r="V119" i="72"/>
  <c r="S119" i="72"/>
  <c r="AC119" i="72"/>
  <c r="AP119" i="72"/>
  <c r="AO119" i="72"/>
  <c r="AZ119" i="72"/>
  <c r="AW119" i="72"/>
  <c r="BJ121" i="72"/>
  <c r="BI121" i="72"/>
  <c r="S123" i="72"/>
  <c r="Z123" i="72"/>
  <c r="X123" i="72"/>
  <c r="AF124" i="72"/>
  <c r="AC124" i="72"/>
  <c r="AM124" i="72"/>
  <c r="AZ124" i="72"/>
  <c r="AY124" i="72"/>
  <c r="BJ124" i="72"/>
  <c r="BG124" i="72"/>
  <c r="BI127" i="72"/>
  <c r="U128" i="72"/>
  <c r="Z128" i="72"/>
  <c r="X128" i="72"/>
  <c r="AF131" i="72"/>
  <c r="AD131" i="72"/>
  <c r="AE131" i="72"/>
  <c r="BI131" i="72"/>
  <c r="BG131" i="72"/>
  <c r="AP134" i="72"/>
  <c r="AO134" i="72"/>
  <c r="AM134" i="72"/>
  <c r="AW134" i="72"/>
  <c r="AF161" i="72"/>
  <c r="AD161" i="72"/>
  <c r="AE161" i="72"/>
  <c r="AF162" i="72"/>
  <c r="AE162" i="72"/>
  <c r="AC162" i="72"/>
  <c r="AM162" i="72"/>
  <c r="V163" i="72"/>
  <c r="U163" i="72"/>
  <c r="S163" i="72"/>
  <c r="AC163" i="72"/>
  <c r="AJ131" i="72"/>
  <c r="AH131" i="72"/>
  <c r="V132" i="72"/>
  <c r="U132" i="72"/>
  <c r="P134" i="72"/>
  <c r="N134" i="72"/>
  <c r="AF134" i="72"/>
  <c r="AE134" i="72"/>
  <c r="BD134" i="72"/>
  <c r="BB134" i="72"/>
  <c r="V155" i="72"/>
  <c r="U155" i="72"/>
  <c r="AF155" i="72"/>
  <c r="AD155" i="72"/>
  <c r="BJ155" i="72"/>
  <c r="BI155" i="72"/>
  <c r="V156" i="72"/>
  <c r="T156" i="72"/>
  <c r="AZ156" i="72"/>
  <c r="AY156" i="72"/>
  <c r="BJ156" i="72"/>
  <c r="BH156" i="72"/>
  <c r="Q158" i="72"/>
  <c r="O158" i="72"/>
  <c r="AU158" i="72"/>
  <c r="AT158" i="72"/>
  <c r="BE158" i="72"/>
  <c r="BC158" i="72"/>
  <c r="Q159" i="72"/>
  <c r="N159" i="72"/>
  <c r="AK161" i="72"/>
  <c r="AH161" i="72"/>
  <c r="AU162" i="72"/>
  <c r="AR162" i="72"/>
  <c r="AK163" i="72"/>
  <c r="AH163" i="72"/>
  <c r="T18" i="72"/>
  <c r="V18" i="72"/>
  <c r="X18" i="72"/>
  <c r="X22" i="72" s="1"/>
  <c r="AN18" i="72"/>
  <c r="AP18" i="72"/>
  <c r="AR18" i="72"/>
  <c r="S19" i="72"/>
  <c r="AD19" i="72"/>
  <c r="M26" i="72"/>
  <c r="AG26" i="72"/>
  <c r="AC26" i="72" s="1"/>
  <c r="BA26" i="72"/>
  <c r="AW26" i="72" s="1"/>
  <c r="BW26" i="72"/>
  <c r="CA26" i="72"/>
  <c r="CG26" i="72"/>
  <c r="CK26" i="72"/>
  <c r="CQ26" i="72"/>
  <c r="CU26" i="72"/>
  <c r="BJ44" i="72"/>
  <c r="BH44" i="72"/>
  <c r="AP39" i="72"/>
  <c r="AO39" i="72"/>
  <c r="AZ39" i="72"/>
  <c r="AX39" i="72"/>
  <c r="AF43" i="72"/>
  <c r="AE43" i="72"/>
  <c r="AP43" i="72"/>
  <c r="AN43" i="72"/>
  <c r="V38" i="72"/>
  <c r="U38" i="72"/>
  <c r="AF38" i="72"/>
  <c r="AD38" i="72"/>
  <c r="BJ38" i="72"/>
  <c r="BI38" i="72"/>
  <c r="AF42" i="72"/>
  <c r="AD42" i="72"/>
  <c r="AZ42" i="72"/>
  <c r="AX42" i="72"/>
  <c r="BJ40" i="72"/>
  <c r="BH40" i="72"/>
  <c r="AF41" i="72"/>
  <c r="AD41" i="72"/>
  <c r="V48" i="72"/>
  <c r="U48" i="72"/>
  <c r="AP48" i="72"/>
  <c r="AO48" i="72"/>
  <c r="Q49" i="72"/>
  <c r="P49" i="72"/>
  <c r="AK49" i="72"/>
  <c r="AJ49" i="72"/>
  <c r="BE49" i="72"/>
  <c r="BD49" i="72"/>
  <c r="AC52" i="72"/>
  <c r="AW52" i="72"/>
  <c r="BJ53" i="72"/>
  <c r="BI53" i="72"/>
  <c r="AU52" i="72"/>
  <c r="AR52" i="72"/>
  <c r="BJ57" i="72"/>
  <c r="BI57" i="72"/>
  <c r="DV57" i="72"/>
  <c r="V60" i="72"/>
  <c r="T60" i="72"/>
  <c r="AF60" i="72"/>
  <c r="AD60" i="72"/>
  <c r="Q69" i="72"/>
  <c r="P69" i="72"/>
  <c r="AK69" i="72"/>
  <c r="AJ69" i="72"/>
  <c r="BE69" i="72"/>
  <c r="BD69" i="72"/>
  <c r="BK18" i="72"/>
  <c r="BI18" i="72" s="1"/>
  <c r="BP18" i="72"/>
  <c r="DU26" i="72"/>
  <c r="DS26" i="72"/>
  <c r="DT26" i="72"/>
  <c r="DR26" i="72"/>
  <c r="BP26" i="72"/>
  <c r="DC26" i="72"/>
  <c r="V44" i="72"/>
  <c r="T44" i="72"/>
  <c r="AF44" i="72"/>
  <c r="AD44" i="72"/>
  <c r="Q39" i="72"/>
  <c r="N39" i="72"/>
  <c r="BE39" i="72"/>
  <c r="BB39" i="72"/>
  <c r="AU43" i="72"/>
  <c r="AR43" i="72"/>
  <c r="AK38" i="72"/>
  <c r="AH38" i="72"/>
  <c r="AK42" i="72"/>
  <c r="AH42" i="72"/>
  <c r="BE42" i="72"/>
  <c r="BB42" i="72"/>
  <c r="Q41" i="72"/>
  <c r="N41" i="72"/>
  <c r="AK41" i="72"/>
  <c r="AH41" i="72"/>
  <c r="S48" i="72"/>
  <c r="AF48" i="72"/>
  <c r="AE48" i="72"/>
  <c r="AM48" i="72"/>
  <c r="BE48" i="72"/>
  <c r="BD48" i="72"/>
  <c r="N49" i="72"/>
  <c r="AA49" i="72"/>
  <c r="Z49" i="72"/>
  <c r="AH49" i="72"/>
  <c r="AU49" i="72"/>
  <c r="AT49" i="72"/>
  <c r="BB49" i="72"/>
  <c r="N69" i="72"/>
  <c r="AA69" i="72"/>
  <c r="Z69" i="72"/>
  <c r="AH69" i="72"/>
  <c r="AU69" i="72"/>
  <c r="AT69" i="72"/>
  <c r="BB69" i="72"/>
  <c r="AK71" i="72"/>
  <c r="AJ71" i="72"/>
  <c r="AU71" i="72"/>
  <c r="BO73" i="72"/>
  <c r="BL73" i="72"/>
  <c r="BN73" i="72"/>
  <c r="BM73" i="72"/>
  <c r="AO75" i="72"/>
  <c r="AX75" i="72"/>
  <c r="AE76" i="72"/>
  <c r="AN76" i="72"/>
  <c r="Z79" i="72"/>
  <c r="AI79" i="72"/>
  <c r="P80" i="72"/>
  <c r="Y80" i="72"/>
  <c r="BD80" i="72"/>
  <c r="O81" i="72"/>
  <c r="AT81" i="72"/>
  <c r="BC81" i="72"/>
  <c r="AJ82" i="72"/>
  <c r="Z83" i="72"/>
  <c r="AI83" i="72"/>
  <c r="P84" i="72"/>
  <c r="Y84" i="72"/>
  <c r="BD84" i="72"/>
  <c r="Z85" i="72"/>
  <c r="AI85" i="72"/>
  <c r="P86" i="72"/>
  <c r="BE86" i="72"/>
  <c r="BD86" i="72"/>
  <c r="Q87" i="72"/>
  <c r="O87" i="72"/>
  <c r="AK88" i="72"/>
  <c r="AJ88" i="72"/>
  <c r="AU88" i="72"/>
  <c r="Q90" i="72"/>
  <c r="P90" i="72"/>
  <c r="AA90" i="72"/>
  <c r="Y90" i="72"/>
  <c r="AA93" i="72"/>
  <c r="Z93" i="72"/>
  <c r="AK93" i="72"/>
  <c r="AI93" i="72"/>
  <c r="AF99" i="72"/>
  <c r="AE99" i="72"/>
  <c r="AZ99" i="72"/>
  <c r="AY99" i="72"/>
  <c r="AF100" i="72"/>
  <c r="AE100" i="72"/>
  <c r="AZ100" i="72"/>
  <c r="AY100" i="72"/>
  <c r="V101" i="72"/>
  <c r="U101" i="72"/>
  <c r="AP101" i="72"/>
  <c r="AO101" i="72"/>
  <c r="BJ101" i="72"/>
  <c r="BI101" i="72"/>
  <c r="AF103" i="72"/>
  <c r="AE103" i="72"/>
  <c r="AZ103" i="72"/>
  <c r="AY103" i="72"/>
  <c r="Q104" i="72"/>
  <c r="O104" i="72"/>
  <c r="AP104" i="72"/>
  <c r="AM104" i="72"/>
  <c r="BE104" i="72"/>
  <c r="BC104" i="72"/>
  <c r="DT104" i="72"/>
  <c r="DR104" i="72"/>
  <c r="DU104" i="72"/>
  <c r="DS104" i="72"/>
  <c r="Q107" i="72"/>
  <c r="O107" i="72"/>
  <c r="AP107" i="72"/>
  <c r="AM107" i="72"/>
  <c r="BE107" i="72"/>
  <c r="BC107" i="72"/>
  <c r="AF108" i="72"/>
  <c r="AC108" i="72"/>
  <c r="AU108" i="72"/>
  <c r="DV108" i="72"/>
  <c r="Q110" i="72"/>
  <c r="N110" i="72"/>
  <c r="AF110" i="72"/>
  <c r="AD110" i="72"/>
  <c r="BE110" i="72"/>
  <c r="BB110" i="72"/>
  <c r="V111" i="72"/>
  <c r="T111" i="72"/>
  <c r="AU111" i="72"/>
  <c r="AR111" i="72"/>
  <c r="BJ111" i="72"/>
  <c r="BH111" i="72"/>
  <c r="DB52" i="72"/>
  <c r="DG52" i="72" s="1"/>
  <c r="DL52" i="72" s="1"/>
  <c r="DQ52" i="72" s="1"/>
  <c r="DV52" i="72" s="1"/>
  <c r="BO65" i="72"/>
  <c r="BL65" i="72"/>
  <c r="BN65" i="72"/>
  <c r="BM65" i="72"/>
  <c r="Z72" i="72"/>
  <c r="AI72" i="72"/>
  <c r="P73" i="72"/>
  <c r="Y73" i="72"/>
  <c r="BD73" i="72"/>
  <c r="BK73" i="72"/>
  <c r="BG73" i="72" s="1"/>
  <c r="AA86" i="72"/>
  <c r="Y86" i="72"/>
  <c r="AU87" i="72"/>
  <c r="AT87" i="72"/>
  <c r="BE87" i="72"/>
  <c r="BC87" i="72"/>
  <c r="AA89" i="72"/>
  <c r="Z89" i="72"/>
  <c r="AK89" i="72"/>
  <c r="AI89" i="72"/>
  <c r="BE90" i="72"/>
  <c r="BD90" i="72"/>
  <c r="AK92" i="72"/>
  <c r="AJ92" i="72"/>
  <c r="AU92" i="72"/>
  <c r="V99" i="72"/>
  <c r="U99" i="72"/>
  <c r="AP99" i="72"/>
  <c r="AO99" i="72"/>
  <c r="BJ99" i="72"/>
  <c r="BI99" i="72"/>
  <c r="V100" i="72"/>
  <c r="U100" i="72"/>
  <c r="AP100" i="72"/>
  <c r="AO100" i="72"/>
  <c r="BJ100" i="72"/>
  <c r="BI100" i="72"/>
  <c r="AF101" i="72"/>
  <c r="AE101" i="72"/>
  <c r="AZ101" i="72"/>
  <c r="AY101" i="72"/>
  <c r="V103" i="72"/>
  <c r="U103" i="72"/>
  <c r="AP103" i="72"/>
  <c r="AO103" i="72"/>
  <c r="BJ103" i="72"/>
  <c r="BI103" i="72"/>
  <c r="V104" i="72"/>
  <c r="S104" i="72"/>
  <c r="AK104" i="72"/>
  <c r="AI104" i="72"/>
  <c r="BJ104" i="72"/>
  <c r="BG104" i="72"/>
  <c r="V107" i="72"/>
  <c r="S107" i="72"/>
  <c r="AK107" i="72"/>
  <c r="AI107" i="72"/>
  <c r="BJ107" i="72"/>
  <c r="BG107" i="72"/>
  <c r="AA108" i="72"/>
  <c r="Y108" i="72"/>
  <c r="AZ108" i="72"/>
  <c r="AW108" i="72"/>
  <c r="AK110" i="72"/>
  <c r="AH110" i="72"/>
  <c r="AZ110" i="72"/>
  <c r="AX110" i="72"/>
  <c r="AA111" i="72"/>
  <c r="X111" i="72"/>
  <c r="AP111" i="72"/>
  <c r="AN111" i="72"/>
  <c r="Q112" i="72"/>
  <c r="N112" i="72"/>
  <c r="AD112" i="72"/>
  <c r="AH112" i="72"/>
  <c r="AX112" i="72"/>
  <c r="BB112" i="72"/>
  <c r="T113" i="72"/>
  <c r="X113" i="72"/>
  <c r="AN113" i="72"/>
  <c r="AR113" i="72"/>
  <c r="BH113" i="72"/>
  <c r="U116" i="72"/>
  <c r="AY116" i="72"/>
  <c r="BI116" i="72"/>
  <c r="N117" i="72"/>
  <c r="AE117" i="72"/>
  <c r="AH117" i="72"/>
  <c r="AY117" i="72"/>
  <c r="BB117" i="72"/>
  <c r="U118" i="72"/>
  <c r="X118" i="72"/>
  <c r="AO118" i="72"/>
  <c r="AR118" i="72"/>
  <c r="BI118" i="72"/>
  <c r="U119" i="72"/>
  <c r="X119" i="72"/>
  <c r="AY119" i="72"/>
  <c r="BI119" i="72"/>
  <c r="N121" i="72"/>
  <c r="AO121" i="72"/>
  <c r="AY121" i="72"/>
  <c r="BB121" i="72"/>
  <c r="AE123" i="72"/>
  <c r="AO123" i="72"/>
  <c r="AR123" i="72"/>
  <c r="U124" i="72"/>
  <c r="AE124" i="72"/>
  <c r="AH124" i="72"/>
  <c r="BI124" i="72"/>
  <c r="U125" i="72"/>
  <c r="X125" i="72"/>
  <c r="AY125" i="72"/>
  <c r="BI125" i="72"/>
  <c r="P127" i="72"/>
  <c r="S127" i="72"/>
  <c r="AT127" i="72"/>
  <c r="AX128" i="72"/>
  <c r="AX129" i="72"/>
  <c r="BB129" i="72"/>
  <c r="T130" i="72"/>
  <c r="X130" i="72"/>
  <c r="T132" i="72"/>
  <c r="X132" i="72"/>
  <c r="AN132" i="72"/>
  <c r="AR132" i="72"/>
  <c r="U134" i="72"/>
  <c r="AD134" i="72"/>
  <c r="AH134" i="72"/>
  <c r="BI134" i="72"/>
  <c r="BI137" i="72"/>
  <c r="AO138" i="72"/>
  <c r="AX138" i="72"/>
  <c r="BB138" i="72"/>
  <c r="U140" i="72"/>
  <c r="AD140" i="72"/>
  <c r="AH140" i="72"/>
  <c r="AY142" i="72"/>
  <c r="BH142" i="72"/>
  <c r="N143" i="72"/>
  <c r="AE144" i="72"/>
  <c r="AN144" i="72"/>
  <c r="AR144" i="72"/>
  <c r="BI145" i="72"/>
  <c r="T146" i="72"/>
  <c r="X146" i="72"/>
  <c r="AO147" i="72"/>
  <c r="AX147" i="72"/>
  <c r="BB147" i="72"/>
  <c r="U148" i="72"/>
  <c r="AD148" i="72"/>
  <c r="AH148" i="72"/>
  <c r="AY149" i="72"/>
  <c r="BH149" i="72"/>
  <c r="N150" i="72"/>
  <c r="AE151" i="72"/>
  <c r="AN151" i="72"/>
  <c r="AR151" i="72"/>
  <c r="DU143" i="72"/>
  <c r="DT143" i="72"/>
  <c r="DR143" i="72"/>
  <c r="DS143" i="72"/>
  <c r="T155" i="72"/>
  <c r="X155" i="72"/>
  <c r="AN155" i="72"/>
  <c r="AR155" i="72"/>
  <c r="BH155" i="72"/>
  <c r="N156" i="72"/>
  <c r="AD156" i="72"/>
  <c r="AH156" i="72"/>
  <c r="AX156" i="72"/>
  <c r="BB156" i="72"/>
  <c r="Y158" i="72"/>
  <c r="AC158" i="72"/>
  <c r="AW158" i="72"/>
  <c r="P159" i="72"/>
  <c r="Z159" i="72"/>
  <c r="AI159" i="72"/>
  <c r="AM159" i="72"/>
  <c r="AR159" i="72"/>
  <c r="BD159" i="72"/>
  <c r="T161" i="72"/>
  <c r="X161" i="72"/>
  <c r="AN161" i="72"/>
  <c r="AR161" i="72"/>
  <c r="BH161" i="72"/>
  <c r="BJ163" i="72"/>
  <c r="BI163" i="72"/>
  <c r="AE165" i="72"/>
  <c r="AC165" i="72"/>
  <c r="U166" i="72"/>
  <c r="S166" i="72"/>
  <c r="BI166" i="72"/>
  <c r="BG166" i="72"/>
  <c r="AY167" i="72"/>
  <c r="AW167" i="72"/>
  <c r="BK128" i="72"/>
  <c r="BJ128" i="72" s="1"/>
  <c r="BP128" i="72"/>
  <c r="N162" i="72"/>
  <c r="AD162" i="72"/>
  <c r="AH162" i="72"/>
  <c r="AX162" i="72"/>
  <c r="BB162" i="72"/>
  <c r="T163" i="72"/>
  <c r="X163" i="72"/>
  <c r="AN163" i="72"/>
  <c r="AU163" i="72"/>
  <c r="AR163" i="72"/>
  <c r="BG163" i="72"/>
  <c r="Q165" i="72"/>
  <c r="P165" i="72"/>
  <c r="AA165" i="72"/>
  <c r="Y165" i="72"/>
  <c r="BE165" i="72"/>
  <c r="BD165" i="72"/>
  <c r="Q166" i="72"/>
  <c r="O166" i="72"/>
  <c r="AU166" i="72"/>
  <c r="AT166" i="72"/>
  <c r="BE166" i="72"/>
  <c r="BC166" i="72"/>
  <c r="AK167" i="72"/>
  <c r="AJ167" i="72"/>
  <c r="AU167" i="72"/>
  <c r="H178" i="72"/>
  <c r="H179" i="72" s="1"/>
  <c r="DT177" i="72"/>
  <c r="DR177" i="72"/>
  <c r="DU177" i="72"/>
  <c r="DS177" i="72"/>
  <c r="BP177" i="72"/>
  <c r="T189" i="72"/>
  <c r="T191" i="72" s="1"/>
  <c r="V189" i="72"/>
  <c r="V191" i="72" s="1"/>
  <c r="X189" i="72"/>
  <c r="X191" i="72" s="1"/>
  <c r="AN189" i="72"/>
  <c r="AN191" i="72" s="1"/>
  <c r="AP189" i="72"/>
  <c r="AP191" i="72" s="1"/>
  <c r="AR194" i="72"/>
  <c r="X194" i="72"/>
  <c r="N195" i="72"/>
  <c r="AH194" i="72"/>
  <c r="AT194" i="72"/>
  <c r="P195" i="72"/>
  <c r="X92" i="15"/>
  <c r="AC92" i="15"/>
  <c r="AH92" i="15"/>
  <c r="AM92" i="15"/>
  <c r="V108" i="15"/>
  <c r="AA108" i="15"/>
  <c r="AA321" i="15" s="1"/>
  <c r="AF108" i="15"/>
  <c r="AF321" i="15" s="1"/>
  <c r="AK108" i="15"/>
  <c r="AK321" i="15" s="1"/>
  <c r="N194" i="72"/>
  <c r="Z194" i="72"/>
  <c r="AW194" i="72"/>
  <c r="O195" i="72"/>
  <c r="S195" i="72"/>
  <c r="X195" i="72"/>
  <c r="AJ195" i="72"/>
  <c r="Y196" i="72"/>
  <c r="AC196" i="72"/>
  <c r="Z67" i="15"/>
  <c r="Z65" i="15" s="1"/>
  <c r="U67" i="15"/>
  <c r="Y65" i="15"/>
  <c r="Y306" i="15" s="1"/>
  <c r="AS65" i="15"/>
  <c r="AS286" i="15" s="1"/>
  <c r="BY43" i="65"/>
  <c r="CI43" i="65"/>
  <c r="X72" i="15"/>
  <c r="AC72" i="15"/>
  <c r="AH72" i="15"/>
  <c r="AM72" i="15"/>
  <c r="X96" i="15"/>
  <c r="AC96" i="15"/>
  <c r="AH96" i="15"/>
  <c r="AM96" i="15"/>
  <c r="X100" i="15"/>
  <c r="AC100" i="15"/>
  <c r="AH100" i="15"/>
  <c r="AM100" i="15"/>
  <c r="U108" i="15"/>
  <c r="W108" i="15"/>
  <c r="Z108" i="15"/>
  <c r="Z321" i="15" s="1"/>
  <c r="AB108" i="15"/>
  <c r="AB321" i="15" s="1"/>
  <c r="AE108" i="15"/>
  <c r="AE321" i="15" s="1"/>
  <c r="AG108" i="15"/>
  <c r="AG321" i="15" s="1"/>
  <c r="AJ108" i="15"/>
  <c r="AJ321" i="15" s="1"/>
  <c r="AL108" i="15"/>
  <c r="AL321" i="15" s="1"/>
  <c r="X107" i="15"/>
  <c r="P194" i="72"/>
  <c r="Y194" i="72"/>
  <c r="AC194" i="72"/>
  <c r="AI195" i="72"/>
  <c r="AM195" i="72"/>
  <c r="BG195" i="72"/>
  <c r="AW196" i="72"/>
  <c r="AX65" i="15"/>
  <c r="AX77" i="15" s="1"/>
  <c r="AZ108" i="15"/>
  <c r="AZ321" i="15" s="1"/>
  <c r="K67" i="47"/>
  <c r="L99" i="47"/>
  <c r="T99" i="47"/>
  <c r="J99" i="47"/>
  <c r="V99" i="47"/>
  <c r="L132" i="47"/>
  <c r="L77" i="47" s="1"/>
  <c r="Q147" i="47"/>
  <c r="Q80" i="47" s="1"/>
  <c r="H161" i="47"/>
  <c r="K161" i="47"/>
  <c r="O99" i="47"/>
  <c r="M67" i="47"/>
  <c r="K121" i="47"/>
  <c r="AF132" i="47"/>
  <c r="AF77" i="47" s="1"/>
  <c r="P137" i="47"/>
  <c r="P78" i="47" s="1"/>
  <c r="AN99" i="47"/>
  <c r="F109" i="47"/>
  <c r="K109" i="47"/>
  <c r="X99" i="47"/>
  <c r="AE67" i="47"/>
  <c r="J67" i="47"/>
  <c r="T67" i="47"/>
  <c r="Z67" i="47"/>
  <c r="F121" i="47"/>
  <c r="L121" i="47"/>
  <c r="P142" i="47"/>
  <c r="P79" i="47" s="1"/>
  <c r="X142" i="47"/>
  <c r="X79" i="47" s="1"/>
  <c r="Y147" i="47"/>
  <c r="Y80" i="47" s="1"/>
  <c r="DG176" i="72"/>
  <c r="DJ176" i="72" s="1"/>
  <c r="CD43" i="65"/>
  <c r="CN43" i="65"/>
  <c r="BY37" i="65"/>
  <c r="AA42" i="72"/>
  <c r="X42" i="72"/>
  <c r="AP42" i="72"/>
  <c r="AN42" i="72"/>
  <c r="Q40" i="72"/>
  <c r="N40" i="72"/>
  <c r="AF40" i="72"/>
  <c r="AD40" i="72"/>
  <c r="BE40" i="72"/>
  <c r="BB40" i="72"/>
  <c r="V41" i="72"/>
  <c r="T41" i="72"/>
  <c r="AU41" i="72"/>
  <c r="AR41" i="72"/>
  <c r="BJ41" i="72"/>
  <c r="BH41" i="72"/>
  <c r="BE63" i="72"/>
  <c r="BD63" i="72"/>
  <c r="Q64" i="72"/>
  <c r="O64" i="72"/>
  <c r="AA64" i="72"/>
  <c r="Y64" i="72"/>
  <c r="AA65" i="72"/>
  <c r="Z65" i="72"/>
  <c r="Q79" i="72"/>
  <c r="O79" i="72"/>
  <c r="AU79" i="72"/>
  <c r="AT79" i="72"/>
  <c r="BE79" i="72"/>
  <c r="BC79" i="72"/>
  <c r="AK80" i="72"/>
  <c r="AJ80" i="72"/>
  <c r="AU80" i="72"/>
  <c r="AA81" i="72"/>
  <c r="Z81" i="72"/>
  <c r="AK81" i="72"/>
  <c r="AI81" i="72"/>
  <c r="Q82" i="72"/>
  <c r="P82" i="72"/>
  <c r="AA82" i="72"/>
  <c r="Y82" i="72"/>
  <c r="BE82" i="72"/>
  <c r="BD82" i="72"/>
  <c r="Q83" i="72"/>
  <c r="O83" i="72"/>
  <c r="AU83" i="72"/>
  <c r="AT83" i="72"/>
  <c r="BE83" i="72"/>
  <c r="BC83" i="72"/>
  <c r="AK84" i="72"/>
  <c r="AJ84" i="72"/>
  <c r="AU84" i="72"/>
  <c r="Q85" i="72"/>
  <c r="O85" i="72"/>
  <c r="AU85" i="72"/>
  <c r="AT85" i="72"/>
  <c r="BE85" i="72"/>
  <c r="BC85" i="72"/>
  <c r="AK86" i="72"/>
  <c r="AJ86" i="72"/>
  <c r="AU86" i="72"/>
  <c r="AA87" i="72"/>
  <c r="Z87" i="72"/>
  <c r="AK87" i="72"/>
  <c r="AI87" i="72"/>
  <c r="Q88" i="72"/>
  <c r="P88" i="72"/>
  <c r="AA88" i="72"/>
  <c r="Y88" i="72"/>
  <c r="BE88" i="72"/>
  <c r="BD88" i="72"/>
  <c r="Q89" i="72"/>
  <c r="O89" i="72"/>
  <c r="AU89" i="72"/>
  <c r="AT89" i="72"/>
  <c r="BE89" i="72"/>
  <c r="BC89" i="72"/>
  <c r="AK90" i="72"/>
  <c r="AJ90" i="72"/>
  <c r="AU90" i="72"/>
  <c r="Q92" i="72"/>
  <c r="P92" i="72"/>
  <c r="AA92" i="72"/>
  <c r="Y92" i="72"/>
  <c r="BE92" i="72"/>
  <c r="BD92" i="72"/>
  <c r="Q93" i="72"/>
  <c r="O93" i="72"/>
  <c r="AU93" i="72"/>
  <c r="AT93" i="72"/>
  <c r="BE93" i="72"/>
  <c r="BC93" i="72"/>
  <c r="Q116" i="72"/>
  <c r="P116" i="72"/>
  <c r="AK116" i="72"/>
  <c r="AJ116" i="72"/>
  <c r="BE116" i="72"/>
  <c r="BD116" i="72"/>
  <c r="Z117" i="72"/>
  <c r="X117" i="72"/>
  <c r="AT117" i="72"/>
  <c r="AR117" i="72"/>
  <c r="P118" i="72"/>
  <c r="N118" i="72"/>
  <c r="AJ118" i="72"/>
  <c r="AH118" i="72"/>
  <c r="BD118" i="72"/>
  <c r="BB118" i="72"/>
  <c r="AT128" i="72"/>
  <c r="AR128" i="72"/>
  <c r="AF129" i="72"/>
  <c r="AD129" i="72"/>
  <c r="AP130" i="72"/>
  <c r="AN130" i="72"/>
  <c r="BJ130" i="72"/>
  <c r="BH130" i="72"/>
  <c r="AZ131" i="72"/>
  <c r="AX131" i="72"/>
  <c r="AY131" i="72"/>
  <c r="BJ132" i="72"/>
  <c r="BH132" i="72"/>
  <c r="BI132" i="72"/>
  <c r="AZ137" i="72"/>
  <c r="AX137" i="72"/>
  <c r="AY137" i="72"/>
  <c r="AF138" i="72"/>
  <c r="AD138" i="72"/>
  <c r="AE138" i="72"/>
  <c r="V139" i="72"/>
  <c r="T139" i="72"/>
  <c r="U139" i="72"/>
  <c r="BJ139" i="72"/>
  <c r="BH139" i="72"/>
  <c r="BI139" i="72"/>
  <c r="AZ140" i="72"/>
  <c r="AX140" i="72"/>
  <c r="AY140" i="72"/>
  <c r="AP142" i="72"/>
  <c r="AN142" i="72"/>
  <c r="AO142" i="72"/>
  <c r="AF143" i="72"/>
  <c r="AD143" i="72"/>
  <c r="AE143" i="72"/>
  <c r="V144" i="72"/>
  <c r="T144" i="72"/>
  <c r="U144" i="72"/>
  <c r="BJ144" i="72"/>
  <c r="BH144" i="72"/>
  <c r="BI144" i="72"/>
  <c r="AZ145" i="72"/>
  <c r="AX145" i="72"/>
  <c r="AY145" i="72"/>
  <c r="AP146" i="72"/>
  <c r="AN146" i="72"/>
  <c r="AO146" i="72"/>
  <c r="AF147" i="72"/>
  <c r="AD147" i="72"/>
  <c r="AE147" i="72"/>
  <c r="AZ148" i="72"/>
  <c r="AX148" i="72"/>
  <c r="AY148" i="72"/>
  <c r="AP149" i="72"/>
  <c r="AN149" i="72"/>
  <c r="AO149" i="72"/>
  <c r="AF150" i="72"/>
  <c r="AD150" i="72"/>
  <c r="AE150" i="72"/>
  <c r="V151" i="72"/>
  <c r="T151" i="72"/>
  <c r="U151" i="72"/>
  <c r="BJ151" i="72"/>
  <c r="BH151" i="72"/>
  <c r="BI151" i="72"/>
  <c r="AZ152" i="72"/>
  <c r="AX152" i="72"/>
  <c r="AY152" i="72"/>
  <c r="BI152" i="72"/>
  <c r="BG152" i="72"/>
  <c r="AO194" i="72"/>
  <c r="AM194" i="72"/>
  <c r="AK196" i="72"/>
  <c r="AI196" i="72"/>
  <c r="AJ196" i="72"/>
  <c r="AH196" i="72"/>
  <c r="AZ195" i="72"/>
  <c r="AW195" i="72"/>
  <c r="BT22" i="72"/>
  <c r="BV22" i="72"/>
  <c r="BY22" i="72"/>
  <c r="CA22" i="72"/>
  <c r="CD22" i="72"/>
  <c r="CF22" i="72"/>
  <c r="CI22" i="72"/>
  <c r="CK22" i="72"/>
  <c r="DH22" i="72"/>
  <c r="DJ22" i="72"/>
  <c r="BU22" i="72"/>
  <c r="CE22" i="72"/>
  <c r="DI22" i="72"/>
  <c r="AN44" i="72"/>
  <c r="AR44" i="72"/>
  <c r="T39" i="72"/>
  <c r="X39" i="72"/>
  <c r="AN39" i="72"/>
  <c r="AR39" i="72"/>
  <c r="BH39" i="72"/>
  <c r="N43" i="72"/>
  <c r="AD43" i="72"/>
  <c r="AH43" i="72"/>
  <c r="AX43" i="72"/>
  <c r="BB43" i="72"/>
  <c r="T38" i="72"/>
  <c r="X38" i="72"/>
  <c r="AN38" i="72"/>
  <c r="AR38" i="72"/>
  <c r="BH38" i="72"/>
  <c r="V42" i="72"/>
  <c r="T42" i="72"/>
  <c r="AO42" i="72"/>
  <c r="AU42" i="72"/>
  <c r="AR42" i="72"/>
  <c r="BJ42" i="72"/>
  <c r="BH42" i="72"/>
  <c r="AE40" i="72"/>
  <c r="AK40" i="72"/>
  <c r="AH40" i="72"/>
  <c r="AZ40" i="72"/>
  <c r="AX40" i="72"/>
  <c r="U41" i="72"/>
  <c r="AA41" i="72"/>
  <c r="X41" i="72"/>
  <c r="AP41" i="72"/>
  <c r="AN41" i="72"/>
  <c r="BI41" i="72"/>
  <c r="AU63" i="72"/>
  <c r="AT63" i="72"/>
  <c r="BB63" i="72"/>
  <c r="P64" i="72"/>
  <c r="Z64" i="72"/>
  <c r="X65" i="72"/>
  <c r="AK65" i="72"/>
  <c r="AJ65" i="72"/>
  <c r="AU65" i="72"/>
  <c r="BE65" i="72"/>
  <c r="BC65" i="72"/>
  <c r="BE66" i="72"/>
  <c r="BD66" i="72"/>
  <c r="AK67" i="72"/>
  <c r="AJ67" i="72"/>
  <c r="AU67" i="72"/>
  <c r="P79" i="72"/>
  <c r="AR79" i="72"/>
  <c r="BD79" i="72"/>
  <c r="AH80" i="72"/>
  <c r="AT80" i="72"/>
  <c r="X81" i="72"/>
  <c r="AJ81" i="72"/>
  <c r="N82" i="72"/>
  <c r="Z82" i="72"/>
  <c r="BB82" i="72"/>
  <c r="P83" i="72"/>
  <c r="AR83" i="72"/>
  <c r="BD83" i="72"/>
  <c r="AH84" i="72"/>
  <c r="AT84" i="72"/>
  <c r="P85" i="72"/>
  <c r="AR85" i="72"/>
  <c r="BD85" i="72"/>
  <c r="AH86" i="72"/>
  <c r="AT86" i="72"/>
  <c r="X87" i="72"/>
  <c r="AJ87" i="72"/>
  <c r="N88" i="72"/>
  <c r="Z88" i="72"/>
  <c r="BB88" i="72"/>
  <c r="P89" i="72"/>
  <c r="AR89" i="72"/>
  <c r="BD89" i="72"/>
  <c r="AH90" i="72"/>
  <c r="AT90" i="72"/>
  <c r="N92" i="72"/>
  <c r="Z92" i="72"/>
  <c r="BB92" i="72"/>
  <c r="P93" i="72"/>
  <c r="AR93" i="72"/>
  <c r="BD93" i="72"/>
  <c r="N116" i="72"/>
  <c r="AA116" i="72"/>
  <c r="Z116" i="72"/>
  <c r="AH116" i="72"/>
  <c r="AU116" i="72"/>
  <c r="AT116" i="72"/>
  <c r="BB116" i="72"/>
  <c r="V117" i="72"/>
  <c r="U117" i="72"/>
  <c r="AP117" i="72"/>
  <c r="AO117" i="72"/>
  <c r="BJ117" i="72"/>
  <c r="BI117" i="72"/>
  <c r="AF118" i="72"/>
  <c r="AE118" i="72"/>
  <c r="AZ118" i="72"/>
  <c r="AY118" i="72"/>
  <c r="N119" i="72"/>
  <c r="AH119" i="72"/>
  <c r="BB119" i="72"/>
  <c r="X121" i="72"/>
  <c r="AR121" i="72"/>
  <c r="N123" i="72"/>
  <c r="AH123" i="72"/>
  <c r="BB123" i="72"/>
  <c r="X124" i="72"/>
  <c r="AR124" i="72"/>
  <c r="N125" i="72"/>
  <c r="AH125" i="72"/>
  <c r="BB125" i="72"/>
  <c r="AC127" i="72"/>
  <c r="AW127" i="72"/>
  <c r="AF128" i="72"/>
  <c r="AD128" i="72"/>
  <c r="AP128" i="72"/>
  <c r="AN128" i="72"/>
  <c r="P129" i="72"/>
  <c r="N129" i="72"/>
  <c r="AE129" i="72"/>
  <c r="AJ129" i="72"/>
  <c r="AH129" i="72"/>
  <c r="AC130" i="72"/>
  <c r="AO130" i="72"/>
  <c r="AT130" i="72"/>
  <c r="AR130" i="72"/>
  <c r="BI130" i="72"/>
  <c r="P131" i="72"/>
  <c r="N131" i="72"/>
  <c r="AW131" i="72"/>
  <c r="AY132" i="72"/>
  <c r="AW132" i="72"/>
  <c r="BG132" i="72"/>
  <c r="AP137" i="72"/>
  <c r="AO137" i="72"/>
  <c r="AM137" i="72"/>
  <c r="AW137" i="72"/>
  <c r="V138" i="72"/>
  <c r="U138" i="72"/>
  <c r="S138" i="72"/>
  <c r="AC138" i="72"/>
  <c r="BJ138" i="72"/>
  <c r="BI138" i="72"/>
  <c r="BG138" i="72"/>
  <c r="S139" i="72"/>
  <c r="AZ139" i="72"/>
  <c r="AY139" i="72"/>
  <c r="AW139" i="72"/>
  <c r="BG139" i="72"/>
  <c r="AP140" i="72"/>
  <c r="AO140" i="72"/>
  <c r="AM140" i="72"/>
  <c r="AW140" i="72"/>
  <c r="AF142" i="72"/>
  <c r="AE142" i="72"/>
  <c r="AC142" i="72"/>
  <c r="AM142" i="72"/>
  <c r="V143" i="72"/>
  <c r="U143" i="72"/>
  <c r="S143" i="72"/>
  <c r="AC143" i="72"/>
  <c r="BJ143" i="72"/>
  <c r="BI143" i="72"/>
  <c r="BG143" i="72"/>
  <c r="S144" i="72"/>
  <c r="AZ144" i="72"/>
  <c r="AY144" i="72"/>
  <c r="AW144" i="72"/>
  <c r="BG144" i="72"/>
  <c r="AP145" i="72"/>
  <c r="AO145" i="72"/>
  <c r="AM145" i="72"/>
  <c r="AW145" i="72"/>
  <c r="AF146" i="72"/>
  <c r="AE146" i="72"/>
  <c r="AC146" i="72"/>
  <c r="AM146" i="72"/>
  <c r="V147" i="72"/>
  <c r="U147" i="72"/>
  <c r="S147" i="72"/>
  <c r="AC147" i="72"/>
  <c r="BJ147" i="72"/>
  <c r="BI147" i="72"/>
  <c r="BG147" i="72"/>
  <c r="AP148" i="72"/>
  <c r="AO148" i="72"/>
  <c r="AM148" i="72"/>
  <c r="AW148" i="72"/>
  <c r="AF149" i="72"/>
  <c r="AE149" i="72"/>
  <c r="AC149" i="72"/>
  <c r="AM149" i="72"/>
  <c r="V150" i="72"/>
  <c r="U150" i="72"/>
  <c r="S150" i="72"/>
  <c r="AC150" i="72"/>
  <c r="BJ150" i="72"/>
  <c r="BI150" i="72"/>
  <c r="BG150" i="72"/>
  <c r="S151" i="72"/>
  <c r="AZ151" i="72"/>
  <c r="AY151" i="72"/>
  <c r="AW151" i="72"/>
  <c r="BG151" i="72"/>
  <c r="AP152" i="72"/>
  <c r="AO152" i="72"/>
  <c r="AM152" i="72"/>
  <c r="AW152" i="72"/>
  <c r="AB199" i="72"/>
  <c r="AU195" i="72"/>
  <c r="AT195" i="72"/>
  <c r="AR195" i="72"/>
  <c r="BD131" i="72"/>
  <c r="BB131" i="72"/>
  <c r="P137" i="72"/>
  <c r="N137" i="72"/>
  <c r="BD137" i="72"/>
  <c r="BB137" i="72"/>
  <c r="AJ138" i="72"/>
  <c r="AH138" i="72"/>
  <c r="Z139" i="72"/>
  <c r="X139" i="72"/>
  <c r="P140" i="72"/>
  <c r="N140" i="72"/>
  <c r="BD140" i="72"/>
  <c r="BB140" i="72"/>
  <c r="AT142" i="72"/>
  <c r="AR142" i="72"/>
  <c r="AJ143" i="72"/>
  <c r="AH143" i="72"/>
  <c r="Z144" i="72"/>
  <c r="X144" i="72"/>
  <c r="P145" i="72"/>
  <c r="N145" i="72"/>
  <c r="BD145" i="72"/>
  <c r="BB145" i="72"/>
  <c r="AT146" i="72"/>
  <c r="AR146" i="72"/>
  <c r="AJ147" i="72"/>
  <c r="AH147" i="72"/>
  <c r="P148" i="72"/>
  <c r="N148" i="72"/>
  <c r="BD148" i="72"/>
  <c r="BB148" i="72"/>
  <c r="AT149" i="72"/>
  <c r="AR149" i="72"/>
  <c r="AJ150" i="72"/>
  <c r="AH150" i="72"/>
  <c r="Z151" i="72"/>
  <c r="X151" i="72"/>
  <c r="P152" i="72"/>
  <c r="N152" i="72"/>
  <c r="BD152" i="72"/>
  <c r="BB152" i="72"/>
  <c r="R199" i="72"/>
  <c r="BE194" i="72"/>
  <c r="BC194" i="72"/>
  <c r="BD194" i="72"/>
  <c r="AF195" i="72"/>
  <c r="AC195" i="72"/>
  <c r="V196" i="72"/>
  <c r="S196" i="72"/>
  <c r="L199" i="72"/>
  <c r="L201" i="72" s="1"/>
  <c r="AK194" i="72"/>
  <c r="AI194" i="72"/>
  <c r="BJ194" i="72"/>
  <c r="BG194" i="72"/>
  <c r="AA195" i="72"/>
  <c r="Y195" i="72"/>
  <c r="Q196" i="72"/>
  <c r="O196" i="72"/>
  <c r="AP196" i="72"/>
  <c r="AM196" i="72"/>
  <c r="BE196" i="72"/>
  <c r="BC196" i="72"/>
  <c r="M199" i="72"/>
  <c r="M201" i="72" s="1"/>
  <c r="AL199" i="72"/>
  <c r="AV199" i="72"/>
  <c r="BR199" i="72"/>
  <c r="BY199" i="72"/>
  <c r="BY201" i="72" s="1"/>
  <c r="CA199" i="72"/>
  <c r="CA201" i="72" s="1"/>
  <c r="CD199" i="72"/>
  <c r="CD201" i="72" s="1"/>
  <c r="CF199" i="72"/>
  <c r="CF201" i="72" s="1"/>
  <c r="CI199" i="72"/>
  <c r="CK199" i="72"/>
  <c r="CN199" i="72"/>
  <c r="CP199" i="72"/>
  <c r="DG195" i="72"/>
  <c r="BB81" i="46"/>
  <c r="BL81" i="46"/>
  <c r="BE10" i="47"/>
  <c r="BF108" i="15"/>
  <c r="BF321" i="15" s="1"/>
  <c r="AK67" i="47"/>
  <c r="X9" i="51"/>
  <c r="AM17" i="47"/>
  <c r="AM9" i="51"/>
  <c r="N25" i="47"/>
  <c r="N27" i="47" s="1"/>
  <c r="N34" i="47" s="1"/>
  <c r="N10" i="51"/>
  <c r="N18" i="51" s="1"/>
  <c r="X25" i="47"/>
  <c r="X27" i="47" s="1"/>
  <c r="X34" i="47" s="1"/>
  <c r="X10" i="51"/>
  <c r="X18" i="51" s="1"/>
  <c r="AH25" i="47"/>
  <c r="AH27" i="47" s="1"/>
  <c r="AH10" i="51"/>
  <c r="AH18" i="51" s="1"/>
  <c r="AC25" i="47"/>
  <c r="AC27" i="47" s="1"/>
  <c r="BB42" i="46"/>
  <c r="BG42" i="46"/>
  <c r="BL42" i="46"/>
  <c r="X117" i="47"/>
  <c r="F9" i="51"/>
  <c r="K17" i="47"/>
  <c r="K9" i="51"/>
  <c r="K11" i="51" s="1"/>
  <c r="P9" i="51"/>
  <c r="U17" i="47"/>
  <c r="U9" i="51"/>
  <c r="U11" i="51" s="1"/>
  <c r="Z9" i="51"/>
  <c r="AE17" i="47"/>
  <c r="AE9" i="51"/>
  <c r="AJ9" i="51"/>
  <c r="AO17" i="47"/>
  <c r="AO9" i="51"/>
  <c r="F25" i="47"/>
  <c r="F27" i="47" s="1"/>
  <c r="F34" i="47" s="1"/>
  <c r="F10" i="51"/>
  <c r="F18" i="51" s="1"/>
  <c r="P25" i="47"/>
  <c r="P27" i="47" s="1"/>
  <c r="P34" i="47" s="1"/>
  <c r="P10" i="51"/>
  <c r="P18" i="51" s="1"/>
  <c r="Z25" i="47"/>
  <c r="Z27" i="47" s="1"/>
  <c r="Z34" i="47" s="1"/>
  <c r="Z10" i="51"/>
  <c r="Z18" i="51" s="1"/>
  <c r="AJ25" i="47"/>
  <c r="AJ27" i="47" s="1"/>
  <c r="AJ34" i="47" s="1"/>
  <c r="AJ10" i="51"/>
  <c r="AJ18" i="51" s="1"/>
  <c r="E25" i="47"/>
  <c r="E27" i="47" s="1"/>
  <c r="O25" i="47"/>
  <c r="O27" i="47" s="1"/>
  <c r="O34" i="47" s="1"/>
  <c r="O35" i="47" s="1"/>
  <c r="Y25" i="47"/>
  <c r="Y27" i="47" s="1"/>
  <c r="Y34" i="47" s="1"/>
  <c r="Y41" i="47" s="1"/>
  <c r="AI25" i="47"/>
  <c r="AI27" i="47" s="1"/>
  <c r="AI34" i="47" s="1"/>
  <c r="AI41" i="47" s="1"/>
  <c r="E32" i="47"/>
  <c r="E24" i="51"/>
  <c r="AH32" i="47"/>
  <c r="AH24" i="51"/>
  <c r="U67" i="47"/>
  <c r="AF67" i="47"/>
  <c r="T121" i="47"/>
  <c r="I17" i="47"/>
  <c r="I9" i="51"/>
  <c r="I11" i="51" s="1"/>
  <c r="S25" i="47"/>
  <c r="S27" i="47" s="1"/>
  <c r="S34" i="47" s="1"/>
  <c r="S253" i="47" s="1"/>
  <c r="S266" i="47" s="1"/>
  <c r="BD10" i="47"/>
  <c r="G17" i="47"/>
  <c r="G9" i="51"/>
  <c r="G11" i="51" s="1"/>
  <c r="L9" i="51"/>
  <c r="Q17" i="47"/>
  <c r="Q9" i="51"/>
  <c r="Q11" i="51" s="1"/>
  <c r="V9" i="51"/>
  <c r="AA17" i="47"/>
  <c r="AA9" i="51"/>
  <c r="AF9" i="51"/>
  <c r="AK17" i="47"/>
  <c r="AK9" i="51"/>
  <c r="L25" i="47"/>
  <c r="L27" i="47" s="1"/>
  <c r="L34" i="47" s="1"/>
  <c r="L10" i="51"/>
  <c r="L18" i="51" s="1"/>
  <c r="V25" i="47"/>
  <c r="V27" i="47" s="1"/>
  <c r="V34" i="47" s="1"/>
  <c r="V10" i="51"/>
  <c r="V18" i="51" s="1"/>
  <c r="AF25" i="47"/>
  <c r="AF27" i="47" s="1"/>
  <c r="AF10" i="51"/>
  <c r="AF18" i="51" s="1"/>
  <c r="G25" i="47"/>
  <c r="G27" i="47" s="1"/>
  <c r="G34" i="47" s="1"/>
  <c r="G35" i="47" s="1"/>
  <c r="Q25" i="47"/>
  <c r="Q27" i="47" s="1"/>
  <c r="Q34" i="47" s="1"/>
  <c r="Q41" i="47" s="1"/>
  <c r="AA25" i="47"/>
  <c r="AA27" i="47" s="1"/>
  <c r="AA34" i="47" s="1"/>
  <c r="AA35" i="47" s="1"/>
  <c r="AA20" i="65" s="1"/>
  <c r="AK25" i="47"/>
  <c r="AK27" i="47" s="1"/>
  <c r="AK34" i="47" s="1"/>
  <c r="AK35" i="47" s="1"/>
  <c r="AK20" i="65" s="1"/>
  <c r="H183" i="47"/>
  <c r="H184" i="47" s="1"/>
  <c r="H22" i="51"/>
  <c r="AM32" i="47"/>
  <c r="AM24" i="51"/>
  <c r="O67" i="47"/>
  <c r="U109" i="47"/>
  <c r="AJ142" i="47"/>
  <c r="AJ79" i="47" s="1"/>
  <c r="AO142" i="47"/>
  <c r="AO79" i="47" s="1"/>
  <c r="S17" i="47"/>
  <c r="S9" i="51"/>
  <c r="S11" i="51" s="1"/>
  <c r="AH9" i="51"/>
  <c r="AM25" i="47"/>
  <c r="AM27" i="47" s="1"/>
  <c r="AC104" i="47"/>
  <c r="AC107" i="47" s="1"/>
  <c r="AC109" i="47" s="1"/>
  <c r="Y107" i="47"/>
  <c r="Y121" i="47" s="1"/>
  <c r="R107" i="47"/>
  <c r="S105" i="47"/>
  <c r="S107" i="47" s="1"/>
  <c r="N9" i="51"/>
  <c r="AC17" i="47"/>
  <c r="AC9" i="51"/>
  <c r="I25" i="47"/>
  <c r="I27" i="47" s="1"/>
  <c r="I34" i="47" s="1"/>
  <c r="I35" i="47" s="1"/>
  <c r="AC32" i="47"/>
  <c r="AC24" i="51"/>
  <c r="BA47" i="47"/>
  <c r="BF47" i="47" s="1"/>
  <c r="BK47" i="47" s="1"/>
  <c r="BP47" i="47" s="1"/>
  <c r="AL35" i="51"/>
  <c r="BA35" i="51" s="1"/>
  <c r="BF35" i="51" s="1"/>
  <c r="BK35" i="51" s="1"/>
  <c r="BP35" i="51" s="1"/>
  <c r="AY10" i="47"/>
  <c r="E17" i="47"/>
  <c r="E9" i="51"/>
  <c r="E11" i="51" s="1"/>
  <c r="J9" i="51"/>
  <c r="O17" i="47"/>
  <c r="O9" i="51"/>
  <c r="O11" i="51" s="1"/>
  <c r="T9" i="51"/>
  <c r="Y17" i="47"/>
  <c r="Y9" i="51"/>
  <c r="AD9" i="51"/>
  <c r="AI17" i="47"/>
  <c r="AI9" i="51"/>
  <c r="AN9" i="51"/>
  <c r="J25" i="47"/>
  <c r="J27" i="47" s="1"/>
  <c r="J34" i="47" s="1"/>
  <c r="J41" i="47" s="1"/>
  <c r="J10" i="51"/>
  <c r="J18" i="51" s="1"/>
  <c r="T25" i="47"/>
  <c r="T27" i="47" s="1"/>
  <c r="T34" i="47" s="1"/>
  <c r="T10" i="51"/>
  <c r="T18" i="51" s="1"/>
  <c r="AD25" i="47"/>
  <c r="AD27" i="47" s="1"/>
  <c r="AD34" i="47" s="1"/>
  <c r="AD10" i="51"/>
  <c r="AD18" i="51" s="1"/>
  <c r="AN25" i="47"/>
  <c r="AN27" i="47" s="1"/>
  <c r="AN34" i="47" s="1"/>
  <c r="AN10" i="51"/>
  <c r="K25" i="47"/>
  <c r="K27" i="47" s="1"/>
  <c r="K34" i="47" s="1"/>
  <c r="K41" i="47" s="1"/>
  <c r="U25" i="47"/>
  <c r="U27" i="47" s="1"/>
  <c r="U34" i="47" s="1"/>
  <c r="U41" i="47" s="1"/>
  <c r="AE25" i="47"/>
  <c r="AE27" i="47" s="1"/>
  <c r="AE34" i="47" s="1"/>
  <c r="AE41" i="47" s="1"/>
  <c r="AO25" i="47"/>
  <c r="AO27" i="47" s="1"/>
  <c r="AO34" i="47" s="1"/>
  <c r="AO35" i="47" s="1"/>
  <c r="AO20" i="65" s="1"/>
  <c r="AB32" i="47"/>
  <c r="AB23" i="51"/>
  <c r="AF32" i="47"/>
  <c r="AF24" i="51"/>
  <c r="AB50" i="47"/>
  <c r="Z38" i="51"/>
  <c r="E109" i="47"/>
  <c r="J109" i="47"/>
  <c r="T109" i="47"/>
  <c r="I107" i="47"/>
  <c r="N107" i="47"/>
  <c r="N109" i="47" s="1"/>
  <c r="E121" i="47"/>
  <c r="AE121" i="47"/>
  <c r="Q132" i="47"/>
  <c r="Q77" i="47" s="1"/>
  <c r="V132" i="47"/>
  <c r="V77" i="47" s="1"/>
  <c r="AA132" i="47"/>
  <c r="AA77" i="47" s="1"/>
  <c r="Q99" i="47"/>
  <c r="AF109" i="47"/>
  <c r="AL67" i="47"/>
  <c r="J121" i="47"/>
  <c r="P121" i="47"/>
  <c r="K137" i="47"/>
  <c r="K78" i="47" s="1"/>
  <c r="U137" i="47"/>
  <c r="U78" i="47" s="1"/>
  <c r="J142" i="47"/>
  <c r="J79" i="47" s="1"/>
  <c r="T142" i="47"/>
  <c r="T79" i="47" s="1"/>
  <c r="AD142" i="47"/>
  <c r="AD79" i="47" s="1"/>
  <c r="N147" i="47"/>
  <c r="N80" i="47" s="1"/>
  <c r="X147" i="47"/>
  <c r="X80" i="47" s="1"/>
  <c r="AH147" i="47"/>
  <c r="AH80" i="47" s="1"/>
  <c r="I161" i="47"/>
  <c r="AL154" i="47"/>
  <c r="I162" i="47"/>
  <c r="L161" i="47"/>
  <c r="AE168" i="47"/>
  <c r="AE178" i="47" s="1"/>
  <c r="AE179" i="47" s="1"/>
  <c r="T165" i="47"/>
  <c r="O166" i="47"/>
  <c r="Y166" i="47"/>
  <c r="AO168" i="47"/>
  <c r="AO178" i="47" s="1"/>
  <c r="AO179" i="47" s="1"/>
  <c r="Q167" i="47"/>
  <c r="V167" i="47"/>
  <c r="AA167" i="47"/>
  <c r="AF167" i="47"/>
  <c r="AF168" i="47" s="1"/>
  <c r="G168" i="47"/>
  <c r="L168" i="47"/>
  <c r="H172" i="47"/>
  <c r="M173" i="47"/>
  <c r="AQ177" i="47"/>
  <c r="AY221" i="47"/>
  <c r="AY113" i="46" s="1"/>
  <c r="AI236" i="47"/>
  <c r="AI106" i="46" s="1"/>
  <c r="AJ248" i="47"/>
  <c r="AK248" i="47" s="1"/>
  <c r="AK236" i="47" s="1"/>
  <c r="AK106" i="46" s="1"/>
  <c r="BJ176" i="72"/>
  <c r="BG176" i="72"/>
  <c r="AJ137" i="47"/>
  <c r="AJ78" i="47" s="1"/>
  <c r="AO137" i="47"/>
  <c r="AO78" i="47" s="1"/>
  <c r="Z142" i="47"/>
  <c r="Z79" i="47" s="1"/>
  <c r="O147" i="47"/>
  <c r="O80" i="47" s="1"/>
  <c r="AI147" i="47"/>
  <c r="AI80" i="47" s="1"/>
  <c r="V171" i="47"/>
  <c r="W171" i="47" s="1"/>
  <c r="AF173" i="47"/>
  <c r="AG173" i="47" s="1"/>
  <c r="AG236" i="47"/>
  <c r="AG106" i="46" s="1"/>
  <c r="AH235" i="47"/>
  <c r="AH236" i="47" s="1"/>
  <c r="AR306" i="47"/>
  <c r="AW306" i="47" s="1"/>
  <c r="BB306" i="47" s="1"/>
  <c r="BG306" i="47" s="1"/>
  <c r="BL306" i="47" s="1"/>
  <c r="BQ306" i="47" s="1"/>
  <c r="AR308" i="47"/>
  <c r="AW308" i="47" s="1"/>
  <c r="BB308" i="47" s="1"/>
  <c r="BG308" i="47" s="1"/>
  <c r="BL308" i="47" s="1"/>
  <c r="BQ308" i="47" s="1"/>
  <c r="S137" i="47"/>
  <c r="S78" i="47" s="1"/>
  <c r="AB135" i="47"/>
  <c r="AB136" i="47" s="1"/>
  <c r="L142" i="47"/>
  <c r="L79" i="47" s="1"/>
  <c r="V142" i="47"/>
  <c r="V79" i="47" s="1"/>
  <c r="AF142" i="47"/>
  <c r="AF79" i="47" s="1"/>
  <c r="P147" i="47"/>
  <c r="P80" i="47" s="1"/>
  <c r="Z147" i="47"/>
  <c r="Z80" i="47" s="1"/>
  <c r="AJ147" i="47"/>
  <c r="AJ80" i="47" s="1"/>
  <c r="AO147" i="47"/>
  <c r="AO80" i="47" s="1"/>
  <c r="S168" i="47"/>
  <c r="S178" i="47" s="1"/>
  <c r="S179" i="47" s="1"/>
  <c r="AC168" i="47"/>
  <c r="AC178" i="47" s="1"/>
  <c r="AQ168" i="47"/>
  <c r="AQ213" i="47" s="1"/>
  <c r="AH168" i="47"/>
  <c r="AF162" i="47" s="1"/>
  <c r="L171" i="47"/>
  <c r="M171" i="47" s="1"/>
  <c r="Q172" i="47"/>
  <c r="R172" i="47" s="1"/>
  <c r="AA174" i="47"/>
  <c r="AB174" i="47" s="1"/>
  <c r="AK176" i="47"/>
  <c r="AL176" i="47" s="1"/>
  <c r="AF248" i="47"/>
  <c r="AF236" i="47" s="1"/>
  <c r="AF106" i="46" s="1"/>
  <c r="AE236" i="47"/>
  <c r="AE106" i="46" s="1"/>
  <c r="I98" i="47"/>
  <c r="N98" i="47"/>
  <c r="R98" i="47"/>
  <c r="W98" i="47"/>
  <c r="AB98" i="47"/>
  <c r="AG98" i="47"/>
  <c r="AL98" i="47"/>
  <c r="Z109" i="47"/>
  <c r="AE99" i="47"/>
  <c r="AM104" i="47"/>
  <c r="AM107" i="47" s="1"/>
  <c r="AM109" i="47" s="1"/>
  <c r="AB67" i="47"/>
  <c r="G121" i="47"/>
  <c r="U121" i="47"/>
  <c r="AI121" i="47"/>
  <c r="O132" i="47"/>
  <c r="O77" i="47" s="1"/>
  <c r="Y132" i="47"/>
  <c r="Y77" i="47" s="1"/>
  <c r="AI132" i="47"/>
  <c r="AI77" i="47" s="1"/>
  <c r="AF137" i="47"/>
  <c r="AF78" i="47" s="1"/>
  <c r="N142" i="47"/>
  <c r="N79" i="47" s="1"/>
  <c r="AH142" i="47"/>
  <c r="AH79" i="47" s="1"/>
  <c r="AA147" i="47"/>
  <c r="AA80" i="47" s="1"/>
  <c r="F161" i="47"/>
  <c r="O167" i="47"/>
  <c r="Y167" i="47"/>
  <c r="AI167" i="47"/>
  <c r="AI168" i="47" s="1"/>
  <c r="AI178" i="47" s="1"/>
  <c r="AI179" i="47" s="1"/>
  <c r="F168" i="47"/>
  <c r="F178" i="47" s="1"/>
  <c r="F179" i="47" s="1"/>
  <c r="J168" i="47"/>
  <c r="J178" i="47" s="1"/>
  <c r="J179" i="47" s="1"/>
  <c r="H174" i="47"/>
  <c r="G176" i="47"/>
  <c r="H176" i="47" s="1"/>
  <c r="M175" i="47"/>
  <c r="L177" i="47"/>
  <c r="M177" i="47" s="1"/>
  <c r="W173" i="47"/>
  <c r="AA172" i="47"/>
  <c r="AB172" i="47" s="1"/>
  <c r="AG175" i="47"/>
  <c r="AK174" i="47"/>
  <c r="AL174" i="47" s="1"/>
  <c r="I184" i="47"/>
  <c r="N184" i="47"/>
  <c r="S184" i="47"/>
  <c r="X184" i="47"/>
  <c r="AC184" i="47"/>
  <c r="AH184" i="47"/>
  <c r="AM184" i="47"/>
  <c r="AQ248" i="47"/>
  <c r="AO236" i="47"/>
  <c r="AO106" i="46" s="1"/>
  <c r="P236" i="47"/>
  <c r="P106" i="46" s="1"/>
  <c r="S176" i="72"/>
  <c r="BB176" i="72"/>
  <c r="Q236" i="47"/>
  <c r="Q106" i="46" s="1"/>
  <c r="V236" i="47"/>
  <c r="V106" i="46" s="1"/>
  <c r="Z236" i="47"/>
  <c r="Z106" i="46" s="1"/>
  <c r="U236" i="47"/>
  <c r="U106" i="46" s="1"/>
  <c r="S311" i="47"/>
  <c r="S85" i="47" s="1"/>
  <c r="R85" i="47" s="1"/>
  <c r="R174" i="47"/>
  <c r="Q176" i="47"/>
  <c r="R176" i="47" s="1"/>
  <c r="W175" i="47"/>
  <c r="V177" i="47"/>
  <c r="W177" i="47" s="1"/>
  <c r="AB176" i="47"/>
  <c r="AF171" i="47"/>
  <c r="AG171" i="47" s="1"/>
  <c r="AG177" i="47"/>
  <c r="AK172" i="47"/>
  <c r="AL172" i="47" s="1"/>
  <c r="I187" i="47"/>
  <c r="N187" i="47"/>
  <c r="S187" i="47"/>
  <c r="X187" i="47"/>
  <c r="AC187" i="47"/>
  <c r="AH187" i="47"/>
  <c r="AM187" i="47"/>
  <c r="BJ221" i="47"/>
  <c r="BJ113" i="46" s="1"/>
  <c r="R236" i="47"/>
  <c r="R106" i="46" s="1"/>
  <c r="Y236" i="47"/>
  <c r="Y106" i="46" s="1"/>
  <c r="AC25" i="72"/>
  <c r="BG25" i="72"/>
  <c r="O176" i="72"/>
  <c r="AJ176" i="72"/>
  <c r="BE176" i="72"/>
  <c r="AH176" i="72"/>
  <c r="BC176" i="72"/>
  <c r="N176" i="72"/>
  <c r="AI176" i="72"/>
  <c r="BB178" i="47"/>
  <c r="BB179" i="47" s="1"/>
  <c r="BB209" i="47" s="1"/>
  <c r="BS168" i="47"/>
  <c r="AS230" i="15"/>
  <c r="AT230" i="15" s="1"/>
  <c r="BD230" i="15"/>
  <c r="BE230" i="15" s="1"/>
  <c r="BF230" i="15" s="1"/>
  <c r="Y205" i="15"/>
  <c r="BE173" i="15"/>
  <c r="BE174" i="15" s="1"/>
  <c r="E18" i="51"/>
  <c r="I18" i="51"/>
  <c r="M13" i="51"/>
  <c r="Q18" i="51"/>
  <c r="U18" i="51"/>
  <c r="AG13" i="51"/>
  <c r="H14" i="51"/>
  <c r="AB14" i="51"/>
  <c r="R15" i="51"/>
  <c r="AL15" i="51"/>
  <c r="M16" i="51"/>
  <c r="AG16" i="51"/>
  <c r="H17" i="51"/>
  <c r="R13" i="51"/>
  <c r="AL13" i="51"/>
  <c r="M14" i="51"/>
  <c r="AG14" i="51"/>
  <c r="W15" i="51"/>
  <c r="R16" i="51"/>
  <c r="AL16" i="51"/>
  <c r="G18" i="51"/>
  <c r="K18" i="51"/>
  <c r="O18" i="51"/>
  <c r="S18" i="51"/>
  <c r="W13" i="51"/>
  <c r="R14" i="51"/>
  <c r="AL14" i="51"/>
  <c r="H15" i="51"/>
  <c r="AB15" i="51"/>
  <c r="W16" i="51"/>
  <c r="BG63" i="51"/>
  <c r="H13" i="51"/>
  <c r="AB13" i="51"/>
  <c r="W14" i="51"/>
  <c r="M15" i="51"/>
  <c r="AG15" i="51"/>
  <c r="H16" i="51"/>
  <c r="AB16" i="51"/>
  <c r="BG65" i="15"/>
  <c r="BI467" i="15"/>
  <c r="BI114" i="46" s="1"/>
  <c r="BC114" i="46"/>
  <c r="BE467" i="15"/>
  <c r="BE114" i="46" s="1"/>
  <c r="AY467" i="15"/>
  <c r="AY114" i="46" s="1"/>
  <c r="Z68" i="15"/>
  <c r="AA68" i="15" s="1"/>
  <c r="AB68" i="15" s="1"/>
  <c r="U68" i="15"/>
  <c r="V68" i="15" s="1"/>
  <c r="W68" i="15" s="1"/>
  <c r="BL66" i="46"/>
  <c r="BB66" i="46"/>
  <c r="BH66" i="46"/>
  <c r="BH68" i="46" s="1"/>
  <c r="BH140" i="46" s="1"/>
  <c r="BH247" i="46" s="1"/>
  <c r="BC66" i="46"/>
  <c r="BC68" i="46" s="1"/>
  <c r="BC140" i="46" s="1"/>
  <c r="AX66" i="46"/>
  <c r="AX68" i="46" s="1"/>
  <c r="AX140" i="46" s="1"/>
  <c r="AX115" i="46" s="1"/>
  <c r="BK66" i="46"/>
  <c r="BK68" i="46" s="1"/>
  <c r="BK140" i="46" s="1"/>
  <c r="BK247" i="46" s="1"/>
  <c r="BG66" i="46"/>
  <c r="BJ66" i="46"/>
  <c r="BJ68" i="46" s="1"/>
  <c r="BJ140" i="46" s="1"/>
  <c r="BJ115" i="46" s="1"/>
  <c r="BE66" i="46"/>
  <c r="BE68" i="46" s="1"/>
  <c r="BE140" i="46" s="1"/>
  <c r="BE247" i="46" s="1"/>
  <c r="AZ66" i="46"/>
  <c r="AZ68" i="46" s="1"/>
  <c r="AZ140" i="46" s="1"/>
  <c r="AZ115" i="46" s="1"/>
  <c r="S52" i="65"/>
  <c r="BA66" i="46"/>
  <c r="BA68" i="46" s="1"/>
  <c r="BA140" i="46" s="1"/>
  <c r="BA115" i="46" s="1"/>
  <c r="BI66" i="46"/>
  <c r="BI68" i="46" s="1"/>
  <c r="BI140" i="46" s="1"/>
  <c r="BI115" i="46" s="1"/>
  <c r="BD66" i="46"/>
  <c r="BD68" i="46" s="1"/>
  <c r="BD140" i="46" s="1"/>
  <c r="BD115" i="46" s="1"/>
  <c r="AY66" i="46"/>
  <c r="AY68" i="46" s="1"/>
  <c r="AY140" i="46" s="1"/>
  <c r="AY115" i="46" s="1"/>
  <c r="BF66" i="46"/>
  <c r="BF68" i="46" s="1"/>
  <c r="BF140" i="46" s="1"/>
  <c r="BF247" i="46" s="1"/>
  <c r="AD65" i="15"/>
  <c r="AD85" i="15" s="1"/>
  <c r="BJ371" i="15"/>
  <c r="AN65" i="15"/>
  <c r="AN266" i="15" s="1"/>
  <c r="BH371" i="15"/>
  <c r="AN71" i="15"/>
  <c r="AN90" i="15"/>
  <c r="AN96" i="15"/>
  <c r="BK108" i="15"/>
  <c r="BK321" i="15" s="1"/>
  <c r="BK129" i="67"/>
  <c r="BK135" i="67"/>
  <c r="AN89" i="15"/>
  <c r="AN95" i="15"/>
  <c r="AN107" i="15"/>
  <c r="AN108" i="15" s="1"/>
  <c r="BA108" i="15"/>
  <c r="BA321" i="15" s="1"/>
  <c r="BC75" i="47"/>
  <c r="BC110" i="47" s="1"/>
  <c r="BE75" i="47"/>
  <c r="BE110" i="47" s="1"/>
  <c r="AY75" i="47"/>
  <c r="AY110" i="47" s="1"/>
  <c r="AV108" i="15"/>
  <c r="AV321" i="15" s="1"/>
  <c r="AP108" i="15"/>
  <c r="AP321" i="15" s="1"/>
  <c r="BB72" i="15"/>
  <c r="BB92" i="15"/>
  <c r="BD108" i="15"/>
  <c r="BD321" i="15" s="1"/>
  <c r="BN11" i="67"/>
  <c r="BO34" i="67"/>
  <c r="BO38" i="67"/>
  <c r="BL45" i="67"/>
  <c r="BE108" i="15"/>
  <c r="BE321" i="15" s="1"/>
  <c r="AW72" i="15"/>
  <c r="AW92" i="15"/>
  <c r="AW96" i="15"/>
  <c r="BO42" i="67"/>
  <c r="BO46" i="67"/>
  <c r="BL37" i="67"/>
  <c r="BL41" i="67"/>
  <c r="BK9" i="67"/>
  <c r="BL9" i="67"/>
  <c r="BK10" i="67"/>
  <c r="BK17" i="67"/>
  <c r="BL17" i="67"/>
  <c r="BL18" i="67"/>
  <c r="BK21" i="67"/>
  <c r="BL21" i="67"/>
  <c r="BL22" i="67"/>
  <c r="BK25" i="67"/>
  <c r="BL25" i="67"/>
  <c r="BL26" i="67"/>
  <c r="BK29" i="67"/>
  <c r="BL29" i="67"/>
  <c r="BL30" i="67"/>
  <c r="BM10" i="67"/>
  <c r="BM18" i="67"/>
  <c r="BM19" i="67"/>
  <c r="BM22" i="67"/>
  <c r="BM23" i="67"/>
  <c r="BM26" i="67"/>
  <c r="BM27" i="67"/>
  <c r="BM30" i="67"/>
  <c r="BM31" i="67"/>
  <c r="BM34" i="67"/>
  <c r="BM38" i="67"/>
  <c r="BM42" i="67"/>
  <c r="BM46" i="67"/>
  <c r="BN8" i="67"/>
  <c r="AY27" i="64" s="1"/>
  <c r="BN9" i="67"/>
  <c r="BN12" i="67"/>
  <c r="BN16" i="67"/>
  <c r="BO27" i="67"/>
  <c r="BO31" i="67"/>
  <c r="BO35" i="67"/>
  <c r="BO39" i="67"/>
  <c r="BO43" i="67"/>
  <c r="BO47" i="67"/>
  <c r="BK36" i="67"/>
  <c r="BK40" i="67"/>
  <c r="BK44" i="67"/>
  <c r="BK48" i="67"/>
  <c r="BK53" i="67"/>
  <c r="BL53" i="67"/>
  <c r="BM53" i="67"/>
  <c r="BN53" i="67"/>
  <c r="BO53" i="67"/>
  <c r="BK54" i="67"/>
  <c r="BL54" i="67"/>
  <c r="BM54" i="67"/>
  <c r="BK55" i="67"/>
  <c r="BL55" i="67"/>
  <c r="BM55" i="67"/>
  <c r="BK56" i="67"/>
  <c r="BL56" i="67"/>
  <c r="BM56" i="67"/>
  <c r="BN56" i="67"/>
  <c r="BO56" i="67"/>
  <c r="BK57" i="67"/>
  <c r="BL57" i="67"/>
  <c r="BM57" i="67"/>
  <c r="BK58" i="67"/>
  <c r="BL58" i="67"/>
  <c r="BM58" i="67"/>
  <c r="BK59" i="67"/>
  <c r="BL59" i="67"/>
  <c r="BM59" i="67"/>
  <c r="BK60" i="67"/>
  <c r="BL60" i="67"/>
  <c r="BM60" i="67"/>
  <c r="BN60" i="67"/>
  <c r="BO60" i="67"/>
  <c r="BK61" i="67"/>
  <c r="BL61" i="67"/>
  <c r="BM61" i="67"/>
  <c r="BN61" i="67"/>
  <c r="BO61" i="67"/>
  <c r="BK62" i="67"/>
  <c r="BL62" i="67"/>
  <c r="BM62" i="67"/>
  <c r="BN62" i="67"/>
  <c r="BO62" i="67"/>
  <c r="BK63" i="67"/>
  <c r="BL63" i="67"/>
  <c r="BL129" i="67"/>
  <c r="BM129" i="67"/>
  <c r="BN129" i="67"/>
  <c r="BO129" i="67"/>
  <c r="BL134" i="67"/>
  <c r="BN134" i="67"/>
  <c r="BM135" i="67"/>
  <c r="BO135" i="67"/>
  <c r="BM137" i="67"/>
  <c r="BO137" i="67"/>
  <c r="BM63" i="67"/>
  <c r="BN63" i="67"/>
  <c r="BO63" i="67"/>
  <c r="BK64" i="67"/>
  <c r="BL64" i="67"/>
  <c r="BM64" i="67"/>
  <c r="BN64" i="67"/>
  <c r="BO64" i="67"/>
  <c r="BK65" i="67"/>
  <c r="BL65" i="67"/>
  <c r="BM65" i="67"/>
  <c r="BN65" i="67"/>
  <c r="BO65" i="67"/>
  <c r="BK66" i="67"/>
  <c r="BL66" i="67"/>
  <c r="BM66" i="67"/>
  <c r="BN66" i="67"/>
  <c r="BO66" i="67"/>
  <c r="BK67" i="67"/>
  <c r="BL67" i="67"/>
  <c r="BM67" i="67"/>
  <c r="BN67" i="67"/>
  <c r="BO67" i="67"/>
  <c r="BK68" i="67"/>
  <c r="BL68" i="67"/>
  <c r="BM68" i="67"/>
  <c r="BN68" i="67"/>
  <c r="BO68" i="67"/>
  <c r="BK72" i="67"/>
  <c r="BL72" i="67"/>
  <c r="BM72" i="67"/>
  <c r="BN72" i="67"/>
  <c r="BO72" i="67"/>
  <c r="BK73" i="67"/>
  <c r="BL73" i="67"/>
  <c r="BM73" i="67"/>
  <c r="BN73" i="67"/>
  <c r="BO73" i="67"/>
  <c r="BK74" i="67"/>
  <c r="BL74" i="67"/>
  <c r="BM74" i="67"/>
  <c r="BN74" i="67"/>
  <c r="BO74" i="67"/>
  <c r="BK78" i="67"/>
  <c r="BL78" i="67"/>
  <c r="BM78" i="67"/>
  <c r="BN78" i="67"/>
  <c r="BO78" i="67"/>
  <c r="BK79" i="67"/>
  <c r="BL79" i="67"/>
  <c r="BM79" i="67"/>
  <c r="BN79" i="67"/>
  <c r="BO79" i="67"/>
  <c r="BK80" i="67"/>
  <c r="BL80" i="67"/>
  <c r="BM80" i="67"/>
  <c r="BN80" i="67"/>
  <c r="BO80" i="67"/>
  <c r="BK81" i="67"/>
  <c r="BL81" i="67"/>
  <c r="BM81" i="67"/>
  <c r="BN81" i="67"/>
  <c r="BO81" i="67"/>
  <c r="BK82" i="67"/>
  <c r="BL82" i="67"/>
  <c r="BM82" i="67"/>
  <c r="BK83" i="67"/>
  <c r="BL83" i="67"/>
  <c r="BM83" i="67"/>
  <c r="BK84" i="67"/>
  <c r="BL84" i="67"/>
  <c r="BM84" i="67"/>
  <c r="BK85" i="67"/>
  <c r="BL85" i="67"/>
  <c r="BM85" i="67"/>
  <c r="BK86" i="67"/>
  <c r="BL86" i="67"/>
  <c r="BM86" i="67"/>
  <c r="BK87" i="67"/>
  <c r="BL87" i="67"/>
  <c r="BM87" i="67"/>
  <c r="BN87" i="67"/>
  <c r="BO87" i="67"/>
  <c r="BK88" i="67"/>
  <c r="BL88" i="67"/>
  <c r="BM88" i="67"/>
  <c r="BN88" i="67"/>
  <c r="BO88" i="67"/>
  <c r="BK89" i="67"/>
  <c r="BL89" i="67"/>
  <c r="BM89" i="67"/>
  <c r="BN89" i="67"/>
  <c r="BO89" i="67"/>
  <c r="BK90" i="67"/>
  <c r="BL90" i="67"/>
  <c r="BM90" i="67"/>
  <c r="BN90" i="67"/>
  <c r="BO90" i="67"/>
  <c r="BK91" i="67"/>
  <c r="BL91" i="67"/>
  <c r="BM91" i="67"/>
  <c r="BN91" i="67"/>
  <c r="BO91" i="67"/>
  <c r="BK92" i="67"/>
  <c r="BL92" i="67"/>
  <c r="BM92" i="67"/>
  <c r="BN92" i="67"/>
  <c r="BO92" i="67"/>
  <c r="BK93" i="67"/>
  <c r="BL93" i="67"/>
  <c r="BM93" i="67"/>
  <c r="BN93" i="67"/>
  <c r="BO93" i="67"/>
  <c r="BK96" i="67"/>
  <c r="BL96" i="67"/>
  <c r="BM96" i="67"/>
  <c r="BN96" i="67"/>
  <c r="BO96" i="67"/>
  <c r="BK97" i="67"/>
  <c r="BL97" i="67"/>
  <c r="BM97" i="67"/>
  <c r="BN97" i="67"/>
  <c r="BO97" i="67"/>
  <c r="BK98" i="67"/>
  <c r="BL98" i="67"/>
  <c r="BM98" i="67"/>
  <c r="BN98" i="67"/>
  <c r="BO98" i="67"/>
  <c r="BK99" i="67"/>
  <c r="BL99" i="67"/>
  <c r="BM99" i="67"/>
  <c r="BN99" i="67"/>
  <c r="BO99" i="67"/>
  <c r="BK100" i="67"/>
  <c r="BL100" i="67"/>
  <c r="BM100" i="67"/>
  <c r="BK101" i="67"/>
  <c r="BL101" i="67"/>
  <c r="BM101" i="67"/>
  <c r="BK102" i="67"/>
  <c r="BL102" i="67"/>
  <c r="BM102" i="67"/>
  <c r="BK103" i="67"/>
  <c r="BL103" i="67"/>
  <c r="BM103" i="67"/>
  <c r="BK104" i="67"/>
  <c r="BL104" i="67"/>
  <c r="BM104" i="67"/>
  <c r="BK105" i="67"/>
  <c r="BL105" i="67"/>
  <c r="BM105" i="67"/>
  <c r="BN105" i="67"/>
  <c r="BO105" i="67"/>
  <c r="BK106" i="67"/>
  <c r="BL106" i="67"/>
  <c r="BM106" i="67"/>
  <c r="BN106" i="67"/>
  <c r="BO106" i="67"/>
  <c r="BK107" i="67"/>
  <c r="BL107" i="67"/>
  <c r="BM107" i="67"/>
  <c r="BN107" i="67"/>
  <c r="BO107" i="67"/>
  <c r="BK108" i="67"/>
  <c r="BL108" i="67"/>
  <c r="BM108" i="67"/>
  <c r="BN108" i="67"/>
  <c r="BO108" i="67"/>
  <c r="BK109" i="67"/>
  <c r="BL109" i="67"/>
  <c r="BM109" i="67"/>
  <c r="BN109" i="67"/>
  <c r="BO109" i="67"/>
  <c r="BK110" i="67"/>
  <c r="BL110" i="67"/>
  <c r="BM110" i="67"/>
  <c r="BN110" i="67"/>
  <c r="BO110" i="67"/>
  <c r="BK111" i="67"/>
  <c r="BL111" i="67"/>
  <c r="BM111" i="67"/>
  <c r="BN111" i="67"/>
  <c r="BO111" i="67"/>
  <c r="BK114" i="67"/>
  <c r="BL114" i="67"/>
  <c r="BM114" i="67"/>
  <c r="BN114" i="67"/>
  <c r="BO114" i="67"/>
  <c r="BK115" i="67"/>
  <c r="BL115" i="67"/>
  <c r="BM115" i="67"/>
  <c r="BN115" i="67"/>
  <c r="BO115" i="67"/>
  <c r="BK116" i="67"/>
  <c r="BL116" i="67"/>
  <c r="BM116" i="67"/>
  <c r="BN116" i="67"/>
  <c r="BO116" i="67"/>
  <c r="BK117" i="67"/>
  <c r="BL117" i="67"/>
  <c r="BM117" i="67"/>
  <c r="BN117" i="67"/>
  <c r="BO117" i="67"/>
  <c r="BK118" i="67"/>
  <c r="BL118" i="67"/>
  <c r="BM118" i="67"/>
  <c r="BN118" i="67"/>
  <c r="BO118" i="67"/>
  <c r="BK119" i="67"/>
  <c r="BL119" i="67"/>
  <c r="BM119" i="67"/>
  <c r="BN119" i="67"/>
  <c r="BO119" i="67"/>
  <c r="BK120" i="67"/>
  <c r="BL120" i="67"/>
  <c r="BM120" i="67"/>
  <c r="BN120" i="67"/>
  <c r="BO120" i="67"/>
  <c r="BK121" i="67"/>
  <c r="BL121" i="67"/>
  <c r="BM121" i="67"/>
  <c r="BN121" i="67"/>
  <c r="BO121" i="67"/>
  <c r="BK122" i="67"/>
  <c r="BL122" i="67"/>
  <c r="BM122" i="67"/>
  <c r="BN122" i="67"/>
  <c r="BO122" i="67"/>
  <c r="BK123" i="67"/>
  <c r="BL123" i="67"/>
  <c r="BM123" i="67"/>
  <c r="BN123" i="67"/>
  <c r="BO123" i="67"/>
  <c r="BK124" i="67"/>
  <c r="BL124" i="67"/>
  <c r="BM124" i="67"/>
  <c r="BN124" i="67"/>
  <c r="BO124" i="67"/>
  <c r="BK125" i="67"/>
  <c r="BL125" i="67"/>
  <c r="BK126" i="67"/>
  <c r="BL126" i="67"/>
  <c r="BM126" i="67"/>
  <c r="BN126" i="67"/>
  <c r="BO126" i="67"/>
  <c r="BK127" i="67"/>
  <c r="BL127" i="67"/>
  <c r="BM127" i="67"/>
  <c r="BN127" i="67"/>
  <c r="BO127" i="67"/>
  <c r="BK128" i="67"/>
  <c r="BL128" i="67"/>
  <c r="BM128" i="67"/>
  <c r="BN128" i="67"/>
  <c r="BO128" i="67"/>
  <c r="BL49" i="67"/>
  <c r="N25" i="72"/>
  <c r="AM25" i="72"/>
  <c r="U25" i="72"/>
  <c r="AR25" i="72"/>
  <c r="X25" i="72"/>
  <c r="AH25" i="72"/>
  <c r="BB25" i="72"/>
  <c r="AZ204" i="15"/>
  <c r="BD221" i="47"/>
  <c r="BD113" i="46" s="1"/>
  <c r="AZ174" i="15"/>
  <c r="BA174" i="15"/>
  <c r="AV174" i="15"/>
  <c r="AN168" i="47"/>
  <c r="AN178" i="47" s="1"/>
  <c r="AN179" i="47" s="1"/>
  <c r="AQ175" i="47"/>
  <c r="AY173" i="47"/>
  <c r="AZ173" i="47" s="1"/>
  <c r="AR179" i="47"/>
  <c r="AQ171" i="47"/>
  <c r="BL138" i="67"/>
  <c r="AS108" i="15"/>
  <c r="AS321" i="15" s="1"/>
  <c r="BK8" i="67"/>
  <c r="AR27" i="64" s="1"/>
  <c r="BK11" i="67"/>
  <c r="BL11" i="67"/>
  <c r="BK12" i="67"/>
  <c r="BK19" i="67"/>
  <c r="BL19" i="67"/>
  <c r="BK23" i="67"/>
  <c r="BL23" i="67"/>
  <c r="BK27" i="67"/>
  <c r="BL27" i="67"/>
  <c r="BK31" i="67"/>
  <c r="BL31" i="67"/>
  <c r="BM8" i="67"/>
  <c r="BM12" i="67"/>
  <c r="BM16" i="67"/>
  <c r="BM20" i="67"/>
  <c r="BM24" i="67"/>
  <c r="BM28" i="67"/>
  <c r="BM36" i="67"/>
  <c r="BM40" i="67"/>
  <c r="BM44" i="67"/>
  <c r="BM48" i="67"/>
  <c r="BN10" i="67"/>
  <c r="BN18" i="67"/>
  <c r="BN35" i="67"/>
  <c r="BN39" i="67"/>
  <c r="BN43" i="67"/>
  <c r="BN47" i="67"/>
  <c r="BO25" i="67"/>
  <c r="BO29" i="67"/>
  <c r="BO37" i="67"/>
  <c r="BO41" i="67"/>
  <c r="BO45" i="67"/>
  <c r="BO49" i="67"/>
  <c r="AW100" i="15"/>
  <c r="BB100" i="15"/>
  <c r="BG100" i="15"/>
  <c r="BK136" i="67"/>
  <c r="BM136" i="67"/>
  <c r="BO136" i="67"/>
  <c r="BL137" i="67"/>
  <c r="BO138" i="67"/>
  <c r="Z176" i="72"/>
  <c r="AM176" i="72"/>
  <c r="P176" i="72"/>
  <c r="AR176" i="72"/>
  <c r="X176" i="72"/>
  <c r="AT176" i="72"/>
  <c r="BB96" i="15"/>
  <c r="AQ108" i="15"/>
  <c r="AQ321" i="15" s="1"/>
  <c r="BE34" i="67"/>
  <c r="BE38" i="67"/>
  <c r="BE42" i="67"/>
  <c r="BE46" i="67"/>
  <c r="AC107" i="15"/>
  <c r="AH107" i="15"/>
  <c r="AM107" i="15"/>
  <c r="AW107" i="15"/>
  <c r="BB107" i="15"/>
  <c r="BG107" i="15"/>
  <c r="BG9" i="67"/>
  <c r="BI9" i="67"/>
  <c r="BG11" i="67"/>
  <c r="BI11" i="67"/>
  <c r="BI17" i="67"/>
  <c r="BG19" i="67"/>
  <c r="BI21" i="67"/>
  <c r="BG23" i="67"/>
  <c r="BI25" i="67"/>
  <c r="BG27" i="67"/>
  <c r="BI29" i="67"/>
  <c r="BG31" i="67"/>
  <c r="BL8" i="67"/>
  <c r="AW27" i="64" s="1"/>
  <c r="BL10" i="67"/>
  <c r="BL12" i="67"/>
  <c r="BL16" i="67"/>
  <c r="BL20" i="67"/>
  <c r="BL24" i="67"/>
  <c r="BL28" i="67"/>
  <c r="BM9" i="67"/>
  <c r="BM11" i="67"/>
  <c r="BM17" i="67"/>
  <c r="BM21" i="67"/>
  <c r="BM25" i="67"/>
  <c r="BM29" i="67"/>
  <c r="BN26" i="67"/>
  <c r="BN28" i="67"/>
  <c r="BN30" i="67"/>
  <c r="BN34" i="67"/>
  <c r="BN36" i="67"/>
  <c r="BN37" i="67"/>
  <c r="BN38" i="67"/>
  <c r="BN40" i="67"/>
  <c r="BN41" i="67"/>
  <c r="BN42" i="67"/>
  <c r="BN44" i="67"/>
  <c r="BN45" i="67"/>
  <c r="BN46" i="67"/>
  <c r="BN48" i="67"/>
  <c r="BN49" i="67"/>
  <c r="BO8" i="67"/>
  <c r="AZ27" i="64" s="1"/>
  <c r="BO9" i="67"/>
  <c r="BO10" i="67"/>
  <c r="BO11" i="67"/>
  <c r="BO12" i="67"/>
  <c r="BO17" i="67"/>
  <c r="BO19" i="67"/>
  <c r="BO36" i="67"/>
  <c r="BO40" i="67"/>
  <c r="BO44" i="67"/>
  <c r="BO48" i="67"/>
  <c r="BF34" i="67"/>
  <c r="BH34" i="67"/>
  <c r="BK34" i="67"/>
  <c r="BL35" i="67"/>
  <c r="BI36" i="67"/>
  <c r="BJ37" i="67"/>
  <c r="BK38" i="67"/>
  <c r="BL39" i="67"/>
  <c r="BI40" i="67"/>
  <c r="BJ41" i="67"/>
  <c r="BK42" i="67"/>
  <c r="BL43" i="67"/>
  <c r="BI44" i="67"/>
  <c r="BJ45" i="67"/>
  <c r="BK46" i="67"/>
  <c r="BL47" i="67"/>
  <c r="BI48" i="67"/>
  <c r="BJ49" i="67"/>
  <c r="BJ34" i="67"/>
  <c r="BL34" i="67"/>
  <c r="BG35" i="67"/>
  <c r="BI35" i="67"/>
  <c r="BK35" i="67"/>
  <c r="BF36" i="67"/>
  <c r="BH36" i="67"/>
  <c r="BJ36" i="67"/>
  <c r="BL36" i="67"/>
  <c r="BG37" i="67"/>
  <c r="BI37" i="67"/>
  <c r="BK37" i="67"/>
  <c r="BF38" i="67"/>
  <c r="BH38" i="67"/>
  <c r="BJ38" i="67"/>
  <c r="BL38" i="67"/>
  <c r="BG39" i="67"/>
  <c r="BI39" i="67"/>
  <c r="BK39" i="67"/>
  <c r="BF40" i="67"/>
  <c r="BH40" i="67"/>
  <c r="BJ40" i="67"/>
  <c r="BL40" i="67"/>
  <c r="BG41" i="67"/>
  <c r="BI41" i="67"/>
  <c r="BK41" i="67"/>
  <c r="BF42" i="67"/>
  <c r="BH42" i="67"/>
  <c r="BJ42" i="67"/>
  <c r="BL42" i="67"/>
  <c r="BG43" i="67"/>
  <c r="BI43" i="67"/>
  <c r="BK43" i="67"/>
  <c r="BF44" i="67"/>
  <c r="BH44" i="67"/>
  <c r="BJ44" i="67"/>
  <c r="BL44" i="67"/>
  <c r="BG45" i="67"/>
  <c r="BI45" i="67"/>
  <c r="BK45" i="67"/>
  <c r="BF46" i="67"/>
  <c r="BH46" i="67"/>
  <c r="BJ46" i="67"/>
  <c r="BL46" i="67"/>
  <c r="BG47" i="67"/>
  <c r="BI47" i="67"/>
  <c r="BK47" i="67"/>
  <c r="BF48" i="67"/>
  <c r="BH48" i="67"/>
  <c r="BJ48" i="67"/>
  <c r="BL48" i="67"/>
  <c r="BG49" i="67"/>
  <c r="BI49" i="67"/>
  <c r="BK49" i="67"/>
  <c r="BF128" i="67"/>
  <c r="BL132" i="67"/>
  <c r="BN132" i="67"/>
  <c r="BE133" i="67"/>
  <c r="BG133" i="67"/>
  <c r="BI133" i="67"/>
  <c r="BK133" i="67"/>
  <c r="BM133" i="67"/>
  <c r="BO133" i="67"/>
  <c r="BE134" i="67"/>
  <c r="BL136" i="67"/>
  <c r="BN136" i="67"/>
  <c r="BI137" i="67"/>
  <c r="BK137" i="67"/>
  <c r="BN138" i="67"/>
  <c r="BM125" i="67"/>
  <c r="BN125" i="67"/>
  <c r="BO125" i="67"/>
  <c r="BM134" i="67"/>
  <c r="BO134" i="67"/>
  <c r="BF135" i="67"/>
  <c r="BH135" i="67"/>
  <c r="BJ135" i="67"/>
  <c r="BL135" i="67"/>
  <c r="BN135" i="67"/>
  <c r="BI136" i="67"/>
  <c r="BN137" i="67"/>
  <c r="BI138" i="67"/>
  <c r="BK138" i="67"/>
  <c r="BM138" i="67"/>
  <c r="O159" i="72"/>
  <c r="S159" i="72"/>
  <c r="AT159" i="72"/>
  <c r="BC159" i="72"/>
  <c r="BG159" i="72"/>
  <c r="Y159" i="72"/>
  <c r="AC159" i="72"/>
  <c r="AW159" i="72"/>
  <c r="F10" i="72"/>
  <c r="M22" i="72"/>
  <c r="AG22" i="72"/>
  <c r="BA22" i="72"/>
  <c r="AZ22" i="72"/>
  <c r="AP19" i="72"/>
  <c r="AN19" i="72"/>
  <c r="BW22" i="72"/>
  <c r="CG22" i="72"/>
  <c r="DK22" i="72"/>
  <c r="P44" i="72"/>
  <c r="N44" i="72"/>
  <c r="AU48" i="72"/>
  <c r="AT48" i="72"/>
  <c r="AR48" i="72"/>
  <c r="V19" i="72"/>
  <c r="T19" i="72"/>
  <c r="BJ19" i="72"/>
  <c r="BH19" i="72"/>
  <c r="Q25" i="72"/>
  <c r="O25" i="72"/>
  <c r="AA25" i="72"/>
  <c r="Y25" i="72"/>
  <c r="AK25" i="72"/>
  <c r="AI25" i="72"/>
  <c r="AU25" i="72"/>
  <c r="BE25" i="72"/>
  <c r="BC25" i="72"/>
  <c r="Z44" i="72"/>
  <c r="BZ22" i="72"/>
  <c r="CB22" i="72"/>
  <c r="CJ22" i="72"/>
  <c r="CL22" i="72"/>
  <c r="AJ44" i="72"/>
  <c r="BC44" i="72"/>
  <c r="BE44" i="72"/>
  <c r="P39" i="72"/>
  <c r="Z39" i="72"/>
  <c r="AJ39" i="72"/>
  <c r="AT39" i="72"/>
  <c r="BD39" i="72"/>
  <c r="P43" i="72"/>
  <c r="Z43" i="72"/>
  <c r="AJ43" i="72"/>
  <c r="AT43" i="72"/>
  <c r="BD43" i="72"/>
  <c r="P38" i="72"/>
  <c r="Z38" i="72"/>
  <c r="AJ38" i="72"/>
  <c r="AT38" i="72"/>
  <c r="BD38" i="72"/>
  <c r="P42" i="72"/>
  <c r="Z42" i="72"/>
  <c r="AJ42" i="72"/>
  <c r="AT42" i="72"/>
  <c r="BD42" i="72"/>
  <c r="P40" i="72"/>
  <c r="Z40" i="72"/>
  <c r="AJ40" i="72"/>
  <c r="AT40" i="72"/>
  <c r="BD40" i="72"/>
  <c r="P41" i="72"/>
  <c r="Z41" i="72"/>
  <c r="AJ41" i="72"/>
  <c r="AT41" i="72"/>
  <c r="BD41" i="72"/>
  <c r="BS44" i="72"/>
  <c r="BX44" i="72" s="1"/>
  <c r="T48" i="72"/>
  <c r="AD48" i="72"/>
  <c r="AN48" i="72"/>
  <c r="AX48" i="72"/>
  <c r="BH48" i="72"/>
  <c r="T49" i="72"/>
  <c r="AD49" i="72"/>
  <c r="AN49" i="72"/>
  <c r="AX49" i="72"/>
  <c r="BH49" i="72"/>
  <c r="DB48" i="72"/>
  <c r="DD48" i="72" s="1"/>
  <c r="O52" i="72"/>
  <c r="Y52" i="72"/>
  <c r="AI52" i="72"/>
  <c r="BC52" i="72"/>
  <c r="T53" i="72"/>
  <c r="AD53" i="72"/>
  <c r="BH53" i="72"/>
  <c r="T57" i="72"/>
  <c r="AD57" i="72"/>
  <c r="BH57" i="72"/>
  <c r="AN60" i="72"/>
  <c r="AX60" i="72"/>
  <c r="O63" i="72"/>
  <c r="BC63" i="72"/>
  <c r="AI64" i="72"/>
  <c r="Y65" i="72"/>
  <c r="AI65" i="72"/>
  <c r="O66" i="72"/>
  <c r="Y66" i="72"/>
  <c r="BC66" i="72"/>
  <c r="O67" i="72"/>
  <c r="AI67" i="72"/>
  <c r="BC67" i="72"/>
  <c r="O69" i="72"/>
  <c r="Y69" i="72"/>
  <c r="AI69" i="72"/>
  <c r="BC69" i="72"/>
  <c r="O71" i="72"/>
  <c r="AI71" i="72"/>
  <c r="BC71" i="72"/>
  <c r="Y72" i="72"/>
  <c r="O73" i="72"/>
  <c r="AI73" i="72"/>
  <c r="BC73" i="72"/>
  <c r="T75" i="72"/>
  <c r="AN75" i="72"/>
  <c r="BH75" i="72"/>
  <c r="AD76" i="72"/>
  <c r="AX76" i="72"/>
  <c r="Y79" i="72"/>
  <c r="O80" i="72"/>
  <c r="AI80" i="72"/>
  <c r="BC80" i="72"/>
  <c r="Y81" i="72"/>
  <c r="O82" i="72"/>
  <c r="AI82" i="72"/>
  <c r="BC82" i="72"/>
  <c r="Y83" i="72"/>
  <c r="O84" i="72"/>
  <c r="AI84" i="72"/>
  <c r="BC84" i="72"/>
  <c r="Y85" i="72"/>
  <c r="O86" i="72"/>
  <c r="AI86" i="72"/>
  <c r="BC86" i="72"/>
  <c r="Y87" i="72"/>
  <c r="O88" i="72"/>
  <c r="AI88" i="72"/>
  <c r="BC88" i="72"/>
  <c r="Y89" i="72"/>
  <c r="O90" i="72"/>
  <c r="AI90" i="72"/>
  <c r="BC90" i="72"/>
  <c r="O92" i="72"/>
  <c r="AI92" i="72"/>
  <c r="BC92" i="72"/>
  <c r="Y93" i="72"/>
  <c r="O99" i="72"/>
  <c r="Y99" i="72"/>
  <c r="AI99" i="72"/>
  <c r="BC99" i="72"/>
  <c r="O100" i="72"/>
  <c r="Y100" i="72"/>
  <c r="AI100" i="72"/>
  <c r="BC100" i="72"/>
  <c r="O101" i="72"/>
  <c r="Y101" i="72"/>
  <c r="AI101" i="72"/>
  <c r="BC101" i="72"/>
  <c r="O103" i="72"/>
  <c r="Y103" i="72"/>
  <c r="AI103" i="72"/>
  <c r="BC103" i="72"/>
  <c r="U104" i="72"/>
  <c r="AE104" i="72"/>
  <c r="AO104" i="72"/>
  <c r="AY104" i="72"/>
  <c r="BI104" i="72"/>
  <c r="U107" i="72"/>
  <c r="AE107" i="72"/>
  <c r="AO107" i="72"/>
  <c r="AY107" i="72"/>
  <c r="BI107" i="72"/>
  <c r="U108" i="72"/>
  <c r="AE108" i="72"/>
  <c r="AO108" i="72"/>
  <c r="AY108" i="72"/>
  <c r="BI108" i="72"/>
  <c r="P110" i="72"/>
  <c r="Z110" i="72"/>
  <c r="AJ110" i="72"/>
  <c r="AT110" i="72"/>
  <c r="BD110" i="72"/>
  <c r="P111" i="72"/>
  <c r="Z111" i="72"/>
  <c r="AJ111" i="72"/>
  <c r="AT111" i="72"/>
  <c r="BD111" i="72"/>
  <c r="P112" i="72"/>
  <c r="Z112" i="72"/>
  <c r="AJ112" i="72"/>
  <c r="AT112" i="72"/>
  <c r="BD112" i="72"/>
  <c r="P113" i="72"/>
  <c r="Z113" i="72"/>
  <c r="AJ113" i="72"/>
  <c r="AT113" i="72"/>
  <c r="BD113" i="72"/>
  <c r="O116" i="72"/>
  <c r="Y116" i="72"/>
  <c r="AI116" i="72"/>
  <c r="BC116" i="72"/>
  <c r="V129" i="72"/>
  <c r="T129" i="72"/>
  <c r="AT129" i="72"/>
  <c r="AR129" i="72"/>
  <c r="BJ129" i="72"/>
  <c r="BH129" i="72"/>
  <c r="AJ130" i="72"/>
  <c r="AH130" i="72"/>
  <c r="AZ130" i="72"/>
  <c r="AX130" i="72"/>
  <c r="Z131" i="72"/>
  <c r="X131" i="72"/>
  <c r="AP131" i="72"/>
  <c r="AN131" i="72"/>
  <c r="P132" i="72"/>
  <c r="N132" i="72"/>
  <c r="AF132" i="72"/>
  <c r="AD132" i="72"/>
  <c r="BD132" i="72"/>
  <c r="BB132" i="72"/>
  <c r="Q117" i="72"/>
  <c r="O117" i="72"/>
  <c r="AA117" i="72"/>
  <c r="Y117" i="72"/>
  <c r="AK117" i="72"/>
  <c r="AI117" i="72"/>
  <c r="AU117" i="72"/>
  <c r="BE117" i="72"/>
  <c r="BC117" i="72"/>
  <c r="Q118" i="72"/>
  <c r="O118" i="72"/>
  <c r="AA118" i="72"/>
  <c r="Y118" i="72"/>
  <c r="AK118" i="72"/>
  <c r="AI118" i="72"/>
  <c r="AU118" i="72"/>
  <c r="BE118" i="72"/>
  <c r="BC118" i="72"/>
  <c r="Q119" i="72"/>
  <c r="O119" i="72"/>
  <c r="AA119" i="72"/>
  <c r="Y119" i="72"/>
  <c r="AK119" i="72"/>
  <c r="AI119" i="72"/>
  <c r="AU119" i="72"/>
  <c r="BE119" i="72"/>
  <c r="BC119" i="72"/>
  <c r="Q121" i="72"/>
  <c r="O121" i="72"/>
  <c r="AA121" i="72"/>
  <c r="Y121" i="72"/>
  <c r="AK121" i="72"/>
  <c r="AI121" i="72"/>
  <c r="AU121" i="72"/>
  <c r="BE121" i="72"/>
  <c r="BC121" i="72"/>
  <c r="Q123" i="72"/>
  <c r="O123" i="72"/>
  <c r="AA123" i="72"/>
  <c r="Y123" i="72"/>
  <c r="AK123" i="72"/>
  <c r="AI123" i="72"/>
  <c r="AU123" i="72"/>
  <c r="BE123" i="72"/>
  <c r="BC123" i="72"/>
  <c r="Q124" i="72"/>
  <c r="O124" i="72"/>
  <c r="AA124" i="72"/>
  <c r="Y124" i="72"/>
  <c r="AK124" i="72"/>
  <c r="AI124" i="72"/>
  <c r="AU124" i="72"/>
  <c r="BE124" i="72"/>
  <c r="BC124" i="72"/>
  <c r="Q125" i="72"/>
  <c r="O125" i="72"/>
  <c r="AA125" i="72"/>
  <c r="Y125" i="72"/>
  <c r="AK125" i="72"/>
  <c r="AI125" i="72"/>
  <c r="AU125" i="72"/>
  <c r="BE125" i="72"/>
  <c r="BC125" i="72"/>
  <c r="V127" i="72"/>
  <c r="T127" i="72"/>
  <c r="AF127" i="72"/>
  <c r="AD127" i="72"/>
  <c r="AP127" i="72"/>
  <c r="AN127" i="72"/>
  <c r="AZ127" i="72"/>
  <c r="AX127" i="72"/>
  <c r="BE127" i="72"/>
  <c r="BD127" i="72"/>
  <c r="BB127" i="72"/>
  <c r="N128" i="72"/>
  <c r="AH128" i="72"/>
  <c r="BB128" i="72"/>
  <c r="U129" i="72"/>
  <c r="Z129" i="72"/>
  <c r="X129" i="72"/>
  <c r="AP129" i="72"/>
  <c r="AN129" i="72"/>
  <c r="BI129" i="72"/>
  <c r="P130" i="72"/>
  <c r="N130" i="72"/>
  <c r="AF130" i="72"/>
  <c r="AD130" i="72"/>
  <c r="AY130" i="72"/>
  <c r="BD130" i="72"/>
  <c r="BB130" i="72"/>
  <c r="V131" i="72"/>
  <c r="T131" i="72"/>
  <c r="AO131" i="72"/>
  <c r="AT131" i="72"/>
  <c r="AR131" i="72"/>
  <c r="BJ131" i="72"/>
  <c r="BH131" i="72"/>
  <c r="AE132" i="72"/>
  <c r="AJ132" i="72"/>
  <c r="AH132" i="72"/>
  <c r="AZ132" i="72"/>
  <c r="AX132" i="72"/>
  <c r="DQ128" i="72"/>
  <c r="DM128" i="72" s="1"/>
  <c r="T134" i="72"/>
  <c r="X134" i="72"/>
  <c r="AN134" i="72"/>
  <c r="AR134" i="72"/>
  <c r="BH134" i="72"/>
  <c r="T137" i="72"/>
  <c r="X137" i="72"/>
  <c r="AN137" i="72"/>
  <c r="AR137" i="72"/>
  <c r="BH137" i="72"/>
  <c r="T138" i="72"/>
  <c r="X138" i="72"/>
  <c r="AN138" i="72"/>
  <c r="AR138" i="72"/>
  <c r="BH138" i="72"/>
  <c r="N139" i="72"/>
  <c r="AD139" i="72"/>
  <c r="AH139" i="72"/>
  <c r="AX139" i="72"/>
  <c r="BB139" i="72"/>
  <c r="T140" i="72"/>
  <c r="X140" i="72"/>
  <c r="AN140" i="72"/>
  <c r="AR140" i="72"/>
  <c r="BH140" i="72"/>
  <c r="N142" i="72"/>
  <c r="AD142" i="72"/>
  <c r="AH142" i="72"/>
  <c r="AX142" i="72"/>
  <c r="BB142" i="72"/>
  <c r="T143" i="72"/>
  <c r="X143" i="72"/>
  <c r="AN143" i="72"/>
  <c r="AR143" i="72"/>
  <c r="BH143" i="72"/>
  <c r="N144" i="72"/>
  <c r="AD144" i="72"/>
  <c r="AH144" i="72"/>
  <c r="AX144" i="72"/>
  <c r="BB144" i="72"/>
  <c r="T145" i="72"/>
  <c r="X145" i="72"/>
  <c r="AN145" i="72"/>
  <c r="AR145" i="72"/>
  <c r="BH145" i="72"/>
  <c r="N146" i="72"/>
  <c r="AD146" i="72"/>
  <c r="AH146" i="72"/>
  <c r="AX146" i="72"/>
  <c r="BB146" i="72"/>
  <c r="T147" i="72"/>
  <c r="X147" i="72"/>
  <c r="AN147" i="72"/>
  <c r="AR147" i="72"/>
  <c r="BH147" i="72"/>
  <c r="T148" i="72"/>
  <c r="X148" i="72"/>
  <c r="AN148" i="72"/>
  <c r="AR148" i="72"/>
  <c r="BH148" i="72"/>
  <c r="N149" i="72"/>
  <c r="AD149" i="72"/>
  <c r="AH149" i="72"/>
  <c r="AX149" i="72"/>
  <c r="BB149" i="72"/>
  <c r="T150" i="72"/>
  <c r="X150" i="72"/>
  <c r="AN150" i="72"/>
  <c r="AR150" i="72"/>
  <c r="BH150" i="72"/>
  <c r="N151" i="72"/>
  <c r="AD151" i="72"/>
  <c r="AH151" i="72"/>
  <c r="AX151" i="72"/>
  <c r="BB151" i="72"/>
  <c r="T152" i="72"/>
  <c r="X152" i="72"/>
  <c r="AN152" i="72"/>
  <c r="AR152" i="72"/>
  <c r="BJ152" i="72"/>
  <c r="BH152" i="72"/>
  <c r="DL148" i="72"/>
  <c r="DP148" i="72" s="1"/>
  <c r="P155" i="72"/>
  <c r="Z155" i="72"/>
  <c r="AJ155" i="72"/>
  <c r="AT155" i="72"/>
  <c r="BD155" i="72"/>
  <c r="P156" i="72"/>
  <c r="Z156" i="72"/>
  <c r="AJ156" i="72"/>
  <c r="AT156" i="72"/>
  <c r="BD156" i="72"/>
  <c r="U158" i="72"/>
  <c r="AE158" i="72"/>
  <c r="AO158" i="72"/>
  <c r="AY158" i="72"/>
  <c r="BI158" i="72"/>
  <c r="U159" i="72"/>
  <c r="AE159" i="72"/>
  <c r="AO159" i="72"/>
  <c r="AY159" i="72"/>
  <c r="BI159" i="72"/>
  <c r="P161" i="72"/>
  <c r="Z161" i="72"/>
  <c r="AJ161" i="72"/>
  <c r="AT161" i="72"/>
  <c r="BD161" i="72"/>
  <c r="P162" i="72"/>
  <c r="Z162" i="72"/>
  <c r="AJ162" i="72"/>
  <c r="AT162" i="72"/>
  <c r="BD162" i="72"/>
  <c r="P163" i="72"/>
  <c r="Z163" i="72"/>
  <c r="AJ163" i="72"/>
  <c r="AT163" i="72"/>
  <c r="BH163" i="72"/>
  <c r="DB162" i="72"/>
  <c r="DE162" i="72" s="1"/>
  <c r="O165" i="72"/>
  <c r="S165" i="72"/>
  <c r="AI165" i="72"/>
  <c r="AM165" i="72"/>
  <c r="BC165" i="72"/>
  <c r="BG165" i="72"/>
  <c r="Y166" i="72"/>
  <c r="AC166" i="72"/>
  <c r="AW166" i="72"/>
  <c r="O167" i="72"/>
  <c r="S167" i="72"/>
  <c r="AI167" i="72"/>
  <c r="AM167" i="72"/>
  <c r="BC167" i="72"/>
  <c r="BG167" i="72"/>
  <c r="Y176" i="72"/>
  <c r="AC176" i="72"/>
  <c r="AW176" i="72"/>
  <c r="BG177" i="72"/>
  <c r="AX189" i="72"/>
  <c r="AX191" i="72" s="1"/>
  <c r="AY442" i="15" s="1"/>
  <c r="AY465" i="15" s="1"/>
  <c r="AZ189" i="72"/>
  <c r="AZ191" i="72" s="1"/>
  <c r="BA442" i="15" s="1"/>
  <c r="BA465" i="15" s="1"/>
  <c r="E191" i="72"/>
  <c r="O194" i="72"/>
  <c r="AY194" i="72"/>
  <c r="BI194" i="72"/>
  <c r="U195" i="72"/>
  <c r="AE195" i="72"/>
  <c r="AO195" i="72"/>
  <c r="AY195" i="72"/>
  <c r="BI195" i="72"/>
  <c r="U196" i="72"/>
  <c r="AE196" i="72"/>
  <c r="AO196" i="72"/>
  <c r="AY196" i="72"/>
  <c r="U176" i="72"/>
  <c r="AE176" i="72"/>
  <c r="AO176" i="72"/>
  <c r="AY176" i="72"/>
  <c r="BI176" i="72"/>
  <c r="BI177" i="72"/>
  <c r="T65" i="15"/>
  <c r="T84" i="15" s="1"/>
  <c r="AI65" i="15"/>
  <c r="AI306" i="15" s="1"/>
  <c r="X71" i="15"/>
  <c r="AC71" i="15"/>
  <c r="AH71" i="15"/>
  <c r="AM71" i="15"/>
  <c r="AW71" i="15"/>
  <c r="BB71" i="15"/>
  <c r="X73" i="15"/>
  <c r="AC73" i="15"/>
  <c r="AH73" i="15"/>
  <c r="AM73" i="15"/>
  <c r="AW73" i="15"/>
  <c r="BB73" i="15"/>
  <c r="X89" i="15"/>
  <c r="AC89" i="15"/>
  <c r="AH89" i="15"/>
  <c r="AM89" i="15"/>
  <c r="AW89" i="15"/>
  <c r="BB89" i="15"/>
  <c r="X90" i="15"/>
  <c r="AC90" i="15"/>
  <c r="AH90" i="15"/>
  <c r="AM90" i="15"/>
  <c r="AW90" i="15"/>
  <c r="BB90" i="15"/>
  <c r="X93" i="15"/>
  <c r="AC93" i="15"/>
  <c r="AH93" i="15"/>
  <c r="AM93" i="15"/>
  <c r="AW93" i="15"/>
  <c r="BB93" i="15"/>
  <c r="X95" i="15"/>
  <c r="AC95" i="15"/>
  <c r="AH95" i="15"/>
  <c r="AM95" i="15"/>
  <c r="AW95" i="15"/>
  <c r="BB95" i="15"/>
  <c r="AO106" i="15"/>
  <c r="AO108" i="15" s="1"/>
  <c r="AO321" i="15" s="1"/>
  <c r="BK71" i="15"/>
  <c r="BI71" i="15"/>
  <c r="BK72" i="15"/>
  <c r="BF17" i="67"/>
  <c r="BH17" i="67"/>
  <c r="BJ17" i="67"/>
  <c r="BF19" i="67"/>
  <c r="BH19" i="67"/>
  <c r="BJ19" i="67"/>
  <c r="BF21" i="67"/>
  <c r="BH21" i="67"/>
  <c r="BJ21" i="67"/>
  <c r="BF23" i="67"/>
  <c r="BH23" i="67"/>
  <c r="BJ23" i="67"/>
  <c r="BF25" i="67"/>
  <c r="BH25" i="67"/>
  <c r="BJ25" i="67"/>
  <c r="BF27" i="67"/>
  <c r="BH27" i="67"/>
  <c r="BJ27" i="67"/>
  <c r="BF29" i="67"/>
  <c r="BH29" i="67"/>
  <c r="BJ29" i="67"/>
  <c r="BF31" i="67"/>
  <c r="BH31" i="67"/>
  <c r="BJ31" i="67"/>
  <c r="BK16" i="67"/>
  <c r="BK18" i="67"/>
  <c r="BK20" i="67"/>
  <c r="BK22" i="67"/>
  <c r="BK24" i="67"/>
  <c r="BK26" i="67"/>
  <c r="BK28" i="67"/>
  <c r="BK30" i="67"/>
  <c r="BM35" i="67"/>
  <c r="BM37" i="67"/>
  <c r="BM39" i="67"/>
  <c r="BM41" i="67"/>
  <c r="BM43" i="67"/>
  <c r="BM45" i="67"/>
  <c r="BM47" i="67"/>
  <c r="BM49" i="67"/>
  <c r="BN17" i="67"/>
  <c r="BN19" i="67"/>
  <c r="BN25" i="67"/>
  <c r="BN27" i="67"/>
  <c r="BN29" i="67"/>
  <c r="BN31" i="67"/>
  <c r="BO16" i="67"/>
  <c r="BO18" i="67"/>
  <c r="BO26" i="67"/>
  <c r="BO28" i="67"/>
  <c r="BO30" i="67"/>
  <c r="BJ72" i="15"/>
  <c r="BJ71" i="15"/>
  <c r="BH108" i="15"/>
  <c r="BH321" i="15" s="1"/>
  <c r="CA91" i="67"/>
  <c r="BY91" i="67" s="1"/>
  <c r="CB91" i="67" s="1"/>
  <c r="CA90" i="67"/>
  <c r="BY90" i="67" s="1"/>
  <c r="CB90" i="67" s="1"/>
  <c r="CA89" i="67"/>
  <c r="BY89" i="67" s="1"/>
  <c r="CB89" i="67" s="1"/>
  <c r="CA88" i="67"/>
  <c r="BY88" i="67" s="1"/>
  <c r="CB88" i="67" s="1"/>
  <c r="CA87" i="67"/>
  <c r="BY87" i="67" s="1"/>
  <c r="CB87" i="67" s="1"/>
  <c r="CA39" i="67"/>
  <c r="BY39" i="67" s="1"/>
  <c r="CB39" i="67" s="1"/>
  <c r="BX39" i="67" s="1"/>
  <c r="CA37" i="67"/>
  <c r="BY37" i="67" s="1"/>
  <c r="CB37" i="67" s="1"/>
  <c r="BX37" i="67" s="1"/>
  <c r="BB83" i="67" s="1"/>
  <c r="CA36" i="67"/>
  <c r="BY36" i="67" s="1"/>
  <c r="CB36" i="67" s="1"/>
  <c r="BX36" i="67" s="1"/>
  <c r="CA40" i="67"/>
  <c r="BY40" i="67" s="1"/>
  <c r="CB40" i="67" s="1"/>
  <c r="BX40" i="67" s="1"/>
  <c r="BB86" i="67" s="1"/>
  <c r="BB24" i="67" s="1"/>
  <c r="BE16" i="67"/>
  <c r="BE18" i="67"/>
  <c r="BE20" i="67"/>
  <c r="BE22" i="67"/>
  <c r="BE24" i="67"/>
  <c r="BE26" i="67"/>
  <c r="BE28" i="67"/>
  <c r="BE30" i="67"/>
  <c r="BN55" i="67"/>
  <c r="BH71" i="15"/>
  <c r="BF114" i="67"/>
  <c r="BF115" i="67"/>
  <c r="BF116" i="67"/>
  <c r="BF117" i="67"/>
  <c r="BF118" i="67"/>
  <c r="BF119" i="67"/>
  <c r="BF120" i="67"/>
  <c r="BF121" i="67"/>
  <c r="BF122" i="67"/>
  <c r="BF123" i="67"/>
  <c r="BF124" i="67"/>
  <c r="BF125" i="67"/>
  <c r="BF126" i="67"/>
  <c r="BF127" i="67"/>
  <c r="BE129" i="67"/>
  <c r="BF129" i="67"/>
  <c r="BF134" i="67"/>
  <c r="BG134" i="67"/>
  <c r="BF132" i="67"/>
  <c r="BH132" i="67"/>
  <c r="BI132" i="67"/>
  <c r="BJ132" i="67"/>
  <c r="BK132" i="67"/>
  <c r="BM132" i="67"/>
  <c r="BO132" i="67"/>
  <c r="BF133" i="67"/>
  <c r="BH133" i="67"/>
  <c r="BJ133" i="67"/>
  <c r="BL133" i="67"/>
  <c r="BN133" i="67"/>
  <c r="BI134" i="67"/>
  <c r="BK134" i="67"/>
  <c r="BG136" i="67"/>
  <c r="BG138" i="67"/>
  <c r="CQ22" i="72"/>
  <c r="CO22" i="72"/>
  <c r="CN22" i="72"/>
  <c r="CP22" i="72"/>
  <c r="DE22" i="72"/>
  <c r="DC22" i="72"/>
  <c r="DD22" i="72"/>
  <c r="DF22" i="72"/>
  <c r="Q19" i="72"/>
  <c r="O19" i="72"/>
  <c r="AA19" i="72"/>
  <c r="Y19" i="72"/>
  <c r="AK19" i="72"/>
  <c r="AI19" i="72"/>
  <c r="AU19" i="72"/>
  <c r="BE19" i="72"/>
  <c r="BC19" i="72"/>
  <c r="BR22" i="72"/>
  <c r="BS18" i="72"/>
  <c r="E22" i="72"/>
  <c r="BB447" i="15"/>
  <c r="BG447" i="15"/>
  <c r="BL447" i="15"/>
  <c r="L22" i="72"/>
  <c r="R22" i="72"/>
  <c r="Q18" i="72"/>
  <c r="O18" i="72"/>
  <c r="AB22" i="72"/>
  <c r="AA18" i="72"/>
  <c r="Y18" i="72"/>
  <c r="AF22" i="72"/>
  <c r="AL22" i="72"/>
  <c r="AK18" i="72"/>
  <c r="AI18" i="72"/>
  <c r="AV22" i="72"/>
  <c r="AU18" i="72"/>
  <c r="BF22" i="72"/>
  <c r="BE18" i="72"/>
  <c r="BC18" i="72"/>
  <c r="P19" i="72"/>
  <c r="Z19" i="72"/>
  <c r="AJ19" i="72"/>
  <c r="AT19" i="72"/>
  <c r="BD19" i="72"/>
  <c r="V25" i="72"/>
  <c r="T25" i="72"/>
  <c r="AF25" i="72"/>
  <c r="AD25" i="72"/>
  <c r="AP25" i="72"/>
  <c r="AN25" i="72"/>
  <c r="AZ25" i="72"/>
  <c r="AX25" i="72"/>
  <c r="BJ25" i="72"/>
  <c r="BH25" i="72"/>
  <c r="H27" i="72"/>
  <c r="H28" i="72" s="1"/>
  <c r="DF26" i="72"/>
  <c r="DD26" i="72"/>
  <c r="CZ26" i="72"/>
  <c r="CX26" i="72"/>
  <c r="CV26" i="72"/>
  <c r="CT26" i="72"/>
  <c r="CP26" i="72"/>
  <c r="CN26" i="72"/>
  <c r="CL26" i="72"/>
  <c r="CJ26" i="72"/>
  <c r="CF26" i="72"/>
  <c r="CD26" i="72"/>
  <c r="CB26" i="72"/>
  <c r="BZ26" i="72"/>
  <c r="BV26" i="72"/>
  <c r="BT26" i="72"/>
  <c r="BR26" i="72"/>
  <c r="BS26" i="72" s="1"/>
  <c r="BX26" i="72" s="1"/>
  <c r="CC26" i="72" s="1"/>
  <c r="CH26" i="72" s="1"/>
  <c r="CM26" i="72" s="1"/>
  <c r="CR26" i="72" s="1"/>
  <c r="CW26" i="72" s="1"/>
  <c r="DB26" i="72" s="1"/>
  <c r="DG26" i="72" s="1"/>
  <c r="DL26" i="72" s="1"/>
  <c r="BF26" i="72"/>
  <c r="AV26" i="72"/>
  <c r="AS26" i="72" s="1"/>
  <c r="AL26" i="72"/>
  <c r="AB26" i="72"/>
  <c r="R26" i="72"/>
  <c r="L26" i="72"/>
  <c r="Q44" i="72"/>
  <c r="Y44" i="72"/>
  <c r="AA44" i="72"/>
  <c r="AI44" i="72"/>
  <c r="AK44" i="72"/>
  <c r="AU44" i="72"/>
  <c r="O39" i="72"/>
  <c r="Y39" i="72"/>
  <c r="AI39" i="72"/>
  <c r="BC39" i="72"/>
  <c r="O43" i="72"/>
  <c r="Y43" i="72"/>
  <c r="AI43" i="72"/>
  <c r="BC43" i="72"/>
  <c r="O38" i="72"/>
  <c r="Y38" i="72"/>
  <c r="AI38" i="72"/>
  <c r="BC38" i="72"/>
  <c r="O42" i="72"/>
  <c r="Y42" i="72"/>
  <c r="AI42" i="72"/>
  <c r="BC42" i="72"/>
  <c r="O40" i="72"/>
  <c r="Y40" i="72"/>
  <c r="AI40" i="72"/>
  <c r="BC40" i="72"/>
  <c r="O41" i="72"/>
  <c r="Y41" i="72"/>
  <c r="AI41" i="72"/>
  <c r="BC41" i="72"/>
  <c r="O48" i="72"/>
  <c r="Y48" i="72"/>
  <c r="AI48" i="72"/>
  <c r="BC48" i="72"/>
  <c r="O49" i="72"/>
  <c r="Y49" i="72"/>
  <c r="AI49" i="72"/>
  <c r="BC49" i="72"/>
  <c r="V52" i="72"/>
  <c r="T52" i="72"/>
  <c r="AF52" i="72"/>
  <c r="AD52" i="72"/>
  <c r="AP52" i="72"/>
  <c r="AN52" i="72"/>
  <c r="AZ52" i="72"/>
  <c r="AX52" i="72"/>
  <c r="BJ52" i="72"/>
  <c r="BH52" i="72"/>
  <c r="Q53" i="72"/>
  <c r="P53" i="72"/>
  <c r="N53" i="72"/>
  <c r="AK53" i="72"/>
  <c r="AI53" i="72"/>
  <c r="AJ53" i="72"/>
  <c r="BE53" i="72"/>
  <c r="BC53" i="72"/>
  <c r="BD53" i="72"/>
  <c r="Q57" i="72"/>
  <c r="O57" i="72"/>
  <c r="P57" i="72"/>
  <c r="AK57" i="72"/>
  <c r="AI57" i="72"/>
  <c r="AJ57" i="72"/>
  <c r="BE57" i="72"/>
  <c r="BC57" i="72"/>
  <c r="BD57" i="72"/>
  <c r="Q60" i="72"/>
  <c r="O60" i="72"/>
  <c r="P60" i="72"/>
  <c r="AK60" i="72"/>
  <c r="AI60" i="72"/>
  <c r="AJ60" i="72"/>
  <c r="BE60" i="72"/>
  <c r="BC60" i="72"/>
  <c r="BD60" i="72"/>
  <c r="V63" i="72"/>
  <c r="T63" i="72"/>
  <c r="U63" i="72"/>
  <c r="AP63" i="72"/>
  <c r="AN63" i="72"/>
  <c r="AO63" i="72"/>
  <c r="BJ63" i="72"/>
  <c r="BH63" i="72"/>
  <c r="BI63" i="72"/>
  <c r="AF64" i="72"/>
  <c r="AD64" i="72"/>
  <c r="AE64" i="72"/>
  <c r="AZ64" i="72"/>
  <c r="AX64" i="72"/>
  <c r="AY64" i="72"/>
  <c r="V65" i="72"/>
  <c r="T65" i="72"/>
  <c r="U65" i="72"/>
  <c r="AP65" i="72"/>
  <c r="AN65" i="72"/>
  <c r="AO65" i="72"/>
  <c r="AF66" i="72"/>
  <c r="AD66" i="72"/>
  <c r="AE66" i="72"/>
  <c r="AZ66" i="72"/>
  <c r="AX66" i="72"/>
  <c r="AY66" i="72"/>
  <c r="AA53" i="72"/>
  <c r="Y53" i="72"/>
  <c r="Z53" i="72"/>
  <c r="AU53" i="72"/>
  <c r="AT53" i="72"/>
  <c r="AA57" i="72"/>
  <c r="Y57" i="72"/>
  <c r="Z57" i="72"/>
  <c r="AU57" i="72"/>
  <c r="AT57" i="72"/>
  <c r="AA60" i="72"/>
  <c r="Y60" i="72"/>
  <c r="Z60" i="72"/>
  <c r="AU60" i="72"/>
  <c r="AT60" i="72"/>
  <c r="AF63" i="72"/>
  <c r="AD63" i="72"/>
  <c r="AE63" i="72"/>
  <c r="AZ63" i="72"/>
  <c r="AX63" i="72"/>
  <c r="AY63" i="72"/>
  <c r="V64" i="72"/>
  <c r="T64" i="72"/>
  <c r="U64" i="72"/>
  <c r="AP64" i="72"/>
  <c r="AN64" i="72"/>
  <c r="AO64" i="72"/>
  <c r="BJ64" i="72"/>
  <c r="BH64" i="72"/>
  <c r="BI64" i="72"/>
  <c r="AF65" i="72"/>
  <c r="AD65" i="72"/>
  <c r="AE65" i="72"/>
  <c r="AZ65" i="72"/>
  <c r="AX65" i="72"/>
  <c r="AY65" i="72"/>
  <c r="V66" i="72"/>
  <c r="T66" i="72"/>
  <c r="U66" i="72"/>
  <c r="AP66" i="72"/>
  <c r="AN66" i="72"/>
  <c r="AO66" i="72"/>
  <c r="BJ66" i="72"/>
  <c r="BH66" i="72"/>
  <c r="BI66" i="72"/>
  <c r="V67" i="72"/>
  <c r="T67" i="72"/>
  <c r="AF67" i="72"/>
  <c r="AD67" i="72"/>
  <c r="AP67" i="72"/>
  <c r="AN67" i="72"/>
  <c r="AZ67" i="72"/>
  <c r="AX67" i="72"/>
  <c r="BJ67" i="72"/>
  <c r="BH67" i="72"/>
  <c r="V71" i="72"/>
  <c r="T71" i="72"/>
  <c r="AF71" i="72"/>
  <c r="AD71" i="72"/>
  <c r="AP71" i="72"/>
  <c r="AN71" i="72"/>
  <c r="AZ71" i="72"/>
  <c r="AX71" i="72"/>
  <c r="BJ71" i="72"/>
  <c r="BH71" i="72"/>
  <c r="V72" i="72"/>
  <c r="T72" i="72"/>
  <c r="AF72" i="72"/>
  <c r="AD72" i="72"/>
  <c r="AP72" i="72"/>
  <c r="AN72" i="72"/>
  <c r="AZ72" i="72"/>
  <c r="AX72" i="72"/>
  <c r="BJ72" i="72"/>
  <c r="BH72" i="72"/>
  <c r="V73" i="72"/>
  <c r="T73" i="72"/>
  <c r="AF73" i="72"/>
  <c r="AD73" i="72"/>
  <c r="AP73" i="72"/>
  <c r="AN73" i="72"/>
  <c r="AZ73" i="72"/>
  <c r="AX73" i="72"/>
  <c r="Q75" i="72"/>
  <c r="O75" i="72"/>
  <c r="AA75" i="72"/>
  <c r="Y75" i="72"/>
  <c r="AK75" i="72"/>
  <c r="AI75" i="72"/>
  <c r="AU75" i="72"/>
  <c r="BE75" i="72"/>
  <c r="BC75" i="72"/>
  <c r="Q76" i="72"/>
  <c r="O76" i="72"/>
  <c r="AA76" i="72"/>
  <c r="Y76" i="72"/>
  <c r="AK76" i="72"/>
  <c r="AI76" i="72"/>
  <c r="AU76" i="72"/>
  <c r="BE76" i="72"/>
  <c r="BC76" i="72"/>
  <c r="V79" i="72"/>
  <c r="T79" i="72"/>
  <c r="AF79" i="72"/>
  <c r="AD79" i="72"/>
  <c r="AP79" i="72"/>
  <c r="AN79" i="72"/>
  <c r="AZ79" i="72"/>
  <c r="AX79" i="72"/>
  <c r="BJ79" i="72"/>
  <c r="BH79" i="72"/>
  <c r="V80" i="72"/>
  <c r="T80" i="72"/>
  <c r="AF80" i="72"/>
  <c r="AD80" i="72"/>
  <c r="AP80" i="72"/>
  <c r="AN80" i="72"/>
  <c r="AZ80" i="72"/>
  <c r="AX80" i="72"/>
  <c r="BJ80" i="72"/>
  <c r="BH80" i="72"/>
  <c r="V81" i="72"/>
  <c r="T81" i="72"/>
  <c r="AF81" i="72"/>
  <c r="AD81" i="72"/>
  <c r="AP81" i="72"/>
  <c r="AN81" i="72"/>
  <c r="AZ81" i="72"/>
  <c r="AX81" i="72"/>
  <c r="BJ81" i="72"/>
  <c r="BH81" i="72"/>
  <c r="V82" i="72"/>
  <c r="T82" i="72"/>
  <c r="AF82" i="72"/>
  <c r="AD82" i="72"/>
  <c r="AP82" i="72"/>
  <c r="AN82" i="72"/>
  <c r="AZ82" i="72"/>
  <c r="AX82" i="72"/>
  <c r="BJ82" i="72"/>
  <c r="BH82" i="72"/>
  <c r="V83" i="72"/>
  <c r="T83" i="72"/>
  <c r="AF83" i="72"/>
  <c r="AD83" i="72"/>
  <c r="AP83" i="72"/>
  <c r="AN83" i="72"/>
  <c r="AZ83" i="72"/>
  <c r="AX83" i="72"/>
  <c r="BJ83" i="72"/>
  <c r="BH83" i="72"/>
  <c r="V84" i="72"/>
  <c r="T84" i="72"/>
  <c r="AF84" i="72"/>
  <c r="AD84" i="72"/>
  <c r="AP84" i="72"/>
  <c r="AN84" i="72"/>
  <c r="AZ84" i="72"/>
  <c r="AX84" i="72"/>
  <c r="BJ84" i="72"/>
  <c r="BH84" i="72"/>
  <c r="V85" i="72"/>
  <c r="T85" i="72"/>
  <c r="AF85" i="72"/>
  <c r="AD85" i="72"/>
  <c r="AP85" i="72"/>
  <c r="AN85" i="72"/>
  <c r="AZ85" i="72"/>
  <c r="AX85" i="72"/>
  <c r="BJ85" i="72"/>
  <c r="BH85" i="72"/>
  <c r="V86" i="72"/>
  <c r="T86" i="72"/>
  <c r="AF86" i="72"/>
  <c r="AD86" i="72"/>
  <c r="AP86" i="72"/>
  <c r="AN86" i="72"/>
  <c r="AZ86" i="72"/>
  <c r="AX86" i="72"/>
  <c r="BJ86" i="72"/>
  <c r="BH86" i="72"/>
  <c r="V87" i="72"/>
  <c r="T87" i="72"/>
  <c r="AF87" i="72"/>
  <c r="AD87" i="72"/>
  <c r="AP87" i="72"/>
  <c r="AN87" i="72"/>
  <c r="AZ87" i="72"/>
  <c r="AX87" i="72"/>
  <c r="BJ87" i="72"/>
  <c r="BH87" i="72"/>
  <c r="V88" i="72"/>
  <c r="T88" i="72"/>
  <c r="AF88" i="72"/>
  <c r="AD88" i="72"/>
  <c r="AP88" i="72"/>
  <c r="AN88" i="72"/>
  <c r="AZ88" i="72"/>
  <c r="AX88" i="72"/>
  <c r="BJ88" i="72"/>
  <c r="BH88" i="72"/>
  <c r="V89" i="72"/>
  <c r="T89" i="72"/>
  <c r="AF89" i="72"/>
  <c r="AD89" i="72"/>
  <c r="AP89" i="72"/>
  <c r="AN89" i="72"/>
  <c r="AZ89" i="72"/>
  <c r="AX89" i="72"/>
  <c r="BJ89" i="72"/>
  <c r="BH89" i="72"/>
  <c r="V90" i="72"/>
  <c r="T90" i="72"/>
  <c r="AF90" i="72"/>
  <c r="AD90" i="72"/>
  <c r="AP90" i="72"/>
  <c r="AN90" i="72"/>
  <c r="AZ90" i="72"/>
  <c r="AX90" i="72"/>
  <c r="BJ90" i="72"/>
  <c r="BH90" i="72"/>
  <c r="V92" i="72"/>
  <c r="T92" i="72"/>
  <c r="AF92" i="72"/>
  <c r="AD92" i="72"/>
  <c r="AP92" i="72"/>
  <c r="AN92" i="72"/>
  <c r="AZ92" i="72"/>
  <c r="AX92" i="72"/>
  <c r="BJ92" i="72"/>
  <c r="BH92" i="72"/>
  <c r="V93" i="72"/>
  <c r="T93" i="72"/>
  <c r="AF93" i="72"/>
  <c r="AD93" i="72"/>
  <c r="AP93" i="72"/>
  <c r="AN93" i="72"/>
  <c r="AZ93" i="72"/>
  <c r="AX93" i="72"/>
  <c r="BJ93" i="72"/>
  <c r="BH93" i="72"/>
  <c r="DF113" i="72"/>
  <c r="DD113" i="72"/>
  <c r="CZ113" i="72"/>
  <c r="CX113" i="72"/>
  <c r="DG113" i="72"/>
  <c r="DL113" i="72" s="1"/>
  <c r="DQ113" i="72" s="1"/>
  <c r="DV113" i="72" s="1"/>
  <c r="DE113" i="72"/>
  <c r="DC113" i="72"/>
  <c r="DA113" i="72"/>
  <c r="CY113" i="72"/>
  <c r="DQ117" i="72"/>
  <c r="DV117" i="72" s="1"/>
  <c r="DO117" i="72"/>
  <c r="DM117" i="72"/>
  <c r="DK117" i="72"/>
  <c r="DI117" i="72"/>
  <c r="DP117" i="72"/>
  <c r="DN117" i="72"/>
  <c r="DJ117" i="72"/>
  <c r="DH117" i="72"/>
  <c r="U67" i="72"/>
  <c r="AE67" i="72"/>
  <c r="AO67" i="72"/>
  <c r="AY67" i="72"/>
  <c r="BI67" i="72"/>
  <c r="V69" i="72"/>
  <c r="T69" i="72"/>
  <c r="AF69" i="72"/>
  <c r="AD69" i="72"/>
  <c r="AP69" i="72"/>
  <c r="AN69" i="72"/>
  <c r="AZ69" i="72"/>
  <c r="AX69" i="72"/>
  <c r="BJ69" i="72"/>
  <c r="BH69" i="72"/>
  <c r="U71" i="72"/>
  <c r="AE71" i="72"/>
  <c r="AO71" i="72"/>
  <c r="AY71" i="72"/>
  <c r="BI71" i="72"/>
  <c r="U72" i="72"/>
  <c r="AE72" i="72"/>
  <c r="AO72" i="72"/>
  <c r="AY72" i="72"/>
  <c r="BI72" i="72"/>
  <c r="U73" i="72"/>
  <c r="AE73" i="72"/>
  <c r="AO73" i="72"/>
  <c r="AY73" i="72"/>
  <c r="P75" i="72"/>
  <c r="Z75" i="72"/>
  <c r="AJ75" i="72"/>
  <c r="AT75" i="72"/>
  <c r="BD75" i="72"/>
  <c r="P76" i="72"/>
  <c r="Z76" i="72"/>
  <c r="AJ76" i="72"/>
  <c r="AT76" i="72"/>
  <c r="BD76" i="72"/>
  <c r="U79" i="72"/>
  <c r="AE79" i="72"/>
  <c r="AO79" i="72"/>
  <c r="AY79" i="72"/>
  <c r="BI79" i="72"/>
  <c r="U80" i="72"/>
  <c r="AE80" i="72"/>
  <c r="AO80" i="72"/>
  <c r="AY80" i="72"/>
  <c r="BI80" i="72"/>
  <c r="U81" i="72"/>
  <c r="AE81" i="72"/>
  <c r="AO81" i="72"/>
  <c r="AY81" i="72"/>
  <c r="BI81" i="72"/>
  <c r="U82" i="72"/>
  <c r="AE82" i="72"/>
  <c r="AO82" i="72"/>
  <c r="AY82" i="72"/>
  <c r="BI82" i="72"/>
  <c r="U83" i="72"/>
  <c r="AE83" i="72"/>
  <c r="AO83" i="72"/>
  <c r="AY83" i="72"/>
  <c r="BI83" i="72"/>
  <c r="U84" i="72"/>
  <c r="AE84" i="72"/>
  <c r="AO84" i="72"/>
  <c r="AY84" i="72"/>
  <c r="BI84" i="72"/>
  <c r="U85" i="72"/>
  <c r="AE85" i="72"/>
  <c r="AO85" i="72"/>
  <c r="AY85" i="72"/>
  <c r="BI85" i="72"/>
  <c r="U86" i="72"/>
  <c r="AE86" i="72"/>
  <c r="AO86" i="72"/>
  <c r="AY86" i="72"/>
  <c r="BI86" i="72"/>
  <c r="U87" i="72"/>
  <c r="AE87" i="72"/>
  <c r="AO87" i="72"/>
  <c r="AY87" i="72"/>
  <c r="BI87" i="72"/>
  <c r="U88" i="72"/>
  <c r="AE88" i="72"/>
  <c r="AO88" i="72"/>
  <c r="AY88" i="72"/>
  <c r="BI88" i="72"/>
  <c r="U89" i="72"/>
  <c r="AE89" i="72"/>
  <c r="AO89" i="72"/>
  <c r="AY89" i="72"/>
  <c r="BI89" i="72"/>
  <c r="U90" i="72"/>
  <c r="AE90" i="72"/>
  <c r="AO90" i="72"/>
  <c r="AY90" i="72"/>
  <c r="BI90" i="72"/>
  <c r="U92" i="72"/>
  <c r="AE92" i="72"/>
  <c r="AO92" i="72"/>
  <c r="AY92" i="72"/>
  <c r="BI92" i="72"/>
  <c r="U93" i="72"/>
  <c r="AE93" i="72"/>
  <c r="AO93" i="72"/>
  <c r="AY93" i="72"/>
  <c r="BI93" i="72"/>
  <c r="T99" i="72"/>
  <c r="AD99" i="72"/>
  <c r="AN99" i="72"/>
  <c r="AX99" i="72"/>
  <c r="BH99" i="72"/>
  <c r="T100" i="72"/>
  <c r="AD100" i="72"/>
  <c r="AN100" i="72"/>
  <c r="AX100" i="72"/>
  <c r="BH100" i="72"/>
  <c r="T101" i="72"/>
  <c r="AD101" i="72"/>
  <c r="AN101" i="72"/>
  <c r="AX101" i="72"/>
  <c r="BH101" i="72"/>
  <c r="T103" i="72"/>
  <c r="AD103" i="72"/>
  <c r="AN103" i="72"/>
  <c r="AX103" i="72"/>
  <c r="BH103" i="72"/>
  <c r="T104" i="72"/>
  <c r="AD104" i="72"/>
  <c r="AN104" i="72"/>
  <c r="AX104" i="72"/>
  <c r="BH104" i="72"/>
  <c r="T107" i="72"/>
  <c r="AD107" i="72"/>
  <c r="AN107" i="72"/>
  <c r="AX107" i="72"/>
  <c r="BH107" i="72"/>
  <c r="T108" i="72"/>
  <c r="AD108" i="72"/>
  <c r="AN108" i="72"/>
  <c r="AX108" i="72"/>
  <c r="BH108" i="72"/>
  <c r="O110" i="72"/>
  <c r="Y110" i="72"/>
  <c r="AI110" i="72"/>
  <c r="BC110" i="72"/>
  <c r="O111" i="72"/>
  <c r="Y111" i="72"/>
  <c r="AI111" i="72"/>
  <c r="BC111" i="72"/>
  <c r="O112" i="72"/>
  <c r="Y112" i="72"/>
  <c r="AI112" i="72"/>
  <c r="BC112" i="72"/>
  <c r="O113" i="72"/>
  <c r="Y113" i="72"/>
  <c r="AI113" i="72"/>
  <c r="BC113" i="72"/>
  <c r="T116" i="72"/>
  <c r="AD116" i="72"/>
  <c r="AN116" i="72"/>
  <c r="AX116" i="72"/>
  <c r="BH116" i="72"/>
  <c r="T117" i="72"/>
  <c r="AD117" i="72"/>
  <c r="AN117" i="72"/>
  <c r="AX117" i="72"/>
  <c r="BH117" i="72"/>
  <c r="T118" i="72"/>
  <c r="AD118" i="72"/>
  <c r="AN118" i="72"/>
  <c r="AX118" i="72"/>
  <c r="BH118" i="72"/>
  <c r="T119" i="72"/>
  <c r="AD119" i="72"/>
  <c r="AN119" i="72"/>
  <c r="AX119" i="72"/>
  <c r="BH119" i="72"/>
  <c r="T121" i="72"/>
  <c r="AD121" i="72"/>
  <c r="AN121" i="72"/>
  <c r="AX121" i="72"/>
  <c r="BH121" i="72"/>
  <c r="T123" i="72"/>
  <c r="AD123" i="72"/>
  <c r="AN123" i="72"/>
  <c r="AX123" i="72"/>
  <c r="BH123" i="72"/>
  <c r="T124" i="72"/>
  <c r="AD124" i="72"/>
  <c r="AN124" i="72"/>
  <c r="AX124" i="72"/>
  <c r="BH124" i="72"/>
  <c r="T125" i="72"/>
  <c r="AD125" i="72"/>
  <c r="AN125" i="72"/>
  <c r="AX125" i="72"/>
  <c r="BH125" i="72"/>
  <c r="O127" i="72"/>
  <c r="Y127" i="72"/>
  <c r="AI127" i="72"/>
  <c r="Q128" i="72"/>
  <c r="O128" i="72"/>
  <c r="AA128" i="72"/>
  <c r="Y128" i="72"/>
  <c r="AK128" i="72"/>
  <c r="AI128" i="72"/>
  <c r="AU128" i="72"/>
  <c r="BE128" i="72"/>
  <c r="BC128" i="72"/>
  <c r="AZ163" i="72"/>
  <c r="AX163" i="72"/>
  <c r="AY163" i="72"/>
  <c r="AW163" i="72"/>
  <c r="Q129" i="72"/>
  <c r="O129" i="72"/>
  <c r="AA129" i="72"/>
  <c r="Y129" i="72"/>
  <c r="AK129" i="72"/>
  <c r="AI129" i="72"/>
  <c r="AU129" i="72"/>
  <c r="BE129" i="72"/>
  <c r="BC129" i="72"/>
  <c r="Q130" i="72"/>
  <c r="O130" i="72"/>
  <c r="AA130" i="72"/>
  <c r="Y130" i="72"/>
  <c r="AK130" i="72"/>
  <c r="AI130" i="72"/>
  <c r="AU130" i="72"/>
  <c r="BE130" i="72"/>
  <c r="BC130" i="72"/>
  <c r="Q131" i="72"/>
  <c r="O131" i="72"/>
  <c r="AA131" i="72"/>
  <c r="Y131" i="72"/>
  <c r="AK131" i="72"/>
  <c r="AI131" i="72"/>
  <c r="AU131" i="72"/>
  <c r="BE131" i="72"/>
  <c r="BC131" i="72"/>
  <c r="Q132" i="72"/>
  <c r="O132" i="72"/>
  <c r="AA132" i="72"/>
  <c r="Y132" i="72"/>
  <c r="AK132" i="72"/>
  <c r="AI132" i="72"/>
  <c r="AU132" i="72"/>
  <c r="BE132" i="72"/>
  <c r="BC132" i="72"/>
  <c r="Q134" i="72"/>
  <c r="O134" i="72"/>
  <c r="AA134" i="72"/>
  <c r="Y134" i="72"/>
  <c r="AK134" i="72"/>
  <c r="AI134" i="72"/>
  <c r="AU134" i="72"/>
  <c r="BE134" i="72"/>
  <c r="BC134" i="72"/>
  <c r="Q137" i="72"/>
  <c r="O137" i="72"/>
  <c r="AA137" i="72"/>
  <c r="Y137" i="72"/>
  <c r="AK137" i="72"/>
  <c r="AI137" i="72"/>
  <c r="AU137" i="72"/>
  <c r="BE137" i="72"/>
  <c r="BC137" i="72"/>
  <c r="Q138" i="72"/>
  <c r="O138" i="72"/>
  <c r="AA138" i="72"/>
  <c r="Y138" i="72"/>
  <c r="AK138" i="72"/>
  <c r="AI138" i="72"/>
  <c r="AU138" i="72"/>
  <c r="BE138" i="72"/>
  <c r="BC138" i="72"/>
  <c r="Q139" i="72"/>
  <c r="O139" i="72"/>
  <c r="AA139" i="72"/>
  <c r="Y139" i="72"/>
  <c r="AK139" i="72"/>
  <c r="AI139" i="72"/>
  <c r="AU139" i="72"/>
  <c r="BE139" i="72"/>
  <c r="BC139" i="72"/>
  <c r="Q140" i="72"/>
  <c r="O140" i="72"/>
  <c r="AA140" i="72"/>
  <c r="Y140" i="72"/>
  <c r="AK140" i="72"/>
  <c r="AI140" i="72"/>
  <c r="AU140" i="72"/>
  <c r="BE140" i="72"/>
  <c r="BC140" i="72"/>
  <c r="Q142" i="72"/>
  <c r="O142" i="72"/>
  <c r="AA142" i="72"/>
  <c r="Y142" i="72"/>
  <c r="AK142" i="72"/>
  <c r="AI142" i="72"/>
  <c r="AU142" i="72"/>
  <c r="BE142" i="72"/>
  <c r="BC142" i="72"/>
  <c r="Q143" i="72"/>
  <c r="O143" i="72"/>
  <c r="AA143" i="72"/>
  <c r="Y143" i="72"/>
  <c r="AK143" i="72"/>
  <c r="AI143" i="72"/>
  <c r="AU143" i="72"/>
  <c r="BE143" i="72"/>
  <c r="BC143" i="72"/>
  <c r="Q144" i="72"/>
  <c r="O144" i="72"/>
  <c r="AA144" i="72"/>
  <c r="Y144" i="72"/>
  <c r="AK144" i="72"/>
  <c r="AI144" i="72"/>
  <c r="AU144" i="72"/>
  <c r="BE144" i="72"/>
  <c r="BC144" i="72"/>
  <c r="Q145" i="72"/>
  <c r="O145" i="72"/>
  <c r="AA145" i="72"/>
  <c r="Y145" i="72"/>
  <c r="AK145" i="72"/>
  <c r="AI145" i="72"/>
  <c r="AU145" i="72"/>
  <c r="BE145" i="72"/>
  <c r="BC145" i="72"/>
  <c r="Q146" i="72"/>
  <c r="O146" i="72"/>
  <c r="AA146" i="72"/>
  <c r="Y146" i="72"/>
  <c r="AK146" i="72"/>
  <c r="AI146" i="72"/>
  <c r="AU146" i="72"/>
  <c r="BE146" i="72"/>
  <c r="BC146" i="72"/>
  <c r="Q147" i="72"/>
  <c r="O147" i="72"/>
  <c r="AA147" i="72"/>
  <c r="Y147" i="72"/>
  <c r="AK147" i="72"/>
  <c r="AI147" i="72"/>
  <c r="AU147" i="72"/>
  <c r="BE147" i="72"/>
  <c r="BC147" i="72"/>
  <c r="Q148" i="72"/>
  <c r="O148" i="72"/>
  <c r="AA148" i="72"/>
  <c r="Y148" i="72"/>
  <c r="AK148" i="72"/>
  <c r="AI148" i="72"/>
  <c r="AU148" i="72"/>
  <c r="BE148" i="72"/>
  <c r="BC148" i="72"/>
  <c r="Q149" i="72"/>
  <c r="O149" i="72"/>
  <c r="AA149" i="72"/>
  <c r="Y149" i="72"/>
  <c r="AK149" i="72"/>
  <c r="AI149" i="72"/>
  <c r="AU149" i="72"/>
  <c r="BE149" i="72"/>
  <c r="BC149" i="72"/>
  <c r="Q150" i="72"/>
  <c r="O150" i="72"/>
  <c r="AA150" i="72"/>
  <c r="Y150" i="72"/>
  <c r="AK150" i="72"/>
  <c r="AI150" i="72"/>
  <c r="AU150" i="72"/>
  <c r="BE150" i="72"/>
  <c r="BC150" i="72"/>
  <c r="Q151" i="72"/>
  <c r="O151" i="72"/>
  <c r="AA151" i="72"/>
  <c r="Y151" i="72"/>
  <c r="AK151" i="72"/>
  <c r="AI151" i="72"/>
  <c r="AU151" i="72"/>
  <c r="BE151" i="72"/>
  <c r="BC151" i="72"/>
  <c r="Q152" i="72"/>
  <c r="O152" i="72"/>
  <c r="AA152" i="72"/>
  <c r="Y152" i="72"/>
  <c r="AK152" i="72"/>
  <c r="AI152" i="72"/>
  <c r="AU152" i="72"/>
  <c r="BE152" i="72"/>
  <c r="BC152" i="72"/>
  <c r="O155" i="72"/>
  <c r="Y155" i="72"/>
  <c r="AI155" i="72"/>
  <c r="BC155" i="72"/>
  <c r="O156" i="72"/>
  <c r="Y156" i="72"/>
  <c r="AI156" i="72"/>
  <c r="BC156" i="72"/>
  <c r="T158" i="72"/>
  <c r="AD158" i="72"/>
  <c r="AN158" i="72"/>
  <c r="AX158" i="72"/>
  <c r="BH158" i="72"/>
  <c r="T159" i="72"/>
  <c r="AD159" i="72"/>
  <c r="AN159" i="72"/>
  <c r="AX159" i="72"/>
  <c r="BH159" i="72"/>
  <c r="O161" i="72"/>
  <c r="Y161" i="72"/>
  <c r="AI161" i="72"/>
  <c r="BC161" i="72"/>
  <c r="O162" i="72"/>
  <c r="Y162" i="72"/>
  <c r="AI162" i="72"/>
  <c r="BC162" i="72"/>
  <c r="O163" i="72"/>
  <c r="Y163" i="72"/>
  <c r="AI163" i="72"/>
  <c r="BC163" i="72"/>
  <c r="V165" i="72"/>
  <c r="T165" i="72"/>
  <c r="AF165" i="72"/>
  <c r="AD165" i="72"/>
  <c r="AP165" i="72"/>
  <c r="AN165" i="72"/>
  <c r="AZ165" i="72"/>
  <c r="AX165" i="72"/>
  <c r="BJ165" i="72"/>
  <c r="BH165" i="72"/>
  <c r="V166" i="72"/>
  <c r="T166" i="72"/>
  <c r="AF166" i="72"/>
  <c r="AD166" i="72"/>
  <c r="AP166" i="72"/>
  <c r="AN166" i="72"/>
  <c r="AZ166" i="72"/>
  <c r="AX166" i="72"/>
  <c r="BJ166" i="72"/>
  <c r="BH166" i="72"/>
  <c r="V167" i="72"/>
  <c r="T167" i="72"/>
  <c r="AF167" i="72"/>
  <c r="AD167" i="72"/>
  <c r="AP167" i="72"/>
  <c r="AN167" i="72"/>
  <c r="AZ167" i="72"/>
  <c r="AX167" i="72"/>
  <c r="BJ167" i="72"/>
  <c r="BH167" i="72"/>
  <c r="T176" i="72"/>
  <c r="AD176" i="72"/>
  <c r="AN176" i="72"/>
  <c r="AX176" i="72"/>
  <c r="BH176" i="72"/>
  <c r="BF177" i="72"/>
  <c r="BH177" i="72"/>
  <c r="AE189" i="72"/>
  <c r="AE191" i="72" s="1"/>
  <c r="AC189" i="72"/>
  <c r="AC191" i="72" s="1"/>
  <c r="AD189" i="72"/>
  <c r="AD191" i="72" s="1"/>
  <c r="AL191" i="72"/>
  <c r="AK189" i="72"/>
  <c r="AK191" i="72" s="1"/>
  <c r="AI189" i="72"/>
  <c r="AI191" i="72" s="1"/>
  <c r="AV191" i="72"/>
  <c r="AU189" i="72"/>
  <c r="AU191" i="72" s="1"/>
  <c r="BF191" i="72"/>
  <c r="BE189" i="72"/>
  <c r="BE191" i="72" s="1"/>
  <c r="BF442" i="15" s="1"/>
  <c r="BF465" i="15" s="1"/>
  <c r="BC189" i="72"/>
  <c r="BC191" i="72" s="1"/>
  <c r="BD442" i="15" s="1"/>
  <c r="BD465" i="15" s="1"/>
  <c r="BD469" i="15" s="1"/>
  <c r="BR191" i="72"/>
  <c r="BN442" i="15" s="1"/>
  <c r="BS189" i="72"/>
  <c r="W199" i="72"/>
  <c r="AG199" i="72"/>
  <c r="AQ199" i="72"/>
  <c r="AQ201" i="72" s="1"/>
  <c r="V194" i="72"/>
  <c r="T194" i="72"/>
  <c r="AF194" i="72"/>
  <c r="AD194" i="72"/>
  <c r="AP194" i="72"/>
  <c r="AN194" i="72"/>
  <c r="R191" i="72"/>
  <c r="Q189" i="72"/>
  <c r="Q191" i="72" s="1"/>
  <c r="O189" i="72"/>
  <c r="O191" i="72" s="1"/>
  <c r="AB191" i="72"/>
  <c r="AA189" i="72"/>
  <c r="AA191" i="72" s="1"/>
  <c r="Y189" i="72"/>
  <c r="Y191" i="72" s="1"/>
  <c r="AF189" i="72"/>
  <c r="AF191" i="72" s="1"/>
  <c r="AJ189" i="72"/>
  <c r="AJ191" i="72" s="1"/>
  <c r="AT189" i="72"/>
  <c r="AT191" i="72" s="1"/>
  <c r="BD189" i="72"/>
  <c r="BD191" i="72" s="1"/>
  <c r="BE442" i="15" s="1"/>
  <c r="BE465" i="15" s="1"/>
  <c r="AG191" i="72"/>
  <c r="U194" i="72"/>
  <c r="AX194" i="72"/>
  <c r="BH194" i="72"/>
  <c r="T195" i="72"/>
  <c r="AD195" i="72"/>
  <c r="AN195" i="72"/>
  <c r="AX195" i="72"/>
  <c r="BH195" i="72"/>
  <c r="T196" i="72"/>
  <c r="AD196" i="72"/>
  <c r="AN196" i="72"/>
  <c r="AX196" i="72"/>
  <c r="BT199" i="72"/>
  <c r="BV199" i="72"/>
  <c r="BV201" i="72" s="1"/>
  <c r="BZ199" i="72"/>
  <c r="BZ201" i="72" s="1"/>
  <c r="CB199" i="72"/>
  <c r="CB201" i="72" s="1"/>
  <c r="DJ196" i="72"/>
  <c r="DF196" i="72"/>
  <c r="DK196" i="72"/>
  <c r="DE196" i="72"/>
  <c r="AY23" i="51"/>
  <c r="BD23" i="51" s="1"/>
  <c r="BI23" i="51" s="1"/>
  <c r="BN23" i="51" s="1"/>
  <c r="AX35" i="51"/>
  <c r="AY39" i="46"/>
  <c r="BC22" i="51"/>
  <c r="AX23" i="51"/>
  <c r="Z30" i="15"/>
  <c r="Z26" i="15"/>
  <c r="Z21" i="65" s="1"/>
  <c r="AE26" i="15"/>
  <c r="AE21" i="65" s="1"/>
  <c r="AE30" i="15"/>
  <c r="AJ30" i="15"/>
  <c r="AJ26" i="15"/>
  <c r="AJ21" i="65" s="1"/>
  <c r="K30" i="15"/>
  <c r="K26" i="15"/>
  <c r="P30" i="15"/>
  <c r="P26" i="15"/>
  <c r="U26" i="15"/>
  <c r="U21" i="65" s="1"/>
  <c r="U30" i="15"/>
  <c r="X30" i="15"/>
  <c r="X26" i="15"/>
  <c r="X21" i="65" s="1"/>
  <c r="Y26" i="15"/>
  <c r="Y30" i="15"/>
  <c r="AD30" i="15"/>
  <c r="AD26" i="15"/>
  <c r="AI26" i="15"/>
  <c r="AI30" i="15"/>
  <c r="L30" i="15"/>
  <c r="L26" i="15"/>
  <c r="O26" i="15"/>
  <c r="O30" i="15"/>
  <c r="Q26" i="15"/>
  <c r="Q30" i="15"/>
  <c r="V30" i="15"/>
  <c r="V26" i="15"/>
  <c r="AG10" i="15"/>
  <c r="M11" i="15"/>
  <c r="W11" i="15"/>
  <c r="Y11" i="15"/>
  <c r="AA11" i="15"/>
  <c r="AC11" i="15"/>
  <c r="AE11" i="15"/>
  <c r="AI11" i="15"/>
  <c r="AK11" i="15"/>
  <c r="AM11" i="15"/>
  <c r="AO11" i="15"/>
  <c r="AG394" i="15"/>
  <c r="AG397" i="15" s="1"/>
  <c r="AG56" i="15"/>
  <c r="AG455" i="15"/>
  <c r="AH455" i="15" s="1"/>
  <c r="AG426" i="15"/>
  <c r="AG427" i="15" s="1"/>
  <c r="AG54" i="15"/>
  <c r="AC18" i="15"/>
  <c r="AC20" i="15" s="1"/>
  <c r="AC25" i="15" s="1"/>
  <c r="AM18" i="15"/>
  <c r="AM20" i="15" s="1"/>
  <c r="AM25" i="15" s="1"/>
  <c r="K500" i="15"/>
  <c r="L500" i="15"/>
  <c r="J500" i="15"/>
  <c r="H11" i="15"/>
  <c r="R11" i="15"/>
  <c r="Z11" i="15"/>
  <c r="AD11" i="15"/>
  <c r="AF11" i="15"/>
  <c r="AH11" i="15"/>
  <c r="AJ11" i="15"/>
  <c r="AN11" i="15"/>
  <c r="AL394" i="15"/>
  <c r="AL397" i="15" s="1"/>
  <c r="AQ398" i="15" s="1"/>
  <c r="AL56" i="15"/>
  <c r="AL455" i="15"/>
  <c r="AM455" i="15" s="1"/>
  <c r="AL426" i="15"/>
  <c r="AL427" i="15" s="1"/>
  <c r="AL54" i="15"/>
  <c r="AM58" i="15"/>
  <c r="AF67" i="15"/>
  <c r="AE65" i="15"/>
  <c r="AK67" i="15"/>
  <c r="AJ65" i="15"/>
  <c r="AO65" i="15"/>
  <c r="AZ67" i="15"/>
  <c r="AY65" i="15"/>
  <c r="U500" i="15"/>
  <c r="V500" i="15"/>
  <c r="R500" i="15"/>
  <c r="S500" i="15" s="1"/>
  <c r="T500" i="15"/>
  <c r="AF500" i="15"/>
  <c r="AD500" i="15"/>
  <c r="AB500" i="15"/>
  <c r="AC500" i="15" s="1"/>
  <c r="AE500" i="15"/>
  <c r="AN500" i="15"/>
  <c r="AL500" i="15"/>
  <c r="AM500" i="15" s="1"/>
  <c r="AO500" i="15"/>
  <c r="AB38" i="15"/>
  <c r="AL52" i="15"/>
  <c r="AL53" i="15"/>
  <c r="AW99" i="15"/>
  <c r="AW361" i="15" s="1"/>
  <c r="BG99" i="15"/>
  <c r="BG361" i="15" s="1"/>
  <c r="AW101" i="15"/>
  <c r="AW366" i="15" s="1"/>
  <c r="BG101" i="15"/>
  <c r="BG366" i="15" s="1"/>
  <c r="AR102" i="15"/>
  <c r="AR371" i="15" s="1"/>
  <c r="BB102" i="15"/>
  <c r="BB371" i="15" s="1"/>
  <c r="AC103" i="15"/>
  <c r="AC376" i="15" s="1"/>
  <c r="AE103" i="15"/>
  <c r="AG103" i="15"/>
  <c r="BB106" i="15"/>
  <c r="AE204" i="15"/>
  <c r="AJ204" i="15" s="1"/>
  <c r="AA204" i="15"/>
  <c r="BE205" i="15"/>
  <c r="BJ204" i="15"/>
  <c r="BO204" i="15" s="1"/>
  <c r="BK239" i="15"/>
  <c r="BK180" i="15"/>
  <c r="BJ180" i="15" s="1"/>
  <c r="BI180" i="15" s="1"/>
  <c r="BH180" i="15" s="1"/>
  <c r="AQ268" i="15"/>
  <c r="Q500" i="15"/>
  <c r="O500" i="15"/>
  <c r="M500" i="15"/>
  <c r="N500" i="15" s="1"/>
  <c r="P500" i="15"/>
  <c r="Z500" i="15"/>
  <c r="Y500" i="15"/>
  <c r="W500" i="15"/>
  <c r="X500" i="15" s="1"/>
  <c r="AA500" i="15"/>
  <c r="AJ500" i="15"/>
  <c r="AK500" i="15"/>
  <c r="AG500" i="15"/>
  <c r="AH500" i="15" s="1"/>
  <c r="AI500" i="15"/>
  <c r="AG52" i="15"/>
  <c r="AG53" i="15"/>
  <c r="AR99" i="15"/>
  <c r="AR361" i="15" s="1"/>
  <c r="BB99" i="15"/>
  <c r="BB361" i="15" s="1"/>
  <c r="AR101" i="15"/>
  <c r="AR366" i="15" s="1"/>
  <c r="BB101" i="15"/>
  <c r="BB366" i="15" s="1"/>
  <c r="AW102" i="15"/>
  <c r="AW371" i="15" s="1"/>
  <c r="BG102" i="15"/>
  <c r="BG371" i="15" s="1"/>
  <c r="BK371" i="15"/>
  <c r="AD103" i="15"/>
  <c r="AF103" i="15"/>
  <c r="AW106" i="15"/>
  <c r="BG106" i="15"/>
  <c r="BI202" i="15"/>
  <c r="BH205" i="15"/>
  <c r="I244" i="15"/>
  <c r="Y230" i="15"/>
  <c r="Z230" i="15" s="1"/>
  <c r="AL239" i="15"/>
  <c r="AM180" i="15"/>
  <c r="AL180" i="15" s="1"/>
  <c r="AK180" i="15" s="1"/>
  <c r="AJ180" i="15" s="1"/>
  <c r="AI180" i="15" s="1"/>
  <c r="Z173" i="15"/>
  <c r="AE173" i="15"/>
  <c r="AO173" i="15"/>
  <c r="AY173" i="15"/>
  <c r="AB174" i="15"/>
  <c r="AE176" i="15"/>
  <c r="AT176" i="15"/>
  <c r="AZ176" i="15"/>
  <c r="BJ176" i="15"/>
  <c r="AV200" i="15"/>
  <c r="AB200" i="15"/>
  <c r="AH200" i="15"/>
  <c r="Z202" i="15"/>
  <c r="Z370" i="15" s="1"/>
  <c r="AC213" i="15"/>
  <c r="AW213" i="15"/>
  <c r="AV215" i="15"/>
  <c r="Y217" i="15"/>
  <c r="Z217" i="15" s="1"/>
  <c r="AY217" i="15"/>
  <c r="BD217" i="15" s="1"/>
  <c r="BI217" i="15" s="1"/>
  <c r="BN217" i="15" s="1"/>
  <c r="AC226" i="15"/>
  <c r="AW226" i="15"/>
  <c r="Y367" i="15"/>
  <c r="Z239" i="15"/>
  <c r="AG239" i="15"/>
  <c r="AO239" i="15"/>
  <c r="AY239" i="15"/>
  <c r="BF239" i="15"/>
  <c r="AL240" i="15"/>
  <c r="AR240" i="15"/>
  <c r="Z242" i="15"/>
  <c r="Y370" i="15"/>
  <c r="AA268" i="15"/>
  <c r="Z270" i="15"/>
  <c r="AA270" i="15" s="1"/>
  <c r="AB270" i="15" s="1"/>
  <c r="AA323" i="15"/>
  <c r="BJ173" i="15"/>
  <c r="AA176" i="15"/>
  <c r="AL213" i="15"/>
  <c r="AR213" i="15"/>
  <c r="Y377" i="15"/>
  <c r="AO370" i="15"/>
  <c r="Y271" i="15"/>
  <c r="AO276" i="15"/>
  <c r="Z291" i="15"/>
  <c r="AA288" i="15"/>
  <c r="AA308" i="15"/>
  <c r="AC290" i="15"/>
  <c r="AD290" i="15" s="1"/>
  <c r="Y291" i="15"/>
  <c r="Z346" i="15"/>
  <c r="AA343" i="15"/>
  <c r="AM354" i="15"/>
  <c r="AG354" i="15"/>
  <c r="AN372" i="15"/>
  <c r="K386" i="15"/>
  <c r="N386" i="15"/>
  <c r="P386" i="15"/>
  <c r="S386" i="15"/>
  <c r="U386" i="15"/>
  <c r="X386" i="15"/>
  <c r="Z386" i="15"/>
  <c r="AC386" i="15"/>
  <c r="AE386" i="15"/>
  <c r="AH386" i="15"/>
  <c r="AJ386" i="15"/>
  <c r="AM386" i="15"/>
  <c r="K392" i="15"/>
  <c r="P392" i="15"/>
  <c r="U392" i="15"/>
  <c r="X392" i="15"/>
  <c r="Z392" i="15"/>
  <c r="AC392" i="15"/>
  <c r="AE392" i="15"/>
  <c r="AH392" i="15"/>
  <c r="AJ392" i="15"/>
  <c r="AM392" i="15"/>
  <c r="K398" i="15"/>
  <c r="N398" i="15"/>
  <c r="P398" i="15"/>
  <c r="S398" i="15"/>
  <c r="U398" i="15"/>
  <c r="X398" i="15"/>
  <c r="Z398" i="15"/>
  <c r="AC398" i="15"/>
  <c r="AE398" i="15"/>
  <c r="AH398" i="15"/>
  <c r="AJ398" i="15"/>
  <c r="AM398" i="15"/>
  <c r="AM342" i="15"/>
  <c r="AG342" i="15"/>
  <c r="AF342" i="15" s="1"/>
  <c r="AE342" i="15" s="1"/>
  <c r="AD342" i="15" s="1"/>
  <c r="J386" i="15"/>
  <c r="L386" i="15"/>
  <c r="O386" i="15"/>
  <c r="Q386" i="15"/>
  <c r="T386" i="15"/>
  <c r="V386" i="15"/>
  <c r="Y386" i="15"/>
  <c r="AA386" i="15"/>
  <c r="AD386" i="15"/>
  <c r="AF386" i="15"/>
  <c r="AI386" i="15"/>
  <c r="AK386" i="15"/>
  <c r="J392" i="15"/>
  <c r="O392" i="15"/>
  <c r="T392" i="15"/>
  <c r="V392" i="15"/>
  <c r="Y392" i="15"/>
  <c r="AA392" i="15"/>
  <c r="AD392" i="15"/>
  <c r="AF392" i="15"/>
  <c r="AI392" i="15"/>
  <c r="AK392" i="15"/>
  <c r="J398" i="15"/>
  <c r="L398" i="15"/>
  <c r="O398" i="15"/>
  <c r="Q398" i="15"/>
  <c r="T398" i="15"/>
  <c r="V398" i="15"/>
  <c r="Y398" i="15"/>
  <c r="AA398" i="15"/>
  <c r="AD398" i="15"/>
  <c r="AF398" i="15"/>
  <c r="AI398" i="15"/>
  <c r="AK398" i="15"/>
  <c r="Y346" i="15"/>
  <c r="K412" i="15"/>
  <c r="N412" i="15"/>
  <c r="P412" i="15"/>
  <c r="S412" i="15"/>
  <c r="U412" i="15"/>
  <c r="X412" i="15"/>
  <c r="Z412" i="15"/>
  <c r="AC412" i="15"/>
  <c r="AE412" i="15"/>
  <c r="AH412" i="15"/>
  <c r="AJ412" i="15"/>
  <c r="AM412" i="15"/>
  <c r="N426" i="15"/>
  <c r="N427" i="15" s="1"/>
  <c r="P427" i="15"/>
  <c r="V427" i="15"/>
  <c r="Z427" i="15"/>
  <c r="AF427" i="15"/>
  <c r="AB342" i="15"/>
  <c r="AA342" i="15" s="1"/>
  <c r="Z342" i="15" s="1"/>
  <c r="Y342" i="15" s="1"/>
  <c r="J412" i="15"/>
  <c r="L412" i="15"/>
  <c r="O412" i="15"/>
  <c r="Q412" i="15"/>
  <c r="T412" i="15"/>
  <c r="V412" i="15"/>
  <c r="Y412" i="15"/>
  <c r="AA412" i="15"/>
  <c r="AD412" i="15"/>
  <c r="AF412" i="15"/>
  <c r="AI412" i="15"/>
  <c r="AK412" i="15"/>
  <c r="O427" i="15"/>
  <c r="Q427" i="15"/>
  <c r="U427" i="15"/>
  <c r="Y427" i="15"/>
  <c r="AA427" i="15"/>
  <c r="R420" i="15"/>
  <c r="S420" i="15" s="1"/>
  <c r="T427" i="15" s="1"/>
  <c r="AB420" i="15"/>
  <c r="AB427" i="15" s="1"/>
  <c r="X426" i="15"/>
  <c r="X427" i="15" s="1"/>
  <c r="BC469" i="15"/>
  <c r="M492" i="15"/>
  <c r="M505" i="15" s="1"/>
  <c r="P492" i="15"/>
  <c r="P484" i="15" s="1"/>
  <c r="N417" i="15"/>
  <c r="X417" i="15"/>
  <c r="S426" i="15"/>
  <c r="AC426" i="15"/>
  <c r="AG458" i="15"/>
  <c r="H492" i="15"/>
  <c r="O492" i="15"/>
  <c r="O505" i="15" s="1"/>
  <c r="Q492" i="15"/>
  <c r="I481" i="15"/>
  <c r="I483" i="15" s="1"/>
  <c r="N481" i="15"/>
  <c r="N483" i="15" s="1"/>
  <c r="F492" i="15"/>
  <c r="F493" i="15" s="1"/>
  <c r="J492" i="15"/>
  <c r="J493" i="15" s="1"/>
  <c r="L492" i="15"/>
  <c r="L484" i="15" s="1"/>
  <c r="R483" i="15"/>
  <c r="T483" i="15"/>
  <c r="V483" i="15"/>
  <c r="Z483" i="15"/>
  <c r="AB483" i="15"/>
  <c r="AD483" i="15"/>
  <c r="AF483" i="15"/>
  <c r="AJ483" i="15"/>
  <c r="AL483" i="15"/>
  <c r="AN483" i="15"/>
  <c r="J484" i="15"/>
  <c r="E492" i="15"/>
  <c r="E493" i="15" s="1"/>
  <c r="G492" i="15"/>
  <c r="G493" i="15" s="1"/>
  <c r="K492" i="15"/>
  <c r="K505" i="15" s="1"/>
  <c r="U483" i="15"/>
  <c r="W483" i="15"/>
  <c r="Y483" i="15"/>
  <c r="AA483" i="15"/>
  <c r="AE483" i="15"/>
  <c r="AG483" i="15"/>
  <c r="AI483" i="15"/>
  <c r="AK483" i="15"/>
  <c r="AO483" i="15"/>
  <c r="AO107" i="46" s="1"/>
  <c r="M99" i="47"/>
  <c r="M109" i="47"/>
  <c r="R11" i="47"/>
  <c r="R9" i="51" s="1"/>
  <c r="AL11" i="47"/>
  <c r="AL9" i="51" s="1"/>
  <c r="F17" i="47"/>
  <c r="J17" i="47"/>
  <c r="N17" i="47"/>
  <c r="V17" i="47"/>
  <c r="Z17" i="47"/>
  <c r="AD17" i="47"/>
  <c r="AH17" i="47"/>
  <c r="H11" i="47"/>
  <c r="H9" i="51" s="1"/>
  <c r="AB11" i="47"/>
  <c r="AB9" i="51" s="1"/>
  <c r="L17" i="47"/>
  <c r="X17" i="47"/>
  <c r="AF17" i="47"/>
  <c r="BI24" i="47"/>
  <c r="BD17" i="46"/>
  <c r="BI47" i="47"/>
  <c r="BD39" i="46"/>
  <c r="AX113" i="47"/>
  <c r="AX17" i="46"/>
  <c r="M11" i="47"/>
  <c r="M9" i="51" s="1"/>
  <c r="W11" i="47"/>
  <c r="W9" i="51" s="1"/>
  <c r="AG11" i="47"/>
  <c r="AG9" i="51" s="1"/>
  <c r="H120" i="47"/>
  <c r="H121" i="47" s="1"/>
  <c r="M120" i="47"/>
  <c r="M121" i="47" s="1"/>
  <c r="R120" i="47"/>
  <c r="W120" i="47"/>
  <c r="W121" i="47" s="1"/>
  <c r="AB120" i="47"/>
  <c r="AB121" i="47" s="1"/>
  <c r="AG120" i="47"/>
  <c r="AG121" i="47" s="1"/>
  <c r="AL120" i="47"/>
  <c r="AL121" i="47" s="1"/>
  <c r="M15" i="47"/>
  <c r="W15" i="47"/>
  <c r="AG15" i="47"/>
  <c r="BC24" i="47"/>
  <c r="BC31" i="47"/>
  <c r="AB275" i="47"/>
  <c r="AC275" i="47" s="1"/>
  <c r="AB208" i="47"/>
  <c r="AC208" i="47" s="1"/>
  <c r="AB183" i="47"/>
  <c r="AB184" i="47" s="1"/>
  <c r="AG275" i="47"/>
  <c r="AH275" i="47" s="1"/>
  <c r="AG208" i="47"/>
  <c r="AH208" i="47" s="1"/>
  <c r="AG183" i="47"/>
  <c r="AG184" i="47" s="1"/>
  <c r="AL208" i="47"/>
  <c r="AM208" i="47" s="1"/>
  <c r="AL183" i="47"/>
  <c r="AL184" i="47" s="1"/>
  <c r="M208" i="47"/>
  <c r="N208" i="47" s="1"/>
  <c r="M183" i="47"/>
  <c r="M184" i="47" s="1"/>
  <c r="W275" i="47"/>
  <c r="X275" i="47" s="1"/>
  <c r="W208" i="47"/>
  <c r="X208" i="47" s="1"/>
  <c r="W183" i="47"/>
  <c r="W184" i="47" s="1"/>
  <c r="AG31" i="47"/>
  <c r="AL31" i="47"/>
  <c r="M32" i="47"/>
  <c r="W32" i="47"/>
  <c r="H37" i="47"/>
  <c r="H39" i="47" s="1"/>
  <c r="M37" i="47"/>
  <c r="M39" i="47" s="1"/>
  <c r="R209" i="47"/>
  <c r="AB209" i="47"/>
  <c r="AB273" i="47" s="1"/>
  <c r="AC273" i="47" s="1"/>
  <c r="AL209" i="47"/>
  <c r="AL273" i="47" s="1"/>
  <c r="AM273" i="47" s="1"/>
  <c r="E99" i="47"/>
  <c r="G99" i="47"/>
  <c r="S99" i="47"/>
  <c r="U99" i="47"/>
  <c r="Y99" i="47"/>
  <c r="AA99" i="47"/>
  <c r="AM99" i="47"/>
  <c r="AO99" i="47"/>
  <c r="V107" i="47"/>
  <c r="V121" i="47" s="1"/>
  <c r="X104" i="47"/>
  <c r="X107" i="47" s="1"/>
  <c r="AD107" i="47"/>
  <c r="AD121" i="47" s="1"/>
  <c r="AH104" i="47"/>
  <c r="AH107" i="47" s="1"/>
  <c r="G109" i="47"/>
  <c r="O109" i="47"/>
  <c r="AA109" i="47"/>
  <c r="AE109" i="47"/>
  <c r="AI109" i="47"/>
  <c r="R114" i="47"/>
  <c r="AL114" i="47"/>
  <c r="I117" i="47"/>
  <c r="S117" i="47"/>
  <c r="AC117" i="47"/>
  <c r="AM117" i="47"/>
  <c r="Z121" i="47"/>
  <c r="AF121" i="47"/>
  <c r="AJ121" i="47"/>
  <c r="AK77" i="47"/>
  <c r="J132" i="47"/>
  <c r="J77" i="47" s="1"/>
  <c r="T132" i="47"/>
  <c r="T77" i="47" s="1"/>
  <c r="AD132" i="47"/>
  <c r="AD77" i="47" s="1"/>
  <c r="AA137" i="47"/>
  <c r="AA78" i="47" s="1"/>
  <c r="AI137" i="47"/>
  <c r="AI78" i="47" s="1"/>
  <c r="AK78" i="47"/>
  <c r="N137" i="47"/>
  <c r="N78" i="47" s="1"/>
  <c r="X137" i="47"/>
  <c r="X78" i="47" s="1"/>
  <c r="X34" i="64" s="1"/>
  <c r="K142" i="47"/>
  <c r="K79" i="47" s="1"/>
  <c r="S142" i="47"/>
  <c r="S79" i="47" s="1"/>
  <c r="AE142" i="47"/>
  <c r="AE79" i="47" s="1"/>
  <c r="AM142" i="47"/>
  <c r="AM79" i="47" s="1"/>
  <c r="AY141" i="47"/>
  <c r="L147" i="47"/>
  <c r="L80" i="47" s="1"/>
  <c r="T147" i="47"/>
  <c r="T80" i="47" s="1"/>
  <c r="AF147" i="47"/>
  <c r="AF80" i="47" s="1"/>
  <c r="M207" i="47"/>
  <c r="M57" i="51" s="1"/>
  <c r="N57" i="51" s="1"/>
  <c r="M159" i="47"/>
  <c r="R207" i="47"/>
  <c r="R57" i="51" s="1"/>
  <c r="S57" i="51" s="1"/>
  <c r="R159" i="47"/>
  <c r="W207" i="47"/>
  <c r="W57" i="51" s="1"/>
  <c r="X57" i="51" s="1"/>
  <c r="W159" i="47"/>
  <c r="AB207" i="47"/>
  <c r="AB57" i="51" s="1"/>
  <c r="AC57" i="51" s="1"/>
  <c r="AB159" i="47"/>
  <c r="AG207" i="47"/>
  <c r="AG159" i="47"/>
  <c r="AL207" i="47"/>
  <c r="AL159" i="47"/>
  <c r="R208" i="47"/>
  <c r="S208" i="47" s="1"/>
  <c r="R183" i="47"/>
  <c r="R184" i="47" s="1"/>
  <c r="H32" i="47"/>
  <c r="R32" i="47"/>
  <c r="R39" i="47"/>
  <c r="AB39" i="47"/>
  <c r="AL39" i="47"/>
  <c r="M209" i="47"/>
  <c r="W209" i="47"/>
  <c r="W273" i="47" s="1"/>
  <c r="X273" i="47" s="1"/>
  <c r="AG209" i="47"/>
  <c r="AG273" i="47" s="1"/>
  <c r="AH273" i="47" s="1"/>
  <c r="H99" i="47"/>
  <c r="K99" i="47"/>
  <c r="Q109" i="47"/>
  <c r="AY113" i="47"/>
  <c r="O121" i="47"/>
  <c r="Q121" i="47"/>
  <c r="AA121" i="47"/>
  <c r="AK121" i="47"/>
  <c r="AO121" i="47"/>
  <c r="K132" i="47"/>
  <c r="K77" i="47" s="1"/>
  <c r="N132" i="47"/>
  <c r="N77" i="47" s="1"/>
  <c r="P132" i="47"/>
  <c r="P77" i="47" s="1"/>
  <c r="S132" i="47"/>
  <c r="S77" i="47" s="1"/>
  <c r="U132" i="47"/>
  <c r="U77" i="47" s="1"/>
  <c r="X132" i="47"/>
  <c r="X77" i="47" s="1"/>
  <c r="Z132" i="47"/>
  <c r="Z77" i="47" s="1"/>
  <c r="AC132" i="47"/>
  <c r="AC77" i="47" s="1"/>
  <c r="AE132" i="47"/>
  <c r="AE77" i="47" s="1"/>
  <c r="AH132" i="47"/>
  <c r="AH77" i="47" s="1"/>
  <c r="AJ132" i="47"/>
  <c r="AJ77" i="47" s="1"/>
  <c r="AM132" i="47"/>
  <c r="AM77" i="47" s="1"/>
  <c r="J137" i="47"/>
  <c r="J78" i="47" s="1"/>
  <c r="L137" i="47"/>
  <c r="L78" i="47" s="1"/>
  <c r="O137" i="47"/>
  <c r="O78" i="47" s="1"/>
  <c r="Q137" i="47"/>
  <c r="Q78" i="47" s="1"/>
  <c r="T137" i="47"/>
  <c r="T78" i="47" s="1"/>
  <c r="V137" i="47"/>
  <c r="V78" i="47" s="1"/>
  <c r="Y137" i="47"/>
  <c r="Y78" i="47" s="1"/>
  <c r="AD137" i="47"/>
  <c r="AD78" i="47" s="1"/>
  <c r="O142" i="47"/>
  <c r="O79" i="47" s="1"/>
  <c r="Q142" i="47"/>
  <c r="Q79" i="47" s="1"/>
  <c r="Y142" i="47"/>
  <c r="Y79" i="47" s="1"/>
  <c r="AA142" i="47"/>
  <c r="AA79" i="47" s="1"/>
  <c r="AI142" i="47"/>
  <c r="AI79" i="47" s="1"/>
  <c r="AK79" i="47"/>
  <c r="AW157" i="47"/>
  <c r="AX157" i="47"/>
  <c r="AY157" i="47" s="1"/>
  <c r="AZ157" i="47" s="1"/>
  <c r="BA157" i="47" s="1"/>
  <c r="AN132" i="47"/>
  <c r="AN77" i="47" s="1"/>
  <c r="AC134" i="47"/>
  <c r="AC136" i="47" s="1"/>
  <c r="AC137" i="47" s="1"/>
  <c r="AC78" i="47" s="1"/>
  <c r="AC34" i="64" s="1"/>
  <c r="K147" i="47"/>
  <c r="K80" i="47" s="1"/>
  <c r="S147" i="47"/>
  <c r="S80" i="47" s="1"/>
  <c r="AE147" i="47"/>
  <c r="AE80" i="47" s="1"/>
  <c r="AM147" i="47"/>
  <c r="AM80" i="47" s="1"/>
  <c r="AN147" i="47"/>
  <c r="AN80" i="47" s="1"/>
  <c r="M154" i="47"/>
  <c r="N161" i="47" s="1"/>
  <c r="N152" i="47"/>
  <c r="T213" i="47"/>
  <c r="T61" i="51" s="1"/>
  <c r="S154" i="47"/>
  <c r="T161" i="47" s="1"/>
  <c r="V213" i="47"/>
  <c r="U154" i="47"/>
  <c r="U161" i="47" s="1"/>
  <c r="W154" i="47"/>
  <c r="X152" i="47"/>
  <c r="AD213" i="47"/>
  <c r="AD61" i="51" s="1"/>
  <c r="AC154" i="47"/>
  <c r="AD161" i="47" s="1"/>
  <c r="AF213" i="47"/>
  <c r="AF61" i="51" s="1"/>
  <c r="AE154" i="47"/>
  <c r="AF161" i="47" s="1"/>
  <c r="AG154" i="47"/>
  <c r="AH152" i="47"/>
  <c r="AN213" i="47"/>
  <c r="AM154" i="47"/>
  <c r="AN161" i="47" s="1"/>
  <c r="AO154" i="47"/>
  <c r="AO161" i="47" s="1"/>
  <c r="P154" i="47"/>
  <c r="AB154" i="47"/>
  <c r="AJ154" i="47"/>
  <c r="AK161" i="47" s="1"/>
  <c r="G161" i="47"/>
  <c r="T272" i="47"/>
  <c r="V272" i="47"/>
  <c r="AN272" i="47"/>
  <c r="AX213" i="47"/>
  <c r="AX178" i="47"/>
  <c r="AX179" i="47" s="1"/>
  <c r="AZ213" i="47"/>
  <c r="BE213" i="47"/>
  <c r="N179" i="47"/>
  <c r="AH134" i="47"/>
  <c r="AH136" i="47" s="1"/>
  <c r="AM134" i="47"/>
  <c r="AM136" i="47" s="1"/>
  <c r="AR137" i="47" s="1"/>
  <c r="AN141" i="47"/>
  <c r="AS142" i="47" s="1"/>
  <c r="AS79" i="47" s="1"/>
  <c r="U142" i="47"/>
  <c r="U79" i="47" s="1"/>
  <c r="AC142" i="47"/>
  <c r="AC79" i="47" s="1"/>
  <c r="U147" i="47"/>
  <c r="U80" i="47" s="1"/>
  <c r="AC147" i="47"/>
  <c r="AC80" i="47" s="1"/>
  <c r="AK80" i="47"/>
  <c r="AX146" i="47"/>
  <c r="V147" i="47"/>
  <c r="V80" i="47" s="1"/>
  <c r="AD147" i="47"/>
  <c r="AD80" i="47" s="1"/>
  <c r="BK213" i="47"/>
  <c r="M213" i="47"/>
  <c r="M61" i="51" s="1"/>
  <c r="L213" i="47"/>
  <c r="L61" i="51" s="1"/>
  <c r="P213" i="47"/>
  <c r="P61" i="51" s="1"/>
  <c r="R213" i="47"/>
  <c r="R61" i="51" s="1"/>
  <c r="U213" i="47"/>
  <c r="W213" i="47"/>
  <c r="Z213" i="47"/>
  <c r="Z61" i="51" s="1"/>
  <c r="AB213" i="47"/>
  <c r="AB61" i="51" s="1"/>
  <c r="AE213" i="47"/>
  <c r="AE61" i="51" s="1"/>
  <c r="AG213" i="47"/>
  <c r="AG61" i="51" s="1"/>
  <c r="AJ213" i="47"/>
  <c r="AJ61" i="51" s="1"/>
  <c r="AO213" i="47"/>
  <c r="I154" i="47"/>
  <c r="J161" i="47" s="1"/>
  <c r="O154" i="47"/>
  <c r="Q154" i="47"/>
  <c r="Y154" i="47"/>
  <c r="Z161" i="47" s="1"/>
  <c r="AA154" i="47"/>
  <c r="AA161" i="47" s="1"/>
  <c r="AI154" i="47"/>
  <c r="AN162" i="47"/>
  <c r="P164" i="47"/>
  <c r="R164" i="47"/>
  <c r="Z164" i="47"/>
  <c r="AB164" i="47"/>
  <c r="U165" i="47"/>
  <c r="U168" i="47" s="1"/>
  <c r="U178" i="47" s="1"/>
  <c r="U179" i="47" s="1"/>
  <c r="W165" i="47"/>
  <c r="P166" i="47"/>
  <c r="Z166" i="47"/>
  <c r="P167" i="47"/>
  <c r="Z167" i="47"/>
  <c r="AJ167" i="47"/>
  <c r="AJ168" i="47" s="1"/>
  <c r="AJ178" i="47" s="1"/>
  <c r="AJ179" i="47" s="1"/>
  <c r="AL167" i="47"/>
  <c r="AL168" i="47" s="1"/>
  <c r="K168" i="47"/>
  <c r="K178" i="47" s="1"/>
  <c r="M168" i="47"/>
  <c r="G171" i="47"/>
  <c r="G173" i="47"/>
  <c r="H173" i="47" s="1"/>
  <c r="G175" i="47"/>
  <c r="H175" i="47" s="1"/>
  <c r="G177" i="47"/>
  <c r="H177" i="47" s="1"/>
  <c r="L172" i="47"/>
  <c r="L174" i="47"/>
  <c r="M174" i="47" s="1"/>
  <c r="L176" i="47"/>
  <c r="M176" i="47" s="1"/>
  <c r="Q171" i="47"/>
  <c r="R171" i="47" s="1"/>
  <c r="Q173" i="47"/>
  <c r="R173" i="47" s="1"/>
  <c r="Q175" i="47"/>
  <c r="R175" i="47" s="1"/>
  <c r="Q177" i="47"/>
  <c r="R177" i="47" s="1"/>
  <c r="V172" i="47"/>
  <c r="W172" i="47" s="1"/>
  <c r="V174" i="47"/>
  <c r="W174" i="47" s="1"/>
  <c r="V176" i="47"/>
  <c r="W176" i="47" s="1"/>
  <c r="AA171" i="47"/>
  <c r="AB171" i="47" s="1"/>
  <c r="AA173" i="47"/>
  <c r="AB173" i="47" s="1"/>
  <c r="AA175" i="47"/>
  <c r="AB175" i="47" s="1"/>
  <c r="AA177" i="47"/>
  <c r="AB177" i="47" s="1"/>
  <c r="AF172" i="47"/>
  <c r="AF174" i="47"/>
  <c r="AG174" i="47" s="1"/>
  <c r="AF176" i="47"/>
  <c r="AG176" i="47" s="1"/>
  <c r="AK171" i="47"/>
  <c r="AK173" i="47"/>
  <c r="AL173" i="47" s="1"/>
  <c r="AK175" i="47"/>
  <c r="AL175" i="47" s="1"/>
  <c r="AK177" i="47"/>
  <c r="AL177" i="47" s="1"/>
  <c r="AV171" i="47"/>
  <c r="AY171" i="47"/>
  <c r="AZ171" i="47" s="1"/>
  <c r="AY172" i="47"/>
  <c r="AZ172" i="47" s="1"/>
  <c r="BA172" i="47" s="1"/>
  <c r="BD171" i="47"/>
  <c r="BE171" i="47" s="1"/>
  <c r="BD172" i="47"/>
  <c r="BE172" i="47" s="1"/>
  <c r="BD173" i="47"/>
  <c r="BD174" i="47"/>
  <c r="BE174" i="47" s="1"/>
  <c r="BF174" i="47" s="1"/>
  <c r="BD175" i="47"/>
  <c r="BE175" i="47" s="1"/>
  <c r="BF175" i="47" s="1"/>
  <c r="BD176" i="47"/>
  <c r="BD177" i="47"/>
  <c r="BE177" i="47" s="1"/>
  <c r="BI171" i="47"/>
  <c r="BI172" i="47"/>
  <c r="BJ172" i="47" s="1"/>
  <c r="BK172" i="47" s="1"/>
  <c r="BI173" i="47"/>
  <c r="BJ173" i="47" s="1"/>
  <c r="BI174" i="47"/>
  <c r="BI175" i="47"/>
  <c r="BJ175" i="47" s="1"/>
  <c r="BK175" i="47" s="1"/>
  <c r="BI176" i="47"/>
  <c r="BJ176" i="47" s="1"/>
  <c r="BK176" i="47" s="1"/>
  <c r="BI177" i="47"/>
  <c r="AQ173" i="47"/>
  <c r="AQ176" i="47"/>
  <c r="AY174" i="47"/>
  <c r="AY175" i="47"/>
  <c r="AZ175" i="47" s="1"/>
  <c r="AY176" i="47"/>
  <c r="AZ176" i="47" s="1"/>
  <c r="AY177" i="47"/>
  <c r="AZ177" i="47" s="1"/>
  <c r="BD271" i="47"/>
  <c r="AW178" i="47"/>
  <c r="AR273" i="47"/>
  <c r="AY210" i="47"/>
  <c r="AY128" i="46" s="1"/>
  <c r="BD210" i="47"/>
  <c r="BD128" i="46" s="1"/>
  <c r="BI210" i="47"/>
  <c r="BI128" i="46" s="1"/>
  <c r="AY214" i="47"/>
  <c r="AZ214" i="47" s="1"/>
  <c r="BD214" i="47"/>
  <c r="BE214" i="47" s="1"/>
  <c r="BI214" i="47"/>
  <c r="X234" i="47"/>
  <c r="X236" i="47" s="1"/>
  <c r="S235" i="47"/>
  <c r="AC235" i="47"/>
  <c r="AC236" i="47" s="1"/>
  <c r="AM235" i="47"/>
  <c r="H245" i="47"/>
  <c r="H246" i="47" s="1"/>
  <c r="AC239" i="47"/>
  <c r="N234" i="47"/>
  <c r="N236" i="47" s="1"/>
  <c r="O245" i="47"/>
  <c r="O246" i="47" s="1"/>
  <c r="S239" i="47"/>
  <c r="X270" i="47"/>
  <c r="S278" i="47"/>
  <c r="S299" i="47"/>
  <c r="AW292" i="47"/>
  <c r="AD34" i="46"/>
  <c r="AD28" i="46"/>
  <c r="T34" i="46"/>
  <c r="T28" i="46"/>
  <c r="N38" i="65"/>
  <c r="N46" i="46"/>
  <c r="AC221" i="46"/>
  <c r="AC240" i="46" s="1"/>
  <c r="CN27" i="65" s="1"/>
  <c r="AC28" i="46"/>
  <c r="AC222" i="46" s="1"/>
  <c r="AC34" i="46"/>
  <c r="AE28" i="46"/>
  <c r="AE34" i="46"/>
  <c r="AO28" i="46"/>
  <c r="AO34" i="46"/>
  <c r="S221" i="46"/>
  <c r="S240" i="46" s="1"/>
  <c r="CD27" i="65" s="1"/>
  <c r="S28" i="46"/>
  <c r="S222" i="46" s="1"/>
  <c r="S34" i="46"/>
  <c r="AB9" i="46"/>
  <c r="AB18" i="46" s="1"/>
  <c r="AB20" i="46" s="1"/>
  <c r="AL9" i="46"/>
  <c r="AL18" i="46" s="1"/>
  <c r="AL20" i="46" s="1"/>
  <c r="H10" i="46"/>
  <c r="R10" i="46"/>
  <c r="Z10" i="46"/>
  <c r="AD10" i="46"/>
  <c r="AF10" i="46"/>
  <c r="AH10" i="46"/>
  <c r="AJ10" i="46"/>
  <c r="AN10" i="46"/>
  <c r="AH18" i="46"/>
  <c r="AH20" i="46" s="1"/>
  <c r="AH27" i="46" s="1"/>
  <c r="H24" i="46"/>
  <c r="H25" i="46" s="1"/>
  <c r="M24" i="46"/>
  <c r="M25" i="46" s="1"/>
  <c r="R24" i="46"/>
  <c r="R25" i="46" s="1"/>
  <c r="AB24" i="46"/>
  <c r="AB25" i="46" s="1"/>
  <c r="AL24" i="46"/>
  <c r="AL25" i="46" s="1"/>
  <c r="H30" i="46"/>
  <c r="H32" i="46" s="1"/>
  <c r="W45" i="46"/>
  <c r="W36" i="65" s="1"/>
  <c r="AB46" i="46"/>
  <c r="M62" i="46"/>
  <c r="N62" i="46" s="1"/>
  <c r="BD96" i="46"/>
  <c r="H130" i="46"/>
  <c r="CI37" i="65"/>
  <c r="M10" i="46"/>
  <c r="W10" i="46"/>
  <c r="Y10" i="46"/>
  <c r="AA10" i="46"/>
  <c r="AC10" i="46"/>
  <c r="AE10" i="46"/>
  <c r="AI10" i="46"/>
  <c r="AK10" i="46"/>
  <c r="AM10" i="46"/>
  <c r="AO10" i="46"/>
  <c r="H62" i="46"/>
  <c r="I62" i="46" s="1"/>
  <c r="AY96" i="46"/>
  <c r="BI96" i="46"/>
  <c r="R59" i="46"/>
  <c r="AB59" i="46"/>
  <c r="AL59" i="46"/>
  <c r="M60" i="46"/>
  <c r="W60" i="46"/>
  <c r="AG60" i="46"/>
  <c r="R62" i="46"/>
  <c r="S62" i="46" s="1"/>
  <c r="AB62" i="46"/>
  <c r="AC62" i="46" s="1"/>
  <c r="AL62" i="46"/>
  <c r="AM62" i="46" s="1"/>
  <c r="S127" i="46"/>
  <c r="E129" i="46"/>
  <c r="N128" i="46"/>
  <c r="N129" i="46" s="1"/>
  <c r="N220" i="46" s="1"/>
  <c r="Z128" i="46"/>
  <c r="Z129" i="46" s="1"/>
  <c r="AH128" i="46"/>
  <c r="AH129" i="46" s="1"/>
  <c r="I132" i="46"/>
  <c r="S132" i="46"/>
  <c r="AC132" i="46"/>
  <c r="AM132" i="46"/>
  <c r="R143" i="46"/>
  <c r="J247" i="46"/>
  <c r="J143" i="46"/>
  <c r="L247" i="46"/>
  <c r="L143" i="46"/>
  <c r="S140" i="46"/>
  <c r="AG247" i="46"/>
  <c r="AG143" i="46"/>
  <c r="T248" i="46"/>
  <c r="T143" i="46"/>
  <c r="Y248" i="46"/>
  <c r="Y143" i="46"/>
  <c r="AC141" i="46"/>
  <c r="AD248" i="46"/>
  <c r="AD143" i="46"/>
  <c r="AK248" i="46"/>
  <c r="AK143" i="46"/>
  <c r="AM141" i="46"/>
  <c r="I140" i="46"/>
  <c r="G143" i="46"/>
  <c r="I143" i="46" s="1"/>
  <c r="M143" i="46"/>
  <c r="Q143" i="46"/>
  <c r="U143" i="46"/>
  <c r="AX170" i="46"/>
  <c r="AY170" i="46" s="1"/>
  <c r="AZ170" i="46" s="1"/>
  <c r="BA170" i="46" s="1"/>
  <c r="M59" i="46"/>
  <c r="W59" i="46"/>
  <c r="AG59" i="46"/>
  <c r="W62" i="46"/>
  <c r="X62" i="46" s="1"/>
  <c r="AG62" i="46"/>
  <c r="AH62" i="46" s="1"/>
  <c r="F147" i="46"/>
  <c r="S128" i="46"/>
  <c r="AM128" i="46"/>
  <c r="AM129" i="46" s="1"/>
  <c r="N132" i="46"/>
  <c r="X132" i="46"/>
  <c r="AH132" i="46"/>
  <c r="P247" i="46"/>
  <c r="P143" i="46"/>
  <c r="AE247" i="46"/>
  <c r="AE143" i="46"/>
  <c r="AI247" i="46"/>
  <c r="AI143" i="46"/>
  <c r="Z248" i="46"/>
  <c r="Z143" i="46"/>
  <c r="AH141" i="46"/>
  <c r="AM140" i="46"/>
  <c r="N140" i="46"/>
  <c r="X141" i="46"/>
  <c r="K143" i="46"/>
  <c r="K147" i="46" s="1"/>
  <c r="AH142" i="46"/>
  <c r="CS55" i="65" s="1"/>
  <c r="S155" i="46"/>
  <c r="N157" i="46"/>
  <c r="N159" i="46" s="1"/>
  <c r="X157" i="46"/>
  <c r="X159" i="46" s="1"/>
  <c r="AH157" i="46"/>
  <c r="AH159" i="46" s="1"/>
  <c r="AX157" i="46"/>
  <c r="AY157" i="46" s="1"/>
  <c r="AZ157" i="46" s="1"/>
  <c r="BA157" i="46" s="1"/>
  <c r="BB157" i="46" s="1"/>
  <c r="BC157" i="46" s="1"/>
  <c r="BD157" i="46" s="1"/>
  <c r="BE157" i="46" s="1"/>
  <c r="BF157" i="46" s="1"/>
  <c r="BG157" i="46" s="1"/>
  <c r="BH157" i="46" s="1"/>
  <c r="BI157" i="46" s="1"/>
  <c r="BJ157" i="46" s="1"/>
  <c r="BK157" i="46" s="1"/>
  <c r="BL157" i="46" s="1"/>
  <c r="BM157" i="46" s="1"/>
  <c r="BN157" i="46" s="1"/>
  <c r="BO157" i="46" s="1"/>
  <c r="BP157" i="46" s="1"/>
  <c r="BQ157" i="46" s="1"/>
  <c r="R159" i="46"/>
  <c r="I161" i="46"/>
  <c r="I164" i="46" s="1"/>
  <c r="S161" i="46"/>
  <c r="S164" i="46" s="1"/>
  <c r="AC161" i="46"/>
  <c r="AC164" i="46" s="1"/>
  <c r="AM161" i="46"/>
  <c r="AM164" i="46" s="1"/>
  <c r="E211" i="46"/>
  <c r="G211" i="46"/>
  <c r="J211" i="46"/>
  <c r="L211" i="46"/>
  <c r="P211" i="46"/>
  <c r="R211" i="46"/>
  <c r="S193" i="46"/>
  <c r="U211" i="46"/>
  <c r="W211" i="46"/>
  <c r="X193" i="46"/>
  <c r="Y211" i="46"/>
  <c r="AA211" i="46"/>
  <c r="AD211" i="46"/>
  <c r="AF211" i="46"/>
  <c r="AJ211" i="46"/>
  <c r="AO211" i="46"/>
  <c r="AC159" i="46"/>
  <c r="AM159" i="46"/>
  <c r="N161" i="46"/>
  <c r="N164" i="46" s="1"/>
  <c r="F211" i="46"/>
  <c r="H211" i="46"/>
  <c r="I193" i="46"/>
  <c r="K211" i="46"/>
  <c r="M211" i="46"/>
  <c r="N193" i="46"/>
  <c r="O211" i="46"/>
  <c r="Q211" i="46"/>
  <c r="T211" i="46"/>
  <c r="V211" i="46"/>
  <c r="Z211" i="46"/>
  <c r="AB211" i="46"/>
  <c r="AC193" i="46"/>
  <c r="AE211" i="46"/>
  <c r="AG211" i="46"/>
  <c r="AH193" i="46"/>
  <c r="AI211" i="46"/>
  <c r="AK211" i="46"/>
  <c r="AN211" i="46"/>
  <c r="I176" i="46"/>
  <c r="I177" i="46" s="1"/>
  <c r="I184" i="46" s="1"/>
  <c r="AC176" i="46"/>
  <c r="AC177" i="46" s="1"/>
  <c r="AC184" i="46" s="1"/>
  <c r="AM176" i="46"/>
  <c r="AM177" i="46" s="1"/>
  <c r="AM184" i="46" s="1"/>
  <c r="X187" i="46"/>
  <c r="X208" i="46" s="1"/>
  <c r="AH187" i="46"/>
  <c r="AH208" i="46" s="1"/>
  <c r="I192" i="46"/>
  <c r="S192" i="46"/>
  <c r="AC192" i="46"/>
  <c r="AX192" i="46"/>
  <c r="AY192" i="46" s="1"/>
  <c r="AZ192" i="46" s="1"/>
  <c r="BA192" i="46" s="1"/>
  <c r="BB192" i="46" s="1"/>
  <c r="BC192" i="46" s="1"/>
  <c r="BD192" i="46" s="1"/>
  <c r="BE192" i="46" s="1"/>
  <c r="BF192" i="46" s="1"/>
  <c r="BG192" i="46" s="1"/>
  <c r="BH192" i="46" s="1"/>
  <c r="BI192" i="46" s="1"/>
  <c r="BJ192" i="46" s="1"/>
  <c r="BK192" i="46" s="1"/>
  <c r="BL192" i="46" s="1"/>
  <c r="BM192" i="46" s="1"/>
  <c r="BN192" i="46" s="1"/>
  <c r="BO192" i="46" s="1"/>
  <c r="BP192" i="46" s="1"/>
  <c r="BQ192" i="46" s="1"/>
  <c r="R177" i="46"/>
  <c r="R184" i="46" s="1"/>
  <c r="R195" i="46" s="1"/>
  <c r="S179" i="46"/>
  <c r="S204" i="46" s="1"/>
  <c r="AL193" i="46"/>
  <c r="E244" i="46"/>
  <c r="P244" i="46"/>
  <c r="Y48" i="65"/>
  <c r="Y43" i="65"/>
  <c r="AA48" i="65"/>
  <c r="AA43" i="65"/>
  <c r="AD48" i="65"/>
  <c r="AD43" i="65"/>
  <c r="AF48" i="65"/>
  <c r="AF43" i="65"/>
  <c r="AJ48" i="65"/>
  <c r="AJ43" i="65"/>
  <c r="AL48" i="65"/>
  <c r="AL43" i="65"/>
  <c r="AN48" i="65"/>
  <c r="AN43" i="65"/>
  <c r="AP43" i="65"/>
  <c r="AX43" i="65"/>
  <c r="AZ43" i="65"/>
  <c r="BD43" i="65"/>
  <c r="BF43" i="65"/>
  <c r="BH43" i="65"/>
  <c r="BJ43" i="65"/>
  <c r="U16" i="65"/>
  <c r="W16" i="65"/>
  <c r="Y16" i="65"/>
  <c r="AA16" i="65"/>
  <c r="AD17" i="65"/>
  <c r="AF17" i="65"/>
  <c r="AJ17" i="65"/>
  <c r="AL17" i="65"/>
  <c r="AN17" i="65"/>
  <c r="AP17" i="65"/>
  <c r="AX17" i="65"/>
  <c r="AZ17" i="65"/>
  <c r="BD17" i="65"/>
  <c r="BF17" i="65"/>
  <c r="BH17" i="65"/>
  <c r="BJ17" i="65"/>
  <c r="Z48" i="65"/>
  <c r="Z43" i="65"/>
  <c r="AB43" i="65"/>
  <c r="AE48" i="65"/>
  <c r="AE43" i="65"/>
  <c r="AG48" i="65"/>
  <c r="AG43" i="65"/>
  <c r="AI48" i="65"/>
  <c r="AI43" i="65"/>
  <c r="AK48" i="65"/>
  <c r="AK43" i="65"/>
  <c r="AO48" i="65"/>
  <c r="AO43" i="65"/>
  <c r="AQ43" i="65"/>
  <c r="AY43" i="65"/>
  <c r="BA43" i="65"/>
  <c r="BC43" i="65"/>
  <c r="BE43" i="65"/>
  <c r="BI43" i="65"/>
  <c r="BK43" i="65"/>
  <c r="T16" i="65"/>
  <c r="V16" i="65"/>
  <c r="Z16" i="65"/>
  <c r="AB16" i="65"/>
  <c r="AD16" i="65"/>
  <c r="AF16" i="65"/>
  <c r="AJ16" i="65"/>
  <c r="AL16" i="65"/>
  <c r="AN16" i="65"/>
  <c r="AP16" i="65"/>
  <c r="AX16" i="65"/>
  <c r="AZ16" i="65"/>
  <c r="BD16" i="65"/>
  <c r="BF16" i="65"/>
  <c r="BH16" i="65"/>
  <c r="BJ16" i="65"/>
  <c r="U17" i="65"/>
  <c r="W17" i="65"/>
  <c r="Y17" i="65"/>
  <c r="AA17" i="65"/>
  <c r="AE17" i="65"/>
  <c r="AG17" i="65"/>
  <c r="AI17" i="65"/>
  <c r="AK17" i="65"/>
  <c r="AO17" i="65"/>
  <c r="AQ17" i="65"/>
  <c r="AY17" i="65"/>
  <c r="BA17" i="65"/>
  <c r="BC17" i="65"/>
  <c r="BE17" i="65"/>
  <c r="BI17" i="65"/>
  <c r="BK17" i="65"/>
  <c r="S34" i="65"/>
  <c r="AU86" i="15" l="1"/>
  <c r="AU225" i="15" s="1"/>
  <c r="AU319" i="15"/>
  <c r="AU305" i="15"/>
  <c r="AU284" i="15"/>
  <c r="AU82" i="15"/>
  <c r="AU212" i="15" s="1"/>
  <c r="AU220" i="15" s="1"/>
  <c r="AU222" i="15" s="1"/>
  <c r="AU285" i="15"/>
  <c r="AU293" i="15" s="1"/>
  <c r="AU294" i="15" s="1"/>
  <c r="AU320" i="15"/>
  <c r="AU328" i="15" s="1"/>
  <c r="AU329" i="15" s="1"/>
  <c r="AU264" i="15"/>
  <c r="AU78" i="15"/>
  <c r="AU199" i="15" s="1"/>
  <c r="AZ230" i="15"/>
  <c r="AU230" i="15"/>
  <c r="AU231" i="15" s="1"/>
  <c r="AU362" i="15"/>
  <c r="AU161" i="15"/>
  <c r="DD194" i="72"/>
  <c r="W386" i="15"/>
  <c r="M142" i="47"/>
  <c r="M79" i="47" s="1"/>
  <c r="R142" i="47"/>
  <c r="R79" i="47" s="1"/>
  <c r="U430" i="15"/>
  <c r="U431" i="15" s="1"/>
  <c r="M132" i="47"/>
  <c r="M77" i="47" s="1"/>
  <c r="BB84" i="67"/>
  <c r="BB22" i="67" s="1"/>
  <c r="AG132" i="47"/>
  <c r="AG77" i="47" s="1"/>
  <c r="AB147" i="47"/>
  <c r="AB80" i="47" s="1"/>
  <c r="T430" i="15"/>
  <c r="T431" i="15" s="1"/>
  <c r="V430" i="15"/>
  <c r="V431" i="15" s="1"/>
  <c r="AB132" i="47"/>
  <c r="AB77" i="47" s="1"/>
  <c r="AG142" i="47"/>
  <c r="AG79" i="47" s="1"/>
  <c r="AH55" i="65"/>
  <c r="BH213" i="47"/>
  <c r="BL213" i="47" s="1"/>
  <c r="S30" i="15"/>
  <c r="S436" i="15" s="1"/>
  <c r="CN46" i="65"/>
  <c r="Y214" i="46"/>
  <c r="Y215" i="46" s="1"/>
  <c r="AB168" i="47"/>
  <c r="AP26" i="72"/>
  <c r="AY177" i="72"/>
  <c r="AL25" i="15"/>
  <c r="AL26" i="15" s="1"/>
  <c r="AP499" i="15" s="1"/>
  <c r="AP506" i="15" s="1"/>
  <c r="R412" i="15"/>
  <c r="L214" i="46"/>
  <c r="L215" i="46" s="1"/>
  <c r="G34" i="46"/>
  <c r="G100" i="46" s="1"/>
  <c r="X492" i="15"/>
  <c r="X504" i="15" s="1"/>
  <c r="J26" i="15"/>
  <c r="DE163" i="72"/>
  <c r="M245" i="47"/>
  <c r="M246" i="47" s="1"/>
  <c r="T147" i="46"/>
  <c r="AK41" i="47"/>
  <c r="AK82" i="47" s="1"/>
  <c r="N28" i="46"/>
  <c r="N222" i="46" s="1"/>
  <c r="AD245" i="47"/>
  <c r="AD243" i="47" s="1"/>
  <c r="M214" i="46"/>
  <c r="M215" i="46" s="1"/>
  <c r="AN214" i="46"/>
  <c r="AN215" i="46" s="1"/>
  <c r="AM34" i="46"/>
  <c r="DT7" i="64" s="1"/>
  <c r="DT12" i="64" s="1"/>
  <c r="AN30" i="15"/>
  <c r="AN33" i="15" s="1"/>
  <c r="AN37" i="15" s="1"/>
  <c r="N26" i="15"/>
  <c r="N21" i="65" s="1"/>
  <c r="AA11" i="51"/>
  <c r="AM11" i="51"/>
  <c r="DR139" i="72"/>
  <c r="CT22" i="72"/>
  <c r="W214" i="46"/>
  <c r="W215" i="46" s="1"/>
  <c r="AD162" i="47"/>
  <c r="O41" i="47"/>
  <c r="O82" i="47" s="1"/>
  <c r="AQ202" i="15"/>
  <c r="AR202" i="15" s="1"/>
  <c r="M108" i="46"/>
  <c r="X55" i="65"/>
  <c r="AA214" i="46"/>
  <c r="AA215" i="46" s="1"/>
  <c r="X171" i="46"/>
  <c r="Z137" i="47"/>
  <c r="Z78" i="47" s="1"/>
  <c r="AO30" i="15"/>
  <c r="AO436" i="15" s="1"/>
  <c r="AR96" i="15"/>
  <c r="I245" i="47"/>
  <c r="I240" i="47" s="1"/>
  <c r="AM102" i="15"/>
  <c r="AM371" i="15" s="1"/>
  <c r="G26" i="15"/>
  <c r="BY46" i="65"/>
  <c r="CY72" i="72"/>
  <c r="CZ72" i="72"/>
  <c r="Y28" i="46"/>
  <c r="DL163" i="72"/>
  <c r="DQ163" i="72" s="1"/>
  <c r="DV163" i="72" s="1"/>
  <c r="DP138" i="72"/>
  <c r="W398" i="15"/>
  <c r="AI214" i="46"/>
  <c r="AI215" i="46" s="1"/>
  <c r="V214" i="46"/>
  <c r="V215" i="46" s="1"/>
  <c r="Z28" i="46"/>
  <c r="BB22" i="51"/>
  <c r="DC194" i="72"/>
  <c r="DL194" i="72"/>
  <c r="DQ194" i="72" s="1"/>
  <c r="DV194" i="72" s="1"/>
  <c r="AG398" i="15"/>
  <c r="AK30" i="15"/>
  <c r="AK436" i="15" s="1"/>
  <c r="DI194" i="72"/>
  <c r="BA178" i="72"/>
  <c r="AW178" i="72" s="1"/>
  <c r="DJ163" i="72"/>
  <c r="DK138" i="72"/>
  <c r="AN26" i="72"/>
  <c r="AB398" i="15"/>
  <c r="DH194" i="72"/>
  <c r="DD163" i="72"/>
  <c r="DK163" i="72"/>
  <c r="DF64" i="72"/>
  <c r="P147" i="46"/>
  <c r="AJ34" i="46"/>
  <c r="AJ100" i="46" s="1"/>
  <c r="L34" i="46"/>
  <c r="L100" i="46" s="1"/>
  <c r="AA245" i="47"/>
  <c r="AA246" i="47" s="1"/>
  <c r="AQ226" i="15"/>
  <c r="AL412" i="15"/>
  <c r="M178" i="72"/>
  <c r="DF146" i="72"/>
  <c r="DI64" i="72"/>
  <c r="DU139" i="72"/>
  <c r="W392" i="15"/>
  <c r="L197" i="46"/>
  <c r="M147" i="46"/>
  <c r="I134" i="46"/>
  <c r="I147" i="46" s="1"/>
  <c r="AP200" i="15"/>
  <c r="AO200" i="15" s="1"/>
  <c r="DT139" i="72"/>
  <c r="N34" i="46"/>
  <c r="N37" i="46" s="1"/>
  <c r="N41" i="46" s="1"/>
  <c r="AI34" i="46"/>
  <c r="AI100" i="46" s="1"/>
  <c r="F214" i="46"/>
  <c r="F215" i="46" s="1"/>
  <c r="AQ213" i="15"/>
  <c r="AB178" i="72"/>
  <c r="AA178" i="72" s="1"/>
  <c r="AC11" i="51"/>
  <c r="AG412" i="15"/>
  <c r="AC55" i="65"/>
  <c r="DD80" i="72"/>
  <c r="J197" i="46"/>
  <c r="U28" i="46"/>
  <c r="AG24" i="51"/>
  <c r="AG147" i="47"/>
  <c r="AG80" i="47" s="1"/>
  <c r="DH138" i="72"/>
  <c r="DI138" i="72"/>
  <c r="DQ138" i="72"/>
  <c r="DV138" i="72" s="1"/>
  <c r="DE80" i="72"/>
  <c r="BI196" i="72"/>
  <c r="BI199" i="72" s="1"/>
  <c r="BI201" i="72" s="1"/>
  <c r="AG214" i="46"/>
  <c r="AG215" i="46" s="1"/>
  <c r="Q147" i="46"/>
  <c r="K245" i="47"/>
  <c r="K237" i="47" s="1"/>
  <c r="M412" i="15"/>
  <c r="BH196" i="72"/>
  <c r="BH199" i="72" s="1"/>
  <c r="DJ138" i="72"/>
  <c r="DM138" i="72"/>
  <c r="DL80" i="72"/>
  <c r="DQ80" i="72" s="1"/>
  <c r="DV80" i="72" s="1"/>
  <c r="AE197" i="46"/>
  <c r="AO214" i="46"/>
  <c r="AO215" i="46" s="1"/>
  <c r="R214" i="46"/>
  <c r="R209" i="46" s="1"/>
  <c r="AE147" i="46"/>
  <c r="AK147" i="46"/>
  <c r="Q28" i="46"/>
  <c r="AA34" i="46"/>
  <c r="AA99" i="46" s="1"/>
  <c r="AL29" i="51"/>
  <c r="DN138" i="72"/>
  <c r="AE11" i="51"/>
  <c r="DT49" i="72"/>
  <c r="AG386" i="15"/>
  <c r="W25" i="15"/>
  <c r="Y498" i="15" s="1"/>
  <c r="Y511" i="15" s="1"/>
  <c r="W178" i="72"/>
  <c r="V178" i="72" s="1"/>
  <c r="AL178" i="72"/>
  <c r="AK178" i="72" s="1"/>
  <c r="L178" i="72"/>
  <c r="AV178" i="72"/>
  <c r="AS178" i="72" s="1"/>
  <c r="AG178" i="72"/>
  <c r="AF178" i="72" s="1"/>
  <c r="CY22" i="72"/>
  <c r="BX52" i="67"/>
  <c r="F12" i="72"/>
  <c r="BA84" i="67"/>
  <c r="BA22" i="67" s="1"/>
  <c r="BK178" i="72"/>
  <c r="BI178" i="72" s="1"/>
  <c r="R178" i="72"/>
  <c r="P178" i="72" s="1"/>
  <c r="BF178" i="72"/>
  <c r="BE178" i="72" s="1"/>
  <c r="AQ178" i="72"/>
  <c r="AM178" i="72" s="1"/>
  <c r="CX22" i="72"/>
  <c r="AB99" i="47"/>
  <c r="H38" i="51"/>
  <c r="H197" i="46"/>
  <c r="K108" i="46"/>
  <c r="AB392" i="15"/>
  <c r="DC46" i="65"/>
  <c r="T214" i="46"/>
  <c r="T215" i="46" s="1"/>
  <c r="E147" i="46"/>
  <c r="E151" i="46" s="1"/>
  <c r="E153" i="46" s="1"/>
  <c r="BD247" i="46"/>
  <c r="Z362" i="15"/>
  <c r="AJ200" i="15"/>
  <c r="AJ240" i="15" s="1"/>
  <c r="N205" i="46"/>
  <c r="K34" i="46"/>
  <c r="K99" i="46" s="1"/>
  <c r="BK221" i="47"/>
  <c r="BK113" i="46" s="1"/>
  <c r="AL147" i="47"/>
  <c r="AL80" i="47" s="1"/>
  <c r="AA215" i="15"/>
  <c r="AA360" i="15" s="1"/>
  <c r="AH99" i="15"/>
  <c r="AH361" i="15" s="1"/>
  <c r="AH30" i="15"/>
  <c r="AH33" i="15" s="1"/>
  <c r="AH37" i="15" s="1"/>
  <c r="BK22" i="72"/>
  <c r="R99" i="47"/>
  <c r="AW22" i="72"/>
  <c r="AX52" i="51" s="1"/>
  <c r="AX66" i="51" s="1"/>
  <c r="M386" i="15"/>
  <c r="AK214" i="46"/>
  <c r="AK215" i="46" s="1"/>
  <c r="AJ214" i="46"/>
  <c r="AJ215" i="46" s="1"/>
  <c r="CD46" i="65"/>
  <c r="O28" i="46"/>
  <c r="J245" i="47"/>
  <c r="J240" i="47" s="1"/>
  <c r="X162" i="47"/>
  <c r="Z218" i="15"/>
  <c r="AH102" i="15"/>
  <c r="AH371" i="15" s="1"/>
  <c r="J108" i="46"/>
  <c r="AL392" i="15"/>
  <c r="F197" i="46"/>
  <c r="P214" i="46"/>
  <c r="P215" i="46" s="1"/>
  <c r="P85" i="47"/>
  <c r="AK213" i="15"/>
  <c r="AH101" i="15"/>
  <c r="AH366" i="15" s="1"/>
  <c r="J214" i="46"/>
  <c r="J215" i="46" s="1"/>
  <c r="E34" i="46"/>
  <c r="E100" i="46" s="1"/>
  <c r="BC178" i="47"/>
  <c r="BC179" i="47" s="1"/>
  <c r="AE214" i="46"/>
  <c r="AE215" i="46" s="1"/>
  <c r="T245" i="47"/>
  <c r="T243" i="47" s="1"/>
  <c r="AL142" i="47"/>
  <c r="AL79" i="47" s="1"/>
  <c r="E30" i="15"/>
  <c r="E33" i="15" s="1"/>
  <c r="E37" i="15" s="1"/>
  <c r="BK199" i="72"/>
  <c r="BK201" i="72" s="1"/>
  <c r="BH73" i="72"/>
  <c r="AR57" i="51"/>
  <c r="I171" i="46"/>
  <c r="AM28" i="46"/>
  <c r="AM222" i="46" s="1"/>
  <c r="AV271" i="47"/>
  <c r="AM162" i="47"/>
  <c r="AI35" i="47"/>
  <c r="AI20" i="65" s="1"/>
  <c r="DA22" i="72"/>
  <c r="AB245" i="47"/>
  <c r="AB243" i="47" s="1"/>
  <c r="CZ22" i="72"/>
  <c r="AR72" i="15"/>
  <c r="E197" i="46"/>
  <c r="AK197" i="46"/>
  <c r="W137" i="47"/>
  <c r="W78" i="47" s="1"/>
  <c r="AG147" i="46"/>
  <c r="AF28" i="46"/>
  <c r="T30" i="15"/>
  <c r="T436" i="15" s="1"/>
  <c r="H25" i="15"/>
  <c r="K498" i="15" s="1"/>
  <c r="K511" i="15" s="1"/>
  <c r="I26" i="15"/>
  <c r="DC64" i="72"/>
  <c r="DH64" i="72"/>
  <c r="P108" i="46"/>
  <c r="V168" i="47"/>
  <c r="V178" i="47" s="1"/>
  <c r="AF197" i="46"/>
  <c r="AM55" i="65"/>
  <c r="CX46" i="65"/>
  <c r="V28" i="46"/>
  <c r="L245" i="47"/>
  <c r="L243" i="47" s="1"/>
  <c r="AH162" i="47"/>
  <c r="M29" i="51"/>
  <c r="DO65" i="72"/>
  <c r="DK64" i="72"/>
  <c r="DJ64" i="72"/>
  <c r="DI25" i="72"/>
  <c r="DR65" i="72"/>
  <c r="AS22" i="72"/>
  <c r="O197" i="46"/>
  <c r="S162" i="47"/>
  <c r="AB29" i="51"/>
  <c r="X106" i="15"/>
  <c r="AC205" i="46"/>
  <c r="Z214" i="46"/>
  <c r="Z215" i="46" s="1"/>
  <c r="E214" i="46"/>
  <c r="E209" i="46" s="1"/>
  <c r="AH171" i="46"/>
  <c r="AG10" i="46"/>
  <c r="AH68" i="46"/>
  <c r="J28" i="46"/>
  <c r="W168" i="47"/>
  <c r="AK226" i="15"/>
  <c r="DM73" i="72"/>
  <c r="DE64" i="72"/>
  <c r="DD64" i="72"/>
  <c r="DT73" i="72"/>
  <c r="E484" i="15"/>
  <c r="AC128" i="46"/>
  <c r="AC129" i="46" s="1"/>
  <c r="AN11" i="51"/>
  <c r="AG99" i="47"/>
  <c r="AO197" i="46"/>
  <c r="AG392" i="15"/>
  <c r="M398" i="15"/>
  <c r="L147" i="46"/>
  <c r="X221" i="46"/>
  <c r="X240" i="46" s="1"/>
  <c r="CI27" i="65" s="1"/>
  <c r="BF271" i="47"/>
  <c r="AI162" i="47"/>
  <c r="AO41" i="47"/>
  <c r="AO83" i="47" s="1"/>
  <c r="G41" i="47"/>
  <c r="G45" i="47" s="1"/>
  <c r="G49" i="47" s="1"/>
  <c r="S392" i="15"/>
  <c r="AA228" i="15"/>
  <c r="AA365" i="15" s="1"/>
  <c r="J498" i="15"/>
  <c r="J511" i="15" s="1"/>
  <c r="DE146" i="72"/>
  <c r="DE72" i="72"/>
  <c r="CX72" i="72"/>
  <c r="CC38" i="67"/>
  <c r="AA271" i="47"/>
  <c r="AK11" i="51"/>
  <c r="AY84" i="67"/>
  <c r="AY22" i="67" s="1"/>
  <c r="AZ84" i="67"/>
  <c r="AZ22" i="67" s="1"/>
  <c r="AQ24" i="51"/>
  <c r="BA24" i="51" s="1"/>
  <c r="BF24" i="51" s="1"/>
  <c r="BK24" i="51" s="1"/>
  <c r="BP24" i="51" s="1"/>
  <c r="BG57" i="51"/>
  <c r="U214" i="46"/>
  <c r="U215" i="46" s="1"/>
  <c r="AJ162" i="47"/>
  <c r="AM178" i="47"/>
  <c r="AM179" i="47" s="1"/>
  <c r="AC162" i="47"/>
  <c r="AN137" i="47"/>
  <c r="AN78" i="47" s="1"/>
  <c r="AH67" i="47"/>
  <c r="AH33" i="64" s="1"/>
  <c r="AG109" i="47"/>
  <c r="Z231" i="15"/>
  <c r="Z139" i="15" s="1"/>
  <c r="Y77" i="15"/>
  <c r="Y265" i="15" s="1"/>
  <c r="AB386" i="15"/>
  <c r="AD177" i="72"/>
  <c r="DC72" i="72"/>
  <c r="DD72" i="72"/>
  <c r="AR90" i="15"/>
  <c r="AT85" i="15"/>
  <c r="S177" i="46"/>
  <c r="S184" i="46" s="1"/>
  <c r="S195" i="46" s="1"/>
  <c r="AM205" i="46"/>
  <c r="AM226" i="46" s="1"/>
  <c r="AB214" i="46"/>
  <c r="AB215" i="46" s="1"/>
  <c r="G214" i="46"/>
  <c r="G215" i="46" s="1"/>
  <c r="R171" i="46"/>
  <c r="R197" i="46" s="1"/>
  <c r="F28" i="46"/>
  <c r="AL245" i="47"/>
  <c r="AL237" i="47" s="1"/>
  <c r="R168" i="47"/>
  <c r="AL162" i="47"/>
  <c r="AV204" i="15"/>
  <c r="BA204" i="15" s="1"/>
  <c r="BK204" i="15" s="1"/>
  <c r="BP204" i="15" s="1"/>
  <c r="AB11" i="15"/>
  <c r="M25" i="15"/>
  <c r="O498" i="15" s="1"/>
  <c r="O511" i="15" s="1"/>
  <c r="F30" i="15"/>
  <c r="F33" i="15" s="1"/>
  <c r="F37" i="15" s="1"/>
  <c r="DA72" i="72"/>
  <c r="DG72" i="72"/>
  <c r="DL72" i="72" s="1"/>
  <c r="DQ72" i="72" s="1"/>
  <c r="DV72" i="72" s="1"/>
  <c r="AA61" i="51"/>
  <c r="R109" i="47"/>
  <c r="AR22" i="72"/>
  <c r="Z367" i="15"/>
  <c r="AT84" i="15"/>
  <c r="AC171" i="46"/>
  <c r="R121" i="47"/>
  <c r="AD84" i="15"/>
  <c r="AD86" i="15" s="1"/>
  <c r="AD225" i="15" s="1"/>
  <c r="AK245" i="47"/>
  <c r="AK246" i="47" s="1"/>
  <c r="BD173" i="15"/>
  <c r="BC173" i="15" s="1"/>
  <c r="BC174" i="15" s="1"/>
  <c r="AN22" i="72"/>
  <c r="AE245" i="47"/>
  <c r="AE246" i="47" s="1"/>
  <c r="Z245" i="47"/>
  <c r="Z243" i="47" s="1"/>
  <c r="S35" i="47"/>
  <c r="S254" i="47" s="1"/>
  <c r="AX22" i="72"/>
  <c r="AY52" i="51" s="1"/>
  <c r="BJ196" i="72"/>
  <c r="BJ199" i="72" s="1"/>
  <c r="AT81" i="15"/>
  <c r="AT285" i="15" s="1"/>
  <c r="AT80" i="15"/>
  <c r="AT284" i="15" s="1"/>
  <c r="AT306" i="15"/>
  <c r="AO245" i="47"/>
  <c r="AO237" i="47" s="1"/>
  <c r="Y245" i="47"/>
  <c r="Y246" i="47" s="1"/>
  <c r="BH65" i="72"/>
  <c r="T26" i="72"/>
  <c r="Y177" i="72"/>
  <c r="AT77" i="15"/>
  <c r="AT265" i="15" s="1"/>
  <c r="AT273" i="15" s="1"/>
  <c r="AT286" i="15"/>
  <c r="K35" i="47"/>
  <c r="W201" i="72"/>
  <c r="AC22" i="72"/>
  <c r="S26" i="72"/>
  <c r="W29" i="51"/>
  <c r="AT76" i="15"/>
  <c r="AT264" i="15" s="1"/>
  <c r="I231" i="46"/>
  <c r="I233" i="46"/>
  <c r="R398" i="15"/>
  <c r="G197" i="46"/>
  <c r="W142" i="47"/>
  <c r="W79" i="47" s="1"/>
  <c r="AJ197" i="46"/>
  <c r="AD22" i="72"/>
  <c r="BB57" i="51"/>
  <c r="W99" i="47"/>
  <c r="BL57" i="51"/>
  <c r="AL137" i="47"/>
  <c r="AL78" i="47" s="1"/>
  <c r="AB412" i="15"/>
  <c r="AM171" i="46"/>
  <c r="AG197" i="46"/>
  <c r="AB197" i="46"/>
  <c r="Q197" i="46"/>
  <c r="K214" i="46"/>
  <c r="K215" i="46" s="1"/>
  <c r="AD197" i="46"/>
  <c r="X28" i="46"/>
  <c r="X222" i="46" s="1"/>
  <c r="P28" i="46"/>
  <c r="AK34" i="46"/>
  <c r="AK99" i="46" s="1"/>
  <c r="W245" i="47"/>
  <c r="W237" i="47" s="1"/>
  <c r="AB142" i="47"/>
  <c r="AB79" i="47" s="1"/>
  <c r="Y35" i="47"/>
  <c r="Y20" i="65" s="1"/>
  <c r="S492" i="15"/>
  <c r="S505" i="15" s="1"/>
  <c r="AF30" i="15"/>
  <c r="AF436" i="15" s="1"/>
  <c r="AA26" i="15"/>
  <c r="AA21" i="65" s="1"/>
  <c r="AD214" i="46"/>
  <c r="AD215" i="46" s="1"/>
  <c r="Q214" i="46"/>
  <c r="Q215" i="46" s="1"/>
  <c r="R147" i="46"/>
  <c r="X128" i="46"/>
  <c r="X129" i="46" s="1"/>
  <c r="I221" i="46"/>
  <c r="I240" i="46" s="1"/>
  <c r="P245" i="47"/>
  <c r="P243" i="47" s="1"/>
  <c r="L392" i="15"/>
  <c r="AJ173" i="15"/>
  <c r="AI173" i="15" s="1"/>
  <c r="AI174" i="15" s="1"/>
  <c r="W412" i="15"/>
  <c r="K20" i="51"/>
  <c r="K26" i="51" s="1"/>
  <c r="K27" i="51" s="1"/>
  <c r="DO73" i="72"/>
  <c r="DP65" i="72"/>
  <c r="DK80" i="72"/>
  <c r="DJ80" i="72"/>
  <c r="AE22" i="72"/>
  <c r="Q108" i="46"/>
  <c r="DR49" i="72"/>
  <c r="DV73" i="72"/>
  <c r="DU73" i="72" s="1"/>
  <c r="O214" i="46"/>
  <c r="O215" i="46" s="1"/>
  <c r="H214" i="46"/>
  <c r="H215" i="46" s="1"/>
  <c r="AF214" i="46"/>
  <c r="AF215" i="46" s="1"/>
  <c r="U147" i="46"/>
  <c r="AH247" i="46"/>
  <c r="I34" i="46"/>
  <c r="I37" i="46" s="1"/>
  <c r="I41" i="46" s="1"/>
  <c r="R29" i="51"/>
  <c r="S41" i="47"/>
  <c r="S82" i="47" s="1"/>
  <c r="Q35" i="47"/>
  <c r="AC492" i="15"/>
  <c r="AC505" i="15" s="1"/>
  <c r="AL11" i="15"/>
  <c r="DN73" i="72"/>
  <c r="DM65" i="72"/>
  <c r="DI80" i="72"/>
  <c r="DF80" i="72"/>
  <c r="AO18" i="51"/>
  <c r="AO20" i="51" s="1"/>
  <c r="AO26" i="51" s="1"/>
  <c r="AO27" i="51" s="1"/>
  <c r="R10" i="51"/>
  <c r="R18" i="51" s="1"/>
  <c r="R20" i="51" s="1"/>
  <c r="DT65" i="72"/>
  <c r="DS49" i="72"/>
  <c r="DS73" i="72"/>
  <c r="AL386" i="15"/>
  <c r="DP73" i="72"/>
  <c r="DN65" i="72"/>
  <c r="DC80" i="72"/>
  <c r="BG18" i="72"/>
  <c r="BG22" i="72" s="1"/>
  <c r="BH52" i="51" s="1"/>
  <c r="AL99" i="47"/>
  <c r="U197" i="46"/>
  <c r="L108" i="46"/>
  <c r="AY469" i="15"/>
  <c r="AI197" i="46"/>
  <c r="O147" i="46"/>
  <c r="DG48" i="72"/>
  <c r="DL48" i="72" s="1"/>
  <c r="DQ48" i="72" s="1"/>
  <c r="DV48" i="72" s="1"/>
  <c r="Z197" i="46"/>
  <c r="AH205" i="46"/>
  <c r="W171" i="46"/>
  <c r="W197" i="46" s="1"/>
  <c r="Y158" i="15"/>
  <c r="X158" i="15" s="1"/>
  <c r="W24" i="51"/>
  <c r="W27" i="46"/>
  <c r="W34" i="46" s="1"/>
  <c r="DS65" i="72"/>
  <c r="AG29" i="51"/>
  <c r="R132" i="47"/>
  <c r="R77" i="47" s="1"/>
  <c r="X205" i="46"/>
  <c r="AE161" i="47"/>
  <c r="N207" i="47"/>
  <c r="DO128" i="72"/>
  <c r="CZ48" i="72"/>
  <c r="DR81" i="72"/>
  <c r="CY48" i="72"/>
  <c r="DF48" i="72"/>
  <c r="AJ236" i="47"/>
  <c r="AH426" i="15"/>
  <c r="AH427" i="15" s="1"/>
  <c r="DA48" i="72"/>
  <c r="DT81" i="72"/>
  <c r="AG27" i="46"/>
  <c r="AG34" i="46" s="1"/>
  <c r="AC120" i="47"/>
  <c r="AC121" i="47" s="1"/>
  <c r="AP22" i="72"/>
  <c r="V20" i="51"/>
  <c r="V26" i="51" s="1"/>
  <c r="V27" i="51" s="1"/>
  <c r="DS81" i="72"/>
  <c r="O493" i="15"/>
  <c r="AC427" i="15"/>
  <c r="T22" i="72"/>
  <c r="Z286" i="15"/>
  <c r="Z85" i="15"/>
  <c r="AM504" i="15"/>
  <c r="AA67" i="15"/>
  <c r="AB67" i="15" s="1"/>
  <c r="AB65" i="15" s="1"/>
  <c r="AB266" i="15" s="1"/>
  <c r="AC20" i="51"/>
  <c r="AC26" i="51" s="1"/>
  <c r="AC30" i="51" s="1"/>
  <c r="AC33" i="51" s="1"/>
  <c r="AC37" i="51" s="1"/>
  <c r="AM143" i="46"/>
  <c r="X493" i="15"/>
  <c r="O22" i="72"/>
  <c r="M147" i="47"/>
  <c r="M80" i="47" s="1"/>
  <c r="AN147" i="46"/>
  <c r="R392" i="15"/>
  <c r="M392" i="15"/>
  <c r="AL10" i="51"/>
  <c r="AL18" i="51" s="1"/>
  <c r="AL20" i="51" s="1"/>
  <c r="M24" i="51"/>
  <c r="Y20" i="51"/>
  <c r="Y26" i="51" s="1"/>
  <c r="Y27" i="51" s="1"/>
  <c r="AQ10" i="46"/>
  <c r="AQ18" i="46"/>
  <c r="AQ20" i="46" s="1"/>
  <c r="AQ27" i="46" s="1"/>
  <c r="BI450" i="15"/>
  <c r="BI200" i="47"/>
  <c r="BD200" i="47"/>
  <c r="BD450" i="15"/>
  <c r="AO99" i="46"/>
  <c r="AO100" i="46"/>
  <c r="S207" i="47"/>
  <c r="H29" i="51"/>
  <c r="K484" i="15"/>
  <c r="F484" i="15"/>
  <c r="L493" i="15"/>
  <c r="H24" i="51"/>
  <c r="AB24" i="51"/>
  <c r="AN27" i="46"/>
  <c r="AB37" i="65"/>
  <c r="AB41" i="51"/>
  <c r="AB41" i="15"/>
  <c r="AB53" i="47"/>
  <c r="S129" i="46"/>
  <c r="AY200" i="47"/>
  <c r="AY450" i="15"/>
  <c r="AL10" i="46"/>
  <c r="AG57" i="51"/>
  <c r="AH57" i="51" s="1"/>
  <c r="AM490" i="15"/>
  <c r="AM487" i="15"/>
  <c r="AH34" i="47"/>
  <c r="AH253" i="47" s="1"/>
  <c r="AH266" i="47" s="1"/>
  <c r="R24" i="51"/>
  <c r="S248" i="46"/>
  <c r="CD47" i="65"/>
  <c r="AR134" i="46"/>
  <c r="AR147" i="46" s="1"/>
  <c r="AB10" i="46"/>
  <c r="N37" i="65"/>
  <c r="N41" i="15"/>
  <c r="N41" i="51"/>
  <c r="N53" i="47"/>
  <c r="N99" i="47"/>
  <c r="AB10" i="51"/>
  <c r="AB11" i="51" s="1"/>
  <c r="AB25" i="15"/>
  <c r="AF498" i="15" s="1"/>
  <c r="AF511" i="15" s="1"/>
  <c r="Q430" i="15"/>
  <c r="Q431" i="15" s="1"/>
  <c r="O430" i="15"/>
  <c r="O431" i="15" s="1"/>
  <c r="R430" i="15"/>
  <c r="R431" i="15" s="1"/>
  <c r="P430" i="15"/>
  <c r="P431" i="15" s="1"/>
  <c r="BA247" i="46"/>
  <c r="AD108" i="15"/>
  <c r="AD321" i="15" s="1"/>
  <c r="AH321" i="15" s="1"/>
  <c r="AP286" i="15"/>
  <c r="Z306" i="15"/>
  <c r="AC207" i="47"/>
  <c r="I120" i="47"/>
  <c r="I121" i="47" s="1"/>
  <c r="AE35" i="47"/>
  <c r="AE20" i="65" s="1"/>
  <c r="AJ161" i="47"/>
  <c r="AK271" i="47"/>
  <c r="BJ26" i="72"/>
  <c r="BG26" i="72"/>
  <c r="N35" i="47"/>
  <c r="N254" i="47" s="1"/>
  <c r="N261" i="47" s="1"/>
  <c r="N253" i="47"/>
  <c r="N266" i="47" s="1"/>
  <c r="N41" i="47"/>
  <c r="N45" i="47" s="1"/>
  <c r="N49" i="47" s="1"/>
  <c r="R245" i="47"/>
  <c r="R243" i="47" s="1"/>
  <c r="AL132" i="47"/>
  <c r="AL77" i="47" s="1"/>
  <c r="W132" i="47"/>
  <c r="W77" i="47" s="1"/>
  <c r="AA41" i="47"/>
  <c r="AA83" i="47" s="1"/>
  <c r="AK61" i="51"/>
  <c r="AA168" i="47"/>
  <c r="AA178" i="47" s="1"/>
  <c r="AA179" i="47" s="1"/>
  <c r="AN67" i="47"/>
  <c r="AS67" i="47"/>
  <c r="AG245" i="47"/>
  <c r="AG246" i="47" s="1"/>
  <c r="X120" i="47"/>
  <c r="X121" i="47" s="1"/>
  <c r="Q168" i="47"/>
  <c r="Q178" i="47" s="1"/>
  <c r="Q179" i="47" s="1"/>
  <c r="V245" i="47"/>
  <c r="V246" i="47" s="1"/>
  <c r="AN121" i="47"/>
  <c r="T168" i="47"/>
  <c r="T178" i="47" s="1"/>
  <c r="T179" i="47" s="1"/>
  <c r="Y11" i="51"/>
  <c r="CS22" i="72"/>
  <c r="BG128" i="72"/>
  <c r="AD26" i="72"/>
  <c r="AM26" i="72"/>
  <c r="DF52" i="72"/>
  <c r="DD176" i="72"/>
  <c r="CX162" i="72"/>
  <c r="AC177" i="72"/>
  <c r="DT53" i="72"/>
  <c r="DK148" i="72"/>
  <c r="DJ25" i="72"/>
  <c r="DU53" i="72"/>
  <c r="Z266" i="15"/>
  <c r="AI286" i="15"/>
  <c r="AP85" i="15"/>
  <c r="DC162" i="72"/>
  <c r="DH148" i="72"/>
  <c r="CU22" i="72"/>
  <c r="CV22" i="72"/>
  <c r="AS199" i="72"/>
  <c r="AS201" i="72" s="1"/>
  <c r="DE194" i="72"/>
  <c r="DK194" i="72"/>
  <c r="DF194" i="72"/>
  <c r="DK146" i="72"/>
  <c r="DJ146" i="72"/>
  <c r="BI65" i="72"/>
  <c r="BJ65" i="72"/>
  <c r="BH26" i="72"/>
  <c r="AY26" i="72"/>
  <c r="AX26" i="72"/>
  <c r="DK25" i="72"/>
  <c r="DF25" i="72"/>
  <c r="AE177" i="72"/>
  <c r="N177" i="72"/>
  <c r="BF199" i="72"/>
  <c r="BF201" i="72" s="1"/>
  <c r="DS53" i="72"/>
  <c r="AS169" i="72"/>
  <c r="BJ230" i="15"/>
  <c r="BO230" i="15" s="1"/>
  <c r="AY230" i="15"/>
  <c r="BI230" i="15" s="1"/>
  <c r="BN230" i="15" s="1"/>
  <c r="AV230" i="15"/>
  <c r="AX230" i="15" s="1"/>
  <c r="AU177" i="72"/>
  <c r="AS177" i="72"/>
  <c r="X177" i="72"/>
  <c r="AX306" i="15"/>
  <c r="Y81" i="15"/>
  <c r="Y320" i="15" s="1"/>
  <c r="BL107" i="15"/>
  <c r="AN177" i="72"/>
  <c r="T177" i="72"/>
  <c r="AO177" i="72"/>
  <c r="O177" i="72"/>
  <c r="AM177" i="72"/>
  <c r="P177" i="72"/>
  <c r="AR107" i="15"/>
  <c r="AS77" i="15"/>
  <c r="AS265" i="15" s="1"/>
  <c r="AH120" i="47"/>
  <c r="AH121" i="47" s="1"/>
  <c r="AM34" i="47"/>
  <c r="H10" i="51"/>
  <c r="H11" i="51" s="1"/>
  <c r="BM57" i="51"/>
  <c r="BQ57" i="51" s="1"/>
  <c r="BQ17" i="51"/>
  <c r="N120" i="47"/>
  <c r="N121" i="47" s="1"/>
  <c r="AP82" i="46"/>
  <c r="AJ177" i="72"/>
  <c r="AI177" i="72"/>
  <c r="U177" i="72"/>
  <c r="AH177" i="72"/>
  <c r="V41" i="47"/>
  <c r="V83" i="47" s="1"/>
  <c r="V35" i="47"/>
  <c r="V20" i="65" s="1"/>
  <c r="AN61" i="51"/>
  <c r="AR213" i="47"/>
  <c r="AR79" i="46" s="1"/>
  <c r="AQ61" i="51"/>
  <c r="AQ81" i="46" s="1"/>
  <c r="AQ79" i="46"/>
  <c r="AR121" i="47"/>
  <c r="T11" i="51"/>
  <c r="AN18" i="51"/>
  <c r="AN20" i="51" s="1"/>
  <c r="AN26" i="51" s="1"/>
  <c r="AX9" i="51"/>
  <c r="AY9" i="51"/>
  <c r="BP39" i="46"/>
  <c r="AD81" i="15"/>
  <c r="AD285" i="15" s="1"/>
  <c r="Y286" i="15"/>
  <c r="Y85" i="15"/>
  <c r="Y84" i="15"/>
  <c r="Y76" i="15"/>
  <c r="Y264" i="15" s="1"/>
  <c r="AF11" i="51"/>
  <c r="BC195" i="72"/>
  <c r="BC199" i="72" s="1"/>
  <c r="U20" i="51"/>
  <c r="U26" i="51" s="1"/>
  <c r="U27" i="51" s="1"/>
  <c r="BD195" i="72"/>
  <c r="BD199" i="72" s="1"/>
  <c r="BE441" i="15" s="1"/>
  <c r="BE464" i="15" s="1"/>
  <c r="AM101" i="15"/>
  <c r="AM366" i="15" s="1"/>
  <c r="AD80" i="15"/>
  <c r="AD305" i="15" s="1"/>
  <c r="AM99" i="15"/>
  <c r="AM361" i="15" s="1"/>
  <c r="Y80" i="15"/>
  <c r="Y305" i="15" s="1"/>
  <c r="AD286" i="15"/>
  <c r="AD77" i="15"/>
  <c r="AD265" i="15" s="1"/>
  <c r="AI11" i="51"/>
  <c r="BB195" i="72"/>
  <c r="BB199" i="72" s="1"/>
  <c r="AX85" i="15"/>
  <c r="AR71" i="15"/>
  <c r="AX76" i="15"/>
  <c r="AX264" i="15" s="1"/>
  <c r="AX266" i="15"/>
  <c r="AS306" i="15"/>
  <c r="G484" i="15"/>
  <c r="K493" i="15"/>
  <c r="P490" i="15"/>
  <c r="T498" i="15"/>
  <c r="T511" i="15" s="1"/>
  <c r="U498" i="15"/>
  <c r="U511" i="15" s="1"/>
  <c r="AP370" i="15"/>
  <c r="AQ18" i="15"/>
  <c r="AQ20" i="15" s="1"/>
  <c r="AQ25" i="15" s="1"/>
  <c r="AT498" i="15" s="1"/>
  <c r="AT511" i="15" s="1"/>
  <c r="AQ10" i="51"/>
  <c r="AQ11" i="15"/>
  <c r="M430" i="15"/>
  <c r="M431" i="15" s="1"/>
  <c r="L430" i="15"/>
  <c r="L431" i="15" s="1"/>
  <c r="J430" i="15"/>
  <c r="J431" i="15" s="1"/>
  <c r="AG38" i="51"/>
  <c r="AH490" i="15"/>
  <c r="AH504" i="15"/>
  <c r="S427" i="15"/>
  <c r="BJ467" i="15"/>
  <c r="BJ469" i="15" s="1"/>
  <c r="AO108" i="46"/>
  <c r="EF61" i="64"/>
  <c r="CG93" i="64"/>
  <c r="AM107" i="46"/>
  <c r="O484" i="15"/>
  <c r="AM426" i="15"/>
  <c r="AM427" i="15" s="1"/>
  <c r="Y218" i="15"/>
  <c r="AB38" i="51"/>
  <c r="CB93" i="64"/>
  <c r="AH107" i="46"/>
  <c r="BI22" i="72"/>
  <c r="BJ52" i="51" s="1"/>
  <c r="BJ66" i="51" s="1"/>
  <c r="CF10" i="72"/>
  <c r="CA10" i="72"/>
  <c r="BV10" i="72"/>
  <c r="AJ199" i="72"/>
  <c r="AJ201" i="72" s="1"/>
  <c r="BM38" i="72"/>
  <c r="CD10" i="72"/>
  <c r="BY10" i="72"/>
  <c r="AC199" i="72"/>
  <c r="AC201" i="72" s="1"/>
  <c r="BO38" i="72"/>
  <c r="V22" i="72"/>
  <c r="U22" i="72"/>
  <c r="AO22" i="72"/>
  <c r="BL465" i="15"/>
  <c r="AY22" i="72"/>
  <c r="AZ52" i="51" s="1"/>
  <c r="AZ66" i="51" s="1"/>
  <c r="BC22" i="72"/>
  <c r="BD52" i="51" s="1"/>
  <c r="BD66" i="51" s="1"/>
  <c r="AI22" i="72"/>
  <c r="Y22" i="72"/>
  <c r="BL442" i="15"/>
  <c r="AX177" i="72"/>
  <c r="DH163" i="72"/>
  <c r="DF163" i="72"/>
  <c r="DC163" i="72"/>
  <c r="CO169" i="72"/>
  <c r="DC146" i="72"/>
  <c r="DI146" i="72"/>
  <c r="DD146" i="72"/>
  <c r="DH146" i="72"/>
  <c r="CZ162" i="72"/>
  <c r="CY162" i="72"/>
  <c r="DG162" i="72"/>
  <c r="DL162" i="72" s="1"/>
  <c r="DQ162" i="72" s="1"/>
  <c r="DV162" i="72" s="1"/>
  <c r="BI73" i="72"/>
  <c r="BJ73" i="72"/>
  <c r="DA52" i="72"/>
  <c r="DC48" i="72"/>
  <c r="CX48" i="72"/>
  <c r="DE48" i="72"/>
  <c r="AE26" i="72"/>
  <c r="V26" i="72"/>
  <c r="AF26" i="72"/>
  <c r="DC25" i="72"/>
  <c r="DE25" i="72"/>
  <c r="DD25" i="72"/>
  <c r="DH25" i="72"/>
  <c r="S177" i="72"/>
  <c r="AW177" i="72"/>
  <c r="Z177" i="72"/>
  <c r="AR177" i="72"/>
  <c r="AM22" i="72"/>
  <c r="S22" i="72"/>
  <c r="S199" i="72"/>
  <c r="S201" i="72" s="1"/>
  <c r="W10" i="72"/>
  <c r="AG10" i="72"/>
  <c r="BN38" i="72"/>
  <c r="CN169" i="72"/>
  <c r="CQ169" i="72"/>
  <c r="CP169" i="72"/>
  <c r="BC169" i="72"/>
  <c r="BD192" i="47" s="1"/>
  <c r="BD218" i="47" s="1"/>
  <c r="AI169" i="72"/>
  <c r="O169" i="72"/>
  <c r="BD169" i="72"/>
  <c r="BE192" i="47" s="1"/>
  <c r="BE218" i="47" s="1"/>
  <c r="AJ169" i="72"/>
  <c r="P169" i="72"/>
  <c r="AN169" i="72"/>
  <c r="T169" i="72"/>
  <c r="AH169" i="72"/>
  <c r="AH10" i="72" s="1"/>
  <c r="AF169" i="72"/>
  <c r="AF10" i="72" s="1"/>
  <c r="V169" i="72"/>
  <c r="AX169" i="72"/>
  <c r="AY192" i="47" s="1"/>
  <c r="AY218" i="47" s="1"/>
  <c r="N169" i="72"/>
  <c r="N10" i="72" s="1"/>
  <c r="AM169" i="72"/>
  <c r="AW169" i="72"/>
  <c r="BP169" i="72"/>
  <c r="BE169" i="72"/>
  <c r="BF192" i="47" s="1"/>
  <c r="BF218" i="47" s="1"/>
  <c r="AU169" i="72"/>
  <c r="BX38" i="72"/>
  <c r="BS169" i="72"/>
  <c r="AZ169" i="72"/>
  <c r="BA192" i="47" s="1"/>
  <c r="BA218" i="47" s="1"/>
  <c r="AP169" i="72"/>
  <c r="AE169" i="72"/>
  <c r="S169" i="72"/>
  <c r="Y169" i="72"/>
  <c r="AT169" i="72"/>
  <c r="Z169" i="72"/>
  <c r="AR169" i="72"/>
  <c r="X169" i="72"/>
  <c r="X10" i="72" s="1"/>
  <c r="AK169" i="72"/>
  <c r="AD169" i="72"/>
  <c r="U169" i="72"/>
  <c r="BB169" i="72"/>
  <c r="BB10" i="72" s="1"/>
  <c r="AO169" i="72"/>
  <c r="AY169" i="72"/>
  <c r="AC169" i="72"/>
  <c r="AA169" i="72"/>
  <c r="Q169" i="72"/>
  <c r="BK169" i="72"/>
  <c r="DO28" i="72"/>
  <c r="DK28" i="72"/>
  <c r="DE28" i="72"/>
  <c r="DA28" i="72"/>
  <c r="CU28" i="72"/>
  <c r="CQ28" i="72"/>
  <c r="CK28" i="72"/>
  <c r="CG28" i="72"/>
  <c r="CA28" i="72"/>
  <c r="BW28" i="72"/>
  <c r="BF28" i="72"/>
  <c r="AL28" i="72"/>
  <c r="R28" i="72"/>
  <c r="DM28" i="72"/>
  <c r="DC28" i="72"/>
  <c r="CY28" i="72"/>
  <c r="CO28" i="72"/>
  <c r="CI28" i="72"/>
  <c r="BY28" i="72"/>
  <c r="AB28" i="72"/>
  <c r="L28" i="72"/>
  <c r="DI28" i="72"/>
  <c r="CS28" i="72"/>
  <c r="CE28" i="72"/>
  <c r="BU28" i="72"/>
  <c r="AV28" i="72"/>
  <c r="AS28" i="72" s="1"/>
  <c r="M28" i="72"/>
  <c r="AG28" i="72"/>
  <c r="BA28" i="72"/>
  <c r="BK28" i="72"/>
  <c r="BT28" i="72"/>
  <c r="BZ28" i="72"/>
  <c r="CD28" i="72"/>
  <c r="CJ28" i="72"/>
  <c r="CN28" i="72"/>
  <c r="CT28" i="72"/>
  <c r="CX28" i="72"/>
  <c r="DD28" i="72"/>
  <c r="DH28" i="72"/>
  <c r="DN28" i="72"/>
  <c r="CP28" i="72"/>
  <c r="CZ28" i="72"/>
  <c r="DJ28" i="72"/>
  <c r="W28" i="72"/>
  <c r="AQ28" i="72"/>
  <c r="BR28" i="72"/>
  <c r="BS28" i="72" s="1"/>
  <c r="BX28" i="72" s="1"/>
  <c r="CC28" i="72" s="1"/>
  <c r="CH28" i="72" s="1"/>
  <c r="CM28" i="72" s="1"/>
  <c r="CR28" i="72" s="1"/>
  <c r="CW28" i="72" s="1"/>
  <c r="DB28" i="72" s="1"/>
  <c r="DG28" i="72" s="1"/>
  <c r="DL28" i="72" s="1"/>
  <c r="DQ28" i="72" s="1"/>
  <c r="BV28" i="72"/>
  <c r="CB28" i="72"/>
  <c r="CF28" i="72"/>
  <c r="CL28" i="72"/>
  <c r="CV28" i="72"/>
  <c r="DF28" i="72"/>
  <c r="DP28" i="72"/>
  <c r="DM179" i="72"/>
  <c r="DI179" i="72"/>
  <c r="DC179" i="72"/>
  <c r="CY179" i="72"/>
  <c r="CS179" i="72"/>
  <c r="CO179" i="72"/>
  <c r="CI179" i="72"/>
  <c r="CE179" i="72"/>
  <c r="BY179" i="72"/>
  <c r="BU179" i="72"/>
  <c r="AV179" i="72"/>
  <c r="AB179" i="72"/>
  <c r="L179" i="72"/>
  <c r="R179" i="72"/>
  <c r="DO179" i="72"/>
  <c r="DK179" i="72"/>
  <c r="DE179" i="72"/>
  <c r="DA179" i="72"/>
  <c r="CU179" i="72"/>
  <c r="CQ179" i="72"/>
  <c r="CK179" i="72"/>
  <c r="CG179" i="72"/>
  <c r="CA179" i="72"/>
  <c r="BW179" i="72"/>
  <c r="BF179" i="72"/>
  <c r="AL179" i="72"/>
  <c r="M179" i="72"/>
  <c r="W179" i="72"/>
  <c r="AG179" i="72"/>
  <c r="AQ179" i="72"/>
  <c r="BA179" i="72"/>
  <c r="BK179" i="72"/>
  <c r="BT179" i="72"/>
  <c r="BZ179" i="72"/>
  <c r="CD179" i="72"/>
  <c r="CJ179" i="72"/>
  <c r="CN179" i="72"/>
  <c r="CT179" i="72"/>
  <c r="CX179" i="72"/>
  <c r="DD179" i="72"/>
  <c r="DH179" i="72"/>
  <c r="DN179" i="72"/>
  <c r="BR179" i="72"/>
  <c r="BS179" i="72" s="1"/>
  <c r="BX179" i="72" s="1"/>
  <c r="CC179" i="72" s="1"/>
  <c r="CH179" i="72" s="1"/>
  <c r="CM179" i="72" s="1"/>
  <c r="CR179" i="72" s="1"/>
  <c r="CW179" i="72" s="1"/>
  <c r="DB179" i="72" s="1"/>
  <c r="DG179" i="72" s="1"/>
  <c r="DL179" i="72" s="1"/>
  <c r="DQ179" i="72" s="1"/>
  <c r="BV179" i="72"/>
  <c r="CB179" i="72"/>
  <c r="CF179" i="72"/>
  <c r="CL179" i="72"/>
  <c r="CP179" i="72"/>
  <c r="CV179" i="72"/>
  <c r="CZ179" i="72"/>
  <c r="DF179" i="72"/>
  <c r="DJ179" i="72"/>
  <c r="DP179" i="72"/>
  <c r="AR199" i="72"/>
  <c r="AN245" i="47"/>
  <c r="AN237" i="47" s="1"/>
  <c r="AQ236" i="47"/>
  <c r="DC176" i="72"/>
  <c r="DL176" i="72"/>
  <c r="DQ176" i="72" s="1"/>
  <c r="DV176" i="72" s="1"/>
  <c r="DM177" i="72"/>
  <c r="DI176" i="72"/>
  <c r="DH176" i="72"/>
  <c r="DJ177" i="72"/>
  <c r="BI361" i="15"/>
  <c r="BB21" i="67"/>
  <c r="BP55" i="67"/>
  <c r="BQ72" i="15" s="1"/>
  <c r="BP58" i="67"/>
  <c r="BW79" i="67" s="1"/>
  <c r="BY79" i="67" s="1"/>
  <c r="AR89" i="15"/>
  <c r="BP54" i="67"/>
  <c r="BQ71" i="15" s="1"/>
  <c r="BP57" i="67"/>
  <c r="BP59" i="67"/>
  <c r="BW80" i="67" s="1"/>
  <c r="BY80" i="67" s="1"/>
  <c r="AH106" i="46"/>
  <c r="AH245" i="47"/>
  <c r="AH260" i="47" s="1"/>
  <c r="BI17" i="46"/>
  <c r="BN24" i="47"/>
  <c r="BN17" i="46" s="1"/>
  <c r="BI39" i="46"/>
  <c r="BN47" i="47"/>
  <c r="BN39" i="46" s="1"/>
  <c r="N67" i="47"/>
  <c r="AF34" i="47"/>
  <c r="AF41" i="47" s="1"/>
  <c r="AP237" i="47"/>
  <c r="Y168" i="47"/>
  <c r="Y178" i="47" s="1"/>
  <c r="Y179" i="47" s="1"/>
  <c r="BF171" i="47"/>
  <c r="N213" i="47"/>
  <c r="N79" i="46" s="1"/>
  <c r="N81" i="46" s="1"/>
  <c r="AZ221" i="47"/>
  <c r="O168" i="47"/>
  <c r="O178" i="47" s="1"/>
  <c r="O179" i="47" s="1"/>
  <c r="AG32" i="47"/>
  <c r="BS178" i="47"/>
  <c r="BS179" i="47" s="1"/>
  <c r="AP243" i="47"/>
  <c r="AP240" i="47"/>
  <c r="AR92" i="15"/>
  <c r="AX27" i="64"/>
  <c r="BB27" i="64"/>
  <c r="AP76" i="15"/>
  <c r="AP264" i="15" s="1"/>
  <c r="BX89" i="67"/>
  <c r="CC89" i="67" s="1"/>
  <c r="BL71" i="15"/>
  <c r="AM106" i="15"/>
  <c r="BI371" i="15"/>
  <c r="AC102" i="15"/>
  <c r="AC371" i="15" s="1"/>
  <c r="AC101" i="15"/>
  <c r="AC366" i="15" s="1"/>
  <c r="AC99" i="15"/>
  <c r="AC361" i="15" s="1"/>
  <c r="AX84" i="15"/>
  <c r="AX81" i="15"/>
  <c r="AX320" i="15" s="1"/>
  <c r="AX328" i="15" s="1"/>
  <c r="AD76" i="15"/>
  <c r="AD264" i="15" s="1"/>
  <c r="AX286" i="15"/>
  <c r="AD266" i="15"/>
  <c r="AD306" i="15"/>
  <c r="AX80" i="15"/>
  <c r="AX284" i="15" s="1"/>
  <c r="BI108" i="15"/>
  <c r="BI321" i="15" s="1"/>
  <c r="BL321" i="15" s="1"/>
  <c r="BI366" i="15"/>
  <c r="BQ73" i="15"/>
  <c r="BL73" i="15"/>
  <c r="BI72" i="15"/>
  <c r="BL72" i="15" s="1"/>
  <c r="BQ65" i="15"/>
  <c r="BP65" i="15" s="1"/>
  <c r="BO65" i="15" s="1"/>
  <c r="AR95" i="15"/>
  <c r="AP80" i="15"/>
  <c r="AP284" i="15" s="1"/>
  <c r="AP84" i="15"/>
  <c r="BL100" i="15"/>
  <c r="BQ100" i="15"/>
  <c r="AL201" i="72"/>
  <c r="DO148" i="72"/>
  <c r="DN148" i="72"/>
  <c r="DN128" i="72"/>
  <c r="DD52" i="72"/>
  <c r="DE52" i="72"/>
  <c r="AK199" i="72"/>
  <c r="AK201" i="72" s="1"/>
  <c r="Q199" i="72"/>
  <c r="Q201" i="72" s="1"/>
  <c r="CE10" i="72"/>
  <c r="AQ10" i="72"/>
  <c r="DV196" i="72"/>
  <c r="DU196" i="72"/>
  <c r="DS196" i="72"/>
  <c r="DT196" i="72"/>
  <c r="DR196" i="72"/>
  <c r="DP196" i="72"/>
  <c r="DN196" i="72"/>
  <c r="DO196" i="72"/>
  <c r="DM196" i="72"/>
  <c r="BA197" i="72"/>
  <c r="DG197" i="72"/>
  <c r="AH199" i="72"/>
  <c r="AH201" i="72" s="1"/>
  <c r="E199" i="72"/>
  <c r="DC196" i="72"/>
  <c r="DI196" i="72"/>
  <c r="DD196" i="72"/>
  <c r="DH196" i="72"/>
  <c r="AB201" i="72"/>
  <c r="DI177" i="72"/>
  <c r="DQ177" i="72"/>
  <c r="DV177" i="72" s="1"/>
  <c r="DP177" i="72"/>
  <c r="BI128" i="72"/>
  <c r="DI148" i="72"/>
  <c r="DM148" i="72"/>
  <c r="DQ148" i="72"/>
  <c r="DV148" i="72" s="1"/>
  <c r="DJ148" i="72"/>
  <c r="DP128" i="72"/>
  <c r="CX52" i="72"/>
  <c r="CZ52" i="72"/>
  <c r="CY52" i="72"/>
  <c r="DC52" i="72"/>
  <c r="AZ26" i="72"/>
  <c r="Y199" i="72"/>
  <c r="Y201" i="72" s="1"/>
  <c r="BH128" i="72"/>
  <c r="N199" i="72"/>
  <c r="N201" i="72" s="1"/>
  <c r="AU199" i="72"/>
  <c r="Z199" i="72"/>
  <c r="Z201" i="72" s="1"/>
  <c r="BP247" i="46"/>
  <c r="BP115" i="46"/>
  <c r="BQ68" i="46"/>
  <c r="BM140" i="46"/>
  <c r="BN247" i="46"/>
  <c r="BN115" i="46"/>
  <c r="BO115" i="46"/>
  <c r="BO247" i="46"/>
  <c r="AM108" i="15"/>
  <c r="AI321" i="15"/>
  <c r="AM321" i="15" s="1"/>
  <c r="AC108" i="15"/>
  <c r="Y321" i="15"/>
  <c r="AC321" i="15" s="1"/>
  <c r="AC106" i="15"/>
  <c r="AI80" i="15"/>
  <c r="AI305" i="15" s="1"/>
  <c r="AI81" i="15"/>
  <c r="AI285" i="15" s="1"/>
  <c r="AI76" i="15"/>
  <c r="AI264" i="15" s="1"/>
  <c r="Y266" i="15"/>
  <c r="AR73" i="15"/>
  <c r="AP81" i="15"/>
  <c r="AP285" i="15" s="1"/>
  <c r="AP77" i="15"/>
  <c r="AP265" i="15" s="1"/>
  <c r="AP266" i="15"/>
  <c r="BP95" i="15"/>
  <c r="BO95" i="15" s="1"/>
  <c r="BN95" i="15" s="1"/>
  <c r="BM95" i="15" s="1"/>
  <c r="BM366" i="15"/>
  <c r="BQ101" i="15"/>
  <c r="BQ366" i="15" s="1"/>
  <c r="AY82" i="67"/>
  <c r="AY83" i="67"/>
  <c r="AY85" i="67"/>
  <c r="AY86" i="67"/>
  <c r="AZ82" i="67"/>
  <c r="AZ20" i="67" s="1"/>
  <c r="AZ83" i="67"/>
  <c r="AZ21" i="67" s="1"/>
  <c r="AZ85" i="67"/>
  <c r="AZ23" i="67" s="1"/>
  <c r="AZ86" i="67"/>
  <c r="AZ24" i="67" s="1"/>
  <c r="BM321" i="15"/>
  <c r="BQ321" i="15" s="1"/>
  <c r="BQ108" i="15"/>
  <c r="BM361" i="15"/>
  <c r="BQ99" i="15"/>
  <c r="BQ361" i="15" s="1"/>
  <c r="BA82" i="67"/>
  <c r="BA20" i="67" s="1"/>
  <c r="BA83" i="67"/>
  <c r="BA21" i="67" s="1"/>
  <c r="BA85" i="67"/>
  <c r="BA23" i="67" s="1"/>
  <c r="BA86" i="67"/>
  <c r="BA24" i="67" s="1"/>
  <c r="BB82" i="67"/>
  <c r="BB20" i="67" s="1"/>
  <c r="BB85" i="67"/>
  <c r="BB23" i="67" s="1"/>
  <c r="BQ106" i="15"/>
  <c r="BO239" i="15"/>
  <c r="DE176" i="72"/>
  <c r="DK176" i="72"/>
  <c r="DF176" i="72"/>
  <c r="DK177" i="72"/>
  <c r="DO177" i="72"/>
  <c r="DH177" i="72"/>
  <c r="BK115" i="46"/>
  <c r="BJ247" i="46"/>
  <c r="BL140" i="46"/>
  <c r="BL247" i="46" s="1"/>
  <c r="BF115" i="46"/>
  <c r="AS84" i="15"/>
  <c r="Z77" i="15"/>
  <c r="Z265" i="15" s="1"/>
  <c r="BP102" i="15"/>
  <c r="BP371" i="15" s="1"/>
  <c r="BN102" i="15"/>
  <c r="BN371" i="15" s="1"/>
  <c r="BQ371" i="15"/>
  <c r="BO102" i="15"/>
  <c r="BO371" i="15" s="1"/>
  <c r="BM102" i="15"/>
  <c r="BM371" i="15" s="1"/>
  <c r="AZ247" i="46"/>
  <c r="BH115" i="46"/>
  <c r="BL115" i="46" s="1"/>
  <c r="AY247" i="46"/>
  <c r="AS85" i="15"/>
  <c r="Z81" i="15"/>
  <c r="Z285" i="15" s="1"/>
  <c r="AN76" i="15"/>
  <c r="AN264" i="15" s="1"/>
  <c r="Z76" i="15"/>
  <c r="Z264" i="15" s="1"/>
  <c r="AN286" i="15"/>
  <c r="AS266" i="15"/>
  <c r="BN465" i="15"/>
  <c r="BE22" i="72"/>
  <c r="BF52" i="51" s="1"/>
  <c r="BF66" i="51" s="1"/>
  <c r="AU22" i="72"/>
  <c r="AK22" i="72"/>
  <c r="AA22" i="72"/>
  <c r="Q22" i="72"/>
  <c r="BO177" i="72"/>
  <c r="BL177" i="72"/>
  <c r="BN177" i="72"/>
  <c r="BM177" i="72"/>
  <c r="BO128" i="72"/>
  <c r="BN128" i="72"/>
  <c r="BL128" i="72"/>
  <c r="BM128" i="72"/>
  <c r="DU108" i="72"/>
  <c r="DT108" i="72"/>
  <c r="DR108" i="72"/>
  <c r="DS108" i="72"/>
  <c r="BL18" i="72"/>
  <c r="BL22" i="72" s="1"/>
  <c r="BM52" i="51" s="1"/>
  <c r="BM66" i="51" s="1"/>
  <c r="BM18" i="72"/>
  <c r="BM22" i="72" s="1"/>
  <c r="BN52" i="51" s="1"/>
  <c r="BN66" i="51" s="1"/>
  <c r="BN18" i="72"/>
  <c r="BN22" i="72" s="1"/>
  <c r="BO52" i="51" s="1"/>
  <c r="BO18" i="72"/>
  <c r="BO22" i="72" s="1"/>
  <c r="BP52" i="51" s="1"/>
  <c r="BP66" i="51" s="1"/>
  <c r="BP22" i="72"/>
  <c r="DT128" i="72"/>
  <c r="DV128" i="72"/>
  <c r="DU128" i="72" s="1"/>
  <c r="DR128" i="72"/>
  <c r="DS128" i="72"/>
  <c r="DJ178" i="72"/>
  <c r="DH178" i="72"/>
  <c r="DE178" i="72"/>
  <c r="DC178" i="72"/>
  <c r="CZ178" i="72"/>
  <c r="CX178" i="72"/>
  <c r="CU178" i="72"/>
  <c r="CS178" i="72"/>
  <c r="CP178" i="72"/>
  <c r="CN178" i="72"/>
  <c r="CK178" i="72"/>
  <c r="CI178" i="72"/>
  <c r="CF178" i="72"/>
  <c r="CD178" i="72"/>
  <c r="CA178" i="72"/>
  <c r="BY178" i="72"/>
  <c r="BV178" i="72"/>
  <c r="BT178" i="72"/>
  <c r="DK178" i="72"/>
  <c r="DI178" i="72"/>
  <c r="DF178" i="72"/>
  <c r="DD178" i="72"/>
  <c r="DA178" i="72"/>
  <c r="CY178" i="72"/>
  <c r="CV178" i="72"/>
  <c r="CT178" i="72"/>
  <c r="CQ178" i="72"/>
  <c r="CO178" i="72"/>
  <c r="CL178" i="72"/>
  <c r="CJ178" i="72"/>
  <c r="CG178" i="72"/>
  <c r="CE178" i="72"/>
  <c r="CB178" i="72"/>
  <c r="BZ178" i="72"/>
  <c r="BW178" i="72"/>
  <c r="BU178" i="72"/>
  <c r="BR178" i="72"/>
  <c r="BP178" i="72"/>
  <c r="BP27" i="72"/>
  <c r="BO26" i="72"/>
  <c r="BL26" i="72"/>
  <c r="BN26" i="72"/>
  <c r="BM26" i="72"/>
  <c r="BH18" i="72"/>
  <c r="BH22" i="72" s="1"/>
  <c r="BI52" i="51" s="1"/>
  <c r="BI66" i="51" s="1"/>
  <c r="BJ18" i="72"/>
  <c r="BJ22" i="72" s="1"/>
  <c r="BK52" i="51" s="1"/>
  <c r="BK66" i="51" s="1"/>
  <c r="DU57" i="72"/>
  <c r="DS57" i="72"/>
  <c r="DT57" i="72"/>
  <c r="DR57" i="72"/>
  <c r="M10" i="72"/>
  <c r="BT201" i="72"/>
  <c r="BP441" i="15"/>
  <c r="BP464" i="15" s="1"/>
  <c r="BR201" i="72"/>
  <c r="BN441" i="15"/>
  <c r="BN464" i="15" s="1"/>
  <c r="R201" i="72"/>
  <c r="BT10" i="72"/>
  <c r="E20" i="51"/>
  <c r="E26" i="51" s="1"/>
  <c r="O20" i="51"/>
  <c r="O26" i="51" s="1"/>
  <c r="O30" i="51" s="1"/>
  <c r="O33" i="51" s="1"/>
  <c r="O37" i="51" s="1"/>
  <c r="J20" i="51"/>
  <c r="J26" i="51" s="1"/>
  <c r="J30" i="51" s="1"/>
  <c r="J33" i="51" s="1"/>
  <c r="J37" i="51" s="1"/>
  <c r="L11" i="51"/>
  <c r="AE20" i="51"/>
  <c r="AE26" i="51" s="1"/>
  <c r="AE27" i="51" s="1"/>
  <c r="AI85" i="15"/>
  <c r="Z84" i="15"/>
  <c r="AS80" i="15"/>
  <c r="AS305" i="15" s="1"/>
  <c r="AI77" i="15"/>
  <c r="AR106" i="15"/>
  <c r="AI84" i="15"/>
  <c r="AS81" i="15"/>
  <c r="AS285" i="15" s="1"/>
  <c r="AS293" i="15" s="1"/>
  <c r="AN80" i="15"/>
  <c r="AN305" i="15" s="1"/>
  <c r="Z80" i="15"/>
  <c r="Z319" i="15" s="1"/>
  <c r="AS76" i="15"/>
  <c r="AS264" i="15" s="1"/>
  <c r="AI266" i="15"/>
  <c r="BB108" i="15"/>
  <c r="DC195" i="72"/>
  <c r="DD195" i="72"/>
  <c r="DL195" i="72"/>
  <c r="DK195" i="72" s="1"/>
  <c r="AO199" i="72"/>
  <c r="AO201" i="72" s="1"/>
  <c r="AP199" i="72"/>
  <c r="AP201" i="72" s="1"/>
  <c r="BE199" i="72"/>
  <c r="AI20" i="51"/>
  <c r="AI26" i="51" s="1"/>
  <c r="AI30" i="51" s="1"/>
  <c r="AI33" i="51" s="1"/>
  <c r="AI37" i="51" s="1"/>
  <c r="S20" i="51"/>
  <c r="S26" i="51" s="1"/>
  <c r="S27" i="51" s="1"/>
  <c r="F20" i="51"/>
  <c r="F26" i="51" s="1"/>
  <c r="F27" i="51" s="1"/>
  <c r="P199" i="72"/>
  <c r="P201" i="72" s="1"/>
  <c r="X199" i="72"/>
  <c r="X201" i="72" s="1"/>
  <c r="T77" i="15"/>
  <c r="AA199" i="72"/>
  <c r="AA201" i="72" s="1"/>
  <c r="X108" i="15"/>
  <c r="T85" i="15"/>
  <c r="T86" i="15" s="1"/>
  <c r="T80" i="15"/>
  <c r="AQ68" i="15"/>
  <c r="AT199" i="72"/>
  <c r="AT201" i="72" s="1"/>
  <c r="BG199" i="72"/>
  <c r="BH441" i="15" s="1"/>
  <c r="BH464" i="15" s="1"/>
  <c r="AM199" i="72"/>
  <c r="AM201" i="72" s="1"/>
  <c r="V67" i="15"/>
  <c r="U65" i="15"/>
  <c r="AH11" i="51"/>
  <c r="Q161" i="47"/>
  <c r="AH161" i="47"/>
  <c r="AD41" i="47"/>
  <c r="AD82" i="47" s="1"/>
  <c r="AD35" i="47"/>
  <c r="AD20" i="65" s="1"/>
  <c r="S161" i="47"/>
  <c r="AH137" i="47"/>
  <c r="AH78" i="47" s="1"/>
  <c r="AH34" i="64" s="1"/>
  <c r="AD11" i="51"/>
  <c r="N61" i="51"/>
  <c r="N20" i="51"/>
  <c r="N26" i="51" s="1"/>
  <c r="N27" i="51" s="1"/>
  <c r="X11" i="51"/>
  <c r="BB442" i="15"/>
  <c r="BB465" i="15"/>
  <c r="BG465" i="15"/>
  <c r="DE195" i="72"/>
  <c r="DF195" i="72"/>
  <c r="AV201" i="72"/>
  <c r="DD162" i="72"/>
  <c r="DF162" i="72"/>
  <c r="DA162" i="72"/>
  <c r="AI199" i="72"/>
  <c r="AI201" i="72" s="1"/>
  <c r="BU10" i="72"/>
  <c r="BA10" i="72"/>
  <c r="AJ20" i="51"/>
  <c r="AJ26" i="51" s="1"/>
  <c r="P20" i="51"/>
  <c r="P26" i="51" s="1"/>
  <c r="P11" i="51"/>
  <c r="AO11" i="51"/>
  <c r="AD20" i="51"/>
  <c r="AD26" i="51" s="1"/>
  <c r="F11" i="51"/>
  <c r="I20" i="51"/>
  <c r="I26" i="51" s="1"/>
  <c r="I30" i="51" s="1"/>
  <c r="I33" i="51" s="1"/>
  <c r="I37" i="51" s="1"/>
  <c r="J11" i="51"/>
  <c r="Q20" i="51"/>
  <c r="Q26" i="51" s="1"/>
  <c r="Q30" i="51" s="1"/>
  <c r="Q33" i="51" s="1"/>
  <c r="Q37" i="51" s="1"/>
  <c r="DC55" i="65"/>
  <c r="BL68" i="46"/>
  <c r="AX247" i="46"/>
  <c r="BI247" i="46"/>
  <c r="S67" i="47"/>
  <c r="S109" i="47"/>
  <c r="Z41" i="47"/>
  <c r="Z45" i="47" s="1"/>
  <c r="Z49" i="47" s="1"/>
  <c r="Z35" i="47"/>
  <c r="Z20" i="65" s="1"/>
  <c r="AB137" i="47"/>
  <c r="AB78" i="47" s="1"/>
  <c r="AG137" i="47"/>
  <c r="AG78" i="47" s="1"/>
  <c r="L41" i="47"/>
  <c r="L45" i="47" s="1"/>
  <c r="L49" i="47" s="1"/>
  <c r="L35" i="47"/>
  <c r="AJ41" i="47"/>
  <c r="AJ83" i="47" s="1"/>
  <c r="AJ35" i="47"/>
  <c r="AJ20" i="65" s="1"/>
  <c r="P41" i="47"/>
  <c r="P83" i="47" s="1"/>
  <c r="P35" i="47"/>
  <c r="X35" i="47"/>
  <c r="X254" i="47" s="1"/>
  <c r="X261" i="47" s="1"/>
  <c r="X253" i="47"/>
  <c r="X266" i="47" s="1"/>
  <c r="X41" i="47"/>
  <c r="X45" i="47" s="1"/>
  <c r="X49" i="47" s="1"/>
  <c r="F35" i="47"/>
  <c r="F41" i="47"/>
  <c r="F45" i="47" s="1"/>
  <c r="F49" i="47" s="1"/>
  <c r="AN35" i="47"/>
  <c r="AN20" i="65" s="1"/>
  <c r="AN41" i="47"/>
  <c r="T35" i="47"/>
  <c r="T20" i="65" s="1"/>
  <c r="T41" i="47"/>
  <c r="T83" i="47" s="1"/>
  <c r="Z11" i="51"/>
  <c r="U245" i="47"/>
  <c r="U237" i="47" s="1"/>
  <c r="AF245" i="47"/>
  <c r="Q245" i="47"/>
  <c r="Q246" i="47" s="1"/>
  <c r="AF178" i="47"/>
  <c r="AF179" i="47" s="1"/>
  <c r="U271" i="47"/>
  <c r="U61" i="51"/>
  <c r="V109" i="47"/>
  <c r="W25" i="47"/>
  <c r="W27" i="47" s="1"/>
  <c r="W34" i="47" s="1"/>
  <c r="W10" i="51"/>
  <c r="W11" i="51" s="1"/>
  <c r="I41" i="47"/>
  <c r="I82" i="47" s="1"/>
  <c r="J35" i="47"/>
  <c r="U35" i="47"/>
  <c r="U20" i="65" s="1"/>
  <c r="AA20" i="51"/>
  <c r="AA26" i="51" s="1"/>
  <c r="AA27" i="51" s="1"/>
  <c r="Y109" i="47"/>
  <c r="Y67" i="47"/>
  <c r="AF20" i="51"/>
  <c r="AF26" i="51" s="1"/>
  <c r="V11" i="51"/>
  <c r="L20" i="51"/>
  <c r="L26" i="51" s="1"/>
  <c r="X20" i="51"/>
  <c r="X26" i="51" s="1"/>
  <c r="AI245" i="47"/>
  <c r="AI246" i="47" s="1"/>
  <c r="AO79" i="46"/>
  <c r="AO81" i="46" s="1"/>
  <c r="AO61" i="51"/>
  <c r="V161" i="47"/>
  <c r="X161" i="47"/>
  <c r="S120" i="47"/>
  <c r="S121" i="47" s="1"/>
  <c r="M25" i="47"/>
  <c r="M27" i="47" s="1"/>
  <c r="M34" i="47" s="1"/>
  <c r="M10" i="51"/>
  <c r="M18" i="51" s="1"/>
  <c r="M20" i="51" s="1"/>
  <c r="AJ11" i="51"/>
  <c r="AM20" i="51"/>
  <c r="AM26" i="51" s="1"/>
  <c r="AM27" i="51" s="1"/>
  <c r="G20" i="51"/>
  <c r="G26" i="51" s="1"/>
  <c r="G30" i="51" s="1"/>
  <c r="G33" i="51" s="1"/>
  <c r="G37" i="51" s="1"/>
  <c r="Z20" i="51"/>
  <c r="Z26" i="51" s="1"/>
  <c r="AK20" i="51"/>
  <c r="AK26" i="51" s="1"/>
  <c r="AK27" i="51" s="1"/>
  <c r="Q85" i="47"/>
  <c r="O85" i="47"/>
  <c r="T20" i="51"/>
  <c r="T26" i="51" s="1"/>
  <c r="AC34" i="47"/>
  <c r="AL24" i="51"/>
  <c r="W271" i="47"/>
  <c r="W61" i="51"/>
  <c r="AH61" i="51"/>
  <c r="V271" i="47"/>
  <c r="V61" i="51"/>
  <c r="AM120" i="47"/>
  <c r="AM121" i="47" s="1"/>
  <c r="AG25" i="47"/>
  <c r="AG27" i="47" s="1"/>
  <c r="AG10" i="51"/>
  <c r="AG11" i="51" s="1"/>
  <c r="AH20" i="51"/>
  <c r="AH26" i="51" s="1"/>
  <c r="AH178" i="47"/>
  <c r="AH179" i="47" s="1"/>
  <c r="AG162" i="47"/>
  <c r="AE162" i="47"/>
  <c r="N11" i="51"/>
  <c r="R67" i="47"/>
  <c r="W67" i="47"/>
  <c r="I109" i="47"/>
  <c r="E34" i="47"/>
  <c r="BK173" i="47"/>
  <c r="BF177" i="47"/>
  <c r="BF172" i="47"/>
  <c r="AH207" i="47"/>
  <c r="BE176" i="47"/>
  <c r="BF176" i="47" s="1"/>
  <c r="BD178" i="47"/>
  <c r="BD179" i="47" s="1"/>
  <c r="BE173" i="47"/>
  <c r="BF173" i="47" s="1"/>
  <c r="BJ177" i="47"/>
  <c r="BK177" i="47" s="1"/>
  <c r="BJ174" i="47"/>
  <c r="BK174" i="47" s="1"/>
  <c r="X207" i="47"/>
  <c r="BI178" i="47"/>
  <c r="BI179" i="47" s="1"/>
  <c r="AM137" i="47"/>
  <c r="AM78" i="47" s="1"/>
  <c r="AM34" i="64" s="1"/>
  <c r="Y244" i="15"/>
  <c r="Z244" i="15" s="1"/>
  <c r="AA244" i="15" s="1"/>
  <c r="AD244" i="15" s="1"/>
  <c r="AE244" i="15" s="1"/>
  <c r="BC244" i="15"/>
  <c r="BD244" i="15" s="1"/>
  <c r="BE244" i="15" s="1"/>
  <c r="BF244" i="15" s="1"/>
  <c r="AS244" i="15"/>
  <c r="AT244" i="15" s="1"/>
  <c r="AU244" i="15" s="1"/>
  <c r="AU245" i="15" s="1"/>
  <c r="Y231" i="15"/>
  <c r="AM207" i="47"/>
  <c r="AL57" i="51"/>
  <c r="AM57" i="51" s="1"/>
  <c r="BG68" i="46"/>
  <c r="BO59" i="67"/>
  <c r="AR108" i="15"/>
  <c r="BE469" i="15"/>
  <c r="BF467" i="15"/>
  <c r="BF114" i="46" s="1"/>
  <c r="BI469" i="15"/>
  <c r="AZ467" i="15"/>
  <c r="X52" i="65"/>
  <c r="AH32" i="65"/>
  <c r="AH45" i="65" s="1"/>
  <c r="S32" i="65"/>
  <c r="S45" i="65" s="1"/>
  <c r="X32" i="65"/>
  <c r="X45" i="65" s="1"/>
  <c r="AM32" i="65"/>
  <c r="AM45" i="65" s="1"/>
  <c r="AC32" i="65"/>
  <c r="AC45" i="65" s="1"/>
  <c r="BE115" i="46"/>
  <c r="AN306" i="15"/>
  <c r="S54" i="65"/>
  <c r="AN85" i="15"/>
  <c r="N32" i="65"/>
  <c r="BB68" i="46"/>
  <c r="BB140" i="46"/>
  <c r="BB247" i="46" s="1"/>
  <c r="AN84" i="15"/>
  <c r="AN81" i="15"/>
  <c r="AN285" i="15" s="1"/>
  <c r="AN321" i="15"/>
  <c r="AR321" i="15" s="1"/>
  <c r="AN77" i="15"/>
  <c r="AN265" i="15" s="1"/>
  <c r="AN273" i="15" s="1"/>
  <c r="BO58" i="67"/>
  <c r="BO55" i="67"/>
  <c r="AW108" i="15"/>
  <c r="BX87" i="67"/>
  <c r="CC87" i="67" s="1"/>
  <c r="BX91" i="67"/>
  <c r="CC91" i="67" s="1"/>
  <c r="BW9" i="67"/>
  <c r="BG108" i="15"/>
  <c r="BX88" i="67"/>
  <c r="CC88" i="67" s="1"/>
  <c r="BO57" i="67"/>
  <c r="BO54" i="67"/>
  <c r="BE221" i="47"/>
  <c r="BA173" i="47"/>
  <c r="AP178" i="47"/>
  <c r="AP179" i="47" s="1"/>
  <c r="AY178" i="47"/>
  <c r="AY179" i="47" s="1"/>
  <c r="BA171" i="47"/>
  <c r="AW179" i="47"/>
  <c r="T81" i="15"/>
  <c r="T76" i="15"/>
  <c r="BN59" i="67"/>
  <c r="BN58" i="67"/>
  <c r="BN57" i="67"/>
  <c r="BN54" i="67"/>
  <c r="AT22" i="72"/>
  <c r="Z22" i="72"/>
  <c r="CB10" i="72"/>
  <c r="BW10" i="72"/>
  <c r="BG442" i="15"/>
  <c r="AF199" i="72"/>
  <c r="AF201" i="72" s="1"/>
  <c r="V199" i="72"/>
  <c r="V201" i="72" s="1"/>
  <c r="BD22" i="72"/>
  <c r="BE52" i="51" s="1"/>
  <c r="BE66" i="51" s="1"/>
  <c r="AJ22" i="72"/>
  <c r="P22" i="72"/>
  <c r="O199" i="72"/>
  <c r="O201" i="72" s="1"/>
  <c r="BZ10" i="72"/>
  <c r="CG10" i="72"/>
  <c r="BX73" i="67"/>
  <c r="BX54" i="67"/>
  <c r="CC40" i="67"/>
  <c r="BX70" i="67"/>
  <c r="BX51" i="67"/>
  <c r="CC37" i="67"/>
  <c r="BX69" i="67"/>
  <c r="BX50" i="67"/>
  <c r="CC36" i="67"/>
  <c r="BX72" i="67"/>
  <c r="BX53" i="67"/>
  <c r="CC39" i="67"/>
  <c r="BN84" i="67"/>
  <c r="BO84" i="67"/>
  <c r="BX199" i="72"/>
  <c r="U199" i="72"/>
  <c r="U201" i="72" s="1"/>
  <c r="BE177" i="72"/>
  <c r="BC177" i="72"/>
  <c r="BD177" i="72"/>
  <c r="BB177" i="72"/>
  <c r="CC44" i="72"/>
  <c r="Z26" i="72"/>
  <c r="X26" i="72"/>
  <c r="AA26" i="72"/>
  <c r="Y26" i="72"/>
  <c r="AT26" i="72"/>
  <c r="AR26" i="72"/>
  <c r="AU26" i="72"/>
  <c r="DQ26" i="72"/>
  <c r="DV26" i="72" s="1"/>
  <c r="DM26" i="72"/>
  <c r="DI26" i="72"/>
  <c r="DO26" i="72"/>
  <c r="DK26" i="72"/>
  <c r="DJ26" i="72"/>
  <c r="DP26" i="72"/>
  <c r="BF10" i="72"/>
  <c r="BA52" i="51"/>
  <c r="BA66" i="51" s="1"/>
  <c r="AV10" i="72"/>
  <c r="AL10" i="72"/>
  <c r="AB10" i="72"/>
  <c r="R10" i="72"/>
  <c r="L10" i="72"/>
  <c r="BR10" i="72"/>
  <c r="AE199" i="72"/>
  <c r="AE201" i="72" s="1"/>
  <c r="AN199" i="72"/>
  <c r="AD199" i="72"/>
  <c r="AD201" i="72" s="1"/>
  <c r="AG201" i="72"/>
  <c r="T199" i="72"/>
  <c r="T201" i="72" s="1"/>
  <c r="BS191" i="72"/>
  <c r="BX189" i="72"/>
  <c r="P26" i="72"/>
  <c r="N26" i="72"/>
  <c r="O26" i="72"/>
  <c r="Q26" i="72"/>
  <c r="AJ26" i="72"/>
  <c r="AH26" i="72"/>
  <c r="AI26" i="72"/>
  <c r="AK26" i="72"/>
  <c r="BD26" i="72"/>
  <c r="BB26" i="72"/>
  <c r="BC26" i="72"/>
  <c r="BE26" i="72"/>
  <c r="DH26" i="72"/>
  <c r="DN26" i="72"/>
  <c r="DJ27" i="72"/>
  <c r="DH27" i="72"/>
  <c r="DF27" i="72"/>
  <c r="DD27" i="72"/>
  <c r="CZ27" i="72"/>
  <c r="CX27" i="72"/>
  <c r="CV27" i="72"/>
  <c r="CT27" i="72"/>
  <c r="CP27" i="72"/>
  <c r="CN27" i="72"/>
  <c r="CL27" i="72"/>
  <c r="CJ27" i="72"/>
  <c r="CF27" i="72"/>
  <c r="CD27" i="72"/>
  <c r="CB27" i="72"/>
  <c r="BZ27" i="72"/>
  <c r="BV27" i="72"/>
  <c r="BT27" i="72"/>
  <c r="BR27" i="72"/>
  <c r="BS27" i="72" s="1"/>
  <c r="BF27" i="72"/>
  <c r="AV27" i="72"/>
  <c r="AL27" i="72"/>
  <c r="AB27" i="72"/>
  <c r="R27" i="72"/>
  <c r="L27" i="72"/>
  <c r="DI27" i="72"/>
  <c r="DE27" i="72"/>
  <c r="DA27" i="72"/>
  <c r="CS27" i="72"/>
  <c r="CO27" i="72"/>
  <c r="CK27" i="72"/>
  <c r="CG27" i="72"/>
  <c r="BY27" i="72"/>
  <c r="BU27" i="72"/>
  <c r="BK27" i="72"/>
  <c r="AQ27" i="72"/>
  <c r="W27" i="72"/>
  <c r="DK27" i="72"/>
  <c r="DC27" i="72"/>
  <c r="CY27" i="72"/>
  <c r="CU27" i="72"/>
  <c r="CQ27" i="72"/>
  <c r="CI27" i="72"/>
  <c r="CE27" i="72"/>
  <c r="CA27" i="72"/>
  <c r="BW27" i="72"/>
  <c r="BA27" i="72"/>
  <c r="AG27" i="72"/>
  <c r="M27" i="72"/>
  <c r="BC52" i="51"/>
  <c r="BS22" i="72"/>
  <c r="BX18" i="72"/>
  <c r="BH22" i="51"/>
  <c r="BG22" i="51"/>
  <c r="AY24" i="51"/>
  <c r="AY18" i="51"/>
  <c r="BH24" i="51"/>
  <c r="BM24" i="51" s="1"/>
  <c r="BC23" i="51"/>
  <c r="BC35" i="51"/>
  <c r="BB35" i="51"/>
  <c r="AX39" i="46"/>
  <c r="AO492" i="15"/>
  <c r="AO505" i="15" s="1"/>
  <c r="AI492" i="15"/>
  <c r="AI484" i="15" s="1"/>
  <c r="AI107" i="46"/>
  <c r="AI108" i="46" s="1"/>
  <c r="AE492" i="15"/>
  <c r="AE107" i="46"/>
  <c r="AE108" i="46" s="1"/>
  <c r="Y492" i="15"/>
  <c r="Y107" i="46"/>
  <c r="Y108" i="46" s="1"/>
  <c r="U492" i="15"/>
  <c r="U107" i="46"/>
  <c r="U108" i="46" s="1"/>
  <c r="AL492" i="15"/>
  <c r="AL107" i="46"/>
  <c r="AL108" i="46" s="1"/>
  <c r="AF492" i="15"/>
  <c r="AF107" i="46"/>
  <c r="AF108" i="46" s="1"/>
  <c r="AB492" i="15"/>
  <c r="AB107" i="46"/>
  <c r="AB108" i="46" s="1"/>
  <c r="V492" i="15"/>
  <c r="V107" i="46"/>
  <c r="V108" i="46" s="1"/>
  <c r="R492" i="15"/>
  <c r="R107" i="46"/>
  <c r="R108" i="46" s="1"/>
  <c r="I492" i="15"/>
  <c r="I107" i="46"/>
  <c r="I108" i="46" s="1"/>
  <c r="AH505" i="15"/>
  <c r="Q504" i="15"/>
  <c r="Q487" i="15"/>
  <c r="Q490" i="15"/>
  <c r="H490" i="15"/>
  <c r="H487" i="15"/>
  <c r="AM484" i="15"/>
  <c r="AM493" i="15"/>
  <c r="P504" i="15"/>
  <c r="P487" i="15"/>
  <c r="P505" i="15"/>
  <c r="M484" i="15"/>
  <c r="M493" i="15"/>
  <c r="AX385" i="15"/>
  <c r="AF354" i="15"/>
  <c r="AB343" i="15"/>
  <c r="AA346" i="15"/>
  <c r="AA157" i="15"/>
  <c r="AE290" i="15"/>
  <c r="AF290" i="15" s="1"/>
  <c r="AG290" i="15" s="1"/>
  <c r="Z372" i="15"/>
  <c r="Z163" i="15"/>
  <c r="BJ174" i="15"/>
  <c r="BI173" i="15"/>
  <c r="Z271" i="15"/>
  <c r="AA271" i="15"/>
  <c r="AB268" i="15"/>
  <c r="AA259" i="15"/>
  <c r="AA155" i="15"/>
  <c r="BE239" i="15"/>
  <c r="AS239" i="15"/>
  <c r="AF239" i="15"/>
  <c r="AV360" i="15"/>
  <c r="AW215" i="15"/>
  <c r="AA202" i="15"/>
  <c r="Z194" i="15"/>
  <c r="Z154" i="15" s="1"/>
  <c r="Z158" i="15" s="1"/>
  <c r="Z205" i="15"/>
  <c r="AH226" i="15"/>
  <c r="AH213" i="15"/>
  <c r="AG200" i="15"/>
  <c r="AH240" i="15"/>
  <c r="BB226" i="15"/>
  <c r="BB213" i="15"/>
  <c r="BA200" i="15"/>
  <c r="BB240" i="15"/>
  <c r="BI176" i="15"/>
  <c r="AY176" i="15"/>
  <c r="AO176" i="15"/>
  <c r="AY174" i="15"/>
  <c r="AX173" i="15"/>
  <c r="AX174" i="15" s="1"/>
  <c r="AO174" i="15"/>
  <c r="AN173" i="15"/>
  <c r="AN174" i="15" s="1"/>
  <c r="AE174" i="15"/>
  <c r="AD173" i="15"/>
  <c r="AD174" i="15" s="1"/>
  <c r="AC270" i="15"/>
  <c r="AD270" i="15" s="1"/>
  <c r="AH270" i="15" s="1"/>
  <c r="AI270" i="15" s="1"/>
  <c r="AK239" i="15"/>
  <c r="AE230" i="15"/>
  <c r="AJ230" i="15" s="1"/>
  <c r="AA230" i="15"/>
  <c r="AF376" i="15"/>
  <c r="AK103" i="15"/>
  <c r="BJ239" i="15"/>
  <c r="AF204" i="15"/>
  <c r="AK204" i="15" s="1"/>
  <c r="AB204" i="15"/>
  <c r="BF205" i="15"/>
  <c r="AE376" i="15"/>
  <c r="AJ103" i="15"/>
  <c r="BA67" i="15"/>
  <c r="BA65" i="15" s="1"/>
  <c r="AZ65" i="15"/>
  <c r="AV67" i="15"/>
  <c r="AV65" i="15" s="1"/>
  <c r="AQ67" i="15"/>
  <c r="AQ65" i="15" s="1"/>
  <c r="AL67" i="15"/>
  <c r="AL65" i="15" s="1"/>
  <c r="AK65" i="15"/>
  <c r="AG67" i="15"/>
  <c r="AG65" i="15" s="1"/>
  <c r="AF65" i="15"/>
  <c r="AL398" i="15"/>
  <c r="BG321" i="15"/>
  <c r="AW321" i="15"/>
  <c r="AY23" i="46"/>
  <c r="AC26" i="15"/>
  <c r="AC21" i="65" s="1"/>
  <c r="AC30" i="15"/>
  <c r="V436" i="15"/>
  <c r="V33" i="15"/>
  <c r="V37" i="15" s="1"/>
  <c r="T21" i="65"/>
  <c r="Q436" i="15"/>
  <c r="Q33" i="15"/>
  <c r="Q37" i="15" s="1"/>
  <c r="L436" i="15"/>
  <c r="L33" i="15"/>
  <c r="L37" i="15" s="1"/>
  <c r="AK21" i="65"/>
  <c r="AI436" i="15"/>
  <c r="AI33" i="15"/>
  <c r="AI37" i="15" s="1"/>
  <c r="AF21" i="65"/>
  <c r="AD436" i="15"/>
  <c r="AD33" i="15"/>
  <c r="AD37" i="15" s="1"/>
  <c r="Y436" i="15"/>
  <c r="Y33" i="15"/>
  <c r="Y37" i="15" s="1"/>
  <c r="U436" i="15"/>
  <c r="U33" i="15"/>
  <c r="U37" i="15" s="1"/>
  <c r="S33" i="15"/>
  <c r="S37" i="15" s="1"/>
  <c r="AE436" i="15"/>
  <c r="AE33" i="15"/>
  <c r="AE37" i="15" s="1"/>
  <c r="AK492" i="15"/>
  <c r="AK505" i="15" s="1"/>
  <c r="AK107" i="46"/>
  <c r="AK108" i="46" s="1"/>
  <c r="AG492" i="15"/>
  <c r="AG505" i="15" s="1"/>
  <c r="AG107" i="46"/>
  <c r="AG108" i="46" s="1"/>
  <c r="AA492" i="15"/>
  <c r="AA505" i="15" s="1"/>
  <c r="AA107" i="46"/>
  <c r="AA108" i="46" s="1"/>
  <c r="W492" i="15"/>
  <c r="W505" i="15" s="1"/>
  <c r="W107" i="46"/>
  <c r="W108" i="46" s="1"/>
  <c r="K504" i="15"/>
  <c r="K487" i="15"/>
  <c r="K490" i="15"/>
  <c r="G487" i="15"/>
  <c r="G490" i="15"/>
  <c r="E487" i="15"/>
  <c r="E490" i="15"/>
  <c r="AN492" i="15"/>
  <c r="AN493" i="15" s="1"/>
  <c r="AN107" i="46"/>
  <c r="AN108" i="46" s="1"/>
  <c r="AJ492" i="15"/>
  <c r="AJ493" i="15" s="1"/>
  <c r="AJ107" i="46"/>
  <c r="AD492" i="15"/>
  <c r="AD493" i="15" s="1"/>
  <c r="AD107" i="46"/>
  <c r="AD108" i="46" s="1"/>
  <c r="Z492" i="15"/>
  <c r="Z493" i="15" s="1"/>
  <c r="Z107" i="46"/>
  <c r="Z108" i="46" s="1"/>
  <c r="T492" i="15"/>
  <c r="T493" i="15" s="1"/>
  <c r="T107" i="46"/>
  <c r="T108" i="46" s="1"/>
  <c r="L504" i="15"/>
  <c r="L490" i="15"/>
  <c r="L487" i="15"/>
  <c r="L505" i="15"/>
  <c r="J504" i="15"/>
  <c r="J490" i="15"/>
  <c r="J487" i="15"/>
  <c r="J505" i="15"/>
  <c r="F490" i="15"/>
  <c r="F487" i="15"/>
  <c r="N492" i="15"/>
  <c r="N493" i="15" s="1"/>
  <c r="N107" i="46"/>
  <c r="AH484" i="15"/>
  <c r="AH493" i="15"/>
  <c r="Q484" i="15"/>
  <c r="Q493" i="15"/>
  <c r="Q505" i="15"/>
  <c r="O504" i="15"/>
  <c r="O487" i="15"/>
  <c r="O490" i="15"/>
  <c r="H484" i="15"/>
  <c r="H493" i="15"/>
  <c r="X490" i="15"/>
  <c r="P493" i="15"/>
  <c r="M504" i="15"/>
  <c r="M487" i="15"/>
  <c r="M490" i="15"/>
  <c r="AX424" i="15"/>
  <c r="AY424" i="15" s="1"/>
  <c r="AZ424" i="15" s="1"/>
  <c r="BA424" i="15" s="1"/>
  <c r="AX422" i="15"/>
  <c r="AY422" i="15" s="1"/>
  <c r="AZ422" i="15" s="1"/>
  <c r="BA422" i="15" s="1"/>
  <c r="Y348" i="15"/>
  <c r="Y150" i="15"/>
  <c r="Y143" i="15"/>
  <c r="Z353" i="15"/>
  <c r="Y354" i="15"/>
  <c r="Y353" i="15" s="1"/>
  <c r="AR342" i="15"/>
  <c r="AL342" i="15"/>
  <c r="AK342" i="15" s="1"/>
  <c r="AJ342" i="15" s="1"/>
  <c r="AI342" i="15" s="1"/>
  <c r="AR354" i="15"/>
  <c r="AL354" i="15"/>
  <c r="Z348" i="15"/>
  <c r="Z350" i="15" s="1"/>
  <c r="Z150" i="15"/>
  <c r="Z143" i="15"/>
  <c r="AB308" i="15"/>
  <c r="AB288" i="15"/>
  <c r="AA291" i="15"/>
  <c r="AA165" i="15"/>
  <c r="AO372" i="15"/>
  <c r="AO163" i="15"/>
  <c r="Z176" i="15"/>
  <c r="AB323" i="15"/>
  <c r="AA156" i="15"/>
  <c r="Y372" i="15"/>
  <c r="Y163" i="15"/>
  <c r="Y166" i="15" s="1"/>
  <c r="Z375" i="15"/>
  <c r="AA242" i="15"/>
  <c r="AX239" i="15"/>
  <c r="AN239" i="15"/>
  <c r="Y239" i="15"/>
  <c r="AZ217" i="15"/>
  <c r="BE217" i="15" s="1"/>
  <c r="BJ217" i="15" s="1"/>
  <c r="BO217" i="15" s="1"/>
  <c r="AV217" i="15"/>
  <c r="AV218" i="15" s="1"/>
  <c r="AE217" i="15"/>
  <c r="AJ217" i="15" s="1"/>
  <c r="AA217" i="15"/>
  <c r="AQ205" i="15"/>
  <c r="AB226" i="15"/>
  <c r="AB213" i="15"/>
  <c r="AA200" i="15"/>
  <c r="AB240" i="15"/>
  <c r="AV226" i="15"/>
  <c r="AV213" i="15"/>
  <c r="AT200" i="15"/>
  <c r="AV240" i="15"/>
  <c r="AD176" i="15"/>
  <c r="AS173" i="15"/>
  <c r="AS174" i="15" s="1"/>
  <c r="Y173" i="15"/>
  <c r="Z174" i="15"/>
  <c r="BI205" i="15"/>
  <c r="BJ202" i="15"/>
  <c r="AD376" i="15"/>
  <c r="AH103" i="15"/>
  <c r="AH376" i="15" s="1"/>
  <c r="AI103" i="15"/>
  <c r="AQ276" i="15"/>
  <c r="AR268" i="15"/>
  <c r="AG376" i="15"/>
  <c r="AL103" i="15"/>
  <c r="AX265" i="15"/>
  <c r="AY306" i="15"/>
  <c r="AY286" i="15"/>
  <c r="AY266" i="15"/>
  <c r="AY85" i="15"/>
  <c r="AY80" i="15"/>
  <c r="AY77" i="15"/>
  <c r="AY265" i="15" s="1"/>
  <c r="AY84" i="15"/>
  <c r="AY81" i="15"/>
  <c r="AY76" i="15"/>
  <c r="AO306" i="15"/>
  <c r="AO286" i="15"/>
  <c r="AO266" i="15"/>
  <c r="AO85" i="15"/>
  <c r="AO80" i="15"/>
  <c r="AO77" i="15"/>
  <c r="AO265" i="15" s="1"/>
  <c r="AO84" i="15"/>
  <c r="AO81" i="15"/>
  <c r="AO76" i="15"/>
  <c r="AJ306" i="15"/>
  <c r="AJ286" i="15"/>
  <c r="AJ266" i="15"/>
  <c r="AJ84" i="15"/>
  <c r="AJ81" i="15"/>
  <c r="AJ76" i="15"/>
  <c r="AJ85" i="15"/>
  <c r="AJ80" i="15"/>
  <c r="AJ77" i="15"/>
  <c r="AJ265" i="15" s="1"/>
  <c r="AE306" i="15"/>
  <c r="AE286" i="15"/>
  <c r="AE266" i="15"/>
  <c r="AE85" i="15"/>
  <c r="AE80" i="15"/>
  <c r="AE77" i="15"/>
  <c r="AE265" i="15" s="1"/>
  <c r="AE84" i="15"/>
  <c r="AE81" i="15"/>
  <c r="AE76" i="15"/>
  <c r="BB22" i="15"/>
  <c r="AX23" i="46"/>
  <c r="R427" i="15"/>
  <c r="BB321" i="15"/>
  <c r="AM26" i="15"/>
  <c r="AM21" i="65" s="1"/>
  <c r="AM30" i="15"/>
  <c r="AG18" i="15"/>
  <c r="AG20" i="15" s="1"/>
  <c r="AG25" i="15" s="1"/>
  <c r="AG11" i="15"/>
  <c r="V21" i="65"/>
  <c r="O436" i="15"/>
  <c r="O33" i="15"/>
  <c r="O37" i="15" s="1"/>
  <c r="R511" i="15"/>
  <c r="S498" i="15"/>
  <c r="S511" i="15" s="1"/>
  <c r="J436" i="15"/>
  <c r="J33" i="15"/>
  <c r="J37" i="15" s="1"/>
  <c r="G436" i="15"/>
  <c r="G33" i="15"/>
  <c r="G37" i="15" s="1"/>
  <c r="AN21" i="65"/>
  <c r="AI21" i="65"/>
  <c r="AD21" i="65"/>
  <c r="AA436" i="15"/>
  <c r="AA33" i="15"/>
  <c r="AA37" i="15" s="1"/>
  <c r="Y21" i="65"/>
  <c r="V498" i="15"/>
  <c r="V511" i="15" s="1"/>
  <c r="R30" i="15"/>
  <c r="R26" i="15"/>
  <c r="V499" i="15" s="1"/>
  <c r="V506" i="15" s="1"/>
  <c r="X436" i="15"/>
  <c r="X33" i="15"/>
  <c r="X37" i="15" s="1"/>
  <c r="P436" i="15"/>
  <c r="P33" i="15"/>
  <c r="P37" i="15" s="1"/>
  <c r="N436" i="15"/>
  <c r="N33" i="15"/>
  <c r="N37" i="15" s="1"/>
  <c r="K436" i="15"/>
  <c r="K33" i="15"/>
  <c r="K37" i="15" s="1"/>
  <c r="I436" i="15"/>
  <c r="I33" i="15"/>
  <c r="I37" i="15" s="1"/>
  <c r="AJ436" i="15"/>
  <c r="AJ33" i="15"/>
  <c r="AJ37" i="15" s="1"/>
  <c r="Z436" i="15"/>
  <c r="Z33" i="15"/>
  <c r="Z37" i="15" s="1"/>
  <c r="AL213" i="47"/>
  <c r="AL61" i="51" s="1"/>
  <c r="X67" i="47"/>
  <c r="X33" i="64" s="1"/>
  <c r="AC67" i="47"/>
  <c r="AC33" i="64" s="1"/>
  <c r="X109" i="47"/>
  <c r="BB292" i="47"/>
  <c r="O237" i="47"/>
  <c r="X245" i="47"/>
  <c r="X260" i="47" s="1"/>
  <c r="X106" i="46"/>
  <c r="BD215" i="47"/>
  <c r="BJ214" i="47"/>
  <c r="BK214" i="47" s="1"/>
  <c r="BK215" i="47" s="1"/>
  <c r="BJ210" i="47"/>
  <c r="BJ128" i="46" s="1"/>
  <c r="AZ210" i="47"/>
  <c r="AZ128" i="46" s="1"/>
  <c r="N245" i="47"/>
  <c r="N260" i="47" s="1"/>
  <c r="N106" i="46"/>
  <c r="BF214" i="47"/>
  <c r="BF215" i="47" s="1"/>
  <c r="BA214" i="47"/>
  <c r="BA215" i="47" s="1"/>
  <c r="AM236" i="47"/>
  <c r="AG172" i="47"/>
  <c r="M172" i="47"/>
  <c r="BE210" i="47"/>
  <c r="BE128" i="46" s="1"/>
  <c r="BA177" i="47"/>
  <c r="BA176" i="47"/>
  <c r="BA175" i="47"/>
  <c r="AV177" i="47"/>
  <c r="AV176" i="47"/>
  <c r="AV175" i="47"/>
  <c r="AV174" i="47"/>
  <c r="AV173" i="47"/>
  <c r="Z168" i="47"/>
  <c r="Z178" i="47" s="1"/>
  <c r="Z179" i="47" s="1"/>
  <c r="P168" i="47"/>
  <c r="P178" i="47" s="1"/>
  <c r="AO271" i="47"/>
  <c r="AG271" i="47"/>
  <c r="AG79" i="46"/>
  <c r="AB271" i="47"/>
  <c r="AB79" i="46"/>
  <c r="AQ174" i="47"/>
  <c r="AQ178" i="47" s="1"/>
  <c r="AQ179" i="47" s="1"/>
  <c r="BJ171" i="47"/>
  <c r="AL171" i="47"/>
  <c r="L178" i="47"/>
  <c r="M178" i="47" s="1"/>
  <c r="BK271" i="47"/>
  <c r="BK79" i="46"/>
  <c r="BI271" i="47"/>
  <c r="BI215" i="47"/>
  <c r="BI79" i="46"/>
  <c r="BA271" i="47"/>
  <c r="BA79" i="46"/>
  <c r="AY271" i="47"/>
  <c r="AY215" i="47"/>
  <c r="AY79" i="46"/>
  <c r="AM161" i="47"/>
  <c r="AY146" i="47"/>
  <c r="K179" i="47"/>
  <c r="BJ271" i="47"/>
  <c r="BJ79" i="46"/>
  <c r="BE271" i="47"/>
  <c r="BE215" i="47"/>
  <c r="BE79" i="46"/>
  <c r="BC271" i="47"/>
  <c r="BG213" i="47"/>
  <c r="BC215" i="47"/>
  <c r="BC79" i="46"/>
  <c r="AZ271" i="47"/>
  <c r="AZ215" i="47"/>
  <c r="AZ79" i="46"/>
  <c r="AX271" i="47"/>
  <c r="AX215" i="47"/>
  <c r="BB213" i="47"/>
  <c r="AX79" i="46"/>
  <c r="AS271" i="47"/>
  <c r="AW213" i="47"/>
  <c r="AQ271" i="47"/>
  <c r="AC161" i="47"/>
  <c r="AI213" i="47"/>
  <c r="AI61" i="51" s="1"/>
  <c r="AH154" i="47"/>
  <c r="AI161" i="47" s="1"/>
  <c r="Y213" i="47"/>
  <c r="Y61" i="51" s="1"/>
  <c r="X154" i="47"/>
  <c r="Y161" i="47" s="1"/>
  <c r="O213" i="47"/>
  <c r="N154" i="47"/>
  <c r="O161" i="47" s="1"/>
  <c r="AX131" i="47"/>
  <c r="AY131" i="47"/>
  <c r="AY121" i="47"/>
  <c r="BD113" i="47"/>
  <c r="AY115" i="47"/>
  <c r="P161" i="47"/>
  <c r="AX121" i="47"/>
  <c r="AI67" i="47"/>
  <c r="AD67" i="47"/>
  <c r="AA67" i="47"/>
  <c r="V67" i="47"/>
  <c r="AD109" i="47"/>
  <c r="I99" i="47"/>
  <c r="BH47" i="47"/>
  <c r="BM47" i="47" s="1"/>
  <c r="BH31" i="47"/>
  <c r="BM31" i="47" s="1"/>
  <c r="BH24" i="47"/>
  <c r="BM24" i="47" s="1"/>
  <c r="BM17" i="46" s="1"/>
  <c r="BC17" i="46"/>
  <c r="AG17" i="47"/>
  <c r="M17" i="47"/>
  <c r="AM67" i="47"/>
  <c r="AM33" i="64" s="1"/>
  <c r="AX115" i="47"/>
  <c r="BC113" i="47"/>
  <c r="AI82" i="47"/>
  <c r="AI83" i="47"/>
  <c r="AI45" i="47"/>
  <c r="AI49" i="47" s="1"/>
  <c r="AB27" i="47"/>
  <c r="AB34" i="47" s="1"/>
  <c r="AB17" i="47"/>
  <c r="H27" i="47"/>
  <c r="H34" i="47" s="1"/>
  <c r="H17" i="47"/>
  <c r="BA117" i="47"/>
  <c r="AL32" i="47"/>
  <c r="AE82" i="47"/>
  <c r="AE83" i="47"/>
  <c r="AE45" i="47"/>
  <c r="AE49" i="47" s="1"/>
  <c r="U82" i="47"/>
  <c r="U83" i="47"/>
  <c r="U45" i="47"/>
  <c r="U49" i="47" s="1"/>
  <c r="Q82" i="47"/>
  <c r="Q83" i="47"/>
  <c r="Q45" i="47"/>
  <c r="Q49" i="47" s="1"/>
  <c r="K82" i="47"/>
  <c r="K83" i="47"/>
  <c r="K45" i="47"/>
  <c r="K49" i="47" s="1"/>
  <c r="O240" i="47"/>
  <c r="O243" i="47"/>
  <c r="H243" i="47"/>
  <c r="H240" i="47"/>
  <c r="H237" i="47"/>
  <c r="S236" i="47"/>
  <c r="AC245" i="47"/>
  <c r="AC243" i="47" s="1"/>
  <c r="AC301" i="47" s="1"/>
  <c r="AC37" i="64" s="1"/>
  <c r="AC106" i="46"/>
  <c r="G178" i="47"/>
  <c r="H178" i="47" s="1"/>
  <c r="AJ271" i="47"/>
  <c r="AJ79" i="46"/>
  <c r="AJ81" i="46" s="1"/>
  <c r="AE271" i="47"/>
  <c r="AE79" i="46"/>
  <c r="AE81" i="46" s="1"/>
  <c r="Z271" i="47"/>
  <c r="Z79" i="46"/>
  <c r="Z81" i="46" s="1"/>
  <c r="AZ174" i="47"/>
  <c r="BA174" i="47" s="1"/>
  <c r="AK178" i="47"/>
  <c r="AK179" i="47" s="1"/>
  <c r="AX144" i="47"/>
  <c r="BC146" i="47"/>
  <c r="AN142" i="47"/>
  <c r="AN79" i="47" s="1"/>
  <c r="H171" i="47"/>
  <c r="AC179" i="47"/>
  <c r="BA161" i="47"/>
  <c r="AN271" i="47"/>
  <c r="AN79" i="46"/>
  <c r="AN81" i="46" s="1"/>
  <c r="AF271" i="47"/>
  <c r="AF79" i="46"/>
  <c r="AD271" i="47"/>
  <c r="AH213" i="47"/>
  <c r="AH79" i="46" s="1"/>
  <c r="AD79" i="46"/>
  <c r="AD81" i="46" s="1"/>
  <c r="T271" i="47"/>
  <c r="X213" i="47"/>
  <c r="X79" i="46" s="1"/>
  <c r="X81" i="46" s="1"/>
  <c r="AX117" i="47"/>
  <c r="BC157" i="47"/>
  <c r="BD157" i="47" s="1"/>
  <c r="BE157" i="47" s="1"/>
  <c r="BF157" i="47" s="1"/>
  <c r="BB157" i="47"/>
  <c r="AZ113" i="47"/>
  <c r="AL272" i="47"/>
  <c r="AM272" i="47" s="1"/>
  <c r="AL161" i="47"/>
  <c r="AG272" i="47"/>
  <c r="AH272" i="47" s="1"/>
  <c r="AG161" i="47"/>
  <c r="AB272" i="47"/>
  <c r="AC272" i="47" s="1"/>
  <c r="AB161" i="47"/>
  <c r="W272" i="47"/>
  <c r="X272" i="47" s="1"/>
  <c r="W161" i="47"/>
  <c r="R161" i="47"/>
  <c r="M161" i="47"/>
  <c r="BD141" i="47"/>
  <c r="AY139" i="47"/>
  <c r="AY21" i="47" s="1"/>
  <c r="AH109" i="47"/>
  <c r="AZ47" i="47"/>
  <c r="AZ31" i="47"/>
  <c r="W17" i="47"/>
  <c r="Y82" i="47"/>
  <c r="Y83" i="47"/>
  <c r="Y45" i="47"/>
  <c r="Y49" i="47" s="1"/>
  <c r="J83" i="47"/>
  <c r="J82" i="47"/>
  <c r="J45" i="47"/>
  <c r="J49" i="47" s="1"/>
  <c r="BA113" i="47"/>
  <c r="AL27" i="47"/>
  <c r="AL17" i="47"/>
  <c r="R27" i="47"/>
  <c r="R34" i="47" s="1"/>
  <c r="R17" i="47"/>
  <c r="CD11" i="65"/>
  <c r="CD12" i="65" s="1"/>
  <c r="S205" i="46"/>
  <c r="S226" i="46" s="1"/>
  <c r="CX34" i="65"/>
  <c r="CS34" i="65"/>
  <c r="AP37" i="65"/>
  <c r="AL27" i="46"/>
  <c r="BY34" i="65"/>
  <c r="BY32" i="65" s="1"/>
  <c r="BY42" i="65" s="1"/>
  <c r="BY44" i="65" s="1"/>
  <c r="AB27" i="46"/>
  <c r="AN209" i="46"/>
  <c r="AL211" i="46"/>
  <c r="AL195" i="46"/>
  <c r="AL197" i="46" s="1"/>
  <c r="AM193" i="46"/>
  <c r="CS14" i="65"/>
  <c r="AX183" i="46"/>
  <c r="AY183" i="46" s="1"/>
  <c r="AZ183" i="46" s="1"/>
  <c r="BA183" i="46" s="1"/>
  <c r="X211" i="46"/>
  <c r="X195" i="46"/>
  <c r="S211" i="46"/>
  <c r="AX186" i="46"/>
  <c r="AY186" i="46" s="1"/>
  <c r="AZ186" i="46" s="1"/>
  <c r="BA186" i="46" s="1"/>
  <c r="N171" i="46"/>
  <c r="X248" i="46"/>
  <c r="CI47" i="65"/>
  <c r="AM247" i="46"/>
  <c r="AM68" i="46"/>
  <c r="CX51" i="65"/>
  <c r="AH134" i="46"/>
  <c r="CS46" i="65"/>
  <c r="BC170" i="46"/>
  <c r="BD170" i="46" s="1"/>
  <c r="BE170" i="46" s="1"/>
  <c r="BF170" i="46" s="1"/>
  <c r="BB170" i="46"/>
  <c r="AX169" i="46"/>
  <c r="AY169" i="46" s="1"/>
  <c r="AZ169" i="46" s="1"/>
  <c r="BA169" i="46" s="1"/>
  <c r="AN197" i="46"/>
  <c r="Y197" i="46"/>
  <c r="T197" i="46"/>
  <c r="M197" i="46"/>
  <c r="I247" i="46"/>
  <c r="I68" i="46"/>
  <c r="AH143" i="46"/>
  <c r="AC248" i="46"/>
  <c r="CN47" i="65"/>
  <c r="N143" i="46"/>
  <c r="AQ31" i="65"/>
  <c r="G147" i="46"/>
  <c r="BH96" i="46"/>
  <c r="AX96" i="46"/>
  <c r="AP31" i="65"/>
  <c r="S143" i="46"/>
  <c r="AC134" i="46"/>
  <c r="N134" i="46"/>
  <c r="AI147" i="46"/>
  <c r="AH221" i="46"/>
  <c r="AH240" i="46" s="1"/>
  <c r="CS27" i="65" s="1"/>
  <c r="AH34" i="46"/>
  <c r="AH28" i="46"/>
  <c r="AH222" i="46" s="1"/>
  <c r="AO37" i="46"/>
  <c r="AO41" i="46" s="1"/>
  <c r="V99" i="46"/>
  <c r="V100" i="46"/>
  <c r="V37" i="46"/>
  <c r="V41" i="46" s="1"/>
  <c r="T99" i="46"/>
  <c r="T100" i="46"/>
  <c r="T37" i="46"/>
  <c r="T41" i="46" s="1"/>
  <c r="J99" i="46"/>
  <c r="J100" i="46"/>
  <c r="J37" i="46"/>
  <c r="J41" i="46" s="1"/>
  <c r="Y100" i="46"/>
  <c r="Y99" i="46"/>
  <c r="Y37" i="46"/>
  <c r="Y41" i="46" s="1"/>
  <c r="M27" i="46"/>
  <c r="CI14" i="65"/>
  <c r="AH211" i="46"/>
  <c r="AH195" i="46"/>
  <c r="AC211" i="46"/>
  <c r="AC195" i="46"/>
  <c r="N211" i="46"/>
  <c r="N195" i="46"/>
  <c r="I211" i="46"/>
  <c r="I195" i="46"/>
  <c r="S201" i="46"/>
  <c r="S159" i="46"/>
  <c r="S171" i="46" s="1"/>
  <c r="CD8" i="65"/>
  <c r="N247" i="46"/>
  <c r="N68" i="46"/>
  <c r="BY51" i="65"/>
  <c r="AH248" i="46"/>
  <c r="AH118" i="46"/>
  <c r="CS47" i="65"/>
  <c r="X134" i="46"/>
  <c r="CI46" i="65"/>
  <c r="AA197" i="46"/>
  <c r="V197" i="46"/>
  <c r="P197" i="46"/>
  <c r="K197" i="46"/>
  <c r="AM248" i="46"/>
  <c r="AM118" i="46"/>
  <c r="CX47" i="65"/>
  <c r="AC143" i="46"/>
  <c r="X143" i="46"/>
  <c r="S247" i="46"/>
  <c r="S68" i="46"/>
  <c r="CD51" i="65"/>
  <c r="Z147" i="46"/>
  <c r="Y147" i="46"/>
  <c r="J147" i="46"/>
  <c r="BC247" i="46"/>
  <c r="BG140" i="46"/>
  <c r="BC115" i="46"/>
  <c r="AM134" i="46"/>
  <c r="S134" i="46"/>
  <c r="AD147" i="46"/>
  <c r="BC96" i="46"/>
  <c r="BB115" i="46"/>
  <c r="AQ36" i="65"/>
  <c r="AP36" i="65"/>
  <c r="X99" i="46"/>
  <c r="X100" i="46"/>
  <c r="X37" i="46"/>
  <c r="X41" i="46" s="1"/>
  <c r="U100" i="46"/>
  <c r="U99" i="46"/>
  <c r="U37" i="46"/>
  <c r="U41" i="46" s="1"/>
  <c r="S100" i="46"/>
  <c r="S99" i="46"/>
  <c r="S37" i="46"/>
  <c r="S41" i="46" s="1"/>
  <c r="P99" i="46"/>
  <c r="P100" i="46"/>
  <c r="P37" i="46"/>
  <c r="P41" i="46" s="1"/>
  <c r="F99" i="46"/>
  <c r="F100" i="46"/>
  <c r="F37" i="46"/>
  <c r="F41" i="46" s="1"/>
  <c r="AE100" i="46"/>
  <c r="AE99" i="46"/>
  <c r="AE37" i="46"/>
  <c r="AE41" i="46" s="1"/>
  <c r="AC100" i="46"/>
  <c r="AC99" i="46"/>
  <c r="AC37" i="46"/>
  <c r="AC41" i="46" s="1"/>
  <c r="Z99" i="46"/>
  <c r="Z100" i="46"/>
  <c r="Z37" i="46"/>
  <c r="Z41" i="46" s="1"/>
  <c r="W46" i="46"/>
  <c r="Q100" i="46"/>
  <c r="Q99" i="46"/>
  <c r="Q37" i="46"/>
  <c r="Q41" i="46" s="1"/>
  <c r="O100" i="46"/>
  <c r="O99" i="46"/>
  <c r="O37" i="46"/>
  <c r="O41" i="46" s="1"/>
  <c r="AF99" i="46"/>
  <c r="AF100" i="46"/>
  <c r="AF37" i="46"/>
  <c r="AF41" i="46" s="1"/>
  <c r="AD99" i="46"/>
  <c r="AD100" i="46"/>
  <c r="AD37" i="46"/>
  <c r="AD41" i="46" s="1"/>
  <c r="R27" i="46"/>
  <c r="H27" i="46"/>
  <c r="AU296" i="15" l="1"/>
  <c r="AU297" i="15"/>
  <c r="AU300" i="15" s="1"/>
  <c r="AU299" i="15"/>
  <c r="AU325" i="15"/>
  <c r="AU326" i="15" s="1"/>
  <c r="AU332" i="15" s="1"/>
  <c r="AU335" i="15" s="1"/>
  <c r="AU207" i="15"/>
  <c r="AU209" i="15" s="1"/>
  <c r="AU179" i="15"/>
  <c r="AU310" i="15"/>
  <c r="AU311" i="15" s="1"/>
  <c r="AU314" i="15" s="1"/>
  <c r="AU142" i="15"/>
  <c r="AU248" i="15"/>
  <c r="AU247" i="15"/>
  <c r="AU249" i="15" s="1"/>
  <c r="AU234" i="15"/>
  <c r="AU139" i="15"/>
  <c r="AU233" i="15"/>
  <c r="AU195" i="15"/>
  <c r="Z178" i="72"/>
  <c r="W212" i="46"/>
  <c r="BH215" i="47"/>
  <c r="BH79" i="46"/>
  <c r="N100" i="46"/>
  <c r="AM99" i="46"/>
  <c r="DT8" i="64" s="1"/>
  <c r="DT10" i="64" s="1"/>
  <c r="DT15" i="64" s="1"/>
  <c r="M243" i="47"/>
  <c r="N99" i="46"/>
  <c r="W209" i="46"/>
  <c r="AM100" i="46"/>
  <c r="AI206" i="46"/>
  <c r="W206" i="46"/>
  <c r="BH271" i="47"/>
  <c r="X505" i="15"/>
  <c r="X487" i="15"/>
  <c r="Y178" i="72"/>
  <c r="AI212" i="46"/>
  <c r="AM37" i="46"/>
  <c r="AM41" i="46" s="1"/>
  <c r="AM43" i="46" s="1"/>
  <c r="AO209" i="46"/>
  <c r="M240" i="47"/>
  <c r="X178" i="72"/>
  <c r="AL30" i="15"/>
  <c r="AL33" i="15" s="1"/>
  <c r="AL37" i="15" s="1"/>
  <c r="AB77" i="15"/>
  <c r="AB265" i="15" s="1"/>
  <c r="AB273" i="15" s="1"/>
  <c r="AB274" i="15" s="1"/>
  <c r="AP498" i="15"/>
  <c r="AP511" i="15" s="1"/>
  <c r="AB30" i="15"/>
  <c r="AI37" i="46"/>
  <c r="AI41" i="46" s="1"/>
  <c r="AI49" i="46" s="1"/>
  <c r="P212" i="46"/>
  <c r="Y212" i="46"/>
  <c r="Y206" i="46"/>
  <c r="S178" i="72"/>
  <c r="CE30" i="72"/>
  <c r="CE32" i="72" s="1"/>
  <c r="CG30" i="72"/>
  <c r="CG32" i="72" s="1"/>
  <c r="BZ30" i="72"/>
  <c r="BZ32" i="72" s="1"/>
  <c r="X484" i="15"/>
  <c r="AO498" i="15"/>
  <c r="AO511" i="15" s="1"/>
  <c r="G37" i="46"/>
  <c r="G41" i="46" s="1"/>
  <c r="G49" i="46" s="1"/>
  <c r="AE209" i="46"/>
  <c r="O178" i="72"/>
  <c r="G99" i="46"/>
  <c r="P209" i="46"/>
  <c r="AC178" i="72"/>
  <c r="AM147" i="46"/>
  <c r="Y209" i="46"/>
  <c r="AD237" i="47"/>
  <c r="N233" i="46"/>
  <c r="N226" i="46"/>
  <c r="N234" i="46" s="1"/>
  <c r="X109" i="46"/>
  <c r="X108" i="46" s="1"/>
  <c r="X226" i="46"/>
  <c r="AH109" i="46"/>
  <c r="AH226" i="46"/>
  <c r="AC231" i="46"/>
  <c r="CN22" i="65" s="1"/>
  <c r="AC226" i="46"/>
  <c r="CI34" i="65"/>
  <c r="CI32" i="65" s="1"/>
  <c r="CI42" i="65" s="1"/>
  <c r="CI44" i="65" s="1"/>
  <c r="CI48" i="65" s="1"/>
  <c r="CI56" i="65" s="1"/>
  <c r="X220" i="46"/>
  <c r="CN34" i="65"/>
  <c r="CN32" i="65" s="1"/>
  <c r="AC220" i="46"/>
  <c r="AC234" i="46" s="1"/>
  <c r="CD34" i="65"/>
  <c r="CD32" i="65" s="1"/>
  <c r="CD42" i="65" s="1"/>
  <c r="CD44" i="65" s="1"/>
  <c r="S220" i="46"/>
  <c r="S234" i="46" s="1"/>
  <c r="AB240" i="47"/>
  <c r="AH41" i="47"/>
  <c r="AH83" i="47" s="1"/>
  <c r="L206" i="46"/>
  <c r="O45" i="47"/>
  <c r="O49" i="47" s="1"/>
  <c r="O56" i="47" s="1"/>
  <c r="Z206" i="46"/>
  <c r="E37" i="46"/>
  <c r="E41" i="46" s="1"/>
  <c r="E43" i="46" s="1"/>
  <c r="E50" i="46" s="1"/>
  <c r="AO33" i="15"/>
  <c r="AO37" i="15" s="1"/>
  <c r="AO44" i="15" s="1"/>
  <c r="AD240" i="47"/>
  <c r="V209" i="46"/>
  <c r="AO45" i="47"/>
  <c r="AO49" i="47" s="1"/>
  <c r="AO51" i="47" s="1"/>
  <c r="AO206" i="47" s="1"/>
  <c r="AB81" i="15"/>
  <c r="AB320" i="15" s="1"/>
  <c r="AB328" i="15" s="1"/>
  <c r="AX178" i="72"/>
  <c r="AN178" i="72"/>
  <c r="AB181" i="72"/>
  <c r="AB183" i="72" s="1"/>
  <c r="AN498" i="15"/>
  <c r="AN511" i="15" s="1"/>
  <c r="M237" i="47"/>
  <c r="AI209" i="46"/>
  <c r="T212" i="46"/>
  <c r="AJ212" i="46"/>
  <c r="AB246" i="47"/>
  <c r="AD246" i="47"/>
  <c r="P240" i="47"/>
  <c r="AO243" i="47"/>
  <c r="AJ213" i="15"/>
  <c r="K30" i="51"/>
  <c r="K33" i="51" s="1"/>
  <c r="K37" i="51" s="1"/>
  <c r="K44" i="51" s="1"/>
  <c r="AL498" i="15"/>
  <c r="AL511" i="15" s="1"/>
  <c r="K37" i="46"/>
  <c r="K41" i="46" s="1"/>
  <c r="K246" i="46" s="1"/>
  <c r="AN212" i="46"/>
  <c r="AK243" i="47"/>
  <c r="I246" i="47"/>
  <c r="O212" i="46"/>
  <c r="AH35" i="47"/>
  <c r="AH20" i="65" s="1"/>
  <c r="AE498" i="15"/>
  <c r="AE511" i="15" s="1"/>
  <c r="AA206" i="46"/>
  <c r="L212" i="46"/>
  <c r="BJ178" i="72"/>
  <c r="L209" i="46"/>
  <c r="AA212" i="46"/>
  <c r="M212" i="46"/>
  <c r="O83" i="47"/>
  <c r="K100" i="46"/>
  <c r="U212" i="46"/>
  <c r="AB212" i="46"/>
  <c r="AB209" i="46"/>
  <c r="X197" i="46"/>
  <c r="AE212" i="46"/>
  <c r="M206" i="46"/>
  <c r="AB206" i="46"/>
  <c r="AK83" i="47"/>
  <c r="AL240" i="47"/>
  <c r="AA243" i="47"/>
  <c r="AK33" i="15"/>
  <c r="AK37" i="15" s="1"/>
  <c r="AK44" i="15" s="1"/>
  <c r="AP213" i="15"/>
  <c r="AD178" i="72"/>
  <c r="T178" i="72"/>
  <c r="N178" i="72"/>
  <c r="I237" i="47"/>
  <c r="L237" i="47"/>
  <c r="AR10" i="72"/>
  <c r="AH197" i="46"/>
  <c r="U209" i="46"/>
  <c r="AK45" i="47"/>
  <c r="AK49" i="47" s="1"/>
  <c r="AK51" i="47" s="1"/>
  <c r="AK240" i="47"/>
  <c r="AE178" i="72"/>
  <c r="U178" i="72"/>
  <c r="Q178" i="72"/>
  <c r="AL246" i="47"/>
  <c r="Z237" i="47"/>
  <c r="Z246" i="47"/>
  <c r="I243" i="47"/>
  <c r="M209" i="46"/>
  <c r="P206" i="46"/>
  <c r="AN206" i="46"/>
  <c r="U206" i="46"/>
  <c r="AE206" i="46"/>
  <c r="BY48" i="65"/>
  <c r="BY56" i="65" s="1"/>
  <c r="AL243" i="47"/>
  <c r="AA240" i="47"/>
  <c r="AQ370" i="15"/>
  <c r="AQ372" i="15" s="1"/>
  <c r="AJ174" i="15"/>
  <c r="AK237" i="47"/>
  <c r="AT305" i="15"/>
  <c r="AT310" i="15" s="1"/>
  <c r="AA209" i="46"/>
  <c r="AJ209" i="46"/>
  <c r="AA37" i="46"/>
  <c r="AA41" i="46" s="1"/>
  <c r="AA43" i="46" s="1"/>
  <c r="AA50" i="46" s="1"/>
  <c r="T206" i="46"/>
  <c r="H30" i="15"/>
  <c r="H33" i="15" s="1"/>
  <c r="H37" i="15" s="1"/>
  <c r="AZ178" i="72"/>
  <c r="AG28" i="46"/>
  <c r="Q212" i="46"/>
  <c r="AA100" i="46"/>
  <c r="AK100" i="46"/>
  <c r="AJ99" i="46"/>
  <c r="Q209" i="46"/>
  <c r="AJ206" i="46"/>
  <c r="AO246" i="47"/>
  <c r="AI200" i="15"/>
  <c r="AI240" i="15" s="1"/>
  <c r="AN436" i="15"/>
  <c r="AY178" i="72"/>
  <c r="AO178" i="72"/>
  <c r="AQ181" i="72"/>
  <c r="R215" i="46"/>
  <c r="AM231" i="46"/>
  <c r="CX22" i="65" s="1"/>
  <c r="E99" i="46"/>
  <c r="S493" i="15"/>
  <c r="V212" i="46"/>
  <c r="W28" i="46"/>
  <c r="AI99" i="46"/>
  <c r="AJ37" i="46"/>
  <c r="AJ41" i="46" s="1"/>
  <c r="AJ43" i="46" s="1"/>
  <c r="AJ50" i="46" s="1"/>
  <c r="R206" i="46"/>
  <c r="Z209" i="46"/>
  <c r="AB237" i="47"/>
  <c r="AJ226" i="15"/>
  <c r="AP178" i="72"/>
  <c r="T209" i="46"/>
  <c r="R212" i="46"/>
  <c r="V206" i="46"/>
  <c r="F436" i="15"/>
  <c r="N109" i="46"/>
  <c r="N108" i="46" s="1"/>
  <c r="S45" i="47"/>
  <c r="S49" i="47" s="1"/>
  <c r="S51" i="47" s="1"/>
  <c r="AA498" i="15"/>
  <c r="AA511" i="15" s="1"/>
  <c r="Y30" i="51"/>
  <c r="Y33" i="51" s="1"/>
  <c r="Y37" i="51" s="1"/>
  <c r="Y39" i="51" s="1"/>
  <c r="Y45" i="51" s="1"/>
  <c r="AG206" i="46"/>
  <c r="G83" i="47"/>
  <c r="AA218" i="15"/>
  <c r="BP84" i="67"/>
  <c r="BW71" i="67" s="1"/>
  <c r="BY71" i="67" s="1"/>
  <c r="F212" i="46"/>
  <c r="E212" i="46"/>
  <c r="N231" i="46"/>
  <c r="BY22" i="65" s="1"/>
  <c r="G82" i="47"/>
  <c r="W243" i="47"/>
  <c r="E436" i="15"/>
  <c r="AV181" i="72"/>
  <c r="AV183" i="72" s="1"/>
  <c r="BK10" i="72"/>
  <c r="AW10" i="72"/>
  <c r="AX88" i="46" s="1"/>
  <c r="EG61" i="64"/>
  <c r="EH61" i="64" s="1"/>
  <c r="L99" i="46"/>
  <c r="F206" i="46"/>
  <c r="AP226" i="15"/>
  <c r="AU178" i="72"/>
  <c r="BH178" i="72"/>
  <c r="U30" i="51"/>
  <c r="U33" i="51" s="1"/>
  <c r="U37" i="51" s="1"/>
  <c r="U44" i="51" s="1"/>
  <c r="BK181" i="72"/>
  <c r="BK183" i="72" s="1"/>
  <c r="L37" i="46"/>
  <c r="L41" i="46" s="1"/>
  <c r="L43" i="46" s="1"/>
  <c r="L50" i="46" s="1"/>
  <c r="F149" i="46"/>
  <c r="F151" i="46" s="1"/>
  <c r="F153" i="46" s="1"/>
  <c r="AG212" i="46"/>
  <c r="AM109" i="46"/>
  <c r="F209" i="46"/>
  <c r="AG209" i="46"/>
  <c r="E206" i="46"/>
  <c r="S83" i="47"/>
  <c r="W240" i="47"/>
  <c r="AF33" i="15"/>
  <c r="AF37" i="15" s="1"/>
  <c r="AF39" i="15" s="1"/>
  <c r="AB215" i="15"/>
  <c r="AC215" i="15" s="1"/>
  <c r="W30" i="15"/>
  <c r="W33" i="15" s="1"/>
  <c r="W37" i="15" s="1"/>
  <c r="AB306" i="15"/>
  <c r="AP240" i="15"/>
  <c r="AR178" i="72"/>
  <c r="BG178" i="72"/>
  <c r="CD181" i="72"/>
  <c r="CD183" i="72" s="1"/>
  <c r="AB498" i="15"/>
  <c r="AC498" i="15" s="1"/>
  <c r="AC511" i="15" s="1"/>
  <c r="AA237" i="47"/>
  <c r="AS10" i="72"/>
  <c r="AT319" i="15"/>
  <c r="AT325" i="15" s="1"/>
  <c r="Z498" i="15"/>
  <c r="Z511" i="15" s="1"/>
  <c r="AE240" i="47"/>
  <c r="Y237" i="47"/>
  <c r="Y285" i="15"/>
  <c r="Y293" i="15" s="1"/>
  <c r="Y294" i="15" s="1"/>
  <c r="W26" i="15"/>
  <c r="Z499" i="15" s="1"/>
  <c r="Z506" i="15" s="1"/>
  <c r="AT178" i="72"/>
  <c r="W246" i="47"/>
  <c r="Z240" i="47"/>
  <c r="L246" i="47"/>
  <c r="W498" i="15"/>
  <c r="W511" i="15" s="1"/>
  <c r="E215" i="46"/>
  <c r="K243" i="47"/>
  <c r="AL499" i="15"/>
  <c r="AM499" i="15" s="1"/>
  <c r="AM506" i="15" s="1"/>
  <c r="AO212" i="46"/>
  <c r="K246" i="47"/>
  <c r="J243" i="47"/>
  <c r="J206" i="46"/>
  <c r="K240" i="47"/>
  <c r="BB178" i="72"/>
  <c r="AO206" i="46"/>
  <c r="AH178" i="72"/>
  <c r="Y245" i="15"/>
  <c r="Y142" i="15" s="1"/>
  <c r="T82" i="47"/>
  <c r="H206" i="46"/>
  <c r="AK206" i="46"/>
  <c r="BD178" i="72"/>
  <c r="AJ178" i="72"/>
  <c r="J212" i="46"/>
  <c r="BC178" i="72"/>
  <c r="AI178" i="72"/>
  <c r="T246" i="47"/>
  <c r="T240" i="47"/>
  <c r="N82" i="47"/>
  <c r="X498" i="15"/>
  <c r="X511" i="15" s="1"/>
  <c r="AK212" i="46"/>
  <c r="M26" i="51"/>
  <c r="M30" i="51" s="1"/>
  <c r="M33" i="51" s="1"/>
  <c r="M37" i="51" s="1"/>
  <c r="M39" i="51" s="1"/>
  <c r="M45" i="51" s="1"/>
  <c r="BF181" i="72"/>
  <c r="BF183" i="72" s="1"/>
  <c r="H212" i="46"/>
  <c r="T237" i="47"/>
  <c r="S20" i="65"/>
  <c r="J246" i="47"/>
  <c r="AH436" i="15"/>
  <c r="I99" i="46"/>
  <c r="I197" i="46"/>
  <c r="AP320" i="15"/>
  <c r="AP328" i="15" s="1"/>
  <c r="J209" i="46"/>
  <c r="AC109" i="46"/>
  <c r="AC108" i="46" s="1"/>
  <c r="AK209" i="46"/>
  <c r="J237" i="47"/>
  <c r="AC493" i="15"/>
  <c r="AB18" i="51"/>
  <c r="AB20" i="51" s="1"/>
  <c r="AB26" i="51" s="1"/>
  <c r="AB27" i="51" s="1"/>
  <c r="L240" i="47"/>
  <c r="I45" i="47"/>
  <c r="I49" i="47" s="1"/>
  <c r="I56" i="47" s="1"/>
  <c r="I100" i="46"/>
  <c r="Z212" i="46"/>
  <c r="AH231" i="46"/>
  <c r="CS22" i="65" s="1"/>
  <c r="AD212" i="46"/>
  <c r="AD206" i="46"/>
  <c r="H209" i="46"/>
  <c r="N20" i="65"/>
  <c r="V237" i="47"/>
  <c r="AG243" i="47"/>
  <c r="L498" i="15"/>
  <c r="L511" i="15" s="1"/>
  <c r="DA30" i="72"/>
  <c r="DA32" i="72" s="1"/>
  <c r="AO82" i="47"/>
  <c r="AD209" i="46"/>
  <c r="S233" i="46"/>
  <c r="AC61" i="51"/>
  <c r="AO240" i="47"/>
  <c r="H26" i="15"/>
  <c r="L499" i="15" s="1"/>
  <c r="L506" i="15" s="1"/>
  <c r="AC10" i="72"/>
  <c r="AB84" i="15"/>
  <c r="AC214" i="46"/>
  <c r="AC215" i="46" s="1"/>
  <c r="O209" i="46"/>
  <c r="O206" i="46"/>
  <c r="M30" i="15"/>
  <c r="M33" i="15" s="1"/>
  <c r="M37" i="15" s="1"/>
  <c r="AB76" i="15"/>
  <c r="AB264" i="15" s="1"/>
  <c r="AB286" i="15"/>
  <c r="AD10" i="72"/>
  <c r="AE10" i="72"/>
  <c r="AA82" i="47"/>
  <c r="AB80" i="15"/>
  <c r="AB319" i="15" s="1"/>
  <c r="AA65" i="15"/>
  <c r="AC65" i="15" s="1"/>
  <c r="AK10" i="72"/>
  <c r="Z273" i="15"/>
  <c r="Z274" i="15" s="1"/>
  <c r="Z277" i="15" s="1"/>
  <c r="Z140" i="15" s="1"/>
  <c r="AT86" i="15"/>
  <c r="AT225" i="15" s="1"/>
  <c r="T33" i="15"/>
  <c r="T37" i="15" s="1"/>
  <c r="T39" i="15" s="1"/>
  <c r="CF181" i="72"/>
  <c r="CF183" i="72" s="1"/>
  <c r="AB85" i="15"/>
  <c r="AU201" i="72"/>
  <c r="BH169" i="72"/>
  <c r="BI192" i="47" s="1"/>
  <c r="BI218" i="47" s="1"/>
  <c r="DM169" i="72"/>
  <c r="BH197" i="47" s="1"/>
  <c r="T10" i="72"/>
  <c r="AP293" i="15"/>
  <c r="AB26" i="15"/>
  <c r="AB21" i="65" s="1"/>
  <c r="AT78" i="15"/>
  <c r="AT199" i="15" s="1"/>
  <c r="Z86" i="15"/>
  <c r="Z225" i="15" s="1"/>
  <c r="Z233" i="15" s="1"/>
  <c r="BW181" i="72"/>
  <c r="BW183" i="72" s="1"/>
  <c r="CQ181" i="72"/>
  <c r="CQ183" i="72" s="1"/>
  <c r="AD498" i="15"/>
  <c r="AD511" i="15" s="1"/>
  <c r="Z82" i="47"/>
  <c r="BY181" i="72"/>
  <c r="BY183" i="72" s="1"/>
  <c r="BG169" i="72"/>
  <c r="BG10" i="72" s="1"/>
  <c r="BH88" i="46" s="1"/>
  <c r="AT293" i="15"/>
  <c r="BA230" i="15"/>
  <c r="CD48" i="65"/>
  <c r="CD56" i="65" s="1"/>
  <c r="P246" i="47"/>
  <c r="BD174" i="15"/>
  <c r="M26" i="15"/>
  <c r="Q499" i="15" s="1"/>
  <c r="Q506" i="15" s="1"/>
  <c r="H18" i="51"/>
  <c r="H20" i="51" s="1"/>
  <c r="H26" i="51" s="1"/>
  <c r="H27" i="51" s="1"/>
  <c r="R11" i="51"/>
  <c r="P498" i="15"/>
  <c r="P511" i="15" s="1"/>
  <c r="AC197" i="46"/>
  <c r="K209" i="46"/>
  <c r="Y243" i="47"/>
  <c r="AE237" i="47"/>
  <c r="AK37" i="46"/>
  <c r="AK41" i="46" s="1"/>
  <c r="AK246" i="46" s="1"/>
  <c r="AF212" i="46"/>
  <c r="Q498" i="15"/>
  <c r="Q511" i="15" s="1"/>
  <c r="AB228" i="15"/>
  <c r="AB365" i="15" s="1"/>
  <c r="AL11" i="51"/>
  <c r="Z293" i="15"/>
  <c r="Z294" i="15" s="1"/>
  <c r="U10" i="72"/>
  <c r="AT320" i="15"/>
  <c r="AT328" i="15" s="1"/>
  <c r="X233" i="46"/>
  <c r="S484" i="15"/>
  <c r="AH108" i="15"/>
  <c r="AF209" i="46"/>
  <c r="G209" i="46"/>
  <c r="Y240" i="47"/>
  <c r="AA45" i="47"/>
  <c r="AA49" i="47" s="1"/>
  <c r="AA56" i="47" s="1"/>
  <c r="P237" i="47"/>
  <c r="G212" i="46"/>
  <c r="K212" i="46"/>
  <c r="K206" i="46"/>
  <c r="AF206" i="46"/>
  <c r="G206" i="46"/>
  <c r="Q206" i="46"/>
  <c r="AE243" i="47"/>
  <c r="V30" i="51"/>
  <c r="V33" i="51" s="1"/>
  <c r="V37" i="51" s="1"/>
  <c r="V44" i="51" s="1"/>
  <c r="DO169" i="72"/>
  <c r="BJ197" i="47" s="1"/>
  <c r="O10" i="72"/>
  <c r="AT82" i="15"/>
  <c r="AT212" i="15" s="1"/>
  <c r="AT220" i="15" s="1"/>
  <c r="AT222" i="15" s="1"/>
  <c r="M498" i="15"/>
  <c r="S487" i="15"/>
  <c r="N83" i="47"/>
  <c r="AY20" i="51"/>
  <c r="AY26" i="51" s="1"/>
  <c r="AY27" i="51" s="1"/>
  <c r="W178" i="47"/>
  <c r="W179" i="47" s="1"/>
  <c r="X82" i="47"/>
  <c r="AC487" i="15"/>
  <c r="AC490" i="15"/>
  <c r="AC484" i="15"/>
  <c r="AC504" i="15"/>
  <c r="S504" i="15"/>
  <c r="S490" i="15"/>
  <c r="Z245" i="15"/>
  <c r="Z142" i="15" s="1"/>
  <c r="BF469" i="15"/>
  <c r="S30" i="51"/>
  <c r="S33" i="51" s="1"/>
  <c r="S37" i="51" s="1"/>
  <c r="S39" i="51" s="1"/>
  <c r="S45" i="51" s="1"/>
  <c r="X231" i="46"/>
  <c r="CI22" i="65" s="1"/>
  <c r="AX319" i="15"/>
  <c r="AX325" i="15" s="1"/>
  <c r="AM30" i="51"/>
  <c r="AM33" i="51" s="1"/>
  <c r="AM37" i="51" s="1"/>
  <c r="AM39" i="51" s="1"/>
  <c r="AD83" i="47"/>
  <c r="BA210" i="47"/>
  <c r="BA128" i="46" s="1"/>
  <c r="BB128" i="46" s="1"/>
  <c r="AN240" i="47"/>
  <c r="AL30" i="72"/>
  <c r="AL32" i="72" s="1"/>
  <c r="CI181" i="72"/>
  <c r="CI183" i="72" s="1"/>
  <c r="AP86" i="15"/>
  <c r="AH108" i="46"/>
  <c r="Y10" i="72"/>
  <c r="DW51" i="65"/>
  <c r="AJ82" i="47"/>
  <c r="AN243" i="47"/>
  <c r="AI27" i="51"/>
  <c r="F82" i="47"/>
  <c r="P45" i="47"/>
  <c r="P49" i="47" s="1"/>
  <c r="P51" i="47" s="1"/>
  <c r="L82" i="47"/>
  <c r="X83" i="47"/>
  <c r="U243" i="47"/>
  <c r="L83" i="47"/>
  <c r="AJ106" i="46"/>
  <c r="AJ108" i="46" s="1"/>
  <c r="AJ245" i="47"/>
  <c r="P82" i="47"/>
  <c r="AF35" i="47"/>
  <c r="AF20" i="65" s="1"/>
  <c r="AF83" i="47"/>
  <c r="AF82" i="47"/>
  <c r="S147" i="46"/>
  <c r="AI10" i="72"/>
  <c r="Y82" i="15"/>
  <c r="Y212" i="15" s="1"/>
  <c r="Y220" i="15" s="1"/>
  <c r="N147" i="46"/>
  <c r="AG34" i="47"/>
  <c r="AG41" i="47" s="1"/>
  <c r="R237" i="47"/>
  <c r="AO30" i="51"/>
  <c r="AO33" i="51" s="1"/>
  <c r="AO37" i="51" s="1"/>
  <c r="AO116" i="46" s="1"/>
  <c r="AO120" i="46" s="1"/>
  <c r="AJ45" i="47"/>
  <c r="AJ49" i="47" s="1"/>
  <c r="AJ51" i="47" s="1"/>
  <c r="X20" i="65"/>
  <c r="AF45" i="47"/>
  <c r="AF49" i="47" s="1"/>
  <c r="AF56" i="47" s="1"/>
  <c r="Q243" i="47"/>
  <c r="T45" i="47"/>
  <c r="T49" i="47" s="1"/>
  <c r="T56" i="47" s="1"/>
  <c r="F83" i="47"/>
  <c r="Z83" i="47"/>
  <c r="I83" i="47"/>
  <c r="Q237" i="47"/>
  <c r="AO493" i="15"/>
  <c r="AQ498" i="15"/>
  <c r="Q240" i="47"/>
  <c r="CJ30" i="72"/>
  <c r="CJ32" i="72" s="1"/>
  <c r="BL169" i="72"/>
  <c r="BM192" i="47" s="1"/>
  <c r="BM218" i="47" s="1"/>
  <c r="BJ215" i="47"/>
  <c r="AR61" i="51"/>
  <c r="AR81" i="46" s="1"/>
  <c r="AR82" i="46" s="1"/>
  <c r="BC200" i="47"/>
  <c r="BC450" i="15"/>
  <c r="AX200" i="47"/>
  <c r="AX450" i="15"/>
  <c r="AC147" i="46"/>
  <c r="BH200" i="47"/>
  <c r="BH450" i="15"/>
  <c r="AH147" i="46"/>
  <c r="AG240" i="47"/>
  <c r="AL21" i="65"/>
  <c r="R30" i="72"/>
  <c r="R32" i="72" s="1"/>
  <c r="R246" i="47"/>
  <c r="CJ181" i="72"/>
  <c r="CJ183" i="72" s="1"/>
  <c r="DD181" i="72"/>
  <c r="AY196" i="47" s="1"/>
  <c r="AG237" i="47"/>
  <c r="AH237" i="47"/>
  <c r="CU169" i="72"/>
  <c r="CU10" i="72" s="1"/>
  <c r="W37" i="65"/>
  <c r="W53" i="47"/>
  <c r="W41" i="51"/>
  <c r="W41" i="15"/>
  <c r="AD45" i="47"/>
  <c r="AD49" i="47" s="1"/>
  <c r="AD51" i="47" s="1"/>
  <c r="H179" i="47"/>
  <c r="AH246" i="47"/>
  <c r="AN499" i="15"/>
  <c r="AN506" i="15" s="1"/>
  <c r="AO499" i="15"/>
  <c r="AO506" i="15" s="1"/>
  <c r="I27" i="51"/>
  <c r="R26" i="51"/>
  <c r="R30" i="51" s="1"/>
  <c r="R33" i="51" s="1"/>
  <c r="R37" i="51" s="1"/>
  <c r="R39" i="51" s="1"/>
  <c r="R45" i="51" s="1"/>
  <c r="BV181" i="72"/>
  <c r="BV183" i="72" s="1"/>
  <c r="CP181" i="72"/>
  <c r="CP183" i="72" s="1"/>
  <c r="AI293" i="15"/>
  <c r="DJ169" i="72"/>
  <c r="BE197" i="47" s="1"/>
  <c r="AN34" i="46"/>
  <c r="AN28" i="46"/>
  <c r="X147" i="46"/>
  <c r="Y78" i="15"/>
  <c r="Y199" i="15" s="1"/>
  <c r="Y207" i="15" s="1"/>
  <c r="AT240" i="15"/>
  <c r="AT213" i="15"/>
  <c r="BU30" i="72"/>
  <c r="BU32" i="72" s="1"/>
  <c r="CD30" i="72"/>
  <c r="CD32" i="72" s="1"/>
  <c r="AY10" i="72"/>
  <c r="AZ88" i="46" s="1"/>
  <c r="AZ137" i="46" s="1"/>
  <c r="CE181" i="72"/>
  <c r="CE183" i="72" s="1"/>
  <c r="R240" i="47"/>
  <c r="BJ169" i="72"/>
  <c r="BK192" i="47" s="1"/>
  <c r="BK218" i="47" s="1"/>
  <c r="AQ34" i="46"/>
  <c r="AQ28" i="46"/>
  <c r="AN284" i="15"/>
  <c r="AD78" i="15"/>
  <c r="AD199" i="15" s="1"/>
  <c r="V45" i="47"/>
  <c r="V49" i="47" s="1"/>
  <c r="V51" i="47" s="1"/>
  <c r="AE30" i="51"/>
  <c r="AE33" i="51" s="1"/>
  <c r="AE37" i="51" s="1"/>
  <c r="AE39" i="51" s="1"/>
  <c r="AE45" i="51" s="1"/>
  <c r="AA30" i="51"/>
  <c r="AA33" i="51" s="1"/>
  <c r="AA37" i="51" s="1"/>
  <c r="AA39" i="51" s="1"/>
  <c r="AA45" i="51" s="1"/>
  <c r="AI243" i="47"/>
  <c r="V82" i="47"/>
  <c r="AI240" i="47"/>
  <c r="N30" i="51"/>
  <c r="N33" i="51" s="1"/>
  <c r="N37" i="51" s="1"/>
  <c r="N39" i="51" s="1"/>
  <c r="N45" i="51" s="1"/>
  <c r="AL34" i="47"/>
  <c r="AL41" i="47" s="1"/>
  <c r="BE178" i="47"/>
  <c r="BE179" i="47" s="1"/>
  <c r="AK30" i="51"/>
  <c r="AK33" i="51" s="1"/>
  <c r="AK37" i="51" s="1"/>
  <c r="AK44" i="51" s="1"/>
  <c r="V243" i="47"/>
  <c r="V240" i="47"/>
  <c r="DD30" i="72"/>
  <c r="DD32" i="72" s="1"/>
  <c r="CK181" i="72"/>
  <c r="CK183" i="72" s="1"/>
  <c r="BF30" i="72"/>
  <c r="BU181" i="72"/>
  <c r="BU183" i="72" s="1"/>
  <c r="BO169" i="72"/>
  <c r="BP192" i="47" s="1"/>
  <c r="BP218" i="47" s="1"/>
  <c r="CG181" i="72"/>
  <c r="CG183" i="72" s="1"/>
  <c r="CV169" i="72"/>
  <c r="CV10" i="72" s="1"/>
  <c r="CO181" i="72"/>
  <c r="CO183" i="72" s="1"/>
  <c r="BW30" i="72"/>
  <c r="BW32" i="72" s="1"/>
  <c r="BT30" i="72"/>
  <c r="BT32" i="72" s="1"/>
  <c r="BC192" i="47"/>
  <c r="BC218" i="47" s="1"/>
  <c r="BG218" i="47" s="1"/>
  <c r="BZ181" i="72"/>
  <c r="BZ183" i="72" s="1"/>
  <c r="BT181" i="72"/>
  <c r="BT183" i="72" s="1"/>
  <c r="CN181" i="72"/>
  <c r="CN183" i="72" s="1"/>
  <c r="DE181" i="72"/>
  <c r="AZ196" i="47" s="1"/>
  <c r="DP169" i="72"/>
  <c r="BK197" i="47" s="1"/>
  <c r="AI284" i="15"/>
  <c r="CB181" i="72"/>
  <c r="CB183" i="72" s="1"/>
  <c r="CL181" i="72"/>
  <c r="CL183" i="72" s="1"/>
  <c r="CA181" i="72"/>
  <c r="CA183" i="72" s="1"/>
  <c r="DJ181" i="72"/>
  <c r="BE196" i="47" s="1"/>
  <c r="CT169" i="72"/>
  <c r="CT10" i="72" s="1"/>
  <c r="DK181" i="72"/>
  <c r="BF196" i="47" s="1"/>
  <c r="DI181" i="72"/>
  <c r="BD196" i="47" s="1"/>
  <c r="BR181" i="72"/>
  <c r="L181" i="72"/>
  <c r="L183" i="72" s="1"/>
  <c r="M181" i="72"/>
  <c r="M183" i="72" s="1"/>
  <c r="CI30" i="72"/>
  <c r="CI32" i="72" s="1"/>
  <c r="AB30" i="72"/>
  <c r="AB32" i="72" s="1"/>
  <c r="AV30" i="72"/>
  <c r="AS27" i="72"/>
  <c r="AS30" i="72" s="1"/>
  <c r="AS32" i="72" s="1"/>
  <c r="CB30" i="72"/>
  <c r="CB32" i="72" s="1"/>
  <c r="CL30" i="72"/>
  <c r="CL32" i="72" s="1"/>
  <c r="DF30" i="72"/>
  <c r="DF32" i="72" s="1"/>
  <c r="DA169" i="72"/>
  <c r="DC181" i="72"/>
  <c r="AX196" i="47" s="1"/>
  <c r="DH181" i="72"/>
  <c r="W181" i="72"/>
  <c r="W183" i="72" s="1"/>
  <c r="CS169" i="72"/>
  <c r="CS10" i="72" s="1"/>
  <c r="DK169" i="72"/>
  <c r="BF197" i="47" s="1"/>
  <c r="DF181" i="72"/>
  <c r="BA196" i="47" s="1"/>
  <c r="R181" i="72"/>
  <c r="R183" i="72" s="1"/>
  <c r="AG181" i="72"/>
  <c r="AG183" i="72" s="1"/>
  <c r="AL181" i="72"/>
  <c r="AL183" i="72" s="1"/>
  <c r="BA181" i="72"/>
  <c r="BA183" i="72" s="1"/>
  <c r="AB244" i="15"/>
  <c r="Y139" i="15"/>
  <c r="AS179" i="72"/>
  <c r="AS181" i="72" s="1"/>
  <c r="AX273" i="15"/>
  <c r="BL108" i="15"/>
  <c r="Y328" i="15"/>
  <c r="Y329" i="15" s="1"/>
  <c r="AI319" i="15"/>
  <c r="AI325" i="15" s="1"/>
  <c r="AX285" i="15"/>
  <c r="AX293" i="15" s="1"/>
  <c r="AN293" i="15"/>
  <c r="AI78" i="15"/>
  <c r="AI199" i="15" s="1"/>
  <c r="AX86" i="15"/>
  <c r="AX225" i="15" s="1"/>
  <c r="AD293" i="15"/>
  <c r="AM253" i="47"/>
  <c r="AM266" i="47" s="1"/>
  <c r="AM35" i="47"/>
  <c r="AM41" i="47"/>
  <c r="AQ82" i="46"/>
  <c r="AN45" i="47"/>
  <c r="AN49" i="47" s="1"/>
  <c r="AN51" i="47" s="1"/>
  <c r="AN82" i="47"/>
  <c r="AN83" i="47"/>
  <c r="AN246" i="47"/>
  <c r="Y284" i="15"/>
  <c r="AD320" i="15"/>
  <c r="AD328" i="15" s="1"/>
  <c r="F30" i="51"/>
  <c r="F33" i="51" s="1"/>
  <c r="F37" i="51" s="1"/>
  <c r="F39" i="51" s="1"/>
  <c r="F45" i="51" s="1"/>
  <c r="Y319" i="15"/>
  <c r="Y325" i="15" s="1"/>
  <c r="Y326" i="15" s="1"/>
  <c r="BC9" i="51"/>
  <c r="BA10" i="51"/>
  <c r="BA18" i="51" s="1"/>
  <c r="BA20" i="51" s="1"/>
  <c r="AD82" i="15"/>
  <c r="AD212" i="15" s="1"/>
  <c r="Y86" i="15"/>
  <c r="Y225" i="15" s="1"/>
  <c r="Y233" i="15" s="1"/>
  <c r="BD9" i="51"/>
  <c r="AY11" i="51"/>
  <c r="AX10" i="51"/>
  <c r="AX18" i="51" s="1"/>
  <c r="AX20" i="51" s="1"/>
  <c r="AX26" i="51" s="1"/>
  <c r="AX22" i="65"/>
  <c r="AD284" i="15"/>
  <c r="AX305" i="15"/>
  <c r="AX310" i="15" s="1"/>
  <c r="Q27" i="51"/>
  <c r="AD319" i="15"/>
  <c r="AD325" i="15" s="1"/>
  <c r="AI320" i="15"/>
  <c r="AI328" i="15" s="1"/>
  <c r="O27" i="51"/>
  <c r="AP319" i="15"/>
  <c r="AP325" i="15" s="1"/>
  <c r="AP305" i="15"/>
  <c r="AP310" i="15" s="1"/>
  <c r="AD273" i="15"/>
  <c r="AX78" i="15"/>
  <c r="AX199" i="15" s="1"/>
  <c r="AC27" i="51"/>
  <c r="G27" i="51"/>
  <c r="AO484" i="15"/>
  <c r="AP372" i="15"/>
  <c r="AP163" i="15"/>
  <c r="AN484" i="15"/>
  <c r="BJ114" i="46"/>
  <c r="BK467" i="15"/>
  <c r="AQ18" i="51"/>
  <c r="AQ20" i="51" s="1"/>
  <c r="AQ26" i="51" s="1"/>
  <c r="AQ11" i="51"/>
  <c r="AQ26" i="15"/>
  <c r="AT499" i="15" s="1"/>
  <c r="AT506" i="15" s="1"/>
  <c r="AQ30" i="15"/>
  <c r="AB33" i="15"/>
  <c r="AB37" i="15" s="1"/>
  <c r="AB436" i="15"/>
  <c r="E30" i="51"/>
  <c r="E33" i="51" s="1"/>
  <c r="E37" i="51" s="1"/>
  <c r="E44" i="51" s="1"/>
  <c r="E27" i="51"/>
  <c r="AP78" i="15"/>
  <c r="CX169" i="72"/>
  <c r="CX10" i="72" s="1"/>
  <c r="AA10" i="72"/>
  <c r="AU10" i="72"/>
  <c r="Q10" i="72"/>
  <c r="BJ441" i="15"/>
  <c r="BJ464" i="15" s="1"/>
  <c r="V10" i="72"/>
  <c r="DH169" i="72"/>
  <c r="BC197" i="47" s="1"/>
  <c r="CX30" i="72"/>
  <c r="CX32" i="72" s="1"/>
  <c r="BD201" i="72"/>
  <c r="S10" i="72"/>
  <c r="BO66" i="51"/>
  <c r="BQ66" i="51" s="1"/>
  <c r="CZ30" i="72"/>
  <c r="CZ32" i="72" s="1"/>
  <c r="BM169" i="72"/>
  <c r="BN192" i="47" s="1"/>
  <c r="BN218" i="47" s="1"/>
  <c r="BN169" i="72"/>
  <c r="BO192" i="47" s="1"/>
  <c r="BO218" i="47" s="1"/>
  <c r="DC169" i="72"/>
  <c r="AX197" i="47" s="1"/>
  <c r="CZ169" i="72"/>
  <c r="DI169" i="72"/>
  <c r="DI10" i="72" s="1"/>
  <c r="BD93" i="46" s="1"/>
  <c r="AM10" i="72"/>
  <c r="CY30" i="72"/>
  <c r="CY32" i="72" s="1"/>
  <c r="M30" i="72"/>
  <c r="CA30" i="72"/>
  <c r="CA32" i="72" s="1"/>
  <c r="BY30" i="72"/>
  <c r="BY32" i="72" s="1"/>
  <c r="CK30" i="72"/>
  <c r="CK32" i="72" s="1"/>
  <c r="DE30" i="72"/>
  <c r="DE32" i="72" s="1"/>
  <c r="L30" i="72"/>
  <c r="L32" i="72" s="1"/>
  <c r="BV30" i="72"/>
  <c r="BV32" i="72" s="1"/>
  <c r="CF30" i="72"/>
  <c r="CF32" i="72" s="1"/>
  <c r="DF169" i="72"/>
  <c r="BA197" i="47" s="1"/>
  <c r="AR201" i="72"/>
  <c r="BI169" i="72"/>
  <c r="BI10" i="72" s="1"/>
  <c r="BJ88" i="46" s="1"/>
  <c r="BJ137" i="46" s="1"/>
  <c r="CY169" i="72"/>
  <c r="DE169" i="72"/>
  <c r="DE10" i="72" s="1"/>
  <c r="AZ93" i="46" s="1"/>
  <c r="DN169" i="72"/>
  <c r="BI197" i="47" s="1"/>
  <c r="DD169" i="72"/>
  <c r="AY197" i="47" s="1"/>
  <c r="CC38" i="72"/>
  <c r="BX169" i="72"/>
  <c r="BI179" i="72"/>
  <c r="BI181" i="72" s="1"/>
  <c r="BJ179" i="72"/>
  <c r="BG179" i="72"/>
  <c r="BH179" i="72"/>
  <c r="AY179" i="72"/>
  <c r="AZ179" i="72"/>
  <c r="AX179" i="72"/>
  <c r="AW179" i="72"/>
  <c r="AW181" i="72" s="1"/>
  <c r="AO179" i="72"/>
  <c r="AP179" i="72"/>
  <c r="AM179" i="72"/>
  <c r="AM181" i="72" s="1"/>
  <c r="AN179" i="72"/>
  <c r="AE179" i="72"/>
  <c r="AF179" i="72"/>
  <c r="AC179" i="72"/>
  <c r="AD179" i="72"/>
  <c r="U179" i="72"/>
  <c r="V179" i="72"/>
  <c r="V181" i="72" s="1"/>
  <c r="S179" i="72"/>
  <c r="T179" i="72"/>
  <c r="AK179" i="72"/>
  <c r="AH179" i="72"/>
  <c r="AJ179" i="72"/>
  <c r="AI179" i="72"/>
  <c r="BE179" i="72"/>
  <c r="BB179" i="72"/>
  <c r="BD179" i="72"/>
  <c r="BC179" i="72"/>
  <c r="Q179" i="72"/>
  <c r="N179" i="72"/>
  <c r="P179" i="72"/>
  <c r="O179" i="72"/>
  <c r="AA179" i="72"/>
  <c r="X179" i="72"/>
  <c r="X181" i="72" s="1"/>
  <c r="Z179" i="72"/>
  <c r="Y179" i="72"/>
  <c r="AU179" i="72"/>
  <c r="AT179" i="72"/>
  <c r="AR179" i="72"/>
  <c r="AO28" i="72"/>
  <c r="AP28" i="72"/>
  <c r="AM28" i="72"/>
  <c r="AN28" i="72"/>
  <c r="U28" i="72"/>
  <c r="V28" i="72"/>
  <c r="S28" i="72"/>
  <c r="T28" i="72"/>
  <c r="BI28" i="72"/>
  <c r="BJ28" i="72"/>
  <c r="BG28" i="72"/>
  <c r="BH28" i="72"/>
  <c r="AY28" i="72"/>
  <c r="AZ28" i="72"/>
  <c r="AW28" i="72"/>
  <c r="AX28" i="72"/>
  <c r="AE28" i="72"/>
  <c r="AD28" i="72"/>
  <c r="AC28" i="72"/>
  <c r="AF28" i="72"/>
  <c r="AR28" i="72"/>
  <c r="AU28" i="72"/>
  <c r="AT28" i="72"/>
  <c r="X28" i="72"/>
  <c r="AA28" i="72"/>
  <c r="Z28" i="72"/>
  <c r="Y28" i="72"/>
  <c r="P28" i="72"/>
  <c r="Q28" i="72"/>
  <c r="N28" i="72"/>
  <c r="O28" i="72"/>
  <c r="AJ28" i="72"/>
  <c r="AH28" i="72"/>
  <c r="AI28" i="72"/>
  <c r="AK28" i="72"/>
  <c r="BE28" i="72"/>
  <c r="BB28" i="72"/>
  <c r="BD28" i="72"/>
  <c r="BC28" i="72"/>
  <c r="AQ245" i="47"/>
  <c r="AQ237" i="47" s="1"/>
  <c r="BW78" i="67"/>
  <c r="BY78" i="67" s="1"/>
  <c r="BA102" i="67"/>
  <c r="BB102" i="67"/>
  <c r="AZ102" i="67"/>
  <c r="AY102" i="67"/>
  <c r="BP22" i="67"/>
  <c r="BL22" i="51"/>
  <c r="BM22" i="51"/>
  <c r="BQ22" i="51" s="1"/>
  <c r="AH243" i="47"/>
  <c r="AH301" i="47" s="1"/>
  <c r="AH37" i="64" s="1"/>
  <c r="AH259" i="47"/>
  <c r="AH240" i="47"/>
  <c r="AH271" i="47"/>
  <c r="AZ113" i="46"/>
  <c r="BA221" i="47"/>
  <c r="BA113" i="46" s="1"/>
  <c r="AC260" i="47"/>
  <c r="BF210" i="47"/>
  <c r="BF128" i="46" s="1"/>
  <c r="BG128" i="46" s="1"/>
  <c r="AL26" i="51"/>
  <c r="AL30" i="51" s="1"/>
  <c r="AL33" i="51" s="1"/>
  <c r="AL37" i="51" s="1"/>
  <c r="AY24" i="67"/>
  <c r="BP24" i="67" s="1"/>
  <c r="BP86" i="67"/>
  <c r="BW73" i="67" s="1"/>
  <c r="AY23" i="67"/>
  <c r="BP23" i="67" s="1"/>
  <c r="BP85" i="67"/>
  <c r="BW72" i="67" s="1"/>
  <c r="AY21" i="67"/>
  <c r="BP21" i="67" s="1"/>
  <c r="BP83" i="67"/>
  <c r="BW70" i="67" s="1"/>
  <c r="AY20" i="67"/>
  <c r="BP20" i="67" s="1"/>
  <c r="BP82" i="67"/>
  <c r="BW69" i="67" s="1"/>
  <c r="BX90" i="67"/>
  <c r="CC90" i="67" s="1"/>
  <c r="BP266" i="15"/>
  <c r="BP286" i="15"/>
  <c r="AX82" i="15"/>
  <c r="AX212" i="15" s="1"/>
  <c r="Y273" i="15"/>
  <c r="Y274" i="15" s="1"/>
  <c r="AS284" i="15"/>
  <c r="BO103" i="67"/>
  <c r="BP306" i="15"/>
  <c r="AP82" i="15"/>
  <c r="AP273" i="15"/>
  <c r="AP274" i="15" s="1"/>
  <c r="T82" i="15"/>
  <c r="BP10" i="72"/>
  <c r="DQ195" i="72"/>
  <c r="DV195" i="72" s="1"/>
  <c r="DO195" i="72"/>
  <c r="DO199" i="72" s="1"/>
  <c r="DM195" i="72"/>
  <c r="DM199" i="72" s="1"/>
  <c r="DP195" i="72"/>
  <c r="DP199" i="72" s="1"/>
  <c r="DN195" i="72"/>
  <c r="DN199" i="72" s="1"/>
  <c r="DI195" i="72"/>
  <c r="DH195" i="72"/>
  <c r="DJ195" i="72"/>
  <c r="DL197" i="72"/>
  <c r="DQ197" i="72" s="1"/>
  <c r="DV197" i="72" s="1"/>
  <c r="DJ197" i="72"/>
  <c r="DH197" i="72"/>
  <c r="DF197" i="72"/>
  <c r="DF199" i="72" s="1"/>
  <c r="DD197" i="72"/>
  <c r="DD199" i="72" s="1"/>
  <c r="AY446" i="15" s="1"/>
  <c r="DK197" i="72"/>
  <c r="DK199" i="72" s="1"/>
  <c r="DI197" i="72"/>
  <c r="DE197" i="72"/>
  <c r="DE199" i="72" s="1"/>
  <c r="DC197" i="72"/>
  <c r="DC199" i="72" s="1"/>
  <c r="DC201" i="72" s="1"/>
  <c r="AY197" i="72"/>
  <c r="AY199" i="72" s="1"/>
  <c r="AZ441" i="15" s="1"/>
  <c r="AZ464" i="15" s="1"/>
  <c r="AW197" i="72"/>
  <c r="AW199" i="72" s="1"/>
  <c r="AZ197" i="72"/>
  <c r="AZ199" i="72" s="1"/>
  <c r="AZ201" i="72" s="1"/>
  <c r="AX197" i="72"/>
  <c r="AX199" i="72" s="1"/>
  <c r="AX201" i="72" s="1"/>
  <c r="BA199" i="72"/>
  <c r="BA201" i="72" s="1"/>
  <c r="AO10" i="72"/>
  <c r="BM247" i="46"/>
  <c r="BM115" i="46"/>
  <c r="BQ115" i="46" s="1"/>
  <c r="BQ140" i="46"/>
  <c r="AI82" i="15"/>
  <c r="AI212" i="15" s="1"/>
  <c r="Z78" i="15"/>
  <c r="Z199" i="15" s="1"/>
  <c r="Z207" i="15" s="1"/>
  <c r="T78" i="15"/>
  <c r="BB101" i="67"/>
  <c r="BA101" i="67"/>
  <c r="AZ101" i="67"/>
  <c r="AY101" i="67"/>
  <c r="BP96" i="15"/>
  <c r="BO96" i="15" s="1"/>
  <c r="BB100" i="67"/>
  <c r="BA100" i="67"/>
  <c r="AZ100" i="67"/>
  <c r="AY100" i="67"/>
  <c r="BP90" i="15"/>
  <c r="BP92" i="15"/>
  <c r="BO92" i="15" s="1"/>
  <c r="BN92" i="15" s="1"/>
  <c r="BM92" i="15" s="1"/>
  <c r="BB104" i="67"/>
  <c r="BA104" i="67"/>
  <c r="AZ104" i="67"/>
  <c r="AY104" i="67"/>
  <c r="BP93" i="15"/>
  <c r="BO93" i="15" s="1"/>
  <c r="BN93" i="15" s="1"/>
  <c r="BM93" i="15" s="1"/>
  <c r="BO266" i="15"/>
  <c r="BN65" i="15"/>
  <c r="BO286" i="15"/>
  <c r="BO306" i="15"/>
  <c r="BN239" i="15"/>
  <c r="Z305" i="15"/>
  <c r="Z310" i="15" s="1"/>
  <c r="Z311" i="15" s="1"/>
  <c r="Z314" i="15" s="1"/>
  <c r="AS320" i="15"/>
  <c r="AS328" i="15" s="1"/>
  <c r="Z284" i="15"/>
  <c r="Z320" i="15"/>
  <c r="Z328" i="15" s="1"/>
  <c r="Z329" i="15" s="1"/>
  <c r="AS319" i="15"/>
  <c r="AS325" i="15" s="1"/>
  <c r="AS82" i="15"/>
  <c r="AS212" i="15" s="1"/>
  <c r="AN86" i="15"/>
  <c r="AN225" i="15" s="1"/>
  <c r="AI86" i="15"/>
  <c r="AI225" i="15" s="1"/>
  <c r="AN78" i="15"/>
  <c r="AN199" i="15" s="1"/>
  <c r="AN207" i="15" s="1"/>
  <c r="AS86" i="15"/>
  <c r="AS225" i="15" s="1"/>
  <c r="DM51" i="65"/>
  <c r="AS78" i="15"/>
  <c r="AS199" i="15" s="1"/>
  <c r="AN319" i="15"/>
  <c r="AN325" i="15" s="1"/>
  <c r="AI265" i="15"/>
  <c r="AI273" i="15" s="1"/>
  <c r="AN320" i="15"/>
  <c r="AN328" i="15" s="1"/>
  <c r="BP71" i="15"/>
  <c r="Z82" i="15"/>
  <c r="Z212" i="15" s="1"/>
  <c r="Z220" i="15" s="1"/>
  <c r="AN82" i="15"/>
  <c r="AN212" i="15" s="1"/>
  <c r="AS273" i="15"/>
  <c r="BP72" i="15"/>
  <c r="BS178" i="72"/>
  <c r="BS181" i="72" s="1"/>
  <c r="BS201" i="72"/>
  <c r="BO442" i="15"/>
  <c r="BL27" i="72"/>
  <c r="BN27" i="72"/>
  <c r="BO27" i="72"/>
  <c r="BM27" i="72"/>
  <c r="BM178" i="72"/>
  <c r="BL178" i="72"/>
  <c r="BO178" i="72"/>
  <c r="BN178" i="72"/>
  <c r="BN469" i="15"/>
  <c r="BQ464" i="15"/>
  <c r="BG201" i="72"/>
  <c r="Z10" i="72"/>
  <c r="AJ10" i="72"/>
  <c r="P10" i="72"/>
  <c r="BQ52" i="51"/>
  <c r="BQ117" i="46" s="1"/>
  <c r="J27" i="51"/>
  <c r="J44" i="51"/>
  <c r="J39" i="51"/>
  <c r="J45" i="51" s="1"/>
  <c r="BF441" i="15"/>
  <c r="BF464" i="15" s="1"/>
  <c r="BE201" i="72"/>
  <c r="W67" i="15"/>
  <c r="W65" i="15" s="1"/>
  <c r="V65" i="15"/>
  <c r="U85" i="15"/>
  <c r="U76" i="15"/>
  <c r="U77" i="15"/>
  <c r="U80" i="15"/>
  <c r="U81" i="15"/>
  <c r="U84" i="15"/>
  <c r="AG18" i="51"/>
  <c r="AG20" i="51" s="1"/>
  <c r="AG26" i="51" s="1"/>
  <c r="AG30" i="51" s="1"/>
  <c r="AG33" i="51" s="1"/>
  <c r="AG37" i="51" s="1"/>
  <c r="AG44" i="51" s="1"/>
  <c r="BD441" i="15"/>
  <c r="BD464" i="15" s="1"/>
  <c r="BC201" i="72"/>
  <c r="DC30" i="72"/>
  <c r="DC32" i="72" s="1"/>
  <c r="BC441" i="15"/>
  <c r="BC464" i="15" s="1"/>
  <c r="BB201" i="72"/>
  <c r="AD30" i="51"/>
  <c r="AD33" i="51" s="1"/>
  <c r="AD37" i="51" s="1"/>
  <c r="AD27" i="51"/>
  <c r="AJ30" i="51"/>
  <c r="AJ33" i="51" s="1"/>
  <c r="AJ37" i="51" s="1"/>
  <c r="AJ27" i="51"/>
  <c r="W18" i="51"/>
  <c r="W20" i="51" s="1"/>
  <c r="W26" i="51" s="1"/>
  <c r="X61" i="51"/>
  <c r="P30" i="51"/>
  <c r="P33" i="51" s="1"/>
  <c r="P37" i="51" s="1"/>
  <c r="P27" i="51"/>
  <c r="BF76" i="15"/>
  <c r="E41" i="47"/>
  <c r="E35" i="47"/>
  <c r="AN30" i="51"/>
  <c r="AN33" i="51" s="1"/>
  <c r="AN37" i="51" s="1"/>
  <c r="AN27" i="51"/>
  <c r="Z30" i="51"/>
  <c r="Z33" i="51" s="1"/>
  <c r="Z37" i="51" s="1"/>
  <c r="Z27" i="51"/>
  <c r="AF30" i="51"/>
  <c r="AF33" i="51" s="1"/>
  <c r="AF37" i="51" s="1"/>
  <c r="AF27" i="51"/>
  <c r="AF243" i="47"/>
  <c r="AF240" i="47"/>
  <c r="G179" i="47"/>
  <c r="AC237" i="47"/>
  <c r="AC240" i="47"/>
  <c r="BF178" i="47"/>
  <c r="BF179" i="47" s="1"/>
  <c r="AH30" i="51"/>
  <c r="AH33" i="51" s="1"/>
  <c r="AH37" i="51" s="1"/>
  <c r="AH27" i="51"/>
  <c r="AF237" i="47"/>
  <c r="AF246" i="47"/>
  <c r="X30" i="51"/>
  <c r="X33" i="51" s="1"/>
  <c r="X37" i="51" s="1"/>
  <c r="X27" i="51"/>
  <c r="M11" i="51"/>
  <c r="AB178" i="47"/>
  <c r="AB179" i="47" s="1"/>
  <c r="AC246" i="47"/>
  <c r="BA31" i="47"/>
  <c r="BK210" i="47"/>
  <c r="BK128" i="46" s="1"/>
  <c r="BL128" i="46" s="1"/>
  <c r="U240" i="47"/>
  <c r="U246" i="47"/>
  <c r="AC253" i="47"/>
  <c r="AC266" i="47" s="1"/>
  <c r="AC41" i="47"/>
  <c r="AC35" i="47"/>
  <c r="L30" i="51"/>
  <c r="L33" i="51" s="1"/>
  <c r="L37" i="51" s="1"/>
  <c r="L27" i="51"/>
  <c r="AG178" i="47"/>
  <c r="AG179" i="47" s="1"/>
  <c r="AI237" i="47"/>
  <c r="S213" i="47"/>
  <c r="S79" i="46" s="1"/>
  <c r="S81" i="46" s="1"/>
  <c r="O61" i="51"/>
  <c r="S61" i="51" s="1"/>
  <c r="AM61" i="51"/>
  <c r="T30" i="51"/>
  <c r="T33" i="51" s="1"/>
  <c r="T37" i="51" s="1"/>
  <c r="T27" i="51"/>
  <c r="BO104" i="67"/>
  <c r="AV172" i="47"/>
  <c r="AV178" i="47" s="1"/>
  <c r="AV179" i="47" s="1"/>
  <c r="BB271" i="47"/>
  <c r="AY244" i="15"/>
  <c r="BI244" i="15" s="1"/>
  <c r="BN244" i="15" s="1"/>
  <c r="AZ114" i="46"/>
  <c r="AZ469" i="15"/>
  <c r="BA467" i="15"/>
  <c r="AJ273" i="15"/>
  <c r="X54" i="65"/>
  <c r="X56" i="65" s="1"/>
  <c r="AC52" i="65"/>
  <c r="BR30" i="72"/>
  <c r="BE113" i="46"/>
  <c r="BF221" i="47"/>
  <c r="BF113" i="46" s="1"/>
  <c r="BL271" i="47"/>
  <c r="AR271" i="47"/>
  <c r="BN22" i="67"/>
  <c r="BD10" i="72"/>
  <c r="BE88" i="46" s="1"/>
  <c r="BE137" i="46" s="1"/>
  <c r="AZ192" i="47"/>
  <c r="AZ218" i="47" s="1"/>
  <c r="AN10" i="72"/>
  <c r="AT10" i="72"/>
  <c r="AX192" i="47"/>
  <c r="AX218" i="47" s="1"/>
  <c r="AZ10" i="72"/>
  <c r="BA88" i="46" s="1"/>
  <c r="BA137" i="46" s="1"/>
  <c r="BE10" i="72"/>
  <c r="BF88" i="46" s="1"/>
  <c r="BF137" i="46" s="1"/>
  <c r="BC10" i="72"/>
  <c r="BD88" i="46" s="1"/>
  <c r="BD137" i="46" s="1"/>
  <c r="AX10" i="72"/>
  <c r="AY88" i="46" s="1"/>
  <c r="AY137" i="46" s="1"/>
  <c r="AP10" i="72"/>
  <c r="DK30" i="72"/>
  <c r="DI30" i="72"/>
  <c r="AO273" i="15"/>
  <c r="AO274" i="15" s="1"/>
  <c r="AY273" i="15"/>
  <c r="BN86" i="67"/>
  <c r="BN24" i="67"/>
  <c r="BN85" i="67"/>
  <c r="BN23" i="67"/>
  <c r="BO83" i="67"/>
  <c r="BO82" i="67"/>
  <c r="BK306" i="15"/>
  <c r="BK266" i="15"/>
  <c r="BK80" i="15"/>
  <c r="BK81" i="15"/>
  <c r="BK286" i="15"/>
  <c r="BK77" i="15"/>
  <c r="BK265" i="15" s="1"/>
  <c r="BK76" i="15"/>
  <c r="BN102" i="67"/>
  <c r="BO86" i="67"/>
  <c r="BO85" i="67"/>
  <c r="BN83" i="67"/>
  <c r="BN21" i="67"/>
  <c r="BN82" i="67"/>
  <c r="BN20" i="67"/>
  <c r="BF85" i="15"/>
  <c r="BF77" i="15"/>
  <c r="BF265" i="15" s="1"/>
  <c r="BF286" i="15"/>
  <c r="BF84" i="15"/>
  <c r="BF306" i="15"/>
  <c r="BF266" i="15"/>
  <c r="BO22" i="67"/>
  <c r="BN103" i="67"/>
  <c r="BN104" i="67"/>
  <c r="BO102" i="67"/>
  <c r="BN100" i="67"/>
  <c r="BS10" i="72"/>
  <c r="BC88" i="46"/>
  <c r="AZ27" i="72"/>
  <c r="AX27" i="72"/>
  <c r="AY27" i="72"/>
  <c r="AW27" i="72"/>
  <c r="BA30" i="72"/>
  <c r="AP27" i="72"/>
  <c r="AN27" i="72"/>
  <c r="AM27" i="72"/>
  <c r="AO27" i="72"/>
  <c r="AQ30" i="72"/>
  <c r="Z27" i="72"/>
  <c r="X27" i="72"/>
  <c r="AA27" i="72"/>
  <c r="Y27" i="72"/>
  <c r="AT27" i="72"/>
  <c r="AR27" i="72"/>
  <c r="AU27" i="72"/>
  <c r="BX27" i="72"/>
  <c r="BS30" i="72"/>
  <c r="DH30" i="72"/>
  <c r="BX191" i="72"/>
  <c r="BX201" i="72" s="1"/>
  <c r="CC189" i="72"/>
  <c r="CV30" i="72"/>
  <c r="CT30" i="72"/>
  <c r="CP30" i="72"/>
  <c r="CN30" i="72"/>
  <c r="CU30" i="72"/>
  <c r="CQ30" i="72"/>
  <c r="CS30" i="72"/>
  <c r="CO30" i="72"/>
  <c r="DJ30" i="72"/>
  <c r="BX22" i="72"/>
  <c r="CC18" i="72"/>
  <c r="BH66" i="51"/>
  <c r="BL66" i="51" s="1"/>
  <c r="BL52" i="51"/>
  <c r="AY66" i="51"/>
  <c r="BB66" i="51" s="1"/>
  <c r="BB52" i="51"/>
  <c r="BB117" i="46" s="1"/>
  <c r="BC66" i="51"/>
  <c r="BG66" i="51" s="1"/>
  <c r="BG52" i="51"/>
  <c r="BG117" i="46" s="1"/>
  <c r="AF27" i="72"/>
  <c r="AD27" i="72"/>
  <c r="AE27" i="72"/>
  <c r="AC27" i="72"/>
  <c r="AG30" i="72"/>
  <c r="V27" i="72"/>
  <c r="T27" i="72"/>
  <c r="S27" i="72"/>
  <c r="U27" i="72"/>
  <c r="W30" i="72"/>
  <c r="BJ27" i="72"/>
  <c r="BH27" i="72"/>
  <c r="BG27" i="72"/>
  <c r="BI27" i="72"/>
  <c r="BK30" i="72"/>
  <c r="P27" i="72"/>
  <c r="N27" i="72"/>
  <c r="O27" i="72"/>
  <c r="Q27" i="72"/>
  <c r="AJ27" i="72"/>
  <c r="AH27" i="72"/>
  <c r="AI27" i="72"/>
  <c r="AK27" i="72"/>
  <c r="BD27" i="72"/>
  <c r="BB27" i="72"/>
  <c r="BC27" i="72"/>
  <c r="BE27" i="72"/>
  <c r="AN201" i="72"/>
  <c r="BJ201" i="72"/>
  <c r="BK441" i="15"/>
  <c r="BK464" i="15" s="1"/>
  <c r="CH44" i="72"/>
  <c r="BH201" i="72"/>
  <c r="BI441" i="15"/>
  <c r="BI464" i="15" s="1"/>
  <c r="CC199" i="72"/>
  <c r="BG35" i="51"/>
  <c r="BH35" i="51"/>
  <c r="G44" i="51"/>
  <c r="G39" i="51"/>
  <c r="G45" i="51" s="1"/>
  <c r="O44" i="51"/>
  <c r="O39" i="51"/>
  <c r="O45" i="51" s="1"/>
  <c r="AI44" i="51"/>
  <c r="AI39" i="51"/>
  <c r="AI45" i="51" s="1"/>
  <c r="BC39" i="46"/>
  <c r="I44" i="51"/>
  <c r="I39" i="51"/>
  <c r="I45" i="51" s="1"/>
  <c r="Q44" i="51"/>
  <c r="Q39" i="51"/>
  <c r="Q45" i="51" s="1"/>
  <c r="AC44" i="51"/>
  <c r="AC39" i="51"/>
  <c r="BH23" i="51"/>
  <c r="BM23" i="51" s="1"/>
  <c r="BD18" i="51"/>
  <c r="BB14" i="51"/>
  <c r="BD24" i="51"/>
  <c r="BB24" i="51"/>
  <c r="Z39" i="15"/>
  <c r="Z45" i="15" s="1"/>
  <c r="Z44" i="15"/>
  <c r="AH39" i="15"/>
  <c r="AH44" i="15"/>
  <c r="AJ454" i="15"/>
  <c r="AJ457" i="15" s="1"/>
  <c r="AJ39" i="15"/>
  <c r="AJ45" i="15" s="1"/>
  <c r="AJ51" i="15"/>
  <c r="AJ57" i="15" s="1"/>
  <c r="AJ59" i="15" s="1"/>
  <c r="AJ44" i="15"/>
  <c r="F44" i="15"/>
  <c r="F39" i="15"/>
  <c r="F45" i="15" s="1"/>
  <c r="F74" i="46" s="1"/>
  <c r="I44" i="15"/>
  <c r="I39" i="15"/>
  <c r="K44" i="15"/>
  <c r="K39" i="15"/>
  <c r="K45" i="15" s="1"/>
  <c r="N454" i="15"/>
  <c r="N457" i="15" s="1"/>
  <c r="N39" i="15"/>
  <c r="N44" i="15"/>
  <c r="P39" i="15"/>
  <c r="P45" i="15" s="1"/>
  <c r="P44" i="15"/>
  <c r="X454" i="15"/>
  <c r="X457" i="15" s="1"/>
  <c r="X39" i="15"/>
  <c r="X44" i="15"/>
  <c r="AA44" i="15"/>
  <c r="AA39" i="15"/>
  <c r="G44" i="15"/>
  <c r="G39" i="15"/>
  <c r="J39" i="15"/>
  <c r="J44" i="15"/>
  <c r="O44" i="15"/>
  <c r="O39" i="15"/>
  <c r="U499" i="15"/>
  <c r="U506" i="15" s="1"/>
  <c r="AM436" i="15"/>
  <c r="AM33" i="15"/>
  <c r="AM37" i="15" s="1"/>
  <c r="BG22" i="15"/>
  <c r="BC23" i="46"/>
  <c r="AE320" i="15"/>
  <c r="AE328" i="15" s="1"/>
  <c r="AE285" i="15"/>
  <c r="AE293" i="15" s="1"/>
  <c r="AJ320" i="15"/>
  <c r="AJ328" i="15" s="1"/>
  <c r="AJ285" i="15"/>
  <c r="AJ293" i="15" s="1"/>
  <c r="AO320" i="15"/>
  <c r="AO328" i="15" s="1"/>
  <c r="AO285" i="15"/>
  <c r="AO293" i="15" s="1"/>
  <c r="AY320" i="15"/>
  <c r="AY328" i="15" s="1"/>
  <c r="AY285" i="15"/>
  <c r="AY293" i="15" s="1"/>
  <c r="AI310" i="15"/>
  <c r="BK202" i="15"/>
  <c r="BL204" i="15" s="1"/>
  <c r="BJ205" i="15"/>
  <c r="AJ244" i="15"/>
  <c r="AF244" i="15"/>
  <c r="Y174" i="15"/>
  <c r="AV221" i="15"/>
  <c r="AR205" i="15"/>
  <c r="AA362" i="15"/>
  <c r="AA161" i="15"/>
  <c r="Y176" i="15"/>
  <c r="AB291" i="15"/>
  <c r="AC291" i="15" s="1"/>
  <c r="AC288" i="15"/>
  <c r="AB165" i="15"/>
  <c r="AC308" i="15"/>
  <c r="AD308" i="15" s="1"/>
  <c r="Z130" i="15"/>
  <c r="Z119" i="15"/>
  <c r="AW354" i="15"/>
  <c r="AQ354" i="15"/>
  <c r="AP354" i="15" s="1"/>
  <c r="AZ385" i="15"/>
  <c r="BC424" i="15"/>
  <c r="BD424" i="15" s="1"/>
  <c r="BE424" i="15" s="1"/>
  <c r="BF424" i="15" s="1"/>
  <c r="BB424" i="15"/>
  <c r="N484" i="15"/>
  <c r="T484" i="15"/>
  <c r="Z484" i="15"/>
  <c r="AD484" i="15"/>
  <c r="AJ484" i="15"/>
  <c r="AN490" i="15"/>
  <c r="AN487" i="15"/>
  <c r="AN504" i="15"/>
  <c r="AN505" i="15"/>
  <c r="W484" i="15"/>
  <c r="W493" i="15"/>
  <c r="AA484" i="15"/>
  <c r="AA493" i="15"/>
  <c r="AG484" i="15"/>
  <c r="AG493" i="15"/>
  <c r="AK484" i="15"/>
  <c r="AK493" i="15"/>
  <c r="AE454" i="15"/>
  <c r="AE457" i="15" s="1"/>
  <c r="AE44" i="15"/>
  <c r="AE39" i="15"/>
  <c r="S454" i="15"/>
  <c r="S457" i="15" s="1"/>
  <c r="S44" i="15"/>
  <c r="S39" i="15"/>
  <c r="U44" i="15"/>
  <c r="U39" i="15"/>
  <c r="U45" i="15" s="1"/>
  <c r="Y44" i="15"/>
  <c r="Y39" i="15"/>
  <c r="AD454" i="15"/>
  <c r="AD39" i="15"/>
  <c r="AD44" i="15"/>
  <c r="AI454" i="15"/>
  <c r="AI51" i="15"/>
  <c r="AI57" i="15" s="1"/>
  <c r="AI59" i="15" s="1"/>
  <c r="AI44" i="15"/>
  <c r="AI39" i="15"/>
  <c r="AN454" i="15"/>
  <c r="AN39" i="15"/>
  <c r="AN51" i="15"/>
  <c r="AN57" i="15" s="1"/>
  <c r="AN59" i="15" s="1"/>
  <c r="AN44" i="15"/>
  <c r="E44" i="15"/>
  <c r="E39" i="15"/>
  <c r="E45" i="15" s="1"/>
  <c r="E74" i="46" s="1"/>
  <c r="T499" i="15"/>
  <c r="T506" i="15" s="1"/>
  <c r="BD23" i="46"/>
  <c r="AF306" i="15"/>
  <c r="AF286" i="15"/>
  <c r="AF266" i="15"/>
  <c r="AF84" i="15"/>
  <c r="AF81" i="15"/>
  <c r="AF76" i="15"/>
  <c r="AF85" i="15"/>
  <c r="AF80" i="15"/>
  <c r="AF77" i="15"/>
  <c r="AF265" i="15" s="1"/>
  <c r="AH65" i="15"/>
  <c r="AK306" i="15"/>
  <c r="AK286" i="15"/>
  <c r="AK266" i="15"/>
  <c r="AK85" i="15"/>
  <c r="AK80" i="15"/>
  <c r="AK77" i="15"/>
  <c r="AK265" i="15" s="1"/>
  <c r="AK84" i="15"/>
  <c r="AK81" i="15"/>
  <c r="AK76" i="15"/>
  <c r="AM65" i="15"/>
  <c r="AR65" i="15"/>
  <c r="AW65" i="15"/>
  <c r="AZ306" i="15"/>
  <c r="AZ286" i="15"/>
  <c r="AZ266" i="15"/>
  <c r="AZ84" i="15"/>
  <c r="AZ81" i="15"/>
  <c r="AZ76" i="15"/>
  <c r="AZ85" i="15"/>
  <c r="AZ80" i="15"/>
  <c r="AZ77" i="15"/>
  <c r="AZ265" i="15" s="1"/>
  <c r="BB65" i="15"/>
  <c r="AJ376" i="15"/>
  <c r="AO103" i="15"/>
  <c r="AT103" i="15" s="1"/>
  <c r="AT376" i="15" s="1"/>
  <c r="Y310" i="15"/>
  <c r="AK376" i="15"/>
  <c r="AP103" i="15"/>
  <c r="AP376" i="15" s="1"/>
  <c r="AF230" i="15"/>
  <c r="AK230" i="15" s="1"/>
  <c r="AB230" i="15"/>
  <c r="AJ239" i="15"/>
  <c r="AJ270" i="15"/>
  <c r="AK270" i="15" s="1"/>
  <c r="AL270" i="15" s="1"/>
  <c r="AX176" i="15"/>
  <c r="BH176" i="15"/>
  <c r="AO240" i="15"/>
  <c r="AO226" i="15"/>
  <c r="AO213" i="15"/>
  <c r="AN200" i="15"/>
  <c r="BA240" i="15"/>
  <c r="BA226" i="15"/>
  <c r="BA213" i="15"/>
  <c r="AZ200" i="15"/>
  <c r="AA205" i="15"/>
  <c r="AA208" i="15" s="1"/>
  <c r="AB202" i="15"/>
  <c r="AB370" i="15" s="1"/>
  <c r="AA194" i="15"/>
  <c r="AA154" i="15" s="1"/>
  <c r="AA158" i="15" s="1"/>
  <c r="AA231" i="15"/>
  <c r="AE239" i="15"/>
  <c r="AA370" i="15"/>
  <c r="BI174" i="15"/>
  <c r="BH173" i="15"/>
  <c r="AB346" i="15"/>
  <c r="AC343" i="15"/>
  <c r="AB157" i="15"/>
  <c r="AE354" i="15"/>
  <c r="BC385" i="15"/>
  <c r="I490" i="15"/>
  <c r="I487" i="15"/>
  <c r="R490" i="15"/>
  <c r="R487" i="15"/>
  <c r="R504" i="15"/>
  <c r="R505" i="15"/>
  <c r="V490" i="15"/>
  <c r="V487" i="15"/>
  <c r="V504" i="15"/>
  <c r="V505" i="15"/>
  <c r="AB490" i="15"/>
  <c r="AB487" i="15"/>
  <c r="AB504" i="15"/>
  <c r="AB505" i="15"/>
  <c r="AF490" i="15"/>
  <c r="AF487" i="15"/>
  <c r="AF504" i="15"/>
  <c r="AF505" i="15"/>
  <c r="AL490" i="15"/>
  <c r="AL487" i="15"/>
  <c r="AL504" i="15"/>
  <c r="AL505" i="15"/>
  <c r="U487" i="15"/>
  <c r="U490" i="15"/>
  <c r="U504" i="15"/>
  <c r="Y487" i="15"/>
  <c r="Y490" i="15"/>
  <c r="Y504" i="15"/>
  <c r="AE490" i="15"/>
  <c r="AE487" i="15"/>
  <c r="AE504" i="15"/>
  <c r="AI490" i="15"/>
  <c r="AI487" i="15"/>
  <c r="AI504" i="15"/>
  <c r="AO490" i="15"/>
  <c r="AO487" i="15"/>
  <c r="AO504" i="15"/>
  <c r="R33" i="15"/>
  <c r="R37" i="15" s="1"/>
  <c r="R436" i="15"/>
  <c r="AK498" i="15"/>
  <c r="AK511" i="15" s="1"/>
  <c r="AG26" i="15"/>
  <c r="AG30" i="15"/>
  <c r="AI498" i="15"/>
  <c r="AI511" i="15" s="1"/>
  <c r="AG498" i="15"/>
  <c r="AJ498" i="15"/>
  <c r="AJ511" i="15" s="1"/>
  <c r="AE264" i="15"/>
  <c r="AE78" i="15"/>
  <c r="AE199" i="15" s="1"/>
  <c r="AE86" i="15"/>
  <c r="AE225" i="15" s="1"/>
  <c r="AE319" i="15"/>
  <c r="AE305" i="15"/>
  <c r="AE284" i="15"/>
  <c r="AE82" i="15"/>
  <c r="AE212" i="15" s="1"/>
  <c r="AJ319" i="15"/>
  <c r="AJ305" i="15"/>
  <c r="AJ284" i="15"/>
  <c r="AJ82" i="15"/>
  <c r="AJ212" i="15" s="1"/>
  <c r="AJ264" i="15"/>
  <c r="AJ78" i="15"/>
  <c r="AJ199" i="15" s="1"/>
  <c r="AJ86" i="15"/>
  <c r="AJ225" i="15" s="1"/>
  <c r="AO264" i="15"/>
  <c r="AO78" i="15"/>
  <c r="AO199" i="15" s="1"/>
  <c r="AO86" i="15"/>
  <c r="AO225" i="15" s="1"/>
  <c r="AO319" i="15"/>
  <c r="AO305" i="15"/>
  <c r="AO284" i="15"/>
  <c r="AO82" i="15"/>
  <c r="AO212" i="15" s="1"/>
  <c r="AY264" i="15"/>
  <c r="AY78" i="15"/>
  <c r="AY199" i="15" s="1"/>
  <c r="AY86" i="15"/>
  <c r="AY225" i="15" s="1"/>
  <c r="AY319" i="15"/>
  <c r="AY305" i="15"/>
  <c r="AY284" i="15"/>
  <c r="AY82" i="15"/>
  <c r="AY212" i="15" s="1"/>
  <c r="Z325" i="15"/>
  <c r="Z326" i="15" s="1"/>
  <c r="Z149" i="15" s="1"/>
  <c r="AN310" i="15"/>
  <c r="AL376" i="15"/>
  <c r="AQ103" i="15"/>
  <c r="AR370" i="15"/>
  <c r="AR163" i="15" s="1"/>
  <c r="AS268" i="15"/>
  <c r="AT268" i="15" s="1"/>
  <c r="AT274" i="15" s="1"/>
  <c r="AI376" i="15"/>
  <c r="AN103" i="15"/>
  <c r="AM103" i="15"/>
  <c r="AM376" i="15" s="1"/>
  <c r="AS176" i="15"/>
  <c r="AA240" i="15"/>
  <c r="AA226" i="15"/>
  <c r="AA213" i="15"/>
  <c r="Z200" i="15"/>
  <c r="AS202" i="15"/>
  <c r="AT202" i="15" s="1"/>
  <c r="AF217" i="15"/>
  <c r="AK217" i="15" s="1"/>
  <c r="AB217" i="15"/>
  <c r="AX217" i="15"/>
  <c r="BA217" i="15"/>
  <c r="AA375" i="15"/>
  <c r="AA245" i="15"/>
  <c r="AB242" i="15"/>
  <c r="Z377" i="15"/>
  <c r="Z164" i="15"/>
  <c r="Z166" i="15" s="1"/>
  <c r="AC323" i="15"/>
  <c r="AB156" i="15"/>
  <c r="AK354" i="15"/>
  <c r="AY385" i="15"/>
  <c r="AW342" i="15"/>
  <c r="AQ342" i="15"/>
  <c r="Y350" i="15"/>
  <c r="BB422" i="15"/>
  <c r="BC422" i="15"/>
  <c r="BD422" i="15" s="1"/>
  <c r="BE422" i="15" s="1"/>
  <c r="BF422" i="15" s="1"/>
  <c r="N490" i="15"/>
  <c r="N487" i="15"/>
  <c r="N504" i="15"/>
  <c r="N505" i="15"/>
  <c r="T490" i="15"/>
  <c r="T487" i="15"/>
  <c r="T504" i="15"/>
  <c r="T505" i="15"/>
  <c r="Z490" i="15"/>
  <c r="Z487" i="15"/>
  <c r="Z504" i="15"/>
  <c r="Z505" i="15"/>
  <c r="AD490" i="15"/>
  <c r="AD487" i="15"/>
  <c r="AD504" i="15"/>
  <c r="AD505" i="15"/>
  <c r="AJ490" i="15"/>
  <c r="AJ487" i="15"/>
  <c r="AJ504" i="15"/>
  <c r="AJ505" i="15"/>
  <c r="W487" i="15"/>
  <c r="W490" i="15"/>
  <c r="W504" i="15"/>
  <c r="AA487" i="15"/>
  <c r="AA490" i="15"/>
  <c r="AA504" i="15"/>
  <c r="AG490" i="15"/>
  <c r="AG487" i="15"/>
  <c r="AG504" i="15"/>
  <c r="AK490" i="15"/>
  <c r="AK487" i="15"/>
  <c r="AK504" i="15"/>
  <c r="L39" i="15"/>
  <c r="L44" i="15"/>
  <c r="R499" i="15"/>
  <c r="Q44" i="15"/>
  <c r="Q39" i="15"/>
  <c r="V39" i="15"/>
  <c r="V44" i="15"/>
  <c r="AC436" i="15"/>
  <c r="AC33" i="15"/>
  <c r="AC37" i="15" s="1"/>
  <c r="BA385" i="15"/>
  <c r="AG306" i="15"/>
  <c r="AG286" i="15"/>
  <c r="AG266" i="15"/>
  <c r="AG85" i="15"/>
  <c r="AG80" i="15"/>
  <c r="AG77" i="15"/>
  <c r="AG265" i="15" s="1"/>
  <c r="AG84" i="15"/>
  <c r="AG81" i="15"/>
  <c r="AG76" i="15"/>
  <c r="AL306" i="15"/>
  <c r="AL286" i="15"/>
  <c r="AL266" i="15"/>
  <c r="AL84" i="15"/>
  <c r="AL81" i="15"/>
  <c r="AL76" i="15"/>
  <c r="AL85" i="15"/>
  <c r="AL80" i="15"/>
  <c r="AL77" i="15"/>
  <c r="AL265" i="15" s="1"/>
  <c r="AQ306" i="15"/>
  <c r="AQ286" i="15"/>
  <c r="AQ266" i="15"/>
  <c r="AQ85" i="15"/>
  <c r="AQ80" i="15"/>
  <c r="AQ77" i="15"/>
  <c r="AQ265" i="15" s="1"/>
  <c r="AQ84" i="15"/>
  <c r="AQ81" i="15"/>
  <c r="AQ76" i="15"/>
  <c r="AV306" i="15"/>
  <c r="AV286" i="15"/>
  <c r="AV266" i="15"/>
  <c r="AV84" i="15"/>
  <c r="AV81" i="15"/>
  <c r="AV76" i="15"/>
  <c r="AV85" i="15"/>
  <c r="AV80" i="15"/>
  <c r="AV77" i="15"/>
  <c r="AV265" i="15" s="1"/>
  <c r="BA306" i="15"/>
  <c r="BA286" i="15"/>
  <c r="BA266" i="15"/>
  <c r="BA85" i="15"/>
  <c r="BA80" i="15"/>
  <c r="BA77" i="15"/>
  <c r="BA265" i="15" s="1"/>
  <c r="BA84" i="15"/>
  <c r="BA81" i="15"/>
  <c r="BA76" i="15"/>
  <c r="AN274" i="15"/>
  <c r="AD310" i="15"/>
  <c r="AG204" i="15"/>
  <c r="AD204" i="15"/>
  <c r="BI239" i="15"/>
  <c r="AS310" i="15"/>
  <c r="BG240" i="15"/>
  <c r="BG226" i="15"/>
  <c r="BG213" i="15"/>
  <c r="BF200" i="15"/>
  <c r="AG240" i="15"/>
  <c r="AG226" i="15"/>
  <c r="AG213" i="15"/>
  <c r="AF200" i="15"/>
  <c r="Y120" i="15"/>
  <c r="Y131" i="15" s="1"/>
  <c r="AW360" i="15"/>
  <c r="AW161" i="15" s="1"/>
  <c r="AX215" i="15"/>
  <c r="AV362" i="15"/>
  <c r="AV161" i="15"/>
  <c r="AA367" i="15"/>
  <c r="AA162" i="15"/>
  <c r="BD239" i="15"/>
  <c r="AB259" i="15"/>
  <c r="AB271" i="15"/>
  <c r="AC271" i="15" s="1"/>
  <c r="AC268" i="15"/>
  <c r="AB155" i="15"/>
  <c r="AH290" i="15"/>
  <c r="AI290" i="15" s="1"/>
  <c r="AA348" i="15"/>
  <c r="AA350" i="15" s="1"/>
  <c r="AA150" i="15"/>
  <c r="AA143" i="15"/>
  <c r="AA353" i="15"/>
  <c r="I484" i="15"/>
  <c r="I493" i="15"/>
  <c r="R484" i="15"/>
  <c r="R493" i="15"/>
  <c r="V484" i="15"/>
  <c r="V493" i="15"/>
  <c r="AB484" i="15"/>
  <c r="AB493" i="15"/>
  <c r="AF484" i="15"/>
  <c r="AF493" i="15"/>
  <c r="AL484" i="15"/>
  <c r="AL493" i="15"/>
  <c r="U484" i="15"/>
  <c r="U493" i="15"/>
  <c r="U505" i="15"/>
  <c r="Y484" i="15"/>
  <c r="Y493" i="15"/>
  <c r="Y505" i="15"/>
  <c r="AE484" i="15"/>
  <c r="AE493" i="15"/>
  <c r="AE505" i="15"/>
  <c r="AI493" i="15"/>
  <c r="AI505" i="15"/>
  <c r="BA178" i="47"/>
  <c r="BA179" i="47" s="1"/>
  <c r="AZ178" i="47"/>
  <c r="AZ179" i="47" s="1"/>
  <c r="AX141" i="47"/>
  <c r="BH146" i="47"/>
  <c r="BM146" i="47" s="1"/>
  <c r="BM144" i="47" s="1"/>
  <c r="BM22" i="47" s="1"/>
  <c r="BC144" i="47"/>
  <c r="S261" i="47"/>
  <c r="S245" i="47"/>
  <c r="S246" i="47" s="1"/>
  <c r="S106" i="46"/>
  <c r="G56" i="47"/>
  <c r="G51" i="47"/>
  <c r="G57" i="47" s="1"/>
  <c r="G73" i="46" s="1"/>
  <c r="Q51" i="47"/>
  <c r="Q56" i="47"/>
  <c r="F56" i="47"/>
  <c r="F51" i="47"/>
  <c r="F57" i="47" s="1"/>
  <c r="F73" i="46" s="1"/>
  <c r="H41" i="47"/>
  <c r="H35" i="47"/>
  <c r="X56" i="47"/>
  <c r="X51" i="47"/>
  <c r="Z56" i="47"/>
  <c r="Z51" i="47"/>
  <c r="AB41" i="47"/>
  <c r="AB35" i="47"/>
  <c r="AB20" i="65" s="1"/>
  <c r="BH113" i="47"/>
  <c r="BM113" i="47" s="1"/>
  <c r="BM115" i="47" s="1"/>
  <c r="BC115" i="47"/>
  <c r="BH17" i="46"/>
  <c r="BD121" i="47"/>
  <c r="BD131" i="47"/>
  <c r="AY129" i="47"/>
  <c r="AY19" i="47" s="1"/>
  <c r="BC131" i="47"/>
  <c r="AX129" i="47"/>
  <c r="AW271" i="47"/>
  <c r="BG271" i="47"/>
  <c r="AZ146" i="47"/>
  <c r="BJ178" i="47"/>
  <c r="BJ179" i="47" s="1"/>
  <c r="BK171" i="47"/>
  <c r="R178" i="47"/>
  <c r="R179" i="47" s="1"/>
  <c r="P179" i="47"/>
  <c r="N237" i="47"/>
  <c r="X237" i="47"/>
  <c r="AL178" i="47"/>
  <c r="AL179" i="47" s="1"/>
  <c r="L179" i="47"/>
  <c r="N56" i="47"/>
  <c r="N51" i="47"/>
  <c r="J56" i="47"/>
  <c r="J51" i="47"/>
  <c r="L56" i="47"/>
  <c r="L51" i="47"/>
  <c r="Y51" i="47"/>
  <c r="Y56" i="47"/>
  <c r="W41" i="47"/>
  <c r="W35" i="47"/>
  <c r="W20" i="65" s="1"/>
  <c r="BA121" i="47"/>
  <c r="BE24" i="47"/>
  <c r="AZ17" i="46"/>
  <c r="BE31" i="47"/>
  <c r="BE47" i="47"/>
  <c r="AZ39" i="46"/>
  <c r="BB47" i="47"/>
  <c r="AZ121" i="47"/>
  <c r="BG157" i="47"/>
  <c r="BH157" i="47"/>
  <c r="BI157" i="47" s="1"/>
  <c r="BJ157" i="47" s="1"/>
  <c r="BK157" i="47" s="1"/>
  <c r="R41" i="47"/>
  <c r="R35" i="47"/>
  <c r="BF113" i="47"/>
  <c r="BI141" i="47"/>
  <c r="BD139" i="47"/>
  <c r="BD21" i="47" s="1"/>
  <c r="BE113" i="47"/>
  <c r="BB117" i="47"/>
  <c r="BC117" i="47"/>
  <c r="AX10" i="47"/>
  <c r="X271" i="47"/>
  <c r="T276" i="47"/>
  <c r="U270" i="47" s="1"/>
  <c r="U276" i="47" s="1"/>
  <c r="V270" i="47" s="1"/>
  <c r="V276" i="47" s="1"/>
  <c r="W270" i="47" s="1"/>
  <c r="AX22" i="47"/>
  <c r="K51" i="47"/>
  <c r="K56" i="47"/>
  <c r="U51" i="47"/>
  <c r="U56" i="47"/>
  <c r="AE51" i="47"/>
  <c r="AE56" i="47"/>
  <c r="BF117" i="47"/>
  <c r="BA10" i="47"/>
  <c r="AI51" i="47"/>
  <c r="AI56" i="47"/>
  <c r="BB113" i="47"/>
  <c r="M41" i="47"/>
  <c r="M35" i="47"/>
  <c r="BC121" i="47"/>
  <c r="AZ131" i="47"/>
  <c r="BD115" i="47"/>
  <c r="BI113" i="47"/>
  <c r="AZ141" i="47"/>
  <c r="Y271" i="47"/>
  <c r="AC271" i="47" s="1"/>
  <c r="AC213" i="47"/>
  <c r="AC79" i="46" s="1"/>
  <c r="Y79" i="46"/>
  <c r="Y81" i="46" s="1"/>
  <c r="AI271" i="47"/>
  <c r="AM213" i="47"/>
  <c r="AM79" i="46" s="1"/>
  <c r="AI79" i="46"/>
  <c r="AI81" i="46" s="1"/>
  <c r="BB215" i="47"/>
  <c r="BB79" i="46"/>
  <c r="BG215" i="47"/>
  <c r="BG79" i="46"/>
  <c r="BL215" i="47"/>
  <c r="BL79" i="46"/>
  <c r="BD146" i="47"/>
  <c r="AY144" i="47"/>
  <c r="AY22" i="47" s="1"/>
  <c r="M179" i="47"/>
  <c r="AM245" i="47"/>
  <c r="AM246" i="47" s="1"/>
  <c r="AM106" i="46"/>
  <c r="AC259" i="47"/>
  <c r="N243" i="47"/>
  <c r="N240" i="47"/>
  <c r="N259" i="47"/>
  <c r="N246" i="47"/>
  <c r="X243" i="47"/>
  <c r="X301" i="47" s="1"/>
  <c r="X37" i="64" s="1"/>
  <c r="X259" i="47"/>
  <c r="X240" i="47"/>
  <c r="X246" i="47"/>
  <c r="BG292" i="47"/>
  <c r="AL271" i="47"/>
  <c r="AL79" i="46"/>
  <c r="V179" i="47"/>
  <c r="AG100" i="46"/>
  <c r="AG99" i="46"/>
  <c r="AG37" i="46"/>
  <c r="AG41" i="46" s="1"/>
  <c r="AD246" i="46"/>
  <c r="AD43" i="46"/>
  <c r="AD50" i="46" s="1"/>
  <c r="AD49" i="46"/>
  <c r="R34" i="46"/>
  <c r="R28" i="46"/>
  <c r="AF246" i="46"/>
  <c r="AF49" i="46"/>
  <c r="AF43" i="46"/>
  <c r="AF50" i="46" s="1"/>
  <c r="O246" i="46"/>
  <c r="O49" i="46"/>
  <c r="O43" i="46"/>
  <c r="O50" i="46" s="1"/>
  <c r="AC246" i="46"/>
  <c r="AC49" i="46"/>
  <c r="AC43" i="46"/>
  <c r="F246" i="46"/>
  <c r="F49" i="46"/>
  <c r="F43" i="46"/>
  <c r="F50" i="46" s="1"/>
  <c r="P246" i="46"/>
  <c r="P43" i="46"/>
  <c r="P50" i="46" s="1"/>
  <c r="P49" i="46"/>
  <c r="U246" i="46"/>
  <c r="U49" i="46"/>
  <c r="U43" i="46"/>
  <c r="U50" i="46" s="1"/>
  <c r="AS31" i="65"/>
  <c r="BG247" i="46"/>
  <c r="DR51" i="65"/>
  <c r="M28" i="46"/>
  <c r="M34" i="46"/>
  <c r="V246" i="46"/>
  <c r="V43" i="46"/>
  <c r="V50" i="46" s="1"/>
  <c r="V49" i="46"/>
  <c r="AM246" i="46"/>
  <c r="AH99" i="46"/>
  <c r="AH100" i="46"/>
  <c r="AH37" i="46"/>
  <c r="AH41" i="46" s="1"/>
  <c r="BB169" i="46"/>
  <c r="BC169" i="46"/>
  <c r="BD169" i="46" s="1"/>
  <c r="BE169" i="46" s="1"/>
  <c r="BF169" i="46" s="1"/>
  <c r="BG170" i="46"/>
  <c r="BH170" i="46"/>
  <c r="BI170" i="46" s="1"/>
  <c r="BJ170" i="46" s="1"/>
  <c r="BK170" i="46" s="1"/>
  <c r="N197" i="46"/>
  <c r="BB186" i="46"/>
  <c r="BC186" i="46"/>
  <c r="BD186" i="46" s="1"/>
  <c r="BE186" i="46" s="1"/>
  <c r="BF186" i="46" s="1"/>
  <c r="CD15" i="65"/>
  <c r="S46" i="65" s="1"/>
  <c r="CI15" i="65"/>
  <c r="X46" i="65" s="1"/>
  <c r="BC183" i="46"/>
  <c r="BD183" i="46" s="1"/>
  <c r="BE183" i="46" s="1"/>
  <c r="BF183" i="46" s="1"/>
  <c r="BB183" i="46"/>
  <c r="AM211" i="46"/>
  <c r="AM195" i="46"/>
  <c r="AM197" i="46" s="1"/>
  <c r="AL214" i="46"/>
  <c r="AL212" i="46" s="1"/>
  <c r="S231" i="46"/>
  <c r="CD22" i="65" s="1"/>
  <c r="S214" i="46"/>
  <c r="S212" i="46" s="1"/>
  <c r="S109" i="46"/>
  <c r="H34" i="46"/>
  <c r="H28" i="46"/>
  <c r="Q246" i="46"/>
  <c r="Q49" i="46"/>
  <c r="Q43" i="46"/>
  <c r="Q50" i="46" s="1"/>
  <c r="Z246" i="46"/>
  <c r="Z43" i="46"/>
  <c r="Z50" i="46" s="1"/>
  <c r="Z49" i="46"/>
  <c r="AE246" i="46"/>
  <c r="AE49" i="46"/>
  <c r="AE43" i="46"/>
  <c r="AE50" i="46" s="1"/>
  <c r="I246" i="46"/>
  <c r="I49" i="46"/>
  <c r="I43" i="46"/>
  <c r="N246" i="46"/>
  <c r="N43" i="46"/>
  <c r="N49" i="46"/>
  <c r="S246" i="46"/>
  <c r="S49" i="46"/>
  <c r="S43" i="46"/>
  <c r="X246" i="46"/>
  <c r="X43" i="46"/>
  <c r="X49" i="46"/>
  <c r="BG115" i="46"/>
  <c r="S197" i="46"/>
  <c r="I214" i="46"/>
  <c r="I212" i="46" s="1"/>
  <c r="BY15" i="65"/>
  <c r="BY17" i="65" s="1"/>
  <c r="CN15" i="65"/>
  <c r="CS15" i="65"/>
  <c r="AH46" i="65" s="1"/>
  <c r="AH214" i="46"/>
  <c r="W100" i="46"/>
  <c r="W99" i="46"/>
  <c r="W37" i="46"/>
  <c r="W41" i="46" s="1"/>
  <c r="Y246" i="46"/>
  <c r="Y49" i="46"/>
  <c r="Y43" i="46"/>
  <c r="Y50" i="46" s="1"/>
  <c r="J246" i="46"/>
  <c r="J43" i="46"/>
  <c r="J50" i="46" s="1"/>
  <c r="J49" i="46"/>
  <c r="T246" i="46"/>
  <c r="T43" i="46"/>
  <c r="T50" i="46" s="1"/>
  <c r="T49" i="46"/>
  <c r="AO246" i="46"/>
  <c r="AO49" i="46"/>
  <c r="AO43" i="46"/>
  <c r="AO50" i="46" s="1"/>
  <c r="AO63" i="46" s="1"/>
  <c r="AR31" i="65"/>
  <c r="AP248" i="46"/>
  <c r="N214" i="46"/>
  <c r="AB34" i="46"/>
  <c r="AB28" i="46"/>
  <c r="AL34" i="46"/>
  <c r="AL28" i="46"/>
  <c r="AP38" i="65"/>
  <c r="AP48" i="65" s="1"/>
  <c r="X214" i="46"/>
  <c r="S55" i="65"/>
  <c r="S56" i="65" s="1"/>
  <c r="AU301" i="15" l="1"/>
  <c r="AU331" i="15"/>
  <c r="AU313" i="15"/>
  <c r="AU315" i="15" s="1"/>
  <c r="AU334" i="15"/>
  <c r="AU336" i="15" s="1"/>
  <c r="AU235" i="15"/>
  <c r="AU147" i="15"/>
  <c r="AU196" i="15"/>
  <c r="G43" i="46"/>
  <c r="G50" i="46" s="1"/>
  <c r="AI246" i="46"/>
  <c r="AM49" i="46"/>
  <c r="AI43" i="46"/>
  <c r="AI50" i="46" s="1"/>
  <c r="AI51" i="46" s="1"/>
  <c r="AL436" i="15"/>
  <c r="G246" i="46"/>
  <c r="AH45" i="47"/>
  <c r="AH49" i="47" s="1"/>
  <c r="AH51" i="47" s="1"/>
  <c r="K49" i="46"/>
  <c r="AB285" i="15"/>
  <c r="AB293" i="15" s="1"/>
  <c r="AB294" i="15" s="1"/>
  <c r="AB296" i="15" s="1"/>
  <c r="H436" i="15"/>
  <c r="AO454" i="15"/>
  <c r="AO457" i="15" s="1"/>
  <c r="AH254" i="47"/>
  <c r="AH261" i="47" s="1"/>
  <c r="O51" i="47"/>
  <c r="O57" i="47" s="1"/>
  <c r="O181" i="72"/>
  <c r="O183" i="72" s="1"/>
  <c r="L246" i="46"/>
  <c r="AX181" i="72"/>
  <c r="AX183" i="72" s="1"/>
  <c r="X234" i="46"/>
  <c r="AH82" i="47"/>
  <c r="E49" i="46"/>
  <c r="E246" i="46"/>
  <c r="AO56" i="47"/>
  <c r="AM498" i="15"/>
  <c r="AM511" i="15" s="1"/>
  <c r="W499" i="15"/>
  <c r="X499" i="15" s="1"/>
  <c r="X506" i="15" s="1"/>
  <c r="AJ246" i="46"/>
  <c r="AI226" i="15"/>
  <c r="AA246" i="46"/>
  <c r="AJ49" i="46"/>
  <c r="AA49" i="46"/>
  <c r="T51" i="47"/>
  <c r="T206" i="47" s="1"/>
  <c r="T56" i="51" s="1"/>
  <c r="T58" i="51" s="1"/>
  <c r="AI213" i="15"/>
  <c r="AN181" i="72"/>
  <c r="AJ56" i="47"/>
  <c r="K39" i="51"/>
  <c r="K45" i="51" s="1"/>
  <c r="K43" i="46"/>
  <c r="K50" i="46" s="1"/>
  <c r="K51" i="46" s="1"/>
  <c r="AL35" i="47"/>
  <c r="AL20" i="65" s="1"/>
  <c r="AO51" i="15"/>
  <c r="AO57" i="15" s="1"/>
  <c r="AO59" i="15" s="1"/>
  <c r="AO39" i="15"/>
  <c r="AO45" i="15" s="1"/>
  <c r="AO74" i="46" s="1"/>
  <c r="T181" i="72"/>
  <c r="T183" i="72" s="1"/>
  <c r="AK43" i="46"/>
  <c r="AK50" i="46" s="1"/>
  <c r="AK63" i="46" s="1"/>
  <c r="AK56" i="47"/>
  <c r="U39" i="51"/>
  <c r="U45" i="51" s="1"/>
  <c r="Z299" i="15"/>
  <c r="AA306" i="15"/>
  <c r="AC306" i="15" s="1"/>
  <c r="AA77" i="15"/>
  <c r="AA265" i="15" s="1"/>
  <c r="AU181" i="72"/>
  <c r="AO181" i="72"/>
  <c r="AY181" i="72"/>
  <c r="AZ191" i="47" s="1"/>
  <c r="AZ217" i="47" s="1"/>
  <c r="AZ223" i="47" s="1"/>
  <c r="AD56" i="47"/>
  <c r="AK51" i="15"/>
  <c r="AK57" i="15" s="1"/>
  <c r="AK59" i="15" s="1"/>
  <c r="BJ181" i="72"/>
  <c r="BK191" i="47" s="1"/>
  <c r="BK217" i="47" s="1"/>
  <c r="BK223" i="47" s="1"/>
  <c r="AK454" i="15"/>
  <c r="AK457" i="15" s="1"/>
  <c r="BH10" i="72"/>
  <c r="BI88" i="46" s="1"/>
  <c r="BI137" i="46" s="1"/>
  <c r="AA80" i="15"/>
  <c r="AA319" i="15" s="1"/>
  <c r="AA325" i="15" s="1"/>
  <c r="AA326" i="15" s="1"/>
  <c r="AA149" i="15" s="1"/>
  <c r="AA266" i="15"/>
  <c r="AC266" i="15" s="1"/>
  <c r="AF499" i="15"/>
  <c r="AF506" i="15" s="1"/>
  <c r="L49" i="46"/>
  <c r="S56" i="47"/>
  <c r="AA286" i="15"/>
  <c r="AC286" i="15" s="1"/>
  <c r="AA76" i="15"/>
  <c r="AA264" i="15" s="1"/>
  <c r="BG181" i="72"/>
  <c r="BG183" i="72" s="1"/>
  <c r="BH192" i="47"/>
  <c r="BH218" i="47" s="1"/>
  <c r="AB30" i="51"/>
  <c r="AB33" i="51" s="1"/>
  <c r="AB37" i="51" s="1"/>
  <c r="AB39" i="51" s="1"/>
  <c r="AB45" i="51" s="1"/>
  <c r="AA84" i="15"/>
  <c r="AC84" i="15" s="1"/>
  <c r="T44" i="15"/>
  <c r="AA81" i="15"/>
  <c r="AA320" i="15" s="1"/>
  <c r="AA328" i="15" s="1"/>
  <c r="AA329" i="15" s="1"/>
  <c r="AQ163" i="15"/>
  <c r="Z296" i="15"/>
  <c r="AK39" i="15"/>
  <c r="AK45" i="15" s="1"/>
  <c r="W436" i="15"/>
  <c r="Z297" i="15"/>
  <c r="Z148" i="15" s="1"/>
  <c r="AE44" i="51"/>
  <c r="BI30" i="72"/>
  <c r="BI11" i="72" s="1"/>
  <c r="AA85" i="15"/>
  <c r="N181" i="72"/>
  <c r="N183" i="72" s="1"/>
  <c r="BB181" i="72"/>
  <c r="BB183" i="72" s="1"/>
  <c r="AZ181" i="72"/>
  <c r="BA191" i="47" s="1"/>
  <c r="BA217" i="47" s="1"/>
  <c r="BA223" i="47" s="1"/>
  <c r="AL506" i="15"/>
  <c r="AO44" i="51"/>
  <c r="Y44" i="51"/>
  <c r="S44" i="51"/>
  <c r="AT181" i="72"/>
  <c r="AT183" i="72" s="1"/>
  <c r="AP181" i="72"/>
  <c r="AA221" i="15"/>
  <c r="W21" i="65"/>
  <c r="AF454" i="15"/>
  <c r="AF457" i="15" s="1"/>
  <c r="AE499" i="15"/>
  <c r="AE506" i="15" s="1"/>
  <c r="V39" i="51"/>
  <c r="V45" i="51" s="1"/>
  <c r="G149" i="46"/>
  <c r="G151" i="46" s="1"/>
  <c r="G153" i="46" s="1"/>
  <c r="AV11" i="72"/>
  <c r="AV12" i="72" s="1"/>
  <c r="AB511" i="15"/>
  <c r="AF44" i="15"/>
  <c r="AA499" i="15"/>
  <c r="AA506" i="15" s="1"/>
  <c r="R27" i="51"/>
  <c r="BH181" i="72"/>
  <c r="BI191" i="47" s="1"/>
  <c r="BI217" i="47" s="1"/>
  <c r="BI223" i="47" s="1"/>
  <c r="Y247" i="15"/>
  <c r="Y499" i="15"/>
  <c r="Y506" i="15" s="1"/>
  <c r="AM108" i="46"/>
  <c r="BJ10" i="72"/>
  <c r="BK88" i="46" s="1"/>
  <c r="BK137" i="46" s="1"/>
  <c r="Y195" i="15"/>
  <c r="Y196" i="15" s="1"/>
  <c r="AB360" i="15"/>
  <c r="AB362" i="15" s="1"/>
  <c r="AR181" i="72"/>
  <c r="AR183" i="72" s="1"/>
  <c r="AC206" i="46"/>
  <c r="V56" i="47"/>
  <c r="AA51" i="47"/>
  <c r="AA57" i="47" s="1"/>
  <c r="M499" i="15"/>
  <c r="M506" i="15" s="1"/>
  <c r="AB78" i="15"/>
  <c r="AB199" i="15" s="1"/>
  <c r="Z276" i="15"/>
  <c r="BC181" i="72"/>
  <c r="BD191" i="47" s="1"/>
  <c r="BD217" i="47" s="1"/>
  <c r="BD223" i="47" s="1"/>
  <c r="BF11" i="72"/>
  <c r="BF12" i="72" s="1"/>
  <c r="AC228" i="15"/>
  <c r="AC365" i="15" s="1"/>
  <c r="AC162" i="15" s="1"/>
  <c r="AB231" i="15"/>
  <c r="AB234" i="15" s="1"/>
  <c r="AU30" i="72"/>
  <c r="M27" i="51"/>
  <c r="AG35" i="47"/>
  <c r="AG20" i="65" s="1"/>
  <c r="K499" i="15"/>
  <c r="K506" i="15" s="1"/>
  <c r="J499" i="15"/>
  <c r="J506" i="15" s="1"/>
  <c r="AK39" i="51"/>
  <c r="AK45" i="51" s="1"/>
  <c r="DJ10" i="72"/>
  <c r="BE93" i="46" s="1"/>
  <c r="R44" i="51"/>
  <c r="AB284" i="15"/>
  <c r="AK30" i="72"/>
  <c r="AC30" i="72"/>
  <c r="AC32" i="72" s="1"/>
  <c r="AI181" i="72"/>
  <c r="AI183" i="72" s="1"/>
  <c r="AB86" i="15"/>
  <c r="AB225" i="15" s="1"/>
  <c r="AK49" i="46"/>
  <c r="AC209" i="46"/>
  <c r="I51" i="47"/>
  <c r="I57" i="47" s="1"/>
  <c r="Z279" i="15"/>
  <c r="O499" i="15"/>
  <c r="O506" i="15" s="1"/>
  <c r="AC212" i="46"/>
  <c r="AC229" i="46"/>
  <c r="CN20" i="65" s="1"/>
  <c r="P56" i="47"/>
  <c r="Z195" i="15"/>
  <c r="Z196" i="15" s="1"/>
  <c r="Y299" i="15"/>
  <c r="AC230" i="46"/>
  <c r="CN21" i="65" s="1"/>
  <c r="AR30" i="72"/>
  <c r="M436" i="15"/>
  <c r="AA44" i="51"/>
  <c r="AT30" i="72"/>
  <c r="AM30" i="72"/>
  <c r="AM32" i="72" s="1"/>
  <c r="AW30" i="72"/>
  <c r="AW11" i="72" s="1"/>
  <c r="N44" i="51"/>
  <c r="AB11" i="72"/>
  <c r="AB12" i="72" s="1"/>
  <c r="S30" i="72"/>
  <c r="S32" i="72" s="1"/>
  <c r="AL27" i="51"/>
  <c r="AN56" i="47"/>
  <c r="AB82" i="15"/>
  <c r="AB212" i="15" s="1"/>
  <c r="AO39" i="51"/>
  <c r="AO45" i="51" s="1"/>
  <c r="AO75" i="46" s="1"/>
  <c r="AM44" i="51"/>
  <c r="AY441" i="15"/>
  <c r="AY464" i="15" s="1"/>
  <c r="AB305" i="15"/>
  <c r="AB310" i="15" s="1"/>
  <c r="AB311" i="15" s="1"/>
  <c r="AB314" i="15" s="1"/>
  <c r="E39" i="51"/>
  <c r="E45" i="51" s="1"/>
  <c r="R11" i="72"/>
  <c r="R12" i="72" s="1"/>
  <c r="Y179" i="15"/>
  <c r="Y177" i="15" s="1"/>
  <c r="Y183" i="15" s="1"/>
  <c r="H30" i="51"/>
  <c r="H33" i="51" s="1"/>
  <c r="H37" i="51" s="1"/>
  <c r="H39" i="51" s="1"/>
  <c r="H45" i="51" s="1"/>
  <c r="AB499" i="15"/>
  <c r="AD499" i="15"/>
  <c r="AD506" i="15" s="1"/>
  <c r="Q30" i="72"/>
  <c r="Q32" i="72" s="1"/>
  <c r="AA30" i="72"/>
  <c r="AA32" i="72" s="1"/>
  <c r="BG192" i="47"/>
  <c r="P499" i="15"/>
  <c r="P506" i="15" s="1"/>
  <c r="N498" i="15"/>
  <c r="N511" i="15" s="1"/>
  <c r="M511" i="15"/>
  <c r="BB30" i="72"/>
  <c r="AH30" i="72"/>
  <c r="AH32" i="72" s="1"/>
  <c r="BL10" i="72"/>
  <c r="BM88" i="46" s="1"/>
  <c r="BM137" i="46" s="1"/>
  <c r="AF51" i="47"/>
  <c r="AF206" i="47" s="1"/>
  <c r="AV32" i="72"/>
  <c r="CD17" i="65"/>
  <c r="DK10" i="72"/>
  <c r="BF93" i="46" s="1"/>
  <c r="Z247" i="15"/>
  <c r="Z190" i="15" s="1"/>
  <c r="J51" i="46"/>
  <c r="AJ243" i="47"/>
  <c r="AJ246" i="47"/>
  <c r="AJ237" i="47"/>
  <c r="AJ240" i="47"/>
  <c r="AM270" i="15"/>
  <c r="AN270" i="15" s="1"/>
  <c r="AO270" i="15" s="1"/>
  <c r="AP270" i="15" s="1"/>
  <c r="AP271" i="15" s="1"/>
  <c r="AT205" i="15"/>
  <c r="BD20" i="51"/>
  <c r="BD26" i="51" s="1"/>
  <c r="AN37" i="46"/>
  <c r="AN41" i="46" s="1"/>
  <c r="AN100" i="46"/>
  <c r="AN99" i="46"/>
  <c r="AT276" i="15"/>
  <c r="AT370" i="15"/>
  <c r="AT372" i="15" s="1"/>
  <c r="DH199" i="72"/>
  <c r="DH201" i="72" s="1"/>
  <c r="BO10" i="72"/>
  <c r="BP88" i="46" s="1"/>
  <c r="BP137" i="46" s="1"/>
  <c r="BO173" i="46" s="1"/>
  <c r="DA10" i="72"/>
  <c r="M11" i="72"/>
  <c r="M12" i="72" s="1"/>
  <c r="AQ37" i="46"/>
  <c r="AQ41" i="46" s="1"/>
  <c r="AQ100" i="46"/>
  <c r="AQ99" i="46"/>
  <c r="BF32" i="72"/>
  <c r="AL11" i="72"/>
  <c r="AL12" i="72" s="1"/>
  <c r="BL197" i="47"/>
  <c r="AN30" i="72"/>
  <c r="AN32" i="72" s="1"/>
  <c r="DH10" i="72"/>
  <c r="BC93" i="46" s="1"/>
  <c r="BJ192" i="47"/>
  <c r="BJ218" i="47" s="1"/>
  <c r="L11" i="72"/>
  <c r="L12" i="72" s="1"/>
  <c r="P181" i="72"/>
  <c r="P183" i="72" s="1"/>
  <c r="Q181" i="72"/>
  <c r="Q183" i="72" s="1"/>
  <c r="BE181" i="72"/>
  <c r="BF191" i="47" s="1"/>
  <c r="BF217" i="47" s="1"/>
  <c r="BF223" i="47" s="1"/>
  <c r="U181" i="72"/>
  <c r="U183" i="72" s="1"/>
  <c r="S181" i="72"/>
  <c r="S183" i="72" s="1"/>
  <c r="BD181" i="72"/>
  <c r="BD183" i="72" s="1"/>
  <c r="AA181" i="72"/>
  <c r="AA183" i="72" s="1"/>
  <c r="AE181" i="72"/>
  <c r="AE183" i="72" s="1"/>
  <c r="BE30" i="72"/>
  <c r="BF51" i="51" s="1"/>
  <c r="N30" i="72"/>
  <c r="N32" i="72" s="1"/>
  <c r="AD30" i="72"/>
  <c r="AD32" i="72" s="1"/>
  <c r="X30" i="72"/>
  <c r="X32" i="72" s="1"/>
  <c r="AX30" i="72"/>
  <c r="AX32" i="72" s="1"/>
  <c r="M32" i="72"/>
  <c r="BN10" i="72"/>
  <c r="BO88" i="46" s="1"/>
  <c r="BO137" i="46" s="1"/>
  <c r="X183" i="72"/>
  <c r="V183" i="72"/>
  <c r="AD181" i="72"/>
  <c r="AD183" i="72" s="1"/>
  <c r="AH181" i="72"/>
  <c r="AH183" i="72" s="1"/>
  <c r="Z181" i="72"/>
  <c r="Z183" i="72" s="1"/>
  <c r="AK181" i="72"/>
  <c r="AK183" i="72" s="1"/>
  <c r="AC181" i="72"/>
  <c r="AC183" i="72" s="1"/>
  <c r="AJ181" i="72"/>
  <c r="AJ183" i="72" s="1"/>
  <c r="Y181" i="72"/>
  <c r="Y183" i="72" s="1"/>
  <c r="AF181" i="72"/>
  <c r="AF183" i="72" s="1"/>
  <c r="AS183" i="72"/>
  <c r="AS11" i="72"/>
  <c r="AS12" i="72" s="1"/>
  <c r="CJ11" i="72"/>
  <c r="AM45" i="47"/>
  <c r="AM49" i="47" s="1"/>
  <c r="AM82" i="47"/>
  <c r="AM83" i="47"/>
  <c r="AM254" i="47"/>
  <c r="AM261" i="47" s="1"/>
  <c r="AM20" i="65"/>
  <c r="S260" i="47"/>
  <c r="AQ246" i="47"/>
  <c r="CL11" i="72"/>
  <c r="S237" i="47"/>
  <c r="AG39" i="51"/>
  <c r="AG45" i="51" s="1"/>
  <c r="F44" i="51"/>
  <c r="BC10" i="51"/>
  <c r="BC18" i="51" s="1"/>
  <c r="BC20" i="51" s="1"/>
  <c r="BC26" i="51" s="1"/>
  <c r="AX11" i="51"/>
  <c r="BH9" i="51"/>
  <c r="BM9" i="51" s="1"/>
  <c r="BI9" i="51"/>
  <c r="BD11" i="51"/>
  <c r="BF10" i="51"/>
  <c r="BF18" i="51" s="1"/>
  <c r="BF20" i="51" s="1"/>
  <c r="BA11" i="51"/>
  <c r="AG27" i="51"/>
  <c r="AR372" i="15"/>
  <c r="BK114" i="46"/>
  <c r="BK469" i="15"/>
  <c r="AP342" i="15"/>
  <c r="AO342" i="15" s="1"/>
  <c r="AN342" i="15" s="1"/>
  <c r="BN23" i="46"/>
  <c r="AB39" i="15"/>
  <c r="AB45" i="15" s="1"/>
  <c r="AB44" i="15"/>
  <c r="AQ30" i="51"/>
  <c r="AQ33" i="51" s="1"/>
  <c r="AQ37" i="51" s="1"/>
  <c r="AQ27" i="51"/>
  <c r="BQ240" i="15"/>
  <c r="BP200" i="15"/>
  <c r="BQ226" i="15"/>
  <c r="BQ213" i="15"/>
  <c r="AA234" i="15"/>
  <c r="BM23" i="46"/>
  <c r="AQ33" i="15"/>
  <c r="AQ37" i="15" s="1"/>
  <c r="AQ436" i="15"/>
  <c r="AL454" i="15"/>
  <c r="AL457" i="15" s="1"/>
  <c r="AL39" i="15"/>
  <c r="AL45" i="15" s="1"/>
  <c r="AL51" i="15"/>
  <c r="AL57" i="15" s="1"/>
  <c r="AL59" i="15" s="1"/>
  <c r="AL44" i="15"/>
  <c r="DJ199" i="72"/>
  <c r="BE446" i="15" s="1"/>
  <c r="BD30" i="72"/>
  <c r="BE51" i="51" s="1"/>
  <c r="AI30" i="72"/>
  <c r="AI32" i="72" s="1"/>
  <c r="AJ30" i="72"/>
  <c r="AJ32" i="72" s="1"/>
  <c r="P30" i="72"/>
  <c r="P32" i="72" s="1"/>
  <c r="BG30" i="72"/>
  <c r="U30" i="72"/>
  <c r="U32" i="72" s="1"/>
  <c r="AE30" i="72"/>
  <c r="AE32" i="72" s="1"/>
  <c r="Z30" i="72"/>
  <c r="Z32" i="72" s="1"/>
  <c r="CG11" i="72"/>
  <c r="CG12" i="72" s="1"/>
  <c r="BU11" i="72"/>
  <c r="BU12" i="72" s="1"/>
  <c r="AO30" i="72"/>
  <c r="AO32" i="72" s="1"/>
  <c r="AY30" i="72"/>
  <c r="CI11" i="72"/>
  <c r="CF11" i="72"/>
  <c r="CF12" i="72" s="1"/>
  <c r="CY10" i="72"/>
  <c r="BJ30" i="72"/>
  <c r="T30" i="72"/>
  <c r="T32" i="72" s="1"/>
  <c r="DH183" i="72"/>
  <c r="BQ218" i="47"/>
  <c r="DE183" i="72"/>
  <c r="BQ192" i="47"/>
  <c r="CZ10" i="72"/>
  <c r="DI183" i="72"/>
  <c r="DC10" i="72"/>
  <c r="AX93" i="46" s="1"/>
  <c r="BD197" i="47"/>
  <c r="BG197" i="47" s="1"/>
  <c r="BM10" i="72"/>
  <c r="BN88" i="46" s="1"/>
  <c r="BN137" i="46" s="1"/>
  <c r="AZ197" i="47"/>
  <c r="BB197" i="47" s="1"/>
  <c r="BC30" i="72"/>
  <c r="O30" i="72"/>
  <c r="O32" i="72" s="1"/>
  <c r="BH30" i="72"/>
  <c r="BH32" i="72" s="1"/>
  <c r="V30" i="72"/>
  <c r="V11" i="72" s="1"/>
  <c r="V12" i="72" s="1"/>
  <c r="CE11" i="72"/>
  <c r="CE12" i="72" s="1"/>
  <c r="AF30" i="72"/>
  <c r="Y30" i="72"/>
  <c r="Y32" i="72" s="1"/>
  <c r="AP30" i="72"/>
  <c r="AP32" i="72" s="1"/>
  <c r="AZ30" i="72"/>
  <c r="BA51" i="51" s="1"/>
  <c r="DF10" i="72"/>
  <c r="BA93" i="46" s="1"/>
  <c r="DD10" i="72"/>
  <c r="AY93" i="46" s="1"/>
  <c r="CH38" i="72"/>
  <c r="CC169" i="72"/>
  <c r="AW183" i="72"/>
  <c r="AX191" i="47"/>
  <c r="AX217" i="47" s="1"/>
  <c r="AX223" i="47" s="1"/>
  <c r="BI183" i="72"/>
  <c r="BJ191" i="47"/>
  <c r="BJ217" i="47" s="1"/>
  <c r="AY201" i="72"/>
  <c r="BA441" i="15"/>
  <c r="BA464" i="15" s="1"/>
  <c r="DD201" i="72"/>
  <c r="AQ240" i="47"/>
  <c r="AQ243" i="47"/>
  <c r="BC196" i="47"/>
  <c r="BG196" i="47" s="1"/>
  <c r="DJ183" i="72"/>
  <c r="DF183" i="72"/>
  <c r="BL170" i="46"/>
  <c r="BM170" i="46"/>
  <c r="BN170" i="46" s="1"/>
  <c r="BO170" i="46" s="1"/>
  <c r="BP170" i="46" s="1"/>
  <c r="BQ170" i="46" s="1"/>
  <c r="BY70" i="67"/>
  <c r="BY73" i="67"/>
  <c r="BP102" i="67"/>
  <c r="BY69" i="67"/>
  <c r="BY72" i="67"/>
  <c r="CK11" i="72"/>
  <c r="BL35" i="51"/>
  <c r="BM35" i="51"/>
  <c r="BI139" i="47"/>
  <c r="BI21" i="47" s="1"/>
  <c r="BN141" i="47"/>
  <c r="BN139" i="47" s="1"/>
  <c r="BN21" i="47" s="1"/>
  <c r="BL157" i="47"/>
  <c r="BM157" i="47"/>
  <c r="BN157" i="47" s="1"/>
  <c r="BO157" i="47" s="1"/>
  <c r="BP157" i="47" s="1"/>
  <c r="BQ157" i="47" s="1"/>
  <c r="BI18" i="51"/>
  <c r="BN14" i="51"/>
  <c r="BN18" i="51" s="1"/>
  <c r="AM45" i="51"/>
  <c r="AM53" i="64"/>
  <c r="AC45" i="51"/>
  <c r="AC53" i="64"/>
  <c r="BI115" i="47"/>
  <c r="BN113" i="47"/>
  <c r="BN115" i="47" s="1"/>
  <c r="AY103" i="67"/>
  <c r="BP104" i="67"/>
  <c r="BP100" i="67"/>
  <c r="AZ103" i="67"/>
  <c r="BA103" i="67"/>
  <c r="BB103" i="67"/>
  <c r="BP101" i="67"/>
  <c r="CA11" i="72"/>
  <c r="CA12" i="72" s="1"/>
  <c r="DK183" i="72"/>
  <c r="Z179" i="15"/>
  <c r="Z177" i="15" s="1"/>
  <c r="Z183" i="15" s="1"/>
  <c r="Z121" i="15" s="1"/>
  <c r="BO20" i="67"/>
  <c r="BB218" i="47"/>
  <c r="BY11" i="72"/>
  <c r="BY12" i="72" s="1"/>
  <c r="BW11" i="72"/>
  <c r="BW12" i="72" s="1"/>
  <c r="BV11" i="72"/>
  <c r="BV12" i="72" s="1"/>
  <c r="DD11" i="72"/>
  <c r="AY92" i="46" s="1"/>
  <c r="BZ11" i="72"/>
  <c r="BZ12" i="72" s="1"/>
  <c r="DD183" i="72"/>
  <c r="AX446" i="15"/>
  <c r="CB11" i="72"/>
  <c r="CB12" i="72" s="1"/>
  <c r="CD11" i="72"/>
  <c r="CD12" i="72" s="1"/>
  <c r="BT11" i="72"/>
  <c r="BT12" i="72" s="1"/>
  <c r="BB196" i="47"/>
  <c r="DC183" i="72"/>
  <c r="DI199" i="72"/>
  <c r="BD446" i="15" s="1"/>
  <c r="DC11" i="72"/>
  <c r="AX92" i="46" s="1"/>
  <c r="DT197" i="72"/>
  <c r="DT199" i="72" s="1"/>
  <c r="DT201" i="72" s="1"/>
  <c r="DR197" i="72"/>
  <c r="DR199" i="72" s="1"/>
  <c r="DR201" i="72" s="1"/>
  <c r="DU197" i="72"/>
  <c r="DU199" i="72" s="1"/>
  <c r="DU201" i="72" s="1"/>
  <c r="DS197" i="72"/>
  <c r="DS199" i="72" s="1"/>
  <c r="DS201" i="72" s="1"/>
  <c r="BK446" i="15"/>
  <c r="DP201" i="72"/>
  <c r="BJ446" i="15"/>
  <c r="DO201" i="72"/>
  <c r="BI446" i="15"/>
  <c r="DN201" i="72"/>
  <c r="BH446" i="15"/>
  <c r="DM201" i="72"/>
  <c r="AZ446" i="15"/>
  <c r="DE201" i="72"/>
  <c r="DE11" i="72"/>
  <c r="AZ92" i="46" s="1"/>
  <c r="BA446" i="15"/>
  <c r="DF201" i="72"/>
  <c r="DF11" i="72"/>
  <c r="BA92" i="46" s="1"/>
  <c r="AW201" i="72"/>
  <c r="AX441" i="15"/>
  <c r="AX464" i="15" s="1"/>
  <c r="BF446" i="15"/>
  <c r="DK201" i="72"/>
  <c r="DK11" i="72"/>
  <c r="BF92" i="46" s="1"/>
  <c r="BL117" i="46"/>
  <c r="BQ247" i="46"/>
  <c r="EB51" i="65"/>
  <c r="BF86" i="15"/>
  <c r="BF225" i="15" s="1"/>
  <c r="BO23" i="67"/>
  <c r="BO24" i="67"/>
  <c r="BO21" i="67"/>
  <c r="BN306" i="15"/>
  <c r="BN266" i="15"/>
  <c r="BN286" i="15"/>
  <c r="BM65" i="15"/>
  <c r="BO90" i="15"/>
  <c r="BP77" i="15"/>
  <c r="BP265" i="15" s="1"/>
  <c r="BP273" i="15" s="1"/>
  <c r="BO89" i="15"/>
  <c r="BO76" i="15" s="1"/>
  <c r="BP89" i="15"/>
  <c r="BP76" i="15" s="1"/>
  <c r="BM89" i="15"/>
  <c r="BN89" i="15"/>
  <c r="BN76" i="15" s="1"/>
  <c r="BN96" i="15"/>
  <c r="BM96" i="15" s="1"/>
  <c r="BM239" i="15"/>
  <c r="AH81" i="15"/>
  <c r="AH285" i="15" s="1"/>
  <c r="Z331" i="15"/>
  <c r="AM76" i="15"/>
  <c r="AM264" i="15" s="1"/>
  <c r="AM84" i="15"/>
  <c r="BK84" i="15"/>
  <c r="BK85" i="15"/>
  <c r="BO72" i="15"/>
  <c r="BP84" i="15"/>
  <c r="BP85" i="15"/>
  <c r="BO100" i="67"/>
  <c r="X65" i="15"/>
  <c r="BO71" i="15"/>
  <c r="BP81" i="15"/>
  <c r="BP80" i="15"/>
  <c r="CI17" i="65"/>
  <c r="BR183" i="72"/>
  <c r="BO465" i="15"/>
  <c r="BQ442" i="15"/>
  <c r="BX178" i="72"/>
  <c r="BX181" i="72" s="1"/>
  <c r="BS11" i="72"/>
  <c r="BS12" i="72" s="1"/>
  <c r="BR11" i="72"/>
  <c r="BR12" i="72" s="1"/>
  <c r="AH286" i="15"/>
  <c r="Y334" i="15"/>
  <c r="AM81" i="15"/>
  <c r="AM285" i="15" s="1"/>
  <c r="AK86" i="15"/>
  <c r="AK225" i="15" s="1"/>
  <c r="U78" i="15"/>
  <c r="V84" i="15"/>
  <c r="V77" i="15"/>
  <c r="V76" i="15"/>
  <c r="V80" i="15"/>
  <c r="V85" i="15"/>
  <c r="V81" i="15"/>
  <c r="U86" i="15"/>
  <c r="U82" i="15"/>
  <c r="W80" i="15"/>
  <c r="W84" i="15"/>
  <c r="W76" i="15"/>
  <c r="W85" i="15"/>
  <c r="W77" i="15"/>
  <c r="W81" i="15"/>
  <c r="BL464" i="15"/>
  <c r="BB192" i="47"/>
  <c r="BG464" i="15"/>
  <c r="P39" i="51"/>
  <c r="P45" i="51" s="1"/>
  <c r="P44" i="51"/>
  <c r="W27" i="51"/>
  <c r="W30" i="51"/>
  <c r="W33" i="51" s="1"/>
  <c r="W37" i="51" s="1"/>
  <c r="AJ39" i="51"/>
  <c r="AJ45" i="51" s="1"/>
  <c r="AJ44" i="51"/>
  <c r="AD44" i="51"/>
  <c r="AD39" i="51"/>
  <c r="AD45" i="51" s="1"/>
  <c r="M44" i="51"/>
  <c r="L39" i="51"/>
  <c r="L45" i="51" s="1"/>
  <c r="L44" i="51"/>
  <c r="X44" i="51"/>
  <c r="X39" i="51"/>
  <c r="X45" i="51" s="1"/>
  <c r="AH44" i="51"/>
  <c r="AH39" i="51"/>
  <c r="Z44" i="51"/>
  <c r="Z39" i="51"/>
  <c r="Z45" i="51" s="1"/>
  <c r="T39" i="51"/>
  <c r="T45" i="51" s="1"/>
  <c r="T44" i="51"/>
  <c r="AC254" i="47"/>
  <c r="AC261" i="47" s="1"/>
  <c r="AC20" i="65"/>
  <c r="AC83" i="47"/>
  <c r="AC45" i="47"/>
  <c r="AC49" i="47" s="1"/>
  <c r="AC82" i="47"/>
  <c r="AF44" i="51"/>
  <c r="AF39" i="51"/>
  <c r="AF45" i="51" s="1"/>
  <c r="AN44" i="51"/>
  <c r="AN39" i="51"/>
  <c r="AN45" i="51" s="1"/>
  <c r="E45" i="47"/>
  <c r="E49" i="47" s="1"/>
  <c r="E82" i="47"/>
  <c r="E83" i="47"/>
  <c r="AL39" i="51"/>
  <c r="AL45" i="51" s="1"/>
  <c r="AL44" i="51"/>
  <c r="DI32" i="72"/>
  <c r="BR32" i="72"/>
  <c r="AZ244" i="15"/>
  <c r="BJ244" i="15" s="1"/>
  <c r="BO244" i="15" s="1"/>
  <c r="AV244" i="15"/>
  <c r="S108" i="46"/>
  <c r="BA114" i="46"/>
  <c r="BA469" i="15"/>
  <c r="AL273" i="15"/>
  <c r="AF273" i="15"/>
  <c r="AC54" i="65"/>
  <c r="AC56" i="65" s="1"/>
  <c r="AH52" i="65"/>
  <c r="AR286" i="15"/>
  <c r="BB286" i="15"/>
  <c r="BF80" i="15"/>
  <c r="BF305" i="15" s="1"/>
  <c r="BF310" i="15" s="1"/>
  <c r="BF81" i="15"/>
  <c r="BF285" i="15" s="1"/>
  <c r="BF293" i="15" s="1"/>
  <c r="DK32" i="72"/>
  <c r="BN101" i="67"/>
  <c r="BO101" i="67"/>
  <c r="BB80" i="15"/>
  <c r="BB305" i="15" s="1"/>
  <c r="AQ273" i="15"/>
  <c r="AQ274" i="15" s="1"/>
  <c r="BA273" i="15"/>
  <c r="BK273" i="15"/>
  <c r="AV273" i="15"/>
  <c r="AZ273" i="15"/>
  <c r="AG273" i="15"/>
  <c r="AW77" i="15"/>
  <c r="AW265" i="15" s="1"/>
  <c r="Z332" i="15"/>
  <c r="Z335" i="15" s="1"/>
  <c r="AW85" i="15"/>
  <c r="AK273" i="15"/>
  <c r="AM85" i="15"/>
  <c r="Z313" i="15"/>
  <c r="Z315" i="15" s="1"/>
  <c r="BE306" i="15"/>
  <c r="BE266" i="15"/>
  <c r="BE286" i="15"/>
  <c r="BE85" i="15"/>
  <c r="BE77" i="15"/>
  <c r="BE265" i="15" s="1"/>
  <c r="BE84" i="15"/>
  <c r="BE76" i="15"/>
  <c r="BF78" i="15"/>
  <c r="BF199" i="15" s="1"/>
  <c r="BF207" i="15" s="1"/>
  <c r="BF264" i="15"/>
  <c r="BF273" i="15"/>
  <c r="BK320" i="15"/>
  <c r="BK328" i="15" s="1"/>
  <c r="BK285" i="15"/>
  <c r="BK293" i="15" s="1"/>
  <c r="BK319" i="15"/>
  <c r="BK325" i="15" s="1"/>
  <c r="BK284" i="15"/>
  <c r="BK305" i="15"/>
  <c r="BK310" i="15" s="1"/>
  <c r="BK82" i="15"/>
  <c r="BK212" i="15" s="1"/>
  <c r="BB85" i="15"/>
  <c r="AW80" i="15"/>
  <c r="AW284" i="15" s="1"/>
  <c r="AW306" i="15"/>
  <c r="AR85" i="15"/>
  <c r="AM306" i="15"/>
  <c r="AH85" i="15"/>
  <c r="AH266" i="15"/>
  <c r="BK78" i="15"/>
  <c r="BK199" i="15" s="1"/>
  <c r="BK264" i="15"/>
  <c r="BJ306" i="15"/>
  <c r="BJ266" i="15"/>
  <c r="BJ81" i="15"/>
  <c r="BJ85" i="15"/>
  <c r="BJ77" i="15"/>
  <c r="BJ265" i="15" s="1"/>
  <c r="BJ286" i="15"/>
  <c r="BJ84" i="15"/>
  <c r="BJ76" i="15"/>
  <c r="BJ80" i="15"/>
  <c r="BK11" i="72"/>
  <c r="BK12" i="72" s="1"/>
  <c r="BK32" i="72"/>
  <c r="AG11" i="72"/>
  <c r="AG12" i="72" s="1"/>
  <c r="AG32" i="72"/>
  <c r="BH137" i="46"/>
  <c r="CC22" i="72"/>
  <c r="CH18" i="72"/>
  <c r="DJ32" i="72"/>
  <c r="CS32" i="72"/>
  <c r="CQ11" i="72"/>
  <c r="CQ32" i="72"/>
  <c r="CN11" i="72"/>
  <c r="CN32" i="72"/>
  <c r="CT32" i="72"/>
  <c r="AQ32" i="72"/>
  <c r="BC137" i="46"/>
  <c r="AX173" i="46" s="1"/>
  <c r="BG88" i="46"/>
  <c r="BS32" i="72"/>
  <c r="BB88" i="46"/>
  <c r="AX137" i="46"/>
  <c r="CH199" i="72"/>
  <c r="CM44" i="72"/>
  <c r="W11" i="72"/>
  <c r="W12" i="72" s="1"/>
  <c r="W32" i="72"/>
  <c r="BX10" i="72"/>
  <c r="CO11" i="72"/>
  <c r="CO32" i="72"/>
  <c r="CU32" i="72"/>
  <c r="CP11" i="72"/>
  <c r="CP32" i="72"/>
  <c r="CV32" i="72"/>
  <c r="CC191" i="72"/>
  <c r="CC201" i="72" s="1"/>
  <c r="CH189" i="72"/>
  <c r="DH32" i="72"/>
  <c r="CC27" i="72"/>
  <c r="BX30" i="72"/>
  <c r="BA11" i="72"/>
  <c r="BA12" i="72" s="1"/>
  <c r="BA32" i="72"/>
  <c r="BH39" i="46"/>
  <c r="BI24" i="51"/>
  <c r="BG24" i="51"/>
  <c r="BG14" i="51"/>
  <c r="BM14" i="51"/>
  <c r="AX27" i="51"/>
  <c r="BC22" i="65" s="1"/>
  <c r="AA130" i="15"/>
  <c r="AA119" i="15"/>
  <c r="BC239" i="15"/>
  <c r="AB367" i="15"/>
  <c r="AC367" i="15" s="1"/>
  <c r="AB162" i="15"/>
  <c r="AF226" i="15"/>
  <c r="AF213" i="15"/>
  <c r="AE200" i="15"/>
  <c r="AF240" i="15"/>
  <c r="BL226" i="15"/>
  <c r="BL213" i="15"/>
  <c r="BK200" i="15"/>
  <c r="BL240" i="15"/>
  <c r="AI204" i="15"/>
  <c r="AL204" i="15"/>
  <c r="BA264" i="15"/>
  <c r="BA78" i="15"/>
  <c r="BA199" i="15" s="1"/>
  <c r="BA86" i="15"/>
  <c r="BA225" i="15" s="1"/>
  <c r="BA319" i="15"/>
  <c r="BA305" i="15"/>
  <c r="BA284" i="15"/>
  <c r="BA82" i="15"/>
  <c r="BA212" i="15" s="1"/>
  <c r="AV319" i="15"/>
  <c r="AV305" i="15"/>
  <c r="AV284" i="15"/>
  <c r="AV82" i="15"/>
  <c r="AV212" i="15" s="1"/>
  <c r="AV220" i="15" s="1"/>
  <c r="AV222" i="15" s="1"/>
  <c r="AV264" i="15"/>
  <c r="AV78" i="15"/>
  <c r="AV199" i="15" s="1"/>
  <c r="AV86" i="15"/>
  <c r="AV225" i="15" s="1"/>
  <c r="AQ264" i="15"/>
  <c r="AQ78" i="15"/>
  <c r="AQ199" i="15" s="1"/>
  <c r="AQ86" i="15"/>
  <c r="AQ225" i="15" s="1"/>
  <c r="AQ319" i="15"/>
  <c r="AQ305" i="15"/>
  <c r="AQ284" i="15"/>
  <c r="AQ82" i="15"/>
  <c r="AQ212" i="15" s="1"/>
  <c r="AL319" i="15"/>
  <c r="AL305" i="15"/>
  <c r="AL284" i="15"/>
  <c r="AL82" i="15"/>
  <c r="AL212" i="15" s="1"/>
  <c r="AL264" i="15"/>
  <c r="AL78" i="15"/>
  <c r="AL199" i="15" s="1"/>
  <c r="AL86" i="15"/>
  <c r="AL225" i="15" s="1"/>
  <c r="AG264" i="15"/>
  <c r="AG78" i="15"/>
  <c r="AG199" i="15" s="1"/>
  <c r="AG86" i="15"/>
  <c r="AG225" i="15" s="1"/>
  <c r="AG319" i="15"/>
  <c r="AG305" i="15"/>
  <c r="AG284" i="15"/>
  <c r="AG82" i="15"/>
  <c r="AG212" i="15" s="1"/>
  <c r="BF385" i="15"/>
  <c r="V45" i="15"/>
  <c r="Q45" i="15"/>
  <c r="S499" i="15"/>
  <c r="S506" i="15" s="1"/>
  <c r="R506" i="15"/>
  <c r="L45" i="15"/>
  <c r="W44" i="15"/>
  <c r="W39" i="15"/>
  <c r="W45" i="15" s="1"/>
  <c r="BH422" i="15"/>
  <c r="BI422" i="15" s="1"/>
  <c r="BJ422" i="15" s="1"/>
  <c r="BK422" i="15" s="1"/>
  <c r="BG422" i="15"/>
  <c r="AJ354" i="15"/>
  <c r="AD323" i="15"/>
  <c r="AC156" i="15"/>
  <c r="AB329" i="15"/>
  <c r="AB375" i="15"/>
  <c r="AB245" i="15"/>
  <c r="AC245" i="15" s="1"/>
  <c r="AC242" i="15"/>
  <c r="AA377" i="15"/>
  <c r="AA164" i="15"/>
  <c r="BK230" i="15"/>
  <c r="BH230" i="15"/>
  <c r="BF217" i="15"/>
  <c r="BC217" i="15"/>
  <c r="AD217" i="15"/>
  <c r="AG217" i="15"/>
  <c r="AB218" i="15"/>
  <c r="AS205" i="15"/>
  <c r="AH84" i="15"/>
  <c r="AM77" i="15"/>
  <c r="AM265" i="15" s="1"/>
  <c r="AH76" i="15"/>
  <c r="AR306" i="15"/>
  <c r="AS370" i="15"/>
  <c r="AS276" i="15"/>
  <c r="AS274" i="15"/>
  <c r="AQ376" i="15"/>
  <c r="AV103" i="15"/>
  <c r="AW84" i="15"/>
  <c r="AW76" i="15"/>
  <c r="Y190" i="15"/>
  <c r="AY325" i="15"/>
  <c r="AO310" i="15"/>
  <c r="AJ325" i="15"/>
  <c r="AE325" i="15"/>
  <c r="AG511" i="15"/>
  <c r="AH498" i="15"/>
  <c r="AH511" i="15" s="1"/>
  <c r="AG33" i="15"/>
  <c r="AG37" i="15" s="1"/>
  <c r="AG436" i="15"/>
  <c r="T45" i="15"/>
  <c r="R39" i="15"/>
  <c r="R45" i="15" s="1"/>
  <c r="R44" i="15"/>
  <c r="AD354" i="15"/>
  <c r="AB353" i="15"/>
  <c r="AC353" i="15" s="1"/>
  <c r="AB348" i="15"/>
  <c r="AB350" i="15" s="1"/>
  <c r="AB150" i="15"/>
  <c r="AC150" i="15" s="1"/>
  <c r="AB143" i="15"/>
  <c r="AC346" i="15"/>
  <c r="AA139" i="15"/>
  <c r="AA195" i="15"/>
  <c r="AZ226" i="15"/>
  <c r="AZ213" i="15"/>
  <c r="AY200" i="15"/>
  <c r="AZ240" i="15"/>
  <c r="AG230" i="15"/>
  <c r="AD230" i="15"/>
  <c r="Y311" i="15"/>
  <c r="AO376" i="15"/>
  <c r="AZ319" i="15"/>
  <c r="AZ305" i="15"/>
  <c r="AZ284" i="15"/>
  <c r="AZ82" i="15"/>
  <c r="AZ212" i="15" s="1"/>
  <c r="AZ264" i="15"/>
  <c r="AZ78" i="15"/>
  <c r="AZ199" i="15" s="1"/>
  <c r="AZ86" i="15"/>
  <c r="AZ225" i="15" s="1"/>
  <c r="AP212" i="15"/>
  <c r="AP199" i="15"/>
  <c r="AP225" i="15"/>
  <c r="AK320" i="15"/>
  <c r="AK328" i="15" s="1"/>
  <c r="AK285" i="15"/>
  <c r="AK293" i="15" s="1"/>
  <c r="AF319" i="15"/>
  <c r="AF305" i="15"/>
  <c r="AF284" i="15"/>
  <c r="AF82" i="15"/>
  <c r="AF212" i="15" s="1"/>
  <c r="AF264" i="15"/>
  <c r="AF78" i="15"/>
  <c r="AF199" i="15" s="1"/>
  <c r="AF86" i="15"/>
  <c r="AF225" i="15" s="1"/>
  <c r="BI23" i="46"/>
  <c r="AN45" i="15"/>
  <c r="AS46" i="15" s="1"/>
  <c r="AI45" i="15"/>
  <c r="AD457" i="15"/>
  <c r="M44" i="15"/>
  <c r="M39" i="15"/>
  <c r="M45" i="15" s="1"/>
  <c r="AE51" i="15"/>
  <c r="AE57" i="15" s="1"/>
  <c r="AE59" i="15" s="1"/>
  <c r="AE45" i="15"/>
  <c r="AJ46" i="15" s="1"/>
  <c r="BB354" i="15"/>
  <c r="AV354" i="15"/>
  <c r="AD288" i="15"/>
  <c r="AC165" i="15"/>
  <c r="AK244" i="15"/>
  <c r="AG244" i="15"/>
  <c r="Y297" i="15"/>
  <c r="Y296" i="15"/>
  <c r="AH77" i="15"/>
  <c r="AH265" i="15" s="1"/>
  <c r="BL22" i="15"/>
  <c r="BH23" i="46"/>
  <c r="O45" i="15"/>
  <c r="G45" i="15"/>
  <c r="G74" i="46" s="1"/>
  <c r="H44" i="15"/>
  <c r="H39" i="15"/>
  <c r="H45" i="15" s="1"/>
  <c r="P46" i="15"/>
  <c r="P74" i="46"/>
  <c r="N45" i="15"/>
  <c r="N51" i="15"/>
  <c r="N57" i="15" s="1"/>
  <c r="N59" i="15" s="1"/>
  <c r="K46" i="15"/>
  <c r="K74" i="46"/>
  <c r="I51" i="15"/>
  <c r="I57" i="15" s="1"/>
  <c r="I59" i="15" s="1"/>
  <c r="I45" i="15"/>
  <c r="AJ74" i="46"/>
  <c r="BB76" i="15"/>
  <c r="AR80" i="15"/>
  <c r="AR76" i="15"/>
  <c r="AJ290" i="15"/>
  <c r="AK290" i="15" s="1"/>
  <c r="AL290" i="15" s="1"/>
  <c r="AD268" i="15"/>
  <c r="AC259" i="15"/>
  <c r="AC155" i="15"/>
  <c r="AB277" i="15"/>
  <c r="AB276" i="15"/>
  <c r="AB372" i="15"/>
  <c r="AB163" i="15"/>
  <c r="AX360" i="15"/>
  <c r="AX218" i="15"/>
  <c r="AY215" i="15"/>
  <c r="BF226" i="15"/>
  <c r="BF213" i="15"/>
  <c r="BF208" i="15"/>
  <c r="BE200" i="15"/>
  <c r="BF240" i="15"/>
  <c r="Y149" i="15"/>
  <c r="BH239" i="15"/>
  <c r="Z280" i="15"/>
  <c r="BA320" i="15"/>
  <c r="BA328" i="15" s="1"/>
  <c r="BA285" i="15"/>
  <c r="BA293" i="15" s="1"/>
  <c r="AV320" i="15"/>
  <c r="AV328" i="15" s="1"/>
  <c r="AV285" i="15"/>
  <c r="AV293" i="15" s="1"/>
  <c r="AQ320" i="15"/>
  <c r="AQ328" i="15" s="1"/>
  <c r="AQ285" i="15"/>
  <c r="AQ293" i="15" s="1"/>
  <c r="AL320" i="15"/>
  <c r="AL328" i="15" s="1"/>
  <c r="AL285" i="15"/>
  <c r="AL293" i="15" s="1"/>
  <c r="AG320" i="15"/>
  <c r="AG328" i="15" s="1"/>
  <c r="AG285" i="15"/>
  <c r="AG293" i="15" s="1"/>
  <c r="AC454" i="15"/>
  <c r="AC457" i="15" s="1"/>
  <c r="AC44" i="15"/>
  <c r="AC39" i="15"/>
  <c r="Y130" i="15"/>
  <c r="Y119" i="15"/>
  <c r="BB342" i="15"/>
  <c r="AV342" i="15"/>
  <c r="BD385" i="15"/>
  <c r="Z120" i="15"/>
  <c r="Z131" i="15" s="1"/>
  <c r="AA142" i="15"/>
  <c r="AA247" i="15"/>
  <c r="AC360" i="15"/>
  <c r="AC161" i="15" s="1"/>
  <c r="AD215" i="15"/>
  <c r="Z226" i="15"/>
  <c r="Z234" i="15" s="1"/>
  <c r="Z235" i="15" s="1"/>
  <c r="Z213" i="15"/>
  <c r="Z221" i="15" s="1"/>
  <c r="Z222" i="15" s="1"/>
  <c r="Z208" i="15"/>
  <c r="Z209" i="15" s="1"/>
  <c r="Y200" i="15"/>
  <c r="Z240" i="15"/>
  <c r="Z248" i="15" s="1"/>
  <c r="AA248" i="15"/>
  <c r="AT226" i="15"/>
  <c r="AS200" i="15"/>
  <c r="AN376" i="15"/>
  <c r="AR103" i="15"/>
  <c r="AR376" i="15" s="1"/>
  <c r="AS103" i="15"/>
  <c r="BB84" i="15"/>
  <c r="AM80" i="15"/>
  <c r="BB306" i="15"/>
  <c r="AH306" i="15"/>
  <c r="Y332" i="15"/>
  <c r="Y331" i="15"/>
  <c r="Z334" i="15"/>
  <c r="AY310" i="15"/>
  <c r="AO325" i="15"/>
  <c r="AO207" i="15"/>
  <c r="AJ310" i="15"/>
  <c r="AE310" i="15"/>
  <c r="AK499" i="15"/>
  <c r="AK506" i="15" s="1"/>
  <c r="AG21" i="65"/>
  <c r="AJ499" i="15"/>
  <c r="AJ506" i="15" s="1"/>
  <c r="AI499" i="15"/>
  <c r="AI506" i="15" s="1"/>
  <c r="AG499" i="15"/>
  <c r="BB385" i="15"/>
  <c r="BH385" i="15"/>
  <c r="BM385" i="15" s="1"/>
  <c r="AD343" i="15"/>
  <c r="AC157" i="15"/>
  <c r="AA372" i="15"/>
  <c r="AA163" i="15"/>
  <c r="AD239" i="15"/>
  <c r="AC202" i="15"/>
  <c r="AC370" i="15" s="1"/>
  <c r="AC163" i="15" s="1"/>
  <c r="AB194" i="15"/>
  <c r="AB154" i="15" s="1"/>
  <c r="AB158" i="15" s="1"/>
  <c r="AB205" i="15"/>
  <c r="AN226" i="15"/>
  <c r="AN213" i="15"/>
  <c r="AN208" i="15"/>
  <c r="AN240" i="15"/>
  <c r="AI239" i="15"/>
  <c r="BB81" i="15"/>
  <c r="Y277" i="15"/>
  <c r="Y276" i="15"/>
  <c r="AR77" i="15"/>
  <c r="AR265" i="15" s="1"/>
  <c r="AZ320" i="15"/>
  <c r="AZ328" i="15" s="1"/>
  <c r="AZ285" i="15"/>
  <c r="AZ293" i="15" s="1"/>
  <c r="AK264" i="15"/>
  <c r="AK78" i="15"/>
  <c r="AK199" i="15" s="1"/>
  <c r="AK319" i="15"/>
  <c r="AK305" i="15"/>
  <c r="AK284" i="15"/>
  <c r="AK82" i="15"/>
  <c r="AK212" i="15" s="1"/>
  <c r="AF320" i="15"/>
  <c r="AF328" i="15" s="1"/>
  <c r="AF285" i="15"/>
  <c r="AF293" i="15" s="1"/>
  <c r="AB279" i="15"/>
  <c r="AB325" i="15"/>
  <c r="AB326" i="15" s="1"/>
  <c r="AB149" i="15" s="1"/>
  <c r="AN457" i="15"/>
  <c r="AI457" i="15"/>
  <c r="AD45" i="15"/>
  <c r="AD51" i="15"/>
  <c r="AD57" i="15" s="1"/>
  <c r="AD59" i="15" s="1"/>
  <c r="Y45" i="15"/>
  <c r="U46" i="15"/>
  <c r="U74" i="46"/>
  <c r="S51" i="15"/>
  <c r="S57" i="15" s="1"/>
  <c r="S59" i="15" s="1"/>
  <c r="S45" i="15"/>
  <c r="AW486" i="15"/>
  <c r="AX486" i="15"/>
  <c r="BG424" i="15"/>
  <c r="BH424" i="15"/>
  <c r="BI424" i="15" s="1"/>
  <c r="BJ424" i="15" s="1"/>
  <c r="BK424" i="15" s="1"/>
  <c r="BE385" i="15"/>
  <c r="AD311" i="15"/>
  <c r="AE308" i="15"/>
  <c r="AR204" i="15"/>
  <c r="BK205" i="15"/>
  <c r="BL202" i="15"/>
  <c r="BM202" i="15" s="1"/>
  <c r="AR81" i="15"/>
  <c r="AW81" i="15"/>
  <c r="BB77" i="15"/>
  <c r="BB265" i="15" s="1"/>
  <c r="Y279" i="15"/>
  <c r="AW266" i="15"/>
  <c r="AM266" i="15"/>
  <c r="AM51" i="15"/>
  <c r="AM57" i="15" s="1"/>
  <c r="AM59" i="15" s="1"/>
  <c r="CG51" i="64" s="1"/>
  <c r="AM44" i="15"/>
  <c r="AM39" i="15"/>
  <c r="AM45" i="15" s="1"/>
  <c r="AR46" i="15" s="1"/>
  <c r="J45" i="15"/>
  <c r="AF45" i="15"/>
  <c r="AF51" i="15"/>
  <c r="AF57" i="15" s="1"/>
  <c r="AF59" i="15" s="1"/>
  <c r="AA45" i="15"/>
  <c r="X45" i="15"/>
  <c r="X51" i="15"/>
  <c r="X57" i="15" s="1"/>
  <c r="X59" i="15" s="1"/>
  <c r="AH45" i="15"/>
  <c r="AH51" i="15"/>
  <c r="AH57" i="15" s="1"/>
  <c r="AH59" i="15" s="1"/>
  <c r="CB51" i="64" s="1"/>
  <c r="Z46" i="15"/>
  <c r="Z74" i="46"/>
  <c r="BB266" i="15"/>
  <c r="AW286" i="15"/>
  <c r="AR266" i="15"/>
  <c r="AR84" i="15"/>
  <c r="AM286" i="15"/>
  <c r="AH80" i="15"/>
  <c r="BD144" i="47"/>
  <c r="BD22" i="47" s="1"/>
  <c r="BI146" i="47"/>
  <c r="AM271" i="47"/>
  <c r="BH121" i="47"/>
  <c r="BM121" i="47" s="1"/>
  <c r="AI206" i="47"/>
  <c r="AI56" i="51" s="1"/>
  <c r="AI58" i="51" s="1"/>
  <c r="AI57" i="47"/>
  <c r="BK117" i="47"/>
  <c r="BF10" i="47"/>
  <c r="BG10" i="47" s="1"/>
  <c r="AO57" i="47"/>
  <c r="AO73" i="46" s="1"/>
  <c r="AE206" i="47"/>
  <c r="AE57" i="47"/>
  <c r="U206" i="47"/>
  <c r="U57" i="47"/>
  <c r="K206" i="47"/>
  <c r="K57" i="47"/>
  <c r="V206" i="47"/>
  <c r="V57" i="47"/>
  <c r="BH117" i="47"/>
  <c r="BM117" i="47" s="1"/>
  <c r="BG117" i="47"/>
  <c r="BC10" i="47"/>
  <c r="BJ113" i="47"/>
  <c r="AD206" i="47"/>
  <c r="AD56" i="51" s="1"/>
  <c r="AD58" i="51" s="1"/>
  <c r="AD57" i="47"/>
  <c r="BJ47" i="47"/>
  <c r="BO47" i="47" s="1"/>
  <c r="BE39" i="46"/>
  <c r="BG47" i="47"/>
  <c r="BJ24" i="47"/>
  <c r="BO24" i="47" s="1"/>
  <c r="BE17" i="46"/>
  <c r="W45" i="47"/>
  <c r="W49" i="47" s="1"/>
  <c r="W83" i="47"/>
  <c r="W82" i="47"/>
  <c r="Y206" i="47"/>
  <c r="Y56" i="51" s="1"/>
  <c r="Y58" i="51" s="1"/>
  <c r="Y57" i="47"/>
  <c r="AX19" i="47"/>
  <c r="BD129" i="47"/>
  <c r="BD19" i="47" s="1"/>
  <c r="BI131" i="47"/>
  <c r="BI121" i="47"/>
  <c r="BH115" i="47"/>
  <c r="AB45" i="47"/>
  <c r="AB49" i="47" s="1"/>
  <c r="AB82" i="47"/>
  <c r="AB83" i="47"/>
  <c r="H45" i="47"/>
  <c r="H49" i="47" s="1"/>
  <c r="H83" i="47"/>
  <c r="H82" i="47"/>
  <c r="AK206" i="47"/>
  <c r="AK57" i="47"/>
  <c r="Q206" i="47"/>
  <c r="Q57" i="47"/>
  <c r="AP154" i="47"/>
  <c r="BH144" i="47"/>
  <c r="BD161" i="47"/>
  <c r="AM240" i="47"/>
  <c r="AM243" i="47"/>
  <c r="AM301" i="47" s="1"/>
  <c r="AM37" i="64" s="1"/>
  <c r="AM259" i="47"/>
  <c r="BL292" i="47"/>
  <c r="BQ292" i="47" s="1"/>
  <c r="AM237" i="47"/>
  <c r="AM260" i="47"/>
  <c r="BE141" i="47"/>
  <c r="AZ139" i="47"/>
  <c r="AZ21" i="47" s="1"/>
  <c r="BE131" i="47"/>
  <c r="AZ129" i="47"/>
  <c r="AZ19" i="47" s="1"/>
  <c r="BF31" i="47"/>
  <c r="AG45" i="47"/>
  <c r="AG49" i="47" s="1"/>
  <c r="AG82" i="47"/>
  <c r="AG83" i="47"/>
  <c r="M45" i="47"/>
  <c r="M49" i="47" s="1"/>
  <c r="M83" i="47"/>
  <c r="M82" i="47"/>
  <c r="BB10" i="47"/>
  <c r="AP11" i="47"/>
  <c r="S256" i="47"/>
  <c r="S252" i="47"/>
  <c r="S57" i="47"/>
  <c r="BK113" i="47"/>
  <c r="AL82" i="47"/>
  <c r="AL45" i="47"/>
  <c r="AL49" i="47" s="1"/>
  <c r="AL83" i="47"/>
  <c r="R82" i="47"/>
  <c r="R45" i="47"/>
  <c r="R49" i="47" s="1"/>
  <c r="R83" i="47"/>
  <c r="BE121" i="47"/>
  <c r="BB31" i="47"/>
  <c r="BJ31" i="47"/>
  <c r="BO31" i="47" s="1"/>
  <c r="BF121" i="47"/>
  <c r="L206" i="47"/>
  <c r="L57" i="47"/>
  <c r="J206" i="47"/>
  <c r="J56" i="51" s="1"/>
  <c r="J58" i="51" s="1"/>
  <c r="J57" i="47"/>
  <c r="AJ206" i="47"/>
  <c r="AJ57" i="47"/>
  <c r="P206" i="47"/>
  <c r="P57" i="47"/>
  <c r="N252" i="47"/>
  <c r="N256" i="47"/>
  <c r="N57" i="47"/>
  <c r="BK178" i="47"/>
  <c r="BK179" i="47" s="1"/>
  <c r="BE146" i="47"/>
  <c r="AZ144" i="47"/>
  <c r="BH131" i="47"/>
  <c r="BM131" i="47" s="1"/>
  <c r="BM129" i="47" s="1"/>
  <c r="BM19" i="47" s="1"/>
  <c r="BC129" i="47"/>
  <c r="BG113" i="47"/>
  <c r="Z206" i="47"/>
  <c r="Z57" i="47"/>
  <c r="X252" i="47"/>
  <c r="X256" i="47"/>
  <c r="X57" i="47"/>
  <c r="AN206" i="47"/>
  <c r="AN57" i="47"/>
  <c r="AS58" i="47" s="1"/>
  <c r="S243" i="47"/>
  <c r="S301" i="47" s="1"/>
  <c r="S240" i="47"/>
  <c r="S259" i="47"/>
  <c r="BC22" i="47"/>
  <c r="BC141" i="47"/>
  <c r="AX139" i="47"/>
  <c r="AL99" i="46"/>
  <c r="AL100" i="46"/>
  <c r="AL37" i="46"/>
  <c r="AL41" i="46" s="1"/>
  <c r="X215" i="46"/>
  <c r="X229" i="46"/>
  <c r="CI20" i="65" s="1"/>
  <c r="X230" i="46"/>
  <c r="CI21" i="65" s="1"/>
  <c r="X206" i="46"/>
  <c r="X209" i="46"/>
  <c r="AB99" i="46"/>
  <c r="AB100" i="46"/>
  <c r="AB37" i="46"/>
  <c r="AB41" i="46" s="1"/>
  <c r="AJ51" i="46"/>
  <c r="AJ63" i="46"/>
  <c r="T63" i="46"/>
  <c r="T51" i="46"/>
  <c r="Y63" i="46"/>
  <c r="Y51" i="46"/>
  <c r="AC46" i="65"/>
  <c r="CN17" i="65"/>
  <c r="I215" i="46"/>
  <c r="I229" i="46"/>
  <c r="I230" i="46"/>
  <c r="I209" i="46"/>
  <c r="I206" i="46"/>
  <c r="X224" i="46"/>
  <c r="X219" i="46"/>
  <c r="X50" i="46"/>
  <c r="S224" i="46"/>
  <c r="S219" i="46"/>
  <c r="S50" i="46"/>
  <c r="N224" i="46"/>
  <c r="N219" i="46"/>
  <c r="N50" i="46"/>
  <c r="I224" i="46"/>
  <c r="I219" i="46"/>
  <c r="I50" i="46"/>
  <c r="I63" i="46" s="1"/>
  <c r="S206" i="46"/>
  <c r="AL215" i="46"/>
  <c r="AL209" i="46"/>
  <c r="AL206" i="46"/>
  <c r="CS17" i="65"/>
  <c r="BG183" i="46"/>
  <c r="BH183" i="46"/>
  <c r="BI183" i="46" s="1"/>
  <c r="BJ183" i="46" s="1"/>
  <c r="BK183" i="46" s="1"/>
  <c r="X212" i="46"/>
  <c r="AR36" i="65"/>
  <c r="L51" i="46"/>
  <c r="M100" i="46"/>
  <c r="M99" i="46"/>
  <c r="M37" i="46"/>
  <c r="M41" i="46" s="1"/>
  <c r="AQ37" i="65"/>
  <c r="O63" i="46"/>
  <c r="O51" i="46"/>
  <c r="AF63" i="46"/>
  <c r="AF51" i="46"/>
  <c r="R99" i="46"/>
  <c r="R100" i="46"/>
  <c r="R37" i="46"/>
  <c r="R41" i="46" s="1"/>
  <c r="AD63" i="46"/>
  <c r="AD51" i="46"/>
  <c r="AG246" i="46"/>
  <c r="AG49" i="46"/>
  <c r="AG43" i="46"/>
  <c r="AG50" i="46" s="1"/>
  <c r="N215" i="46"/>
  <c r="N229" i="46"/>
  <c r="BY20" i="65" s="1"/>
  <c r="N209" i="46"/>
  <c r="N230" i="46"/>
  <c r="BY21" i="65" s="1"/>
  <c r="N206" i="46"/>
  <c r="DC14" i="65"/>
  <c r="AR34" i="65"/>
  <c r="AR32" i="65"/>
  <c r="AR45" i="65" s="1"/>
  <c r="AO51" i="46"/>
  <c r="W246" i="46"/>
  <c r="W49" i="46"/>
  <c r="W43" i="46"/>
  <c r="W50" i="46" s="1"/>
  <c r="AH215" i="46"/>
  <c r="AH229" i="46"/>
  <c r="CS20" i="65" s="1"/>
  <c r="AH230" i="46"/>
  <c r="CS21" i="65" s="1"/>
  <c r="AH206" i="46"/>
  <c r="AH209" i="46"/>
  <c r="AH212" i="46"/>
  <c r="N212" i="46"/>
  <c r="AT31" i="65"/>
  <c r="AE63" i="46"/>
  <c r="AE51" i="46"/>
  <c r="Z63" i="46"/>
  <c r="Z51" i="46"/>
  <c r="Q63" i="46"/>
  <c r="Q51" i="46"/>
  <c r="H99" i="46"/>
  <c r="H100" i="46"/>
  <c r="H37" i="46"/>
  <c r="H41" i="46" s="1"/>
  <c r="S215" i="46"/>
  <c r="S209" i="46"/>
  <c r="S229" i="46"/>
  <c r="CD20" i="65" s="1"/>
  <c r="S230" i="46"/>
  <c r="CD21" i="65" s="1"/>
  <c r="CX15" i="65"/>
  <c r="AM214" i="46"/>
  <c r="BH186" i="46"/>
  <c r="BI186" i="46" s="1"/>
  <c r="BJ186" i="46" s="1"/>
  <c r="BK186" i="46" s="1"/>
  <c r="BG186" i="46"/>
  <c r="BH169" i="46"/>
  <c r="BI169" i="46" s="1"/>
  <c r="BJ169" i="46" s="1"/>
  <c r="BK169" i="46" s="1"/>
  <c r="BG169" i="46"/>
  <c r="AH246" i="46"/>
  <c r="AH43" i="46"/>
  <c r="AH49" i="46"/>
  <c r="AM224" i="46"/>
  <c r="AM219" i="46"/>
  <c r="AM50" i="46"/>
  <c r="AR51" i="46" s="1"/>
  <c r="V63" i="46"/>
  <c r="V51" i="46"/>
  <c r="AA63" i="46"/>
  <c r="AA51" i="46"/>
  <c r="U63" i="46"/>
  <c r="U51" i="46"/>
  <c r="P63" i="46"/>
  <c r="AC224" i="46"/>
  <c r="AC219" i="46"/>
  <c r="AC50" i="46"/>
  <c r="AU190" i="15" l="1"/>
  <c r="BC191" i="47"/>
  <c r="BC217" i="47" s="1"/>
  <c r="BC223" i="47" s="1"/>
  <c r="AK51" i="46"/>
  <c r="W506" i="15"/>
  <c r="AH56" i="47"/>
  <c r="AI63" i="46"/>
  <c r="AY191" i="47"/>
  <c r="AY217" i="47" s="1"/>
  <c r="AY223" i="47" s="1"/>
  <c r="O206" i="47"/>
  <c r="O56" i="51" s="1"/>
  <c r="O58" i="51" s="1"/>
  <c r="AU183" i="72"/>
  <c r="AZ183" i="72"/>
  <c r="P51" i="46"/>
  <c r="T57" i="47"/>
  <c r="T73" i="46" s="1"/>
  <c r="AY183" i="72"/>
  <c r="AY11" i="72"/>
  <c r="AZ87" i="46" s="1"/>
  <c r="AZ136" i="46" s="1"/>
  <c r="AC76" i="15"/>
  <c r="AC264" i="15" s="1"/>
  <c r="BH191" i="47"/>
  <c r="BH217" i="47" s="1"/>
  <c r="BL217" i="47" s="1"/>
  <c r="AB161" i="15"/>
  <c r="BI32" i="72"/>
  <c r="AA82" i="15"/>
  <c r="AA212" i="15" s="1"/>
  <c r="AA220" i="15" s="1"/>
  <c r="AA222" i="15" s="1"/>
  <c r="BB11" i="72"/>
  <c r="BB12" i="72" s="1"/>
  <c r="H149" i="46"/>
  <c r="H151" i="46" s="1"/>
  <c r="H153" i="46" s="1"/>
  <c r="BD173" i="46"/>
  <c r="BG11" i="72"/>
  <c r="BG12" i="72" s="1"/>
  <c r="AA86" i="15"/>
  <c r="AA225" i="15" s="1"/>
  <c r="AA233" i="15" s="1"/>
  <c r="AA235" i="15" s="1"/>
  <c r="BJ51" i="51"/>
  <c r="BJ65" i="51" s="1"/>
  <c r="BJ71" i="51" s="1"/>
  <c r="AA78" i="15"/>
  <c r="AA199" i="15" s="1"/>
  <c r="AA207" i="15" s="1"/>
  <c r="AA209" i="15" s="1"/>
  <c r="AC77" i="15"/>
  <c r="AC265" i="15" s="1"/>
  <c r="BH173" i="46"/>
  <c r="Z260" i="15"/>
  <c r="Z261" i="15" s="1"/>
  <c r="AD228" i="15"/>
  <c r="AD365" i="15" s="1"/>
  <c r="BC446" i="15"/>
  <c r="BG446" i="15" s="1"/>
  <c r="Z300" i="15"/>
  <c r="Z301" i="15" s="1"/>
  <c r="AN271" i="15"/>
  <c r="AN279" i="15" s="1"/>
  <c r="AB44" i="51"/>
  <c r="Z141" i="15"/>
  <c r="Z144" i="15" s="1"/>
  <c r="BJ183" i="72"/>
  <c r="BJ11" i="72"/>
  <c r="BJ12" i="72" s="1"/>
  <c r="AC80" i="15"/>
  <c r="AC319" i="15" s="1"/>
  <c r="BH183" i="72"/>
  <c r="BL218" i="47"/>
  <c r="AA273" i="15"/>
  <c r="AA274" i="15" s="1"/>
  <c r="AA277" i="15" s="1"/>
  <c r="AA140" i="15" s="1"/>
  <c r="AC328" i="15"/>
  <c r="AC81" i="15"/>
  <c r="AC320" i="15" s="1"/>
  <c r="AA284" i="15"/>
  <c r="AA305" i="15"/>
  <c r="AA310" i="15" s="1"/>
  <c r="AA311" i="15" s="1"/>
  <c r="AA314" i="15" s="1"/>
  <c r="AA285" i="15"/>
  <c r="AA293" i="15" s="1"/>
  <c r="AA294" i="15" s="1"/>
  <c r="AA297" i="15" s="1"/>
  <c r="AA300" i="15" s="1"/>
  <c r="AC85" i="15"/>
  <c r="AC86" i="15" s="1"/>
  <c r="AC225" i="15" s="1"/>
  <c r="AC329" i="15"/>
  <c r="Y147" i="15"/>
  <c r="BL88" i="46"/>
  <c r="BC11" i="72"/>
  <c r="BC12" i="72" s="1"/>
  <c r="AA206" i="47"/>
  <c r="AA56" i="51" s="1"/>
  <c r="AA58" i="51" s="1"/>
  <c r="BC183" i="72"/>
  <c r="N499" i="15"/>
  <c r="N506" i="15" s="1"/>
  <c r="AZ11" i="72"/>
  <c r="AZ12" i="72" s="1"/>
  <c r="BB32" i="72"/>
  <c r="AM454" i="15"/>
  <c r="AM457" i="15"/>
  <c r="BC32" i="72"/>
  <c r="AR11" i="72"/>
  <c r="AR12" i="72" s="1"/>
  <c r="AK11" i="72"/>
  <c r="AK12" i="72" s="1"/>
  <c r="AR32" i="72"/>
  <c r="AK32" i="72"/>
  <c r="AF57" i="47"/>
  <c r="AF58" i="47" s="1"/>
  <c r="AC231" i="15"/>
  <c r="BW102" i="64" s="1"/>
  <c r="AW32" i="72"/>
  <c r="AB297" i="15"/>
  <c r="AB148" i="15" s="1"/>
  <c r="AU11" i="72"/>
  <c r="AU12" i="72" s="1"/>
  <c r="AU32" i="72"/>
  <c r="AX51" i="51"/>
  <c r="AX65" i="51" s="1"/>
  <c r="AB299" i="15"/>
  <c r="Z147" i="15"/>
  <c r="Z151" i="15" s="1"/>
  <c r="AB233" i="15"/>
  <c r="AB235" i="15" s="1"/>
  <c r="AB179" i="15"/>
  <c r="AB177" i="15" s="1"/>
  <c r="AB183" i="15" s="1"/>
  <c r="AB121" i="15" s="1"/>
  <c r="AO501" i="15"/>
  <c r="AT11" i="72"/>
  <c r="AT12" i="72" s="1"/>
  <c r="AO497" i="15"/>
  <c r="AO507" i="15" s="1"/>
  <c r="T11" i="72"/>
  <c r="T12" i="72" s="1"/>
  <c r="AL497" i="15"/>
  <c r="AL510" i="15" s="1"/>
  <c r="AN497" i="15"/>
  <c r="AN507" i="15" s="1"/>
  <c r="AZ51" i="51"/>
  <c r="AZ65" i="51" s="1"/>
  <c r="AZ71" i="51" s="1"/>
  <c r="BC51" i="51"/>
  <c r="BC117" i="46" s="1"/>
  <c r="AT32" i="72"/>
  <c r="Z281" i="15"/>
  <c r="Z127" i="15" s="1"/>
  <c r="AL501" i="15"/>
  <c r="AM501" i="15" s="1"/>
  <c r="AN501" i="15"/>
  <c r="AC11" i="72"/>
  <c r="AC12" i="72" s="1"/>
  <c r="H44" i="51"/>
  <c r="BG93" i="46"/>
  <c r="AB220" i="15"/>
  <c r="BI51" i="51"/>
  <c r="BI65" i="51" s="1"/>
  <c r="BI71" i="51" s="1"/>
  <c r="AH11" i="72"/>
  <c r="AH12" i="72" s="1"/>
  <c r="AA11" i="72"/>
  <c r="AA12" i="72" s="1"/>
  <c r="AF501" i="15"/>
  <c r="J501" i="15"/>
  <c r="AE497" i="15"/>
  <c r="AE510" i="15" s="1"/>
  <c r="AB501" i="15"/>
  <c r="AC501" i="15" s="1"/>
  <c r="AA191" i="15"/>
  <c r="AC499" i="15"/>
  <c r="AC506" i="15" s="1"/>
  <c r="AB506" i="15"/>
  <c r="R501" i="15"/>
  <c r="S501" i="15" s="1"/>
  <c r="Z249" i="15"/>
  <c r="Z129" i="15" s="1"/>
  <c r="X11" i="72"/>
  <c r="X12" i="72" s="1"/>
  <c r="Y501" i="15"/>
  <c r="BN173" i="46"/>
  <c r="AE501" i="15"/>
  <c r="AD497" i="15"/>
  <c r="AD507" i="15" s="1"/>
  <c r="AF497" i="15"/>
  <c r="AF510" i="15" s="1"/>
  <c r="AY51" i="51"/>
  <c r="AY65" i="51" s="1"/>
  <c r="AY71" i="51" s="1"/>
  <c r="BE32" i="72"/>
  <c r="AB497" i="15"/>
  <c r="AB507" i="15" s="1"/>
  <c r="AD501" i="15"/>
  <c r="S11" i="72"/>
  <c r="S12" i="72" s="1"/>
  <c r="J497" i="15"/>
  <c r="J510" i="15" s="1"/>
  <c r="L497" i="15"/>
  <c r="L510" i="15" s="1"/>
  <c r="AA497" i="15"/>
  <c r="AA510" i="15" s="1"/>
  <c r="AA166" i="15"/>
  <c r="AO46" i="15"/>
  <c r="BI20" i="51"/>
  <c r="BI26" i="51" s="1"/>
  <c r="BI27" i="51" s="1"/>
  <c r="BN22" i="65" s="1"/>
  <c r="BM173" i="46"/>
  <c r="AE11" i="72"/>
  <c r="AE12" i="72" s="1"/>
  <c r="O497" i="15"/>
  <c r="O507" i="15" s="1"/>
  <c r="DH11" i="72"/>
  <c r="DH12" i="72" s="1"/>
  <c r="BC11" i="51"/>
  <c r="AT207" i="15"/>
  <c r="AT209" i="15" s="1"/>
  <c r="AQ49" i="46"/>
  <c r="AQ43" i="46"/>
  <c r="AQ50" i="46" s="1"/>
  <c r="BL192" i="47"/>
  <c r="AN43" i="46"/>
  <c r="AN50" i="46" s="1"/>
  <c r="AN246" i="46"/>
  <c r="AN49" i="46"/>
  <c r="AT342" i="15"/>
  <c r="AS342" i="15" s="1"/>
  <c r="AX11" i="72"/>
  <c r="AY87" i="46" s="1"/>
  <c r="AY136" i="46" s="1"/>
  <c r="BJ223" i="47"/>
  <c r="Y11" i="72"/>
  <c r="Y12" i="72" s="1"/>
  <c r="BB86" i="15"/>
  <c r="BB225" i="15" s="1"/>
  <c r="BH11" i="72"/>
  <c r="BH12" i="72" s="1"/>
  <c r="BG32" i="72"/>
  <c r="BD51" i="51"/>
  <c r="BD65" i="51" s="1"/>
  <c r="BD71" i="51" s="1"/>
  <c r="AZ32" i="72"/>
  <c r="BH51" i="51"/>
  <c r="BH65" i="51" s="1"/>
  <c r="BD32" i="72"/>
  <c r="P11" i="72"/>
  <c r="P12" i="72" s="1"/>
  <c r="AJ11" i="72"/>
  <c r="AJ12" i="72" s="1"/>
  <c r="BE11" i="72"/>
  <c r="BF87" i="46" s="1"/>
  <c r="BF136" i="46" s="1"/>
  <c r="N11" i="72"/>
  <c r="N12" i="72" s="1"/>
  <c r="Z11" i="72"/>
  <c r="Z12" i="72" s="1"/>
  <c r="DJ11" i="72"/>
  <c r="BE92" i="46" s="1"/>
  <c r="BK51" i="51"/>
  <c r="BK65" i="51" s="1"/>
  <c r="BK71" i="51" s="1"/>
  <c r="BE183" i="72"/>
  <c r="AF11" i="72"/>
  <c r="AF12" i="72" s="1"/>
  <c r="AI11" i="72"/>
  <c r="AI12" i="72" s="1"/>
  <c r="U11" i="72"/>
  <c r="U12" i="72" s="1"/>
  <c r="AD11" i="72"/>
  <c r="AD12" i="72" s="1"/>
  <c r="Q11" i="72"/>
  <c r="Q12" i="72" s="1"/>
  <c r="AY32" i="72"/>
  <c r="V32" i="72"/>
  <c r="BJ32" i="72"/>
  <c r="BD11" i="72"/>
  <c r="BE87" i="46" s="1"/>
  <c r="BE136" i="46" s="1"/>
  <c r="BE191" i="47"/>
  <c r="BE217" i="47" s="1"/>
  <c r="BE223" i="47" s="1"/>
  <c r="BI11" i="51"/>
  <c r="BN9" i="51"/>
  <c r="BN11" i="51" s="1"/>
  <c r="AM56" i="47"/>
  <c r="AM51" i="47"/>
  <c r="AP161" i="47"/>
  <c r="AQ161" i="47"/>
  <c r="AR161" i="47"/>
  <c r="AN56" i="51"/>
  <c r="AN58" i="51" s="1"/>
  <c r="BK10" i="51"/>
  <c r="BK18" i="51" s="1"/>
  <c r="BK20" i="51" s="1"/>
  <c r="BF11" i="51"/>
  <c r="BH10" i="51"/>
  <c r="BM10" i="51" s="1"/>
  <c r="BM11" i="51" s="1"/>
  <c r="Z132" i="15"/>
  <c r="DJ201" i="72"/>
  <c r="AH320" i="15"/>
  <c r="K497" i="15"/>
  <c r="K507" i="15" s="1"/>
  <c r="BM205" i="15"/>
  <c r="BN202" i="15"/>
  <c r="BP240" i="15"/>
  <c r="BO200" i="15"/>
  <c r="BP226" i="15"/>
  <c r="BP213" i="15"/>
  <c r="AL74" i="46"/>
  <c r="CG83" i="64"/>
  <c r="CG54" i="64"/>
  <c r="CG56" i="64" s="1"/>
  <c r="P497" i="15"/>
  <c r="P507" i="15" s="1"/>
  <c r="AQ454" i="15"/>
  <c r="AQ44" i="15"/>
  <c r="AQ39" i="15"/>
  <c r="AQ45" i="15" s="1"/>
  <c r="AQ46" i="15" s="1"/>
  <c r="AP501" i="15"/>
  <c r="CB83" i="64"/>
  <c r="CB54" i="64"/>
  <c r="CB56" i="64" s="1"/>
  <c r="K501" i="15"/>
  <c r="AQ44" i="51"/>
  <c r="AQ39" i="51"/>
  <c r="AQ45" i="51" s="1"/>
  <c r="BL446" i="15"/>
  <c r="AF32" i="72"/>
  <c r="O11" i="72"/>
  <c r="O12" i="72" s="1"/>
  <c r="BB93" i="46"/>
  <c r="BQ88" i="46"/>
  <c r="BB464" i="15"/>
  <c r="CM38" i="72"/>
  <c r="CH169" i="72"/>
  <c r="DC12" i="72"/>
  <c r="BL424" i="15"/>
  <c r="BM424" i="15"/>
  <c r="BN424" i="15" s="1"/>
  <c r="BO424" i="15" s="1"/>
  <c r="BP424" i="15" s="1"/>
  <c r="BQ424" i="15" s="1"/>
  <c r="BL422" i="15"/>
  <c r="BM422" i="15"/>
  <c r="BN422" i="15" s="1"/>
  <c r="BO422" i="15" s="1"/>
  <c r="BP422" i="15" s="1"/>
  <c r="BQ422" i="15" s="1"/>
  <c r="BQ22" i="15"/>
  <c r="BL186" i="46"/>
  <c r="BM186" i="46"/>
  <c r="BN186" i="46" s="1"/>
  <c r="BO186" i="46" s="1"/>
  <c r="BP186" i="46" s="1"/>
  <c r="BQ186" i="46" s="1"/>
  <c r="BL183" i="46"/>
  <c r="BM183" i="46"/>
  <c r="BN183" i="46" s="1"/>
  <c r="BO183" i="46" s="1"/>
  <c r="BP183" i="46" s="1"/>
  <c r="BQ183" i="46" s="1"/>
  <c r="BL169" i="46"/>
  <c r="BM169" i="46"/>
  <c r="BN169" i="46" s="1"/>
  <c r="BO169" i="46" s="1"/>
  <c r="BP169" i="46" s="1"/>
  <c r="BQ169" i="46" s="1"/>
  <c r="AW86" i="15"/>
  <c r="AW225" i="15" s="1"/>
  <c r="BL24" i="51"/>
  <c r="BN24" i="51"/>
  <c r="BP113" i="47"/>
  <c r="BI129" i="47"/>
  <c r="BI19" i="47" s="1"/>
  <c r="BN131" i="47"/>
  <c r="BN129" i="47" s="1"/>
  <c r="BN19" i="47" s="1"/>
  <c r="BP14" i="51"/>
  <c r="BM10" i="47"/>
  <c r="BN121" i="47"/>
  <c r="BK10" i="47"/>
  <c r="BP117" i="47"/>
  <c r="BP10" i="47" s="1"/>
  <c r="BI144" i="47"/>
  <c r="BI22" i="47" s="1"/>
  <c r="BN146" i="47"/>
  <c r="BN144" i="47" s="1"/>
  <c r="BN22" i="47" s="1"/>
  <c r="BQ35" i="51"/>
  <c r="BM39" i="46"/>
  <c r="AQ275" i="47"/>
  <c r="AR275" i="47" s="1"/>
  <c r="AH45" i="51"/>
  <c r="AH53" i="64"/>
  <c r="BP103" i="67"/>
  <c r="DD12" i="72"/>
  <c r="DI201" i="72"/>
  <c r="DI11" i="72"/>
  <c r="DK12" i="72"/>
  <c r="DE12" i="72"/>
  <c r="BB92" i="46"/>
  <c r="DF12" i="72"/>
  <c r="BB446" i="15"/>
  <c r="BP179" i="72"/>
  <c r="BP181" i="72" s="1"/>
  <c r="DV179" i="72"/>
  <c r="BK173" i="46"/>
  <c r="BL173" i="46" s="1"/>
  <c r="BQ137" i="46"/>
  <c r="EB53" i="65" s="1"/>
  <c r="BP28" i="72"/>
  <c r="DV28" i="72"/>
  <c r="E30" i="72"/>
  <c r="BI173" i="46"/>
  <c r="BJ173" i="46"/>
  <c r="BN264" i="15"/>
  <c r="BP264" i="15"/>
  <c r="BP78" i="15"/>
  <c r="BP199" i="15" s="1"/>
  <c r="BN90" i="15"/>
  <c r="BO77" i="15"/>
  <c r="BO265" i="15" s="1"/>
  <c r="BO273" i="15" s="1"/>
  <c r="BM286" i="15"/>
  <c r="BQ286" i="15" s="1"/>
  <c r="BM306" i="15"/>
  <c r="BQ306" i="15" s="1"/>
  <c r="BM266" i="15"/>
  <c r="BQ266" i="15" s="1"/>
  <c r="BM76" i="15"/>
  <c r="BO264" i="15"/>
  <c r="BM230" i="15"/>
  <c r="BP230" i="15"/>
  <c r="AP279" i="15"/>
  <c r="AP277" i="15"/>
  <c r="AR276" i="15"/>
  <c r="BO113" i="47"/>
  <c r="BO17" i="46"/>
  <c r="BO14" i="51"/>
  <c r="BO39" i="46"/>
  <c r="BQ47" i="47"/>
  <c r="AR86" i="15"/>
  <c r="AR225" i="15" s="1"/>
  <c r="AW305" i="15"/>
  <c r="AM86" i="15"/>
  <c r="AM225" i="15" s="1"/>
  <c r="BK86" i="15"/>
  <c r="BK225" i="15" s="1"/>
  <c r="AM320" i="15"/>
  <c r="BP86" i="15"/>
  <c r="BP225" i="15" s="1"/>
  <c r="AH293" i="15"/>
  <c r="BP320" i="15"/>
  <c r="BP328" i="15" s="1"/>
  <c r="BP285" i="15"/>
  <c r="BP293" i="15" s="1"/>
  <c r="X85" i="15"/>
  <c r="BP284" i="15"/>
  <c r="BP82" i="15"/>
  <c r="BP212" i="15" s="1"/>
  <c r="BP319" i="15"/>
  <c r="BP305" i="15"/>
  <c r="BN71" i="15"/>
  <c r="BO80" i="15"/>
  <c r="BO81" i="15"/>
  <c r="BN72" i="15"/>
  <c r="BO85" i="15"/>
  <c r="BO84" i="15"/>
  <c r="BS183" i="72"/>
  <c r="CC178" i="72"/>
  <c r="CC181" i="72" s="1"/>
  <c r="BX183" i="72"/>
  <c r="BO469" i="15"/>
  <c r="BQ465" i="15"/>
  <c r="AO76" i="46"/>
  <c r="AH86" i="15"/>
  <c r="AH225" i="15" s="1"/>
  <c r="AH273" i="15"/>
  <c r="X77" i="15"/>
  <c r="X81" i="15"/>
  <c r="AM273" i="15"/>
  <c r="V78" i="15"/>
  <c r="N46" i="15"/>
  <c r="M46" i="15"/>
  <c r="BB273" i="15"/>
  <c r="W86" i="15"/>
  <c r="V82" i="15"/>
  <c r="W78" i="15"/>
  <c r="W82" i="15"/>
  <c r="X80" i="15"/>
  <c r="X84" i="15"/>
  <c r="V86" i="15"/>
  <c r="X76" i="15"/>
  <c r="AP27" i="47"/>
  <c r="AP34" i="47" s="1"/>
  <c r="AP35" i="47" s="1"/>
  <c r="AP9" i="51"/>
  <c r="BC173" i="46"/>
  <c r="W39" i="51"/>
  <c r="W45" i="51" s="1"/>
  <c r="W44" i="51"/>
  <c r="BB319" i="15"/>
  <c r="BB284" i="15"/>
  <c r="AW319" i="15"/>
  <c r="BF320" i="15"/>
  <c r="BF328" i="15" s="1"/>
  <c r="AR37" i="65"/>
  <c r="AJ210" i="47"/>
  <c r="AJ56" i="51"/>
  <c r="AJ58" i="51" s="1"/>
  <c r="V210" i="47"/>
  <c r="V56" i="51"/>
  <c r="V58" i="51" s="1"/>
  <c r="U210" i="47"/>
  <c r="U56" i="51"/>
  <c r="U58" i="51" s="1"/>
  <c r="AO210" i="47"/>
  <c r="AO56" i="51"/>
  <c r="AO58" i="51" s="1"/>
  <c r="AC56" i="47"/>
  <c r="AC51" i="47"/>
  <c r="L210" i="47"/>
  <c r="L56" i="51"/>
  <c r="L58" i="51" s="1"/>
  <c r="AF210" i="47"/>
  <c r="AF56" i="51"/>
  <c r="AF58" i="51" s="1"/>
  <c r="K210" i="47"/>
  <c r="K56" i="51"/>
  <c r="K58" i="51" s="1"/>
  <c r="AE210" i="47"/>
  <c r="AE56" i="51"/>
  <c r="AE58" i="51" s="1"/>
  <c r="Z210" i="47"/>
  <c r="Z56" i="51"/>
  <c r="Z58" i="51" s="1"/>
  <c r="P210" i="47"/>
  <c r="P56" i="51"/>
  <c r="P58" i="51" s="1"/>
  <c r="Q210" i="47"/>
  <c r="Q56" i="51"/>
  <c r="Q58" i="51" s="1"/>
  <c r="AK210" i="47"/>
  <c r="AK56" i="51"/>
  <c r="AK58" i="51" s="1"/>
  <c r="E51" i="47"/>
  <c r="E57" i="47" s="1"/>
  <c r="E73" i="46" s="1"/>
  <c r="E56" i="47"/>
  <c r="BA244" i="15"/>
  <c r="AX244" i="15"/>
  <c r="AB139" i="15"/>
  <c r="BF319" i="15"/>
  <c r="BF325" i="15" s="1"/>
  <c r="AH54" i="65"/>
  <c r="AH56" i="65" s="1"/>
  <c r="AM52" i="65"/>
  <c r="AW273" i="15"/>
  <c r="AH328" i="15"/>
  <c r="Z336" i="15"/>
  <c r="Z118" i="15" s="1"/>
  <c r="Z255" i="15"/>
  <c r="BE81" i="15"/>
  <c r="BE320" i="15" s="1"/>
  <c r="BE328" i="15" s="1"/>
  <c r="AR328" i="15"/>
  <c r="BB328" i="15"/>
  <c r="BE80" i="15"/>
  <c r="BE319" i="15" s="1"/>
  <c r="BE325" i="15" s="1"/>
  <c r="BF82" i="15"/>
  <c r="BF212" i="15" s="1"/>
  <c r="BF284" i="15"/>
  <c r="BB293" i="15"/>
  <c r="BF209" i="15"/>
  <c r="BE273" i="15"/>
  <c r="BE86" i="15"/>
  <c r="BE225" i="15" s="1"/>
  <c r="AR274" i="15"/>
  <c r="AR273" i="15"/>
  <c r="AB334" i="15"/>
  <c r="BJ319" i="15"/>
  <c r="BJ325" i="15" s="1"/>
  <c r="BJ284" i="15"/>
  <c r="BJ305" i="15"/>
  <c r="BJ310" i="15" s="1"/>
  <c r="BJ82" i="15"/>
  <c r="BJ212" i="15" s="1"/>
  <c r="BJ86" i="15"/>
  <c r="BJ225" i="15" s="1"/>
  <c r="BJ273" i="15"/>
  <c r="BJ285" i="15"/>
  <c r="BJ293" i="15" s="1"/>
  <c r="BJ320" i="15"/>
  <c r="BJ328" i="15" s="1"/>
  <c r="BI306" i="15"/>
  <c r="BI266" i="15"/>
  <c r="BI80" i="15"/>
  <c r="BI81" i="15"/>
  <c r="BI286" i="15"/>
  <c r="BI85" i="15"/>
  <c r="BI77" i="15"/>
  <c r="BI265" i="15" s="1"/>
  <c r="BI84" i="15"/>
  <c r="BI76" i="15"/>
  <c r="BJ264" i="15"/>
  <c r="BJ78" i="15"/>
  <c r="BJ199" i="15" s="1"/>
  <c r="BJ207" i="15" s="1"/>
  <c r="BE264" i="15"/>
  <c r="BE78" i="15"/>
  <c r="BE199" i="15" s="1"/>
  <c r="BE207" i="15" s="1"/>
  <c r="BD306" i="15"/>
  <c r="BD266" i="15"/>
  <c r="BD81" i="15"/>
  <c r="BD85" i="15"/>
  <c r="BD77" i="15"/>
  <c r="BD265" i="15" s="1"/>
  <c r="BD286" i="15"/>
  <c r="BD84" i="15"/>
  <c r="BD76" i="15"/>
  <c r="BD80" i="15"/>
  <c r="BA65" i="51"/>
  <c r="BA71" i="51" s="1"/>
  <c r="BA117" i="46"/>
  <c r="CH191" i="72"/>
  <c r="CH201" i="72" s="1"/>
  <c r="CM189" i="72"/>
  <c r="BG137" i="46"/>
  <c r="DR53" i="65" s="1"/>
  <c r="BA173" i="46"/>
  <c r="BB173" i="46" s="1"/>
  <c r="AX87" i="46"/>
  <c r="AW12" i="72"/>
  <c r="CC10" i="72"/>
  <c r="BF65" i="51"/>
  <c r="BF71" i="51" s="1"/>
  <c r="BF117" i="46"/>
  <c r="CH27" i="72"/>
  <c r="CC30" i="72"/>
  <c r="BX32" i="72"/>
  <c r="BJ87" i="46"/>
  <c r="BJ136" i="46" s="1"/>
  <c r="BI12" i="72"/>
  <c r="CR44" i="72"/>
  <c r="CM199" i="72"/>
  <c r="BB137" i="46"/>
  <c r="DM53" i="65" s="1"/>
  <c r="AY173" i="46"/>
  <c r="CH22" i="72"/>
  <c r="CM18" i="72"/>
  <c r="BE173" i="46"/>
  <c r="BF173" i="46"/>
  <c r="BG173" i="46" s="1"/>
  <c r="BL137" i="46"/>
  <c r="DW53" i="65" s="1"/>
  <c r="AZ173" i="46"/>
  <c r="BE65" i="51"/>
  <c r="BE71" i="51" s="1"/>
  <c r="BE117" i="46"/>
  <c r="BD27" i="51"/>
  <c r="BC27" i="51"/>
  <c r="BH22" i="65" s="1"/>
  <c r="BL14" i="51"/>
  <c r="AH319" i="15"/>
  <c r="AH305" i="15"/>
  <c r="AH284" i="15"/>
  <c r="AH82" i="15"/>
  <c r="AH212" i="15" s="1"/>
  <c r="AA46" i="15"/>
  <c r="AA74" i="46"/>
  <c r="AF46" i="15"/>
  <c r="AF74" i="46"/>
  <c r="AM46" i="15"/>
  <c r="AM10" i="65"/>
  <c r="AM8" i="64" s="1"/>
  <c r="AM74" i="46"/>
  <c r="AR320" i="15"/>
  <c r="AR285" i="15"/>
  <c r="Y132" i="15"/>
  <c r="Y121" i="15"/>
  <c r="AD314" i="15"/>
  <c r="AD313" i="15"/>
  <c r="AO354" i="15"/>
  <c r="BJ385" i="15"/>
  <c r="BO385" i="15" s="1"/>
  <c r="S46" i="15"/>
  <c r="S74" i="46"/>
  <c r="S10" i="65"/>
  <c r="Y46" i="15"/>
  <c r="Y74" i="46"/>
  <c r="AD46" i="15"/>
  <c r="AD74" i="46"/>
  <c r="AK310" i="15"/>
  <c r="BB320" i="15"/>
  <c r="BB285" i="15"/>
  <c r="AR208" i="15"/>
  <c r="BG385" i="15"/>
  <c r="AA331" i="15"/>
  <c r="Y335" i="15"/>
  <c r="AS240" i="15"/>
  <c r="AS226" i="15"/>
  <c r="AS213" i="15"/>
  <c r="Z191" i="15"/>
  <c r="Z192" i="15" s="1"/>
  <c r="Z116" i="15" s="1"/>
  <c r="BI385" i="15"/>
  <c r="BN385" i="15" s="1"/>
  <c r="BG342" i="15"/>
  <c r="BA342" i="15"/>
  <c r="AZ342" i="15" s="1"/>
  <c r="AY342" i="15" s="1"/>
  <c r="AX342" i="15" s="1"/>
  <c r="AN209" i="15"/>
  <c r="AC326" i="15"/>
  <c r="AC325" i="15" s="1"/>
  <c r="BE240" i="15"/>
  <c r="BE226" i="15"/>
  <c r="BE213" i="15"/>
  <c r="BE208" i="15"/>
  <c r="BD200" i="15"/>
  <c r="AX362" i="15"/>
  <c r="AX161" i="15"/>
  <c r="AB280" i="15"/>
  <c r="AR264" i="15"/>
  <c r="AR78" i="15"/>
  <c r="AR199" i="15" s="1"/>
  <c r="BB264" i="15"/>
  <c r="BB78" i="15"/>
  <c r="BB199" i="15" s="1"/>
  <c r="Y141" i="15"/>
  <c r="Y300" i="15"/>
  <c r="AL244" i="15"/>
  <c r="AI244" i="15"/>
  <c r="AC362" i="15"/>
  <c r="AT354" i="15"/>
  <c r="AE46" i="15"/>
  <c r="AE74" i="46"/>
  <c r="AI46" i="15"/>
  <c r="AI74" i="46"/>
  <c r="AF325" i="15"/>
  <c r="AM293" i="15"/>
  <c r="AP207" i="15"/>
  <c r="AW293" i="15"/>
  <c r="AZ310" i="15"/>
  <c r="AY103" i="15"/>
  <c r="AI230" i="15"/>
  <c r="AL230" i="15"/>
  <c r="AY240" i="15"/>
  <c r="AY226" i="15"/>
  <c r="AY213" i="15"/>
  <c r="AX200" i="15"/>
  <c r="AA196" i="15"/>
  <c r="AA147" i="15"/>
  <c r="AB130" i="15"/>
  <c r="AB119" i="15"/>
  <c r="R46" i="15"/>
  <c r="U497" i="15"/>
  <c r="T497" i="15"/>
  <c r="T501" i="15"/>
  <c r="AS207" i="15"/>
  <c r="AL217" i="15"/>
  <c r="AI217" i="15"/>
  <c r="AC375" i="15"/>
  <c r="AC164" i="15" s="1"/>
  <c r="AC166" i="15" s="1"/>
  <c r="AD242" i="15"/>
  <c r="AB377" i="15"/>
  <c r="AC377" i="15" s="1"/>
  <c r="AB164" i="15"/>
  <c r="W46" i="15"/>
  <c r="AB46" i="15"/>
  <c r="L46" i="15"/>
  <c r="L74" i="46"/>
  <c r="Q501" i="15"/>
  <c r="V501" i="15"/>
  <c r="V46" i="15"/>
  <c r="V74" i="46"/>
  <c r="AA501" i="15"/>
  <c r="BK385" i="15"/>
  <c r="BP385" i="15" s="1"/>
  <c r="AG310" i="15"/>
  <c r="AL325" i="15"/>
  <c r="AQ325" i="15"/>
  <c r="AQ207" i="15"/>
  <c r="AV310" i="15"/>
  <c r="BA310" i="15"/>
  <c r="AC181" i="15"/>
  <c r="AC142" i="15"/>
  <c r="AC244" i="15"/>
  <c r="AH74" i="46"/>
  <c r="AH10" i="65"/>
  <c r="AH8" i="64" s="1"/>
  <c r="X46" i="15"/>
  <c r="X10" i="65"/>
  <c r="X8" i="64" s="1"/>
  <c r="X74" i="46"/>
  <c r="J46" i="15"/>
  <c r="J74" i="46"/>
  <c r="M497" i="15"/>
  <c r="M501" i="15"/>
  <c r="N501" i="15" s="1"/>
  <c r="AA334" i="15"/>
  <c r="AW320" i="15"/>
  <c r="AW285" i="15"/>
  <c r="BL205" i="15"/>
  <c r="BK207" i="15"/>
  <c r="BH244" i="15"/>
  <c r="BK244" i="15"/>
  <c r="AF308" i="15"/>
  <c r="AE311" i="15"/>
  <c r="AZ486" i="15"/>
  <c r="AY486" i="15"/>
  <c r="Y497" i="15"/>
  <c r="Z497" i="15"/>
  <c r="AK325" i="15"/>
  <c r="AR293" i="15"/>
  <c r="Y260" i="15"/>
  <c r="Y261" i="15" s="1"/>
  <c r="Y148" i="15"/>
  <c r="Y140" i="15"/>
  <c r="Y280" i="15"/>
  <c r="AO271" i="15"/>
  <c r="AB195" i="15"/>
  <c r="AB140" i="15"/>
  <c r="AB208" i="15"/>
  <c r="AC205" i="15"/>
  <c r="AD202" i="15"/>
  <c r="AC194" i="15"/>
  <c r="AC154" i="15" s="1"/>
  <c r="AC158" i="15" s="1"/>
  <c r="AC429" i="15" s="1"/>
  <c r="AC372" i="15"/>
  <c r="AE343" i="15"/>
  <c r="AD157" i="15"/>
  <c r="AH499" i="15"/>
  <c r="AH506" i="15" s="1"/>
  <c r="AG506" i="15"/>
  <c r="AA332" i="15"/>
  <c r="AA335" i="15" s="1"/>
  <c r="AO209" i="15"/>
  <c r="AM319" i="15"/>
  <c r="AM305" i="15"/>
  <c r="AM284" i="15"/>
  <c r="AM82" i="15"/>
  <c r="AM212" i="15" s="1"/>
  <c r="AS376" i="15"/>
  <c r="AX103" i="15"/>
  <c r="AW103" i="15"/>
  <c r="AW376" i="15" s="1"/>
  <c r="AW221" i="15"/>
  <c r="Y240" i="15"/>
  <c r="Y248" i="15" s="1"/>
  <c r="Y226" i="15"/>
  <c r="Y234" i="15" s="1"/>
  <c r="Y213" i="15"/>
  <c r="Y221" i="15" s="1"/>
  <c r="Y208" i="15"/>
  <c r="Z126" i="15"/>
  <c r="AD360" i="15"/>
  <c r="AD218" i="15"/>
  <c r="AE215" i="15"/>
  <c r="AA249" i="15"/>
  <c r="AA129" i="15" s="1"/>
  <c r="AC51" i="15"/>
  <c r="AC57" i="15" s="1"/>
  <c r="AC59" i="15" s="1"/>
  <c r="BW51" i="64" s="1"/>
  <c r="BW54" i="64" s="1"/>
  <c r="BW56" i="64" s="1"/>
  <c r="AC45" i="15"/>
  <c r="AH46" i="15" s="1"/>
  <c r="AM78" i="15"/>
  <c r="AM199" i="15" s="1"/>
  <c r="AC149" i="15"/>
  <c r="AY360" i="15"/>
  <c r="AY218" i="15"/>
  <c r="AY220" i="15" s="1"/>
  <c r="AZ215" i="15"/>
  <c r="AX220" i="15"/>
  <c r="AD259" i="15"/>
  <c r="AD274" i="15"/>
  <c r="AD271" i="15"/>
  <c r="AE268" i="15"/>
  <c r="AD155" i="15"/>
  <c r="AM290" i="15"/>
  <c r="AN290" i="15" s="1"/>
  <c r="AR319" i="15"/>
  <c r="AR305" i="15"/>
  <c r="AR284" i="15"/>
  <c r="AR82" i="15"/>
  <c r="AR212" i="15" s="1"/>
  <c r="AK46" i="15"/>
  <c r="AK74" i="46"/>
  <c r="L501" i="15"/>
  <c r="O46" i="15"/>
  <c r="O74" i="46"/>
  <c r="Q497" i="15"/>
  <c r="R497" i="15"/>
  <c r="O501" i="15"/>
  <c r="AA120" i="15"/>
  <c r="AA131" i="15" s="1"/>
  <c r="AD294" i="15"/>
  <c r="AD291" i="15"/>
  <c r="AE288" i="15"/>
  <c r="AD165" i="15"/>
  <c r="BG354" i="15"/>
  <c r="BA354" i="15"/>
  <c r="AN46" i="15"/>
  <c r="AN74" i="46"/>
  <c r="AB313" i="15"/>
  <c r="AB315" i="15" s="1"/>
  <c r="AB207" i="15"/>
  <c r="AF310" i="15"/>
  <c r="AM328" i="15"/>
  <c r="AW328" i="15"/>
  <c r="AZ325" i="15"/>
  <c r="Y314" i="15"/>
  <c r="Y313" i="15"/>
  <c r="AZ103" i="15"/>
  <c r="AC345" i="15"/>
  <c r="AD345" i="15" s="1"/>
  <c r="AE345" i="15" s="1"/>
  <c r="AF345" i="15" s="1"/>
  <c r="AG345" i="15" s="1"/>
  <c r="AC143" i="15"/>
  <c r="T46" i="15"/>
  <c r="T74" i="46"/>
  <c r="W497" i="15"/>
  <c r="V497" i="15"/>
  <c r="W501" i="15"/>
  <c r="X501" i="15" s="1"/>
  <c r="AG454" i="15"/>
  <c r="AG44" i="15"/>
  <c r="AG39" i="15"/>
  <c r="AW264" i="15"/>
  <c r="AW78" i="15"/>
  <c r="AW199" i="15" s="1"/>
  <c r="AV376" i="15"/>
  <c r="BA103" i="15"/>
  <c r="AT163" i="15"/>
  <c r="AS372" i="15"/>
  <c r="AS163" i="15"/>
  <c r="AH264" i="15"/>
  <c r="AH78" i="15"/>
  <c r="AH199" i="15" s="1"/>
  <c r="AC218" i="15"/>
  <c r="AC217" i="15" s="1"/>
  <c r="AB221" i="15"/>
  <c r="BH217" i="15"/>
  <c r="BK217" i="15"/>
  <c r="AB142" i="15"/>
  <c r="AB247" i="15"/>
  <c r="AB248" i="15"/>
  <c r="AB332" i="15"/>
  <c r="AB335" i="15" s="1"/>
  <c r="AB331" i="15"/>
  <c r="AD329" i="15"/>
  <c r="AD326" i="15"/>
  <c r="AE323" i="15"/>
  <c r="AD156" i="15"/>
  <c r="AI354" i="15"/>
  <c r="AC348" i="15"/>
  <c r="AC350" i="15" s="1"/>
  <c r="P501" i="15"/>
  <c r="Q46" i="15"/>
  <c r="Q74" i="46"/>
  <c r="U501" i="15"/>
  <c r="Z501" i="15"/>
  <c r="AG325" i="15"/>
  <c r="AL310" i="15"/>
  <c r="AQ310" i="15"/>
  <c r="AV325" i="15"/>
  <c r="BA325" i="15"/>
  <c r="BB82" i="15"/>
  <c r="BB212" i="15" s="1"/>
  <c r="BK240" i="15"/>
  <c r="BK226" i="15"/>
  <c r="BK213" i="15"/>
  <c r="BK208" i="15"/>
  <c r="BJ200" i="15"/>
  <c r="AE240" i="15"/>
  <c r="AE226" i="15"/>
  <c r="AE213" i="15"/>
  <c r="AD200" i="15"/>
  <c r="AW82" i="15"/>
  <c r="AW212" i="15" s="1"/>
  <c r="AX21" i="47"/>
  <c r="AN210" i="47"/>
  <c r="Z58" i="47"/>
  <c r="Z73" i="46"/>
  <c r="BJ146" i="47"/>
  <c r="BO146" i="47" s="1"/>
  <c r="BO144" i="47" s="1"/>
  <c r="BO22" i="47" s="1"/>
  <c r="BE144" i="47"/>
  <c r="N58" i="47"/>
  <c r="N265" i="47"/>
  <c r="N262" i="47"/>
  <c r="J210" i="47"/>
  <c r="BK121" i="47"/>
  <c r="R56" i="47"/>
  <c r="R51" i="47"/>
  <c r="S265" i="47"/>
  <c r="S262" i="47"/>
  <c r="BK31" i="47"/>
  <c r="BJ131" i="47"/>
  <c r="BE129" i="47"/>
  <c r="BE19" i="47" s="1"/>
  <c r="BE139" i="47"/>
  <c r="BE21" i="47" s="1"/>
  <c r="BJ141" i="47"/>
  <c r="BH141" i="47"/>
  <c r="BM141" i="47" s="1"/>
  <c r="BM139" i="47" s="1"/>
  <c r="BM21" i="47" s="1"/>
  <c r="BC139" i="47"/>
  <c r="AN58" i="47"/>
  <c r="AN73" i="46"/>
  <c r="X58" i="47"/>
  <c r="X73" i="46"/>
  <c r="X9" i="65"/>
  <c r="X7" i="64" s="1"/>
  <c r="X265" i="47"/>
  <c r="X262" i="47"/>
  <c r="BC19" i="47"/>
  <c r="BH129" i="47"/>
  <c r="AZ22" i="47"/>
  <c r="P58" i="47"/>
  <c r="P73" i="46"/>
  <c r="AJ58" i="47"/>
  <c r="AJ73" i="46"/>
  <c r="J73" i="46"/>
  <c r="L58" i="47"/>
  <c r="L73" i="46"/>
  <c r="BG31" i="47"/>
  <c r="BJ121" i="47"/>
  <c r="AL56" i="47"/>
  <c r="AL51" i="47"/>
  <c r="S58" i="47"/>
  <c r="S73" i="46"/>
  <c r="S9" i="65"/>
  <c r="AP17" i="47"/>
  <c r="AH252" i="47"/>
  <c r="AH256" i="47"/>
  <c r="AH57" i="47"/>
  <c r="M51" i="47"/>
  <c r="M56" i="47"/>
  <c r="AS275" i="47"/>
  <c r="BH22" i="47"/>
  <c r="AB56" i="47"/>
  <c r="AB51" i="47"/>
  <c r="BL113" i="47"/>
  <c r="Y73" i="46"/>
  <c r="W51" i="47"/>
  <c r="W56" i="47"/>
  <c r="BJ39" i="46"/>
  <c r="BL47" i="47"/>
  <c r="AD58" i="47"/>
  <c r="AD73" i="46"/>
  <c r="BL117" i="47"/>
  <c r="BH10" i="47"/>
  <c r="V58" i="47"/>
  <c r="V73" i="46"/>
  <c r="K58" i="47"/>
  <c r="K73" i="46"/>
  <c r="U58" i="47"/>
  <c r="U73" i="46"/>
  <c r="AE58" i="47"/>
  <c r="AE73" i="46"/>
  <c r="AO58" i="47"/>
  <c r="O58" i="47"/>
  <c r="O73" i="46"/>
  <c r="AI58" i="47"/>
  <c r="AI73" i="46"/>
  <c r="AG51" i="47"/>
  <c r="AG56" i="47"/>
  <c r="BE161" i="47"/>
  <c r="Q58" i="47"/>
  <c r="Q73" i="46"/>
  <c r="AA58" i="47"/>
  <c r="AA73" i="46"/>
  <c r="AK73" i="46"/>
  <c r="H56" i="47"/>
  <c r="H51" i="47"/>
  <c r="H57" i="47" s="1"/>
  <c r="Y210" i="47"/>
  <c r="BJ17" i="46"/>
  <c r="AD210" i="47"/>
  <c r="T210" i="47"/>
  <c r="AI210" i="47"/>
  <c r="AC63" i="46"/>
  <c r="AC51" i="46"/>
  <c r="AC238" i="46"/>
  <c r="AC232" i="46"/>
  <c r="CN23" i="65" s="1"/>
  <c r="AC237" i="46"/>
  <c r="CN26" i="65" s="1"/>
  <c r="AC233" i="46"/>
  <c r="AM238" i="46"/>
  <c r="AM232" i="46"/>
  <c r="CX23" i="65" s="1"/>
  <c r="AM237" i="46"/>
  <c r="CX26" i="65" s="1"/>
  <c r="AM233" i="46"/>
  <c r="AM46" i="65"/>
  <c r="CX17" i="65"/>
  <c r="H246" i="46"/>
  <c r="H49" i="46"/>
  <c r="H43" i="46"/>
  <c r="H50" i="46" s="1"/>
  <c r="R246" i="46"/>
  <c r="R43" i="46"/>
  <c r="R50" i="46" s="1"/>
  <c r="W51" i="46" s="1"/>
  <c r="R49" i="46"/>
  <c r="M246" i="46"/>
  <c r="M49" i="46"/>
  <c r="M43" i="46"/>
  <c r="M50" i="46" s="1"/>
  <c r="AS36" i="65"/>
  <c r="I238" i="46"/>
  <c r="I232" i="46"/>
  <c r="I237" i="46"/>
  <c r="N63" i="46"/>
  <c r="N51" i="46"/>
  <c r="S238" i="46"/>
  <c r="S232" i="46"/>
  <c r="CD23" i="65" s="1"/>
  <c r="S237" i="46"/>
  <c r="CD26" i="65" s="1"/>
  <c r="X63" i="46"/>
  <c r="X51" i="46"/>
  <c r="AX59" i="46"/>
  <c r="AM63" i="46"/>
  <c r="AH224" i="46"/>
  <c r="AH219" i="46"/>
  <c r="AH50" i="46"/>
  <c r="AM51" i="46" s="1"/>
  <c r="AM215" i="46"/>
  <c r="AM229" i="46"/>
  <c r="CX20" i="65" s="1"/>
  <c r="AM209" i="46"/>
  <c r="AM230" i="46"/>
  <c r="CX21" i="65" s="1"/>
  <c r="AM206" i="46"/>
  <c r="AM212" i="46"/>
  <c r="W63" i="46"/>
  <c r="AG63" i="46"/>
  <c r="AQ38" i="65"/>
  <c r="AQ48" i="65" s="1"/>
  <c r="AS37" i="65"/>
  <c r="N238" i="46"/>
  <c r="N237" i="46"/>
  <c r="BY26" i="65" s="1"/>
  <c r="N232" i="46"/>
  <c r="BY23" i="65" s="1"/>
  <c r="S63" i="46"/>
  <c r="S51" i="46"/>
  <c r="X238" i="46"/>
  <c r="X237" i="46"/>
  <c r="CI26" i="65" s="1"/>
  <c r="X232" i="46"/>
  <c r="CI23" i="65" s="1"/>
  <c r="AU31" i="65"/>
  <c r="AB246" i="46"/>
  <c r="AB43" i="46"/>
  <c r="AB50" i="46" s="1"/>
  <c r="AB49" i="46"/>
  <c r="AL246" i="46"/>
  <c r="AL43" i="46"/>
  <c r="AL50" i="46" s="1"/>
  <c r="AL49" i="46"/>
  <c r="BB217" i="47" l="1"/>
  <c r="BB223" i="47" s="1"/>
  <c r="O210" i="47"/>
  <c r="AC294" i="15"/>
  <c r="BH223" i="47"/>
  <c r="AC284" i="15"/>
  <c r="AD231" i="15"/>
  <c r="AD139" i="15" s="1"/>
  <c r="AA210" i="47"/>
  <c r="BK87" i="46"/>
  <c r="BK136" i="46" s="1"/>
  <c r="T58" i="47"/>
  <c r="BC87" i="46"/>
  <c r="BC136" i="46" s="1"/>
  <c r="Y58" i="47"/>
  <c r="O510" i="15"/>
  <c r="I151" i="46"/>
  <c r="J149" i="46" s="1"/>
  <c r="L507" i="15"/>
  <c r="AB166" i="15"/>
  <c r="AL507" i="15"/>
  <c r="AK58" i="47"/>
  <c r="AE228" i="15"/>
  <c r="AF228" i="15" s="1"/>
  <c r="AF73" i="46"/>
  <c r="AY12" i="72"/>
  <c r="BH87" i="46"/>
  <c r="BH136" i="46" s="1"/>
  <c r="AA126" i="15"/>
  <c r="AC293" i="15"/>
  <c r="AC78" i="15"/>
  <c r="AC199" i="15" s="1"/>
  <c r="AA296" i="15"/>
  <c r="AC296" i="15" s="1"/>
  <c r="AC82" i="15"/>
  <c r="AC212" i="15" s="1"/>
  <c r="AN277" i="15"/>
  <c r="AN140" i="15" s="1"/>
  <c r="AB510" i="15"/>
  <c r="BA87" i="46"/>
  <c r="BA136" i="46" s="1"/>
  <c r="BJ117" i="46"/>
  <c r="AC285" i="15"/>
  <c r="AC220" i="15"/>
  <c r="AA299" i="15"/>
  <c r="AA301" i="15" s="1"/>
  <c r="AA190" i="15"/>
  <c r="AA192" i="15" s="1"/>
  <c r="AA116" i="15" s="1"/>
  <c r="BC92" i="46"/>
  <c r="AC305" i="15"/>
  <c r="AA179" i="15"/>
  <c r="AA177" i="15" s="1"/>
  <c r="AA183" i="15" s="1"/>
  <c r="AA121" i="15" s="1"/>
  <c r="Z256" i="15"/>
  <c r="Z257" i="15" s="1"/>
  <c r="Z117" i="15" s="1"/>
  <c r="Z123" i="15" s="1"/>
  <c r="BL223" i="47"/>
  <c r="AC277" i="15"/>
  <c r="AC140" i="15" s="1"/>
  <c r="AC274" i="15"/>
  <c r="AA279" i="15"/>
  <c r="AC279" i="15" s="1"/>
  <c r="AA280" i="15"/>
  <c r="AA256" i="15" s="1"/>
  <c r="AC273" i="15"/>
  <c r="AA276" i="15"/>
  <c r="AC276" i="15" s="1"/>
  <c r="AC314" i="15"/>
  <c r="AA141" i="15"/>
  <c r="AA144" i="15" s="1"/>
  <c r="AC311" i="15"/>
  <c r="AA148" i="15"/>
  <c r="AA151" i="15" s="1"/>
  <c r="AA313" i="15"/>
  <c r="AA315" i="15" s="1"/>
  <c r="AA260" i="15"/>
  <c r="AA261" i="15" s="1"/>
  <c r="AC310" i="15"/>
  <c r="BD87" i="46"/>
  <c r="BD136" i="46" s="1"/>
  <c r="AM458" i="15"/>
  <c r="AO510" i="15"/>
  <c r="AC233" i="15"/>
  <c r="AB132" i="15"/>
  <c r="P510" i="15"/>
  <c r="J507" i="15"/>
  <c r="AX117" i="46"/>
  <c r="AZ117" i="46"/>
  <c r="BD117" i="46"/>
  <c r="AC230" i="15"/>
  <c r="AC297" i="15"/>
  <c r="AB260" i="15"/>
  <c r="AB261" i="15" s="1"/>
  <c r="AC497" i="15"/>
  <c r="AC507" i="15" s="1"/>
  <c r="BC65" i="51"/>
  <c r="BG65" i="51" s="1"/>
  <c r="BG71" i="51" s="1"/>
  <c r="AB300" i="15"/>
  <c r="AB301" i="15" s="1"/>
  <c r="AB141" i="15"/>
  <c r="AB144" i="15" s="1"/>
  <c r="AE507" i="15"/>
  <c r="BI117" i="46"/>
  <c r="AB222" i="15"/>
  <c r="AB126" i="15" s="1"/>
  <c r="AD510" i="15"/>
  <c r="AN510" i="15"/>
  <c r="AM497" i="15"/>
  <c r="AM510" i="15" s="1"/>
  <c r="J58" i="47"/>
  <c r="BK117" i="46"/>
  <c r="AX12" i="72"/>
  <c r="AY117" i="46"/>
  <c r="AF507" i="15"/>
  <c r="K510" i="15"/>
  <c r="BE12" i="72"/>
  <c r="BL10" i="47"/>
  <c r="AA507" i="15"/>
  <c r="BH18" i="51"/>
  <c r="BH20" i="51" s="1"/>
  <c r="BH26" i="51" s="1"/>
  <c r="BH27" i="51" s="1"/>
  <c r="BM22" i="65" s="1"/>
  <c r="BI87" i="46"/>
  <c r="BI136" i="46" s="1"/>
  <c r="M51" i="46"/>
  <c r="AQ51" i="46"/>
  <c r="AQ63" i="46"/>
  <c r="BG217" i="47"/>
  <c r="BG223" i="47" s="1"/>
  <c r="AH60" i="47"/>
  <c r="AS51" i="46"/>
  <c r="AN51" i="46"/>
  <c r="AN63" i="46"/>
  <c r="Y144" i="15"/>
  <c r="BE284" i="15"/>
  <c r="BH117" i="46"/>
  <c r="DJ12" i="72"/>
  <c r="BQ39" i="46"/>
  <c r="BD12" i="72"/>
  <c r="Z128" i="15"/>
  <c r="Z133" i="15" s="1"/>
  <c r="BN20" i="51"/>
  <c r="BN26" i="51" s="1"/>
  <c r="BN27" i="51" s="1"/>
  <c r="AM57" i="47"/>
  <c r="AM58" i="47" s="1"/>
  <c r="AM256" i="47"/>
  <c r="AM252" i="47"/>
  <c r="BK11" i="51"/>
  <c r="BP10" i="51"/>
  <c r="BP11" i="51" s="1"/>
  <c r="BM18" i="51"/>
  <c r="BM20" i="51" s="1"/>
  <c r="BM26" i="51" s="1"/>
  <c r="BM27" i="51" s="1"/>
  <c r="AP41" i="47"/>
  <c r="AZ9" i="51"/>
  <c r="BH11" i="51"/>
  <c r="BW58" i="64"/>
  <c r="BW109" i="64"/>
  <c r="BP217" i="15"/>
  <c r="BM217" i="15"/>
  <c r="BQ385" i="15"/>
  <c r="AQ457" i="15"/>
  <c r="AQ56" i="51"/>
  <c r="AQ58" i="51" s="1"/>
  <c r="BO202" i="15"/>
  <c r="BN205" i="15"/>
  <c r="BO226" i="15"/>
  <c r="BO213" i="15"/>
  <c r="BN200" i="15"/>
  <c r="BO240" i="15"/>
  <c r="AB120" i="15"/>
  <c r="AB131" i="15" s="1"/>
  <c r="X82" i="15"/>
  <c r="CR38" i="72"/>
  <c r="CM169" i="72"/>
  <c r="BQ24" i="51"/>
  <c r="BP121" i="47"/>
  <c r="BQ117" i="47"/>
  <c r="BQ10" i="47"/>
  <c r="BP31" i="47"/>
  <c r="BP183" i="72"/>
  <c r="BD92" i="46"/>
  <c r="DI12" i="72"/>
  <c r="DU179" i="72"/>
  <c r="DS179" i="72"/>
  <c r="DT179" i="72"/>
  <c r="DR179" i="72"/>
  <c r="BO179" i="72"/>
  <c r="BO181" i="72" s="1"/>
  <c r="BM179" i="72"/>
  <c r="BM181" i="72" s="1"/>
  <c r="BN179" i="72"/>
  <c r="BN181" i="72" s="1"/>
  <c r="BL179" i="72"/>
  <c r="BL181" i="72" s="1"/>
  <c r="DU28" i="72"/>
  <c r="DS28" i="72"/>
  <c r="DR28" i="72"/>
  <c r="DT28" i="72"/>
  <c r="BO28" i="72"/>
  <c r="BO30" i="72" s="1"/>
  <c r="BP51" i="51" s="1"/>
  <c r="BM28" i="72"/>
  <c r="BM30" i="72" s="1"/>
  <c r="BN51" i="51" s="1"/>
  <c r="BN28" i="72"/>
  <c r="BN30" i="72" s="1"/>
  <c r="BO51" i="51" s="1"/>
  <c r="BL28" i="72"/>
  <c r="BL30" i="72" s="1"/>
  <c r="BM51" i="51" s="1"/>
  <c r="BP30" i="72"/>
  <c r="BQ76" i="15"/>
  <c r="BM264" i="15"/>
  <c r="BO78" i="15"/>
  <c r="BO199" i="15" s="1"/>
  <c r="BM90" i="15"/>
  <c r="BM77" i="15" s="1"/>
  <c r="BM78" i="15" s="1"/>
  <c r="BM199" i="15" s="1"/>
  <c r="BM207" i="15" s="1"/>
  <c r="BN77" i="15"/>
  <c r="BM244" i="15"/>
  <c r="BP244" i="15"/>
  <c r="AP140" i="15"/>
  <c r="AP280" i="15"/>
  <c r="BQ113" i="47"/>
  <c r="BO121" i="47"/>
  <c r="BJ139" i="47"/>
  <c r="BJ21" i="47" s="1"/>
  <c r="BO141" i="47"/>
  <c r="BO139" i="47" s="1"/>
  <c r="BO21" i="47" s="1"/>
  <c r="BJ129" i="47"/>
  <c r="BJ19" i="47" s="1"/>
  <c r="BO131" i="47"/>
  <c r="BO129" i="47" s="1"/>
  <c r="BO19" i="47" s="1"/>
  <c r="BQ14" i="51"/>
  <c r="X78" i="15"/>
  <c r="AC334" i="15"/>
  <c r="X86" i="15"/>
  <c r="BO320" i="15"/>
  <c r="BO328" i="15" s="1"/>
  <c r="BO285" i="15"/>
  <c r="BO293" i="15" s="1"/>
  <c r="BM71" i="15"/>
  <c r="BN80" i="15"/>
  <c r="BN81" i="15"/>
  <c r="BP325" i="15"/>
  <c r="AB336" i="15"/>
  <c r="AB118" i="15" s="1"/>
  <c r="BO86" i="15"/>
  <c r="BO225" i="15" s="1"/>
  <c r="BM72" i="15"/>
  <c r="BN84" i="15"/>
  <c r="BN85" i="15"/>
  <c r="BO319" i="15"/>
  <c r="BO284" i="15"/>
  <c r="BO305" i="15"/>
  <c r="BO82" i="15"/>
  <c r="BO212" i="15" s="1"/>
  <c r="BP310" i="15"/>
  <c r="BX11" i="72"/>
  <c r="BX12" i="72" s="1"/>
  <c r="CH178" i="72"/>
  <c r="CH181" i="72" s="1"/>
  <c r="CC183" i="72"/>
  <c r="AH310" i="15"/>
  <c r="AQ272" i="47"/>
  <c r="AR272" i="47" s="1"/>
  <c r="AP11" i="51"/>
  <c r="AP20" i="51"/>
  <c r="AP26" i="51" s="1"/>
  <c r="AT53" i="47"/>
  <c r="AC252" i="47"/>
  <c r="AC57" i="47"/>
  <c r="AH58" i="47" s="1"/>
  <c r="AC256" i="47"/>
  <c r="BL385" i="15"/>
  <c r="BE305" i="15"/>
  <c r="BE310" i="15" s="1"/>
  <c r="AR52" i="65"/>
  <c r="AM54" i="65"/>
  <c r="AM56" i="65" s="1"/>
  <c r="BE285" i="15"/>
  <c r="BE293" i="15" s="1"/>
  <c r="BE82" i="15"/>
  <c r="BE212" i="15" s="1"/>
  <c r="AY221" i="15"/>
  <c r="AY222" i="15" s="1"/>
  <c r="BI86" i="15"/>
  <c r="BI225" i="15" s="1"/>
  <c r="BI273" i="15"/>
  <c r="AA336" i="15"/>
  <c r="AA118" i="15" s="1"/>
  <c r="AM310" i="15"/>
  <c r="BD305" i="15"/>
  <c r="BD310" i="15" s="1"/>
  <c r="BD82" i="15"/>
  <c r="BD212" i="15" s="1"/>
  <c r="BD319" i="15"/>
  <c r="BD325" i="15" s="1"/>
  <c r="BD284" i="15"/>
  <c r="BD86" i="15"/>
  <c r="BD225" i="15" s="1"/>
  <c r="BD273" i="15"/>
  <c r="BD320" i="15"/>
  <c r="BD328" i="15" s="1"/>
  <c r="BD285" i="15"/>
  <c r="BD293" i="15" s="1"/>
  <c r="BI285" i="15"/>
  <c r="BI293" i="15" s="1"/>
  <c r="BI320" i="15"/>
  <c r="BI328" i="15" s="1"/>
  <c r="BI319" i="15"/>
  <c r="BI325" i="15" s="1"/>
  <c r="BI284" i="15"/>
  <c r="BI305" i="15"/>
  <c r="BI310" i="15" s="1"/>
  <c r="BI82" i="15"/>
  <c r="BI212" i="15" s="1"/>
  <c r="AR310" i="15"/>
  <c r="AC120" i="15"/>
  <c r="AC131" i="15" s="1"/>
  <c r="AC331" i="15"/>
  <c r="AW310" i="15"/>
  <c r="BC306" i="15"/>
  <c r="BG306" i="15" s="1"/>
  <c r="BC266" i="15"/>
  <c r="BG266" i="15" s="1"/>
  <c r="BC80" i="15"/>
  <c r="BC84" i="15"/>
  <c r="BC76" i="15"/>
  <c r="BC286" i="15"/>
  <c r="BG286" i="15" s="1"/>
  <c r="BC85" i="15"/>
  <c r="BG85" i="15" s="1"/>
  <c r="BC77" i="15"/>
  <c r="BC81" i="15"/>
  <c r="BD78" i="15"/>
  <c r="BD199" i="15" s="1"/>
  <c r="BD264" i="15"/>
  <c r="BI264" i="15"/>
  <c r="BI78" i="15"/>
  <c r="BI199" i="15" s="1"/>
  <c r="BI207" i="15" s="1"/>
  <c r="BH286" i="15"/>
  <c r="BL286" i="15" s="1"/>
  <c r="BH84" i="15"/>
  <c r="BH76" i="15"/>
  <c r="BH80" i="15"/>
  <c r="BH306" i="15"/>
  <c r="BL306" i="15" s="1"/>
  <c r="BH266" i="15"/>
  <c r="BL266" i="15" s="1"/>
  <c r="BH81" i="15"/>
  <c r="BH85" i="15"/>
  <c r="BL85" i="15" s="1"/>
  <c r="BH77" i="15"/>
  <c r="CH10" i="72"/>
  <c r="CC32" i="72"/>
  <c r="CQ189" i="72"/>
  <c r="CQ191" i="72" s="1"/>
  <c r="CO189" i="72"/>
  <c r="CO191" i="72" s="1"/>
  <c r="CK189" i="72"/>
  <c r="CK191" i="72" s="1"/>
  <c r="CI189" i="72"/>
  <c r="CI191" i="72" s="1"/>
  <c r="CM191" i="72"/>
  <c r="CM201" i="72" s="1"/>
  <c r="CR189" i="72"/>
  <c r="CN189" i="72"/>
  <c r="CN191" i="72" s="1"/>
  <c r="CJ189" i="72"/>
  <c r="CJ191" i="72" s="1"/>
  <c r="CP189" i="72"/>
  <c r="CP191" i="72" s="1"/>
  <c r="CL189" i="72"/>
  <c r="CL191" i="72" s="1"/>
  <c r="BH71" i="51"/>
  <c r="BL65" i="51"/>
  <c r="BL71" i="51" s="1"/>
  <c r="CM22" i="72"/>
  <c r="CR18" i="72"/>
  <c r="AX71" i="51"/>
  <c r="BB65" i="51"/>
  <c r="BB71" i="51" s="1"/>
  <c r="CR199" i="72"/>
  <c r="CW44" i="72"/>
  <c r="CM27" i="72"/>
  <c r="CH30" i="72"/>
  <c r="AX136" i="46"/>
  <c r="AE365" i="15"/>
  <c r="BJ226" i="15"/>
  <c r="BJ213" i="15"/>
  <c r="BJ208" i="15"/>
  <c r="BI200" i="15"/>
  <c r="BJ240" i="15"/>
  <c r="AC130" i="15"/>
  <c r="AC119" i="15"/>
  <c r="AF323" i="15"/>
  <c r="AE329" i="15"/>
  <c r="AE326" i="15"/>
  <c r="AE156" i="15"/>
  <c r="AD149" i="15"/>
  <c r="AD334" i="15"/>
  <c r="AG51" i="15"/>
  <c r="AG57" i="15" s="1"/>
  <c r="AG59" i="15" s="1"/>
  <c r="AG45" i="15"/>
  <c r="AJ497" i="15"/>
  <c r="AI497" i="15"/>
  <c r="AJ501" i="15"/>
  <c r="AI501" i="15"/>
  <c r="AK497" i="15"/>
  <c r="AG501" i="15"/>
  <c r="AH501" i="15" s="1"/>
  <c r="AG497" i="15"/>
  <c r="AK501" i="15"/>
  <c r="AG457" i="15"/>
  <c r="AH457" i="15" s="1"/>
  <c r="AH454" i="15"/>
  <c r="V507" i="15"/>
  <c r="V510" i="15"/>
  <c r="AZ354" i="15"/>
  <c r="AD299" i="15"/>
  <c r="R507" i="15"/>
  <c r="R510" i="15"/>
  <c r="S497" i="15"/>
  <c r="AD279" i="15"/>
  <c r="AZ360" i="15"/>
  <c r="AZ218" i="15"/>
  <c r="BA215" i="15"/>
  <c r="AY362" i="15"/>
  <c r="AY161" i="15"/>
  <c r="AD362" i="15"/>
  <c r="AD161" i="15"/>
  <c r="AC221" i="15"/>
  <c r="Y222" i="15"/>
  <c r="AC248" i="15"/>
  <c r="Y249" i="15"/>
  <c r="Y129" i="15" s="1"/>
  <c r="AD346" i="15"/>
  <c r="AE202" i="15"/>
  <c r="AE370" i="15" s="1"/>
  <c r="AD194" i="15"/>
  <c r="AD154" i="15" s="1"/>
  <c r="AD158" i="15" s="1"/>
  <c r="AD205" i="15"/>
  <c r="AD208" i="15" s="1"/>
  <c r="AD179" i="15"/>
  <c r="AB191" i="15"/>
  <c r="AB196" i="15"/>
  <c r="AB147" i="15"/>
  <c r="AB151" i="15" s="1"/>
  <c r="AO277" i="15"/>
  <c r="AO279" i="15"/>
  <c r="Y510" i="15"/>
  <c r="Y507" i="15"/>
  <c r="AF311" i="15"/>
  <c r="AG308" i="15"/>
  <c r="M510" i="15"/>
  <c r="M507" i="15"/>
  <c r="N497" i="15"/>
  <c r="AD375" i="15"/>
  <c r="AD245" i="15"/>
  <c r="AE242" i="15"/>
  <c r="AS209" i="15"/>
  <c r="AV202" i="15"/>
  <c r="T507" i="15"/>
  <c r="T510" i="15"/>
  <c r="AY376" i="15"/>
  <c r="BD103" i="15"/>
  <c r="BI103" i="15" s="1"/>
  <c r="BN103" i="15" s="1"/>
  <c r="BN376" i="15" s="1"/>
  <c r="BB310" i="15"/>
  <c r="BG208" i="15"/>
  <c r="BL342" i="15"/>
  <c r="BF342" i="15"/>
  <c r="BE342" i="15" s="1"/>
  <c r="BD342" i="15" s="1"/>
  <c r="BC342" i="15" s="1"/>
  <c r="AC335" i="15"/>
  <c r="Y336" i="15"/>
  <c r="Y118" i="15" s="1"/>
  <c r="AB255" i="15"/>
  <c r="AN354" i="15"/>
  <c r="AD315" i="15"/>
  <c r="BE209" i="15"/>
  <c r="AD367" i="15"/>
  <c r="AD162" i="15"/>
  <c r="AD226" i="15"/>
  <c r="AD213" i="15"/>
  <c r="AD221" i="15" s="1"/>
  <c r="AD240" i="15"/>
  <c r="AD332" i="15"/>
  <c r="AD331" i="15"/>
  <c r="AB249" i="15"/>
  <c r="AB129" i="15" s="1"/>
  <c r="AU163" i="15"/>
  <c r="AV268" i="15"/>
  <c r="BA376" i="15"/>
  <c r="BF103" i="15"/>
  <c r="BK103" i="15" s="1"/>
  <c r="BP103" i="15" s="1"/>
  <c r="BP376" i="15" s="1"/>
  <c r="W510" i="15"/>
  <c r="W507" i="15"/>
  <c r="X497" i="15"/>
  <c r="AC139" i="15"/>
  <c r="AZ376" i="15"/>
  <c r="BE103" i="15"/>
  <c r="BJ103" i="15" s="1"/>
  <c r="BO103" i="15" s="1"/>
  <c r="BO376" i="15" s="1"/>
  <c r="Y315" i="15"/>
  <c r="AB209" i="15"/>
  <c r="AB190" i="15"/>
  <c r="AC207" i="15"/>
  <c r="BL354" i="15"/>
  <c r="BF354" i="15"/>
  <c r="AF288" i="15"/>
  <c r="AE294" i="15"/>
  <c r="AE291" i="15"/>
  <c r="AE165" i="15"/>
  <c r="AD297" i="15"/>
  <c r="AD296" i="15"/>
  <c r="Q510" i="15"/>
  <c r="Q507" i="15"/>
  <c r="AX489" i="15"/>
  <c r="AW489" i="15"/>
  <c r="AO290" i="15"/>
  <c r="AE274" i="15"/>
  <c r="AE271" i="15"/>
  <c r="AF268" i="15"/>
  <c r="AE259" i="15"/>
  <c r="AE155" i="15"/>
  <c r="AD277" i="15"/>
  <c r="AD276" i="15"/>
  <c r="AD370" i="15"/>
  <c r="AC46" i="15"/>
  <c r="AC10" i="65"/>
  <c r="AC8" i="64" s="1"/>
  <c r="AC74" i="46"/>
  <c r="AC247" i="15"/>
  <c r="AE360" i="15"/>
  <c r="AF215" i="15"/>
  <c r="AE218" i="15"/>
  <c r="AE220" i="15" s="1"/>
  <c r="AD220" i="15"/>
  <c r="AC208" i="15"/>
  <c r="Y191" i="15"/>
  <c r="Y192" i="15" s="1"/>
  <c r="Y116" i="15" s="1"/>
  <c r="Y209" i="15"/>
  <c r="AC234" i="15"/>
  <c r="Y235" i="15"/>
  <c r="AX376" i="15"/>
  <c r="BB103" i="15"/>
  <c r="BB376" i="15" s="1"/>
  <c r="BC103" i="15"/>
  <c r="BH103" i="15" s="1"/>
  <c r="AF343" i="15"/>
  <c r="AE346" i="15"/>
  <c r="AE157" i="15"/>
  <c r="AB429" i="15"/>
  <c r="Z429" i="15"/>
  <c r="AC430" i="15"/>
  <c r="BW59" i="64" s="1"/>
  <c r="AA429" i="15"/>
  <c r="Y429" i="15"/>
  <c r="AC195" i="15"/>
  <c r="AC196" i="15" s="1"/>
  <c r="AC204" i="15"/>
  <c r="AQ270" i="15"/>
  <c r="AQ271" i="15" s="1"/>
  <c r="Y256" i="15"/>
  <c r="Y151" i="15"/>
  <c r="Z507" i="15"/>
  <c r="Z510" i="15"/>
  <c r="BA486" i="15"/>
  <c r="AE314" i="15"/>
  <c r="AE313" i="15"/>
  <c r="BK209" i="15"/>
  <c r="Y255" i="15"/>
  <c r="Y281" i="15"/>
  <c r="AQ209" i="15"/>
  <c r="U510" i="15"/>
  <c r="U507" i="15"/>
  <c r="AX226" i="15"/>
  <c r="AX213" i="15"/>
  <c r="AX221" i="15" s="1"/>
  <c r="AX240" i="15"/>
  <c r="AP209" i="15"/>
  <c r="AR207" i="15"/>
  <c r="Y301" i="15"/>
  <c r="BD226" i="15"/>
  <c r="BD213" i="15"/>
  <c r="BC200" i="15"/>
  <c r="BD240" i="15"/>
  <c r="AC332" i="15"/>
  <c r="AB281" i="15"/>
  <c r="BF161" i="47"/>
  <c r="AW239" i="47"/>
  <c r="AX239" i="47"/>
  <c r="W206" i="47"/>
  <c r="W56" i="51" s="1"/>
  <c r="W57" i="47"/>
  <c r="AB206" i="47"/>
  <c r="AB56" i="51" s="1"/>
  <c r="AB57" i="47"/>
  <c r="AW156" i="47"/>
  <c r="AH73" i="46"/>
  <c r="AH9" i="65"/>
  <c r="AH7" i="64" s="1"/>
  <c r="AH265" i="47"/>
  <c r="AH262" i="47"/>
  <c r="AL206" i="47"/>
  <c r="AL56" i="51" s="1"/>
  <c r="AL57" i="47"/>
  <c r="BL31" i="47"/>
  <c r="BH139" i="47"/>
  <c r="R206" i="47"/>
  <c r="R56" i="51" s="1"/>
  <c r="R57" i="47"/>
  <c r="BJ144" i="47"/>
  <c r="AG206" i="47"/>
  <c r="AG56" i="51" s="1"/>
  <c r="AG57" i="47"/>
  <c r="AU32" i="47"/>
  <c r="M206" i="47"/>
  <c r="M56" i="51" s="1"/>
  <c r="M57" i="47"/>
  <c r="AP20" i="65"/>
  <c r="BH19" i="47"/>
  <c r="BC21" i="47"/>
  <c r="BE22" i="47"/>
  <c r="AB51" i="46"/>
  <c r="AB63" i="46"/>
  <c r="AR38" i="65"/>
  <c r="AH51" i="46"/>
  <c r="AH63" i="46"/>
  <c r="AV31" i="65"/>
  <c r="AT36" i="65"/>
  <c r="R51" i="46"/>
  <c r="R63" i="46"/>
  <c r="AL51" i="46"/>
  <c r="AL63" i="46"/>
  <c r="AS38" i="65"/>
  <c r="AS48" i="65" s="1"/>
  <c r="AQ248" i="46"/>
  <c r="AG51" i="46"/>
  <c r="AH238" i="46"/>
  <c r="AH233" i="46"/>
  <c r="AH237" i="46"/>
  <c r="CS26" i="65" s="1"/>
  <c r="AH232" i="46"/>
  <c r="CS23" i="65" s="1"/>
  <c r="AY59" i="46"/>
  <c r="AX58" i="46"/>
  <c r="AT37" i="65"/>
  <c r="AX162" i="47" l="1"/>
  <c r="AX156" i="47" s="1"/>
  <c r="AD233" i="15"/>
  <c r="AD235" i="15" s="1"/>
  <c r="AD234" i="15"/>
  <c r="AE231" i="15"/>
  <c r="AE139" i="15" s="1"/>
  <c r="AC510" i="15"/>
  <c r="I153" i="46"/>
  <c r="BB136" i="46"/>
  <c r="DM52" i="65" s="1"/>
  <c r="BG136" i="46"/>
  <c r="DR52" i="65" s="1"/>
  <c r="CX33" i="65"/>
  <c r="CX32" i="65" s="1"/>
  <c r="AM220" i="46"/>
  <c r="AM234" i="46" s="1"/>
  <c r="AC280" i="15"/>
  <c r="AC281" i="15" s="1"/>
  <c r="AN280" i="15"/>
  <c r="AN281" i="15" s="1"/>
  <c r="AN127" i="15" s="1"/>
  <c r="AC179" i="15"/>
  <c r="AC177" i="15" s="1"/>
  <c r="BG92" i="46"/>
  <c r="AC222" i="15"/>
  <c r="BB87" i="46"/>
  <c r="AA132" i="15"/>
  <c r="AC299" i="15"/>
  <c r="AC183" i="15"/>
  <c r="AC121" i="15" s="1"/>
  <c r="AC260" i="15"/>
  <c r="AC261" i="15" s="1"/>
  <c r="BC71" i="51"/>
  <c r="AC313" i="15"/>
  <c r="AC315" i="15" s="1"/>
  <c r="AA281" i="15"/>
  <c r="AA127" i="15" s="1"/>
  <c r="AA255" i="15"/>
  <c r="AA257" i="15" s="1"/>
  <c r="AA117" i="15" s="1"/>
  <c r="AA123" i="15" s="1"/>
  <c r="BG87" i="46"/>
  <c r="AC148" i="15"/>
  <c r="AC235" i="15"/>
  <c r="BW101" i="64" s="1"/>
  <c r="BW103" i="64" s="1"/>
  <c r="BL136" i="46"/>
  <c r="DW52" i="65" s="1"/>
  <c r="AC141" i="15"/>
  <c r="AC144" i="15" s="1"/>
  <c r="AC300" i="15"/>
  <c r="AB256" i="15"/>
  <c r="AB257" i="15" s="1"/>
  <c r="AB117" i="15" s="1"/>
  <c r="AM507" i="15"/>
  <c r="BL87" i="46"/>
  <c r="AH458" i="15"/>
  <c r="AD248" i="15"/>
  <c r="AD191" i="15" s="1"/>
  <c r="AM73" i="46"/>
  <c r="AM9" i="65"/>
  <c r="AM7" i="64" s="1"/>
  <c r="AM60" i="47"/>
  <c r="AM262" i="47"/>
  <c r="AM265" i="47"/>
  <c r="BP18" i="51"/>
  <c r="BP20" i="51" s="1"/>
  <c r="AP83" i="47"/>
  <c r="AP82" i="47"/>
  <c r="BE9" i="51"/>
  <c r="BB9" i="51"/>
  <c r="AP290" i="15"/>
  <c r="AQ290" i="15" s="1"/>
  <c r="AR290" i="15" s="1"/>
  <c r="AS290" i="15" s="1"/>
  <c r="AT290" i="15" s="1"/>
  <c r="AV290" i="15" s="1"/>
  <c r="AE279" i="15"/>
  <c r="BN208" i="15"/>
  <c r="BN240" i="15"/>
  <c r="BM200" i="15"/>
  <c r="BN226" i="15"/>
  <c r="BN213" i="15"/>
  <c r="BO205" i="15"/>
  <c r="BO207" i="15" s="1"/>
  <c r="BP202" i="15"/>
  <c r="BQ204" i="15" s="1"/>
  <c r="BK342" i="15"/>
  <c r="BJ342" i="15" s="1"/>
  <c r="BI342" i="15" s="1"/>
  <c r="BH342" i="15" s="1"/>
  <c r="BQ342" i="15"/>
  <c r="BP342" i="15" s="1"/>
  <c r="BO342" i="15" s="1"/>
  <c r="BN342" i="15" s="1"/>
  <c r="BM342" i="15" s="1"/>
  <c r="BW60" i="64"/>
  <c r="BW62" i="64" s="1"/>
  <c r="BW63" i="64" s="1"/>
  <c r="BW67" i="64" s="1"/>
  <c r="BL103" i="15"/>
  <c r="BM103" i="15"/>
  <c r="BK354" i="15"/>
  <c r="BJ354" i="15" s="1"/>
  <c r="BQ354" i="15"/>
  <c r="BP354" i="15" s="1"/>
  <c r="BO354" i="15" s="1"/>
  <c r="BN354" i="15" s="1"/>
  <c r="BM354" i="15" s="1"/>
  <c r="CW38" i="72"/>
  <c r="CR169" i="72"/>
  <c r="BQ31" i="47"/>
  <c r="BP65" i="51"/>
  <c r="BP71" i="51" s="1"/>
  <c r="BP117" i="46"/>
  <c r="BM65" i="51"/>
  <c r="BM71" i="51" s="1"/>
  <c r="BM117" i="46"/>
  <c r="BO117" i="46"/>
  <c r="BO65" i="51"/>
  <c r="BO71" i="51" s="1"/>
  <c r="BN117" i="46"/>
  <c r="BN65" i="51"/>
  <c r="AP281" i="15"/>
  <c r="AP127" i="15" s="1"/>
  <c r="BM11" i="72"/>
  <c r="BN11" i="72"/>
  <c r="BO11" i="72"/>
  <c r="BL32" i="72"/>
  <c r="BM32" i="72"/>
  <c r="BP32" i="72"/>
  <c r="BP11" i="72"/>
  <c r="BP12" i="72" s="1"/>
  <c r="BN32" i="72"/>
  <c r="BO32" i="72"/>
  <c r="BN265" i="15"/>
  <c r="BN273" i="15" s="1"/>
  <c r="BN78" i="15"/>
  <c r="BN199" i="15" s="1"/>
  <c r="BN207" i="15" s="1"/>
  <c r="BM265" i="15"/>
  <c r="BM273" i="15" s="1"/>
  <c r="BQ77" i="15"/>
  <c r="BQ265" i="15" s="1"/>
  <c r="BQ264" i="15"/>
  <c r="AC336" i="15"/>
  <c r="AC118" i="15" s="1"/>
  <c r="AB128" i="15"/>
  <c r="BM84" i="15"/>
  <c r="BM85" i="15"/>
  <c r="BQ85" i="15" s="1"/>
  <c r="BN284" i="15"/>
  <c r="BN82" i="15"/>
  <c r="BN212" i="15" s="1"/>
  <c r="BN319" i="15"/>
  <c r="BN305" i="15"/>
  <c r="BO310" i="15"/>
  <c r="BO325" i="15"/>
  <c r="BN86" i="15"/>
  <c r="BN225" i="15" s="1"/>
  <c r="BN285" i="15"/>
  <c r="BN293" i="15" s="1"/>
  <c r="BN320" i="15"/>
  <c r="BN328" i="15" s="1"/>
  <c r="BM80" i="15"/>
  <c r="BM81" i="15"/>
  <c r="CC11" i="72"/>
  <c r="CC12" i="72" s="1"/>
  <c r="CM178" i="72"/>
  <c r="CM181" i="72" s="1"/>
  <c r="CH183" i="72"/>
  <c r="Y128" i="15"/>
  <c r="AP27" i="51"/>
  <c r="AR270" i="15"/>
  <c r="AS270" i="15" s="1"/>
  <c r="AT270" i="15" s="1"/>
  <c r="AT54" i="47"/>
  <c r="AC58" i="47"/>
  <c r="AC73" i="46"/>
  <c r="AC9" i="65"/>
  <c r="AC7" i="64" s="1"/>
  <c r="AC265" i="47"/>
  <c r="AC262" i="47"/>
  <c r="AC249" i="15"/>
  <c r="AC129" i="15" s="1"/>
  <c r="AC191" i="15"/>
  <c r="AE221" i="15"/>
  <c r="AE222" i="15" s="1"/>
  <c r="AB58" i="51"/>
  <c r="AC56" i="51"/>
  <c r="AC58" i="51" s="1"/>
  <c r="AM56" i="51"/>
  <c r="AM58" i="51" s="1"/>
  <c r="AL58" i="51"/>
  <c r="AH56" i="51"/>
  <c r="AH58" i="51" s="1"/>
  <c r="AG58" i="51"/>
  <c r="N56" i="51"/>
  <c r="N58" i="51" s="1"/>
  <c r="M58" i="51"/>
  <c r="R58" i="51"/>
  <c r="S56" i="51"/>
  <c r="S58" i="51" s="1"/>
  <c r="X56" i="51"/>
  <c r="X58" i="51" s="1"/>
  <c r="W58" i="51"/>
  <c r="AA128" i="15"/>
  <c r="AW52" i="65"/>
  <c r="AR54" i="65"/>
  <c r="AE315" i="15"/>
  <c r="BH284" i="15"/>
  <c r="BH305" i="15"/>
  <c r="BH310" i="15" s="1"/>
  <c r="BL310" i="15" s="1"/>
  <c r="BH82" i="15"/>
  <c r="BH212" i="15" s="1"/>
  <c r="BH319" i="15"/>
  <c r="BH325" i="15" s="1"/>
  <c r="BL80" i="15"/>
  <c r="BL84" i="15"/>
  <c r="BL86" i="15" s="1"/>
  <c r="BL225" i="15" s="1"/>
  <c r="BH86" i="15"/>
  <c r="BH225" i="15" s="1"/>
  <c r="BC320" i="15"/>
  <c r="BC328" i="15" s="1"/>
  <c r="BG328" i="15" s="1"/>
  <c r="BG81" i="15"/>
  <c r="BC285" i="15"/>
  <c r="BC293" i="15" s="1"/>
  <c r="BG293" i="15" s="1"/>
  <c r="BC78" i="15"/>
  <c r="BC199" i="15" s="1"/>
  <c r="BC264" i="15"/>
  <c r="BG76" i="15"/>
  <c r="BC319" i="15"/>
  <c r="BC325" i="15" s="1"/>
  <c r="BC284" i="15"/>
  <c r="BG80" i="15"/>
  <c r="BC305" i="15"/>
  <c r="BC310" i="15" s="1"/>
  <c r="BG310" i="15" s="1"/>
  <c r="BC82" i="15"/>
  <c r="BC212" i="15" s="1"/>
  <c r="BH265" i="15"/>
  <c r="BH273" i="15" s="1"/>
  <c r="BL273" i="15" s="1"/>
  <c r="BL77" i="15"/>
  <c r="BL265" i="15" s="1"/>
  <c r="BH320" i="15"/>
  <c r="BH328" i="15" s="1"/>
  <c r="BL328" i="15" s="1"/>
  <c r="BL81" i="15"/>
  <c r="BH285" i="15"/>
  <c r="BH293" i="15" s="1"/>
  <c r="BL293" i="15" s="1"/>
  <c r="BH78" i="15"/>
  <c r="BH199" i="15" s="1"/>
  <c r="BH264" i="15"/>
  <c r="BL76" i="15"/>
  <c r="BG77" i="15"/>
  <c r="BG265" i="15" s="1"/>
  <c r="BC265" i="15"/>
  <c r="BC273" i="15" s="1"/>
  <c r="BG273" i="15" s="1"/>
  <c r="BC86" i="15"/>
  <c r="BC225" i="15" s="1"/>
  <c r="BG84" i="15"/>
  <c r="BG86" i="15" s="1"/>
  <c r="BG225" i="15" s="1"/>
  <c r="CR27" i="72"/>
  <c r="CM30" i="72"/>
  <c r="DB44" i="72"/>
  <c r="CW199" i="72"/>
  <c r="DA199" i="72"/>
  <c r="CY199" i="72"/>
  <c r="CU199" i="72"/>
  <c r="CS199" i="72"/>
  <c r="CS201" i="72" s="1"/>
  <c r="CZ199" i="72"/>
  <c r="CV199" i="72"/>
  <c r="CX199" i="72"/>
  <c r="CT199" i="72"/>
  <c r="CT201" i="72" s="1"/>
  <c r="CR22" i="72"/>
  <c r="CW18" i="72"/>
  <c r="CL10" i="72"/>
  <c r="CL12" i="72" s="1"/>
  <c r="CL201" i="72"/>
  <c r="CJ10" i="72"/>
  <c r="CJ12" i="72" s="1"/>
  <c r="CJ201" i="72"/>
  <c r="CR191" i="72"/>
  <c r="CR201" i="72" s="1"/>
  <c r="CW189" i="72"/>
  <c r="CI201" i="72"/>
  <c r="CI10" i="72"/>
  <c r="CI12" i="72" s="1"/>
  <c r="CO201" i="72"/>
  <c r="CO10" i="72"/>
  <c r="CO12" i="72" s="1"/>
  <c r="CM10" i="72"/>
  <c r="CP201" i="72"/>
  <c r="CP10" i="72"/>
  <c r="CP12" i="72" s="1"/>
  <c r="CN201" i="72"/>
  <c r="CN10" i="72"/>
  <c r="CN12" i="72" s="1"/>
  <c r="CK10" i="72"/>
  <c r="CK12" i="72" s="1"/>
  <c r="CK201" i="72"/>
  <c r="CQ201" i="72"/>
  <c r="CQ10" i="72"/>
  <c r="CQ12" i="72" s="1"/>
  <c r="CH32" i="72"/>
  <c r="BC240" i="15"/>
  <c r="BC226" i="15"/>
  <c r="BC213" i="15"/>
  <c r="AQ277" i="15"/>
  <c r="AQ279" i="15"/>
  <c r="AF346" i="15"/>
  <c r="AG343" i="15"/>
  <c r="AF157" i="15"/>
  <c r="BC376" i="15"/>
  <c r="BG103" i="15"/>
  <c r="BG376" i="15" s="1"/>
  <c r="Y127" i="15"/>
  <c r="AF360" i="15"/>
  <c r="AF218" i="15"/>
  <c r="AG215" i="15"/>
  <c r="AD260" i="15"/>
  <c r="AD261" i="15" s="1"/>
  <c r="AD148" i="15"/>
  <c r="AD280" i="15"/>
  <c r="AE372" i="15"/>
  <c r="AE163" i="15"/>
  <c r="AY489" i="15"/>
  <c r="AE297" i="15"/>
  <c r="AE296" i="15"/>
  <c r="BE354" i="15"/>
  <c r="AC209" i="15"/>
  <c r="AC190" i="15"/>
  <c r="AB127" i="15"/>
  <c r="X507" i="15"/>
  <c r="X510" i="15"/>
  <c r="BF376" i="15"/>
  <c r="BK376" i="15"/>
  <c r="AV370" i="15"/>
  <c r="AW268" i="15"/>
  <c r="AV276" i="15"/>
  <c r="AW276" i="15" s="1"/>
  <c r="AV274" i="15"/>
  <c r="AW274" i="15" s="1"/>
  <c r="AD335" i="15"/>
  <c r="AD336" i="15" s="1"/>
  <c r="AD118" i="15" s="1"/>
  <c r="AS354" i="15"/>
  <c r="AV205" i="15"/>
  <c r="AW205" i="15" s="1"/>
  <c r="AW202" i="15"/>
  <c r="AD377" i="15"/>
  <c r="AD164" i="15"/>
  <c r="N507" i="15"/>
  <c r="N510" i="15"/>
  <c r="AF314" i="15"/>
  <c r="AF313" i="15"/>
  <c r="AD348" i="15"/>
  <c r="AD150" i="15"/>
  <c r="AD143" i="15"/>
  <c r="AD353" i="15"/>
  <c r="Y126" i="15"/>
  <c r="AZ221" i="15"/>
  <c r="AZ220" i="15"/>
  <c r="AD255" i="15"/>
  <c r="S510" i="15"/>
  <c r="S507" i="15"/>
  <c r="AI510" i="15"/>
  <c r="AI507" i="15"/>
  <c r="AG46" i="15"/>
  <c r="AG74" i="46"/>
  <c r="AL46" i="15"/>
  <c r="AE332" i="15"/>
  <c r="AE335" i="15" s="1"/>
  <c r="AE331" i="15"/>
  <c r="BJ209" i="15"/>
  <c r="AR209" i="15"/>
  <c r="Y257" i="15"/>
  <c r="Y117" i="15" s="1"/>
  <c r="Y123" i="15" s="1"/>
  <c r="BC486" i="15"/>
  <c r="BB486" i="15"/>
  <c r="AB430" i="15"/>
  <c r="AB431" i="15" s="1"/>
  <c r="Z430" i="15"/>
  <c r="Z431" i="15" s="1"/>
  <c r="AA430" i="15"/>
  <c r="AA431" i="15" s="1"/>
  <c r="Y430" i="15"/>
  <c r="Y431" i="15" s="1"/>
  <c r="AE348" i="15"/>
  <c r="AE350" i="15" s="1"/>
  <c r="AE150" i="15"/>
  <c r="AE143" i="15"/>
  <c r="AE353" i="15"/>
  <c r="AD222" i="15"/>
  <c r="AE362" i="15"/>
  <c r="AE161" i="15"/>
  <c r="AD372" i="15"/>
  <c r="AD163" i="15"/>
  <c r="AF259" i="15"/>
  <c r="AF274" i="15"/>
  <c r="AF271" i="15"/>
  <c r="AG268" i="15"/>
  <c r="AF155" i="15"/>
  <c r="AE277" i="15"/>
  <c r="AE276" i="15"/>
  <c r="AD141" i="15"/>
  <c r="AD300" i="15"/>
  <c r="AE299" i="15"/>
  <c r="AF294" i="15"/>
  <c r="AF291" i="15"/>
  <c r="AG288" i="15"/>
  <c r="AF165" i="15"/>
  <c r="AB192" i="15"/>
  <c r="AB116" i="15" s="1"/>
  <c r="BE376" i="15"/>
  <c r="BJ376" i="15"/>
  <c r="AR271" i="15"/>
  <c r="BD376" i="15"/>
  <c r="BI376" i="15"/>
  <c r="AC147" i="15"/>
  <c r="AE375" i="15"/>
  <c r="AE245" i="15"/>
  <c r="AF242" i="15"/>
  <c r="AD142" i="15"/>
  <c r="AD247" i="15"/>
  <c r="AH308" i="15"/>
  <c r="AI308" i="15" s="1"/>
  <c r="AG311" i="15"/>
  <c r="AO140" i="15"/>
  <c r="AO280" i="15"/>
  <c r="AD195" i="15"/>
  <c r="AD140" i="15"/>
  <c r="AD207" i="15"/>
  <c r="AE205" i="15"/>
  <c r="AF202" i="15"/>
  <c r="AE194" i="15"/>
  <c r="AE154" i="15" s="1"/>
  <c r="AE158" i="15" s="1"/>
  <c r="AE179" i="15"/>
  <c r="BA360" i="15"/>
  <c r="BA218" i="15"/>
  <c r="BB215" i="15"/>
  <c r="AZ362" i="15"/>
  <c r="AZ161" i="15"/>
  <c r="AX222" i="15"/>
  <c r="AY354" i="15"/>
  <c r="AG510" i="15"/>
  <c r="AG507" i="15"/>
  <c r="AH497" i="15"/>
  <c r="AK510" i="15"/>
  <c r="AK507" i="15"/>
  <c r="AJ507" i="15"/>
  <c r="AJ510" i="15"/>
  <c r="AE149" i="15"/>
  <c r="AE334" i="15"/>
  <c r="AF329" i="15"/>
  <c r="AF326" i="15"/>
  <c r="AG323" i="15"/>
  <c r="AF156" i="15"/>
  <c r="BI240" i="15"/>
  <c r="BI226" i="15"/>
  <c r="BI213" i="15"/>
  <c r="BI208" i="15"/>
  <c r="BH200" i="15"/>
  <c r="AF365" i="15"/>
  <c r="AF231" i="15"/>
  <c r="AG228" i="15"/>
  <c r="AE367" i="15"/>
  <c r="AE162" i="15"/>
  <c r="M58" i="47"/>
  <c r="AG210" i="47"/>
  <c r="AH206" i="47"/>
  <c r="AH210" i="47" s="1"/>
  <c r="R58" i="47"/>
  <c r="BH21" i="47"/>
  <c r="AL210" i="47"/>
  <c r="AM206" i="47"/>
  <c r="AM210" i="47" s="1"/>
  <c r="AB210" i="47"/>
  <c r="AC206" i="47"/>
  <c r="AC210" i="47" s="1"/>
  <c r="W58" i="47"/>
  <c r="AY184" i="47"/>
  <c r="AY239" i="47"/>
  <c r="BH161" i="47"/>
  <c r="M210" i="47"/>
  <c r="N206" i="47"/>
  <c r="N210" i="47" s="1"/>
  <c r="AG58" i="47"/>
  <c r="AG73" i="46"/>
  <c r="BJ22" i="47"/>
  <c r="R210" i="47"/>
  <c r="S206" i="47"/>
  <c r="S210" i="47" s="1"/>
  <c r="AL58" i="47"/>
  <c r="AL73" i="46"/>
  <c r="AY162" i="47"/>
  <c r="AB58" i="47"/>
  <c r="W210" i="47"/>
  <c r="X206" i="47"/>
  <c r="X210" i="47" s="1"/>
  <c r="AY187" i="47"/>
  <c r="AX60" i="46"/>
  <c r="AX31" i="65"/>
  <c r="AX189" i="46"/>
  <c r="AU36" i="65"/>
  <c r="AT38" i="65"/>
  <c r="AT48" i="65" s="1"/>
  <c r="AZ59" i="46"/>
  <c r="AY58" i="46"/>
  <c r="AR248" i="46"/>
  <c r="DC47" i="65"/>
  <c r="N149" i="46"/>
  <c r="J151" i="46"/>
  <c r="AU37" i="65"/>
  <c r="AW31" i="65"/>
  <c r="BH207" i="15" l="1"/>
  <c r="BL207" i="15" s="1"/>
  <c r="BH179" i="15"/>
  <c r="AX29" i="47"/>
  <c r="AT271" i="15"/>
  <c r="AT279" i="15" s="1"/>
  <c r="AU270" i="15"/>
  <c r="AU271" i="15" s="1"/>
  <c r="AE234" i="15"/>
  <c r="AE233" i="15"/>
  <c r="AC151" i="15"/>
  <c r="CX43" i="65"/>
  <c r="CS33" i="65"/>
  <c r="CS43" i="65" s="1"/>
  <c r="AH220" i="46"/>
  <c r="AH234" i="46" s="1"/>
  <c r="AC132" i="15"/>
  <c r="AC301" i="15"/>
  <c r="AC128" i="15" s="1"/>
  <c r="AC184" i="15"/>
  <c r="AC255" i="15"/>
  <c r="BW106" i="64"/>
  <c r="BW107" i="64" s="1"/>
  <c r="AA133" i="15"/>
  <c r="AC126" i="15"/>
  <c r="AC256" i="15"/>
  <c r="AC192" i="15"/>
  <c r="AC116" i="15" s="1"/>
  <c r="AD120" i="15"/>
  <c r="AD131" i="15" s="1"/>
  <c r="AD166" i="15"/>
  <c r="CZ181" i="72"/>
  <c r="CV181" i="72"/>
  <c r="DA181" i="72"/>
  <c r="CU181" i="72"/>
  <c r="CX181" i="72"/>
  <c r="CT181" i="72"/>
  <c r="CY181" i="72"/>
  <c r="CS181" i="72"/>
  <c r="AW290" i="15"/>
  <c r="AX290" i="15" s="1"/>
  <c r="AY290" i="15" s="1"/>
  <c r="AZ290" i="15" s="1"/>
  <c r="BA290" i="15" s="1"/>
  <c r="AS271" i="15"/>
  <c r="AS277" i="15" s="1"/>
  <c r="BJ9" i="51"/>
  <c r="BO9" i="51" s="1"/>
  <c r="BG9" i="51"/>
  <c r="BN209" i="15"/>
  <c r="BO208" i="15"/>
  <c r="BO209" i="15" s="1"/>
  <c r="BM376" i="15"/>
  <c r="BQ103" i="15"/>
  <c r="BQ376" i="15" s="1"/>
  <c r="BM213" i="15"/>
  <c r="BM208" i="15"/>
  <c r="BM209" i="15" s="1"/>
  <c r="BM226" i="15"/>
  <c r="BM240" i="15"/>
  <c r="BP205" i="15"/>
  <c r="BQ205" i="15" s="1"/>
  <c r="BQ202" i="15"/>
  <c r="AS272" i="47"/>
  <c r="DB38" i="72"/>
  <c r="CW169" i="72"/>
  <c r="BO183" i="72"/>
  <c r="BP191" i="47"/>
  <c r="BP217" i="47" s="1"/>
  <c r="BP223" i="47" s="1"/>
  <c r="BL183" i="72"/>
  <c r="BM191" i="47"/>
  <c r="BM217" i="47" s="1"/>
  <c r="BN183" i="72"/>
  <c r="BO191" i="47"/>
  <c r="BO217" i="47" s="1"/>
  <c r="BO223" i="47" s="1"/>
  <c r="BM183" i="72"/>
  <c r="BN191" i="47"/>
  <c r="BN217" i="47" s="1"/>
  <c r="BN223" i="47" s="1"/>
  <c r="BQ273" i="15"/>
  <c r="BQ78" i="15"/>
  <c r="BQ199" i="15" s="1"/>
  <c r="BQ65" i="51"/>
  <c r="BQ71" i="51" s="1"/>
  <c r="BN71" i="51"/>
  <c r="BL11" i="72"/>
  <c r="BL12" i="72" s="1"/>
  <c r="AB123" i="15"/>
  <c r="BP87" i="46"/>
  <c r="BP136" i="46" s="1"/>
  <c r="BO12" i="72"/>
  <c r="BO87" i="46"/>
  <c r="BO136" i="46" s="1"/>
  <c r="BN12" i="72"/>
  <c r="BN87" i="46"/>
  <c r="BN136" i="46" s="1"/>
  <c r="BM12" i="72"/>
  <c r="AB133" i="15"/>
  <c r="BM319" i="15"/>
  <c r="BM284" i="15"/>
  <c r="BQ80" i="15"/>
  <c r="BM305" i="15"/>
  <c r="BM82" i="15"/>
  <c r="BM212" i="15" s="1"/>
  <c r="BN310" i="15"/>
  <c r="BM86" i="15"/>
  <c r="BM225" i="15" s="1"/>
  <c r="BQ84" i="15"/>
  <c r="BQ86" i="15" s="1"/>
  <c r="BQ225" i="15" s="1"/>
  <c r="BM320" i="15"/>
  <c r="BM328" i="15" s="1"/>
  <c r="BQ81" i="15"/>
  <c r="BM285" i="15"/>
  <c r="BM293" i="15" s="1"/>
  <c r="BN325" i="15"/>
  <c r="CH11" i="72"/>
  <c r="CH12" i="72" s="1"/>
  <c r="CR178" i="72"/>
  <c r="CR181" i="72" s="1"/>
  <c r="CM183" i="72"/>
  <c r="AE336" i="15"/>
  <c r="AE118" i="15" s="1"/>
  <c r="AF299" i="15"/>
  <c r="X276" i="47"/>
  <c r="W276" i="47"/>
  <c r="Y270" i="47" s="1"/>
  <c r="Y133" i="15"/>
  <c r="BB52" i="65"/>
  <c r="AW54" i="65"/>
  <c r="AD144" i="15"/>
  <c r="CM32" i="72"/>
  <c r="AX186" i="47"/>
  <c r="AX38" i="47" s="1"/>
  <c r="BL264" i="15"/>
  <c r="BL78" i="15"/>
  <c r="BL199" i="15" s="1"/>
  <c r="BL320" i="15"/>
  <c r="BL285" i="15"/>
  <c r="BG319" i="15"/>
  <c r="BG284" i="15"/>
  <c r="BG305" i="15"/>
  <c r="BG82" i="15"/>
  <c r="BG212" i="15" s="1"/>
  <c r="AF279" i="15"/>
  <c r="BG264" i="15"/>
  <c r="BG78" i="15"/>
  <c r="BG199" i="15" s="1"/>
  <c r="BG285" i="15"/>
  <c r="BG320" i="15"/>
  <c r="BL319" i="15"/>
  <c r="BL284" i="15"/>
  <c r="BL305" i="15"/>
  <c r="BL82" i="15"/>
  <c r="BL212" i="15" s="1"/>
  <c r="CW191" i="72"/>
  <c r="CW201" i="72" s="1"/>
  <c r="DB189" i="72"/>
  <c r="CW22" i="72"/>
  <c r="DB18" i="72"/>
  <c r="DB199" i="72"/>
  <c r="CZ201" i="72"/>
  <c r="CU201" i="72"/>
  <c r="DA201" i="72"/>
  <c r="DG44" i="72"/>
  <c r="CR10" i="72"/>
  <c r="CX201" i="72"/>
  <c r="CV201" i="72"/>
  <c r="CY201" i="72"/>
  <c r="CW27" i="72"/>
  <c r="CR30" i="72"/>
  <c r="AF139" i="15"/>
  <c r="AF234" i="15"/>
  <c r="AF233" i="15"/>
  <c r="BI209" i="15"/>
  <c r="AF149" i="15"/>
  <c r="AF334" i="15"/>
  <c r="AH507" i="15"/>
  <c r="AH510" i="15"/>
  <c r="BB360" i="15"/>
  <c r="BB161" i="15" s="1"/>
  <c r="BC215" i="15"/>
  <c r="BA362" i="15"/>
  <c r="BB362" i="15" s="1"/>
  <c r="BA161" i="15"/>
  <c r="AE195" i="15"/>
  <c r="AE140" i="15"/>
  <c r="AE207" i="15"/>
  <c r="AE208" i="15"/>
  <c r="AD196" i="15"/>
  <c r="AD147" i="15"/>
  <c r="AG314" i="15"/>
  <c r="AH314" i="15" s="1"/>
  <c r="AG313" i="15"/>
  <c r="AF375" i="15"/>
  <c r="AF245" i="15"/>
  <c r="AG242" i="15"/>
  <c r="AE377" i="15"/>
  <c r="AE120" i="15" s="1"/>
  <c r="AE131" i="15" s="1"/>
  <c r="AE164" i="15"/>
  <c r="AE166" i="15" s="1"/>
  <c r="AE130" i="15"/>
  <c r="AE119" i="15"/>
  <c r="BE486" i="15"/>
  <c r="AR279" i="15"/>
  <c r="AH311" i="15"/>
  <c r="AX202" i="15"/>
  <c r="AW370" i="15"/>
  <c r="AW163" i="15" s="1"/>
  <c r="AX268" i="15"/>
  <c r="AC127" i="15"/>
  <c r="AE141" i="15"/>
  <c r="AE300" i="15"/>
  <c r="AE301" i="15" s="1"/>
  <c r="AZ489" i="15"/>
  <c r="AE255" i="15"/>
  <c r="AD256" i="15"/>
  <c r="AD257" i="15" s="1"/>
  <c r="AD117" i="15" s="1"/>
  <c r="AG360" i="15"/>
  <c r="AH215" i="15"/>
  <c r="AG218" i="15"/>
  <c r="AH218" i="15" s="1"/>
  <c r="AH217" i="15" s="1"/>
  <c r="AF362" i="15"/>
  <c r="AF161" i="15"/>
  <c r="AH343" i="15"/>
  <c r="AG346" i="15"/>
  <c r="AG157" i="15"/>
  <c r="AQ140" i="15"/>
  <c r="AQ280" i="15"/>
  <c r="AQ281" i="15" s="1"/>
  <c r="AQ127" i="15" s="1"/>
  <c r="AG365" i="15"/>
  <c r="AG231" i="15"/>
  <c r="AH228" i="15"/>
  <c r="AF367" i="15"/>
  <c r="AF162" i="15"/>
  <c r="BH226" i="15"/>
  <c r="BH213" i="15"/>
  <c r="BH208" i="15"/>
  <c r="BH240" i="15"/>
  <c r="AH323" i="15"/>
  <c r="AG329" i="15"/>
  <c r="AH329" i="15" s="1"/>
  <c r="AG326" i="15"/>
  <c r="AG156" i="15"/>
  <c r="AF332" i="15"/>
  <c r="AF331" i="15"/>
  <c r="AX354" i="15"/>
  <c r="BA221" i="15"/>
  <c r="BB221" i="15" s="1"/>
  <c r="BA220" i="15"/>
  <c r="AG202" i="15"/>
  <c r="AG370" i="15" s="1"/>
  <c r="AF194" i="15"/>
  <c r="AF154" i="15" s="1"/>
  <c r="AF158" i="15" s="1"/>
  <c r="AF205" i="15"/>
  <c r="AF179" i="15"/>
  <c r="AD209" i="15"/>
  <c r="AD190" i="15"/>
  <c r="AD192" i="15" s="1"/>
  <c r="AD116" i="15" s="1"/>
  <c r="AJ308" i="15"/>
  <c r="AI311" i="15"/>
  <c r="AD249" i="15"/>
  <c r="AD129" i="15" s="1"/>
  <c r="AE142" i="15"/>
  <c r="AE247" i="15"/>
  <c r="AE248" i="15"/>
  <c r="AW204" i="15"/>
  <c r="BI354" i="15"/>
  <c r="AH288" i="15"/>
  <c r="AG294" i="15"/>
  <c r="AG291" i="15"/>
  <c r="AG165" i="15"/>
  <c r="AF297" i="15"/>
  <c r="AF296" i="15"/>
  <c r="AE260" i="15"/>
  <c r="AE261" i="15" s="1"/>
  <c r="AE148" i="15"/>
  <c r="AE280" i="15"/>
  <c r="AG274" i="15"/>
  <c r="AG271" i="15"/>
  <c r="AH268" i="15"/>
  <c r="AG259" i="15"/>
  <c r="AG155" i="15"/>
  <c r="AF277" i="15"/>
  <c r="AF276" i="15"/>
  <c r="AF370" i="15"/>
  <c r="AD126" i="15"/>
  <c r="AR277" i="15"/>
  <c r="BD486" i="15"/>
  <c r="AD301" i="15"/>
  <c r="AD128" i="15" s="1"/>
  <c r="AD281" i="15"/>
  <c r="AZ222" i="15"/>
  <c r="BB218" i="15"/>
  <c r="BB217" i="15" s="1"/>
  <c r="AD350" i="15"/>
  <c r="AO281" i="15"/>
  <c r="AO127" i="15" s="1"/>
  <c r="AF315" i="15"/>
  <c r="AV207" i="15"/>
  <c r="AV372" i="15"/>
  <c r="AW372" i="15" s="1"/>
  <c r="AV163" i="15"/>
  <c r="BD354" i="15"/>
  <c r="AF220" i="15"/>
  <c r="AF221" i="15"/>
  <c r="BH376" i="15"/>
  <c r="BL376" i="15"/>
  <c r="AF348" i="15"/>
  <c r="AF350" i="15" s="1"/>
  <c r="AF150" i="15"/>
  <c r="AF143" i="15"/>
  <c r="AF353" i="15"/>
  <c r="AT154" i="47"/>
  <c r="AZ187" i="47"/>
  <c r="AZ162" i="47"/>
  <c r="AY156" i="47"/>
  <c r="AY186" i="47" s="1"/>
  <c r="AY38" i="47" s="1"/>
  <c r="AY31" i="46" s="1"/>
  <c r="BI161" i="47"/>
  <c r="AZ239" i="47"/>
  <c r="AZ184" i="47"/>
  <c r="AR253" i="47"/>
  <c r="AR254" i="47"/>
  <c r="AW152" i="47"/>
  <c r="AW32" i="65"/>
  <c r="AW45" i="65" s="1"/>
  <c r="AW34" i="65"/>
  <c r="AU38" i="65"/>
  <c r="AU48" i="65" s="1"/>
  <c r="AY60" i="46"/>
  <c r="AY31" i="65"/>
  <c r="AY189" i="46"/>
  <c r="J153" i="46"/>
  <c r="K149" i="46"/>
  <c r="K151" i="46" s="1"/>
  <c r="BA59" i="46"/>
  <c r="AZ58" i="46"/>
  <c r="AX187" i="46"/>
  <c r="AV36" i="65"/>
  <c r="AT277" i="15" l="1"/>
  <c r="AT280" i="15" s="1"/>
  <c r="AT281" i="15" s="1"/>
  <c r="AU279" i="15"/>
  <c r="AU277" i="15"/>
  <c r="AE235" i="15"/>
  <c r="AE126" i="15" s="1"/>
  <c r="CS32" i="65"/>
  <c r="AS279" i="15"/>
  <c r="AC257" i="15"/>
  <c r="AC117" i="15" s="1"/>
  <c r="AC123" i="15" s="1"/>
  <c r="AW275" i="47"/>
  <c r="AT161" i="47"/>
  <c r="BQ9" i="51"/>
  <c r="BL9" i="51"/>
  <c r="AC133" i="15"/>
  <c r="AF255" i="15"/>
  <c r="BP208" i="15"/>
  <c r="BQ208" i="15" s="1"/>
  <c r="BP207" i="15"/>
  <c r="DG38" i="72"/>
  <c r="DB169" i="72"/>
  <c r="BM87" i="46"/>
  <c r="BM136" i="46" s="1"/>
  <c r="BQ136" i="46" s="1"/>
  <c r="EB52" i="65" s="1"/>
  <c r="BM223" i="47"/>
  <c r="BQ217" i="47"/>
  <c r="BQ223" i="47" s="1"/>
  <c r="BB290" i="15"/>
  <c r="BC290" i="15" s="1"/>
  <c r="BD290" i="15" s="1"/>
  <c r="BE290" i="15" s="1"/>
  <c r="BF290" i="15" s="1"/>
  <c r="BQ293" i="15"/>
  <c r="BQ328" i="15"/>
  <c r="BM310" i="15"/>
  <c r="AE128" i="15"/>
  <c r="BQ285" i="15"/>
  <c r="BQ320" i="15"/>
  <c r="BQ305" i="15"/>
  <c r="BQ82" i="15"/>
  <c r="BQ212" i="15" s="1"/>
  <c r="BQ319" i="15"/>
  <c r="BQ284" i="15"/>
  <c r="BM325" i="15"/>
  <c r="CW178" i="72"/>
  <c r="CR183" i="72"/>
  <c r="CM11" i="72"/>
  <c r="CM12" i="72" s="1"/>
  <c r="BG24" i="47"/>
  <c r="BB24" i="47"/>
  <c r="AC270" i="47"/>
  <c r="AC276" i="47" s="1"/>
  <c r="Y276" i="47"/>
  <c r="Z270" i="47" s="1"/>
  <c r="Z276" i="47" s="1"/>
  <c r="AA270" i="47" s="1"/>
  <c r="AA276" i="47" s="1"/>
  <c r="AB270" i="47" s="1"/>
  <c r="AB276" i="47" s="1"/>
  <c r="AD270" i="47" s="1"/>
  <c r="X278" i="47"/>
  <c r="X47" i="64" s="1"/>
  <c r="X286" i="47"/>
  <c r="X287" i="47"/>
  <c r="X288" i="47"/>
  <c r="X283" i="47"/>
  <c r="X284" i="47"/>
  <c r="X285" i="47"/>
  <c r="X282" i="47"/>
  <c r="AF235" i="15"/>
  <c r="AE144" i="15"/>
  <c r="BB54" i="65"/>
  <c r="BG52" i="65"/>
  <c r="BA222" i="15"/>
  <c r="AY183" i="47"/>
  <c r="AG299" i="15"/>
  <c r="AH299" i="15" s="1"/>
  <c r="AD127" i="15"/>
  <c r="CR32" i="72"/>
  <c r="CW10" i="72"/>
  <c r="DB27" i="72"/>
  <c r="CW30" i="72"/>
  <c r="DL44" i="72"/>
  <c r="DG199" i="72"/>
  <c r="DB22" i="72"/>
  <c r="DG18" i="72"/>
  <c r="DB191" i="72"/>
  <c r="DB201" i="72" s="1"/>
  <c r="DG189" i="72"/>
  <c r="AS280" i="15"/>
  <c r="AS140" i="15"/>
  <c r="AF119" i="15"/>
  <c r="AF130" i="15"/>
  <c r="BC354" i="15"/>
  <c r="AV209" i="15"/>
  <c r="BF486" i="15"/>
  <c r="AR140" i="15"/>
  <c r="AF372" i="15"/>
  <c r="AF163" i="15"/>
  <c r="AH259" i="15"/>
  <c r="AI268" i="15"/>
  <c r="AH155" i="15"/>
  <c r="AG277" i="15"/>
  <c r="AH277" i="15" s="1"/>
  <c r="AG276" i="15"/>
  <c r="AH276" i="15" s="1"/>
  <c r="AE256" i="15"/>
  <c r="AE257" i="15" s="1"/>
  <c r="AE117" i="15" s="1"/>
  <c r="AE281" i="15"/>
  <c r="AF141" i="15"/>
  <c r="AF300" i="15"/>
  <c r="AI288" i="15"/>
  <c r="AH165" i="15"/>
  <c r="AJ311" i="15"/>
  <c r="AK308" i="15"/>
  <c r="AF335" i="15"/>
  <c r="AF336" i="15" s="1"/>
  <c r="AF118" i="15" s="1"/>
  <c r="AG332" i="15"/>
  <c r="AG335" i="15" s="1"/>
  <c r="AG331" i="15"/>
  <c r="AH331" i="15" s="1"/>
  <c r="AG139" i="15"/>
  <c r="AG234" i="15"/>
  <c r="AH234" i="15" s="1"/>
  <c r="AG233" i="15"/>
  <c r="AH233" i="15" s="1"/>
  <c r="AI343" i="15"/>
  <c r="AH157" i="15"/>
  <c r="AH360" i="15"/>
  <c r="AH161" i="15" s="1"/>
  <c r="AI215" i="15"/>
  <c r="AX370" i="15"/>
  <c r="AY268" i="15"/>
  <c r="AX276" i="15"/>
  <c r="AX274" i="15"/>
  <c r="AX205" i="15"/>
  <c r="AY202" i="15"/>
  <c r="AF142" i="15"/>
  <c r="AF247" i="15"/>
  <c r="AF248" i="15"/>
  <c r="AG315" i="15"/>
  <c r="AH313" i="15"/>
  <c r="AH315" i="15" s="1"/>
  <c r="AE209" i="15"/>
  <c r="AE190" i="15"/>
  <c r="AE196" i="15"/>
  <c r="AE147" i="15"/>
  <c r="AE151" i="15" s="1"/>
  <c r="AF222" i="15"/>
  <c r="AR280" i="15"/>
  <c r="AD119" i="15"/>
  <c r="AD130" i="15"/>
  <c r="BB220" i="15"/>
  <c r="BB222" i="15" s="1"/>
  <c r="AH274" i="15"/>
  <c r="AF260" i="15"/>
  <c r="AF261" i="15" s="1"/>
  <c r="AF148" i="15"/>
  <c r="AF280" i="15"/>
  <c r="AG279" i="15"/>
  <c r="AH271" i="15"/>
  <c r="AG372" i="15"/>
  <c r="AG163" i="15"/>
  <c r="AG297" i="15"/>
  <c r="AH297" i="15" s="1"/>
  <c r="AG296" i="15"/>
  <c r="AH296" i="15" s="1"/>
  <c r="AH294" i="15"/>
  <c r="BH354" i="15"/>
  <c r="AW207" i="15"/>
  <c r="AE249" i="15"/>
  <c r="AE129" i="15" s="1"/>
  <c r="AI314" i="15"/>
  <c r="AI313" i="15"/>
  <c r="AF195" i="15"/>
  <c r="AF140" i="15"/>
  <c r="AF208" i="15"/>
  <c r="AF207" i="15"/>
  <c r="AG205" i="15"/>
  <c r="AH202" i="15"/>
  <c r="AG194" i="15"/>
  <c r="AG154" i="15" s="1"/>
  <c r="AG158" i="15" s="1"/>
  <c r="AG179" i="15"/>
  <c r="AH179" i="15" s="1"/>
  <c r="AH291" i="15"/>
  <c r="AG149" i="15"/>
  <c r="AH149" i="15" s="1"/>
  <c r="AG334" i="15"/>
  <c r="AI323" i="15"/>
  <c r="AH156" i="15"/>
  <c r="BL208" i="15"/>
  <c r="BH209" i="15"/>
  <c r="AH365" i="15"/>
  <c r="AH162" i="15" s="1"/>
  <c r="AI228" i="15"/>
  <c r="AG367" i="15"/>
  <c r="AH367" i="15" s="1"/>
  <c r="AG162" i="15"/>
  <c r="AV270" i="15"/>
  <c r="AG348" i="15"/>
  <c r="AG350" i="15" s="1"/>
  <c r="AG150" i="15"/>
  <c r="AH150" i="15" s="1"/>
  <c r="AG143" i="15"/>
  <c r="AG353" i="15"/>
  <c r="AH353" i="15" s="1"/>
  <c r="AH346" i="15"/>
  <c r="AG221" i="15"/>
  <c r="AH221" i="15" s="1"/>
  <c r="AG220" i="15"/>
  <c r="AG362" i="15"/>
  <c r="AG161" i="15"/>
  <c r="BA489" i="15"/>
  <c r="AG375" i="15"/>
  <c r="AG245" i="15"/>
  <c r="AH242" i="15"/>
  <c r="AF377" i="15"/>
  <c r="AF164" i="15"/>
  <c r="AD151" i="15"/>
  <c r="AE191" i="15"/>
  <c r="BC360" i="15"/>
  <c r="BC218" i="15"/>
  <c r="BD215" i="15"/>
  <c r="AH326" i="15"/>
  <c r="AH325" i="15" s="1"/>
  <c r="AH231" i="15"/>
  <c r="CB102" i="64" s="1"/>
  <c r="AX152" i="47"/>
  <c r="AX31" i="46"/>
  <c r="BA239" i="47"/>
  <c r="AS20" i="65"/>
  <c r="BA162" i="47"/>
  <c r="AZ156" i="47"/>
  <c r="AZ183" i="47" s="1"/>
  <c r="AZ29" i="47" s="1"/>
  <c r="BA184" i="47"/>
  <c r="BJ161" i="47"/>
  <c r="BA187" i="47"/>
  <c r="AX275" i="47"/>
  <c r="AX208" i="47"/>
  <c r="AX32" i="47"/>
  <c r="AX22" i="46"/>
  <c r="AW36" i="65"/>
  <c r="AX45" i="46"/>
  <c r="AX208" i="46"/>
  <c r="AY187" i="46"/>
  <c r="AZ60" i="46"/>
  <c r="AZ31" i="65"/>
  <c r="K153" i="46"/>
  <c r="L149" i="46"/>
  <c r="L151" i="46" s="1"/>
  <c r="AZ189" i="46"/>
  <c r="AV37" i="65"/>
  <c r="DH14" i="65"/>
  <c r="BC59" i="46"/>
  <c r="BA58" i="46"/>
  <c r="AY29" i="47" l="1"/>
  <c r="AY22" i="46" s="1"/>
  <c r="AY126" i="46" s="1"/>
  <c r="AU280" i="15"/>
  <c r="AU256" i="15" s="1"/>
  <c r="AU260" i="15"/>
  <c r="AU261" i="15" s="1"/>
  <c r="AU148" i="15"/>
  <c r="AU140" i="15"/>
  <c r="AU281" i="15"/>
  <c r="AU127" i="15" s="1"/>
  <c r="AU255" i="15"/>
  <c r="AS281" i="15"/>
  <c r="AS127" i="15" s="1"/>
  <c r="AF166" i="15"/>
  <c r="AF126" i="15"/>
  <c r="DB178" i="72"/>
  <c r="CW181" i="72"/>
  <c r="AT140" i="15"/>
  <c r="BP209" i="15"/>
  <c r="BQ207" i="15"/>
  <c r="BQ209" i="15" s="1"/>
  <c r="DL38" i="72"/>
  <c r="DG169" i="72"/>
  <c r="BQ87" i="46"/>
  <c r="CR11" i="72"/>
  <c r="CR12" i="72" s="1"/>
  <c r="BQ310" i="15"/>
  <c r="BK24" i="47"/>
  <c r="AW37" i="65"/>
  <c r="X289" i="47"/>
  <c r="AC288" i="47" s="1"/>
  <c r="AH270" i="47"/>
  <c r="AH276" i="47" s="1"/>
  <c r="AD276" i="47"/>
  <c r="AE270" i="47" s="1"/>
  <c r="AE276" i="47" s="1"/>
  <c r="AF270" i="47" s="1"/>
  <c r="AF276" i="47" s="1"/>
  <c r="AG270" i="47" s="1"/>
  <c r="AG276" i="47" s="1"/>
  <c r="AI270" i="47" s="1"/>
  <c r="AC279" i="47"/>
  <c r="AC278" i="47"/>
  <c r="AC47" i="64" s="1"/>
  <c r="AY32" i="47"/>
  <c r="AZ186" i="47"/>
  <c r="AZ38" i="47" s="1"/>
  <c r="AZ275" i="47" s="1"/>
  <c r="AG222" i="15"/>
  <c r="AF144" i="15"/>
  <c r="BL52" i="65"/>
  <c r="BQ52" i="65" s="1"/>
  <c r="BG54" i="65"/>
  <c r="AE127" i="15"/>
  <c r="AH141" i="15"/>
  <c r="AH332" i="15"/>
  <c r="DG22" i="72"/>
  <c r="DL18" i="72"/>
  <c r="DL199" i="72"/>
  <c r="AP45" i="47"/>
  <c r="AP49" i="47" s="1"/>
  <c r="AP56" i="47" s="1"/>
  <c r="DG27" i="72"/>
  <c r="DB30" i="72"/>
  <c r="DB32" i="72" s="1"/>
  <c r="DG191" i="72"/>
  <c r="DG201" i="72" s="1"/>
  <c r="DL189" i="72"/>
  <c r="DB10" i="72"/>
  <c r="AP32" i="46"/>
  <c r="AP29" i="51" s="1"/>
  <c r="AP30" i="51" s="1"/>
  <c r="AP33" i="51" s="1"/>
  <c r="AP37" i="51" s="1"/>
  <c r="DQ44" i="72"/>
  <c r="CW32" i="72"/>
  <c r="AH139" i="15"/>
  <c r="AH230" i="15"/>
  <c r="BD360" i="15"/>
  <c r="BD218" i="15"/>
  <c r="BE215" i="15"/>
  <c r="BC220" i="15"/>
  <c r="BC221" i="15"/>
  <c r="AG142" i="15"/>
  <c r="AG247" i="15"/>
  <c r="AG248" i="15"/>
  <c r="AH248" i="15" s="1"/>
  <c r="BB489" i="15"/>
  <c r="BC489" i="15"/>
  <c r="AI365" i="15"/>
  <c r="AI231" i="15"/>
  <c r="AJ228" i="15"/>
  <c r="AG336" i="15"/>
  <c r="AG118" i="15" s="1"/>
  <c r="AH334" i="15"/>
  <c r="AI202" i="15"/>
  <c r="AI370" i="15" s="1"/>
  <c r="AH194" i="15"/>
  <c r="AH154" i="15" s="1"/>
  <c r="AH158" i="15" s="1"/>
  <c r="AH429" i="15" s="1"/>
  <c r="AF209" i="15"/>
  <c r="AF190" i="15"/>
  <c r="AW209" i="15"/>
  <c r="AG255" i="15"/>
  <c r="AH279" i="15"/>
  <c r="AF256" i="15"/>
  <c r="AF257" i="15" s="1"/>
  <c r="AF117" i="15" s="1"/>
  <c r="AF281" i="15"/>
  <c r="AH235" i="15"/>
  <c r="CB101" i="64" s="1"/>
  <c r="AY205" i="15"/>
  <c r="AZ202" i="15"/>
  <c r="AX207" i="15"/>
  <c r="AX372" i="15"/>
  <c r="AX163" i="15"/>
  <c r="AL308" i="15"/>
  <c r="AK311" i="15"/>
  <c r="AJ288" i="15"/>
  <c r="AI294" i="15"/>
  <c r="AI291" i="15"/>
  <c r="AI165" i="15"/>
  <c r="AF301" i="15"/>
  <c r="AF128" i="15" s="1"/>
  <c r="BG486" i="15"/>
  <c r="BH486" i="15"/>
  <c r="BC362" i="15"/>
  <c r="BC161" i="15"/>
  <c r="AH375" i="15"/>
  <c r="AH164" i="15" s="1"/>
  <c r="AI242" i="15"/>
  <c r="AG377" i="15"/>
  <c r="AG120" i="15" s="1"/>
  <c r="AG131" i="15" s="1"/>
  <c r="AG164" i="15"/>
  <c r="AG166" i="15" s="1"/>
  <c r="AR281" i="15"/>
  <c r="AR127" i="15" s="1"/>
  <c r="AH345" i="15"/>
  <c r="AI345" i="15" s="1"/>
  <c r="AJ345" i="15" s="1"/>
  <c r="AK345" i="15" s="1"/>
  <c r="AL345" i="15" s="1"/>
  <c r="AH143" i="15"/>
  <c r="AG130" i="15"/>
  <c r="AG119" i="15"/>
  <c r="AV271" i="15"/>
  <c r="AW270" i="15"/>
  <c r="AX270" i="15" s="1"/>
  <c r="BL209" i="15"/>
  <c r="AJ323" i="15"/>
  <c r="AI329" i="15"/>
  <c r="AI326" i="15"/>
  <c r="AI156" i="15"/>
  <c r="AH362" i="15"/>
  <c r="AG195" i="15"/>
  <c r="AG140" i="15"/>
  <c r="AG208" i="15"/>
  <c r="AG207" i="15"/>
  <c r="AH205" i="15"/>
  <c r="AF191" i="15"/>
  <c r="AF196" i="15"/>
  <c r="AF147" i="15"/>
  <c r="AI315" i="15"/>
  <c r="AG141" i="15"/>
  <c r="AG300" i="15"/>
  <c r="AG301" i="15" s="1"/>
  <c r="AH260" i="15"/>
  <c r="AH261" i="15" s="1"/>
  <c r="AH220" i="15"/>
  <c r="AH222" i="15" s="1"/>
  <c r="AE192" i="15"/>
  <c r="AE116" i="15" s="1"/>
  <c r="AH245" i="15"/>
  <c r="AF249" i="15"/>
  <c r="AF129" i="15" s="1"/>
  <c r="AY370" i="15"/>
  <c r="AY276" i="15"/>
  <c r="AY274" i="15"/>
  <c r="AZ268" i="15"/>
  <c r="BG290" i="15"/>
  <c r="BH290" i="15" s="1"/>
  <c r="AI360" i="15"/>
  <c r="AJ215" i="15"/>
  <c r="AI218" i="15"/>
  <c r="AF120" i="15"/>
  <c r="AF131" i="15" s="1"/>
  <c r="AJ343" i="15"/>
  <c r="AI157" i="15"/>
  <c r="AG235" i="15"/>
  <c r="AH335" i="15"/>
  <c r="AJ314" i="15"/>
  <c r="AJ313" i="15"/>
  <c r="AG260" i="15"/>
  <c r="AG261" i="15" s="1"/>
  <c r="AG148" i="15"/>
  <c r="AH148" i="15" s="1"/>
  <c r="AG280" i="15"/>
  <c r="AH280" i="15" s="1"/>
  <c r="AI274" i="15"/>
  <c r="AI271" i="15"/>
  <c r="AJ268" i="15"/>
  <c r="AI259" i="15"/>
  <c r="AI155" i="15"/>
  <c r="AH370" i="15"/>
  <c r="AH163" i="15" s="1"/>
  <c r="AH372" i="15"/>
  <c r="AH348" i="15"/>
  <c r="AH350" i="15" s="1"/>
  <c r="AX126" i="46"/>
  <c r="BB187" i="47"/>
  <c r="BC187" i="47" s="1"/>
  <c r="BB184" i="47"/>
  <c r="BC184" i="47" s="1"/>
  <c r="BB162" i="47"/>
  <c r="BC162" i="47" s="1"/>
  <c r="BA156" i="47"/>
  <c r="BB156" i="47" s="1"/>
  <c r="AY152" i="47"/>
  <c r="AT20" i="65"/>
  <c r="BK161" i="47"/>
  <c r="BM161" i="47" s="1"/>
  <c r="BN161" i="47" s="1"/>
  <c r="BO161" i="47" s="1"/>
  <c r="BP161" i="47" s="1"/>
  <c r="AZ32" i="47"/>
  <c r="AZ22" i="46"/>
  <c r="BB239" i="47"/>
  <c r="BC239" i="47"/>
  <c r="BA60" i="46"/>
  <c r="BA31" i="65"/>
  <c r="BB58" i="46"/>
  <c r="AV38" i="65"/>
  <c r="AV48" i="65" s="1"/>
  <c r="AW55" i="64"/>
  <c r="CQ96" i="64" s="1"/>
  <c r="AY208" i="46"/>
  <c r="AZ187" i="46"/>
  <c r="AY45" i="46"/>
  <c r="AX36" i="65"/>
  <c r="AX46" i="46"/>
  <c r="BD59" i="46"/>
  <c r="BC58" i="46"/>
  <c r="BA189" i="46"/>
  <c r="L153" i="46"/>
  <c r="M149" i="46"/>
  <c r="M151" i="46" s="1"/>
  <c r="AT22" i="65"/>
  <c r="AY208" i="47" l="1"/>
  <c r="AY275" i="47"/>
  <c r="AU257" i="15"/>
  <c r="AU117" i="15" s="1"/>
  <c r="AI346" i="15"/>
  <c r="AI143" i="15" s="1"/>
  <c r="AC285" i="47"/>
  <c r="AH166" i="15"/>
  <c r="X299" i="47"/>
  <c r="X40" i="64" s="1"/>
  <c r="X49" i="64" s="1"/>
  <c r="AP116" i="46"/>
  <c r="AP120" i="46" s="1"/>
  <c r="AP44" i="51"/>
  <c r="AP39" i="51"/>
  <c r="AP45" i="51" s="1"/>
  <c r="AP75" i="46" s="1"/>
  <c r="AU154" i="47"/>
  <c r="DG178" i="72"/>
  <c r="DB181" i="72"/>
  <c r="CB109" i="64"/>
  <c r="CB58" i="64"/>
  <c r="CB106" i="64"/>
  <c r="CB103" i="64"/>
  <c r="DQ38" i="72"/>
  <c r="DL169" i="72"/>
  <c r="BL24" i="47"/>
  <c r="BP24" i="47"/>
  <c r="BQ54" i="65"/>
  <c r="BL54" i="65"/>
  <c r="DV44" i="72"/>
  <c r="DQ199" i="72"/>
  <c r="DV199" i="72"/>
  <c r="AC287" i="47"/>
  <c r="AC286" i="47"/>
  <c r="X311" i="47"/>
  <c r="AX41" i="51"/>
  <c r="AX41" i="15"/>
  <c r="AX53" i="47"/>
  <c r="AC282" i="47"/>
  <c r="AH278" i="47"/>
  <c r="AH47" i="64" s="1"/>
  <c r="AH279" i="47"/>
  <c r="AC283" i="47"/>
  <c r="AM270" i="47"/>
  <c r="AM276" i="47" s="1"/>
  <c r="AI276" i="47"/>
  <c r="AJ270" i="47" s="1"/>
  <c r="AJ276" i="47" s="1"/>
  <c r="AK270" i="47" s="1"/>
  <c r="AK276" i="47" s="1"/>
  <c r="AL270" i="47" s="1"/>
  <c r="AL276" i="47" s="1"/>
  <c r="AN270" i="47" s="1"/>
  <c r="AN276" i="47" s="1"/>
  <c r="AC284" i="47"/>
  <c r="BA183" i="47"/>
  <c r="BA29" i="47" s="1"/>
  <c r="AG126" i="15"/>
  <c r="AH126" i="15"/>
  <c r="AG128" i="15"/>
  <c r="AZ208" i="47"/>
  <c r="AJ315" i="15"/>
  <c r="AG144" i="15"/>
  <c r="AF127" i="15"/>
  <c r="AW482" i="15"/>
  <c r="AX482" i="15"/>
  <c r="AY482" i="15" s="1"/>
  <c r="AZ482" i="15" s="1"/>
  <c r="BA482" i="15" s="1"/>
  <c r="BB482" i="15" s="1"/>
  <c r="DL22" i="72"/>
  <c r="DQ18" i="72"/>
  <c r="DL191" i="72"/>
  <c r="DL201" i="72" s="1"/>
  <c r="DQ189" i="72"/>
  <c r="DL27" i="72"/>
  <c r="DG30" i="72"/>
  <c r="AP51" i="47"/>
  <c r="AP206" i="47" s="1"/>
  <c r="DG10" i="72"/>
  <c r="AH119" i="15"/>
  <c r="AH130" i="15"/>
  <c r="AI279" i="15"/>
  <c r="AI372" i="15"/>
  <c r="AI163" i="15"/>
  <c r="AI220" i="15"/>
  <c r="AI221" i="15"/>
  <c r="AI362" i="15"/>
  <c r="AI161" i="15"/>
  <c r="AZ370" i="15"/>
  <c r="BA268" i="15"/>
  <c r="AZ276" i="15"/>
  <c r="AZ274" i="15"/>
  <c r="AY372" i="15"/>
  <c r="AY163" i="15"/>
  <c r="AH181" i="15"/>
  <c r="AH142" i="15"/>
  <c r="AH244" i="15"/>
  <c r="AF151" i="15"/>
  <c r="AG209" i="15"/>
  <c r="AG190" i="15"/>
  <c r="AI332" i="15"/>
  <c r="AI331" i="15"/>
  <c r="AV279" i="15"/>
  <c r="AV277" i="15"/>
  <c r="AW277" i="15" s="1"/>
  <c r="BJ486" i="15"/>
  <c r="BI486" i="15"/>
  <c r="AI299" i="15"/>
  <c r="AJ294" i="15"/>
  <c r="AJ291" i="15"/>
  <c r="AK288" i="15"/>
  <c r="AJ165" i="15"/>
  <c r="AL311" i="15"/>
  <c r="AM308" i="15"/>
  <c r="AN308" i="15" s="1"/>
  <c r="AT127" i="15"/>
  <c r="AY207" i="15"/>
  <c r="AH207" i="15"/>
  <c r="AI205" i="15"/>
  <c r="AJ202" i="15"/>
  <c r="AJ370" i="15" s="1"/>
  <c r="AI194" i="15"/>
  <c r="AI154" i="15" s="1"/>
  <c r="AI158" i="15" s="1"/>
  <c r="AI179" i="15"/>
  <c r="AI367" i="15"/>
  <c r="AI162" i="15"/>
  <c r="BD489" i="15"/>
  <c r="AG249" i="15"/>
  <c r="AG129" i="15" s="1"/>
  <c r="AH247" i="15"/>
  <c r="AH249" i="15" s="1"/>
  <c r="AH129" i="15" s="1"/>
  <c r="AH377" i="15"/>
  <c r="AH120" i="15" s="1"/>
  <c r="AH131" i="15" s="1"/>
  <c r="BC222" i="15"/>
  <c r="BE360" i="15"/>
  <c r="BE218" i="15"/>
  <c r="BF215" i="15"/>
  <c r="BD362" i="15"/>
  <c r="BD161" i="15"/>
  <c r="AJ259" i="15"/>
  <c r="AJ274" i="15"/>
  <c r="AJ271" i="15"/>
  <c r="AK268" i="15"/>
  <c r="AJ155" i="15"/>
  <c r="AI277" i="15"/>
  <c r="AI276" i="15"/>
  <c r="AG256" i="15"/>
  <c r="AG257" i="15" s="1"/>
  <c r="AG117" i="15" s="1"/>
  <c r="AJ346" i="15"/>
  <c r="AK343" i="15"/>
  <c r="AJ157" i="15"/>
  <c r="AJ360" i="15"/>
  <c r="AJ218" i="15"/>
  <c r="AK215" i="15"/>
  <c r="BI290" i="15"/>
  <c r="BJ290" i="15" s="1"/>
  <c r="BK290" i="15" s="1"/>
  <c r="AH195" i="15"/>
  <c r="AH196" i="15" s="1"/>
  <c r="AH140" i="15"/>
  <c r="AH204" i="15"/>
  <c r="AG191" i="15"/>
  <c r="AH208" i="15"/>
  <c r="AH191" i="15" s="1"/>
  <c r="AG196" i="15"/>
  <c r="AG147" i="15"/>
  <c r="AG151" i="15" s="1"/>
  <c r="AI149" i="15"/>
  <c r="AI334" i="15"/>
  <c r="AJ329" i="15"/>
  <c r="AJ326" i="15"/>
  <c r="AK323" i="15"/>
  <c r="AJ156" i="15"/>
  <c r="AY270" i="15"/>
  <c r="AX271" i="15"/>
  <c r="AI375" i="15"/>
  <c r="AI245" i="15"/>
  <c r="AJ242" i="15"/>
  <c r="AH300" i="15"/>
  <c r="AH301" i="15" s="1"/>
  <c r="AI297" i="15"/>
  <c r="AI296" i="15"/>
  <c r="AK314" i="15"/>
  <c r="AK313" i="15"/>
  <c r="AX209" i="15"/>
  <c r="AZ205" i="15"/>
  <c r="BA202" i="15"/>
  <c r="AH255" i="15"/>
  <c r="AH281" i="15"/>
  <c r="AG281" i="15"/>
  <c r="AF192" i="15"/>
  <c r="AF116" i="15" s="1"/>
  <c r="AH430" i="15"/>
  <c r="CB59" i="64" s="1"/>
  <c r="AF429" i="15"/>
  <c r="AD429" i="15"/>
  <c r="AG429" i="15"/>
  <c r="AE429" i="15"/>
  <c r="AH336" i="15"/>
  <c r="AH118" i="15" s="1"/>
  <c r="AJ365" i="15"/>
  <c r="AJ231" i="15"/>
  <c r="AK228" i="15"/>
  <c r="AI139" i="15"/>
  <c r="AI233" i="15"/>
  <c r="AI234" i="15"/>
  <c r="AW271" i="15"/>
  <c r="BD220" i="15"/>
  <c r="BD221" i="15"/>
  <c r="AZ152" i="47"/>
  <c r="BD162" i="47"/>
  <c r="BC156" i="47"/>
  <c r="BC186" i="47" s="1"/>
  <c r="BD187" i="47"/>
  <c r="BD239" i="47"/>
  <c r="AZ31" i="46"/>
  <c r="BD184" i="47"/>
  <c r="BA186" i="47"/>
  <c r="M153" i="46"/>
  <c r="N151" i="46"/>
  <c r="BC60" i="46"/>
  <c r="BC31" i="65"/>
  <c r="AX47" i="46"/>
  <c r="AX37" i="65"/>
  <c r="AY36" i="65"/>
  <c r="AZ45" i="46"/>
  <c r="BB189" i="46"/>
  <c r="BE59" i="46"/>
  <c r="BD58" i="46"/>
  <c r="AY46" i="46"/>
  <c r="AZ208" i="46"/>
  <c r="BA187" i="46"/>
  <c r="AW38" i="65"/>
  <c r="BB60" i="46"/>
  <c r="BB59" i="46"/>
  <c r="BB31" i="65"/>
  <c r="X314" i="47" l="1"/>
  <c r="X86" i="47" s="1"/>
  <c r="X36" i="64" s="1"/>
  <c r="X50" i="64" s="1"/>
  <c r="AW153" i="47"/>
  <c r="AV272" i="47"/>
  <c r="AW272" i="47" s="1"/>
  <c r="X313" i="47"/>
  <c r="X87" i="47" s="1"/>
  <c r="AI348" i="15"/>
  <c r="AI350" i="15" s="1"/>
  <c r="AI353" i="15"/>
  <c r="AI150" i="15"/>
  <c r="BB29" i="47"/>
  <c r="BB32" i="47" s="1"/>
  <c r="DL178" i="72"/>
  <c r="DG181" i="72"/>
  <c r="AP210" i="47"/>
  <c r="AR206" i="47"/>
  <c r="AR210" i="47" s="1"/>
  <c r="CB60" i="64"/>
  <c r="CB62" i="64" s="1"/>
  <c r="CB63" i="64" s="1"/>
  <c r="CB67" i="64" s="1"/>
  <c r="CB107" i="64"/>
  <c r="DV38" i="72"/>
  <c r="DQ169" i="72"/>
  <c r="X85" i="47"/>
  <c r="U85" i="47" s="1"/>
  <c r="X39" i="64"/>
  <c r="BC482" i="15"/>
  <c r="BD482" i="15" s="1"/>
  <c r="BP17" i="46"/>
  <c r="BQ17" i="46" s="1"/>
  <c r="BQ24" i="47"/>
  <c r="DQ191" i="72"/>
  <c r="DQ201" i="72" s="1"/>
  <c r="DV189" i="72"/>
  <c r="DV191" i="72" s="1"/>
  <c r="DV201" i="72" s="1"/>
  <c r="DT18" i="72"/>
  <c r="DT22" i="72" s="1"/>
  <c r="DR18" i="72"/>
  <c r="DR22" i="72" s="1"/>
  <c r="DV18" i="72"/>
  <c r="DS18" i="72"/>
  <c r="DS22" i="72" s="1"/>
  <c r="BL290" i="15"/>
  <c r="BM290" i="15" s="1"/>
  <c r="AP57" i="47"/>
  <c r="AP73" i="46" s="1"/>
  <c r="BA32" i="47"/>
  <c r="AX42" i="51"/>
  <c r="AX42" i="15"/>
  <c r="AX54" i="47"/>
  <c r="AY41" i="15"/>
  <c r="AY53" i="47"/>
  <c r="AY41" i="51"/>
  <c r="AM279" i="47"/>
  <c r="AM278" i="47"/>
  <c r="AM47" i="64" s="1"/>
  <c r="AR270" i="47"/>
  <c r="AR276" i="47" s="1"/>
  <c r="AO270" i="47"/>
  <c r="AC289" i="47"/>
  <c r="AH283" i="47" s="1"/>
  <c r="BB183" i="47"/>
  <c r="AH144" i="15"/>
  <c r="AH147" i="15"/>
  <c r="AH151" i="15" s="1"/>
  <c r="DG32" i="72"/>
  <c r="BC183" i="47"/>
  <c r="BC29" i="47" s="1"/>
  <c r="AK315" i="15"/>
  <c r="DL10" i="72"/>
  <c r="DQ27" i="72"/>
  <c r="DL30" i="72"/>
  <c r="DO18" i="72"/>
  <c r="DO22" i="72" s="1"/>
  <c r="DM18" i="72"/>
  <c r="DM22" i="72" s="1"/>
  <c r="DP18" i="72"/>
  <c r="DP22" i="72" s="1"/>
  <c r="DQ22" i="72"/>
  <c r="DN18" i="72"/>
  <c r="DN22" i="72" s="1"/>
  <c r="AI235" i="15"/>
  <c r="AJ139" i="15"/>
  <c r="AJ234" i="15"/>
  <c r="AJ233" i="15"/>
  <c r="AZ207" i="15"/>
  <c r="AI141" i="15"/>
  <c r="AI300" i="15"/>
  <c r="AI301" i="15" s="1"/>
  <c r="AI377" i="15"/>
  <c r="AI120" i="15" s="1"/>
  <c r="AI131" i="15" s="1"/>
  <c r="AI164" i="15"/>
  <c r="AI166" i="15" s="1"/>
  <c r="AJ149" i="15"/>
  <c r="AJ334" i="15"/>
  <c r="AJ221" i="15"/>
  <c r="AJ220" i="15"/>
  <c r="AJ348" i="15"/>
  <c r="AJ350" i="15" s="1"/>
  <c r="AJ150" i="15"/>
  <c r="AJ143" i="15"/>
  <c r="AJ353" i="15"/>
  <c r="AI260" i="15"/>
  <c r="AI261" i="15" s="1"/>
  <c r="AI148" i="15"/>
  <c r="AI280" i="15"/>
  <c r="AI281" i="15" s="1"/>
  <c r="AK274" i="15"/>
  <c r="AK271" i="15"/>
  <c r="AL268" i="15"/>
  <c r="AK259" i="15"/>
  <c r="AK155" i="15"/>
  <c r="AJ277" i="15"/>
  <c r="AJ276" i="15"/>
  <c r="AJ372" i="15"/>
  <c r="AJ163" i="15"/>
  <c r="BE220" i="15"/>
  <c r="BE221" i="15"/>
  <c r="AK202" i="15"/>
  <c r="AK370" i="15" s="1"/>
  <c r="AJ194" i="15"/>
  <c r="AJ154" i="15" s="1"/>
  <c r="AJ158" i="15" s="1"/>
  <c r="AJ205" i="15"/>
  <c r="AJ179" i="15"/>
  <c r="AI195" i="15"/>
  <c r="AI140" i="15"/>
  <c r="AI208" i="15"/>
  <c r="AI207" i="15"/>
  <c r="AL314" i="15"/>
  <c r="AM314" i="15" s="1"/>
  <c r="AL313" i="15"/>
  <c r="AM313" i="15" s="1"/>
  <c r="AL288" i="15"/>
  <c r="AK294" i="15"/>
  <c r="AK291" i="15"/>
  <c r="AK165" i="15"/>
  <c r="AJ297" i="15"/>
  <c r="AJ296" i="15"/>
  <c r="AI335" i="15"/>
  <c r="AG192" i="15"/>
  <c r="AG116" i="15" s="1"/>
  <c r="AH177" i="15"/>
  <c r="AG181" i="15"/>
  <c r="AZ372" i="15"/>
  <c r="AZ163" i="15"/>
  <c r="AI222" i="15"/>
  <c r="AI255" i="15"/>
  <c r="BD222" i="15"/>
  <c r="AW279" i="15"/>
  <c r="AK365" i="15"/>
  <c r="AK231" i="15"/>
  <c r="AL228" i="15"/>
  <c r="AJ367" i="15"/>
  <c r="AJ162" i="15"/>
  <c r="AF430" i="15"/>
  <c r="AF431" i="15" s="1"/>
  <c r="AD430" i="15"/>
  <c r="AD431" i="15" s="1"/>
  <c r="AG430" i="15"/>
  <c r="AG431" i="15" s="1"/>
  <c r="AE430" i="15"/>
  <c r="AE431" i="15" s="1"/>
  <c r="BA205" i="15"/>
  <c r="BB202" i="15"/>
  <c r="AM311" i="15"/>
  <c r="AH128" i="15"/>
  <c r="AJ375" i="15"/>
  <c r="AJ245" i="15"/>
  <c r="AK242" i="15"/>
  <c r="AI142" i="15"/>
  <c r="AI248" i="15"/>
  <c r="AI247" i="15"/>
  <c r="AX279" i="15"/>
  <c r="AX277" i="15"/>
  <c r="AZ270" i="15"/>
  <c r="AY271" i="15"/>
  <c r="AL323" i="15"/>
  <c r="AK329" i="15"/>
  <c r="AK326" i="15"/>
  <c r="AK156" i="15"/>
  <c r="AJ332" i="15"/>
  <c r="AJ335" i="15" s="1"/>
  <c r="AJ331" i="15"/>
  <c r="AK360" i="15"/>
  <c r="AL215" i="15"/>
  <c r="AK218" i="15"/>
  <c r="AJ362" i="15"/>
  <c r="AJ161" i="15"/>
  <c r="AL343" i="15"/>
  <c r="AK346" i="15"/>
  <c r="AK157" i="15"/>
  <c r="AJ279" i="15"/>
  <c r="BF360" i="15"/>
  <c r="BF218" i="15"/>
  <c r="BG215" i="15"/>
  <c r="BE362" i="15"/>
  <c r="BE161" i="15"/>
  <c r="BE489" i="15"/>
  <c r="AW140" i="15"/>
  <c r="AH209" i="15"/>
  <c r="AH127" i="15" s="1"/>
  <c r="AH190" i="15"/>
  <c r="AH192" i="15" s="1"/>
  <c r="AH116" i="15" s="1"/>
  <c r="AY209" i="15"/>
  <c r="AH256" i="15"/>
  <c r="AH257" i="15" s="1"/>
  <c r="AH117" i="15" s="1"/>
  <c r="AN311" i="15"/>
  <c r="AO308" i="15"/>
  <c r="AP308" i="15" s="1"/>
  <c r="AP311" i="15" s="1"/>
  <c r="AJ299" i="15"/>
  <c r="BK486" i="15"/>
  <c r="BM486" i="15" s="1"/>
  <c r="BO486" i="15" s="1"/>
  <c r="AV280" i="15"/>
  <c r="AV140" i="15"/>
  <c r="AG127" i="15"/>
  <c r="BA370" i="15"/>
  <c r="BA276" i="15"/>
  <c r="BB276" i="15" s="1"/>
  <c r="BA274" i="15"/>
  <c r="BB268" i="15"/>
  <c r="BE187" i="47"/>
  <c r="BE162" i="47"/>
  <c r="BD156" i="47"/>
  <c r="BD186" i="47" s="1"/>
  <c r="BD38" i="47" s="1"/>
  <c r="BD31" i="46" s="1"/>
  <c r="BA152" i="47"/>
  <c r="BA38" i="47"/>
  <c r="BA275" i="47" s="1"/>
  <c r="BB186" i="47"/>
  <c r="BE184" i="47"/>
  <c r="AO60" i="47"/>
  <c r="AO61" i="47" s="1"/>
  <c r="AZ126" i="46"/>
  <c r="BE239" i="47"/>
  <c r="BC38" i="47"/>
  <c r="BA208" i="46"/>
  <c r="BB187" i="46"/>
  <c r="AY47" i="46"/>
  <c r="AY37" i="65"/>
  <c r="BF59" i="46"/>
  <c r="BE58" i="46"/>
  <c r="BA45" i="46"/>
  <c r="BA36" i="65" s="1"/>
  <c r="AZ36" i="65"/>
  <c r="AZ46" i="46"/>
  <c r="AX38" i="65"/>
  <c r="AX48" i="65" s="1"/>
  <c r="AX141" i="46"/>
  <c r="AX62" i="46"/>
  <c r="N153" i="46"/>
  <c r="O149" i="46"/>
  <c r="BB34" i="65"/>
  <c r="BB32" i="65"/>
  <c r="BB20" i="64" s="1"/>
  <c r="AW20" i="64" s="1"/>
  <c r="AR20" i="64" s="1"/>
  <c r="BD60" i="46"/>
  <c r="BD31" i="65"/>
  <c r="BC189" i="46"/>
  <c r="DH47" i="65"/>
  <c r="AV154" i="47" l="1"/>
  <c r="V85" i="47"/>
  <c r="T85" i="47"/>
  <c r="W85" i="47"/>
  <c r="DQ178" i="72"/>
  <c r="DL181" i="72"/>
  <c r="AP314" i="15"/>
  <c r="AP313" i="15"/>
  <c r="DV169" i="72"/>
  <c r="DU38" i="72"/>
  <c r="DU169" i="72" s="1"/>
  <c r="DT38" i="72"/>
  <c r="DT169" i="72" s="1"/>
  <c r="DT10" i="72" s="1"/>
  <c r="BO93" i="46" s="1"/>
  <c r="DS38" i="72"/>
  <c r="DS169" i="72" s="1"/>
  <c r="DS10" i="72" s="1"/>
  <c r="BN93" i="46" s="1"/>
  <c r="DR38" i="72"/>
  <c r="DR169" i="72" s="1"/>
  <c r="DR10" i="72" s="1"/>
  <c r="BM93" i="46" s="1"/>
  <c r="AO276" i="47"/>
  <c r="AP270" i="47" s="1"/>
  <c r="AP276" i="47" s="1"/>
  <c r="AQ270" i="47" s="1"/>
  <c r="CG28" i="64"/>
  <c r="AR69" i="64"/>
  <c r="BB69" i="64"/>
  <c r="BQ69" i="64"/>
  <c r="AM69" i="64"/>
  <c r="AW69" i="64"/>
  <c r="BL69" i="64"/>
  <c r="BG69" i="64"/>
  <c r="AM20" i="64"/>
  <c r="BB45" i="65"/>
  <c r="BN290" i="15"/>
  <c r="BO290" i="15" s="1"/>
  <c r="BP290" i="15" s="1"/>
  <c r="AP60" i="47"/>
  <c r="AP61" i="47" s="1"/>
  <c r="DV27" i="72"/>
  <c r="DT27" i="72"/>
  <c r="DT30" i="72" s="1"/>
  <c r="DS27" i="72"/>
  <c r="DS30" i="72" s="1"/>
  <c r="DR27" i="72"/>
  <c r="DR30" i="72" s="1"/>
  <c r="DU18" i="72"/>
  <c r="DU22" i="72" s="1"/>
  <c r="DV22" i="72"/>
  <c r="AI126" i="15"/>
  <c r="AP58" i="47"/>
  <c r="BA46" i="46"/>
  <c r="BB46" i="46" s="1"/>
  <c r="AY42" i="15"/>
  <c r="AY54" i="47"/>
  <c r="AY42" i="51"/>
  <c r="AZ53" i="47"/>
  <c r="AZ41" i="51"/>
  <c r="AZ41" i="15"/>
  <c r="BB45" i="46"/>
  <c r="BC45" i="46" s="1"/>
  <c r="BC46" i="46" s="1"/>
  <c r="AC299" i="47"/>
  <c r="AH284" i="47"/>
  <c r="AR278" i="47"/>
  <c r="AR47" i="64" s="1"/>
  <c r="AR279" i="47"/>
  <c r="AH286" i="47"/>
  <c r="AH285" i="47"/>
  <c r="AH287" i="47"/>
  <c r="AH282" i="47"/>
  <c r="AH288" i="47"/>
  <c r="AC311" i="47"/>
  <c r="AC39" i="64" s="1"/>
  <c r="BC275" i="47"/>
  <c r="AI144" i="15"/>
  <c r="BD183" i="47"/>
  <c r="BD29" i="47" s="1"/>
  <c r="BD275" i="47" s="1"/>
  <c r="AK279" i="15"/>
  <c r="DN10" i="72"/>
  <c r="DP10" i="72"/>
  <c r="DO10" i="72"/>
  <c r="DN27" i="72"/>
  <c r="DN30" i="72" s="1"/>
  <c r="DM27" i="72"/>
  <c r="DM30" i="72" s="1"/>
  <c r="DP27" i="72"/>
  <c r="DP30" i="72" s="1"/>
  <c r="DO27" i="72"/>
  <c r="DO30" i="72" s="1"/>
  <c r="DQ30" i="72"/>
  <c r="DQ10" i="72"/>
  <c r="DM10" i="72"/>
  <c r="DL32" i="72"/>
  <c r="AO311" i="15"/>
  <c r="BF489" i="15"/>
  <c r="BF220" i="15"/>
  <c r="BF221" i="15"/>
  <c r="AK348" i="15"/>
  <c r="AK350" i="15" s="1"/>
  <c r="AK150" i="15"/>
  <c r="AK143" i="15"/>
  <c r="AK353" i="15"/>
  <c r="AL360" i="15"/>
  <c r="AL218" i="15"/>
  <c r="AM215" i="15"/>
  <c r="AK332" i="15"/>
  <c r="AK335" i="15" s="1"/>
  <c r="AK331" i="15"/>
  <c r="AY279" i="15"/>
  <c r="AY277" i="15"/>
  <c r="AX280" i="15"/>
  <c r="AX140" i="15"/>
  <c r="AJ142" i="15"/>
  <c r="AJ248" i="15"/>
  <c r="AJ247" i="15"/>
  <c r="BE482" i="15"/>
  <c r="BA207" i="15"/>
  <c r="BB207" i="15" s="1"/>
  <c r="AK139" i="15"/>
  <c r="AK234" i="15"/>
  <c r="AK233" i="15"/>
  <c r="AI130" i="15"/>
  <c r="AI119" i="15"/>
  <c r="AF181" i="15"/>
  <c r="AG177" i="15"/>
  <c r="AG183" i="15" s="1"/>
  <c r="AM315" i="15"/>
  <c r="AJ141" i="15"/>
  <c r="AJ300" i="15"/>
  <c r="AJ301" i="15" s="1"/>
  <c r="AK299" i="15"/>
  <c r="AL294" i="15"/>
  <c r="AM294" i="15" s="1"/>
  <c r="AL291" i="15"/>
  <c r="AM288" i="15"/>
  <c r="AL165" i="15"/>
  <c r="AI191" i="15"/>
  <c r="AI196" i="15"/>
  <c r="AI147" i="15"/>
  <c r="BG218" i="15"/>
  <c r="BG217" i="15" s="1"/>
  <c r="BE222" i="15"/>
  <c r="AJ260" i="15"/>
  <c r="AJ261" i="15" s="1"/>
  <c r="AJ148" i="15"/>
  <c r="AJ280" i="15"/>
  <c r="AK372" i="15"/>
  <c r="AK163" i="15"/>
  <c r="AJ130" i="15"/>
  <c r="AJ119" i="15"/>
  <c r="AJ336" i="15"/>
  <c r="AJ118" i="15" s="1"/>
  <c r="BB205" i="15"/>
  <c r="BB370" i="15"/>
  <c r="BB163" i="15" s="1"/>
  <c r="BC268" i="15"/>
  <c r="BB274" i="15"/>
  <c r="BA372" i="15"/>
  <c r="BB372" i="15" s="1"/>
  <c r="BA163" i="15"/>
  <c r="AW280" i="15"/>
  <c r="BL486" i="15"/>
  <c r="BN486" i="15" s="1"/>
  <c r="BP486" i="15" s="1"/>
  <c r="BQ486" i="15" s="1"/>
  <c r="AN314" i="15"/>
  <c r="AN313" i="15"/>
  <c r="BG360" i="15"/>
  <c r="BG161" i="15" s="1"/>
  <c r="BH215" i="15"/>
  <c r="BF362" i="15"/>
  <c r="BF161" i="15"/>
  <c r="AJ255" i="15"/>
  <c r="AL346" i="15"/>
  <c r="AM343" i="15"/>
  <c r="AL157" i="15"/>
  <c r="AK221" i="15"/>
  <c r="AK220" i="15"/>
  <c r="AK362" i="15"/>
  <c r="AK161" i="15"/>
  <c r="AK149" i="15"/>
  <c r="AK334" i="15"/>
  <c r="AL329" i="15"/>
  <c r="AL326" i="15"/>
  <c r="AM326" i="15" s="1"/>
  <c r="AM325" i="15" s="1"/>
  <c r="AM323" i="15"/>
  <c r="AL156" i="15"/>
  <c r="BA270" i="15"/>
  <c r="BA271" i="15" s="1"/>
  <c r="BA279" i="15" s="1"/>
  <c r="AZ271" i="15"/>
  <c r="AI249" i="15"/>
  <c r="AI129" i="15" s="1"/>
  <c r="AK375" i="15"/>
  <c r="AK245" i="15"/>
  <c r="AL242" i="15"/>
  <c r="AJ377" i="15"/>
  <c r="AJ120" i="15" s="1"/>
  <c r="AJ131" i="15" s="1"/>
  <c r="AJ164" i="15"/>
  <c r="AJ166" i="15" s="1"/>
  <c r="BC202" i="15"/>
  <c r="BD202" i="15" s="1"/>
  <c r="AL365" i="15"/>
  <c r="AL231" i="15"/>
  <c r="AM228" i="15"/>
  <c r="AK367" i="15"/>
  <c r="AK162" i="15"/>
  <c r="AV281" i="15"/>
  <c r="AV127" i="15" s="1"/>
  <c r="AK297" i="15"/>
  <c r="AK296" i="15"/>
  <c r="AL315" i="15"/>
  <c r="AI209" i="15"/>
  <c r="AI127" i="15" s="1"/>
  <c r="AI190" i="15"/>
  <c r="AJ195" i="15"/>
  <c r="AJ140" i="15"/>
  <c r="AJ208" i="15"/>
  <c r="AJ207" i="15"/>
  <c r="AK205" i="15"/>
  <c r="AL202" i="15"/>
  <c r="AL370" i="15" s="1"/>
  <c r="AK194" i="15"/>
  <c r="AK154" i="15" s="1"/>
  <c r="AK158" i="15" s="1"/>
  <c r="AK179" i="15"/>
  <c r="AL259" i="15"/>
  <c r="AL274" i="15"/>
  <c r="AM274" i="15" s="1"/>
  <c r="AL271" i="15"/>
  <c r="AM268" i="15"/>
  <c r="AL155" i="15"/>
  <c r="AK277" i="15"/>
  <c r="AK276" i="15"/>
  <c r="AI256" i="15"/>
  <c r="AI257" i="15" s="1"/>
  <c r="AI117" i="15" s="1"/>
  <c r="AJ222" i="15"/>
  <c r="AI336" i="15"/>
  <c r="AI118" i="15" s="1"/>
  <c r="AZ209" i="15"/>
  <c r="AJ235" i="15"/>
  <c r="AW154" i="47"/>
  <c r="BC208" i="47"/>
  <c r="BC32" i="47"/>
  <c r="BC22" i="46"/>
  <c r="BF184" i="47"/>
  <c r="BF162" i="47"/>
  <c r="BE156" i="47"/>
  <c r="BE183" i="47" s="1"/>
  <c r="BC31" i="46"/>
  <c r="BF239" i="47"/>
  <c r="BA31" i="46"/>
  <c r="BB31" i="46" s="1"/>
  <c r="BA208" i="47"/>
  <c r="BB208" i="47" s="1"/>
  <c r="BB38" i="47"/>
  <c r="BB275" i="47"/>
  <c r="BB152" i="47"/>
  <c r="BF187" i="47"/>
  <c r="O151" i="46"/>
  <c r="S149" i="46"/>
  <c r="AZ47" i="46"/>
  <c r="BA47" i="46" s="1"/>
  <c r="AZ37" i="65"/>
  <c r="BE60" i="46"/>
  <c r="BE31" i="65"/>
  <c r="BB208" i="46"/>
  <c r="BC187" i="46"/>
  <c r="BD189" i="46"/>
  <c r="AX248" i="46"/>
  <c r="AX118" i="46"/>
  <c r="AX143" i="46"/>
  <c r="BH59" i="46"/>
  <c r="BF58" i="46"/>
  <c r="AY38" i="65"/>
  <c r="AY48" i="65" s="1"/>
  <c r="AY62" i="46"/>
  <c r="AY141" i="46"/>
  <c r="BA37" i="65" l="1"/>
  <c r="AJ191" i="15"/>
  <c r="BB270" i="15"/>
  <c r="BC270" i="15" s="1"/>
  <c r="BC271" i="15" s="1"/>
  <c r="DN178" i="72"/>
  <c r="DN181" i="72" s="1"/>
  <c r="DN11" i="72" s="1"/>
  <c r="BI92" i="46" s="1"/>
  <c r="DO178" i="72"/>
  <c r="DO181" i="72" s="1"/>
  <c r="DO11" i="72" s="1"/>
  <c r="BJ92" i="46" s="1"/>
  <c r="DS178" i="72"/>
  <c r="DS181" i="72" s="1"/>
  <c r="BN196" i="47" s="1"/>
  <c r="DT178" i="72"/>
  <c r="DT181" i="72" s="1"/>
  <c r="BO196" i="47" s="1"/>
  <c r="DV178" i="72"/>
  <c r="DP178" i="72"/>
  <c r="DP181" i="72" s="1"/>
  <c r="DM178" i="72"/>
  <c r="DM181" i="72" s="1"/>
  <c r="DM11" i="72" s="1"/>
  <c r="BH92" i="46" s="1"/>
  <c r="DR178" i="72"/>
  <c r="DR181" i="72" s="1"/>
  <c r="BM196" i="47" s="1"/>
  <c r="DQ181" i="72"/>
  <c r="AP315" i="15"/>
  <c r="BQ290" i="15"/>
  <c r="AX159" i="47"/>
  <c r="AX153" i="47" s="1"/>
  <c r="AX154" i="47" s="1"/>
  <c r="AY159" i="47" s="1"/>
  <c r="AY153" i="47" s="1"/>
  <c r="BN197" i="47"/>
  <c r="BP197" i="47"/>
  <c r="BM197" i="47"/>
  <c r="BO197" i="47"/>
  <c r="BB36" i="65"/>
  <c r="AC313" i="47"/>
  <c r="AC87" i="47" s="1"/>
  <c r="AC40" i="64"/>
  <c r="AC49" i="64" s="1"/>
  <c r="AQ276" i="47"/>
  <c r="AS270" i="47" s="1"/>
  <c r="DT32" i="72"/>
  <c r="CB28" i="64"/>
  <c r="CL28" i="64"/>
  <c r="AJ249" i="15"/>
  <c r="AJ129" i="15" s="1"/>
  <c r="DV10" i="72"/>
  <c r="DR32" i="72"/>
  <c r="DU10" i="72"/>
  <c r="BP93" i="46" s="1"/>
  <c r="BQ93" i="46" s="1"/>
  <c r="DU27" i="72"/>
  <c r="DU30" i="72" s="1"/>
  <c r="DV30" i="72"/>
  <c r="DS32" i="72"/>
  <c r="BC41" i="15"/>
  <c r="BC53" i="47"/>
  <c r="BC41" i="51"/>
  <c r="BA42" i="51"/>
  <c r="BA42" i="15"/>
  <c r="BA54" i="47"/>
  <c r="AZ54" i="47"/>
  <c r="AZ42" i="51"/>
  <c r="AZ42" i="15"/>
  <c r="BA41" i="51"/>
  <c r="BA41" i="15"/>
  <c r="BA53" i="47"/>
  <c r="BB37" i="65"/>
  <c r="BB41" i="51"/>
  <c r="BB41" i="15"/>
  <c r="BB53" i="47"/>
  <c r="AC314" i="47"/>
  <c r="AC86" i="47" s="1"/>
  <c r="AC36" i="64" s="1"/>
  <c r="AC50" i="64" s="1"/>
  <c r="BD208" i="47"/>
  <c r="AC85" i="47"/>
  <c r="AH289" i="47"/>
  <c r="AM288" i="47" s="1"/>
  <c r="BD22" i="46"/>
  <c r="BD126" i="46" s="1"/>
  <c r="BD32" i="47"/>
  <c r="BB204" i="15"/>
  <c r="AI192" i="15"/>
  <c r="AI116" i="15" s="1"/>
  <c r="AJ144" i="15"/>
  <c r="AK255" i="15"/>
  <c r="DQ32" i="72"/>
  <c r="BE186" i="47"/>
  <c r="BE38" i="47" s="1"/>
  <c r="AJ256" i="15"/>
  <c r="AJ257" i="15" s="1"/>
  <c r="AJ117" i="15" s="1"/>
  <c r="AL299" i="15"/>
  <c r="AM299" i="15" s="1"/>
  <c r="AJ128" i="15"/>
  <c r="BH93" i="46"/>
  <c r="DO32" i="72"/>
  <c r="BK93" i="46"/>
  <c r="BI93" i="46"/>
  <c r="DM32" i="72"/>
  <c r="BJ93" i="46"/>
  <c r="DP32" i="72"/>
  <c r="DN32" i="72"/>
  <c r="AK260" i="15"/>
  <c r="AK261" i="15" s="1"/>
  <c r="AK148" i="15"/>
  <c r="AK280" i="15"/>
  <c r="AM259" i="15"/>
  <c r="AM155" i="15"/>
  <c r="AL277" i="15"/>
  <c r="AM277" i="15" s="1"/>
  <c r="AL276" i="15"/>
  <c r="AM276" i="15" s="1"/>
  <c r="AL372" i="15"/>
  <c r="AM372" i="15" s="1"/>
  <c r="AL163" i="15"/>
  <c r="AM202" i="15"/>
  <c r="AL194" i="15"/>
  <c r="AL154" i="15" s="1"/>
  <c r="AL158" i="15" s="1"/>
  <c r="AL205" i="15"/>
  <c r="AM205" i="15" s="1"/>
  <c r="AL179" i="15"/>
  <c r="AM179" i="15" s="1"/>
  <c r="AJ209" i="15"/>
  <c r="AJ190" i="15"/>
  <c r="AK141" i="15"/>
  <c r="AK300" i="15"/>
  <c r="AM365" i="15"/>
  <c r="AM162" i="15" s="1"/>
  <c r="AN228" i="15"/>
  <c r="AL367" i="15"/>
  <c r="AM367" i="15" s="1"/>
  <c r="AL162" i="15"/>
  <c r="AL375" i="15"/>
  <c r="AL245" i="15"/>
  <c r="AM242" i="15"/>
  <c r="AK377" i="15"/>
  <c r="AK164" i="15"/>
  <c r="AN323" i="15"/>
  <c r="AM156" i="15"/>
  <c r="AL332" i="15"/>
  <c r="AL331" i="15"/>
  <c r="AM331" i="15" s="1"/>
  <c r="AL348" i="15"/>
  <c r="AL150" i="15"/>
  <c r="AM150" i="15" s="1"/>
  <c r="AL143" i="15"/>
  <c r="AL353" i="15"/>
  <c r="AM353" i="15" s="1"/>
  <c r="BH360" i="15"/>
  <c r="BH218" i="15"/>
  <c r="BI215" i="15"/>
  <c r="AN315" i="15"/>
  <c r="BC370" i="15"/>
  <c r="BC276" i="15"/>
  <c r="BC274" i="15"/>
  <c r="BD268" i="15"/>
  <c r="AM346" i="15"/>
  <c r="AI151" i="15"/>
  <c r="AM291" i="15"/>
  <c r="BG362" i="15"/>
  <c r="AF177" i="15"/>
  <c r="AF183" i="15" s="1"/>
  <c r="AE181" i="15"/>
  <c r="AW281" i="15"/>
  <c r="AW127" i="15" s="1"/>
  <c r="AK235" i="15"/>
  <c r="BF482" i="15"/>
  <c r="BB271" i="15"/>
  <c r="AY280" i="15"/>
  <c r="AY281" i="15" s="1"/>
  <c r="AY127" i="15" s="1"/>
  <c r="AY140" i="15"/>
  <c r="AM329" i="15"/>
  <c r="AL221" i="15"/>
  <c r="AM221" i="15" s="1"/>
  <c r="AL220" i="15"/>
  <c r="AM220" i="15" s="1"/>
  <c r="AM218" i="15"/>
  <c r="AM217" i="15" s="1"/>
  <c r="AK130" i="15"/>
  <c r="AK119" i="15"/>
  <c r="BF222" i="15"/>
  <c r="BG220" i="15"/>
  <c r="AQ308" i="15"/>
  <c r="BB209" i="15"/>
  <c r="AJ126" i="15"/>
  <c r="AL279" i="15"/>
  <c r="AK195" i="15"/>
  <c r="AK140" i="15"/>
  <c r="AK208" i="15"/>
  <c r="AK207" i="15"/>
  <c r="AJ196" i="15"/>
  <c r="AJ147" i="15"/>
  <c r="AJ151" i="15" s="1"/>
  <c r="AL139" i="15"/>
  <c r="AL234" i="15"/>
  <c r="AM234" i="15" s="1"/>
  <c r="AL233" i="15"/>
  <c r="AM233" i="15" s="1"/>
  <c r="BC205" i="15"/>
  <c r="AK142" i="15"/>
  <c r="AK248" i="15"/>
  <c r="AK247" i="15"/>
  <c r="AX281" i="15"/>
  <c r="AX127" i="15" s="1"/>
  <c r="AZ279" i="15"/>
  <c r="AZ277" i="15"/>
  <c r="AL149" i="15"/>
  <c r="AM149" i="15" s="1"/>
  <c r="AL334" i="15"/>
  <c r="AM334" i="15" s="1"/>
  <c r="AK336" i="15"/>
  <c r="AK118" i="15" s="1"/>
  <c r="AK166" i="15"/>
  <c r="AK222" i="15"/>
  <c r="AN343" i="15"/>
  <c r="AM157" i="15"/>
  <c r="AJ281" i="15"/>
  <c r="BA277" i="15"/>
  <c r="AM271" i="15"/>
  <c r="AN288" i="15"/>
  <c r="AM165" i="15"/>
  <c r="AL297" i="15"/>
  <c r="AL296" i="15"/>
  <c r="AM296" i="15" s="1"/>
  <c r="AG132" i="15"/>
  <c r="AG133" i="15" s="1"/>
  <c r="AG121" i="15"/>
  <c r="AG123" i="15" s="1"/>
  <c r="AM231" i="15"/>
  <c r="CG102" i="64" s="1"/>
  <c r="BA209" i="15"/>
  <c r="AM360" i="15"/>
  <c r="AM161" i="15" s="1"/>
  <c r="AN215" i="15"/>
  <c r="AL362" i="15"/>
  <c r="AM362" i="15" s="1"/>
  <c r="AL161" i="15"/>
  <c r="BG221" i="15"/>
  <c r="BH489" i="15"/>
  <c r="BG489" i="15"/>
  <c r="AO314" i="15"/>
  <c r="AO313" i="15"/>
  <c r="AI128" i="15"/>
  <c r="BE29" i="47"/>
  <c r="BC126" i="46"/>
  <c r="BG187" i="47"/>
  <c r="BH187" i="47" s="1"/>
  <c r="BC152" i="47"/>
  <c r="BH239" i="47"/>
  <c r="BG239" i="47"/>
  <c r="BG162" i="47"/>
  <c r="BH162" i="47" s="1"/>
  <c r="BF156" i="47"/>
  <c r="BG156" i="47" s="1"/>
  <c r="BG184" i="47"/>
  <c r="BH184" i="47" s="1"/>
  <c r="BI59" i="46"/>
  <c r="BH58" i="46"/>
  <c r="BA38" i="65"/>
  <c r="BA48" i="65" s="1"/>
  <c r="BA62" i="46"/>
  <c r="BA141" i="46"/>
  <c r="BC47" i="46"/>
  <c r="BC37" i="65"/>
  <c r="BC208" i="46"/>
  <c r="BD187" i="46"/>
  <c r="AZ38" i="65"/>
  <c r="AZ48" i="65" s="1"/>
  <c r="AZ141" i="46"/>
  <c r="AZ62" i="46"/>
  <c r="BB47" i="46"/>
  <c r="BB55" i="64" s="1"/>
  <c r="AY248" i="46"/>
  <c r="AY118" i="46"/>
  <c r="AY143" i="46"/>
  <c r="BF60" i="46"/>
  <c r="BF31" i="65"/>
  <c r="BG58" i="46"/>
  <c r="BC36" i="65"/>
  <c r="BD45" i="46"/>
  <c r="BD46" i="46" s="1"/>
  <c r="BE189" i="46"/>
  <c r="DM14" i="65"/>
  <c r="O153" i="46"/>
  <c r="P149" i="46"/>
  <c r="P151" i="46" s="1"/>
  <c r="DS183" i="72" l="1"/>
  <c r="BD270" i="15"/>
  <c r="BE270" i="15" s="1"/>
  <c r="BF270" i="15" s="1"/>
  <c r="AJ192" i="15"/>
  <c r="AJ116" i="15" s="1"/>
  <c r="DS11" i="72"/>
  <c r="BN92" i="46" s="1"/>
  <c r="DM12" i="72"/>
  <c r="DO12" i="72"/>
  <c r="DP183" i="72"/>
  <c r="BK196" i="47"/>
  <c r="DO183" i="72"/>
  <c r="BJ196" i="47"/>
  <c r="DT11" i="72"/>
  <c r="DN12" i="72"/>
  <c r="DT183" i="72"/>
  <c r="DR183" i="72"/>
  <c r="DM183" i="72"/>
  <c r="BH196" i="47"/>
  <c r="DU178" i="72"/>
  <c r="DU181" i="72" s="1"/>
  <c r="DU11" i="72" s="1"/>
  <c r="DV181" i="72"/>
  <c r="BI196" i="47"/>
  <c r="DN183" i="72"/>
  <c r="DR11" i="72"/>
  <c r="DP11" i="72"/>
  <c r="BB62" i="46"/>
  <c r="CV96" i="64"/>
  <c r="AC52" i="64"/>
  <c r="AC56" i="64" s="1"/>
  <c r="AH311" i="47"/>
  <c r="AH39" i="64" s="1"/>
  <c r="AM285" i="47"/>
  <c r="AM282" i="47"/>
  <c r="AX23" i="47"/>
  <c r="AX207" i="47" s="1"/>
  <c r="AM194" i="15"/>
  <c r="AM154" i="15" s="1"/>
  <c r="AM158" i="15" s="1"/>
  <c r="AM429" i="15" s="1"/>
  <c r="AX272" i="47"/>
  <c r="BQ197" i="47"/>
  <c r="AW270" i="47"/>
  <c r="AM287" i="47"/>
  <c r="DU32" i="72"/>
  <c r="DV32" i="72"/>
  <c r="BC42" i="15"/>
  <c r="BC54" i="47"/>
  <c r="BC42" i="51"/>
  <c r="BD53" i="47"/>
  <c r="BD41" i="51"/>
  <c r="BD41" i="15"/>
  <c r="BB42" i="51"/>
  <c r="BB42" i="15"/>
  <c r="BB54" i="47"/>
  <c r="AM284" i="47"/>
  <c r="AH299" i="47"/>
  <c r="AM286" i="47"/>
  <c r="AM283" i="47"/>
  <c r="Z85" i="47"/>
  <c r="AA85" i="47"/>
  <c r="Y85" i="47"/>
  <c r="AB85" i="47"/>
  <c r="AK191" i="15"/>
  <c r="AK144" i="15"/>
  <c r="AK126" i="15"/>
  <c r="AK249" i="15"/>
  <c r="AK129" i="15" s="1"/>
  <c r="BF183" i="47"/>
  <c r="BF29" i="47" s="1"/>
  <c r="BF186" i="47"/>
  <c r="BL93" i="46"/>
  <c r="BI489" i="15"/>
  <c r="AN360" i="15"/>
  <c r="AN218" i="15"/>
  <c r="AO215" i="15"/>
  <c r="AN179" i="15"/>
  <c r="AM222" i="15"/>
  <c r="BB279" i="15"/>
  <c r="BD205" i="15"/>
  <c r="BG205" i="15" s="1"/>
  <c r="BC207" i="15"/>
  <c r="AM140" i="15"/>
  <c r="AK196" i="15"/>
  <c r="AK147" i="15"/>
  <c r="AK151" i="15" s="1"/>
  <c r="AM235" i="15"/>
  <c r="CG101" i="64" s="1"/>
  <c r="AF121" i="15"/>
  <c r="AF123" i="15" s="1"/>
  <c r="AF132" i="15"/>
  <c r="AF133" i="15" s="1"/>
  <c r="BD370" i="15"/>
  <c r="BE268" i="15"/>
  <c r="BD276" i="15"/>
  <c r="BD274" i="15"/>
  <c r="BC277" i="15"/>
  <c r="BC140" i="15" s="1"/>
  <c r="BC372" i="15"/>
  <c r="BC163" i="15"/>
  <c r="BH362" i="15"/>
  <c r="BH161" i="15"/>
  <c r="AL335" i="15"/>
  <c r="AM335" i="15" s="1"/>
  <c r="AM336" i="15" s="1"/>
  <c r="AM118" i="15" s="1"/>
  <c r="AM332" i="15"/>
  <c r="AN329" i="15"/>
  <c r="AN326" i="15"/>
  <c r="AO323" i="15"/>
  <c r="AP323" i="15" s="1"/>
  <c r="AN156" i="15"/>
  <c r="AL142" i="15"/>
  <c r="AL247" i="15"/>
  <c r="AL248" i="15"/>
  <c r="AM248" i="15" s="1"/>
  <c r="AN365" i="15"/>
  <c r="AN231" i="15"/>
  <c r="AO228" i="15"/>
  <c r="AM204" i="15"/>
  <c r="AL195" i="15"/>
  <c r="AL140" i="15"/>
  <c r="AL208" i="15"/>
  <c r="AL207" i="15"/>
  <c r="AL260" i="15"/>
  <c r="AL261" i="15" s="1"/>
  <c r="AL148" i="15"/>
  <c r="AM148" i="15" s="1"/>
  <c r="AL280" i="15"/>
  <c r="AL281" i="15" s="1"/>
  <c r="AK256" i="15"/>
  <c r="AK257" i="15" s="1"/>
  <c r="AK117" i="15" s="1"/>
  <c r="AK281" i="15"/>
  <c r="AO315" i="15"/>
  <c r="AM139" i="15"/>
  <c r="AM230" i="15"/>
  <c r="AK301" i="15"/>
  <c r="AK128" i="15" s="1"/>
  <c r="AL141" i="15"/>
  <c r="AL300" i="15"/>
  <c r="AL301" i="15" s="1"/>
  <c r="AM297" i="15"/>
  <c r="AM141" i="15" s="1"/>
  <c r="AN294" i="15"/>
  <c r="AN291" i="15"/>
  <c r="AO288" i="15"/>
  <c r="AP288" i="15" s="1"/>
  <c r="AN259" i="15"/>
  <c r="AN165" i="15"/>
  <c r="AN155" i="15"/>
  <c r="BA280" i="15"/>
  <c r="BA140" i="15"/>
  <c r="AO343" i="15"/>
  <c r="AP343" i="15" s="1"/>
  <c r="AP157" i="15" s="1"/>
  <c r="AN157" i="15"/>
  <c r="AZ280" i="15"/>
  <c r="AZ140" i="15"/>
  <c r="BB277" i="15"/>
  <c r="AM245" i="15"/>
  <c r="AM195" i="15" s="1"/>
  <c r="AL235" i="15"/>
  <c r="AK209" i="15"/>
  <c r="AK190" i="15"/>
  <c r="AL255" i="15"/>
  <c r="AM279" i="15"/>
  <c r="AR308" i="15"/>
  <c r="AS308" i="15" s="1"/>
  <c r="AT308" i="15" s="1"/>
  <c r="AQ311" i="15"/>
  <c r="BG222" i="15"/>
  <c r="AL222" i="15"/>
  <c r="BG482" i="15"/>
  <c r="BH482" i="15"/>
  <c r="AD181" i="15"/>
  <c r="AD177" i="15" s="1"/>
  <c r="AD183" i="15" s="1"/>
  <c r="AE177" i="15"/>
  <c r="AE183" i="15" s="1"/>
  <c r="AM345" i="15"/>
  <c r="AN345" i="15" s="1"/>
  <c r="AO345" i="15" s="1"/>
  <c r="AM143" i="15"/>
  <c r="BC279" i="15"/>
  <c r="BI360" i="15"/>
  <c r="BI218" i="15"/>
  <c r="BJ215" i="15"/>
  <c r="BH220" i="15"/>
  <c r="BH221" i="15"/>
  <c r="AL350" i="15"/>
  <c r="AM348" i="15"/>
  <c r="AM350" i="15" s="1"/>
  <c r="AK120" i="15"/>
  <c r="AK131" i="15" s="1"/>
  <c r="AM375" i="15"/>
  <c r="AM164" i="15" s="1"/>
  <c r="AN242" i="15"/>
  <c r="AL377" i="15"/>
  <c r="AM377" i="15" s="1"/>
  <c r="AM120" i="15" s="1"/>
  <c r="AM131" i="15" s="1"/>
  <c r="AL164" i="15"/>
  <c r="AL166" i="15" s="1"/>
  <c r="AJ127" i="15"/>
  <c r="AM370" i="15"/>
  <c r="AM163" i="15" s="1"/>
  <c r="BI162" i="47"/>
  <c r="BH156" i="47"/>
  <c r="BH183" i="47" s="1"/>
  <c r="BI239" i="47"/>
  <c r="BD152" i="47"/>
  <c r="AY154" i="47"/>
  <c r="AZ159" i="47" s="1"/>
  <c r="AZ153" i="47" s="1"/>
  <c r="BI184" i="47"/>
  <c r="BE31" i="46"/>
  <c r="BI187" i="47"/>
  <c r="AY272" i="47"/>
  <c r="AY23" i="47"/>
  <c r="BE275" i="47"/>
  <c r="BE208" i="47"/>
  <c r="BE32" i="47"/>
  <c r="BE22" i="46"/>
  <c r="BD47" i="46"/>
  <c r="BD37" i="65"/>
  <c r="BB38" i="65"/>
  <c r="AZ248" i="46"/>
  <c r="AZ118" i="46"/>
  <c r="AZ143" i="46"/>
  <c r="BD208" i="46"/>
  <c r="BE187" i="46"/>
  <c r="BC38" i="65"/>
  <c r="BC48" i="65" s="1"/>
  <c r="BC141" i="46"/>
  <c r="BC62" i="46"/>
  <c r="BH60" i="46"/>
  <c r="BH31" i="65"/>
  <c r="P153" i="46"/>
  <c r="Q149" i="46"/>
  <c r="Q151" i="46" s="1"/>
  <c r="BF189" i="46"/>
  <c r="BE45" i="46"/>
  <c r="BE46" i="46" s="1"/>
  <c r="BD36" i="65"/>
  <c r="BG59" i="46"/>
  <c r="BG60" i="46"/>
  <c r="BG31" i="65"/>
  <c r="BA248" i="46"/>
  <c r="BA118" i="46"/>
  <c r="BA143" i="46"/>
  <c r="BJ59" i="46"/>
  <c r="BI58" i="46"/>
  <c r="BB141" i="46"/>
  <c r="BG270" i="15" l="1"/>
  <c r="BH270" i="15" s="1"/>
  <c r="BI270" i="15" s="1"/>
  <c r="BJ270" i="15" s="1"/>
  <c r="BK270" i="15" s="1"/>
  <c r="BD271" i="15"/>
  <c r="BD277" i="15" s="1"/>
  <c r="BD280" i="15" s="1"/>
  <c r="AM166" i="15"/>
  <c r="AM196" i="15"/>
  <c r="AT311" i="15"/>
  <c r="DS12" i="72"/>
  <c r="BP92" i="46"/>
  <c r="DU12" i="72"/>
  <c r="BL196" i="47"/>
  <c r="BK92" i="46"/>
  <c r="BL92" i="46" s="1"/>
  <c r="DP12" i="72"/>
  <c r="BO92" i="46"/>
  <c r="DT12" i="72"/>
  <c r="BM92" i="46"/>
  <c r="DR12" i="72"/>
  <c r="BP196" i="47"/>
  <c r="BQ196" i="47" s="1"/>
  <c r="DU183" i="72"/>
  <c r="AH85" i="47"/>
  <c r="AF85" i="47" s="1"/>
  <c r="AK192" i="15"/>
  <c r="AK116" i="15" s="1"/>
  <c r="CG58" i="64"/>
  <c r="CG109" i="64"/>
  <c r="AP156" i="15"/>
  <c r="AP329" i="15"/>
  <c r="AP326" i="15"/>
  <c r="AP165" i="15"/>
  <c r="AP291" i="15"/>
  <c r="AP259" i="15"/>
  <c r="AP155" i="15"/>
  <c r="AP294" i="15"/>
  <c r="CG103" i="64"/>
  <c r="CG106" i="64"/>
  <c r="AH314" i="47"/>
  <c r="AH86" i="47" s="1"/>
  <c r="AH36" i="64" s="1"/>
  <c r="AH50" i="64" s="1"/>
  <c r="AH40" i="64"/>
  <c r="AH49" i="64" s="1"/>
  <c r="AH313" i="47"/>
  <c r="AH87" i="47" s="1"/>
  <c r="AN346" i="15"/>
  <c r="AN348" i="15" s="1"/>
  <c r="AP345" i="15"/>
  <c r="AP346" i="15" s="1"/>
  <c r="AM289" i="47"/>
  <c r="AM299" i="47" s="1"/>
  <c r="BD54" i="47"/>
  <c r="BD42" i="15"/>
  <c r="BD42" i="51"/>
  <c r="BE41" i="51"/>
  <c r="BE41" i="15"/>
  <c r="BE53" i="47"/>
  <c r="BH186" i="47"/>
  <c r="BH38" i="47" s="1"/>
  <c r="BG204" i="15"/>
  <c r="BF32" i="47"/>
  <c r="BG29" i="47"/>
  <c r="BG32" i="47" s="1"/>
  <c r="BG183" i="47"/>
  <c r="BF38" i="47"/>
  <c r="BF275" i="47" s="1"/>
  <c r="BG186" i="47"/>
  <c r="AL144" i="15"/>
  <c r="AL126" i="15"/>
  <c r="AM280" i="15"/>
  <c r="AM281" i="15" s="1"/>
  <c r="AN375" i="15"/>
  <c r="AN245" i="15"/>
  <c r="AN195" i="15" s="1"/>
  <c r="AO242" i="15"/>
  <c r="AL130" i="15"/>
  <c r="AL119" i="15"/>
  <c r="BH222" i="15"/>
  <c r="BI220" i="15"/>
  <c r="BI221" i="15"/>
  <c r="AH183" i="15"/>
  <c r="AH24" i="64" s="1"/>
  <c r="AH25" i="64" s="1"/>
  <c r="AD121" i="15"/>
  <c r="AD123" i="15" s="1"/>
  <c r="AD132" i="15"/>
  <c r="AD133" i="15" s="1"/>
  <c r="AQ314" i="15"/>
  <c r="AR314" i="15" s="1"/>
  <c r="AQ313" i="15"/>
  <c r="BB140" i="15"/>
  <c r="BB280" i="15"/>
  <c r="BB281" i="15" s="1"/>
  <c r="BB127" i="15" s="1"/>
  <c r="BA281" i="15"/>
  <c r="BA127" i="15" s="1"/>
  <c r="AO294" i="15"/>
  <c r="AO291" i="15"/>
  <c r="AO165" i="15"/>
  <c r="AO259" i="15"/>
  <c r="AO155" i="15"/>
  <c r="AN297" i="15"/>
  <c r="AN296" i="15"/>
  <c r="AL256" i="15"/>
  <c r="AL257" i="15" s="1"/>
  <c r="AL117" i="15" s="1"/>
  <c r="AL209" i="15"/>
  <c r="AL127" i="15" s="1"/>
  <c r="AL190" i="15"/>
  <c r="AM207" i="15"/>
  <c r="AO365" i="15"/>
  <c r="AO231" i="15"/>
  <c r="AP228" i="15"/>
  <c r="AP365" i="15" s="1"/>
  <c r="AN332" i="15"/>
  <c r="AN331" i="15"/>
  <c r="BD372" i="15"/>
  <c r="BD163" i="15"/>
  <c r="AR311" i="15"/>
  <c r="BD207" i="15"/>
  <c r="AZ281" i="15"/>
  <c r="AZ127" i="15" s="1"/>
  <c r="AN220" i="15"/>
  <c r="AN221" i="15"/>
  <c r="BJ489" i="15"/>
  <c r="AM130" i="15"/>
  <c r="AM119" i="15"/>
  <c r="BJ360" i="15"/>
  <c r="BJ218" i="15"/>
  <c r="BK215" i="15"/>
  <c r="BI362" i="15"/>
  <c r="BI161" i="15"/>
  <c r="AE132" i="15"/>
  <c r="AE133" i="15" s="1"/>
  <c r="AE121" i="15"/>
  <c r="AE123" i="15" s="1"/>
  <c r="BI482" i="15"/>
  <c r="AS311" i="15"/>
  <c r="AM255" i="15"/>
  <c r="AK127" i="15"/>
  <c r="AM181" i="15"/>
  <c r="AM142" i="15"/>
  <c r="AM144" i="15" s="1"/>
  <c r="AM244" i="15"/>
  <c r="AL336" i="15"/>
  <c r="AL118" i="15" s="1"/>
  <c r="AO346" i="15"/>
  <c r="AO157" i="15"/>
  <c r="AN299" i="15"/>
  <c r="AL120" i="15"/>
  <c r="AL131" i="15" s="1"/>
  <c r="AL429" i="15"/>
  <c r="AJ429" i="15"/>
  <c r="AM430" i="15"/>
  <c r="CG59" i="64" s="1"/>
  <c r="AK429" i="15"/>
  <c r="AI429" i="15"/>
  <c r="AL191" i="15"/>
  <c r="AM208" i="15"/>
  <c r="AM191" i="15" s="1"/>
  <c r="AL196" i="15"/>
  <c r="AL147" i="15"/>
  <c r="AN139" i="15"/>
  <c r="AN233" i="15"/>
  <c r="AN234" i="15"/>
  <c r="AN367" i="15"/>
  <c r="AN162" i="15"/>
  <c r="AL249" i="15"/>
  <c r="AL129" i="15" s="1"/>
  <c r="AM247" i="15"/>
  <c r="AM249" i="15" s="1"/>
  <c r="AM129" i="15" s="1"/>
  <c r="AO329" i="15"/>
  <c r="AO326" i="15"/>
  <c r="AO156" i="15"/>
  <c r="AN149" i="15"/>
  <c r="AN334" i="15"/>
  <c r="BC280" i="15"/>
  <c r="BC281" i="15" s="1"/>
  <c r="BE370" i="15"/>
  <c r="BE276" i="15"/>
  <c r="BE274" i="15"/>
  <c r="BE271" i="15"/>
  <c r="BF268" i="15"/>
  <c r="AM260" i="15"/>
  <c r="AM261" i="15" s="1"/>
  <c r="BC209" i="15"/>
  <c r="AM126" i="15"/>
  <c r="AO360" i="15"/>
  <c r="AP215" i="15"/>
  <c r="AP360" i="15" s="1"/>
  <c r="AO218" i="15"/>
  <c r="AO179" i="15"/>
  <c r="AN194" i="15"/>
  <c r="AN154" i="15" s="1"/>
  <c r="AN362" i="15"/>
  <c r="AN161" i="15"/>
  <c r="AM300" i="15"/>
  <c r="AM301" i="15" s="1"/>
  <c r="AM128" i="15" s="1"/>
  <c r="BE126" i="46"/>
  <c r="BH29" i="47"/>
  <c r="BJ162" i="47"/>
  <c r="BI156" i="47"/>
  <c r="BI183" i="47" s="1"/>
  <c r="BI29" i="47" s="1"/>
  <c r="AZ154" i="47"/>
  <c r="BA159" i="47" s="1"/>
  <c r="AY207" i="47"/>
  <c r="BJ187" i="47"/>
  <c r="BJ184" i="47"/>
  <c r="AZ272" i="47"/>
  <c r="AZ23" i="47"/>
  <c r="BE152" i="47"/>
  <c r="BJ239" i="47"/>
  <c r="BE47" i="46"/>
  <c r="BE37" i="65"/>
  <c r="BI60" i="46"/>
  <c r="BI31" i="65"/>
  <c r="BG32" i="65"/>
  <c r="BG20" i="64" s="1"/>
  <c r="BG34" i="65"/>
  <c r="Q153" i="46"/>
  <c r="R149" i="46"/>
  <c r="R151" i="46" s="1"/>
  <c r="BC248" i="46"/>
  <c r="BC118" i="46"/>
  <c r="BC143" i="46"/>
  <c r="BB248" i="46"/>
  <c r="BB118" i="46"/>
  <c r="DM47" i="65"/>
  <c r="BB143" i="46"/>
  <c r="BK59" i="46"/>
  <c r="BJ58" i="46"/>
  <c r="BE36" i="65"/>
  <c r="BF45" i="46"/>
  <c r="BG189" i="46"/>
  <c r="BE208" i="46"/>
  <c r="BF187" i="46"/>
  <c r="BD38" i="65"/>
  <c r="BD48" i="65" s="1"/>
  <c r="BD62" i="46"/>
  <c r="BD141" i="46"/>
  <c r="BD279" i="15" l="1"/>
  <c r="BD281" i="15" s="1"/>
  <c r="BL270" i="15"/>
  <c r="BM270" i="15" s="1"/>
  <c r="AG85" i="47"/>
  <c r="AN143" i="15"/>
  <c r="AE85" i="47"/>
  <c r="AN353" i="15"/>
  <c r="AN150" i="15"/>
  <c r="AT314" i="15"/>
  <c r="AT313" i="15"/>
  <c r="BQ92" i="46"/>
  <c r="AD85" i="47"/>
  <c r="AP299" i="15"/>
  <c r="AP255" i="15" s="1"/>
  <c r="AP332" i="15"/>
  <c r="AP335" i="15" s="1"/>
  <c r="AP296" i="15"/>
  <c r="AP297" i="15"/>
  <c r="AP161" i="15"/>
  <c r="AP362" i="15"/>
  <c r="AP162" i="15"/>
  <c r="AP367" i="15"/>
  <c r="AP331" i="15"/>
  <c r="AP149" i="15"/>
  <c r="AP334" i="15"/>
  <c r="CG60" i="64"/>
  <c r="CG62" i="64" s="1"/>
  <c r="CG63" i="64" s="1"/>
  <c r="CG67" i="64" s="1"/>
  <c r="CG107" i="64"/>
  <c r="AH52" i="64"/>
  <c r="AH56" i="64" s="1"/>
  <c r="AM314" i="47"/>
  <c r="AM86" i="47" s="1"/>
  <c r="AM36" i="64" s="1"/>
  <c r="AM50" i="64" s="1"/>
  <c r="AM40" i="64"/>
  <c r="AM49" i="64" s="1"/>
  <c r="BG45" i="65"/>
  <c r="BK58" i="46"/>
  <c r="BK60" i="46" s="1"/>
  <c r="BM59" i="46"/>
  <c r="AQ345" i="15"/>
  <c r="AP150" i="15"/>
  <c r="AP143" i="15"/>
  <c r="AP353" i="15"/>
  <c r="AP348" i="15"/>
  <c r="AP350" i="15" s="1"/>
  <c r="BN270" i="15"/>
  <c r="BO270" i="15" s="1"/>
  <c r="BP270" i="15" s="1"/>
  <c r="BD140" i="15"/>
  <c r="AM311" i="47"/>
  <c r="AR286" i="47"/>
  <c r="AR287" i="47"/>
  <c r="BE42" i="51"/>
  <c r="BE42" i="15"/>
  <c r="BE54" i="47"/>
  <c r="AM313" i="47"/>
  <c r="AM87" i="47" s="1"/>
  <c r="BH275" i="47"/>
  <c r="BG275" i="47"/>
  <c r="BF208" i="47"/>
  <c r="BG208" i="47" s="1"/>
  <c r="BI186" i="47"/>
  <c r="BI38" i="47" s="1"/>
  <c r="BI31" i="46" s="1"/>
  <c r="BF31" i="46"/>
  <c r="BG31" i="46" s="1"/>
  <c r="BG38" i="47"/>
  <c r="BC127" i="15"/>
  <c r="AO220" i="15"/>
  <c r="AO362" i="15"/>
  <c r="AO161" i="15"/>
  <c r="BE279" i="15"/>
  <c r="AO149" i="15"/>
  <c r="AO334" i="15"/>
  <c r="AQ323" i="15"/>
  <c r="AN235" i="15"/>
  <c r="AL430" i="15"/>
  <c r="AL431" i="15" s="1"/>
  <c r="AJ430" i="15"/>
  <c r="AJ431" i="15" s="1"/>
  <c r="AK430" i="15"/>
  <c r="AK431" i="15" s="1"/>
  <c r="AI430" i="15"/>
  <c r="AI431" i="15" s="1"/>
  <c r="AO348" i="15"/>
  <c r="AO350" i="15" s="1"/>
  <c r="AO150" i="15"/>
  <c r="AO143" i="15"/>
  <c r="AO353" i="15"/>
  <c r="AS314" i="15"/>
  <c r="AS313" i="15"/>
  <c r="BJ482" i="15"/>
  <c r="BJ220" i="15"/>
  <c r="BJ221" i="15"/>
  <c r="BK489" i="15"/>
  <c r="BM489" i="15" s="1"/>
  <c r="BN489" i="15" s="1"/>
  <c r="BO489" i="15" s="1"/>
  <c r="BP489" i="15" s="1"/>
  <c r="BQ489" i="15" s="1"/>
  <c r="AR221" i="15"/>
  <c r="AN196" i="15"/>
  <c r="AN147" i="15"/>
  <c r="BD209" i="15"/>
  <c r="AO139" i="15"/>
  <c r="AO233" i="15"/>
  <c r="AO234" i="15"/>
  <c r="AM209" i="15"/>
  <c r="AM127" i="15" s="1"/>
  <c r="AM190" i="15"/>
  <c r="AM192" i="15" s="1"/>
  <c r="AM116" i="15" s="1"/>
  <c r="AL128" i="15"/>
  <c r="AO297" i="15"/>
  <c r="AO296" i="15"/>
  <c r="AN350" i="15"/>
  <c r="AM256" i="15"/>
  <c r="AM257" i="15" s="1"/>
  <c r="AM117" i="15" s="1"/>
  <c r="AH184" i="15"/>
  <c r="AH121" i="15"/>
  <c r="AH123" i="15" s="1"/>
  <c r="AH132" i="15"/>
  <c r="CB84" i="64" s="1"/>
  <c r="CB85" i="64" s="1"/>
  <c r="CB88" i="64" s="1"/>
  <c r="BI222" i="15"/>
  <c r="AO375" i="15"/>
  <c r="AO245" i="15"/>
  <c r="AO195" i="15" s="1"/>
  <c r="AP242" i="15"/>
  <c r="AP375" i="15" s="1"/>
  <c r="AN377" i="15"/>
  <c r="AN164" i="15"/>
  <c r="AN166" i="15" s="1"/>
  <c r="AN158" i="15"/>
  <c r="AO194" i="15"/>
  <c r="AO154" i="15" s="1"/>
  <c r="AO158" i="15" s="1"/>
  <c r="AP218" i="15"/>
  <c r="AQ215" i="15"/>
  <c r="AP179" i="15"/>
  <c r="BG207" i="15"/>
  <c r="BF370" i="15"/>
  <c r="BG268" i="15"/>
  <c r="BF276" i="15"/>
  <c r="BG276" i="15" s="1"/>
  <c r="BF274" i="15"/>
  <c r="BF271" i="15"/>
  <c r="BE277" i="15"/>
  <c r="BE372" i="15"/>
  <c r="BE163" i="15"/>
  <c r="AO332" i="15"/>
  <c r="AO335" i="15" s="1"/>
  <c r="AO331" i="15"/>
  <c r="AL151" i="15"/>
  <c r="AM147" i="15"/>
  <c r="AM151" i="15" s="1"/>
  <c r="AN255" i="15"/>
  <c r="AQ343" i="15"/>
  <c r="AL181" i="15"/>
  <c r="AM177" i="15"/>
  <c r="BK360" i="15"/>
  <c r="BK218" i="15"/>
  <c r="BL218" i="15" s="1"/>
  <c r="BL215" i="15"/>
  <c r="BM215" i="15" s="1"/>
  <c r="BJ362" i="15"/>
  <c r="BJ161" i="15"/>
  <c r="AN222" i="15"/>
  <c r="AN335" i="15"/>
  <c r="AP231" i="15"/>
  <c r="AQ228" i="15"/>
  <c r="AO367" i="15"/>
  <c r="AO162" i="15"/>
  <c r="AL192" i="15"/>
  <c r="AL116" i="15" s="1"/>
  <c r="AN141" i="15"/>
  <c r="AN300" i="15"/>
  <c r="AN260" i="15"/>
  <c r="AN261" i="15" s="1"/>
  <c r="AN148" i="15"/>
  <c r="AO299" i="15"/>
  <c r="AQ288" i="15"/>
  <c r="AQ315" i="15"/>
  <c r="AR313" i="15"/>
  <c r="AR315" i="15" s="1"/>
  <c r="AN142" i="15"/>
  <c r="AN247" i="15"/>
  <c r="AN248" i="15"/>
  <c r="AN191" i="15" s="1"/>
  <c r="AZ207" i="47"/>
  <c r="BI32" i="47"/>
  <c r="BI22" i="46"/>
  <c r="BA272" i="47"/>
  <c r="BB272" i="47" s="1"/>
  <c r="BA23" i="47"/>
  <c r="BB23" i="47" s="1"/>
  <c r="BH31" i="46"/>
  <c r="BH208" i="47"/>
  <c r="BH32" i="47"/>
  <c r="BH22" i="46"/>
  <c r="BK239" i="47"/>
  <c r="BM239" i="47" s="1"/>
  <c r="BN239" i="47" s="1"/>
  <c r="BO239" i="47" s="1"/>
  <c r="BP239" i="47" s="1"/>
  <c r="BQ239" i="47" s="1"/>
  <c r="BF152" i="47"/>
  <c r="BB159" i="47"/>
  <c r="BK184" i="47"/>
  <c r="BK187" i="47"/>
  <c r="BA153" i="47"/>
  <c r="BK162" i="47"/>
  <c r="BJ156" i="47"/>
  <c r="BJ183" i="47" s="1"/>
  <c r="BF208" i="46"/>
  <c r="BG187" i="46"/>
  <c r="S151" i="46"/>
  <c r="T149" i="46" s="1"/>
  <c r="R153" i="46"/>
  <c r="BD248" i="46"/>
  <c r="BD118" i="46"/>
  <c r="BD143" i="46"/>
  <c r="BH189" i="46"/>
  <c r="BF36" i="65"/>
  <c r="BG45" i="46"/>
  <c r="BF46" i="46"/>
  <c r="BJ60" i="46"/>
  <c r="BJ31" i="65"/>
  <c r="BE38" i="65"/>
  <c r="BE48" i="65" s="1"/>
  <c r="BE141" i="46"/>
  <c r="BE62" i="46"/>
  <c r="AP139" i="15" l="1"/>
  <c r="BL58" i="46"/>
  <c r="BL59" i="46" s="1"/>
  <c r="AT315" i="15"/>
  <c r="BL217" i="15"/>
  <c r="BK31" i="65"/>
  <c r="AP336" i="15"/>
  <c r="AP118" i="15" s="1"/>
  <c r="AM52" i="64"/>
  <c r="AM56" i="64" s="1"/>
  <c r="AM61" i="64" s="1"/>
  <c r="AM65" i="64" s="1"/>
  <c r="AM68" i="64" s="1"/>
  <c r="AM70" i="64" s="1"/>
  <c r="BI208" i="47"/>
  <c r="BM360" i="15"/>
  <c r="BN215" i="15"/>
  <c r="BM218" i="15"/>
  <c r="AP300" i="15"/>
  <c r="AP141" i="15"/>
  <c r="AP260" i="15"/>
  <c r="AP261" i="15" s="1"/>
  <c r="AP148" i="15"/>
  <c r="AP377" i="15"/>
  <c r="AP120" i="15" s="1"/>
  <c r="AP131" i="15" s="1"/>
  <c r="AP164" i="15"/>
  <c r="AP166" i="15" s="1"/>
  <c r="AM85" i="47"/>
  <c r="AI85" i="47" s="1"/>
  <c r="AM39" i="64"/>
  <c r="AN144" i="15"/>
  <c r="BN59" i="46"/>
  <c r="BM58" i="46"/>
  <c r="AO119" i="15"/>
  <c r="AO130" i="15"/>
  <c r="AP130" i="15"/>
  <c r="AP119" i="15"/>
  <c r="BQ270" i="15"/>
  <c r="BF277" i="15"/>
  <c r="BF140" i="15" s="1"/>
  <c r="BI275" i="47"/>
  <c r="AR289" i="47"/>
  <c r="BG274" i="15"/>
  <c r="BD127" i="15"/>
  <c r="BF41" i="51"/>
  <c r="BF41" i="15"/>
  <c r="BF53" i="47"/>
  <c r="AN126" i="15"/>
  <c r="BI126" i="46"/>
  <c r="AN249" i="15"/>
  <c r="AN129" i="15" s="1"/>
  <c r="AR288" i="15"/>
  <c r="AQ294" i="15"/>
  <c r="AR294" i="15" s="1"/>
  <c r="AQ291" i="15"/>
  <c r="AQ165" i="15"/>
  <c r="AQ155" i="15"/>
  <c r="AQ259" i="15"/>
  <c r="AN256" i="15"/>
  <c r="AN257" i="15" s="1"/>
  <c r="AN117" i="15" s="1"/>
  <c r="AP234" i="15"/>
  <c r="AP233" i="15"/>
  <c r="BL360" i="15"/>
  <c r="BL161" i="15" s="1"/>
  <c r="BK362" i="15"/>
  <c r="BK161" i="15"/>
  <c r="AV308" i="15"/>
  <c r="BF372" i="15"/>
  <c r="BG372" i="15" s="1"/>
  <c r="BF163" i="15"/>
  <c r="BG209" i="15"/>
  <c r="AQ360" i="15"/>
  <c r="AR215" i="15"/>
  <c r="AS215" i="15" s="1"/>
  <c r="AQ218" i="15"/>
  <c r="AQ179" i="15"/>
  <c r="AR179" i="15" s="1"/>
  <c r="AP220" i="15"/>
  <c r="AP245" i="15"/>
  <c r="AP142" i="15" s="1"/>
  <c r="AQ242" i="15"/>
  <c r="AO377" i="15"/>
  <c r="AO120" i="15" s="1"/>
  <c r="AO131" i="15" s="1"/>
  <c r="AO164" i="15"/>
  <c r="AO166" i="15" s="1"/>
  <c r="AN119" i="15"/>
  <c r="AN130" i="15"/>
  <c r="AN151" i="15"/>
  <c r="BL489" i="15"/>
  <c r="BJ222" i="15"/>
  <c r="BK482" i="15"/>
  <c r="BM482" i="15" s="1"/>
  <c r="AS315" i="15"/>
  <c r="AO336" i="15"/>
  <c r="AO118" i="15" s="1"/>
  <c r="AO196" i="15"/>
  <c r="AO147" i="15"/>
  <c r="AO255" i="15"/>
  <c r="AQ365" i="15"/>
  <c r="AQ231" i="15"/>
  <c r="AR228" i="15"/>
  <c r="AN190" i="15"/>
  <c r="AN192" i="15" s="1"/>
  <c r="AN116" i="15" s="1"/>
  <c r="BK220" i="15"/>
  <c r="BK221" i="15"/>
  <c r="BL221" i="15" s="1"/>
  <c r="AL177" i="15"/>
  <c r="AL183" i="15" s="1"/>
  <c r="AK181" i="15"/>
  <c r="AR343" i="15"/>
  <c r="AQ346" i="15"/>
  <c r="AQ157" i="15"/>
  <c r="AN301" i="15"/>
  <c r="BE140" i="15"/>
  <c r="BE280" i="15"/>
  <c r="BF279" i="15"/>
  <c r="BG370" i="15"/>
  <c r="BG163" i="15" s="1"/>
  <c r="BH268" i="15"/>
  <c r="AP194" i="15"/>
  <c r="AP154" i="15" s="1"/>
  <c r="AP158" i="15" s="1"/>
  <c r="AO142" i="15"/>
  <c r="AO247" i="15"/>
  <c r="AO190" i="15" s="1"/>
  <c r="AO248" i="15"/>
  <c r="AO191" i="15" s="1"/>
  <c r="AH133" i="15"/>
  <c r="AO141" i="15"/>
  <c r="AO300" i="15"/>
  <c r="AO256" i="15" s="1"/>
  <c r="AO260" i="15"/>
  <c r="AO261" i="15" s="1"/>
  <c r="AO148" i="15"/>
  <c r="AO235" i="15"/>
  <c r="AR323" i="15"/>
  <c r="AQ329" i="15"/>
  <c r="AQ326" i="15"/>
  <c r="AQ156" i="15"/>
  <c r="AN336" i="15"/>
  <c r="AN118" i="15" s="1"/>
  <c r="BG271" i="15"/>
  <c r="AO222" i="15"/>
  <c r="AN120" i="15"/>
  <c r="AN131" i="15" s="1"/>
  <c r="BJ29" i="47"/>
  <c r="BL162" i="47"/>
  <c r="BM162" i="47" s="1"/>
  <c r="BK156" i="47"/>
  <c r="BL156" i="47" s="1"/>
  <c r="BL187" i="47"/>
  <c r="BM187" i="47" s="1"/>
  <c r="BL184" i="47"/>
  <c r="BM184" i="47" s="1"/>
  <c r="BB153" i="47"/>
  <c r="BA154" i="47"/>
  <c r="BB161" i="47" s="1"/>
  <c r="BJ186" i="47"/>
  <c r="BG152" i="47"/>
  <c r="BL239" i="47"/>
  <c r="BH126" i="46"/>
  <c r="BA207" i="47"/>
  <c r="BB207" i="47" s="1"/>
  <c r="BE248" i="46"/>
  <c r="BE118" i="46"/>
  <c r="BE143" i="46"/>
  <c r="BF47" i="46"/>
  <c r="BF37" i="65"/>
  <c r="BG46" i="46"/>
  <c r="X149" i="46"/>
  <c r="T151" i="46"/>
  <c r="U149" i="46" s="1"/>
  <c r="U151" i="46" s="1"/>
  <c r="V149" i="46" s="1"/>
  <c r="V151" i="46" s="1"/>
  <c r="W149" i="46" s="1"/>
  <c r="W151" i="46" s="1"/>
  <c r="X151" i="46" s="1"/>
  <c r="Y149" i="46" s="1"/>
  <c r="BG36" i="65"/>
  <c r="BH45" i="46"/>
  <c r="BI189" i="46"/>
  <c r="BG208" i="46"/>
  <c r="BH187" i="46"/>
  <c r="BL31" i="65" l="1"/>
  <c r="BL32" i="65" s="1"/>
  <c r="BL20" i="64" s="1"/>
  <c r="BL60" i="46"/>
  <c r="AJ85" i="47"/>
  <c r="AP144" i="15"/>
  <c r="AP256" i="15"/>
  <c r="AP257" i="15" s="1"/>
  <c r="AP117" i="15" s="1"/>
  <c r="AP301" i="15"/>
  <c r="AP128" i="15" s="1"/>
  <c r="BM161" i="15"/>
  <c r="BM362" i="15"/>
  <c r="BM221" i="15"/>
  <c r="BM220" i="15"/>
  <c r="BO215" i="15"/>
  <c r="BO179" i="15" s="1"/>
  <c r="BN218" i="15"/>
  <c r="BN360" i="15"/>
  <c r="BF280" i="15"/>
  <c r="BF281" i="15" s="1"/>
  <c r="BF127" i="15" s="1"/>
  <c r="AR311" i="47"/>
  <c r="AL85" i="47"/>
  <c r="AK85" i="47"/>
  <c r="BG277" i="15"/>
  <c r="BG140" i="15" s="1"/>
  <c r="BM31" i="65"/>
  <c r="BM60" i="46"/>
  <c r="BO59" i="46"/>
  <c r="BN58" i="46"/>
  <c r="AR299" i="47"/>
  <c r="AR40" i="64" s="1"/>
  <c r="AR49" i="64" s="1"/>
  <c r="BN162" i="47"/>
  <c r="BM156" i="47"/>
  <c r="BM186" i="47" s="1"/>
  <c r="BN187" i="47"/>
  <c r="BN184" i="47"/>
  <c r="BN482" i="15"/>
  <c r="AO126" i="15"/>
  <c r="BG37" i="65"/>
  <c r="BG41" i="15"/>
  <c r="BG53" i="47"/>
  <c r="BG41" i="51"/>
  <c r="BF42" i="51"/>
  <c r="BF42" i="15"/>
  <c r="BF54" i="47"/>
  <c r="BK183" i="47"/>
  <c r="BK29" i="47" s="1"/>
  <c r="BK186" i="47"/>
  <c r="BK38" i="47" s="1"/>
  <c r="BK31" i="46" s="1"/>
  <c r="AQ299" i="15"/>
  <c r="AQ255" i="15" s="1"/>
  <c r="AO144" i="15"/>
  <c r="AO192" i="15"/>
  <c r="AO116" i="15" s="1"/>
  <c r="AQ149" i="15"/>
  <c r="AR149" i="15" s="1"/>
  <c r="AQ334" i="15"/>
  <c r="AR334" i="15" s="1"/>
  <c r="AS323" i="15"/>
  <c r="AT323" i="15" s="1"/>
  <c r="AR156" i="15"/>
  <c r="BH370" i="15"/>
  <c r="BI268" i="15"/>
  <c r="BH276" i="15"/>
  <c r="BH274" i="15"/>
  <c r="BH271" i="15"/>
  <c r="BG279" i="15"/>
  <c r="AN128" i="15"/>
  <c r="AS343" i="15"/>
  <c r="AT343" i="15" s="1"/>
  <c r="AT157" i="15" s="1"/>
  <c r="AR157" i="15"/>
  <c r="AL132" i="15"/>
  <c r="AL133" i="15" s="1"/>
  <c r="AL121" i="15"/>
  <c r="AL123" i="15" s="1"/>
  <c r="BK222" i="15"/>
  <c r="BL220" i="15"/>
  <c r="AQ139" i="15"/>
  <c r="AQ234" i="15"/>
  <c r="AQ233" i="15"/>
  <c r="AR233" i="15" s="1"/>
  <c r="AO301" i="15"/>
  <c r="AO128" i="15" s="1"/>
  <c r="AO151" i="15"/>
  <c r="BE281" i="15"/>
  <c r="BE127" i="15" s="1"/>
  <c r="BL482" i="15"/>
  <c r="AP247" i="15"/>
  <c r="AP190" i="15" s="1"/>
  <c r="AP248" i="15"/>
  <c r="AP191" i="15" s="1"/>
  <c r="AP222" i="15"/>
  <c r="AQ220" i="15"/>
  <c r="AR218" i="15"/>
  <c r="CL55" i="64" s="1"/>
  <c r="AQ362" i="15"/>
  <c r="AQ161" i="15"/>
  <c r="AV311" i="15"/>
  <c r="AW308" i="15"/>
  <c r="AX308" i="15" s="1"/>
  <c r="AP235" i="15"/>
  <c r="AS288" i="15"/>
  <c r="AT288" i="15" s="1"/>
  <c r="AR165" i="15"/>
  <c r="AR259" i="15"/>
  <c r="AR155" i="15"/>
  <c r="AQ332" i="15"/>
  <c r="AQ335" i="15" s="1"/>
  <c r="AR335" i="15" s="1"/>
  <c r="AQ331" i="15"/>
  <c r="AR331" i="15" s="1"/>
  <c r="AR329" i="15"/>
  <c r="AO249" i="15"/>
  <c r="AO129" i="15" s="1"/>
  <c r="AQ348" i="15"/>
  <c r="AQ150" i="15"/>
  <c r="AR150" i="15" s="1"/>
  <c r="AQ143" i="15"/>
  <c r="AQ353" i="15"/>
  <c r="AR346" i="15"/>
  <c r="AJ181" i="15"/>
  <c r="AK177" i="15"/>
  <c r="AK183" i="15" s="1"/>
  <c r="BL362" i="15"/>
  <c r="AR365" i="15"/>
  <c r="AR162" i="15" s="1"/>
  <c r="AS228" i="15"/>
  <c r="AQ367" i="15"/>
  <c r="AR367" i="15" s="1"/>
  <c r="AQ162" i="15"/>
  <c r="AO257" i="15"/>
  <c r="AO117" i="15" s="1"/>
  <c r="AR291" i="15"/>
  <c r="AR326" i="15"/>
  <c r="AR325" i="15" s="1"/>
  <c r="AQ375" i="15"/>
  <c r="AQ245" i="15"/>
  <c r="AR242" i="15"/>
  <c r="AP195" i="15"/>
  <c r="AP147" i="15" s="1"/>
  <c r="AP151" i="15" s="1"/>
  <c r="AQ194" i="15"/>
  <c r="AQ154" i="15" s="1"/>
  <c r="AR360" i="15"/>
  <c r="AR161" i="15" s="1"/>
  <c r="AR231" i="15"/>
  <c r="CL102" i="64" s="1"/>
  <c r="AR234" i="15"/>
  <c r="AQ297" i="15"/>
  <c r="AQ296" i="15"/>
  <c r="AR296" i="15" s="1"/>
  <c r="BH152" i="47"/>
  <c r="BJ38" i="47"/>
  <c r="BJ208" i="47" s="1"/>
  <c r="BB154" i="47"/>
  <c r="BC159" i="47" s="1"/>
  <c r="BC153" i="47" s="1"/>
  <c r="BJ32" i="47"/>
  <c r="BJ22" i="46"/>
  <c r="BH208" i="46"/>
  <c r="BI187" i="46"/>
  <c r="BI45" i="46"/>
  <c r="BI46" i="46" s="1"/>
  <c r="BH36" i="65"/>
  <c r="BH46" i="46"/>
  <c r="DR14" i="65"/>
  <c r="BJ189" i="46"/>
  <c r="Y151" i="46"/>
  <c r="Z149" i="46" s="1"/>
  <c r="Z151" i="46" s="1"/>
  <c r="AA149" i="46" s="1"/>
  <c r="AA151" i="46" s="1"/>
  <c r="AB149" i="46" s="1"/>
  <c r="AB151" i="46" s="1"/>
  <c r="AC151" i="46" s="1"/>
  <c r="AD149" i="46" s="1"/>
  <c r="AC149" i="46"/>
  <c r="BF38" i="65"/>
  <c r="BF48" i="65" s="1"/>
  <c r="BF62" i="46"/>
  <c r="BG62" i="46" s="1"/>
  <c r="BF141" i="46"/>
  <c r="BG47" i="46"/>
  <c r="BG55" i="64" s="1"/>
  <c r="BK275" i="47" l="1"/>
  <c r="BL34" i="65"/>
  <c r="AT165" i="15"/>
  <c r="AT291" i="15"/>
  <c r="AT294" i="15"/>
  <c r="AT259" i="15"/>
  <c r="AT155" i="15"/>
  <c r="AT156" i="15"/>
  <c r="AT326" i="15"/>
  <c r="AT329" i="15"/>
  <c r="DA96" i="64"/>
  <c r="BO360" i="15"/>
  <c r="BP215" i="15"/>
  <c r="BO218" i="15"/>
  <c r="BM222" i="15"/>
  <c r="BN161" i="15"/>
  <c r="BN362" i="15"/>
  <c r="BN220" i="15"/>
  <c r="BN221" i="15"/>
  <c r="BG280" i="15"/>
  <c r="BG281" i="15" s="1"/>
  <c r="BG127" i="15" s="1"/>
  <c r="BL186" i="47"/>
  <c r="BK32" i="47"/>
  <c r="AR39" i="64"/>
  <c r="AR85" i="47"/>
  <c r="BM183" i="47"/>
  <c r="BM29" i="47" s="1"/>
  <c r="BL45" i="65"/>
  <c r="AP126" i="15"/>
  <c r="BP59" i="46"/>
  <c r="BP58" i="46" s="1"/>
  <c r="BO58" i="46"/>
  <c r="BN31" i="65"/>
  <c r="BN60" i="46"/>
  <c r="BO162" i="47"/>
  <c r="BN156" i="47"/>
  <c r="BN186" i="47" s="1"/>
  <c r="BN38" i="47" s="1"/>
  <c r="BN31" i="46" s="1"/>
  <c r="BM38" i="47"/>
  <c r="BO184" i="47"/>
  <c r="BO187" i="47"/>
  <c r="BO482" i="15"/>
  <c r="BK208" i="47"/>
  <c r="BL208" i="47" s="1"/>
  <c r="BL29" i="47"/>
  <c r="BL32" i="47" s="1"/>
  <c r="BL183" i="47"/>
  <c r="BI41" i="51"/>
  <c r="BI41" i="15"/>
  <c r="BI53" i="47"/>
  <c r="BH53" i="47"/>
  <c r="BH41" i="51"/>
  <c r="BH41" i="15"/>
  <c r="BG42" i="15"/>
  <c r="BG54" i="47"/>
  <c r="BG42" i="51"/>
  <c r="AR299" i="15"/>
  <c r="AR255" i="15" s="1"/>
  <c r="AR332" i="15"/>
  <c r="AQ141" i="15"/>
  <c r="AQ300" i="15"/>
  <c r="AQ260" i="15"/>
  <c r="AQ261" i="15" s="1"/>
  <c r="AQ148" i="15"/>
  <c r="AR148" i="15" s="1"/>
  <c r="AR139" i="15"/>
  <c r="AR230" i="15"/>
  <c r="AS360" i="15"/>
  <c r="AS218" i="15"/>
  <c r="AS179" i="15"/>
  <c r="AQ158" i="15"/>
  <c r="AR375" i="15"/>
  <c r="AR164" i="15" s="1"/>
  <c r="AR166" i="15" s="1"/>
  <c r="AS242" i="15"/>
  <c r="AQ377" i="15"/>
  <c r="AR377" i="15" s="1"/>
  <c r="AQ164" i="15"/>
  <c r="AQ166" i="15" s="1"/>
  <c r="AR336" i="15"/>
  <c r="AR118" i="15" s="1"/>
  <c r="AS365" i="15"/>
  <c r="AS231" i="15"/>
  <c r="AT228" i="15"/>
  <c r="AJ177" i="15"/>
  <c r="AJ183" i="15" s="1"/>
  <c r="AI181" i="15"/>
  <c r="AI177" i="15" s="1"/>
  <c r="AI183" i="15" s="1"/>
  <c r="AR297" i="15"/>
  <c r="AR235" i="15"/>
  <c r="CL101" i="64" s="1"/>
  <c r="AV314" i="15"/>
  <c r="AW314" i="15" s="1"/>
  <c r="AV313" i="15"/>
  <c r="AW313" i="15" s="1"/>
  <c r="AQ222" i="15"/>
  <c r="AR220" i="15"/>
  <c r="AS157" i="15"/>
  <c r="BH279" i="15"/>
  <c r="BI370" i="15"/>
  <c r="BI276" i="15"/>
  <c r="BI274" i="15"/>
  <c r="BI271" i="15"/>
  <c r="BJ268" i="15"/>
  <c r="AQ336" i="15"/>
  <c r="AQ118" i="15" s="1"/>
  <c r="AW311" i="15"/>
  <c r="AR353" i="15"/>
  <c r="AR194" i="15"/>
  <c r="AR154" i="15" s="1"/>
  <c r="AR158" i="15" s="1"/>
  <c r="AR429" i="15" s="1"/>
  <c r="AP196" i="15"/>
  <c r="AQ142" i="15"/>
  <c r="AQ248" i="15"/>
  <c r="AR248" i="15" s="1"/>
  <c r="AR191" i="15" s="1"/>
  <c r="AQ247" i="15"/>
  <c r="AQ190" i="15" s="1"/>
  <c r="AR362" i="15"/>
  <c r="AK132" i="15"/>
  <c r="AK133" i="15" s="1"/>
  <c r="AK121" i="15"/>
  <c r="AK123" i="15" s="1"/>
  <c r="AR345" i="15"/>
  <c r="AS345" i="15" s="1"/>
  <c r="AR143" i="15"/>
  <c r="AQ350" i="15"/>
  <c r="AR348" i="15"/>
  <c r="AR350" i="15" s="1"/>
  <c r="AS294" i="15"/>
  <c r="AS291" i="15"/>
  <c r="AS165" i="15"/>
  <c r="AS155" i="15"/>
  <c r="AS259" i="15"/>
  <c r="AX311" i="15"/>
  <c r="AY308" i="15"/>
  <c r="AR217" i="15"/>
  <c r="AQ195" i="15"/>
  <c r="AP192" i="15"/>
  <c r="AP116" i="15" s="1"/>
  <c r="AR245" i="15"/>
  <c r="AP249" i="15"/>
  <c r="AP129" i="15" s="1"/>
  <c r="AQ235" i="15"/>
  <c r="BL222" i="15"/>
  <c r="BH277" i="15"/>
  <c r="BH372" i="15"/>
  <c r="BH163" i="15"/>
  <c r="AS329" i="15"/>
  <c r="AS326" i="15"/>
  <c r="AS156" i="15"/>
  <c r="BC154" i="47"/>
  <c r="BD159" i="47" s="1"/>
  <c r="BD153" i="47" s="1"/>
  <c r="BJ31" i="46"/>
  <c r="BL31" i="46" s="1"/>
  <c r="BL38" i="47"/>
  <c r="BJ275" i="47"/>
  <c r="BC272" i="47"/>
  <c r="BC23" i="47"/>
  <c r="BI152" i="47"/>
  <c r="BF248" i="46"/>
  <c r="BF118" i="46"/>
  <c r="BF143" i="46"/>
  <c r="BG141" i="46"/>
  <c r="BG38" i="65"/>
  <c r="BK189" i="46"/>
  <c r="BI37" i="65"/>
  <c r="BI208" i="46"/>
  <c r="BJ187" i="46"/>
  <c r="AH149" i="46"/>
  <c r="AD151" i="46"/>
  <c r="AE149" i="46" s="1"/>
  <c r="AE151" i="46" s="1"/>
  <c r="AF149" i="46" s="1"/>
  <c r="AF151" i="46" s="1"/>
  <c r="AG149" i="46" s="1"/>
  <c r="AG151" i="46" s="1"/>
  <c r="AH151" i="46" s="1"/>
  <c r="AI149" i="46" s="1"/>
  <c r="BH47" i="46"/>
  <c r="BH37" i="65"/>
  <c r="BI36" i="65"/>
  <c r="BJ45" i="46"/>
  <c r="AQ120" i="15" l="1"/>
  <c r="AQ131" i="15" s="1"/>
  <c r="AT334" i="15"/>
  <c r="AT331" i="15"/>
  <c r="AT332" i="15"/>
  <c r="AT335" i="15" s="1"/>
  <c r="AT365" i="15"/>
  <c r="AT231" i="15"/>
  <c r="AT179" i="15"/>
  <c r="AT297" i="15"/>
  <c r="AT296" i="15"/>
  <c r="AS194" i="15"/>
  <c r="AS154" i="15" s="1"/>
  <c r="AS158" i="15" s="1"/>
  <c r="AT242" i="15"/>
  <c r="AT299" i="15"/>
  <c r="AT345" i="15"/>
  <c r="BN222" i="15"/>
  <c r="BO220" i="15"/>
  <c r="BO221" i="15"/>
  <c r="AP429" i="15"/>
  <c r="CL58" i="64"/>
  <c r="CL109" i="64"/>
  <c r="BP218" i="15"/>
  <c r="BQ218" i="15" s="1"/>
  <c r="BP360" i="15"/>
  <c r="BQ215" i="15"/>
  <c r="BO161" i="15"/>
  <c r="BO362" i="15"/>
  <c r="AQ85" i="47"/>
  <c r="AO85" i="47"/>
  <c r="AP85" i="47"/>
  <c r="AN85" i="47"/>
  <c r="CL103" i="64"/>
  <c r="BN183" i="47"/>
  <c r="BN29" i="47" s="1"/>
  <c r="BN32" i="47" s="1"/>
  <c r="AQ144" i="15"/>
  <c r="BO31" i="65"/>
  <c r="BO60" i="46"/>
  <c r="BP31" i="65"/>
  <c r="BP60" i="46"/>
  <c r="BQ58" i="46"/>
  <c r="BO156" i="47"/>
  <c r="BO186" i="47" s="1"/>
  <c r="BO38" i="47" s="1"/>
  <c r="BO31" i="46" s="1"/>
  <c r="BP162" i="47"/>
  <c r="BP187" i="47"/>
  <c r="BP184" i="47"/>
  <c r="BM31" i="46"/>
  <c r="BM22" i="46"/>
  <c r="BM208" i="47"/>
  <c r="BM275" i="47"/>
  <c r="BM32" i="47"/>
  <c r="BP482" i="15"/>
  <c r="BQ482" i="15" s="1"/>
  <c r="AR430" i="15"/>
  <c r="AR431" i="15" s="1"/>
  <c r="BI277" i="15"/>
  <c r="BI280" i="15" s="1"/>
  <c r="BL275" i="47"/>
  <c r="BI47" i="46"/>
  <c r="BI38" i="65" s="1"/>
  <c r="BI48" i="65" s="1"/>
  <c r="BH54" i="47"/>
  <c r="BH42" i="51"/>
  <c r="BH42" i="15"/>
  <c r="BJ126" i="46"/>
  <c r="AS149" i="15"/>
  <c r="AS334" i="15"/>
  <c r="BH140" i="15"/>
  <c r="BH280" i="15"/>
  <c r="AR181" i="15"/>
  <c r="AR142" i="15"/>
  <c r="AR244" i="15"/>
  <c r="AQ196" i="15"/>
  <c r="AQ147" i="15"/>
  <c r="AQ151" i="15" s="1"/>
  <c r="AX314" i="15"/>
  <c r="AX313" i="15"/>
  <c r="AS299" i="15"/>
  <c r="AQ130" i="15"/>
  <c r="AQ119" i="15"/>
  <c r="AR120" i="15"/>
  <c r="AR131" i="15" s="1"/>
  <c r="BJ370" i="15"/>
  <c r="BK268" i="15"/>
  <c r="BJ276" i="15"/>
  <c r="BJ274" i="15"/>
  <c r="BJ271" i="15"/>
  <c r="BI372" i="15"/>
  <c r="BI163" i="15"/>
  <c r="AS346" i="15"/>
  <c r="AQ191" i="15"/>
  <c r="AQ192" i="15" s="1"/>
  <c r="AQ116" i="15" s="1"/>
  <c r="AR141" i="15"/>
  <c r="AR144" i="15" s="1"/>
  <c r="AR260" i="15"/>
  <c r="AR261" i="15" s="1"/>
  <c r="AM183" i="15"/>
  <c r="AM24" i="64" s="1"/>
  <c r="AM25" i="64" s="1"/>
  <c r="AI132" i="15"/>
  <c r="AI133" i="15" s="1"/>
  <c r="AI121" i="15"/>
  <c r="AI123" i="15" s="1"/>
  <c r="AS139" i="15"/>
  <c r="AS233" i="15"/>
  <c r="AS234" i="15"/>
  <c r="AW218" i="15"/>
  <c r="AS220" i="15"/>
  <c r="AW315" i="15"/>
  <c r="AQ256" i="15"/>
  <c r="AQ257" i="15" s="1"/>
  <c r="AQ117" i="15" s="1"/>
  <c r="AQ301" i="15"/>
  <c r="AQ128" i="15" s="1"/>
  <c r="AR300" i="15"/>
  <c r="AS332" i="15"/>
  <c r="AS331" i="15"/>
  <c r="AR195" i="15"/>
  <c r="AR196" i="15" s="1"/>
  <c r="AZ308" i="15"/>
  <c r="AY311" i="15"/>
  <c r="AS297" i="15"/>
  <c r="AS296" i="15"/>
  <c r="AR119" i="15"/>
  <c r="AR130" i="15"/>
  <c r="AQ249" i="15"/>
  <c r="AQ129" i="15" s="1"/>
  <c r="AR247" i="15"/>
  <c r="AR249" i="15" s="1"/>
  <c r="AR129" i="15" s="1"/>
  <c r="AN429" i="15"/>
  <c r="AQ429" i="15"/>
  <c r="AO429" i="15"/>
  <c r="BI279" i="15"/>
  <c r="AR222" i="15"/>
  <c r="AR126" i="15" s="1"/>
  <c r="AQ126" i="15"/>
  <c r="AV315" i="15"/>
  <c r="AJ132" i="15"/>
  <c r="AJ133" i="15" s="1"/>
  <c r="AJ121" i="15"/>
  <c r="AJ123" i="15" s="1"/>
  <c r="AS367" i="15"/>
  <c r="AS162" i="15"/>
  <c r="AS375" i="15"/>
  <c r="AS245" i="15"/>
  <c r="AQ56" i="15"/>
  <c r="AS362" i="15"/>
  <c r="AS161" i="15"/>
  <c r="BD154" i="47"/>
  <c r="BE159" i="47" s="1"/>
  <c r="BJ152" i="47"/>
  <c r="BC207" i="47"/>
  <c r="BD272" i="47"/>
  <c r="BD23" i="47"/>
  <c r="BK45" i="46"/>
  <c r="BK36" i="65" s="1"/>
  <c r="BJ36" i="65"/>
  <c r="BL189" i="46"/>
  <c r="BM189" i="46" s="1"/>
  <c r="BN189" i="46" s="1"/>
  <c r="BO189" i="46" s="1"/>
  <c r="BP189" i="46" s="1"/>
  <c r="BQ189" i="46" s="1"/>
  <c r="BG248" i="46"/>
  <c r="BG118" i="46"/>
  <c r="DR47" i="65"/>
  <c r="BG143" i="46"/>
  <c r="BJ46" i="46"/>
  <c r="BH38" i="65"/>
  <c r="BH48" i="65" s="1"/>
  <c r="BH62" i="46"/>
  <c r="BH141" i="46"/>
  <c r="AI151" i="46"/>
  <c r="AJ149" i="46" s="1"/>
  <c r="AJ151" i="46" s="1"/>
  <c r="AK149" i="46" s="1"/>
  <c r="AK151" i="46" s="1"/>
  <c r="AL149" i="46" s="1"/>
  <c r="AL151" i="46" s="1"/>
  <c r="AM151" i="46" s="1"/>
  <c r="AN149" i="46" s="1"/>
  <c r="AR149" i="46" s="1"/>
  <c r="AM149" i="46"/>
  <c r="BJ208" i="46"/>
  <c r="BK187" i="46"/>
  <c r="AT346" i="15" l="1"/>
  <c r="AT348" i="15" s="1"/>
  <c r="AT350" i="15" s="1"/>
  <c r="AU345" i="15"/>
  <c r="AU346" i="15" s="1"/>
  <c r="AR147" i="15"/>
  <c r="AR151" i="15" s="1"/>
  <c r="AR190" i="15"/>
  <c r="AR192" i="15" s="1"/>
  <c r="AR116" i="15" s="1"/>
  <c r="AT336" i="15"/>
  <c r="AV345" i="15"/>
  <c r="AT255" i="15"/>
  <c r="AT139" i="15"/>
  <c r="AT233" i="15"/>
  <c r="AT234" i="15"/>
  <c r="AT300" i="15"/>
  <c r="AT256" i="15" s="1"/>
  <c r="AT148" i="15"/>
  <c r="AT260" i="15"/>
  <c r="AT261" i="15" s="1"/>
  <c r="AT162" i="15"/>
  <c r="AT367" i="15"/>
  <c r="AT375" i="15"/>
  <c r="AT377" i="15" s="1"/>
  <c r="AT245" i="15"/>
  <c r="AT195" i="15" s="1"/>
  <c r="AT194" i="15"/>
  <c r="AT154" i="15" s="1"/>
  <c r="AT158" i="15" s="1"/>
  <c r="BQ217" i="15"/>
  <c r="BQ360" i="15"/>
  <c r="BQ161" i="15" s="1"/>
  <c r="AT150" i="15"/>
  <c r="AT353" i="15"/>
  <c r="AT149" i="15"/>
  <c r="AT141" i="15"/>
  <c r="BO222" i="15"/>
  <c r="AP430" i="15"/>
  <c r="AP431" i="15" s="1"/>
  <c r="CL59" i="64"/>
  <c r="CL60" i="64" s="1"/>
  <c r="BP161" i="15"/>
  <c r="BP362" i="15"/>
  <c r="BQ362" i="15" s="1"/>
  <c r="BP220" i="15"/>
  <c r="BP221" i="15"/>
  <c r="BQ221" i="15" s="1"/>
  <c r="BI140" i="15"/>
  <c r="BN275" i="47"/>
  <c r="BN208" i="47"/>
  <c r="BN22" i="46"/>
  <c r="BN126" i="46" s="1"/>
  <c r="BQ31" i="65"/>
  <c r="BQ59" i="46"/>
  <c r="BQ60" i="46"/>
  <c r="BO183" i="47"/>
  <c r="BO29" i="47" s="1"/>
  <c r="BO22" i="46" s="1"/>
  <c r="BQ162" i="47"/>
  <c r="BP156" i="47"/>
  <c r="BQ156" i="47" s="1"/>
  <c r="BM126" i="46"/>
  <c r="BQ184" i="47"/>
  <c r="BQ187" i="47"/>
  <c r="BJ277" i="15"/>
  <c r="BJ140" i="15" s="1"/>
  <c r="BL45" i="46"/>
  <c r="BI62" i="46"/>
  <c r="BI141" i="46"/>
  <c r="BI143" i="46" s="1"/>
  <c r="BK46" i="46"/>
  <c r="BK41" i="15" s="1"/>
  <c r="BJ41" i="51"/>
  <c r="BJ41" i="15"/>
  <c r="BJ53" i="47"/>
  <c r="BI42" i="51"/>
  <c r="BI42" i="15"/>
  <c r="BI54" i="47"/>
  <c r="AW362" i="15"/>
  <c r="AS142" i="15"/>
  <c r="AS247" i="15"/>
  <c r="AS190" i="15" s="1"/>
  <c r="AS248" i="15"/>
  <c r="AS191" i="15" s="1"/>
  <c r="AR56" i="15"/>
  <c r="AV343" i="15"/>
  <c r="AY314" i="15"/>
  <c r="AY313" i="15"/>
  <c r="AS195" i="15"/>
  <c r="AW217" i="15"/>
  <c r="AU162" i="15"/>
  <c r="AV228" i="15"/>
  <c r="AS348" i="15"/>
  <c r="AS150" i="15"/>
  <c r="AS143" i="15"/>
  <c r="AS353" i="15"/>
  <c r="BJ372" i="15"/>
  <c r="BJ163" i="15"/>
  <c r="AS255" i="15"/>
  <c r="AX315" i="15"/>
  <c r="AS377" i="15"/>
  <c r="AS120" i="15" s="1"/>
  <c r="AS131" i="15" s="1"/>
  <c r="AS164" i="15"/>
  <c r="AS166" i="15" s="1"/>
  <c r="BI281" i="15"/>
  <c r="BI127" i="15" s="1"/>
  <c r="AN430" i="15"/>
  <c r="AN431" i="15" s="1"/>
  <c r="AQ430" i="15"/>
  <c r="AQ431" i="15" s="1"/>
  <c r="AO430" i="15"/>
  <c r="AO431" i="15" s="1"/>
  <c r="AS141" i="15"/>
  <c r="AS300" i="15"/>
  <c r="AS260" i="15"/>
  <c r="AS261" i="15" s="1"/>
  <c r="AS148" i="15"/>
  <c r="AZ311" i="15"/>
  <c r="BA308" i="15"/>
  <c r="AS335" i="15"/>
  <c r="AR256" i="15"/>
  <c r="AR257" i="15" s="1"/>
  <c r="AR117" i="15" s="1"/>
  <c r="AR301" i="15"/>
  <c r="AR128" i="15" s="1"/>
  <c r="AW220" i="15"/>
  <c r="AS222" i="15"/>
  <c r="AS235" i="15"/>
  <c r="AM184" i="15"/>
  <c r="AM132" i="15"/>
  <c r="CG84" i="64" s="1"/>
  <c r="CG85" i="64" s="1"/>
  <c r="CG88" i="64" s="1"/>
  <c r="AM121" i="15"/>
  <c r="AM123" i="15" s="1"/>
  <c r="BH281" i="15"/>
  <c r="BH127" i="15" s="1"/>
  <c r="BJ279" i="15"/>
  <c r="BK370" i="15"/>
  <c r="BK276" i="15"/>
  <c r="BL276" i="15" s="1"/>
  <c r="BK274" i="15"/>
  <c r="BK271" i="15"/>
  <c r="BL268" i="15"/>
  <c r="BM268" i="15" s="1"/>
  <c r="AV288" i="15"/>
  <c r="AR177" i="15"/>
  <c r="AQ181" i="15"/>
  <c r="AV323" i="15"/>
  <c r="BE272" i="47"/>
  <c r="BE23" i="47"/>
  <c r="BK152" i="47"/>
  <c r="BD207" i="47"/>
  <c r="BE153" i="47"/>
  <c r="BK208" i="46"/>
  <c r="BL187" i="46"/>
  <c r="BH248" i="46"/>
  <c r="BH118" i="46"/>
  <c r="BH143" i="46"/>
  <c r="BJ47" i="46"/>
  <c r="BJ37" i="65"/>
  <c r="AN151" i="46"/>
  <c r="AO149" i="46" s="1"/>
  <c r="AO151" i="46" s="1"/>
  <c r="AP149" i="46" s="1"/>
  <c r="BL46" i="46" l="1"/>
  <c r="BL41" i="15" s="1"/>
  <c r="AT143" i="15"/>
  <c r="AU143" i="15"/>
  <c r="AU353" i="15"/>
  <c r="AU348" i="15"/>
  <c r="AU350" i="15" s="1"/>
  <c r="AU150" i="15"/>
  <c r="AU149" i="15"/>
  <c r="AU141" i="15"/>
  <c r="BK47" i="46"/>
  <c r="BK42" i="15" s="1"/>
  <c r="AT164" i="15"/>
  <c r="AT166" i="15" s="1"/>
  <c r="AT257" i="15"/>
  <c r="AT117" i="15" s="1"/>
  <c r="AT235" i="15"/>
  <c r="AT126" i="15" s="1"/>
  <c r="AT196" i="15"/>
  <c r="AT147" i="15"/>
  <c r="AT151" i="15" s="1"/>
  <c r="AT247" i="15"/>
  <c r="AT142" i="15"/>
  <c r="AT144" i="15" s="1"/>
  <c r="AT248" i="15"/>
  <c r="AT191" i="15" s="1"/>
  <c r="AT301" i="15"/>
  <c r="AT130" i="15"/>
  <c r="AT119" i="15"/>
  <c r="AS126" i="15"/>
  <c r="BI248" i="46"/>
  <c r="BP183" i="47"/>
  <c r="BP29" i="47" s="1"/>
  <c r="BP222" i="15"/>
  <c r="BQ220" i="15"/>
  <c r="BQ222" i="15" s="1"/>
  <c r="BL208" i="46"/>
  <c r="DW14" i="65" s="1"/>
  <c r="BM187" i="46"/>
  <c r="BK37" i="65"/>
  <c r="BP186" i="47"/>
  <c r="BP38" i="47" s="1"/>
  <c r="BO208" i="47"/>
  <c r="BJ280" i="15"/>
  <c r="BJ281" i="15" s="1"/>
  <c r="BJ127" i="15" s="1"/>
  <c r="BQ34" i="65"/>
  <c r="BQ32" i="65"/>
  <c r="BQ20" i="64" s="1"/>
  <c r="BL36" i="65"/>
  <c r="BM45" i="46"/>
  <c r="BM370" i="15"/>
  <c r="BN268" i="15"/>
  <c r="BM276" i="15"/>
  <c r="BM271" i="15"/>
  <c r="BM274" i="15"/>
  <c r="BO275" i="47"/>
  <c r="BO32" i="47"/>
  <c r="BQ183" i="47"/>
  <c r="BO126" i="46"/>
  <c r="BI118" i="46"/>
  <c r="BK41" i="51"/>
  <c r="BK53" i="47"/>
  <c r="BJ42" i="51"/>
  <c r="BJ42" i="15"/>
  <c r="BJ54" i="47"/>
  <c r="AS144" i="15"/>
  <c r="AS192" i="15"/>
  <c r="AS116" i="15" s="1"/>
  <c r="AV329" i="15"/>
  <c r="AW329" i="15" s="1"/>
  <c r="AV326" i="15"/>
  <c r="AW323" i="15"/>
  <c r="AV156" i="15"/>
  <c r="AP181" i="15"/>
  <c r="AQ177" i="15"/>
  <c r="AQ183" i="15" s="1"/>
  <c r="BL370" i="15"/>
  <c r="BL163" i="15" s="1"/>
  <c r="BK277" i="15"/>
  <c r="BL274" i="15"/>
  <c r="BK372" i="15"/>
  <c r="BL372" i="15" s="1"/>
  <c r="BK163" i="15"/>
  <c r="AW222" i="15"/>
  <c r="AZ314" i="15"/>
  <c r="AZ313" i="15"/>
  <c r="AS249" i="15"/>
  <c r="AS129" i="15" s="1"/>
  <c r="AV294" i="15"/>
  <c r="AW294" i="15" s="1"/>
  <c r="AV291" i="15"/>
  <c r="AW288" i="15"/>
  <c r="AV165" i="15"/>
  <c r="AV259" i="15"/>
  <c r="AV155" i="15"/>
  <c r="BK279" i="15"/>
  <c r="BL279" i="15" s="1"/>
  <c r="BL271" i="15"/>
  <c r="AM133" i="15"/>
  <c r="BB308" i="15"/>
  <c r="BC308" i="15" s="1"/>
  <c r="BA311" i="15"/>
  <c r="AS256" i="15"/>
  <c r="AS336" i="15"/>
  <c r="AS118" i="15" s="1"/>
  <c r="AS301" i="15"/>
  <c r="AS350" i="15"/>
  <c r="AV365" i="15"/>
  <c r="AV231" i="15"/>
  <c r="AW228" i="15"/>
  <c r="AV179" i="15"/>
  <c r="AV177" i="15" s="1"/>
  <c r="AV183" i="15" s="1"/>
  <c r="AS196" i="15"/>
  <c r="AS147" i="15"/>
  <c r="AY315" i="15"/>
  <c r="AV346" i="15"/>
  <c r="AW343" i="15"/>
  <c r="AV157" i="15"/>
  <c r="AU164" i="15"/>
  <c r="AU166" i="15" s="1"/>
  <c r="AV242" i="15"/>
  <c r="AT120" i="15"/>
  <c r="AT131" i="15" s="1"/>
  <c r="BE207" i="47"/>
  <c r="BE154" i="47"/>
  <c r="BF159" i="47" s="1"/>
  <c r="BL152" i="47"/>
  <c r="BM152" i="47" s="1"/>
  <c r="BN152" i="47" s="1"/>
  <c r="BO152" i="47" s="1"/>
  <c r="BP152" i="47" s="1"/>
  <c r="BQ152" i="47" s="1"/>
  <c r="BJ38" i="65"/>
  <c r="BJ48" i="65" s="1"/>
  <c r="BJ141" i="46"/>
  <c r="BJ62" i="46"/>
  <c r="BL41" i="51" l="1"/>
  <c r="BL53" i="47"/>
  <c r="BL37" i="65"/>
  <c r="BP32" i="47"/>
  <c r="BP275" i="47"/>
  <c r="BQ275" i="47" s="1"/>
  <c r="AU151" i="15"/>
  <c r="AU144" i="15"/>
  <c r="AU119" i="15"/>
  <c r="AU130" i="15"/>
  <c r="BL47" i="46"/>
  <c r="BL55" i="64" s="1"/>
  <c r="DF96" i="64" s="1"/>
  <c r="BK62" i="46"/>
  <c r="BL62" i="46" s="1"/>
  <c r="BK141" i="46"/>
  <c r="BK248" i="46" s="1"/>
  <c r="BK38" i="65"/>
  <c r="BK48" i="65" s="1"/>
  <c r="BK42" i="51"/>
  <c r="BK54" i="47"/>
  <c r="AT249" i="15"/>
  <c r="AT129" i="15" s="1"/>
  <c r="AT190" i="15"/>
  <c r="AT192" i="15" s="1"/>
  <c r="AT116" i="15" s="1"/>
  <c r="AW179" i="15"/>
  <c r="BP22" i="46"/>
  <c r="BQ22" i="46" s="1"/>
  <c r="AS130" i="15"/>
  <c r="AS119" i="15"/>
  <c r="AT118" i="15"/>
  <c r="AT128" i="15"/>
  <c r="BQ29" i="47"/>
  <c r="BQ32" i="47" s="1"/>
  <c r="AS128" i="15"/>
  <c r="BQ186" i="47"/>
  <c r="BN187" i="46"/>
  <c r="BM208" i="46"/>
  <c r="BQ45" i="65"/>
  <c r="BM46" i="46"/>
  <c r="BM36" i="65"/>
  <c r="BN45" i="46"/>
  <c r="BN46" i="46" s="1"/>
  <c r="BM279" i="15"/>
  <c r="BM163" i="15"/>
  <c r="BM372" i="15"/>
  <c r="BM277" i="15"/>
  <c r="BN370" i="15"/>
  <c r="BO268" i="15"/>
  <c r="BN271" i="15"/>
  <c r="BN276" i="15"/>
  <c r="BN274" i="15"/>
  <c r="BP208" i="47"/>
  <c r="BQ208" i="47" s="1"/>
  <c r="BP31" i="46"/>
  <c r="BQ31" i="46" s="1"/>
  <c r="BQ38" i="47"/>
  <c r="AS257" i="15"/>
  <c r="AS117" i="15" s="1"/>
  <c r="AU191" i="15"/>
  <c r="AU192" i="15" s="1"/>
  <c r="AU116" i="15" s="1"/>
  <c r="AX343" i="15"/>
  <c r="AW157" i="15"/>
  <c r="AV139" i="15"/>
  <c r="AV234" i="15"/>
  <c r="AV233" i="15"/>
  <c r="BA314" i="15"/>
  <c r="BB314" i="15" s="1"/>
  <c r="BA313" i="15"/>
  <c r="BB313" i="15" s="1"/>
  <c r="AP18" i="46"/>
  <c r="AV299" i="15"/>
  <c r="AW299" i="15" s="1"/>
  <c r="AW291" i="15"/>
  <c r="AP420" i="15"/>
  <c r="AW231" i="15"/>
  <c r="CQ102" i="64" s="1"/>
  <c r="AU126" i="15"/>
  <c r="BB311" i="15"/>
  <c r="BK280" i="15"/>
  <c r="BK140" i="15"/>
  <c r="BL277" i="15"/>
  <c r="AP177" i="15"/>
  <c r="AP183" i="15" s="1"/>
  <c r="AO181" i="15"/>
  <c r="AV149" i="15"/>
  <c r="AW149" i="15" s="1"/>
  <c r="AV334" i="15"/>
  <c r="AW334" i="15" s="1"/>
  <c r="AV375" i="15"/>
  <c r="AV245" i="15"/>
  <c r="AW245" i="15" s="1"/>
  <c r="AW242" i="15"/>
  <c r="AW194" i="15" s="1"/>
  <c r="AW154" i="15" s="1"/>
  <c r="AU120" i="15"/>
  <c r="AU131" i="15" s="1"/>
  <c r="AV348" i="15"/>
  <c r="AV150" i="15"/>
  <c r="AW150" i="15" s="1"/>
  <c r="AV143" i="15"/>
  <c r="AV353" i="15"/>
  <c r="AW346" i="15"/>
  <c r="AS151" i="15"/>
  <c r="AV194" i="15"/>
  <c r="AV154" i="15" s="1"/>
  <c r="AW365" i="15"/>
  <c r="AW162" i="15" s="1"/>
  <c r="AX228" i="15"/>
  <c r="AV367" i="15"/>
  <c r="AW367" i="15" s="1"/>
  <c r="AV162" i="15"/>
  <c r="AW326" i="15"/>
  <c r="AW325" i="15" s="1"/>
  <c r="BD308" i="15"/>
  <c r="BC311" i="15"/>
  <c r="AX288" i="15"/>
  <c r="AW165" i="15"/>
  <c r="AW259" i="15"/>
  <c r="AW155" i="15"/>
  <c r="AV297" i="15"/>
  <c r="AV296" i="15"/>
  <c r="AW296" i="15" s="1"/>
  <c r="AZ315" i="15"/>
  <c r="AQ132" i="15"/>
  <c r="AQ133" i="15" s="1"/>
  <c r="AQ121" i="15"/>
  <c r="AQ123" i="15" s="1"/>
  <c r="AX323" i="15"/>
  <c r="AW156" i="15"/>
  <c r="AV332" i="15"/>
  <c r="AV335" i="15" s="1"/>
  <c r="AW335" i="15" s="1"/>
  <c r="AV331" i="15"/>
  <c r="AW331" i="15" s="1"/>
  <c r="BF272" i="47"/>
  <c r="BF23" i="47"/>
  <c r="BG159" i="47"/>
  <c r="BF153" i="47"/>
  <c r="BJ248" i="46"/>
  <c r="BJ118" i="46"/>
  <c r="BJ143" i="46"/>
  <c r="AU118" i="15" l="1"/>
  <c r="AU128" i="15"/>
  <c r="BL38" i="65"/>
  <c r="BL141" i="46"/>
  <c r="BL118" i="46" s="1"/>
  <c r="BL42" i="51"/>
  <c r="BL54" i="47"/>
  <c r="BL42" i="15"/>
  <c r="BK143" i="46"/>
  <c r="BK118" i="46"/>
  <c r="AQ427" i="15"/>
  <c r="AP427" i="15"/>
  <c r="AR427" i="15"/>
  <c r="BN277" i="15"/>
  <c r="BN140" i="15" s="1"/>
  <c r="BN208" i="46"/>
  <c r="BO187" i="46"/>
  <c r="AP132" i="15"/>
  <c r="AP133" i="15" s="1"/>
  <c r="AP121" i="15"/>
  <c r="AP123" i="15" s="1"/>
  <c r="BN36" i="65"/>
  <c r="BO45" i="46"/>
  <c r="BO46" i="46" s="1"/>
  <c r="BN37" i="65"/>
  <c r="BN53" i="47"/>
  <c r="BN41" i="15"/>
  <c r="BN41" i="51"/>
  <c r="BM37" i="65"/>
  <c r="BM47" i="46"/>
  <c r="BN47" i="46" s="1"/>
  <c r="BM53" i="47"/>
  <c r="BM41" i="51"/>
  <c r="BM41" i="15"/>
  <c r="BO276" i="15"/>
  <c r="BO271" i="15"/>
  <c r="BO370" i="15"/>
  <c r="BP268" i="15"/>
  <c r="BO274" i="15"/>
  <c r="BN163" i="15"/>
  <c r="BN372" i="15"/>
  <c r="BN279" i="15"/>
  <c r="BM280" i="15"/>
  <c r="BM281" i="15" s="1"/>
  <c r="BM127" i="15" s="1"/>
  <c r="BM140" i="15"/>
  <c r="BP126" i="46"/>
  <c r="AU129" i="15"/>
  <c r="BB315" i="15"/>
  <c r="AW336" i="15"/>
  <c r="AW118" i="15" s="1"/>
  <c r="AV336" i="15"/>
  <c r="AV118" i="15" s="1"/>
  <c r="DC38" i="65"/>
  <c r="BD311" i="15"/>
  <c r="BE308" i="15"/>
  <c r="AW158" i="15"/>
  <c r="AW429" i="15" s="1"/>
  <c r="AW345" i="15"/>
  <c r="AX345" i="15" s="1"/>
  <c r="AY345" i="15" s="1"/>
  <c r="AZ345" i="15" s="1"/>
  <c r="BA345" i="15" s="1"/>
  <c r="AW143" i="15"/>
  <c r="AV350" i="15"/>
  <c r="AW348" i="15"/>
  <c r="AW350" i="15" s="1"/>
  <c r="AW375" i="15"/>
  <c r="AW164" i="15" s="1"/>
  <c r="AW166" i="15" s="1"/>
  <c r="AX242" i="15"/>
  <c r="AX194" i="15" s="1"/>
  <c r="AX154" i="15" s="1"/>
  <c r="AX384" i="15" s="1"/>
  <c r="AV377" i="15"/>
  <c r="AW377" i="15" s="1"/>
  <c r="AW120" i="15" s="1"/>
  <c r="AW131" i="15" s="1"/>
  <c r="AV164" i="15"/>
  <c r="AV166" i="15" s="1"/>
  <c r="AN181" i="15"/>
  <c r="AN177" i="15" s="1"/>
  <c r="AN183" i="15" s="1"/>
  <c r="AO177" i="15"/>
  <c r="AO183" i="15" s="1"/>
  <c r="BL140" i="15"/>
  <c r="BL280" i="15"/>
  <c r="AW139" i="15"/>
  <c r="AW195" i="15"/>
  <c r="AW196" i="15" s="1"/>
  <c r="AW230" i="15"/>
  <c r="AV235" i="15"/>
  <c r="AV126" i="15" s="1"/>
  <c r="AW233" i="15"/>
  <c r="AW181" i="15"/>
  <c r="AW142" i="15"/>
  <c r="AX329" i="15"/>
  <c r="AX326" i="15"/>
  <c r="AY323" i="15"/>
  <c r="AX156" i="15"/>
  <c r="AW332" i="15"/>
  <c r="AV141" i="15"/>
  <c r="AV300" i="15"/>
  <c r="AV256" i="15" s="1"/>
  <c r="AV260" i="15"/>
  <c r="AV261" i="15" s="1"/>
  <c r="AV148" i="15"/>
  <c r="AW148" i="15" s="1"/>
  <c r="AW297" i="15"/>
  <c r="AX294" i="15"/>
  <c r="AX291" i="15"/>
  <c r="AY288" i="15"/>
  <c r="AX165" i="15"/>
  <c r="AX259" i="15"/>
  <c r="AX155" i="15"/>
  <c r="BC314" i="15"/>
  <c r="BC313" i="15"/>
  <c r="AX365" i="15"/>
  <c r="AX231" i="15"/>
  <c r="AY228" i="15"/>
  <c r="AX179" i="15"/>
  <c r="AV158" i="15"/>
  <c r="AW353" i="15"/>
  <c r="AW244" i="15"/>
  <c r="AV142" i="15"/>
  <c r="AV247" i="15"/>
  <c r="AW247" i="15" s="1"/>
  <c r="AV248" i="15"/>
  <c r="AV191" i="15" s="1"/>
  <c r="AW255" i="15"/>
  <c r="AV255" i="15"/>
  <c r="BK281" i="15"/>
  <c r="BK127" i="15" s="1"/>
  <c r="BA315" i="15"/>
  <c r="AV195" i="15"/>
  <c r="AW234" i="15"/>
  <c r="AY343" i="15"/>
  <c r="AX157" i="15"/>
  <c r="BG153" i="47"/>
  <c r="BF154" i="47"/>
  <c r="BG161" i="47" s="1"/>
  <c r="BF207" i="47"/>
  <c r="BG207" i="47" s="1"/>
  <c r="BG23" i="47"/>
  <c r="BG272" i="47"/>
  <c r="AN116" i="46"/>
  <c r="AS22" i="65"/>
  <c r="AT429" i="15" l="1"/>
  <c r="AU429" i="15"/>
  <c r="DW47" i="65"/>
  <c r="BL248" i="46"/>
  <c r="BL143" i="46"/>
  <c r="AS429" i="15"/>
  <c r="AV120" i="15"/>
  <c r="AV131" i="15" s="1"/>
  <c r="BN280" i="15"/>
  <c r="BN281" i="15" s="1"/>
  <c r="BN127" i="15" s="1"/>
  <c r="BO277" i="15"/>
  <c r="BO140" i="15" s="1"/>
  <c r="CQ58" i="64"/>
  <c r="CQ109" i="64"/>
  <c r="BO208" i="46"/>
  <c r="BP187" i="46"/>
  <c r="BM141" i="46"/>
  <c r="BM38" i="65"/>
  <c r="BM48" i="65" s="1"/>
  <c r="BM62" i="46"/>
  <c r="BM42" i="15"/>
  <c r="BM42" i="51"/>
  <c r="BM54" i="47"/>
  <c r="BO36" i="65"/>
  <c r="BP45" i="46"/>
  <c r="BP46" i="46" s="1"/>
  <c r="BN38" i="65"/>
  <c r="BN48" i="65" s="1"/>
  <c r="BN42" i="51"/>
  <c r="BN54" i="47"/>
  <c r="BN141" i="46"/>
  <c r="BN42" i="15"/>
  <c r="BN62" i="46"/>
  <c r="BO37" i="65"/>
  <c r="BO47" i="46"/>
  <c r="BO53" i="47"/>
  <c r="BO41" i="51"/>
  <c r="BO41" i="15"/>
  <c r="AX346" i="15"/>
  <c r="AX150" i="15" s="1"/>
  <c r="BO163" i="15"/>
  <c r="BO372" i="15"/>
  <c r="BQ268" i="15"/>
  <c r="BP370" i="15"/>
  <c r="BP276" i="15"/>
  <c r="BQ276" i="15" s="1"/>
  <c r="BP271" i="15"/>
  <c r="BP274" i="15"/>
  <c r="BO279" i="15"/>
  <c r="BQ126" i="46"/>
  <c r="AV301" i="15"/>
  <c r="AV128" i="15" s="1"/>
  <c r="AW430" i="15"/>
  <c r="AW248" i="15"/>
  <c r="AW249" i="15" s="1"/>
  <c r="AW129" i="15" s="1"/>
  <c r="AV249" i="15"/>
  <c r="AV129" i="15" s="1"/>
  <c r="AV144" i="15"/>
  <c r="AV257" i="15"/>
  <c r="AV117" i="15" s="1"/>
  <c r="AO121" i="15"/>
  <c r="AO123" i="15" s="1"/>
  <c r="AO132" i="15"/>
  <c r="AO133" i="15" s="1"/>
  <c r="AW300" i="15"/>
  <c r="AW256" i="15" s="1"/>
  <c r="AW257" i="15" s="1"/>
  <c r="AW117" i="15" s="1"/>
  <c r="AZ343" i="15"/>
  <c r="AY346" i="15"/>
  <c r="AY157" i="15"/>
  <c r="AV196" i="15"/>
  <c r="AV147" i="15"/>
  <c r="AV151" i="15" s="1"/>
  <c r="EI61" i="64"/>
  <c r="AP11" i="15"/>
  <c r="AW396" i="15"/>
  <c r="AX158" i="15"/>
  <c r="AX367" i="15"/>
  <c r="AX162" i="15"/>
  <c r="BC315" i="15"/>
  <c r="AX299" i="15"/>
  <c r="AW141" i="15"/>
  <c r="AW144" i="15" s="1"/>
  <c r="AW260" i="15"/>
  <c r="AW261" i="15" s="1"/>
  <c r="AX332" i="15"/>
  <c r="AX331" i="15"/>
  <c r="AV181" i="15"/>
  <c r="AU181" i="15" s="1"/>
  <c r="AU177" i="15" s="1"/>
  <c r="AU183" i="15" s="1"/>
  <c r="AW177" i="15"/>
  <c r="AW235" i="15"/>
  <c r="CQ101" i="64" s="1"/>
  <c r="AW190" i="15"/>
  <c r="BL281" i="15"/>
  <c r="BL127" i="15" s="1"/>
  <c r="AX375" i="15"/>
  <c r="AX245" i="15"/>
  <c r="AX195" i="15" s="1"/>
  <c r="AY242" i="15"/>
  <c r="AY194" i="15" s="1"/>
  <c r="AY154" i="15" s="1"/>
  <c r="AY384" i="15" s="1"/>
  <c r="AW130" i="15"/>
  <c r="AW119" i="15"/>
  <c r="AV429" i="15"/>
  <c r="BF308" i="15"/>
  <c r="BE311" i="15"/>
  <c r="AY365" i="15"/>
  <c r="AY231" i="15"/>
  <c r="AZ228" i="15"/>
  <c r="AY179" i="15"/>
  <c r="AX139" i="15"/>
  <c r="AX233" i="15"/>
  <c r="AX234" i="15"/>
  <c r="AZ288" i="15"/>
  <c r="AY294" i="15"/>
  <c r="AY291" i="15"/>
  <c r="AY165" i="15"/>
  <c r="AY259" i="15"/>
  <c r="AY155" i="15"/>
  <c r="AX297" i="15"/>
  <c r="AX296" i="15"/>
  <c r="AZ323" i="15"/>
  <c r="AY329" i="15"/>
  <c r="AY326" i="15"/>
  <c r="AY156" i="15"/>
  <c r="AX149" i="15"/>
  <c r="AX334" i="15"/>
  <c r="AV190" i="15"/>
  <c r="AV192" i="15" s="1"/>
  <c r="AV116" i="15" s="1"/>
  <c r="AR183" i="15"/>
  <c r="AR24" i="64" s="1"/>
  <c r="AN121" i="15"/>
  <c r="AN123" i="15" s="1"/>
  <c r="AN132" i="15"/>
  <c r="AN133" i="15" s="1"/>
  <c r="AV130" i="15"/>
  <c r="AV119" i="15"/>
  <c r="BD314" i="15"/>
  <c r="BD313" i="15"/>
  <c r="BG154" i="47"/>
  <c r="AN120" i="46"/>
  <c r="AT430" i="15" l="1"/>
  <c r="AT431" i="15" s="1"/>
  <c r="AU430" i="15"/>
  <c r="AU431" i="15"/>
  <c r="AU132" i="15"/>
  <c r="AU133" i="15" s="1"/>
  <c r="AU121" i="15"/>
  <c r="AU123" i="15" s="1"/>
  <c r="AX348" i="15"/>
  <c r="AX350" i="15" s="1"/>
  <c r="AW191" i="15"/>
  <c r="AW192" i="15" s="1"/>
  <c r="AW116" i="15" s="1"/>
  <c r="AX143" i="15"/>
  <c r="AS430" i="15"/>
  <c r="AS431" i="15" s="1"/>
  <c r="AS61" i="51" s="1"/>
  <c r="AX353" i="15"/>
  <c r="AX102" i="46" s="1"/>
  <c r="BO280" i="15"/>
  <c r="BO281" i="15" s="1"/>
  <c r="BO127" i="15" s="1"/>
  <c r="BP277" i="15"/>
  <c r="BP140" i="15" s="1"/>
  <c r="CQ59" i="64"/>
  <c r="BP208" i="46"/>
  <c r="BQ187" i="46"/>
  <c r="BQ208" i="46" s="1"/>
  <c r="EB14" i="65" s="1"/>
  <c r="CQ103" i="64"/>
  <c r="BP37" i="65"/>
  <c r="BP41" i="15"/>
  <c r="BP41" i="51"/>
  <c r="BP47" i="46"/>
  <c r="BP53" i="47"/>
  <c r="BQ46" i="46"/>
  <c r="BM118" i="46"/>
  <c r="BM248" i="46"/>
  <c r="BM143" i="46"/>
  <c r="BO38" i="65"/>
  <c r="BO48" i="65" s="1"/>
  <c r="BO42" i="15"/>
  <c r="BO42" i="51"/>
  <c r="BO141" i="46"/>
  <c r="BO54" i="47"/>
  <c r="BO62" i="46"/>
  <c r="BN248" i="46"/>
  <c r="BN118" i="46"/>
  <c r="BN143" i="46"/>
  <c r="BQ45" i="46"/>
  <c r="BQ36" i="65" s="1"/>
  <c r="BP36" i="65"/>
  <c r="BP163" i="15"/>
  <c r="BP372" i="15"/>
  <c r="BP279" i="15"/>
  <c r="BQ271" i="15"/>
  <c r="BQ370" i="15"/>
  <c r="BQ163" i="15" s="1"/>
  <c r="BQ274" i="15"/>
  <c r="BH159" i="47"/>
  <c r="BH153" i="47" s="1"/>
  <c r="BH154" i="47" s="1"/>
  <c r="BI159" i="47" s="1"/>
  <c r="AW147" i="15"/>
  <c r="AW151" i="15" s="1"/>
  <c r="AW301" i="15"/>
  <c r="AW128" i="15" s="1"/>
  <c r="BD315" i="15"/>
  <c r="AY299" i="15"/>
  <c r="AY255" i="15" s="1"/>
  <c r="AR184" i="15"/>
  <c r="AR121" i="15"/>
  <c r="AR123" i="15" s="1"/>
  <c r="AR132" i="15"/>
  <c r="CL84" i="64" s="1"/>
  <c r="AY332" i="15"/>
  <c r="AY335" i="15" s="1"/>
  <c r="AY331" i="15"/>
  <c r="AX141" i="15"/>
  <c r="AX300" i="15"/>
  <c r="AX301" i="15" s="1"/>
  <c r="AX260" i="15"/>
  <c r="AX261" i="15" s="1"/>
  <c r="AX148" i="15"/>
  <c r="AZ294" i="15"/>
  <c r="AZ291" i="15"/>
  <c r="BA288" i="15"/>
  <c r="AZ165" i="15"/>
  <c r="AZ259" i="15"/>
  <c r="AZ155" i="15"/>
  <c r="AX196" i="15"/>
  <c r="AX147" i="15"/>
  <c r="AX235" i="15"/>
  <c r="AX126" i="15" s="1"/>
  <c r="AY139" i="15"/>
  <c r="AY233" i="15"/>
  <c r="AY234" i="15"/>
  <c r="BF311" i="15"/>
  <c r="BG311" i="15" s="1"/>
  <c r="BG308" i="15"/>
  <c r="BH308" i="15" s="1"/>
  <c r="AV430" i="15"/>
  <c r="AV431" i="15" s="1"/>
  <c r="AU80" i="46"/>
  <c r="AX377" i="15"/>
  <c r="AX164" i="15"/>
  <c r="AX166" i="15" s="1"/>
  <c r="AW126" i="15"/>
  <c r="AT181" i="15"/>
  <c r="AT177" i="15" s="1"/>
  <c r="AT183" i="15" s="1"/>
  <c r="AP20" i="46"/>
  <c r="AP10" i="46"/>
  <c r="AQ54" i="15"/>
  <c r="AZ346" i="15"/>
  <c r="BA343" i="15"/>
  <c r="AZ157" i="15"/>
  <c r="AY149" i="15"/>
  <c r="AY334" i="15"/>
  <c r="AZ329" i="15"/>
  <c r="AZ326" i="15"/>
  <c r="BA323" i="15"/>
  <c r="AZ156" i="15"/>
  <c r="AY297" i="15"/>
  <c r="AY296" i="15"/>
  <c r="AY158" i="15"/>
  <c r="AY394" i="15"/>
  <c r="AZ365" i="15"/>
  <c r="AZ231" i="15"/>
  <c r="BA228" i="15"/>
  <c r="AZ179" i="15"/>
  <c r="AY367" i="15"/>
  <c r="AY162" i="15"/>
  <c r="BE314" i="15"/>
  <c r="BE313" i="15"/>
  <c r="AY375" i="15"/>
  <c r="AY245" i="15"/>
  <c r="AY195" i="15" s="1"/>
  <c r="AZ242" i="15"/>
  <c r="AX142" i="15"/>
  <c r="AX247" i="15"/>
  <c r="AX190" i="15" s="1"/>
  <c r="AX248" i="15"/>
  <c r="AX335" i="15"/>
  <c r="AX336" i="15" s="1"/>
  <c r="AX118" i="15" s="1"/>
  <c r="AX255" i="15"/>
  <c r="AX394" i="15"/>
  <c r="AP30" i="15"/>
  <c r="AP436" i="15" s="1"/>
  <c r="AY348" i="15"/>
  <c r="AY350" i="15" s="1"/>
  <c r="AY150" i="15"/>
  <c r="AY143" i="15"/>
  <c r="AY353" i="15"/>
  <c r="AY102" i="46" s="1"/>
  <c r="AN75" i="46"/>
  <c r="AN76" i="46" s="1"/>
  <c r="AN60" i="47"/>
  <c r="AN61" i="47" s="1"/>
  <c r="AU61" i="51" l="1"/>
  <c r="AT80" i="46"/>
  <c r="AT81" i="46" s="1"/>
  <c r="AT61" i="51"/>
  <c r="AS80" i="46"/>
  <c r="AS81" i="46" s="1"/>
  <c r="BP280" i="15"/>
  <c r="BQ280" i="15" s="1"/>
  <c r="BQ277" i="15"/>
  <c r="BQ140" i="15" s="1"/>
  <c r="CQ60" i="64"/>
  <c r="CQ110" i="64"/>
  <c r="CL104" i="64"/>
  <c r="CL106" i="64" s="1"/>
  <c r="CL107" i="64" s="1"/>
  <c r="CL52" i="64"/>
  <c r="BH23" i="47"/>
  <c r="BH207" i="47" s="1"/>
  <c r="BH272" i="47"/>
  <c r="BO248" i="46"/>
  <c r="BO118" i="46"/>
  <c r="BO143" i="46"/>
  <c r="BQ37" i="65"/>
  <c r="BQ41" i="51"/>
  <c r="BQ53" i="47"/>
  <c r="BQ41" i="15"/>
  <c r="BP38" i="65"/>
  <c r="BP48" i="65" s="1"/>
  <c r="BP42" i="15"/>
  <c r="BP42" i="51"/>
  <c r="BP54" i="47"/>
  <c r="BP62" i="46"/>
  <c r="BQ62" i="46" s="1"/>
  <c r="BP141" i="46"/>
  <c r="BQ141" i="46" s="1"/>
  <c r="BQ47" i="46"/>
  <c r="BQ55" i="64" s="1"/>
  <c r="DK96" i="64" s="1"/>
  <c r="BQ372" i="15"/>
  <c r="BQ279" i="15"/>
  <c r="AX144" i="15"/>
  <c r="AY336" i="15"/>
  <c r="AY118" i="15" s="1"/>
  <c r="AX128" i="15"/>
  <c r="AP33" i="15"/>
  <c r="AP37" i="15" s="1"/>
  <c r="AX382" i="15"/>
  <c r="AX15" i="15"/>
  <c r="AZ375" i="15"/>
  <c r="AZ245" i="15"/>
  <c r="AZ195" i="15" s="1"/>
  <c r="AY377" i="15"/>
  <c r="AY120" i="15" s="1"/>
  <c r="AY131" i="15" s="1"/>
  <c r="AY164" i="15"/>
  <c r="AY166" i="15" s="1"/>
  <c r="BA365" i="15"/>
  <c r="BA231" i="15"/>
  <c r="BB231" i="15" s="1"/>
  <c r="CV102" i="64" s="1"/>
  <c r="BB228" i="15"/>
  <c r="BA179" i="15"/>
  <c r="BB179" i="15" s="1"/>
  <c r="AZ367" i="15"/>
  <c r="AZ162" i="15"/>
  <c r="AY56" i="15"/>
  <c r="AY14" i="46"/>
  <c r="AY141" i="15"/>
  <c r="AY300" i="15"/>
  <c r="AY260" i="15"/>
  <c r="AY261" i="15" s="1"/>
  <c r="AY148" i="15"/>
  <c r="BB323" i="15"/>
  <c r="BA329" i="15"/>
  <c r="BB329" i="15" s="1"/>
  <c r="BA326" i="15"/>
  <c r="BA156" i="15"/>
  <c r="AZ332" i="15"/>
  <c r="AZ331" i="15"/>
  <c r="BB343" i="15"/>
  <c r="BA346" i="15"/>
  <c r="BA157" i="15"/>
  <c r="AQ499" i="15"/>
  <c r="AR499" i="15" s="1"/>
  <c r="AR54" i="15"/>
  <c r="AV132" i="15"/>
  <c r="AV133" i="15" s="1"/>
  <c r="AV121" i="15"/>
  <c r="AV123" i="15" s="1"/>
  <c r="BH311" i="15"/>
  <c r="BI308" i="15"/>
  <c r="AX119" i="15"/>
  <c r="AX130" i="15"/>
  <c r="AY196" i="15"/>
  <c r="AY147" i="15"/>
  <c r="AY235" i="15"/>
  <c r="AY126" i="15" s="1"/>
  <c r="BB288" i="15"/>
  <c r="BA294" i="15"/>
  <c r="BA291" i="15"/>
  <c r="BA165" i="15"/>
  <c r="BA155" i="15"/>
  <c r="BA259" i="15"/>
  <c r="AZ297" i="15"/>
  <c r="AZ296" i="15"/>
  <c r="AY130" i="15"/>
  <c r="AY119" i="15"/>
  <c r="AP21" i="65"/>
  <c r="AX408" i="15"/>
  <c r="AX249" i="15"/>
  <c r="AX129" i="15" s="1"/>
  <c r="AY142" i="15"/>
  <c r="AY247" i="15"/>
  <c r="AY248" i="15"/>
  <c r="AY191" i="15" s="1"/>
  <c r="BE315" i="15"/>
  <c r="AZ194" i="15"/>
  <c r="AZ154" i="15" s="1"/>
  <c r="AZ384" i="15" s="1"/>
  <c r="AZ139" i="15"/>
  <c r="AZ234" i="15"/>
  <c r="AZ233" i="15"/>
  <c r="AY408" i="15"/>
  <c r="AY16" i="15" s="1"/>
  <c r="AY15" i="46" s="1"/>
  <c r="AY382" i="15"/>
  <c r="AY13" i="15" s="1"/>
  <c r="AY12" i="46" s="1"/>
  <c r="AX191" i="15"/>
  <c r="AZ149" i="15"/>
  <c r="AZ334" i="15"/>
  <c r="AZ348" i="15"/>
  <c r="AZ350" i="15" s="1"/>
  <c r="AZ150" i="15"/>
  <c r="AZ143" i="15"/>
  <c r="AZ353" i="15"/>
  <c r="AZ102" i="46" s="1"/>
  <c r="AX120" i="15"/>
  <c r="AX131" i="15" s="1"/>
  <c r="BF314" i="15"/>
  <c r="BG314" i="15" s="1"/>
  <c r="BF313" i="15"/>
  <c r="AX151" i="15"/>
  <c r="AZ299" i="15"/>
  <c r="AX256" i="15"/>
  <c r="AX257" i="15" s="1"/>
  <c r="AX117" i="15" s="1"/>
  <c r="AR133" i="15"/>
  <c r="BI272" i="47"/>
  <c r="BI23" i="47"/>
  <c r="BI153" i="47"/>
  <c r="AW61" i="51" l="1"/>
  <c r="BQ281" i="15"/>
  <c r="BQ127" i="15" s="1"/>
  <c r="BP281" i="15"/>
  <c r="BP127" i="15" s="1"/>
  <c r="CL110" i="64"/>
  <c r="CQ111" i="64"/>
  <c r="AP454" i="15"/>
  <c r="AR454" i="15" s="1"/>
  <c r="AP51" i="15"/>
  <c r="AP57" i="15" s="1"/>
  <c r="AP59" i="15" s="1"/>
  <c r="BP118" i="46"/>
  <c r="BP248" i="46"/>
  <c r="BP143" i="46"/>
  <c r="BQ38" i="65"/>
  <c r="BQ42" i="15"/>
  <c r="BQ42" i="51"/>
  <c r="BQ54" i="47"/>
  <c r="EB47" i="65"/>
  <c r="BQ248" i="46"/>
  <c r="BQ118" i="46"/>
  <c r="BQ143" i="46"/>
  <c r="AY144" i="15"/>
  <c r="AY151" i="15"/>
  <c r="AY249" i="15"/>
  <c r="AY129" i="15" s="1"/>
  <c r="BB139" i="15"/>
  <c r="AZ235" i="15"/>
  <c r="AZ126" i="15" s="1"/>
  <c r="BB230" i="15"/>
  <c r="BA297" i="15"/>
  <c r="BA296" i="15"/>
  <c r="BB296" i="15" s="1"/>
  <c r="AY190" i="15"/>
  <c r="AY192" i="15" s="1"/>
  <c r="AY116" i="15" s="1"/>
  <c r="BJ308" i="15"/>
  <c r="BI311" i="15"/>
  <c r="BA348" i="15"/>
  <c r="BA150" i="15"/>
  <c r="BB150" i="15" s="1"/>
  <c r="BA143" i="15"/>
  <c r="BA353" i="15"/>
  <c r="BA102" i="46" s="1"/>
  <c r="AZ335" i="15"/>
  <c r="AZ336" i="15" s="1"/>
  <c r="AZ118" i="15" s="1"/>
  <c r="BA149" i="15"/>
  <c r="BB149" i="15" s="1"/>
  <c r="BA334" i="15"/>
  <c r="BC323" i="15"/>
  <c r="BB156" i="15"/>
  <c r="BA139" i="15"/>
  <c r="BA234" i="15"/>
  <c r="BB234" i="15" s="1"/>
  <c r="BA233" i="15"/>
  <c r="BA375" i="15"/>
  <c r="BA245" i="15"/>
  <c r="BB245" i="15" s="1"/>
  <c r="BB181" i="15" s="1"/>
  <c r="AZ377" i="15"/>
  <c r="AZ164" i="15"/>
  <c r="AZ166" i="15" s="1"/>
  <c r="AP39" i="15"/>
  <c r="AP497" i="15" s="1"/>
  <c r="AP44" i="15"/>
  <c r="AZ255" i="15"/>
  <c r="BF315" i="15"/>
  <c r="BG313" i="15"/>
  <c r="BG315" i="15" s="1"/>
  <c r="AS181" i="15"/>
  <c r="AS177" i="15" s="1"/>
  <c r="AS183" i="15" s="1"/>
  <c r="BB346" i="15"/>
  <c r="AZ119" i="15"/>
  <c r="AZ130" i="15"/>
  <c r="BB326" i="15"/>
  <c r="BB325" i="15" s="1"/>
  <c r="AX10" i="15"/>
  <c r="AZ196" i="15"/>
  <c r="AZ147" i="15"/>
  <c r="AZ158" i="15"/>
  <c r="AX16" i="15"/>
  <c r="AR498" i="15"/>
  <c r="BB294" i="15"/>
  <c r="AZ141" i="15"/>
  <c r="AZ300" i="15"/>
  <c r="AZ148" i="15"/>
  <c r="AZ260" i="15"/>
  <c r="AZ261" i="15" s="1"/>
  <c r="BA299" i="15"/>
  <c r="BB291" i="15"/>
  <c r="BC288" i="15"/>
  <c r="BB165" i="15"/>
  <c r="BB259" i="15"/>
  <c r="BB155" i="15"/>
  <c r="AX192" i="15"/>
  <c r="AX116" i="15" s="1"/>
  <c r="BH314" i="15"/>
  <c r="BH313" i="15"/>
  <c r="AR21" i="65"/>
  <c r="AQ21" i="65"/>
  <c r="BC343" i="15"/>
  <c r="BB157" i="15"/>
  <c r="BA332" i="15"/>
  <c r="BA335" i="15" s="1"/>
  <c r="BA331" i="15"/>
  <c r="BB331" i="15" s="1"/>
  <c r="AY256" i="15"/>
  <c r="AY257" i="15" s="1"/>
  <c r="AY117" i="15" s="1"/>
  <c r="AY301" i="15"/>
  <c r="AY128" i="15" s="1"/>
  <c r="BA194" i="15"/>
  <c r="BA154" i="15" s="1"/>
  <c r="BA384" i="15" s="1"/>
  <c r="BB384" i="15" s="1"/>
  <c r="BB365" i="15"/>
  <c r="BB162" i="15" s="1"/>
  <c r="BC228" i="15"/>
  <c r="BA367" i="15"/>
  <c r="BA162" i="15"/>
  <c r="AZ142" i="15"/>
  <c r="AZ247" i="15"/>
  <c r="AZ248" i="15"/>
  <c r="AZ191" i="15" s="1"/>
  <c r="AX56" i="15"/>
  <c r="AX14" i="46"/>
  <c r="AX13" i="15"/>
  <c r="BI207" i="47"/>
  <c r="BI154" i="47"/>
  <c r="BJ159" i="47" s="1"/>
  <c r="BB353" i="15" l="1"/>
  <c r="BB102" i="46" s="1"/>
  <c r="BL469" i="15"/>
  <c r="BB469" i="15"/>
  <c r="AT132" i="15"/>
  <c r="AT133" i="15" s="1"/>
  <c r="AT121" i="15"/>
  <c r="AT123" i="15" s="1"/>
  <c r="AS121" i="15"/>
  <c r="AS123" i="15" s="1"/>
  <c r="AS132" i="15"/>
  <c r="AS133" i="15" s="1"/>
  <c r="AP507" i="15"/>
  <c r="AP510" i="15"/>
  <c r="CG110" i="64"/>
  <c r="CL111" i="64"/>
  <c r="CL113" i="64" s="1"/>
  <c r="CL117" i="64" s="1"/>
  <c r="AP457" i="15"/>
  <c r="AR457" i="15" s="1"/>
  <c r="AR458" i="15" s="1"/>
  <c r="AR220" i="46" s="1"/>
  <c r="AR234" i="46" s="1"/>
  <c r="AP56" i="51"/>
  <c r="AR56" i="51" s="1"/>
  <c r="AR58" i="51" s="1"/>
  <c r="AZ249" i="15"/>
  <c r="AZ129" i="15" s="1"/>
  <c r="AZ144" i="15"/>
  <c r="BB332" i="15"/>
  <c r="AY10" i="15"/>
  <c r="BA181" i="15"/>
  <c r="BB142" i="15"/>
  <c r="BB244" i="15"/>
  <c r="BC365" i="15"/>
  <c r="BC231" i="15"/>
  <c r="BD228" i="15"/>
  <c r="BC179" i="15"/>
  <c r="BA158" i="15"/>
  <c r="BA394" i="15"/>
  <c r="BA15" i="15" s="1"/>
  <c r="BD343" i="15"/>
  <c r="BC157" i="15"/>
  <c r="BB367" i="15"/>
  <c r="AZ256" i="15"/>
  <c r="AZ10" i="15" s="1"/>
  <c r="AZ151" i="15"/>
  <c r="BB345" i="15"/>
  <c r="BC345" i="15" s="1"/>
  <c r="BD345" i="15" s="1"/>
  <c r="BE345" i="15" s="1"/>
  <c r="BF345" i="15" s="1"/>
  <c r="BB143" i="15"/>
  <c r="AW183" i="15"/>
  <c r="AW24" i="64" s="1"/>
  <c r="AP45" i="15"/>
  <c r="AP74" i="46" s="1"/>
  <c r="AP76" i="46" s="1"/>
  <c r="BB375" i="15"/>
  <c r="BB164" i="15" s="1"/>
  <c r="BB166" i="15" s="1"/>
  <c r="BA377" i="15"/>
  <c r="BA120" i="15" s="1"/>
  <c r="BA131" i="15" s="1"/>
  <c r="BA164" i="15"/>
  <c r="BA166" i="15" s="1"/>
  <c r="BA235" i="15"/>
  <c r="BA126" i="15" s="1"/>
  <c r="BB233" i="15"/>
  <c r="BA336" i="15"/>
  <c r="BA118" i="15" s="1"/>
  <c r="BB334" i="15"/>
  <c r="BJ311" i="15"/>
  <c r="BK308" i="15"/>
  <c r="AU10" i="46"/>
  <c r="AX12" i="46"/>
  <c r="BB194" i="15"/>
  <c r="BB154" i="15" s="1"/>
  <c r="BH315" i="15"/>
  <c r="BD288" i="15"/>
  <c r="BC294" i="15"/>
  <c r="BC291" i="15"/>
  <c r="BC165" i="15"/>
  <c r="BC259" i="15"/>
  <c r="BC155" i="15"/>
  <c r="BA255" i="15"/>
  <c r="AX15" i="46"/>
  <c r="BB299" i="15"/>
  <c r="AZ301" i="15"/>
  <c r="AZ128" i="15" s="1"/>
  <c r="BA142" i="15"/>
  <c r="BA247" i="15"/>
  <c r="BA248" i="15"/>
  <c r="BB248" i="15" s="1"/>
  <c r="BB191" i="15" s="1"/>
  <c r="BA195" i="15"/>
  <c r="AZ120" i="15"/>
  <c r="AZ131" i="15" s="1"/>
  <c r="BD323" i="15"/>
  <c r="BC329" i="15"/>
  <c r="BC326" i="15"/>
  <c r="BC156" i="15"/>
  <c r="BB335" i="15"/>
  <c r="BA350" i="15"/>
  <c r="BB348" i="15"/>
  <c r="BB350" i="15" s="1"/>
  <c r="BI314" i="15"/>
  <c r="BI313" i="15"/>
  <c r="BA141" i="15"/>
  <c r="BA300" i="15"/>
  <c r="BA256" i="15" s="1"/>
  <c r="BA148" i="15"/>
  <c r="BB148" i="15" s="1"/>
  <c r="BA260" i="15"/>
  <c r="BA261" i="15" s="1"/>
  <c r="BB297" i="15"/>
  <c r="AZ190" i="15"/>
  <c r="AZ192" i="15" s="1"/>
  <c r="AZ116" i="15" s="1"/>
  <c r="BB195" i="15"/>
  <c r="BJ272" i="47"/>
  <c r="BJ23" i="47"/>
  <c r="BJ153" i="47"/>
  <c r="BB196" i="15" l="1"/>
  <c r="BB377" i="15"/>
  <c r="BB120" i="15" s="1"/>
  <c r="BB131" i="15" s="1"/>
  <c r="BB158" i="15"/>
  <c r="AX426" i="15"/>
  <c r="AY426" i="15" s="1"/>
  <c r="AZ426" i="15" s="1"/>
  <c r="BA426" i="15" s="1"/>
  <c r="CB110" i="64"/>
  <c r="CG111" i="64"/>
  <c r="CG113" i="64" s="1"/>
  <c r="CG117" i="64" s="1"/>
  <c r="AZ257" i="15"/>
  <c r="AZ117" i="15" s="1"/>
  <c r="AP46" i="15"/>
  <c r="BA144" i="15"/>
  <c r="BA249" i="15"/>
  <c r="BA129" i="15" s="1"/>
  <c r="BB396" i="15"/>
  <c r="BI315" i="15"/>
  <c r="BA191" i="15"/>
  <c r="BA10" i="15" s="1"/>
  <c r="BA257" i="15"/>
  <c r="BA117" i="15" s="1"/>
  <c r="BB300" i="15"/>
  <c r="BB256" i="15" s="1"/>
  <c r="BB141" i="15"/>
  <c r="BB144" i="15" s="1"/>
  <c r="BB260" i="15"/>
  <c r="BB261" i="15" s="1"/>
  <c r="BB119" i="15"/>
  <c r="BB130" i="15"/>
  <c r="BC332" i="15"/>
  <c r="BC331" i="15"/>
  <c r="BA196" i="15"/>
  <c r="BA147" i="15"/>
  <c r="DH38" i="65"/>
  <c r="AT10" i="46"/>
  <c r="BC297" i="15"/>
  <c r="BC296" i="15"/>
  <c r="BL308" i="15"/>
  <c r="BM308" i="15" s="1"/>
  <c r="BK311" i="15"/>
  <c r="BL311" i="15" s="1"/>
  <c r="BB235" i="15"/>
  <c r="CV101" i="64" s="1"/>
  <c r="BD346" i="15"/>
  <c r="BE343" i="15"/>
  <c r="BD157" i="15"/>
  <c r="BD365" i="15"/>
  <c r="BD231" i="15"/>
  <c r="BE228" i="15"/>
  <c r="BD179" i="15"/>
  <c r="BC139" i="15"/>
  <c r="BC233" i="15"/>
  <c r="BC234" i="15"/>
  <c r="BA130" i="15"/>
  <c r="BA119" i="15"/>
  <c r="BC149" i="15"/>
  <c r="BC334" i="15"/>
  <c r="BD329" i="15"/>
  <c r="BD326" i="15"/>
  <c r="BE323" i="15"/>
  <c r="BD156" i="15"/>
  <c r="BB255" i="15"/>
  <c r="AZ382" i="15"/>
  <c r="BA301" i="15"/>
  <c r="BA128" i="15" s="1"/>
  <c r="BC299" i="15"/>
  <c r="BD294" i="15"/>
  <c r="BD291" i="15"/>
  <c r="BE288" i="15"/>
  <c r="BD165" i="15"/>
  <c r="BD259" i="15"/>
  <c r="BD155" i="15"/>
  <c r="BB247" i="15"/>
  <c r="BB249" i="15" s="1"/>
  <c r="BB129" i="15" s="1"/>
  <c r="BJ314" i="15"/>
  <c r="BJ313" i="15"/>
  <c r="BB336" i="15"/>
  <c r="BB118" i="15" s="1"/>
  <c r="BA190" i="15"/>
  <c r="BC375" i="15"/>
  <c r="BC245" i="15"/>
  <c r="BC195" i="15" s="1"/>
  <c r="BD194" i="15"/>
  <c r="BD154" i="15" s="1"/>
  <c r="BD384" i="15" s="1"/>
  <c r="AW184" i="15"/>
  <c r="AW132" i="15"/>
  <c r="CQ84" i="64" s="1"/>
  <c r="AW121" i="15"/>
  <c r="AW123" i="15" s="1"/>
  <c r="AZ15" i="15"/>
  <c r="BB394" i="15"/>
  <c r="BC346" i="15"/>
  <c r="BA56" i="15"/>
  <c r="BA408" i="15"/>
  <c r="BA16" i="15" s="1"/>
  <c r="BA382" i="15"/>
  <c r="BA13" i="15" s="1"/>
  <c r="BC194" i="15"/>
  <c r="BC154" i="15" s="1"/>
  <c r="BC384" i="15" s="1"/>
  <c r="BC367" i="15"/>
  <c r="BC162" i="15"/>
  <c r="BB177" i="15"/>
  <c r="BJ154" i="47"/>
  <c r="BK159" i="47" s="1"/>
  <c r="BJ207" i="47"/>
  <c r="BA192" i="15" l="1"/>
  <c r="BA116" i="15" s="1"/>
  <c r="BW110" i="64"/>
  <c r="BW111" i="64" s="1"/>
  <c r="BW113" i="64" s="1"/>
  <c r="BW117" i="64" s="1"/>
  <c r="CB111" i="64"/>
  <c r="CB113" i="64" s="1"/>
  <c r="CB117" i="64" s="1"/>
  <c r="CV103" i="64"/>
  <c r="BN308" i="15"/>
  <c r="BM311" i="15"/>
  <c r="BB257" i="15"/>
  <c r="BB117" i="15" s="1"/>
  <c r="BB301" i="15"/>
  <c r="BB128" i="15" s="1"/>
  <c r="BJ315" i="15"/>
  <c r="BD299" i="15"/>
  <c r="BD255" i="15" s="1"/>
  <c r="BC158" i="15"/>
  <c r="AZ56" i="15"/>
  <c r="AZ14" i="46"/>
  <c r="BB15" i="15"/>
  <c r="BB56" i="15" s="1"/>
  <c r="BC377" i="15"/>
  <c r="BC164" i="15"/>
  <c r="BC166" i="15" s="1"/>
  <c r="BC255" i="15"/>
  <c r="AZ13" i="15"/>
  <c r="BB382" i="15"/>
  <c r="BD149" i="15"/>
  <c r="BD334" i="15"/>
  <c r="BC196" i="15"/>
  <c r="BC147" i="15"/>
  <c r="BC235" i="15"/>
  <c r="BC126" i="15" s="1"/>
  <c r="BD158" i="15"/>
  <c r="BD394" i="15"/>
  <c r="BD15" i="15" s="1"/>
  <c r="BD139" i="15"/>
  <c r="BD233" i="15"/>
  <c r="BD234" i="15"/>
  <c r="BF343" i="15"/>
  <c r="BE346" i="15"/>
  <c r="BE157" i="15"/>
  <c r="BB190" i="15"/>
  <c r="BB192" i="15" s="1"/>
  <c r="BB116" i="15" s="1"/>
  <c r="AZ181" i="15"/>
  <c r="BA177" i="15"/>
  <c r="BA183" i="15" s="1"/>
  <c r="BC348" i="15"/>
  <c r="BC150" i="15"/>
  <c r="BC143" i="15"/>
  <c r="BC353" i="15"/>
  <c r="AW133" i="15"/>
  <c r="BD375" i="15"/>
  <c r="BD245" i="15"/>
  <c r="BD195" i="15" s="1"/>
  <c r="BC142" i="15"/>
  <c r="BC247" i="15"/>
  <c r="BC190" i="15" s="1"/>
  <c r="BC248" i="15"/>
  <c r="AZ429" i="15"/>
  <c r="AX429" i="15"/>
  <c r="BA429" i="15"/>
  <c r="AY429" i="15"/>
  <c r="BF288" i="15"/>
  <c r="BE294" i="15"/>
  <c r="BE291" i="15"/>
  <c r="BE165" i="15"/>
  <c r="BE155" i="15"/>
  <c r="BE259" i="15"/>
  <c r="BD297" i="15"/>
  <c r="BD296" i="15"/>
  <c r="BF323" i="15"/>
  <c r="BE329" i="15"/>
  <c r="BE326" i="15"/>
  <c r="BE156" i="15"/>
  <c r="BD332" i="15"/>
  <c r="BD335" i="15" s="1"/>
  <c r="BD331" i="15"/>
  <c r="BE365" i="15"/>
  <c r="BE231" i="15"/>
  <c r="BF228" i="15"/>
  <c r="BE179" i="15"/>
  <c r="BD367" i="15"/>
  <c r="BD162" i="15"/>
  <c r="BD348" i="15"/>
  <c r="BD350" i="15" s="1"/>
  <c r="BD150" i="15"/>
  <c r="BD143" i="15"/>
  <c r="BD353" i="15"/>
  <c r="BD102" i="46" s="1"/>
  <c r="BB126" i="15"/>
  <c r="BK314" i="15"/>
  <c r="BL314" i="15" s="1"/>
  <c r="BK313" i="15"/>
  <c r="BL313" i="15" s="1"/>
  <c r="BC141" i="15"/>
  <c r="BC300" i="15"/>
  <c r="BC301" i="15" s="1"/>
  <c r="BC260" i="15"/>
  <c r="BC261" i="15" s="1"/>
  <c r="BC148" i="15"/>
  <c r="BA151" i="15"/>
  <c r="BB147" i="15"/>
  <c r="BB151" i="15" s="1"/>
  <c r="BC335" i="15"/>
  <c r="BC336" i="15" s="1"/>
  <c r="BC118" i="15" s="1"/>
  <c r="BB10" i="15"/>
  <c r="BK272" i="47"/>
  <c r="BK23" i="47"/>
  <c r="BL159" i="47"/>
  <c r="BK153" i="47"/>
  <c r="AX391" i="15" l="1"/>
  <c r="BC144" i="15"/>
  <c r="BM313" i="15"/>
  <c r="BM314" i="15"/>
  <c r="BO308" i="15"/>
  <c r="BN311" i="15"/>
  <c r="BD130" i="15"/>
  <c r="BD119" i="15"/>
  <c r="BE139" i="15"/>
  <c r="BE233" i="15"/>
  <c r="BE234" i="15"/>
  <c r="BE149" i="15"/>
  <c r="BE334" i="15"/>
  <c r="BF329" i="15"/>
  <c r="BF326" i="15"/>
  <c r="BG326" i="15" s="1"/>
  <c r="BG325" i="15" s="1"/>
  <c r="BG323" i="15"/>
  <c r="BF156" i="15"/>
  <c r="BE297" i="15"/>
  <c r="BE296" i="15"/>
  <c r="BL315" i="15"/>
  <c r="BE375" i="15"/>
  <c r="BE245" i="15"/>
  <c r="BF194" i="15"/>
  <c r="BF154" i="15" s="1"/>
  <c r="BF384" i="15" s="1"/>
  <c r="BD377" i="15"/>
  <c r="BD120" i="15" s="1"/>
  <c r="BD131" i="15" s="1"/>
  <c r="BD164" i="15"/>
  <c r="BD166" i="15" s="1"/>
  <c r="AZ177" i="15"/>
  <c r="AZ183" i="15" s="1"/>
  <c r="AY181" i="15"/>
  <c r="BE348" i="15"/>
  <c r="BE350" i="15" s="1"/>
  <c r="BE150" i="15"/>
  <c r="BE143" i="15"/>
  <c r="BE353" i="15"/>
  <c r="BE102" i="46" s="1"/>
  <c r="BD196" i="15"/>
  <c r="BD147" i="15"/>
  <c r="BD235" i="15"/>
  <c r="BD126" i="15" s="1"/>
  <c r="BD408" i="15"/>
  <c r="BD16" i="15" s="1"/>
  <c r="BD15" i="46" s="1"/>
  <c r="BD382" i="15"/>
  <c r="BD13" i="15" s="1"/>
  <c r="BD12" i="46" s="1"/>
  <c r="BC151" i="15"/>
  <c r="BC128" i="15"/>
  <c r="BC256" i="15"/>
  <c r="BC257" i="15" s="1"/>
  <c r="BC117" i="15" s="1"/>
  <c r="BK315" i="15"/>
  <c r="BE194" i="15"/>
  <c r="BE154" i="15" s="1"/>
  <c r="BE384" i="15" s="1"/>
  <c r="BF365" i="15"/>
  <c r="BF231" i="15"/>
  <c r="BG228" i="15"/>
  <c r="BF179" i="15"/>
  <c r="BG179" i="15" s="1"/>
  <c r="BE367" i="15"/>
  <c r="BE162" i="15"/>
  <c r="BC191" i="15"/>
  <c r="BE332" i="15"/>
  <c r="BE331" i="15"/>
  <c r="BD141" i="15"/>
  <c r="BD300" i="15"/>
  <c r="BD260" i="15"/>
  <c r="BD261" i="15" s="1"/>
  <c r="BD148" i="15"/>
  <c r="BE299" i="15"/>
  <c r="BF294" i="15"/>
  <c r="BF291" i="15"/>
  <c r="BG288" i="15"/>
  <c r="BF165" i="15"/>
  <c r="BF259" i="15"/>
  <c r="BF155" i="15"/>
  <c r="BC249" i="15"/>
  <c r="BC129" i="15" s="1"/>
  <c r="BD142" i="15"/>
  <c r="BD247" i="15"/>
  <c r="BD190" i="15" s="1"/>
  <c r="BD248" i="15"/>
  <c r="BD191" i="15" s="1"/>
  <c r="BC102" i="46"/>
  <c r="BC350" i="15"/>
  <c r="BA132" i="15"/>
  <c r="BA133" i="15" s="1"/>
  <c r="BA121" i="15"/>
  <c r="BA123" i="15" s="1"/>
  <c r="BA9" i="15" s="1"/>
  <c r="BF346" i="15"/>
  <c r="BG343" i="15"/>
  <c r="BF157" i="15"/>
  <c r="BD56" i="15"/>
  <c r="BD14" i="46"/>
  <c r="BD336" i="15"/>
  <c r="BD118" i="15" s="1"/>
  <c r="AZ12" i="46"/>
  <c r="BB13" i="15"/>
  <c r="BC394" i="15"/>
  <c r="BC120" i="15"/>
  <c r="BC131" i="15" s="1"/>
  <c r="BL153" i="47"/>
  <c r="BK154" i="47"/>
  <c r="BL161" i="47" s="1"/>
  <c r="BL272" i="47"/>
  <c r="BK207" i="47"/>
  <c r="BL207" i="47" s="1"/>
  <c r="BL23" i="47"/>
  <c r="BT23" i="47" s="1"/>
  <c r="AY391" i="15" l="1"/>
  <c r="AX392" i="15"/>
  <c r="AX388" i="15"/>
  <c r="AX14" i="15" s="1"/>
  <c r="BG384" i="15"/>
  <c r="BP308" i="15"/>
  <c r="BO311" i="15"/>
  <c r="BM315" i="15"/>
  <c r="BN314" i="15"/>
  <c r="BN313" i="15"/>
  <c r="BL154" i="47"/>
  <c r="BM159" i="47" s="1"/>
  <c r="BM153" i="47" s="1"/>
  <c r="BC192" i="15"/>
  <c r="BC116" i="15" s="1"/>
  <c r="BD249" i="15"/>
  <c r="BD129" i="15" s="1"/>
  <c r="BD144" i="15"/>
  <c r="BH343" i="15"/>
  <c r="BG157" i="15"/>
  <c r="BA11" i="15"/>
  <c r="BF299" i="15"/>
  <c r="BG299" i="15" s="1"/>
  <c r="BG291" i="15"/>
  <c r="BE255" i="15"/>
  <c r="BE335" i="15"/>
  <c r="BE336" i="15" s="1"/>
  <c r="BE118" i="15" s="1"/>
  <c r="BF139" i="15"/>
  <c r="BF233" i="15"/>
  <c r="BF234" i="15"/>
  <c r="BG234" i="15" s="1"/>
  <c r="BE158" i="15"/>
  <c r="BC382" i="15"/>
  <c r="BE130" i="15"/>
  <c r="BE119" i="15"/>
  <c r="AX181" i="15"/>
  <c r="AX177" i="15" s="1"/>
  <c r="AX183" i="15" s="1"/>
  <c r="AY177" i="15"/>
  <c r="AY183" i="15" s="1"/>
  <c r="BE142" i="15"/>
  <c r="BE247" i="15"/>
  <c r="BE248" i="15"/>
  <c r="BE191" i="15" s="1"/>
  <c r="BE141" i="15"/>
  <c r="BE300" i="15"/>
  <c r="BE256" i="15" s="1"/>
  <c r="BE260" i="15"/>
  <c r="BE261" i="15" s="1"/>
  <c r="BE148" i="15"/>
  <c r="BH323" i="15"/>
  <c r="BG156" i="15"/>
  <c r="BF332" i="15"/>
  <c r="BF335" i="15" s="1"/>
  <c r="BF331" i="15"/>
  <c r="BG331" i="15" s="1"/>
  <c r="BG329" i="15"/>
  <c r="BE195" i="15"/>
  <c r="BE235" i="15"/>
  <c r="BE126" i="15" s="1"/>
  <c r="BC15" i="15"/>
  <c r="BF348" i="15"/>
  <c r="BF150" i="15"/>
  <c r="BG150" i="15" s="1"/>
  <c r="BF143" i="15"/>
  <c r="BF353" i="15"/>
  <c r="BG346" i="15"/>
  <c r="BC130" i="15"/>
  <c r="BC119" i="15"/>
  <c r="BH288" i="15"/>
  <c r="BG165" i="15"/>
  <c r="BG259" i="15"/>
  <c r="BG155" i="15"/>
  <c r="BF297" i="15"/>
  <c r="BF296" i="15"/>
  <c r="BG296" i="15" s="1"/>
  <c r="BG294" i="15"/>
  <c r="BD256" i="15"/>
  <c r="BD257" i="15" s="1"/>
  <c r="BD117" i="15" s="1"/>
  <c r="BD301" i="15"/>
  <c r="BD128" i="15" s="1"/>
  <c r="BC10" i="15"/>
  <c r="BF158" i="15"/>
  <c r="BF394" i="15"/>
  <c r="BF15" i="15" s="1"/>
  <c r="BG365" i="15"/>
  <c r="BG162" i="15" s="1"/>
  <c r="BH228" i="15"/>
  <c r="BJ228" i="15" s="1"/>
  <c r="BI228" i="15" s="1"/>
  <c r="BF367" i="15"/>
  <c r="BF162" i="15"/>
  <c r="BC408" i="15"/>
  <c r="BD192" i="15"/>
  <c r="BD116" i="15" s="1"/>
  <c r="BD151" i="15"/>
  <c r="AZ121" i="15"/>
  <c r="AZ123" i="15" s="1"/>
  <c r="AZ9" i="15" s="1"/>
  <c r="AZ132" i="15"/>
  <c r="AZ133" i="15" s="1"/>
  <c r="BF375" i="15"/>
  <c r="BF245" i="15"/>
  <c r="BG194" i="15"/>
  <c r="BG154" i="15" s="1"/>
  <c r="BE377" i="15"/>
  <c r="BE164" i="15"/>
  <c r="BE166" i="15" s="1"/>
  <c r="BF149" i="15"/>
  <c r="BG149" i="15" s="1"/>
  <c r="BF334" i="15"/>
  <c r="BG334" i="15" s="1"/>
  <c r="BG231" i="15"/>
  <c r="DA102" i="64" s="1"/>
  <c r="BE144" i="15" l="1"/>
  <c r="BC426" i="15"/>
  <c r="BD426" i="15" s="1"/>
  <c r="BE426" i="15" s="1"/>
  <c r="BF426" i="15" s="1"/>
  <c r="AY392" i="15"/>
  <c r="AZ391" i="15"/>
  <c r="AY388" i="15"/>
  <c r="AY14" i="15" s="1"/>
  <c r="BN315" i="15"/>
  <c r="BG158" i="15"/>
  <c r="BO314" i="15"/>
  <c r="BO313" i="15"/>
  <c r="BQ308" i="15"/>
  <c r="BP311" i="15"/>
  <c r="BM154" i="47"/>
  <c r="BN159" i="47" s="1"/>
  <c r="BN153" i="47" s="1"/>
  <c r="BM272" i="47"/>
  <c r="BM23" i="47"/>
  <c r="BE249" i="15"/>
  <c r="BE129" i="15" s="1"/>
  <c r="BD10" i="15"/>
  <c r="BG139" i="15"/>
  <c r="BG230" i="15"/>
  <c r="BF142" i="15"/>
  <c r="BF247" i="15"/>
  <c r="BF190" i="15" s="1"/>
  <c r="BF248" i="15"/>
  <c r="BG248" i="15" s="1"/>
  <c r="BG191" i="15" s="1"/>
  <c r="BE120" i="15"/>
  <c r="BE131" i="15" s="1"/>
  <c r="BF141" i="15"/>
  <c r="BF300" i="15"/>
  <c r="BF256" i="15" s="1"/>
  <c r="BF148" i="15"/>
  <c r="BG148" i="15" s="1"/>
  <c r="BF260" i="15"/>
  <c r="BF261" i="15" s="1"/>
  <c r="BH294" i="15"/>
  <c r="BH291" i="15"/>
  <c r="BI288" i="15"/>
  <c r="BH165" i="15"/>
  <c r="BH259" i="15"/>
  <c r="BH155" i="15"/>
  <c r="BF102" i="46"/>
  <c r="BG353" i="15"/>
  <c r="BG102" i="46" s="1"/>
  <c r="AQ52" i="15"/>
  <c r="CL53" i="64"/>
  <c r="AQ500" i="15"/>
  <c r="BH329" i="15"/>
  <c r="BH326" i="15"/>
  <c r="BI323" i="15"/>
  <c r="BH156" i="15"/>
  <c r="BG245" i="15"/>
  <c r="BG195" i="15" s="1"/>
  <c r="BG196" i="15" s="1"/>
  <c r="AY132" i="15"/>
  <c r="AY133" i="15" s="1"/>
  <c r="AY121" i="15"/>
  <c r="AY123" i="15" s="1"/>
  <c r="AY9" i="15" s="1"/>
  <c r="BF195" i="15"/>
  <c r="BF235" i="15"/>
  <c r="BF126" i="15" s="1"/>
  <c r="BG233" i="15"/>
  <c r="BG335" i="15"/>
  <c r="BG336" i="15" s="1"/>
  <c r="BG118" i="15" s="1"/>
  <c r="BE257" i="15"/>
  <c r="BE117" i="15" s="1"/>
  <c r="BE10" i="15"/>
  <c r="BF336" i="15"/>
  <c r="BF118" i="15" s="1"/>
  <c r="BG375" i="15"/>
  <c r="BG164" i="15" s="1"/>
  <c r="BG166" i="15" s="1"/>
  <c r="BF377" i="15"/>
  <c r="BG377" i="15" s="1"/>
  <c r="BF164" i="15"/>
  <c r="BF166" i="15" s="1"/>
  <c r="AZ11" i="15"/>
  <c r="BC16" i="15"/>
  <c r="BG367" i="15"/>
  <c r="BH365" i="15"/>
  <c r="BH231" i="15"/>
  <c r="BF56" i="15"/>
  <c r="BF382" i="15"/>
  <c r="BF13" i="15" s="1"/>
  <c r="BF408" i="15"/>
  <c r="BF16" i="15" s="1"/>
  <c r="BG345" i="15"/>
  <c r="BH345" i="15" s="1"/>
  <c r="BI345" i="15" s="1"/>
  <c r="BJ345" i="15" s="1"/>
  <c r="BK345" i="15" s="1"/>
  <c r="BG143" i="15"/>
  <c r="BF350" i="15"/>
  <c r="BG348" i="15"/>
  <c r="BG350" i="15" s="1"/>
  <c r="BC56" i="15"/>
  <c r="BC14" i="46"/>
  <c r="BE190" i="15"/>
  <c r="BE192" i="15" s="1"/>
  <c r="BE116" i="15" s="1"/>
  <c r="BE196" i="15"/>
  <c r="BE147" i="15"/>
  <c r="BG297" i="15"/>
  <c r="BB183" i="15"/>
  <c r="BB24" i="64" s="1"/>
  <c r="AX121" i="15"/>
  <c r="AX123" i="15" s="1"/>
  <c r="AX9" i="15" s="1"/>
  <c r="AX132" i="15"/>
  <c r="AX133" i="15" s="1"/>
  <c r="BC13" i="15"/>
  <c r="BE394" i="15"/>
  <c r="BG396" i="15"/>
  <c r="BG332" i="15"/>
  <c r="BG255" i="15"/>
  <c r="BE301" i="15"/>
  <c r="BE128" i="15" s="1"/>
  <c r="BF255" i="15"/>
  <c r="BI343" i="15"/>
  <c r="BH157" i="15"/>
  <c r="AZ392" i="15" l="1"/>
  <c r="BA391" i="15"/>
  <c r="BF120" i="15"/>
  <c r="BF131" i="15" s="1"/>
  <c r="BP314" i="15"/>
  <c r="BQ314" i="15" s="1"/>
  <c r="BP313" i="15"/>
  <c r="BQ313" i="15" s="1"/>
  <c r="BQ311" i="15"/>
  <c r="BO315" i="15"/>
  <c r="BN154" i="47"/>
  <c r="BO159" i="47" s="1"/>
  <c r="BO153" i="47" s="1"/>
  <c r="BM207" i="47"/>
  <c r="BN272" i="47"/>
  <c r="BN23" i="47"/>
  <c r="AP484" i="15"/>
  <c r="AP487" i="15"/>
  <c r="BG247" i="15"/>
  <c r="BG190" i="15" s="1"/>
  <c r="BG192" i="15" s="1"/>
  <c r="BG116" i="15" s="1"/>
  <c r="BF144" i="15"/>
  <c r="BG300" i="15"/>
  <c r="BG256" i="15" s="1"/>
  <c r="BG257" i="15" s="1"/>
  <c r="BG117" i="15" s="1"/>
  <c r="BF257" i="15"/>
  <c r="BF117" i="15" s="1"/>
  <c r="BF301" i="15"/>
  <c r="BF128" i="15" s="1"/>
  <c r="BJ343" i="15"/>
  <c r="BI346" i="15"/>
  <c r="BI157" i="15"/>
  <c r="BE382" i="15"/>
  <c r="BC12" i="46"/>
  <c r="BB184" i="15"/>
  <c r="BB121" i="15"/>
  <c r="BB123" i="15" s="1"/>
  <c r="BB132" i="15"/>
  <c r="CV84" i="64" s="1"/>
  <c r="BG141" i="15"/>
  <c r="BG260" i="15"/>
  <c r="BG261" i="15" s="1"/>
  <c r="BF130" i="15"/>
  <c r="BF119" i="15"/>
  <c r="BH367" i="15"/>
  <c r="BH162" i="15"/>
  <c r="BC15" i="46"/>
  <c r="BH375" i="15"/>
  <c r="BH245" i="15"/>
  <c r="BI194" i="15"/>
  <c r="BI154" i="15" s="1"/>
  <c r="BI384" i="15" s="1"/>
  <c r="BI382" i="15" s="1"/>
  <c r="BF196" i="15"/>
  <c r="BF147" i="15"/>
  <c r="BF151" i="15" s="1"/>
  <c r="BJ323" i="15"/>
  <c r="BI329" i="15"/>
  <c r="BI326" i="15"/>
  <c r="BI156" i="15"/>
  <c r="BH149" i="15"/>
  <c r="BH334" i="15"/>
  <c r="AR500" i="15"/>
  <c r="AR511" i="15" s="1"/>
  <c r="AQ511" i="15"/>
  <c r="BJ288" i="15"/>
  <c r="BI294" i="15"/>
  <c r="BI291" i="15"/>
  <c r="BI165" i="15"/>
  <c r="BI259" i="15"/>
  <c r="BI155" i="15"/>
  <c r="BH297" i="15"/>
  <c r="BH296" i="15"/>
  <c r="BH346" i="15"/>
  <c r="BF191" i="15"/>
  <c r="BF10" i="15" s="1"/>
  <c r="BG10" i="15" s="1"/>
  <c r="BE15" i="15"/>
  <c r="BG394" i="15"/>
  <c r="AX11" i="15"/>
  <c r="BB9" i="15"/>
  <c r="BE151" i="15"/>
  <c r="BG130" i="15"/>
  <c r="BG119" i="15"/>
  <c r="BH194" i="15"/>
  <c r="BH154" i="15" s="1"/>
  <c r="BH384" i="15" s="1"/>
  <c r="BH382" i="15" s="1"/>
  <c r="BI365" i="15"/>
  <c r="BI231" i="15"/>
  <c r="BI179" i="15"/>
  <c r="BH139" i="15"/>
  <c r="BH233" i="15"/>
  <c r="BH234" i="15"/>
  <c r="BG120" i="15"/>
  <c r="BG131" i="15" s="1"/>
  <c r="BG235" i="15"/>
  <c r="DA101" i="64" s="1"/>
  <c r="AY11" i="15"/>
  <c r="BG181" i="15"/>
  <c r="BG142" i="15"/>
  <c r="BG244" i="15"/>
  <c r="BH332" i="15"/>
  <c r="BH331" i="15"/>
  <c r="AR52" i="15"/>
  <c r="BH299" i="15"/>
  <c r="BF429" i="15"/>
  <c r="BD429" i="15"/>
  <c r="BE429" i="15"/>
  <c r="BF249" i="15"/>
  <c r="BF129" i="15" s="1"/>
  <c r="DC39" i="65"/>
  <c r="DC37" i="65" s="1"/>
  <c r="AK81" i="46"/>
  <c r="AK82" i="46" s="1"/>
  <c r="BG249" i="15" l="1"/>
  <c r="BG129" i="15" s="1"/>
  <c r="BA388" i="15"/>
  <c r="BA14" i="15" s="1"/>
  <c r="DA103" i="64"/>
  <c r="BQ315" i="15"/>
  <c r="BP315" i="15"/>
  <c r="BO154" i="47"/>
  <c r="BP159" i="47" s="1"/>
  <c r="BP153" i="47" s="1"/>
  <c r="BN207" i="47"/>
  <c r="BO272" i="47"/>
  <c r="BO23" i="47"/>
  <c r="BG147" i="15"/>
  <c r="BG151" i="15" s="1"/>
  <c r="BG301" i="15"/>
  <c r="BG128" i="15" s="1"/>
  <c r="BG144" i="15"/>
  <c r="AQ51" i="15"/>
  <c r="BI158" i="15"/>
  <c r="BI394" i="15"/>
  <c r="BI15" i="15" s="1"/>
  <c r="BJ365" i="15"/>
  <c r="BJ231" i="15"/>
  <c r="BK228" i="15"/>
  <c r="BJ179" i="15"/>
  <c r="BI367" i="15"/>
  <c r="BI162" i="15"/>
  <c r="BH348" i="15"/>
  <c r="BH150" i="15"/>
  <c r="BH143" i="15"/>
  <c r="BH353" i="15"/>
  <c r="BI297" i="15"/>
  <c r="BI296" i="15"/>
  <c r="BI149" i="15"/>
  <c r="BI334" i="15"/>
  <c r="BJ329" i="15"/>
  <c r="BJ326" i="15"/>
  <c r="BK323" i="15"/>
  <c r="BJ156" i="15"/>
  <c r="BI375" i="15"/>
  <c r="BI245" i="15"/>
  <c r="BI195" i="15" s="1"/>
  <c r="BH142" i="15"/>
  <c r="BH247" i="15"/>
  <c r="BH190" i="15" s="1"/>
  <c r="BH248" i="15"/>
  <c r="BB133" i="15"/>
  <c r="BE13" i="15"/>
  <c r="BG382" i="15"/>
  <c r="BG391" i="15" s="1"/>
  <c r="BJ346" i="15"/>
  <c r="BK343" i="15"/>
  <c r="BJ157" i="15"/>
  <c r="BH255" i="15"/>
  <c r="AQ53" i="15"/>
  <c r="BH335" i="15"/>
  <c r="BH336" i="15" s="1"/>
  <c r="BH118" i="15" s="1"/>
  <c r="BF181" i="15"/>
  <c r="BG177" i="15"/>
  <c r="BG126" i="15"/>
  <c r="BH195" i="15"/>
  <c r="BH235" i="15"/>
  <c r="BH126" i="15" s="1"/>
  <c r="BI139" i="15"/>
  <c r="BI233" i="15"/>
  <c r="BI234" i="15"/>
  <c r="BH158" i="15"/>
  <c r="BB11" i="15"/>
  <c r="BE56" i="15"/>
  <c r="BE14" i="46"/>
  <c r="BG15" i="15"/>
  <c r="BG56" i="15" s="1"/>
  <c r="BH141" i="15"/>
  <c r="BH300" i="15"/>
  <c r="BH260" i="15"/>
  <c r="BH261" i="15" s="1"/>
  <c r="BH148" i="15"/>
  <c r="BI299" i="15"/>
  <c r="BJ294" i="15"/>
  <c r="BJ291" i="15"/>
  <c r="BK288" i="15"/>
  <c r="BJ165" i="15"/>
  <c r="BJ259" i="15"/>
  <c r="BJ155" i="15"/>
  <c r="BI332" i="15"/>
  <c r="BI335" i="15" s="1"/>
  <c r="BI331" i="15"/>
  <c r="BF192" i="15"/>
  <c r="BF116" i="15" s="1"/>
  <c r="BH377" i="15"/>
  <c r="BH120" i="15" s="1"/>
  <c r="BH131" i="15" s="1"/>
  <c r="BH164" i="15"/>
  <c r="BH166" i="15" s="1"/>
  <c r="BI348" i="15"/>
  <c r="BI350" i="15" s="1"/>
  <c r="BI150" i="15"/>
  <c r="BI143" i="15"/>
  <c r="BI353" i="15"/>
  <c r="BI102" i="46" s="1"/>
  <c r="AF81" i="46"/>
  <c r="AF82" i="46" s="1"/>
  <c r="AG81" i="46"/>
  <c r="AG82" i="46" s="1"/>
  <c r="AH81" i="46"/>
  <c r="AH82" i="46" s="1"/>
  <c r="CS39" i="65" s="1"/>
  <c r="CS37" i="65" s="1"/>
  <c r="CS42" i="65" s="1"/>
  <c r="CS44" i="65" s="1"/>
  <c r="CS48" i="65" s="1"/>
  <c r="CS56" i="65" s="1"/>
  <c r="AJ116" i="46"/>
  <c r="AJ120" i="46" s="1"/>
  <c r="AO22" i="65"/>
  <c r="AO23" i="65" s="1"/>
  <c r="BG392" i="15" l="1"/>
  <c r="BC391" i="15"/>
  <c r="BH144" i="15"/>
  <c r="BQ153" i="47"/>
  <c r="BQ154" i="47" s="1"/>
  <c r="BP154" i="47"/>
  <c r="BO207" i="47"/>
  <c r="BP23" i="47"/>
  <c r="BP272" i="47"/>
  <c r="BQ272" i="47" s="1"/>
  <c r="BQ159" i="47"/>
  <c r="BI130" i="15"/>
  <c r="BI119" i="15"/>
  <c r="AV420" i="15"/>
  <c r="BJ299" i="15"/>
  <c r="BI255" i="15"/>
  <c r="BH196" i="15"/>
  <c r="BH147" i="15"/>
  <c r="BF177" i="15"/>
  <c r="BF183" i="15" s="1"/>
  <c r="BE181" i="15"/>
  <c r="AR74" i="46"/>
  <c r="AR51" i="15"/>
  <c r="BJ348" i="15"/>
  <c r="BJ350" i="15" s="1"/>
  <c r="BJ150" i="15"/>
  <c r="BJ143" i="15"/>
  <c r="BJ353" i="15"/>
  <c r="BJ102" i="46" s="1"/>
  <c r="BE12" i="46"/>
  <c r="BG13" i="15"/>
  <c r="BJ375" i="15"/>
  <c r="BJ245" i="15"/>
  <c r="BK194" i="15"/>
  <c r="BK154" i="15" s="1"/>
  <c r="BK384" i="15" s="1"/>
  <c r="BK382" i="15" s="1"/>
  <c r="BI377" i="15"/>
  <c r="BI120" i="15" s="1"/>
  <c r="BI131" i="15" s="1"/>
  <c r="BI164" i="15"/>
  <c r="BI166" i="15" s="1"/>
  <c r="BL323" i="15"/>
  <c r="BK329" i="15"/>
  <c r="BL329" i="15" s="1"/>
  <c r="BK326" i="15"/>
  <c r="BK156" i="15"/>
  <c r="BJ332" i="15"/>
  <c r="BJ331" i="15"/>
  <c r="BI141" i="15"/>
  <c r="BI300" i="15"/>
  <c r="BI256" i="15" s="1"/>
  <c r="BI260" i="15"/>
  <c r="BI261" i="15" s="1"/>
  <c r="BI148" i="15"/>
  <c r="BH102" i="46"/>
  <c r="BH350" i="15"/>
  <c r="BJ194" i="15"/>
  <c r="BJ154" i="15" s="1"/>
  <c r="BJ384" i="15" s="1"/>
  <c r="BJ382" i="15" s="1"/>
  <c r="BK365" i="15"/>
  <c r="BK231" i="15"/>
  <c r="BL231" i="15" s="1"/>
  <c r="DF102" i="64" s="1"/>
  <c r="BL228" i="15"/>
  <c r="BM228" i="15" s="1"/>
  <c r="BK179" i="15"/>
  <c r="BL179" i="15" s="1"/>
  <c r="BJ367" i="15"/>
  <c r="BJ162" i="15"/>
  <c r="BI56" i="15"/>
  <c r="BI14" i="46"/>
  <c r="AQ74" i="46"/>
  <c r="AQ501" i="15"/>
  <c r="AR501" i="15" s="1"/>
  <c r="AQ497" i="15"/>
  <c r="AQ57" i="15"/>
  <c r="AQ59" i="15" s="1"/>
  <c r="BL288" i="15"/>
  <c r="BM288" i="15" s="1"/>
  <c r="BK294" i="15"/>
  <c r="BK291" i="15"/>
  <c r="BK165" i="15"/>
  <c r="BK259" i="15"/>
  <c r="BK155" i="15"/>
  <c r="BJ297" i="15"/>
  <c r="BJ296" i="15"/>
  <c r="BH256" i="15"/>
  <c r="BH257" i="15" s="1"/>
  <c r="BH117" i="15" s="1"/>
  <c r="BH394" i="15"/>
  <c r="BI196" i="15"/>
  <c r="BI147" i="15"/>
  <c r="BI235" i="15"/>
  <c r="BI126" i="15" s="1"/>
  <c r="AR53" i="15"/>
  <c r="BH301" i="15"/>
  <c r="BH128" i="15" s="1"/>
  <c r="BL343" i="15"/>
  <c r="BK346" i="15"/>
  <c r="BL346" i="15" s="1"/>
  <c r="BK157" i="15"/>
  <c r="BH249" i="15"/>
  <c r="BH129" i="15" s="1"/>
  <c r="BI142" i="15"/>
  <c r="BI247" i="15"/>
  <c r="BI190" i="15" s="1"/>
  <c r="BI248" i="15"/>
  <c r="BI191" i="15" s="1"/>
  <c r="BJ149" i="15"/>
  <c r="BJ334" i="15"/>
  <c r="BI336" i="15"/>
  <c r="BI118" i="15" s="1"/>
  <c r="BJ139" i="15"/>
  <c r="BJ233" i="15"/>
  <c r="BJ234" i="15"/>
  <c r="BI408" i="15"/>
  <c r="BI16" i="15" s="1"/>
  <c r="BI15" i="46" s="1"/>
  <c r="BI13" i="15"/>
  <c r="BI12" i="46" s="1"/>
  <c r="BH191" i="15"/>
  <c r="AP22" i="65"/>
  <c r="AO27" i="65"/>
  <c r="AO26" i="65"/>
  <c r="AM22" i="65"/>
  <c r="AM23" i="65" s="1"/>
  <c r="AR22" i="65"/>
  <c r="AD22" i="65"/>
  <c r="AF22" i="65"/>
  <c r="AI22" i="65"/>
  <c r="AD116" i="46"/>
  <c r="AK22" i="65"/>
  <c r="AK23" i="65" s="1"/>
  <c r="AF116" i="46"/>
  <c r="AF120" i="46" s="1"/>
  <c r="AN22" i="65"/>
  <c r="AI116" i="46"/>
  <c r="AK116" i="46"/>
  <c r="AK120" i="46" s="1"/>
  <c r="O22" i="65"/>
  <c r="O23" i="65" s="1"/>
  <c r="Q22" i="65"/>
  <c r="Q23" i="65" s="1"/>
  <c r="T22" i="65"/>
  <c r="T23" i="65" s="1"/>
  <c r="V22" i="65"/>
  <c r="Y22" i="65"/>
  <c r="Y23" i="65" s="1"/>
  <c r="AA22" i="65"/>
  <c r="N22" i="65"/>
  <c r="P22" i="65"/>
  <c r="P23" i="65" s="1"/>
  <c r="S22" i="65"/>
  <c r="S23" i="65" s="1"/>
  <c r="U22" i="65"/>
  <c r="U23" i="65" s="1"/>
  <c r="X22" i="65"/>
  <c r="X23" i="65" s="1"/>
  <c r="Z22" i="65"/>
  <c r="AC22" i="65"/>
  <c r="AE22" i="65"/>
  <c r="AH22" i="65"/>
  <c r="AH23" i="65" s="1"/>
  <c r="AJ22" i="65"/>
  <c r="AJ23" i="65" s="1"/>
  <c r="AE116" i="46"/>
  <c r="AE120" i="46" s="1"/>
  <c r="AY22" i="65"/>
  <c r="BB419" i="15" l="1"/>
  <c r="AV427" i="15"/>
  <c r="AW427" i="15"/>
  <c r="BC392" i="15"/>
  <c r="BD391" i="15"/>
  <c r="BC388" i="15"/>
  <c r="BC14" i="15" s="1"/>
  <c r="CQ104" i="64"/>
  <c r="CQ106" i="64" s="1"/>
  <c r="CQ52" i="64"/>
  <c r="BM365" i="15"/>
  <c r="BM231" i="15"/>
  <c r="BM179" i="15"/>
  <c r="BL384" i="15"/>
  <c r="BL157" i="15"/>
  <c r="BM343" i="15"/>
  <c r="BL156" i="15"/>
  <c r="BM323" i="15"/>
  <c r="BN288" i="15"/>
  <c r="BM291" i="15"/>
  <c r="BM294" i="15"/>
  <c r="BM155" i="15"/>
  <c r="BM259" i="15"/>
  <c r="BQ161" i="47"/>
  <c r="BQ23" i="47"/>
  <c r="BP207" i="47"/>
  <c r="BQ207" i="47" s="1"/>
  <c r="BH10" i="15"/>
  <c r="BI144" i="15"/>
  <c r="BI10" i="15"/>
  <c r="BI151" i="15"/>
  <c r="BI301" i="15"/>
  <c r="BI128" i="15" s="1"/>
  <c r="BL139" i="15"/>
  <c r="BL230" i="15"/>
  <c r="BL345" i="15"/>
  <c r="BM345" i="15" s="1"/>
  <c r="BN345" i="15" s="1"/>
  <c r="BO345" i="15" s="1"/>
  <c r="BP345" i="15" s="1"/>
  <c r="BL143" i="15"/>
  <c r="BK348" i="15"/>
  <c r="BK150" i="15"/>
  <c r="BL150" i="15" s="1"/>
  <c r="BK143" i="15"/>
  <c r="BK353" i="15"/>
  <c r="BI192" i="15"/>
  <c r="BI116" i="15" s="1"/>
  <c r="BH15" i="15"/>
  <c r="BK297" i="15"/>
  <c r="BK296" i="15"/>
  <c r="BL296" i="15" s="1"/>
  <c r="BL294" i="15"/>
  <c r="BK158" i="15"/>
  <c r="BK394" i="15"/>
  <c r="BK15" i="15" s="1"/>
  <c r="BK139" i="15"/>
  <c r="BK233" i="15"/>
  <c r="BK234" i="15"/>
  <c r="BL234" i="15" s="1"/>
  <c r="BJ158" i="15"/>
  <c r="BK149" i="15"/>
  <c r="BL149" i="15" s="1"/>
  <c r="BK334" i="15"/>
  <c r="BL334" i="15" s="1"/>
  <c r="BJ142" i="15"/>
  <c r="BJ247" i="15"/>
  <c r="BJ190" i="15" s="1"/>
  <c r="BJ248" i="15"/>
  <c r="BJ191" i="15" s="1"/>
  <c r="BJ119" i="15"/>
  <c r="BJ130" i="15"/>
  <c r="BF132" i="15"/>
  <c r="BF133" i="15" s="1"/>
  <c r="BF121" i="15"/>
  <c r="BF123" i="15" s="1"/>
  <c r="BF9" i="15" s="1"/>
  <c r="BH408" i="15"/>
  <c r="BJ255" i="15"/>
  <c r="AX455" i="15"/>
  <c r="AX17" i="15"/>
  <c r="BJ195" i="15"/>
  <c r="BJ235" i="15"/>
  <c r="BJ126" i="15" s="1"/>
  <c r="BL326" i="15"/>
  <c r="BL325" i="15" s="1"/>
  <c r="BI249" i="15"/>
  <c r="BI129" i="15" s="1"/>
  <c r="BH192" i="15"/>
  <c r="BH116" i="15" s="1"/>
  <c r="BJ141" i="15"/>
  <c r="BJ300" i="15"/>
  <c r="BJ260" i="15"/>
  <c r="BJ261" i="15" s="1"/>
  <c r="BJ148" i="15"/>
  <c r="BK299" i="15"/>
  <c r="BL299" i="15" s="1"/>
  <c r="BL165" i="15"/>
  <c r="BL155" i="15"/>
  <c r="BL259" i="15"/>
  <c r="AQ510" i="15"/>
  <c r="AR497" i="15"/>
  <c r="BL365" i="15"/>
  <c r="BL162" i="15" s="1"/>
  <c r="BK367" i="15"/>
  <c r="BK162" i="15"/>
  <c r="BH119" i="15"/>
  <c r="BH130" i="15"/>
  <c r="BJ335" i="15"/>
  <c r="BK332" i="15"/>
  <c r="BK335" i="15" s="1"/>
  <c r="BK331" i="15"/>
  <c r="BL331" i="15" s="1"/>
  <c r="BK375" i="15"/>
  <c r="BK245" i="15"/>
  <c r="BK195" i="15" s="1"/>
  <c r="BJ377" i="15"/>
  <c r="BJ120" i="15" s="1"/>
  <c r="BJ131" i="15" s="1"/>
  <c r="BJ164" i="15"/>
  <c r="BJ166" i="15" s="1"/>
  <c r="AR57" i="15"/>
  <c r="AR59" i="15" s="1"/>
  <c r="CL51" i="64" s="1"/>
  <c r="BD181" i="15"/>
  <c r="BE177" i="15"/>
  <c r="BE183" i="15" s="1"/>
  <c r="BH151" i="15"/>
  <c r="BI257" i="15"/>
  <c r="BI117" i="15" s="1"/>
  <c r="BL291" i="15"/>
  <c r="AX418" i="15"/>
  <c r="Z23" i="65"/>
  <c r="Z26" i="65" s="1"/>
  <c r="U27" i="65"/>
  <c r="U26" i="65"/>
  <c r="P26" i="65"/>
  <c r="P27" i="65"/>
  <c r="AJ75" i="46"/>
  <c r="AJ76" i="46" s="1"/>
  <c r="AJ60" i="47"/>
  <c r="AJ61" i="47" s="1"/>
  <c r="AA23" i="65"/>
  <c r="AA26" i="65" s="1"/>
  <c r="V23" i="65"/>
  <c r="V26" i="65" s="1"/>
  <c r="T27" i="65"/>
  <c r="T26" i="65"/>
  <c r="Q26" i="65"/>
  <c r="Q27" i="65"/>
  <c r="O27" i="65"/>
  <c r="O26" i="65"/>
  <c r="N74" i="46"/>
  <c r="N10" i="65"/>
  <c r="AJ27" i="65"/>
  <c r="AJ26" i="65"/>
  <c r="AH26" i="65"/>
  <c r="AH27" i="65"/>
  <c r="AH44" i="65"/>
  <c r="AE23" i="65"/>
  <c r="AE26" i="65" s="1"/>
  <c r="AC23" i="65"/>
  <c r="AC26" i="65" s="1"/>
  <c r="X26" i="65"/>
  <c r="X44" i="65"/>
  <c r="X27" i="65"/>
  <c r="S26" i="65"/>
  <c r="S27" i="65"/>
  <c r="S44" i="65"/>
  <c r="N23" i="65"/>
  <c r="N26" i="65" s="1"/>
  <c r="Y27" i="65"/>
  <c r="Y26" i="65"/>
  <c r="AP23" i="65"/>
  <c r="AP26" i="65" s="1"/>
  <c r="AN23" i="65"/>
  <c r="AN26" i="65" s="1"/>
  <c r="AK27" i="65"/>
  <c r="AK26" i="65"/>
  <c r="AI23" i="65"/>
  <c r="AI26" i="65" s="1"/>
  <c r="AF23" i="65"/>
  <c r="AF26" i="65" s="1"/>
  <c r="AD23" i="65"/>
  <c r="AD26" i="65" s="1"/>
  <c r="BA39" i="46"/>
  <c r="BB39" i="46" s="1"/>
  <c r="AI120" i="46"/>
  <c r="AD120" i="46"/>
  <c r="AM26" i="65"/>
  <c r="AM27" i="65"/>
  <c r="AM44" i="65"/>
  <c r="BA22" i="46"/>
  <c r="AG22" i="65"/>
  <c r="AG23" i="65" s="1"/>
  <c r="X60" i="47"/>
  <c r="S60" i="47"/>
  <c r="N60" i="47"/>
  <c r="G75" i="46"/>
  <c r="G76" i="46" s="1"/>
  <c r="E75" i="46"/>
  <c r="E76" i="46" s="1"/>
  <c r="F75" i="46"/>
  <c r="F76" i="46" s="1"/>
  <c r="AL81" i="46"/>
  <c r="AL82" i="46" s="1"/>
  <c r="AC81" i="46"/>
  <c r="R22" i="65"/>
  <c r="R23" i="65" s="1"/>
  <c r="BD22" i="65"/>
  <c r="BM165" i="15" l="1"/>
  <c r="BE391" i="15"/>
  <c r="BD392" i="15"/>
  <c r="BD388" i="15"/>
  <c r="BD14" i="15" s="1"/>
  <c r="CL83" i="64"/>
  <c r="CL85" i="64" s="1"/>
  <c r="CL88" i="64" s="1"/>
  <c r="CL54" i="64"/>
  <c r="CL56" i="64" s="1"/>
  <c r="CL62" i="64" s="1"/>
  <c r="CL63" i="64" s="1"/>
  <c r="CL67" i="64" s="1"/>
  <c r="DT51" i="64"/>
  <c r="BL375" i="15"/>
  <c r="BL164" i="15" s="1"/>
  <c r="BL166" i="15" s="1"/>
  <c r="BM139" i="15"/>
  <c r="BM234" i="15"/>
  <c r="BM233" i="15"/>
  <c r="BN365" i="15"/>
  <c r="BN231" i="15"/>
  <c r="BN179" i="15"/>
  <c r="BM162" i="15"/>
  <c r="BM367" i="15"/>
  <c r="BM346" i="15"/>
  <c r="BN343" i="15"/>
  <c r="BM157" i="15"/>
  <c r="BM156" i="15"/>
  <c r="BN323" i="15"/>
  <c r="BM329" i="15"/>
  <c r="BM326" i="15"/>
  <c r="BM297" i="15"/>
  <c r="BM296" i="15"/>
  <c r="BO288" i="15"/>
  <c r="BN291" i="15"/>
  <c r="BN294" i="15"/>
  <c r="BN155" i="15"/>
  <c r="BN259" i="15"/>
  <c r="BM299" i="15"/>
  <c r="BJ144" i="15"/>
  <c r="BD177" i="15"/>
  <c r="BD183" i="15" s="1"/>
  <c r="BC181" i="15"/>
  <c r="BC177" i="15" s="1"/>
  <c r="BC183" i="15" s="1"/>
  <c r="BL255" i="15"/>
  <c r="BK377" i="15"/>
  <c r="BK120" i="15" s="1"/>
  <c r="BK131" i="15" s="1"/>
  <c r="BK164" i="15"/>
  <c r="BK166" i="15" s="1"/>
  <c r="BL335" i="15"/>
  <c r="BL336" i="15" s="1"/>
  <c r="BL118" i="15" s="1"/>
  <c r="BL367" i="15"/>
  <c r="AR510" i="15"/>
  <c r="BJ256" i="15"/>
  <c r="BJ10" i="15" s="1"/>
  <c r="BJ192" i="15"/>
  <c r="BJ116" i="15" s="1"/>
  <c r="BJ196" i="15"/>
  <c r="BJ147" i="15"/>
  <c r="AX54" i="15"/>
  <c r="AX16" i="46"/>
  <c r="AX162" i="46" s="1"/>
  <c r="AX18" i="15"/>
  <c r="AX20" i="15" s="1"/>
  <c r="BJ394" i="15"/>
  <c r="BL396" i="15"/>
  <c r="BK196" i="15"/>
  <c r="BK147" i="15"/>
  <c r="BK235" i="15"/>
  <c r="BK126" i="15" s="1"/>
  <c r="BK56" i="15"/>
  <c r="BK13" i="15"/>
  <c r="BK408" i="15"/>
  <c r="BK16" i="15" s="1"/>
  <c r="BH56" i="15"/>
  <c r="BH14" i="46"/>
  <c r="BK350" i="15"/>
  <c r="BL348" i="15"/>
  <c r="BL350" i="15" s="1"/>
  <c r="BH13" i="15"/>
  <c r="BE132" i="15"/>
  <c r="BE133" i="15" s="1"/>
  <c r="BE121" i="15"/>
  <c r="BE123" i="15" s="1"/>
  <c r="BE9" i="15" s="1"/>
  <c r="BK142" i="15"/>
  <c r="BK247" i="15"/>
  <c r="BK248" i="15"/>
  <c r="BL248" i="15" s="1"/>
  <c r="BL191" i="15" s="1"/>
  <c r="BL332" i="15"/>
  <c r="BL194" i="15"/>
  <c r="BL154" i="15" s="1"/>
  <c r="BK255" i="15"/>
  <c r="BL233" i="15"/>
  <c r="BJ301" i="15"/>
  <c r="BH16" i="15"/>
  <c r="BF11" i="15"/>
  <c r="BL245" i="15"/>
  <c r="BJ249" i="15"/>
  <c r="BJ129" i="15" s="1"/>
  <c r="BK336" i="15"/>
  <c r="BK118" i="15" s="1"/>
  <c r="BK141" i="15"/>
  <c r="BK300" i="15"/>
  <c r="BK256" i="15" s="1"/>
  <c r="BK148" i="15"/>
  <c r="BL148" i="15" s="1"/>
  <c r="BK260" i="15"/>
  <c r="BK261" i="15" s="1"/>
  <c r="BL297" i="15"/>
  <c r="BK102" i="46"/>
  <c r="BL353" i="15"/>
  <c r="BL102" i="46" s="1"/>
  <c r="BJ336" i="15"/>
  <c r="BJ118" i="15" s="1"/>
  <c r="Y75" i="46"/>
  <c r="Y76" i="46" s="1"/>
  <c r="Y60" i="47"/>
  <c r="AD75" i="46"/>
  <c r="AD76" i="46" s="1"/>
  <c r="AD60" i="47"/>
  <c r="AF75" i="46"/>
  <c r="AF76" i="46" s="1"/>
  <c r="AF60" i="47"/>
  <c r="O75" i="46"/>
  <c r="O76" i="46" s="1"/>
  <c r="O60" i="47"/>
  <c r="I75" i="46"/>
  <c r="I60" i="47"/>
  <c r="P75" i="46"/>
  <c r="P76" i="46" s="1"/>
  <c r="P60" i="47"/>
  <c r="Z75" i="46"/>
  <c r="Z76" i="46" s="1"/>
  <c r="Z60" i="47"/>
  <c r="AI75" i="46"/>
  <c r="AI76" i="46" s="1"/>
  <c r="AI60" i="47"/>
  <c r="AI61" i="47" s="1"/>
  <c r="AA75" i="46"/>
  <c r="AA76" i="46" s="1"/>
  <c r="AA60" i="47"/>
  <c r="AB81" i="46"/>
  <c r="AB82" i="46" s="1"/>
  <c r="AC82" i="46"/>
  <c r="CN39" i="65" s="1"/>
  <c r="CN37" i="65" s="1"/>
  <c r="CN42" i="65" s="1"/>
  <c r="CN44" i="65" s="1"/>
  <c r="CN48" i="65" s="1"/>
  <c r="CN56" i="65" s="1"/>
  <c r="J75" i="46"/>
  <c r="J76" i="46" s="1"/>
  <c r="J60" i="47"/>
  <c r="L75" i="46"/>
  <c r="L76" i="46" s="1"/>
  <c r="L60" i="47"/>
  <c r="Q75" i="46"/>
  <c r="Q76" i="46" s="1"/>
  <c r="Q60" i="47"/>
  <c r="T75" i="46"/>
  <c r="T76" i="46" s="1"/>
  <c r="T60" i="47"/>
  <c r="V75" i="46"/>
  <c r="V76" i="46" s="1"/>
  <c r="V60" i="47"/>
  <c r="K75" i="46"/>
  <c r="K76" i="46" s="1"/>
  <c r="K60" i="47"/>
  <c r="U75" i="46"/>
  <c r="U76" i="46" s="1"/>
  <c r="U60" i="47"/>
  <c r="AE75" i="46"/>
  <c r="AE76" i="46" s="1"/>
  <c r="AE60" i="47"/>
  <c r="AD27" i="65"/>
  <c r="AF27" i="65"/>
  <c r="AP27" i="65"/>
  <c r="N27" i="65"/>
  <c r="V27" i="65"/>
  <c r="AA27" i="65"/>
  <c r="AK75" i="46"/>
  <c r="AK76" i="46" s="1"/>
  <c r="AK60" i="47"/>
  <c r="AK61" i="47" s="1"/>
  <c r="Z27" i="65"/>
  <c r="N75" i="46"/>
  <c r="N11" i="65"/>
  <c r="X75" i="46"/>
  <c r="X76" i="46" s="1"/>
  <c r="X11" i="65"/>
  <c r="X9" i="64" s="1"/>
  <c r="X10" i="64" s="1"/>
  <c r="BF22" i="46"/>
  <c r="AI27" i="65"/>
  <c r="AN27" i="65"/>
  <c r="AC27" i="65"/>
  <c r="AC44" i="65"/>
  <c r="AE27" i="65"/>
  <c r="R27" i="65"/>
  <c r="R26" i="65"/>
  <c r="S75" i="46"/>
  <c r="S76" i="46" s="1"/>
  <c r="S11" i="65"/>
  <c r="AC60" i="47"/>
  <c r="AG27" i="65"/>
  <c r="AG26" i="65"/>
  <c r="BA126" i="46"/>
  <c r="BB22" i="46"/>
  <c r="BF39" i="46"/>
  <c r="BG39" i="46" s="1"/>
  <c r="BK39" i="46"/>
  <c r="BL39" i="46" s="1"/>
  <c r="AL22" i="65"/>
  <c r="AG116" i="46"/>
  <c r="AB22" i="65"/>
  <c r="AB23" i="65" s="1"/>
  <c r="AM81" i="46"/>
  <c r="AM82" i="46" s="1"/>
  <c r="CX39" i="65" s="1"/>
  <c r="CX37" i="65" s="1"/>
  <c r="CX42" i="65" s="1"/>
  <c r="CX44" i="65" s="1"/>
  <c r="CX48" i="65" s="1"/>
  <c r="CX56" i="65" s="1"/>
  <c r="W22" i="65"/>
  <c r="AQ22" i="65"/>
  <c r="AL116" i="46"/>
  <c r="I73" i="46"/>
  <c r="BI22" i="65"/>
  <c r="I74" i="46"/>
  <c r="H74" i="46"/>
  <c r="H73" i="46"/>
  <c r="BN165" i="15" l="1"/>
  <c r="BL158" i="15"/>
  <c r="BE392" i="15"/>
  <c r="BF391" i="15"/>
  <c r="DZ69" i="64"/>
  <c r="DZ65" i="64"/>
  <c r="DZ76" i="64"/>
  <c r="DZ68" i="64"/>
  <c r="DZ77" i="64"/>
  <c r="DZ72" i="64"/>
  <c r="DZ82" i="64"/>
  <c r="DZ71" i="64"/>
  <c r="DZ70" i="64"/>
  <c r="DZ78" i="64"/>
  <c r="DZ84" i="64"/>
  <c r="DZ83" i="64"/>
  <c r="DZ66" i="64"/>
  <c r="DZ73" i="64"/>
  <c r="DZ79" i="64"/>
  <c r="DZ75" i="64"/>
  <c r="DZ81" i="64"/>
  <c r="DZ85" i="64"/>
  <c r="DZ80" i="64"/>
  <c r="DZ67" i="64"/>
  <c r="DZ74" i="64"/>
  <c r="BL377" i="15"/>
  <c r="BL120" i="15" s="1"/>
  <c r="BL131" i="15" s="1"/>
  <c r="BN139" i="15"/>
  <c r="BN234" i="15"/>
  <c r="BN233" i="15"/>
  <c r="BM375" i="15"/>
  <c r="BM245" i="15"/>
  <c r="BM194" i="15"/>
  <c r="BM154" i="15" s="1"/>
  <c r="BN162" i="15"/>
  <c r="BN367" i="15"/>
  <c r="BO231" i="15"/>
  <c r="BO365" i="15"/>
  <c r="BP228" i="15"/>
  <c r="BP179" i="15" s="1"/>
  <c r="BM235" i="15"/>
  <c r="BM126" i="15" s="1"/>
  <c r="BN157" i="15"/>
  <c r="BO343" i="15"/>
  <c r="BN346" i="15"/>
  <c r="BM150" i="15"/>
  <c r="BM143" i="15"/>
  <c r="BM348" i="15"/>
  <c r="BM353" i="15"/>
  <c r="BM102" i="46" s="1"/>
  <c r="BM149" i="15"/>
  <c r="BM334" i="15"/>
  <c r="BN156" i="15"/>
  <c r="BO323" i="15"/>
  <c r="BN329" i="15"/>
  <c r="BN326" i="15"/>
  <c r="BM331" i="15"/>
  <c r="BM332" i="15"/>
  <c r="BP288" i="15"/>
  <c r="BO291" i="15"/>
  <c r="BO294" i="15"/>
  <c r="BO259" i="15"/>
  <c r="BO155" i="15"/>
  <c r="BM255" i="15"/>
  <c r="BN297" i="15"/>
  <c r="BN296" i="15"/>
  <c r="BN299" i="15"/>
  <c r="BM141" i="15"/>
  <c r="BM300" i="15"/>
  <c r="BM260" i="15"/>
  <c r="BM261" i="15" s="1"/>
  <c r="BM148" i="15"/>
  <c r="BK144" i="15"/>
  <c r="BK191" i="15"/>
  <c r="BK10" i="15" s="1"/>
  <c r="BK301" i="15"/>
  <c r="BK128" i="15" s="1"/>
  <c r="BB126" i="46"/>
  <c r="BL141" i="15"/>
  <c r="BL260" i="15"/>
  <c r="BL261" i="15" s="1"/>
  <c r="BK249" i="15"/>
  <c r="BK129" i="15" s="1"/>
  <c r="BL247" i="15"/>
  <c r="BL249" i="15" s="1"/>
  <c r="BL129" i="15" s="1"/>
  <c r="BE11" i="15"/>
  <c r="BH12" i="46"/>
  <c r="BL119" i="15"/>
  <c r="BL130" i="15"/>
  <c r="BJ15" i="15"/>
  <c r="BL394" i="15"/>
  <c r="AX125" i="46"/>
  <c r="BG183" i="15"/>
  <c r="BG24" i="64" s="1"/>
  <c r="BC132" i="15"/>
  <c r="BC133" i="15" s="1"/>
  <c r="BC121" i="15"/>
  <c r="BC123" i="15" s="1"/>
  <c r="BC9" i="15" s="1"/>
  <c r="BL181" i="15"/>
  <c r="BL177" i="15" s="1"/>
  <c r="BL142" i="15"/>
  <c r="BL195" i="15"/>
  <c r="BL196" i="15" s="1"/>
  <c r="BL244" i="15"/>
  <c r="BH15" i="46"/>
  <c r="BJ128" i="15"/>
  <c r="BL235" i="15"/>
  <c r="DF101" i="64" s="1"/>
  <c r="BK257" i="15"/>
  <c r="BK117" i="15" s="1"/>
  <c r="BK130" i="15"/>
  <c r="BK119" i="15"/>
  <c r="BK190" i="15"/>
  <c r="BK151" i="15"/>
  <c r="BJ257" i="15"/>
  <c r="BJ117" i="15" s="1"/>
  <c r="BJ151" i="15"/>
  <c r="BL147" i="15"/>
  <c r="BL151" i="15" s="1"/>
  <c r="BL300" i="15"/>
  <c r="BD132" i="15"/>
  <c r="BD133" i="15" s="1"/>
  <c r="BD121" i="15"/>
  <c r="BD123" i="15" s="1"/>
  <c r="BD9" i="15" s="1"/>
  <c r="AB75" i="46"/>
  <c r="AB60" i="47"/>
  <c r="M75" i="46"/>
  <c r="M60" i="47"/>
  <c r="AL120" i="46"/>
  <c r="AM120" i="46" s="1"/>
  <c r="AM116" i="46"/>
  <c r="W23" i="65"/>
  <c r="W26" i="65" s="1"/>
  <c r="AB27" i="65"/>
  <c r="AB26" i="65"/>
  <c r="AL23" i="65"/>
  <c r="AL26" i="65" s="1"/>
  <c r="S12" i="65"/>
  <c r="S16" i="65" s="1"/>
  <c r="BF126" i="46"/>
  <c r="BG22" i="46"/>
  <c r="X12" i="65"/>
  <c r="X16" i="65" s="1"/>
  <c r="N73" i="46"/>
  <c r="N76" i="46" s="1"/>
  <c r="N9" i="65"/>
  <c r="N12" i="65" s="1"/>
  <c r="I76" i="46"/>
  <c r="AG120" i="46"/>
  <c r="AH120" i="46" s="1"/>
  <c r="AH116" i="46"/>
  <c r="AC75" i="46"/>
  <c r="AC76" i="46" s="1"/>
  <c r="AC11" i="65"/>
  <c r="AC9" i="64" s="1"/>
  <c r="AC10" i="64" s="1"/>
  <c r="AM75" i="46"/>
  <c r="AM76" i="46" s="1"/>
  <c r="AM11" i="65"/>
  <c r="AM9" i="64" s="1"/>
  <c r="AM10" i="64" s="1"/>
  <c r="AM17" i="64" s="1"/>
  <c r="AM19" i="64" s="1"/>
  <c r="AM21" i="64" s="1"/>
  <c r="BK22" i="46"/>
  <c r="AH75" i="46"/>
  <c r="AH76" i="46" s="1"/>
  <c r="AH11" i="65"/>
  <c r="AH9" i="64" s="1"/>
  <c r="AH10" i="64" s="1"/>
  <c r="H75" i="46"/>
  <c r="H76" i="46" s="1"/>
  <c r="R73" i="46"/>
  <c r="R74" i="46"/>
  <c r="M73" i="46"/>
  <c r="W73" i="46"/>
  <c r="AB73" i="46"/>
  <c r="BO165" i="15" l="1"/>
  <c r="BF392" i="15"/>
  <c r="BF388" i="15"/>
  <c r="BF14" i="15" s="1"/>
  <c r="DF103" i="64"/>
  <c r="BP365" i="15"/>
  <c r="BP231" i="15"/>
  <c r="BQ228" i="15"/>
  <c r="BQ179" i="15" s="1"/>
  <c r="BM384" i="15"/>
  <c r="BM382" i="15" s="1"/>
  <c r="BM142" i="15"/>
  <c r="BM144" i="15" s="1"/>
  <c r="BM248" i="15"/>
  <c r="BM191" i="15" s="1"/>
  <c r="BM247" i="15"/>
  <c r="BM195" i="15"/>
  <c r="BM164" i="15"/>
  <c r="BM166" i="15" s="1"/>
  <c r="BM377" i="15"/>
  <c r="BM120" i="15" s="1"/>
  <c r="BM131" i="15" s="1"/>
  <c r="BM158" i="15"/>
  <c r="BM408" i="15" s="1"/>
  <c r="BM16" i="15" s="1"/>
  <c r="BM15" i="46" s="1"/>
  <c r="BO162" i="15"/>
  <c r="BO367" i="15"/>
  <c r="BO234" i="15"/>
  <c r="BO139" i="15"/>
  <c r="BO233" i="15"/>
  <c r="BN375" i="15"/>
  <c r="BN245" i="15"/>
  <c r="BN194" i="15"/>
  <c r="BN154" i="15" s="1"/>
  <c r="BN235" i="15"/>
  <c r="BN126" i="15" s="1"/>
  <c r="BM350" i="15"/>
  <c r="BO346" i="15"/>
  <c r="BP343" i="15"/>
  <c r="BO157" i="15"/>
  <c r="BN348" i="15"/>
  <c r="BN350" i="15" s="1"/>
  <c r="BN143" i="15"/>
  <c r="BN353" i="15"/>
  <c r="BN102" i="46" s="1"/>
  <c r="BN150" i="15"/>
  <c r="BM335" i="15"/>
  <c r="BM336" i="15" s="1"/>
  <c r="BM118" i="15" s="1"/>
  <c r="BN149" i="15"/>
  <c r="BN334" i="15"/>
  <c r="BP323" i="15"/>
  <c r="BO156" i="15"/>
  <c r="BO329" i="15"/>
  <c r="BO326" i="15"/>
  <c r="BN332" i="15"/>
  <c r="BN335" i="15" s="1"/>
  <c r="BN331" i="15"/>
  <c r="BQ288" i="15"/>
  <c r="BP291" i="15"/>
  <c r="BQ291" i="15" s="1"/>
  <c r="BP294" i="15"/>
  <c r="BP259" i="15"/>
  <c r="BP155" i="15"/>
  <c r="BM256" i="15"/>
  <c r="BN255" i="15"/>
  <c r="BN141" i="15"/>
  <c r="BN300" i="15"/>
  <c r="BN256" i="15" s="1"/>
  <c r="BN148" i="15"/>
  <c r="BN260" i="15"/>
  <c r="BN261" i="15" s="1"/>
  <c r="BM301" i="15"/>
  <c r="BO296" i="15"/>
  <c r="BO297" i="15"/>
  <c r="BQ294" i="15"/>
  <c r="BO299" i="15"/>
  <c r="BL10" i="15"/>
  <c r="BK192" i="15"/>
  <c r="BK116" i="15" s="1"/>
  <c r="BL190" i="15"/>
  <c r="BL192" i="15" s="1"/>
  <c r="BL116" i="15" s="1"/>
  <c r="BG126" i="46"/>
  <c r="BL256" i="15"/>
  <c r="BL257" i="15" s="1"/>
  <c r="BL117" i="15" s="1"/>
  <c r="BL301" i="15"/>
  <c r="BL128" i="15" s="1"/>
  <c r="AQ107" i="46"/>
  <c r="BK181" i="15"/>
  <c r="BK177" i="15" s="1"/>
  <c r="BJ13" i="15"/>
  <c r="BL382" i="15"/>
  <c r="AY455" i="15"/>
  <c r="AY17" i="15"/>
  <c r="AY418" i="15"/>
  <c r="BC11" i="15"/>
  <c r="BG9" i="15"/>
  <c r="BG184" i="15"/>
  <c r="BG132" i="15"/>
  <c r="DA84" i="64" s="1"/>
  <c r="BG121" i="15"/>
  <c r="BG123" i="15" s="1"/>
  <c r="BJ56" i="15"/>
  <c r="BJ14" i="46"/>
  <c r="BL15" i="15"/>
  <c r="BL56" i="15" s="1"/>
  <c r="BJ429" i="15"/>
  <c r="BH429" i="15"/>
  <c r="BK429" i="15"/>
  <c r="BI429" i="15"/>
  <c r="BD11" i="15"/>
  <c r="BL126" i="15"/>
  <c r="BL144" i="15"/>
  <c r="R75" i="46"/>
  <c r="R76" i="46" s="1"/>
  <c r="R60" i="47"/>
  <c r="AG75" i="46"/>
  <c r="AG76" i="46" s="1"/>
  <c r="AG60" i="47"/>
  <c r="W75" i="46"/>
  <c r="W60" i="47"/>
  <c r="AL75" i="46"/>
  <c r="AL76" i="46" s="1"/>
  <c r="AL60" i="47"/>
  <c r="AL61" i="47" s="1"/>
  <c r="AM61" i="47" s="1"/>
  <c r="AL27" i="65"/>
  <c r="AH12" i="65"/>
  <c r="AM12" i="65"/>
  <c r="AM16" i="65" s="1"/>
  <c r="AC12" i="65"/>
  <c r="AC16" i="65" s="1"/>
  <c r="N16" i="65"/>
  <c r="N33" i="65"/>
  <c r="N17" i="65"/>
  <c r="S33" i="65"/>
  <c r="S50" i="65"/>
  <c r="S17" i="65"/>
  <c r="S48" i="65"/>
  <c r="S43" i="65"/>
  <c r="W27" i="65"/>
  <c r="BK126" i="46"/>
  <c r="BL22" i="46"/>
  <c r="X33" i="65"/>
  <c r="X50" i="65"/>
  <c r="X48" i="65"/>
  <c r="X43" i="65"/>
  <c r="X17" i="65"/>
  <c r="W74" i="46"/>
  <c r="M74" i="46"/>
  <c r="M76" i="46" s="1"/>
  <c r="AB74" i="46"/>
  <c r="AB76" i="46" s="1"/>
  <c r="BL392" i="15" l="1"/>
  <c r="BH391" i="15"/>
  <c r="BP165" i="15"/>
  <c r="BM10" i="15"/>
  <c r="DA90" i="64"/>
  <c r="CG90" i="64"/>
  <c r="CG91" i="64" s="1"/>
  <c r="CG94" i="64" s="1"/>
  <c r="CG97" i="64" s="1"/>
  <c r="CQ90" i="64"/>
  <c r="CV90" i="64"/>
  <c r="CL90" i="64"/>
  <c r="CL91" i="64" s="1"/>
  <c r="CB90" i="64"/>
  <c r="CB91" i="64" s="1"/>
  <c r="CB94" i="64" s="1"/>
  <c r="CB97" i="64" s="1"/>
  <c r="BN336" i="15"/>
  <c r="BN118" i="15" s="1"/>
  <c r="BO245" i="15"/>
  <c r="BO375" i="15"/>
  <c r="BO194" i="15"/>
  <c r="BO154" i="15" s="1"/>
  <c r="BO158" i="15" s="1"/>
  <c r="BN377" i="15"/>
  <c r="BN120" i="15" s="1"/>
  <c r="BN131" i="15" s="1"/>
  <c r="BN164" i="15"/>
  <c r="BN166" i="15" s="1"/>
  <c r="BO235" i="15"/>
  <c r="BO126" i="15" s="1"/>
  <c r="BM249" i="15"/>
  <c r="BM129" i="15" s="1"/>
  <c r="BM190" i="15"/>
  <c r="BM192" i="15" s="1"/>
  <c r="BM116" i="15" s="1"/>
  <c r="BP367" i="15"/>
  <c r="BP162" i="15"/>
  <c r="BN394" i="15"/>
  <c r="BN15" i="15" s="1"/>
  <c r="BN384" i="15"/>
  <c r="BN142" i="15"/>
  <c r="BN144" i="15" s="1"/>
  <c r="BN248" i="15"/>
  <c r="BN191" i="15" s="1"/>
  <c r="BN10" i="15" s="1"/>
  <c r="BN247" i="15"/>
  <c r="BN195" i="15"/>
  <c r="BM196" i="15"/>
  <c r="BM147" i="15"/>
  <c r="BM394" i="15"/>
  <c r="BQ365" i="15"/>
  <c r="BQ162" i="15" s="1"/>
  <c r="BQ231" i="15"/>
  <c r="DK102" i="64" s="1"/>
  <c r="BP234" i="15"/>
  <c r="BQ234" i="15" s="1"/>
  <c r="BP139" i="15"/>
  <c r="BP233" i="15"/>
  <c r="BN158" i="15"/>
  <c r="BN408" i="15" s="1"/>
  <c r="BN16" i="15" s="1"/>
  <c r="BN15" i="46" s="1"/>
  <c r="BO348" i="15"/>
  <c r="BO350" i="15" s="1"/>
  <c r="BO143" i="15"/>
  <c r="BO150" i="15"/>
  <c r="BO353" i="15"/>
  <c r="BO102" i="46" s="1"/>
  <c r="BM130" i="15"/>
  <c r="BM119" i="15"/>
  <c r="BN119" i="15"/>
  <c r="BN130" i="15"/>
  <c r="BP346" i="15"/>
  <c r="BP157" i="15"/>
  <c r="BQ343" i="15"/>
  <c r="BQ157" i="15" s="1"/>
  <c r="BM128" i="15"/>
  <c r="BO331" i="15"/>
  <c r="BO332" i="15"/>
  <c r="BO335" i="15" s="1"/>
  <c r="BP156" i="15"/>
  <c r="BQ323" i="15"/>
  <c r="BQ156" i="15" s="1"/>
  <c r="BP329" i="15"/>
  <c r="BQ329" i="15" s="1"/>
  <c r="BP326" i="15"/>
  <c r="BO149" i="15"/>
  <c r="BO334" i="15"/>
  <c r="BO255" i="15"/>
  <c r="BO300" i="15"/>
  <c r="BO256" i="15" s="1"/>
  <c r="BO141" i="15"/>
  <c r="BO148" i="15"/>
  <c r="BO260" i="15"/>
  <c r="BO261" i="15" s="1"/>
  <c r="BN301" i="15"/>
  <c r="BQ155" i="15"/>
  <c r="BQ259" i="15"/>
  <c r="BN257" i="15"/>
  <c r="BN117" i="15" s="1"/>
  <c r="BP296" i="15"/>
  <c r="BQ296" i="15" s="1"/>
  <c r="BP297" i="15"/>
  <c r="BQ297" i="15" s="1"/>
  <c r="BP299" i="15"/>
  <c r="BM257" i="15"/>
  <c r="BM117" i="15" s="1"/>
  <c r="W76" i="46"/>
  <c r="BL126" i="46"/>
  <c r="BG133" i="15"/>
  <c r="AY54" i="15"/>
  <c r="AY16" i="46"/>
  <c r="AY18" i="15"/>
  <c r="AY20" i="15" s="1"/>
  <c r="BJ181" i="15"/>
  <c r="BJ177" i="15" s="1"/>
  <c r="BK183" i="15"/>
  <c r="BG11" i="15"/>
  <c r="BJ12" i="46"/>
  <c r="BL13" i="15"/>
  <c r="AQ506" i="15"/>
  <c r="AQ507" i="15"/>
  <c r="AM17" i="65"/>
  <c r="AM50" i="65"/>
  <c r="AM33" i="65"/>
  <c r="AM48" i="65"/>
  <c r="AM43" i="65"/>
  <c r="AH16" i="65"/>
  <c r="AH33" i="65"/>
  <c r="AH48" i="65"/>
  <c r="AH17" i="65"/>
  <c r="AH50" i="65"/>
  <c r="AH43" i="65"/>
  <c r="AC50" i="65"/>
  <c r="AC48" i="65"/>
  <c r="AC17" i="65"/>
  <c r="AC33" i="65"/>
  <c r="AC43" i="65"/>
  <c r="BH392" i="15" l="1"/>
  <c r="BI391" i="15"/>
  <c r="BH388" i="15"/>
  <c r="BH14" i="15" s="1"/>
  <c r="BN382" i="15"/>
  <c r="BN13" i="15" s="1"/>
  <c r="BN12" i="46" s="1"/>
  <c r="CL93" i="64"/>
  <c r="CL94" i="64" s="1"/>
  <c r="CL97" i="64" s="1"/>
  <c r="AR107" i="46"/>
  <c r="BN128" i="15"/>
  <c r="BP235" i="15"/>
  <c r="BP126" i="15" s="1"/>
  <c r="BN147" i="15"/>
  <c r="BN151" i="15" s="1"/>
  <c r="BN196" i="15"/>
  <c r="BM13" i="15"/>
  <c r="BO384" i="15"/>
  <c r="BO382" i="15" s="1"/>
  <c r="BO394" i="15"/>
  <c r="BO15" i="15" s="1"/>
  <c r="BP375" i="15"/>
  <c r="BP245" i="15"/>
  <c r="BP194" i="15"/>
  <c r="BP154" i="15" s="1"/>
  <c r="BP158" i="15" s="1"/>
  <c r="BP408" i="15" s="1"/>
  <c r="BP16" i="15" s="1"/>
  <c r="BO248" i="15"/>
  <c r="BO191" i="15" s="1"/>
  <c r="BO10" i="15" s="1"/>
  <c r="BO142" i="15"/>
  <c r="BO144" i="15" s="1"/>
  <c r="BO247" i="15"/>
  <c r="BO195" i="15"/>
  <c r="BO196" i="15" s="1"/>
  <c r="BQ139" i="15"/>
  <c r="BQ230" i="15"/>
  <c r="BM15" i="15"/>
  <c r="BM151" i="15"/>
  <c r="BN249" i="15"/>
  <c r="BN129" i="15" s="1"/>
  <c r="BN190" i="15"/>
  <c r="BN192" i="15" s="1"/>
  <c r="BN116" i="15" s="1"/>
  <c r="BN56" i="15"/>
  <c r="BN14" i="46"/>
  <c r="BQ367" i="15"/>
  <c r="BQ233" i="15"/>
  <c r="BO377" i="15"/>
  <c r="BO120" i="15" s="1"/>
  <c r="BO131" i="15" s="1"/>
  <c r="BO164" i="15"/>
  <c r="BO166" i="15" s="1"/>
  <c r="BP150" i="15"/>
  <c r="BQ150" i="15" s="1"/>
  <c r="BP353" i="15"/>
  <c r="BP348" i="15"/>
  <c r="BP350" i="15" s="1"/>
  <c r="BP143" i="15"/>
  <c r="BQ346" i="15"/>
  <c r="BO130" i="15"/>
  <c r="BO119" i="15"/>
  <c r="BQ165" i="15"/>
  <c r="BO336" i="15"/>
  <c r="BO118" i="15" s="1"/>
  <c r="BP331" i="15"/>
  <c r="BQ331" i="15" s="1"/>
  <c r="BP332" i="15"/>
  <c r="BP149" i="15"/>
  <c r="BQ149" i="15" s="1"/>
  <c r="BP334" i="15"/>
  <c r="BQ334" i="15" s="1"/>
  <c r="BQ326" i="15"/>
  <c r="BQ325" i="15" s="1"/>
  <c r="BQ260" i="15"/>
  <c r="BQ261" i="15" s="1"/>
  <c r="BP300" i="15"/>
  <c r="BP141" i="15"/>
  <c r="BP148" i="15"/>
  <c r="BP260" i="15"/>
  <c r="BP261" i="15" s="1"/>
  <c r="BO257" i="15"/>
  <c r="BO117" i="15" s="1"/>
  <c r="BP255" i="15"/>
  <c r="BQ299" i="15"/>
  <c r="BO301" i="15"/>
  <c r="AQ504" i="15"/>
  <c r="AR506" i="15"/>
  <c r="AR507" i="15"/>
  <c r="BJ183" i="15"/>
  <c r="BI181" i="15"/>
  <c r="BI177" i="15" s="1"/>
  <c r="AQ505" i="15"/>
  <c r="BK132" i="15"/>
  <c r="BK133" i="15" s="1"/>
  <c r="BK121" i="15"/>
  <c r="BK123" i="15" s="1"/>
  <c r="BK9" i="15" s="1"/>
  <c r="AY125" i="46"/>
  <c r="AY162" i="46"/>
  <c r="BJ391" i="15" l="1"/>
  <c r="BI392" i="15"/>
  <c r="BI388" i="15"/>
  <c r="BI14" i="15" s="1"/>
  <c r="BQ141" i="15"/>
  <c r="BQ235" i="15"/>
  <c r="DK101" i="64" s="1"/>
  <c r="BM14" i="46"/>
  <c r="BM56" i="15"/>
  <c r="BO249" i="15"/>
  <c r="BO129" i="15" s="1"/>
  <c r="BO190" i="15"/>
  <c r="BO192" i="15" s="1"/>
  <c r="BO116" i="15" s="1"/>
  <c r="BP248" i="15"/>
  <c r="BP142" i="15"/>
  <c r="BP144" i="15" s="1"/>
  <c r="BP247" i="15"/>
  <c r="BQ245" i="15"/>
  <c r="BP195" i="15"/>
  <c r="BP196" i="15" s="1"/>
  <c r="BQ375" i="15"/>
  <c r="BQ164" i="15" s="1"/>
  <c r="BQ166" i="15" s="1"/>
  <c r="BQ194" i="15"/>
  <c r="BQ154" i="15" s="1"/>
  <c r="BM12" i="46"/>
  <c r="BO147" i="15"/>
  <c r="BO151" i="15" s="1"/>
  <c r="BP394" i="15"/>
  <c r="BP384" i="15"/>
  <c r="BP377" i="15"/>
  <c r="BP164" i="15"/>
  <c r="BP166" i="15" s="1"/>
  <c r="BO56" i="15"/>
  <c r="BO14" i="46"/>
  <c r="BQ353" i="15"/>
  <c r="BQ102" i="46" s="1"/>
  <c r="BP102" i="46"/>
  <c r="BQ348" i="15"/>
  <c r="BQ350" i="15" s="1"/>
  <c r="BQ143" i="15"/>
  <c r="BQ345" i="15"/>
  <c r="BP130" i="15"/>
  <c r="BP119" i="15"/>
  <c r="BO128" i="15"/>
  <c r="BP335" i="15"/>
  <c r="BQ335" i="15" s="1"/>
  <c r="BQ336" i="15" s="1"/>
  <c r="BQ118" i="15" s="1"/>
  <c r="BQ332" i="15"/>
  <c r="BQ255" i="15"/>
  <c r="BQ148" i="15"/>
  <c r="BP256" i="15"/>
  <c r="BQ300" i="15"/>
  <c r="BQ256" i="15" s="1"/>
  <c r="BP301" i="15"/>
  <c r="AZ455" i="15"/>
  <c r="AZ17" i="15"/>
  <c r="AZ418" i="15"/>
  <c r="BH181" i="15"/>
  <c r="BI183" i="15"/>
  <c r="AR504" i="15"/>
  <c r="AR505" i="15"/>
  <c r="BK11" i="15"/>
  <c r="BJ121" i="15"/>
  <c r="BJ123" i="15" s="1"/>
  <c r="BJ9" i="15" s="1"/>
  <c r="BJ132" i="15"/>
  <c r="BJ133" i="15" s="1"/>
  <c r="BA17" i="46"/>
  <c r="BQ158" i="15" l="1"/>
  <c r="BP382" i="15"/>
  <c r="BP13" i="15" s="1"/>
  <c r="BK391" i="15"/>
  <c r="BJ392" i="15"/>
  <c r="BH177" i="15"/>
  <c r="BH183" i="15" s="1"/>
  <c r="BQ396" i="15"/>
  <c r="DK103" i="64"/>
  <c r="BP336" i="15"/>
  <c r="BP118" i="15" s="1"/>
  <c r="BQ257" i="15"/>
  <c r="BQ117" i="15" s="1"/>
  <c r="BQ377" i="15"/>
  <c r="BQ120" i="15" s="1"/>
  <c r="BQ131" i="15" s="1"/>
  <c r="BP120" i="15"/>
  <c r="BP131" i="15" s="1"/>
  <c r="BO13" i="15"/>
  <c r="BQ181" i="15"/>
  <c r="BQ177" i="15" s="1"/>
  <c r="BQ142" i="15"/>
  <c r="BQ144" i="15" s="1"/>
  <c r="BQ244" i="15"/>
  <c r="BQ195" i="15"/>
  <c r="BP15" i="15"/>
  <c r="BQ394" i="15"/>
  <c r="BQ384" i="15"/>
  <c r="BP147" i="15"/>
  <c r="BP151" i="15" s="1"/>
  <c r="BP249" i="15"/>
  <c r="BP129" i="15" s="1"/>
  <c r="BQ247" i="15"/>
  <c r="BP190" i="15"/>
  <c r="BQ248" i="15"/>
  <c r="BQ191" i="15" s="1"/>
  <c r="BP191" i="15"/>
  <c r="BP10" i="15" s="1"/>
  <c r="BQ10" i="15" s="1"/>
  <c r="BQ126" i="15"/>
  <c r="BQ130" i="15"/>
  <c r="BQ119" i="15"/>
  <c r="BP257" i="15"/>
  <c r="BP117" i="15" s="1"/>
  <c r="BQ301" i="15"/>
  <c r="BQ128" i="15" s="1"/>
  <c r="BJ11" i="15"/>
  <c r="BI132" i="15"/>
  <c r="BI133" i="15" s="1"/>
  <c r="BI121" i="15"/>
  <c r="BI123" i="15" s="1"/>
  <c r="BI9" i="15" s="1"/>
  <c r="AZ54" i="15"/>
  <c r="AZ16" i="46"/>
  <c r="AS500" i="15"/>
  <c r="BB17" i="46"/>
  <c r="BF17" i="46"/>
  <c r="BQ196" i="15" l="1"/>
  <c r="DK55" i="64"/>
  <c r="BQ382" i="15"/>
  <c r="BQ391" i="15" s="1"/>
  <c r="AS498" i="15"/>
  <c r="AS511" i="15" s="1"/>
  <c r="BK392" i="15"/>
  <c r="BK388" i="15"/>
  <c r="BK14" i="15" s="1"/>
  <c r="BH121" i="15"/>
  <c r="BH123" i="15" s="1"/>
  <c r="BH9" i="15" s="1"/>
  <c r="BH11" i="15" s="1"/>
  <c r="BL183" i="15"/>
  <c r="BL24" i="64" s="1"/>
  <c r="BH132" i="15"/>
  <c r="BH133" i="15" s="1"/>
  <c r="BP128" i="15"/>
  <c r="BP192" i="15"/>
  <c r="BP116" i="15" s="1"/>
  <c r="BQ147" i="15"/>
  <c r="BQ151" i="15" s="1"/>
  <c r="BQ249" i="15"/>
  <c r="BQ129" i="15" s="1"/>
  <c r="BQ190" i="15"/>
  <c r="BQ192" i="15" s="1"/>
  <c r="BQ116" i="15" s="1"/>
  <c r="BP56" i="15"/>
  <c r="BQ15" i="15"/>
  <c r="BQ56" i="15" s="1"/>
  <c r="BP181" i="15"/>
  <c r="BP177" i="15" s="1"/>
  <c r="BO12" i="46"/>
  <c r="BQ13" i="15"/>
  <c r="AZ125" i="46"/>
  <c r="AZ162" i="46"/>
  <c r="BI11" i="15"/>
  <c r="BG17" i="46"/>
  <c r="BK17" i="46"/>
  <c r="BQ392" i="15" l="1"/>
  <c r="BL184" i="15"/>
  <c r="AS499" i="15"/>
  <c r="AS21" i="65"/>
  <c r="BL9" i="15"/>
  <c r="BL11" i="15" s="1"/>
  <c r="BL132" i="15"/>
  <c r="DF84" i="64" s="1"/>
  <c r="DF90" i="64" s="1"/>
  <c r="BL121" i="15"/>
  <c r="BL123" i="15" s="1"/>
  <c r="BO181" i="15"/>
  <c r="BO177" i="15" s="1"/>
  <c r="BP183" i="15"/>
  <c r="BA455" i="15"/>
  <c r="BB455" i="15" s="1"/>
  <c r="BA17" i="15"/>
  <c r="BA418" i="15"/>
  <c r="BL17" i="46"/>
  <c r="BM391" i="15" l="1"/>
  <c r="BN391" i="15" s="1"/>
  <c r="BO391" i="15" s="1"/>
  <c r="AS23" i="65"/>
  <c r="AS26" i="65" s="1"/>
  <c r="BL133" i="15"/>
  <c r="BN392" i="15"/>
  <c r="BP121" i="15"/>
  <c r="BP123" i="15" s="1"/>
  <c r="BP9" i="15" s="1"/>
  <c r="BP11" i="15" s="1"/>
  <c r="BP132" i="15"/>
  <c r="BP133" i="15" s="1"/>
  <c r="BN181" i="15"/>
  <c r="BN177" i="15" s="1"/>
  <c r="BO183" i="15"/>
  <c r="BB418" i="15"/>
  <c r="BA54" i="15"/>
  <c r="BA16" i="46"/>
  <c r="BA18" i="15"/>
  <c r="BA20" i="15" s="1"/>
  <c r="BB17" i="15"/>
  <c r="BN388" i="15" l="1"/>
  <c r="BN14" i="15" s="1"/>
  <c r="BM388" i="15"/>
  <c r="BM14" i="15" s="1"/>
  <c r="BM392" i="15"/>
  <c r="AS27" i="65"/>
  <c r="BO392" i="15"/>
  <c r="BP391" i="15"/>
  <c r="CV104" i="64"/>
  <c r="CV106" i="64" s="1"/>
  <c r="CV52" i="64"/>
  <c r="BM181" i="15"/>
  <c r="BN183" i="15"/>
  <c r="BO132" i="15"/>
  <c r="BO133" i="15" s="1"/>
  <c r="BO121" i="15"/>
  <c r="BO123" i="15" s="1"/>
  <c r="BO9" i="15" s="1"/>
  <c r="BO11" i="15" s="1"/>
  <c r="AS501" i="15"/>
  <c r="AS497" i="15"/>
  <c r="BB54" i="15"/>
  <c r="BA125" i="46"/>
  <c r="BB125" i="46" s="1"/>
  <c r="BB16" i="46"/>
  <c r="BA162" i="46"/>
  <c r="BC455" i="15"/>
  <c r="BC17" i="15"/>
  <c r="BP392" i="15" l="1"/>
  <c r="BP388" i="15"/>
  <c r="BP14" i="15" s="1"/>
  <c r="BM177" i="15"/>
  <c r="BM183" i="15" s="1"/>
  <c r="BN121" i="15"/>
  <c r="BN123" i="15" s="1"/>
  <c r="BN9" i="15" s="1"/>
  <c r="BN11" i="15" s="1"/>
  <c r="BN132" i="15"/>
  <c r="BN133" i="15" s="1"/>
  <c r="BC54" i="15"/>
  <c r="BC16" i="46"/>
  <c r="BC18" i="15"/>
  <c r="BC20" i="15" s="1"/>
  <c r="AS510" i="15"/>
  <c r="BB162" i="46"/>
  <c r="BM132" i="15" l="1"/>
  <c r="BM133" i="15" s="1"/>
  <c r="BQ183" i="15"/>
  <c r="BQ24" i="64" s="1"/>
  <c r="BM121" i="15"/>
  <c r="BM123" i="15" s="1"/>
  <c r="BM9" i="15" s="1"/>
  <c r="BQ9" i="15" s="1"/>
  <c r="BQ11" i="15" s="1"/>
  <c r="BC162" i="46"/>
  <c r="BD455" i="15"/>
  <c r="BD17" i="15"/>
  <c r="BD418" i="15"/>
  <c r="BC125" i="46"/>
  <c r="BQ132" i="15" l="1"/>
  <c r="DK84" i="64" s="1"/>
  <c r="DK90" i="64" s="1"/>
  <c r="BQ184" i="15"/>
  <c r="BQ121" i="15"/>
  <c r="BQ123" i="15" s="1"/>
  <c r="BM11" i="15"/>
  <c r="BQ133" i="15"/>
  <c r="BD54" i="15"/>
  <c r="BD16" i="46"/>
  <c r="BD18" i="15"/>
  <c r="BD20" i="15" s="1"/>
  <c r="BD125" i="46" l="1"/>
  <c r="BD162" i="46"/>
  <c r="BE455" i="15" l="1"/>
  <c r="BE17" i="15"/>
  <c r="BE418" i="15"/>
  <c r="AS506" i="15"/>
  <c r="AS505" i="15"/>
  <c r="AS507" i="15"/>
  <c r="BE54" i="15" l="1"/>
  <c r="BE16" i="46"/>
  <c r="AS504" i="15"/>
  <c r="BE125" i="46" l="1"/>
  <c r="BE162" i="46"/>
  <c r="BF455" i="15" l="1"/>
  <c r="BG455" i="15" s="1"/>
  <c r="BF17" i="15"/>
  <c r="BF418" i="15"/>
  <c r="BG418" i="15" l="1"/>
  <c r="BF54" i="15"/>
  <c r="BF16" i="46"/>
  <c r="BF18" i="15"/>
  <c r="BF20" i="15" s="1"/>
  <c r="BG17" i="15"/>
  <c r="DA52" i="64" l="1"/>
  <c r="DA104" i="64"/>
  <c r="DA106" i="64" s="1"/>
  <c r="BH455" i="15"/>
  <c r="BH17" i="15"/>
  <c r="BG54" i="15"/>
  <c r="BF125" i="46"/>
  <c r="BG125" i="46" s="1"/>
  <c r="BG16" i="46"/>
  <c r="BF162" i="46"/>
  <c r="BH418" i="15"/>
  <c r="BG162" i="46" l="1"/>
  <c r="BH54" i="15"/>
  <c r="BH16" i="46"/>
  <c r="BH18" i="15"/>
  <c r="BH20" i="15" s="1"/>
  <c r="BI418" i="15" l="1"/>
  <c r="BH125" i="46"/>
  <c r="BH162" i="46"/>
  <c r="BI17" i="15" l="1"/>
  <c r="BI54" i="15" s="1"/>
  <c r="BJ418" i="15"/>
  <c r="BI455" i="15"/>
  <c r="BJ17" i="15" l="1"/>
  <c r="BJ54" i="15" s="1"/>
  <c r="BI16" i="46"/>
  <c r="BI18" i="15"/>
  <c r="BI20" i="15" s="1"/>
  <c r="BJ455" i="15"/>
  <c r="BK17" i="15"/>
  <c r="BI125" i="46" l="1"/>
  <c r="BJ16" i="46"/>
  <c r="BJ125" i="46" s="1"/>
  <c r="BK455" i="15"/>
  <c r="BL455" i="15" s="1"/>
  <c r="BI162" i="46"/>
  <c r="BK418" i="15"/>
  <c r="BK54" i="15"/>
  <c r="BK16" i="46"/>
  <c r="BK18" i="15"/>
  <c r="BK20" i="15" s="1"/>
  <c r="BL17" i="15"/>
  <c r="BJ162" i="46" l="1"/>
  <c r="BK162" i="46" s="1"/>
  <c r="DF104" i="64"/>
  <c r="DF106" i="64" s="1"/>
  <c r="DF52" i="64"/>
  <c r="BL418" i="15"/>
  <c r="BQ419" i="15"/>
  <c r="BL54" i="15"/>
  <c r="BK125" i="46"/>
  <c r="BL125" i="46" s="1"/>
  <c r="BL16" i="46"/>
  <c r="BM418" i="15" l="1"/>
  <c r="BM455" i="15"/>
  <c r="BM54" i="15"/>
  <c r="BM18" i="15"/>
  <c r="BM20" i="15" s="1"/>
  <c r="BM16" i="46"/>
  <c r="BL162" i="46"/>
  <c r="BM162" i="46" l="1"/>
  <c r="BM125" i="46"/>
  <c r="BN455" i="15"/>
  <c r="BN17" i="15"/>
  <c r="BN54" i="15" l="1"/>
  <c r="BN18" i="15"/>
  <c r="BN20" i="15" s="1"/>
  <c r="BN16" i="46"/>
  <c r="BO17" i="15"/>
  <c r="BO455" i="15"/>
  <c r="BO418" i="15"/>
  <c r="BO54" i="15" l="1"/>
  <c r="BO16" i="46"/>
  <c r="BO125" i="46" s="1"/>
  <c r="BN125" i="46"/>
  <c r="BN162" i="46"/>
  <c r="BO162" i="46" l="1"/>
  <c r="BP17" i="15"/>
  <c r="BP455" i="15"/>
  <c r="BQ455" i="15" s="1"/>
  <c r="BP418" i="15"/>
  <c r="BQ418" i="15" l="1"/>
  <c r="BP54" i="15"/>
  <c r="BP18" i="15"/>
  <c r="BP20" i="15" s="1"/>
  <c r="BP16" i="46"/>
  <c r="BQ17" i="15"/>
  <c r="DK104" i="64" l="1"/>
  <c r="DK106" i="64" s="1"/>
  <c r="DK52" i="64"/>
  <c r="BQ54" i="15"/>
  <c r="BP125" i="46"/>
  <c r="BQ125" i="46" s="1"/>
  <c r="BQ16" i="46"/>
  <c r="BP162" i="46"/>
  <c r="BQ162" i="46" s="1"/>
  <c r="DC33" i="65" l="1"/>
  <c r="AR10" i="65" l="1"/>
  <c r="AR8" i="64" s="1"/>
  <c r="AR25" i="64" s="1"/>
  <c r="DC43" i="65"/>
  <c r="AQ20" i="65" l="1"/>
  <c r="AQ23" i="65" s="1"/>
  <c r="AQ26" i="65" l="1"/>
  <c r="AQ27" i="65"/>
  <c r="AR20" i="65"/>
  <c r="AR23" i="65" l="1"/>
  <c r="AR26" i="65" s="1"/>
  <c r="AR27" i="65" l="1"/>
  <c r="AW22" i="65" l="1"/>
  <c r="AU22" i="65"/>
  <c r="AV22" i="65"/>
  <c r="BA22" i="65" l="1"/>
  <c r="BA23" i="51"/>
  <c r="BA23" i="46" s="1"/>
  <c r="AZ23" i="51"/>
  <c r="AR221" i="46"/>
  <c r="AP25" i="46"/>
  <c r="AP27" i="46" s="1"/>
  <c r="AP34" i="46" s="1"/>
  <c r="BA26" i="51" l="1"/>
  <c r="BA27" i="51" s="1"/>
  <c r="BF22" i="65" s="1"/>
  <c r="AP100" i="46"/>
  <c r="AP99" i="46"/>
  <c r="BB23" i="51"/>
  <c r="BF23" i="51"/>
  <c r="BF23" i="46" s="1"/>
  <c r="BE23" i="51"/>
  <c r="BJ23" i="51" s="1"/>
  <c r="BO23" i="51" s="1"/>
  <c r="AZ23" i="46"/>
  <c r="AR222" i="46"/>
  <c r="AP37" i="46"/>
  <c r="AP41" i="46" s="1"/>
  <c r="AP246" i="46" s="1"/>
  <c r="AP28" i="46"/>
  <c r="BF26" i="51" l="1"/>
  <c r="BF27" i="51" s="1"/>
  <c r="BK22" i="65" s="1"/>
  <c r="BK23" i="51"/>
  <c r="BK23" i="46" s="1"/>
  <c r="BE23" i="46"/>
  <c r="BG23" i="46" s="1"/>
  <c r="BG23" i="51"/>
  <c r="BO23" i="46"/>
  <c r="BB23" i="46"/>
  <c r="AP129" i="46"/>
  <c r="AP49" i="46"/>
  <c r="AP43" i="46"/>
  <c r="AP50" i="46" s="1"/>
  <c r="AP63" i="46" s="1"/>
  <c r="BJ23" i="46"/>
  <c r="BL23" i="51" l="1"/>
  <c r="BP23" i="51"/>
  <c r="BK26" i="51"/>
  <c r="BK27" i="51" s="1"/>
  <c r="BP22" i="65" s="1"/>
  <c r="AP51" i="46"/>
  <c r="BL23" i="46"/>
  <c r="BP23" i="46" l="1"/>
  <c r="BQ23" i="46" s="1"/>
  <c r="BP26" i="51"/>
  <c r="BP27" i="51" s="1"/>
  <c r="BQ23" i="51"/>
  <c r="AP247" i="46"/>
  <c r="AP134" i="46" l="1"/>
  <c r="AP147" i="46" s="1"/>
  <c r="AP151" i="46" s="1"/>
  <c r="AQ149" i="46" s="1"/>
  <c r="AQ151" i="46" s="1"/>
  <c r="AR151" i="46" s="1"/>
  <c r="AS149" i="46" s="1"/>
  <c r="AS151" i="46" s="1"/>
  <c r="AT149" i="46" s="1"/>
  <c r="AP164" i="46" l="1"/>
  <c r="AP177" i="46" l="1"/>
  <c r="AP184" i="46" s="1"/>
  <c r="AP195" i="46" s="1"/>
  <c r="AP159" i="46" l="1"/>
  <c r="AP171" i="46" s="1"/>
  <c r="AP197" i="46" s="1"/>
  <c r="AZ408" i="15" l="1"/>
  <c r="BB408" i="15" l="1"/>
  <c r="AZ16" i="15"/>
  <c r="BE408" i="15"/>
  <c r="BO408" i="15" l="1"/>
  <c r="BG408" i="15"/>
  <c r="BE16" i="15"/>
  <c r="BJ408" i="15"/>
  <c r="AZ15" i="46"/>
  <c r="BB16" i="15"/>
  <c r="CV105" i="64" s="1"/>
  <c r="CV107" i="64" s="1"/>
  <c r="BO16" i="15" l="1"/>
  <c r="BQ408" i="15"/>
  <c r="BL408" i="15"/>
  <c r="BJ16" i="15"/>
  <c r="BG16" i="15"/>
  <c r="DA105" i="64" s="1"/>
  <c r="DA107" i="64" s="1"/>
  <c r="BE15" i="46"/>
  <c r="BQ16" i="15" l="1"/>
  <c r="DK105" i="64" s="1"/>
  <c r="DK107" i="64" s="1"/>
  <c r="BO15" i="46"/>
  <c r="BJ15" i="46"/>
  <c r="BL16" i="15"/>
  <c r="DF105" i="64" s="1"/>
  <c r="DF107" i="64" s="1"/>
  <c r="AW390" i="15" l="1"/>
  <c r="BB390" i="15" l="1"/>
  <c r="AZ388" i="15"/>
  <c r="BE388" i="15" l="1"/>
  <c r="BG388" i="15" s="1"/>
  <c r="BB388" i="15"/>
  <c r="AZ14" i="15"/>
  <c r="BE14" i="15" l="1"/>
  <c r="BG14" i="15" s="1"/>
  <c r="BG18" i="15" s="1"/>
  <c r="BG20" i="15" s="1"/>
  <c r="BJ388" i="15"/>
  <c r="BL388" i="15" s="1"/>
  <c r="BO388" i="15"/>
  <c r="BO14" i="15" s="1"/>
  <c r="AZ18" i="15"/>
  <c r="AZ20" i="15" s="1"/>
  <c r="BB14" i="15"/>
  <c r="BB18" i="15" s="1"/>
  <c r="BB20" i="15" s="1"/>
  <c r="BE18" i="15" l="1"/>
  <c r="BE20" i="15" s="1"/>
  <c r="BJ14" i="15"/>
  <c r="BJ18" i="15" s="1"/>
  <c r="BJ20" i="15" s="1"/>
  <c r="BQ388" i="15"/>
  <c r="BQ14" i="15"/>
  <c r="BQ18" i="15" s="1"/>
  <c r="BQ20" i="15" s="1"/>
  <c r="BO18" i="15"/>
  <c r="BO20" i="15" s="1"/>
  <c r="BL14" i="15" l="1"/>
  <c r="BL18" i="15" s="1"/>
  <c r="BL20" i="15" s="1"/>
  <c r="AP58" i="51" l="1"/>
  <c r="EA83" i="64" l="1"/>
  <c r="EA78" i="64"/>
  <c r="EA82" i="64"/>
  <c r="EA85" i="64"/>
  <c r="EA68" i="64"/>
  <c r="EA79" i="64"/>
  <c r="EA77" i="64"/>
  <c r="EA66" i="64"/>
  <c r="EA75" i="64"/>
  <c r="EA74" i="64"/>
  <c r="EA76" i="64"/>
  <c r="DU65" i="64"/>
  <c r="DU66" i="64" s="1"/>
  <c r="DU67" i="64" s="1"/>
  <c r="DU68" i="64" s="1"/>
  <c r="DU69" i="64" s="1"/>
  <c r="DU70" i="64" s="1"/>
  <c r="DU71" i="64" s="1"/>
  <c r="DU72" i="64" s="1"/>
  <c r="DU73" i="64" s="1"/>
  <c r="DU74" i="64" s="1"/>
  <c r="DU75" i="64" s="1"/>
  <c r="DU76" i="64" s="1"/>
  <c r="DU77" i="64" s="1"/>
  <c r="DU78" i="64" s="1"/>
  <c r="DU79" i="64" s="1"/>
  <c r="DU80" i="64" s="1"/>
  <c r="DU81" i="64" s="1"/>
  <c r="DU82" i="64" s="1"/>
  <c r="DU83" i="64" s="1"/>
  <c r="DU84" i="64" s="1"/>
  <c r="DU85" i="64" s="1"/>
  <c r="EA84" i="64"/>
  <c r="EA67" i="64"/>
  <c r="EA71" i="64"/>
  <c r="EA69" i="64"/>
  <c r="EA73" i="64"/>
  <c r="EA81" i="64"/>
  <c r="EA80" i="64"/>
  <c r="EA65" i="64"/>
  <c r="EA72" i="64"/>
  <c r="EA70" i="64"/>
  <c r="EB71" i="64" l="1"/>
  <c r="EC72" i="64" s="1"/>
  <c r="ED73" i="64" s="1"/>
  <c r="EE74" i="64" s="1"/>
  <c r="EF75" i="64" s="1"/>
  <c r="EG76" i="64" s="1"/>
  <c r="EH77" i="64" s="1"/>
  <c r="EI78" i="64" s="1"/>
  <c r="EJ79" i="64" s="1"/>
  <c r="EK80" i="64" s="1"/>
  <c r="EL81" i="64" s="1"/>
  <c r="EM82" i="64" s="1"/>
  <c r="EN83" i="64" s="1"/>
  <c r="EO84" i="64" s="1"/>
  <c r="EP85" i="64" s="1"/>
  <c r="EB68" i="64"/>
  <c r="EC69" i="64" s="1"/>
  <c r="ED70" i="64" s="1"/>
  <c r="EE71" i="64" s="1"/>
  <c r="EF72" i="64" s="1"/>
  <c r="EG73" i="64" s="1"/>
  <c r="EH74" i="64" s="1"/>
  <c r="EI75" i="64" s="1"/>
  <c r="EJ76" i="64" s="1"/>
  <c r="EK77" i="64" s="1"/>
  <c r="EL78" i="64" s="1"/>
  <c r="EM79" i="64" s="1"/>
  <c r="EN80" i="64" s="1"/>
  <c r="EO81" i="64" s="1"/>
  <c r="EP82" i="64" s="1"/>
  <c r="EQ83" i="64" s="1"/>
  <c r="ER84" i="64" s="1"/>
  <c r="ES85" i="64" s="1"/>
  <c r="EB75" i="64"/>
  <c r="EC76" i="64" s="1"/>
  <c r="ED77" i="64" s="1"/>
  <c r="EE78" i="64" s="1"/>
  <c r="EF79" i="64" s="1"/>
  <c r="EG80" i="64" s="1"/>
  <c r="EH81" i="64" s="1"/>
  <c r="EI82" i="64" s="1"/>
  <c r="EJ83" i="64" s="1"/>
  <c r="EK84" i="64" s="1"/>
  <c r="EL85" i="64" s="1"/>
  <c r="EB80" i="64"/>
  <c r="EC81" i="64" s="1"/>
  <c r="ED82" i="64" s="1"/>
  <c r="EE83" i="64" s="1"/>
  <c r="EF84" i="64" s="1"/>
  <c r="EG85" i="64" s="1"/>
  <c r="EB79" i="64"/>
  <c r="EC80" i="64" s="1"/>
  <c r="ED81" i="64" s="1"/>
  <c r="EE82" i="64" s="1"/>
  <c r="EF83" i="64" s="1"/>
  <c r="EG84" i="64" s="1"/>
  <c r="EH85" i="64" s="1"/>
  <c r="EB73" i="64"/>
  <c r="EC74" i="64" s="1"/>
  <c r="ED75" i="64" s="1"/>
  <c r="EE76" i="64" s="1"/>
  <c r="EF77" i="64" s="1"/>
  <c r="EG78" i="64" s="1"/>
  <c r="EH79" i="64" s="1"/>
  <c r="EI80" i="64" s="1"/>
  <c r="EJ81" i="64" s="1"/>
  <c r="EK82" i="64" s="1"/>
  <c r="EL83" i="64" s="1"/>
  <c r="EM84" i="64" s="1"/>
  <c r="EN85" i="64" s="1"/>
  <c r="EB74" i="64"/>
  <c r="EC75" i="64" s="1"/>
  <c r="ED76" i="64" s="1"/>
  <c r="EE77" i="64" s="1"/>
  <c r="EF78" i="64" s="1"/>
  <c r="EG79" i="64" s="1"/>
  <c r="EH80" i="64" s="1"/>
  <c r="EI81" i="64" s="1"/>
  <c r="EJ82" i="64" s="1"/>
  <c r="EK83" i="64" s="1"/>
  <c r="EL84" i="64" s="1"/>
  <c r="EM85" i="64" s="1"/>
  <c r="EB85" i="64"/>
  <c r="EB76" i="64"/>
  <c r="EC77" i="64" s="1"/>
  <c r="ED78" i="64" s="1"/>
  <c r="EE79" i="64" s="1"/>
  <c r="EF80" i="64" s="1"/>
  <c r="EG81" i="64" s="1"/>
  <c r="EH82" i="64" s="1"/>
  <c r="EI83" i="64" s="1"/>
  <c r="EJ84" i="64" s="1"/>
  <c r="EK85" i="64" s="1"/>
  <c r="EB69" i="64"/>
  <c r="EC70" i="64" s="1"/>
  <c r="ED71" i="64" s="1"/>
  <c r="EE72" i="64" s="1"/>
  <c r="EF73" i="64" s="1"/>
  <c r="EG74" i="64" s="1"/>
  <c r="EH75" i="64" s="1"/>
  <c r="EI76" i="64" s="1"/>
  <c r="EJ77" i="64" s="1"/>
  <c r="EK78" i="64" s="1"/>
  <c r="EL79" i="64" s="1"/>
  <c r="EM80" i="64" s="1"/>
  <c r="EN81" i="64" s="1"/>
  <c r="EO82" i="64" s="1"/>
  <c r="EP83" i="64" s="1"/>
  <c r="EQ84" i="64" s="1"/>
  <c r="ER85" i="64" s="1"/>
  <c r="EB84" i="64"/>
  <c r="EC85" i="64" s="1"/>
  <c r="DU86" i="64"/>
  <c r="DV85" i="64"/>
  <c r="DW85" i="64" s="1"/>
  <c r="EB67" i="64"/>
  <c r="EC68" i="64" s="1"/>
  <c r="ED69" i="64" s="1"/>
  <c r="EE70" i="64" s="1"/>
  <c r="EF71" i="64" s="1"/>
  <c r="EG72" i="64" s="1"/>
  <c r="EH73" i="64" s="1"/>
  <c r="EI74" i="64" s="1"/>
  <c r="EJ75" i="64" s="1"/>
  <c r="EK76" i="64" s="1"/>
  <c r="EL77" i="64" s="1"/>
  <c r="EM78" i="64" s="1"/>
  <c r="EN79" i="64" s="1"/>
  <c r="EO80" i="64" s="1"/>
  <c r="EP81" i="64" s="1"/>
  <c r="EQ82" i="64" s="1"/>
  <c r="ER83" i="64" s="1"/>
  <c r="ES84" i="64" s="1"/>
  <c r="ET85" i="64" s="1"/>
  <c r="EB82" i="64"/>
  <c r="EC83" i="64" s="1"/>
  <c r="ED84" i="64" s="1"/>
  <c r="EE85" i="64" s="1"/>
  <c r="EV65" i="64"/>
  <c r="EB66" i="64"/>
  <c r="EC67" i="64" s="1"/>
  <c r="ED68" i="64" s="1"/>
  <c r="EE69" i="64" s="1"/>
  <c r="EF70" i="64" s="1"/>
  <c r="EG71" i="64" s="1"/>
  <c r="EH72" i="64" s="1"/>
  <c r="EI73" i="64" s="1"/>
  <c r="EJ74" i="64" s="1"/>
  <c r="EK75" i="64" s="1"/>
  <c r="EL76" i="64" s="1"/>
  <c r="EM77" i="64" s="1"/>
  <c r="EN78" i="64" s="1"/>
  <c r="EO79" i="64" s="1"/>
  <c r="EP80" i="64" s="1"/>
  <c r="EQ81" i="64" s="1"/>
  <c r="ER82" i="64" s="1"/>
  <c r="ES83" i="64" s="1"/>
  <c r="ET84" i="64" s="1"/>
  <c r="EU85" i="64" s="1"/>
  <c r="EB70" i="64"/>
  <c r="EC71" i="64" s="1"/>
  <c r="ED72" i="64" s="1"/>
  <c r="EE73" i="64" s="1"/>
  <c r="EF74" i="64" s="1"/>
  <c r="EG75" i="64" s="1"/>
  <c r="EH76" i="64" s="1"/>
  <c r="EI77" i="64" s="1"/>
  <c r="EJ78" i="64" s="1"/>
  <c r="EK79" i="64" s="1"/>
  <c r="EL80" i="64" s="1"/>
  <c r="EM81" i="64" s="1"/>
  <c r="EN82" i="64" s="1"/>
  <c r="EO83" i="64" s="1"/>
  <c r="EP84" i="64" s="1"/>
  <c r="EQ85" i="64" s="1"/>
  <c r="EB81" i="64"/>
  <c r="EC82" i="64" s="1"/>
  <c r="ED83" i="64" s="1"/>
  <c r="EE84" i="64" s="1"/>
  <c r="EF85" i="64" s="1"/>
  <c r="EB72" i="64"/>
  <c r="EC73" i="64" s="1"/>
  <c r="ED74" i="64" s="1"/>
  <c r="EE75" i="64" s="1"/>
  <c r="EF76" i="64" s="1"/>
  <c r="EG77" i="64" s="1"/>
  <c r="EH78" i="64" s="1"/>
  <c r="EI79" i="64" s="1"/>
  <c r="EJ80" i="64" s="1"/>
  <c r="EK81" i="64" s="1"/>
  <c r="EL82" i="64" s="1"/>
  <c r="EM83" i="64" s="1"/>
  <c r="EN84" i="64" s="1"/>
  <c r="EO85" i="64" s="1"/>
  <c r="EB77" i="64"/>
  <c r="EC78" i="64" s="1"/>
  <c r="ED79" i="64" s="1"/>
  <c r="EE80" i="64" s="1"/>
  <c r="EF81" i="64" s="1"/>
  <c r="EG82" i="64" s="1"/>
  <c r="EH83" i="64" s="1"/>
  <c r="EI84" i="64" s="1"/>
  <c r="EJ85" i="64" s="1"/>
  <c r="EB78" i="64"/>
  <c r="EC79" i="64" s="1"/>
  <c r="ED80" i="64" s="1"/>
  <c r="EE81" i="64" s="1"/>
  <c r="EF82" i="64" s="1"/>
  <c r="EG83" i="64" s="1"/>
  <c r="EH84" i="64" s="1"/>
  <c r="EI85" i="64" s="1"/>
  <c r="EB83" i="64"/>
  <c r="EC84" i="64" s="1"/>
  <c r="ED85" i="64" s="1"/>
  <c r="EV71" i="64" l="1"/>
  <c r="DT70" i="64" s="1"/>
  <c r="DV70" i="64" s="1"/>
  <c r="DW70" i="64" s="1"/>
  <c r="EV84" i="64"/>
  <c r="DT83" i="64" s="1"/>
  <c r="DV83" i="64" s="1"/>
  <c r="DW83" i="64" s="1"/>
  <c r="EV68" i="64"/>
  <c r="DT67" i="64" s="1"/>
  <c r="DV67" i="64" s="1"/>
  <c r="DW67" i="64" s="1"/>
  <c r="EV67" i="64"/>
  <c r="DT66" i="64" s="1"/>
  <c r="DV66" i="64" s="1"/>
  <c r="DW66" i="64" s="1"/>
  <c r="EV79" i="64"/>
  <c r="DT78" i="64" s="1"/>
  <c r="DV78" i="64" s="1"/>
  <c r="DW78" i="64" s="1"/>
  <c r="EV77" i="64"/>
  <c r="DT76" i="64" s="1"/>
  <c r="DV76" i="64" s="1"/>
  <c r="DW76" i="64" s="1"/>
  <c r="EV69" i="64"/>
  <c r="DT68" i="64" s="1"/>
  <c r="DV68" i="64" s="1"/>
  <c r="DW68" i="64" s="1"/>
  <c r="EV81" i="64"/>
  <c r="DT80" i="64" s="1"/>
  <c r="DV80" i="64" s="1"/>
  <c r="DW80" i="64" s="1"/>
  <c r="EV72" i="64"/>
  <c r="DT71" i="64" s="1"/>
  <c r="DV71" i="64" s="1"/>
  <c r="DW71" i="64" s="1"/>
  <c r="DU87" i="64"/>
  <c r="DV86" i="64"/>
  <c r="DW86" i="64" s="1"/>
  <c r="EV82" i="64"/>
  <c r="DT81" i="64" s="1"/>
  <c r="DV81" i="64" s="1"/>
  <c r="DW81" i="64" s="1"/>
  <c r="EV76" i="64"/>
  <c r="DT75" i="64" s="1"/>
  <c r="DV75" i="64" s="1"/>
  <c r="DW75" i="64" s="1"/>
  <c r="EV80" i="64"/>
  <c r="DT79" i="64" s="1"/>
  <c r="DV79" i="64" s="1"/>
  <c r="DW79" i="64" s="1"/>
  <c r="EV66" i="64"/>
  <c r="DT65" i="64" s="1"/>
  <c r="DV65" i="64" s="1"/>
  <c r="DW65" i="64" s="1"/>
  <c r="EV83" i="64"/>
  <c r="DT82" i="64" s="1"/>
  <c r="DV82" i="64" s="1"/>
  <c r="DW82" i="64" s="1"/>
  <c r="EV75" i="64"/>
  <c r="DT74" i="64" s="1"/>
  <c r="DV74" i="64" s="1"/>
  <c r="DW74" i="64" s="1"/>
  <c r="EV73" i="64"/>
  <c r="DT72" i="64" s="1"/>
  <c r="DV72" i="64" s="1"/>
  <c r="DW72" i="64" s="1"/>
  <c r="EV78" i="64"/>
  <c r="DT77" i="64" s="1"/>
  <c r="DV77" i="64" s="1"/>
  <c r="DW77" i="64" s="1"/>
  <c r="EV74" i="64"/>
  <c r="DT73" i="64" s="1"/>
  <c r="DV73" i="64" s="1"/>
  <c r="DW73" i="64" s="1"/>
  <c r="EV70" i="64"/>
  <c r="DT69" i="64" s="1"/>
  <c r="DV69" i="64" s="1"/>
  <c r="DW69" i="64" s="1"/>
  <c r="EV85" i="64"/>
  <c r="DT84" i="64" s="1"/>
  <c r="DV84" i="64" s="1"/>
  <c r="DW84" i="64" s="1"/>
  <c r="DW95" i="64" l="1"/>
  <c r="DT55" i="64" s="1"/>
  <c r="DU88" i="64"/>
  <c r="DV87" i="64"/>
  <c r="DW87" i="64" s="1"/>
  <c r="DU89" i="64" l="1"/>
  <c r="DV88" i="64"/>
  <c r="DW88" i="64" s="1"/>
  <c r="EA41" i="64"/>
  <c r="DK114" i="64"/>
  <c r="DK118" i="64" s="1"/>
  <c r="BM67" i="47"/>
  <c r="BN67" i="47"/>
  <c r="BO67" i="47"/>
  <c r="BP67" i="47"/>
  <c r="DU90" i="64" l="1"/>
  <c r="DV89" i="64"/>
  <c r="DW89" i="64" s="1"/>
  <c r="DU91" i="64" l="1"/>
  <c r="DV90" i="64"/>
  <c r="DW90" i="64" s="1"/>
  <c r="DU92" i="64" l="1"/>
  <c r="DV91" i="64"/>
  <c r="DW91" i="64" s="1"/>
  <c r="DU93" i="64" l="1"/>
  <c r="DV92" i="64"/>
  <c r="DW92" i="64" s="1"/>
  <c r="DU94" i="64" l="1"/>
  <c r="DV94" i="64" s="1"/>
  <c r="DW94" i="64" s="1"/>
  <c r="DV93" i="64"/>
  <c r="DW93" i="64" s="1"/>
  <c r="AW235" i="47" l="1"/>
  <c r="AQ11" i="72" l="1"/>
  <c r="AQ12" i="72" s="1"/>
  <c r="AX235" i="47"/>
  <c r="AY235" i="47" s="1"/>
  <c r="AZ235" i="47" s="1"/>
  <c r="BA235" i="47" s="1"/>
  <c r="BB235" i="47" s="1"/>
  <c r="AP11" i="72" l="1"/>
  <c r="AQ183" i="72"/>
  <c r="BC235" i="47"/>
  <c r="BD235" i="47" s="1"/>
  <c r="BE235" i="47" s="1"/>
  <c r="BF235" i="47" s="1"/>
  <c r="BG235" i="47" s="1"/>
  <c r="CV183" i="72"/>
  <c r="CV11" i="72"/>
  <c r="CT183" i="72"/>
  <c r="CT11" i="72"/>
  <c r="CT12" i="72" s="1"/>
  <c r="CZ11" i="72"/>
  <c r="CZ183" i="72"/>
  <c r="CS11" i="72"/>
  <c r="CS12" i="72" s="1"/>
  <c r="CS183" i="72"/>
  <c r="CX183" i="72"/>
  <c r="CX11" i="72"/>
  <c r="CY183" i="72"/>
  <c r="CY11" i="72"/>
  <c r="CW183" i="72"/>
  <c r="CW11" i="72"/>
  <c r="CW12" i="72" s="1"/>
  <c r="CU11" i="72"/>
  <c r="CU12" i="72" s="1"/>
  <c r="CU183" i="72"/>
  <c r="DA183" i="72"/>
  <c r="DA11" i="72"/>
  <c r="AN11" i="72" l="1"/>
  <c r="AN12" i="72" s="1"/>
  <c r="AM183" i="72"/>
  <c r="AP12" i="72"/>
  <c r="AO11" i="72"/>
  <c r="AO12" i="72" s="1"/>
  <c r="AO183" i="72"/>
  <c r="AP183" i="72"/>
  <c r="AN183" i="72"/>
  <c r="AM11" i="72"/>
  <c r="AM12" i="72" s="1"/>
  <c r="CY12" i="72"/>
  <c r="DA12" i="72"/>
  <c r="CV12" i="72"/>
  <c r="BH235" i="47"/>
  <c r="BI235" i="47" s="1"/>
  <c r="BJ235" i="47" s="1"/>
  <c r="BK235" i="47" s="1"/>
  <c r="BL235" i="47" s="1"/>
  <c r="DB183" i="72"/>
  <c r="DB11" i="72"/>
  <c r="DB12" i="72" s="1"/>
  <c r="CX12" i="72"/>
  <c r="CZ12" i="72"/>
  <c r="AR255" i="47" l="1"/>
  <c r="AR266" i="47" s="1"/>
  <c r="BM235" i="47"/>
  <c r="BN235" i="47" s="1"/>
  <c r="BO235" i="47" s="1"/>
  <c r="BP235" i="47" s="1"/>
  <c r="BQ235" i="47" s="1"/>
  <c r="DG11" i="72"/>
  <c r="DG12" i="72" s="1"/>
  <c r="DG183" i="72"/>
  <c r="DL183" i="72" l="1"/>
  <c r="DL11" i="72"/>
  <c r="DL12" i="72" s="1"/>
  <c r="AR223" i="46"/>
  <c r="AR240" i="46" s="1"/>
  <c r="DC27" i="65" s="1"/>
  <c r="DU7" i="64"/>
  <c r="DU12" i="64" l="1"/>
  <c r="DU15" i="64"/>
  <c r="DV183" i="72"/>
  <c r="DV11" i="72"/>
  <c r="DV12" i="72" s="1"/>
  <c r="DQ11" i="72"/>
  <c r="DQ12" i="72" s="1"/>
  <c r="DQ183" i="72"/>
  <c r="AQ73" i="46"/>
  <c r="AQ246" i="46" l="1"/>
  <c r="AQ58" i="47"/>
  <c r="AR252" i="47" l="1"/>
  <c r="AR73" i="46"/>
  <c r="AR256" i="47"/>
  <c r="AR53" i="64"/>
  <c r="AQ116" i="46" l="1"/>
  <c r="AR116" i="46" s="1"/>
  <c r="DC34" i="65"/>
  <c r="DC32" i="65" s="1"/>
  <c r="DC42" i="65" s="1"/>
  <c r="DC44" i="65" s="1"/>
  <c r="DC48" i="65" s="1"/>
  <c r="AR313" i="47"/>
  <c r="AR87" i="47" s="1"/>
  <c r="AR314" i="47"/>
  <c r="AR265" i="47"/>
  <c r="AR246" i="46"/>
  <c r="AR58" i="47"/>
  <c r="AR9" i="65"/>
  <c r="AR7" i="64" s="1"/>
  <c r="AR228" i="47"/>
  <c r="AR75" i="46" l="1"/>
  <c r="AR76" i="46" s="1"/>
  <c r="AR60" i="47"/>
  <c r="AQ75" i="46"/>
  <c r="AQ76" i="46" s="1"/>
  <c r="AQ60" i="47"/>
  <c r="AR86" i="47"/>
  <c r="AR36" i="64" s="1"/>
  <c r="AR50" i="64" s="1"/>
  <c r="AR52" i="64" s="1"/>
  <c r="AR56" i="64" s="1"/>
  <c r="AR61" i="64" s="1"/>
  <c r="AR65" i="64" s="1"/>
  <c r="AR68" i="64" s="1"/>
  <c r="AR70" i="64" s="1"/>
  <c r="AQ106" i="46"/>
  <c r="AR224" i="46"/>
  <c r="AR219" i="46"/>
  <c r="AR11" i="65"/>
  <c r="AR9" i="64" s="1"/>
  <c r="AR10" i="64" s="1"/>
  <c r="AR17" i="64" s="1"/>
  <c r="AR19" i="64" s="1"/>
  <c r="AR21" i="64" s="1"/>
  <c r="AR61" i="47" l="1"/>
  <c r="AR12" i="65"/>
  <c r="AR16" i="65" s="1"/>
  <c r="AR238" i="46"/>
  <c r="AR237" i="46"/>
  <c r="DC26" i="65" s="1"/>
  <c r="AR106" i="46"/>
  <c r="AR261" i="47" l="1"/>
  <c r="AR262" i="47"/>
  <c r="AR17" i="65"/>
  <c r="AR43" i="65"/>
  <c r="AR33" i="65"/>
  <c r="AR259" i="47" l="1"/>
  <c r="AR301" i="47"/>
  <c r="AR37" i="64" s="1"/>
  <c r="AR260" i="47"/>
  <c r="AQ68" i="46" l="1"/>
  <c r="AR68" i="46"/>
  <c r="AQ87" i="46"/>
  <c r="AR87" i="46"/>
  <c r="AQ88" i="46"/>
  <c r="AR88" i="46"/>
  <c r="AQ115" i="46"/>
  <c r="AR115" i="46" s="1"/>
  <c r="AR50" i="65"/>
  <c r="AQ247" i="46"/>
  <c r="AR247" i="46"/>
  <c r="DC8" i="65"/>
  <c r="DC51" i="65"/>
  <c r="DC52" i="65"/>
  <c r="DC53" i="65"/>
  <c r="DC54" i="65"/>
  <c r="AQ120" i="46" l="1"/>
  <c r="AR120" i="46" s="1"/>
  <c r="DC56" i="65"/>
  <c r="AQ109" i="46"/>
  <c r="AQ108" i="46" s="1"/>
  <c r="DC11" i="65"/>
  <c r="DC10" i="65"/>
  <c r="DC12" i="65" l="1"/>
  <c r="AR55" i="65" s="1"/>
  <c r="AR56" i="65" s="1"/>
  <c r="AR44" i="65" s="1"/>
  <c r="AR109" i="46"/>
  <c r="AR108" i="46" s="1"/>
  <c r="AR231" i="46"/>
  <c r="DC22" i="65" s="1"/>
  <c r="AR232" i="46"/>
  <c r="DC23" i="65" s="1"/>
  <c r="AR233" i="46"/>
  <c r="DC15" i="65"/>
  <c r="AR229" i="46" l="1"/>
  <c r="DC20" i="65" s="1"/>
  <c r="AR46" i="65"/>
  <c r="AR48" i="65"/>
  <c r="DC17" i="65"/>
  <c r="AR230" i="46"/>
  <c r="DC21" i="65" s="1"/>
  <c r="AS60" i="47" l="1"/>
  <c r="AS61" i="47" s="1"/>
  <c r="AQ67" i="47"/>
  <c r="AR67" i="47"/>
  <c r="AR33" i="64" s="1"/>
  <c r="AQ77" i="47" l="1"/>
  <c r="AR77" i="47"/>
  <c r="AQ78" i="47"/>
  <c r="AR78" i="47"/>
  <c r="AR34" i="64" s="1"/>
  <c r="AQ79" i="47"/>
  <c r="AR79" i="47"/>
  <c r="AQ80" i="47"/>
  <c r="AR80" i="47"/>
  <c r="BA146" i="47" l="1"/>
  <c r="BB146" i="47" s="1"/>
  <c r="BA131" i="47"/>
  <c r="BA129" i="47" s="1"/>
  <c r="BA141" i="47"/>
  <c r="BA139" i="47" s="1"/>
  <c r="BA136" i="47"/>
  <c r="BA134" i="47" s="1"/>
  <c r="BA144" i="47" l="1"/>
  <c r="BA22" i="47" s="1"/>
  <c r="BF146" i="47"/>
  <c r="BF144" i="47" s="1"/>
  <c r="BG144" i="47" s="1"/>
  <c r="BB141" i="47"/>
  <c r="BF141" i="47"/>
  <c r="BB131" i="47"/>
  <c r="BF131" i="47"/>
  <c r="BF136" i="47"/>
  <c r="BA20" i="47"/>
  <c r="BB144" i="47"/>
  <c r="BA19" i="47"/>
  <c r="BB129" i="47"/>
  <c r="BW20" i="47"/>
  <c r="BA21" i="47"/>
  <c r="BB139" i="47"/>
  <c r="BF22" i="47" l="1"/>
  <c r="BF15" i="46" s="1"/>
  <c r="BG15" i="46" s="1"/>
  <c r="BK146" i="47"/>
  <c r="BP146" i="47" s="1"/>
  <c r="BG146" i="47"/>
  <c r="BG131" i="47"/>
  <c r="BK131" i="47"/>
  <c r="BF129" i="47"/>
  <c r="BG141" i="47"/>
  <c r="BK141" i="47"/>
  <c r="BF139" i="47"/>
  <c r="BK136" i="47"/>
  <c r="BF134" i="47"/>
  <c r="BA15" i="46"/>
  <c r="BB15" i="46" s="1"/>
  <c r="BB22" i="47"/>
  <c r="BA13" i="46"/>
  <c r="BA14" i="46"/>
  <c r="BB14" i="46" s="1"/>
  <c r="BB21" i="47"/>
  <c r="BA12" i="46"/>
  <c r="BB19" i="47"/>
  <c r="BG22" i="47" l="1"/>
  <c r="BL146" i="47"/>
  <c r="BK144" i="47"/>
  <c r="BL144" i="47" s="1"/>
  <c r="AV20" i="65"/>
  <c r="BG129" i="47"/>
  <c r="BF19" i="47"/>
  <c r="BG139" i="47"/>
  <c r="BF21" i="47"/>
  <c r="BL131" i="47"/>
  <c r="BP131" i="47"/>
  <c r="BK129" i="47"/>
  <c r="BL141" i="47"/>
  <c r="BP141" i="47"/>
  <c r="BK139" i="47"/>
  <c r="BQ146" i="47"/>
  <c r="BP144" i="47"/>
  <c r="BF20" i="47"/>
  <c r="BP136" i="47"/>
  <c r="BK134" i="47"/>
  <c r="BB12" i="46"/>
  <c r="BK22" i="47" l="1"/>
  <c r="BK15" i="46" s="1"/>
  <c r="BL15" i="46" s="1"/>
  <c r="BF14" i="46"/>
  <c r="BG14" i="46" s="1"/>
  <c r="BG21" i="47"/>
  <c r="BK19" i="47"/>
  <c r="BL129" i="47"/>
  <c r="BK21" i="47"/>
  <c r="BL139" i="47"/>
  <c r="BQ131" i="47"/>
  <c r="BP129" i="47"/>
  <c r="BF12" i="46"/>
  <c r="BG12" i="46" s="1"/>
  <c r="BG19" i="47"/>
  <c r="BQ141" i="47"/>
  <c r="BP139" i="47"/>
  <c r="BP22" i="47"/>
  <c r="BQ144" i="47"/>
  <c r="BK20" i="47"/>
  <c r="BF13" i="46"/>
  <c r="BP134" i="47"/>
  <c r="BL22" i="47" l="1"/>
  <c r="BL19" i="47"/>
  <c r="BK12" i="46"/>
  <c r="BL12" i="46" s="1"/>
  <c r="BQ139" i="47"/>
  <c r="BP21" i="47"/>
  <c r="BQ129" i="47"/>
  <c r="BP19" i="47"/>
  <c r="BK14" i="46"/>
  <c r="BL14" i="46" s="1"/>
  <c r="BL21" i="47"/>
  <c r="BP15" i="46"/>
  <c r="BQ15" i="46" s="1"/>
  <c r="BQ22" i="47"/>
  <c r="BP20" i="47"/>
  <c r="BK13" i="46"/>
  <c r="BP14" i="46" l="1"/>
  <c r="BQ14" i="46" s="1"/>
  <c r="BQ21" i="47"/>
  <c r="BP12" i="46"/>
  <c r="BQ12" i="46" s="1"/>
  <c r="BQ19" i="47"/>
  <c r="BP13" i="46"/>
  <c r="AX209" i="47" l="1"/>
  <c r="AX58" i="51" s="1"/>
  <c r="BC209" i="47"/>
  <c r="BD209" i="47" s="1"/>
  <c r="BH209" i="47"/>
  <c r="BH273" i="47" s="1"/>
  <c r="BM209" i="47"/>
  <c r="BN209" i="47" s="1"/>
  <c r="BN58" i="51" s="1"/>
  <c r="AS273" i="47"/>
  <c r="AS276" i="47" s="1"/>
  <c r="AT270" i="47" s="1"/>
  <c r="AT276" i="47" s="1"/>
  <c r="AU270" i="47" s="1"/>
  <c r="AU276" i="47" s="1"/>
  <c r="BI209" i="47" l="1"/>
  <c r="BI58" i="51" s="1"/>
  <c r="BM273" i="47"/>
  <c r="BC273" i="47"/>
  <c r="AY209" i="47"/>
  <c r="AY58" i="51" s="1"/>
  <c r="AX273" i="47"/>
  <c r="BD58" i="51"/>
  <c r="BD273" i="47"/>
  <c r="BN273" i="47"/>
  <c r="BM58" i="51"/>
  <c r="BO209" i="47"/>
  <c r="BP209" i="47" s="1"/>
  <c r="BC58" i="51"/>
  <c r="BE209" i="47"/>
  <c r="BF209" i="47" s="1"/>
  <c r="BH58" i="51"/>
  <c r="BJ209" i="47"/>
  <c r="BK209" i="47" s="1"/>
  <c r="BI273" i="47" l="1"/>
  <c r="AZ209" i="47"/>
  <c r="BA209" i="47" s="1"/>
  <c r="BA58" i="51" s="1"/>
  <c r="AY273" i="47"/>
  <c r="AV273" i="47"/>
  <c r="BJ58" i="51"/>
  <c r="BJ273" i="47"/>
  <c r="BE58" i="51"/>
  <c r="BE273" i="47"/>
  <c r="BP58" i="51"/>
  <c r="BP273" i="47"/>
  <c r="BF58" i="51"/>
  <c r="BF273" i="47"/>
  <c r="BK58" i="51"/>
  <c r="BK273" i="47"/>
  <c r="BO58" i="51"/>
  <c r="BO273" i="47"/>
  <c r="BL58" i="51" l="1"/>
  <c r="AZ273" i="47"/>
  <c r="AZ58" i="51"/>
  <c r="BB58" i="51" s="1"/>
  <c r="BA273" i="47"/>
  <c r="BQ273" i="47"/>
  <c r="BQ58" i="51"/>
  <c r="BG58" i="51"/>
  <c r="BG273" i="47"/>
  <c r="BL273" i="47"/>
  <c r="AW273" i="47"/>
  <c r="AW276" i="47" s="1"/>
  <c r="AV270" i="47"/>
  <c r="AV276" i="47" s="1"/>
  <c r="AX270" i="47" s="1"/>
  <c r="BB273" i="47" l="1"/>
  <c r="BB270" i="47"/>
  <c r="AX276" i="47"/>
  <c r="AY270" i="47" s="1"/>
  <c r="AY276" i="47" s="1"/>
  <c r="AZ270" i="47" s="1"/>
  <c r="AZ276" i="47" s="1"/>
  <c r="BA270" i="47" s="1"/>
  <c r="BA276" i="47" s="1"/>
  <c r="BC270" i="47" s="1"/>
  <c r="AW282" i="47"/>
  <c r="AW286" i="47"/>
  <c r="AW283" i="47"/>
  <c r="AW287" i="47"/>
  <c r="AW278" i="47"/>
  <c r="AW47" i="64" s="1"/>
  <c r="AW284" i="47"/>
  <c r="AW288" i="47"/>
  <c r="AW279" i="47"/>
  <c r="AW285" i="47"/>
  <c r="BB276" i="47" l="1"/>
  <c r="BB278" i="47" s="1"/>
  <c r="BB47" i="64" s="1"/>
  <c r="AW289" i="47"/>
  <c r="BG270" i="47"/>
  <c r="BG276" i="47" s="1"/>
  <c r="BC276" i="47"/>
  <c r="BD270" i="47" s="1"/>
  <c r="BD276" i="47" s="1"/>
  <c r="BE270" i="47" s="1"/>
  <c r="BE276" i="47" s="1"/>
  <c r="BF270" i="47" s="1"/>
  <c r="BF276" i="47" s="1"/>
  <c r="BH270" i="47" s="1"/>
  <c r="BB279" i="47" l="1"/>
  <c r="BB288" i="47"/>
  <c r="AW299" i="47"/>
  <c r="AW40" i="64" s="1"/>
  <c r="AW49" i="64" s="1"/>
  <c r="AT45" i="47"/>
  <c r="AT49" i="47" s="1"/>
  <c r="AT56" i="47" s="1"/>
  <c r="AW311" i="47"/>
  <c r="BB286" i="47"/>
  <c r="BB283" i="47"/>
  <c r="BG278" i="47"/>
  <c r="BG47" i="64" s="1"/>
  <c r="BG279" i="47"/>
  <c r="BB285" i="47"/>
  <c r="BB287" i="47"/>
  <c r="BH276" i="47"/>
  <c r="BI270" i="47" s="1"/>
  <c r="BI276" i="47" s="1"/>
  <c r="BJ270" i="47" s="1"/>
  <c r="BJ276" i="47" s="1"/>
  <c r="BK270" i="47" s="1"/>
  <c r="BK276" i="47" s="1"/>
  <c r="BM270" i="47" s="1"/>
  <c r="BL270" i="47"/>
  <c r="BL276" i="47" s="1"/>
  <c r="BB282" i="47"/>
  <c r="BB284" i="47"/>
  <c r="AT51" i="47" l="1"/>
  <c r="AT206" i="47" s="1"/>
  <c r="AT210" i="47" s="1"/>
  <c r="BL278" i="47"/>
  <c r="BL47" i="64" s="1"/>
  <c r="BL279" i="47"/>
  <c r="AW39" i="64"/>
  <c r="BM276" i="47"/>
  <c r="BN270" i="47" s="1"/>
  <c r="BN276" i="47" s="1"/>
  <c r="BO270" i="47" s="1"/>
  <c r="BO276" i="47" s="1"/>
  <c r="BP270" i="47" s="1"/>
  <c r="BP276" i="47" s="1"/>
  <c r="BQ270" i="47"/>
  <c r="BQ276" i="47" s="1"/>
  <c r="BB289" i="47"/>
  <c r="BG288" i="47" s="1"/>
  <c r="AT85" i="47" l="1"/>
  <c r="AU85" i="47"/>
  <c r="AT57" i="47"/>
  <c r="AS85" i="47"/>
  <c r="BB311" i="47"/>
  <c r="BB39" i="64" s="1"/>
  <c r="BB299" i="47"/>
  <c r="BB40" i="64" s="1"/>
  <c r="BB49" i="64" s="1"/>
  <c r="BG284" i="47"/>
  <c r="BG286" i="47"/>
  <c r="BG285" i="47"/>
  <c r="BG282" i="47"/>
  <c r="BQ278" i="47"/>
  <c r="BQ47" i="64" s="1"/>
  <c r="BQ279" i="47"/>
  <c r="BG283" i="47"/>
  <c r="BG287" i="47"/>
  <c r="AT73" i="46" l="1"/>
  <c r="AT58" i="47"/>
  <c r="BB85" i="47"/>
  <c r="AZ85" i="47" s="1"/>
  <c r="BG289" i="47"/>
  <c r="BL286" i="47" s="1"/>
  <c r="AY85" i="47" l="1"/>
  <c r="BA85" i="47"/>
  <c r="AX85" i="47"/>
  <c r="BG311" i="47"/>
  <c r="BG39" i="64" s="1"/>
  <c r="BL287" i="47"/>
  <c r="BL283" i="47"/>
  <c r="BG299" i="47"/>
  <c r="BG40" i="64" s="1"/>
  <c r="BG49" i="64" s="1"/>
  <c r="CL8" i="64" s="1"/>
  <c r="BL282" i="47"/>
  <c r="BL285" i="47"/>
  <c r="BL284" i="47"/>
  <c r="BL288" i="47"/>
  <c r="BG85" i="47" l="1"/>
  <c r="BC85" i="47" s="1"/>
  <c r="BL289" i="47"/>
  <c r="BQ283" i="47" s="1"/>
  <c r="BF85" i="47" l="1"/>
  <c r="BD85" i="47"/>
  <c r="BE85" i="47"/>
  <c r="BQ288" i="47"/>
  <c r="BQ282" i="47"/>
  <c r="BQ284" i="47"/>
  <c r="BL299" i="47"/>
  <c r="BL40" i="64" s="1"/>
  <c r="BL49" i="64" s="1"/>
  <c r="BQ287" i="47"/>
  <c r="BQ285" i="47"/>
  <c r="BL311" i="47"/>
  <c r="BL39" i="64" s="1"/>
  <c r="BQ286" i="47"/>
  <c r="BQ289" i="47" l="1"/>
  <c r="BQ311" i="47" s="1"/>
  <c r="BL85" i="47"/>
  <c r="BQ299" i="47" l="1"/>
  <c r="BQ40" i="64" s="1"/>
  <c r="BQ49" i="64" s="1"/>
  <c r="BQ39" i="64"/>
  <c r="BQ85" i="47"/>
  <c r="BP85" i="47" s="1"/>
  <c r="BH85" i="47"/>
  <c r="BJ85" i="47"/>
  <c r="BK85" i="47"/>
  <c r="BI85" i="47"/>
  <c r="BO85" i="47" l="1"/>
  <c r="BM85" i="47"/>
  <c r="BN85" i="47"/>
  <c r="AX107" i="47" l="1"/>
  <c r="AX120" i="47" l="1"/>
  <c r="AX15" i="47" s="1"/>
  <c r="BC107" i="47"/>
  <c r="AX109" i="47"/>
  <c r="AX9" i="46" l="1"/>
  <c r="BH107" i="47"/>
  <c r="BC120" i="47"/>
  <c r="AX100" i="47"/>
  <c r="BC109" i="47"/>
  <c r="BC15" i="47" l="1"/>
  <c r="BH120" i="47"/>
  <c r="BM107" i="47"/>
  <c r="AX9" i="47"/>
  <c r="BC100" i="47"/>
  <c r="BH109" i="47"/>
  <c r="BM120" i="47" l="1"/>
  <c r="BC9" i="46"/>
  <c r="BH15" i="47"/>
  <c r="BC9" i="47"/>
  <c r="AX11" i="47"/>
  <c r="BH100" i="47"/>
  <c r="BM109" i="47"/>
  <c r="BM100" i="47" s="1"/>
  <c r="BM15" i="47" l="1"/>
  <c r="BH9" i="46"/>
  <c r="BH9" i="47"/>
  <c r="AX8" i="46"/>
  <c r="AX17" i="47"/>
  <c r="BC11" i="47"/>
  <c r="BM9" i="47"/>
  <c r="BM9" i="46" l="1"/>
  <c r="AX10" i="46"/>
  <c r="BH11" i="47"/>
  <c r="BM11" i="47"/>
  <c r="BC8" i="46"/>
  <c r="BC17" i="47"/>
  <c r="BC10" i="46" l="1"/>
  <c r="BM8" i="46"/>
  <c r="BM17" i="47"/>
  <c r="BH8" i="46"/>
  <c r="BH17" i="47"/>
  <c r="BH10" i="46" l="1"/>
  <c r="BM10" i="46"/>
  <c r="AX136" i="47" l="1"/>
  <c r="AX134" i="47" s="1"/>
  <c r="BC136" i="47" l="1"/>
  <c r="BC134" i="47" s="1"/>
  <c r="BC20" i="47" s="1"/>
  <c r="AX20" i="47"/>
  <c r="BH136" i="47" l="1"/>
  <c r="BM136" i="47" s="1"/>
  <c r="BC13" i="46"/>
  <c r="BC25" i="47"/>
  <c r="BC27" i="47" s="1"/>
  <c r="BC34" i="47" s="1"/>
  <c r="AX13" i="46"/>
  <c r="AX25" i="47"/>
  <c r="AX27" i="47" s="1"/>
  <c r="AX34" i="47" s="1"/>
  <c r="BH134" i="47" l="1"/>
  <c r="BH20" i="47" s="1"/>
  <c r="BM134" i="47"/>
  <c r="BC35" i="47"/>
  <c r="BC20" i="65" s="1"/>
  <c r="BC18" i="46"/>
  <c r="BC20" i="46" s="1"/>
  <c r="AX35" i="47"/>
  <c r="AX20" i="65" s="1"/>
  <c r="AX18" i="46"/>
  <c r="AX20" i="46" s="1"/>
  <c r="BH13" i="46" l="1"/>
  <c r="BH25" i="47"/>
  <c r="BH27" i="47" s="1"/>
  <c r="BH34" i="47" s="1"/>
  <c r="BH35" i="47" s="1"/>
  <c r="BH20" i="65" s="1"/>
  <c r="BM20" i="47"/>
  <c r="BM13" i="46" l="1"/>
  <c r="BM25" i="47"/>
  <c r="BM27" i="47" s="1"/>
  <c r="BM34" i="47" s="1"/>
  <c r="BM35" i="47" s="1"/>
  <c r="BM20" i="65" s="1"/>
  <c r="BH18" i="46"/>
  <c r="BH20" i="46" s="1"/>
  <c r="BM18" i="46" l="1"/>
  <c r="BM20" i="46" s="1"/>
  <c r="AX412" i="15" l="1"/>
  <c r="AY412" i="15" l="1"/>
  <c r="AZ412" i="15" l="1"/>
  <c r="BA412" i="15" l="1"/>
  <c r="AT21" i="65" l="1"/>
  <c r="AU20" i="15"/>
  <c r="AU25" i="15" s="1"/>
  <c r="AT33" i="15"/>
  <c r="AT37" i="15" s="1"/>
  <c r="AU26" i="15" l="1"/>
  <c r="AU499" i="15" s="1"/>
  <c r="AU506" i="15" s="1"/>
  <c r="AU498" i="15"/>
  <c r="AU511" i="15" s="1"/>
  <c r="AT51" i="15"/>
  <c r="AT57" i="15" s="1"/>
  <c r="AT59" i="15" s="1"/>
  <c r="AT454" i="15"/>
  <c r="AT56" i="51" s="1"/>
  <c r="CQ105" i="64"/>
  <c r="CQ107" i="64" s="1"/>
  <c r="CQ113" i="64" s="1"/>
  <c r="CQ117" i="64" s="1"/>
  <c r="AU18" i="46"/>
  <c r="AU20" i="46" s="1"/>
  <c r="AT23" i="65"/>
  <c r="AT26" i="65" s="1"/>
  <c r="AT39" i="15"/>
  <c r="AT44" i="15"/>
  <c r="AU501" i="15" l="1"/>
  <c r="AT497" i="15"/>
  <c r="AT501" i="15"/>
  <c r="AT45" i="15"/>
  <c r="AT74" i="46" s="1"/>
  <c r="AT76" i="46" s="1"/>
  <c r="AT37" i="46"/>
  <c r="AT41" i="46" s="1"/>
  <c r="AT27" i="65"/>
  <c r="AT43" i="46" l="1"/>
  <c r="AT50" i="46" s="1"/>
  <c r="AT63" i="46" s="1"/>
  <c r="AT507" i="15"/>
  <c r="AT510" i="15"/>
  <c r="AT49" i="46"/>
  <c r="AT46" i="15"/>
  <c r="AT51" i="46" l="1"/>
  <c r="AT129" i="46"/>
  <c r="AT60" i="47" l="1"/>
  <c r="AT61" i="47" s="1"/>
  <c r="AS236" i="47" l="1"/>
  <c r="AS106" i="46" s="1"/>
  <c r="AS108" i="46" s="1"/>
  <c r="AS245" i="47" l="1"/>
  <c r="AS237" i="47" s="1"/>
  <c r="AS246" i="47" l="1"/>
  <c r="AS243" i="47"/>
  <c r="AS240" i="47"/>
  <c r="AX248" i="47" l="1"/>
  <c r="AY248" i="47" l="1"/>
  <c r="AZ248" i="47" l="1"/>
  <c r="BA248" i="47" l="1"/>
  <c r="BB248" i="47" l="1"/>
  <c r="BC248" i="47" l="1"/>
  <c r="BD248" i="47" l="1"/>
  <c r="BE248" i="47" l="1"/>
  <c r="BF248" i="47" l="1"/>
  <c r="BG248" i="47" l="1"/>
  <c r="BH248" i="47" l="1"/>
  <c r="BI248" i="47" l="1"/>
  <c r="BJ248" i="47" l="1"/>
  <c r="BK248" i="47" l="1"/>
  <c r="BL248" i="47" l="1"/>
  <c r="BM248" i="47" l="1"/>
  <c r="BN248" i="47" l="1"/>
  <c r="BO248" i="47" l="1"/>
  <c r="BP248" i="47" l="1"/>
  <c r="BQ248" i="47" l="1"/>
  <c r="AV244" i="46" l="1"/>
  <c r="AX244" i="46" s="1"/>
  <c r="AY244" i="46" s="1"/>
  <c r="AZ244" i="46" s="1"/>
  <c r="BA244" i="46" s="1"/>
  <c r="BB244" i="46" s="1"/>
  <c r="BC244" i="46" s="1"/>
  <c r="BD244" i="46" s="1"/>
  <c r="BE244" i="46" s="1"/>
  <c r="BF244" i="46" s="1"/>
  <c r="BG244" i="46" s="1"/>
  <c r="BH244" i="46" s="1"/>
  <c r="BI244" i="46" s="1"/>
  <c r="BJ244" i="46" s="1"/>
  <c r="BK244" i="46" s="1"/>
  <c r="BL244" i="46" s="1"/>
  <c r="BM244" i="46" s="1"/>
  <c r="BN244" i="46" s="1"/>
  <c r="BO244" i="46" s="1"/>
  <c r="BP244" i="46" s="1"/>
  <c r="BQ244" i="46" s="1"/>
  <c r="AT164" i="46" l="1"/>
  <c r="AT134" i="46"/>
  <c r="AT143" i="46" l="1"/>
  <c r="AT147" i="46" l="1"/>
  <c r="AT151" i="46" s="1"/>
  <c r="AU149" i="46" s="1"/>
  <c r="AU151" i="46" s="1"/>
  <c r="AT159" i="46"/>
  <c r="AT171" i="46" s="1"/>
  <c r="AT177" i="46"/>
  <c r="AT184" i="46" s="1"/>
  <c r="AT193" i="46"/>
  <c r="AT195" i="46" l="1"/>
  <c r="AT197" i="46" s="1"/>
  <c r="AU32" i="46" l="1"/>
  <c r="AY107" i="47" l="1"/>
  <c r="BD107" i="47" s="1"/>
  <c r="AY109" i="47" l="1"/>
  <c r="BD109" i="47" s="1"/>
  <c r="BI107" i="47"/>
  <c r="BI120" i="47" s="1"/>
  <c r="BD120" i="47"/>
  <c r="BD15" i="47" s="1"/>
  <c r="AY120" i="47"/>
  <c r="AY15" i="47" s="1"/>
  <c r="BN107" i="47" l="1"/>
  <c r="AY100" i="47"/>
  <c r="BI15" i="47"/>
  <c r="AY9" i="46"/>
  <c r="BD9" i="46"/>
  <c r="BI109" i="47"/>
  <c r="BD100" i="47"/>
  <c r="BN120" i="47" l="1"/>
  <c r="BN15" i="47" s="1"/>
  <c r="AY9" i="47"/>
  <c r="AY11" i="47" s="1"/>
  <c r="BD9" i="47"/>
  <c r="BN109" i="47"/>
  <c r="BN100" i="47" s="1"/>
  <c r="BI100" i="47"/>
  <c r="BI9" i="46"/>
  <c r="BN9" i="47" l="1"/>
  <c r="BD11" i="47"/>
  <c r="BI9" i="47"/>
  <c r="AY17" i="47"/>
  <c r="AY8" i="46"/>
  <c r="BN9" i="46"/>
  <c r="AY10" i="46" l="1"/>
  <c r="BI11" i="47"/>
  <c r="BD17" i="47"/>
  <c r="BD8" i="46"/>
  <c r="BN11" i="47"/>
  <c r="BD10" i="46" l="1"/>
  <c r="BI8" i="46"/>
  <c r="BI17" i="47"/>
  <c r="BN17" i="47"/>
  <c r="BN8" i="46"/>
  <c r="BN10" i="46" l="1"/>
  <c r="BI10" i="46"/>
  <c r="AY136" i="47" l="1"/>
  <c r="AY134" i="47" l="1"/>
  <c r="BD136" i="47"/>
  <c r="BD134" i="47" l="1"/>
  <c r="BI136" i="47"/>
  <c r="AY20" i="47"/>
  <c r="BD20" i="47" l="1"/>
  <c r="AY25" i="47"/>
  <c r="AY27" i="47" s="1"/>
  <c r="AY34" i="47" s="1"/>
  <c r="AY13" i="46"/>
  <c r="BI134" i="47"/>
  <c r="BN136" i="47"/>
  <c r="BN134" i="47" l="1"/>
  <c r="AY18" i="46"/>
  <c r="AY20" i="46" s="1"/>
  <c r="BD13" i="46"/>
  <c r="BD25" i="47"/>
  <c r="BD27" i="47" s="1"/>
  <c r="BD34" i="47" s="1"/>
  <c r="BI20" i="47"/>
  <c r="AY35" i="47"/>
  <c r="AY20" i="65" s="1"/>
  <c r="BD35" i="47" l="1"/>
  <c r="BD20" i="65" s="1"/>
  <c r="BI25" i="47"/>
  <c r="BI27" i="47" s="1"/>
  <c r="BI34" i="47" s="1"/>
  <c r="BI13" i="46"/>
  <c r="BD18" i="46"/>
  <c r="BD20" i="46" s="1"/>
  <c r="BN20" i="47"/>
  <c r="BI18" i="46" l="1"/>
  <c r="BI20" i="46" s="1"/>
  <c r="BN25" i="47"/>
  <c r="BN27" i="47" s="1"/>
  <c r="BN34" i="47" s="1"/>
  <c r="BN13" i="46"/>
  <c r="BI35" i="47"/>
  <c r="BI20" i="65" s="1"/>
  <c r="BN35" i="47" l="1"/>
  <c r="BN20" i="65" s="1"/>
  <c r="BN18" i="46"/>
  <c r="BN20" i="46" s="1"/>
  <c r="AT237" i="47" l="1"/>
  <c r="AT240" i="47"/>
  <c r="AU39" i="47" l="1"/>
  <c r="AT457" i="15" l="1"/>
  <c r="AT487" i="15" l="1"/>
  <c r="AT484" i="15" l="1"/>
  <c r="AU25" i="46" l="1"/>
  <c r="AU27" i="46" s="1"/>
  <c r="AU28" i="46" s="1"/>
  <c r="AU30" i="15"/>
  <c r="AU436" i="15" s="1"/>
  <c r="AU21" i="65" l="1"/>
  <c r="AU34" i="46"/>
  <c r="AU33" i="15" l="1"/>
  <c r="AU37" i="15" s="1"/>
  <c r="AU454" i="15" l="1"/>
  <c r="AU51" i="15"/>
  <c r="AU57" i="15" s="1"/>
  <c r="AU59" i="15" s="1"/>
  <c r="AU44" i="15"/>
  <c r="AU37" i="46"/>
  <c r="AU41" i="46" s="1"/>
  <c r="AU39" i="15"/>
  <c r="AU45" i="15" l="1"/>
  <c r="AU46" i="15" s="1"/>
  <c r="AU497" i="15"/>
  <c r="AU74" i="46"/>
  <c r="AU43" i="46"/>
  <c r="AU50" i="46" s="1"/>
  <c r="AU51" i="46" l="1"/>
  <c r="AU63" i="46"/>
  <c r="AU507" i="15"/>
  <c r="AU510" i="15"/>
  <c r="AU129" i="46"/>
  <c r="CB16" i="64" l="1"/>
  <c r="CB23" i="64" s="1"/>
  <c r="CB27" i="64" l="1"/>
  <c r="CB29" i="64" s="1"/>
  <c r="AT58" i="51" l="1"/>
  <c r="AU82" i="46" l="1"/>
  <c r="AU81" i="46" s="1"/>
  <c r="DH39" i="65" s="1"/>
  <c r="DH37" i="65" s="1"/>
  <c r="AU134" i="46"/>
  <c r="AU164" i="46" l="1"/>
  <c r="AU87" i="46" l="1"/>
  <c r="AU88" i="46"/>
  <c r="AU68" i="46" l="1"/>
  <c r="AU115" i="46"/>
  <c r="AU143" i="46"/>
  <c r="AU193" i="46"/>
  <c r="AU177" i="46" l="1"/>
  <c r="AU184" i="46" s="1"/>
  <c r="AU195" i="46" s="1"/>
  <c r="AU159" i="46"/>
  <c r="AU171" i="46" s="1"/>
  <c r="AU109" i="46" l="1"/>
  <c r="AZ107" i="47" l="1"/>
  <c r="AU15" i="47"/>
  <c r="AU10" i="51" s="1"/>
  <c r="BE107" i="47" l="1"/>
  <c r="AU18" i="51"/>
  <c r="AU20" i="51" s="1"/>
  <c r="AU26" i="51" s="1"/>
  <c r="AU11" i="51"/>
  <c r="AZ10" i="51"/>
  <c r="AZ120" i="47"/>
  <c r="AU17" i="47"/>
  <c r="AU25" i="47"/>
  <c r="AU27" i="47" s="1"/>
  <c r="BE120" i="47" l="1"/>
  <c r="BE15" i="47" s="1"/>
  <c r="BJ107" i="47"/>
  <c r="BJ120" i="47" s="1"/>
  <c r="BJ15" i="47" s="1"/>
  <c r="BB22" i="65"/>
  <c r="BE10" i="51"/>
  <c r="AZ18" i="51"/>
  <c r="AZ20" i="51" s="1"/>
  <c r="AZ26" i="51" s="1"/>
  <c r="AZ27" i="51" s="1"/>
  <c r="BE22" i="65" s="1"/>
  <c r="BB10" i="51"/>
  <c r="AZ11" i="51"/>
  <c r="AU27" i="51"/>
  <c r="AZ22" i="65" s="1"/>
  <c r="AU30" i="51"/>
  <c r="AU33" i="51" s="1"/>
  <c r="AU37" i="51" s="1"/>
  <c r="AU34" i="47"/>
  <c r="AZ15" i="47"/>
  <c r="BO107" i="47" l="1"/>
  <c r="BO120" i="47" s="1"/>
  <c r="AU39" i="51"/>
  <c r="AU45" i="51" s="1"/>
  <c r="AU75" i="46" s="1"/>
  <c r="AU44" i="51"/>
  <c r="AU116" i="46"/>
  <c r="BB18" i="51"/>
  <c r="BB20" i="51" s="1"/>
  <c r="BB26" i="51" s="1"/>
  <c r="BB27" i="51" s="1"/>
  <c r="BG22" i="65" s="1"/>
  <c r="BB11" i="51"/>
  <c r="BJ10" i="51"/>
  <c r="BE18" i="51"/>
  <c r="BE20" i="51" s="1"/>
  <c r="BE26" i="51" s="1"/>
  <c r="BE27" i="51" s="1"/>
  <c r="BJ22" i="65" s="1"/>
  <c r="BG10" i="51"/>
  <c r="BE11" i="51"/>
  <c r="BE9" i="46"/>
  <c r="BJ9" i="46"/>
  <c r="AZ9" i="46"/>
  <c r="AU35" i="47"/>
  <c r="AU20" i="65" s="1"/>
  <c r="AU41" i="47"/>
  <c r="AU83" i="47" l="1"/>
  <c r="AU82" i="47"/>
  <c r="BG18" i="51"/>
  <c r="BG20" i="51" s="1"/>
  <c r="BG26" i="51" s="1"/>
  <c r="BG27" i="51" s="1"/>
  <c r="BL22" i="65" s="1"/>
  <c r="BG11" i="51"/>
  <c r="BO10" i="51"/>
  <c r="BJ18" i="51"/>
  <c r="BJ20" i="51" s="1"/>
  <c r="BJ26" i="51" s="1"/>
  <c r="BJ27" i="51" s="1"/>
  <c r="BO22" i="65" s="1"/>
  <c r="BL10" i="51"/>
  <c r="BJ11" i="51"/>
  <c r="BO15" i="47"/>
  <c r="AW20" i="65"/>
  <c r="AU23" i="65"/>
  <c r="AU27" i="65" s="1"/>
  <c r="AU45" i="47"/>
  <c r="AU49" i="47" s="1"/>
  <c r="BL18" i="51" l="1"/>
  <c r="BL20" i="51" s="1"/>
  <c r="BL26" i="51" s="1"/>
  <c r="BL27" i="51" s="1"/>
  <c r="BQ22" i="65" s="1"/>
  <c r="BL11" i="51"/>
  <c r="BO18" i="51"/>
  <c r="BO20" i="51" s="1"/>
  <c r="BO26" i="51" s="1"/>
  <c r="BO27" i="51" s="1"/>
  <c r="BQ10" i="51"/>
  <c r="BO11" i="51"/>
  <c r="AU26" i="65"/>
  <c r="BO9" i="46"/>
  <c r="BW17" i="47"/>
  <c r="BW19" i="47"/>
  <c r="BV19" i="47"/>
  <c r="BV20" i="47"/>
  <c r="BW21" i="47"/>
  <c r="BW22" i="47"/>
  <c r="BW23" i="47"/>
  <c r="BW24" i="47"/>
  <c r="BW27" i="47"/>
  <c r="BW29" i="47"/>
  <c r="BW30" i="47"/>
  <c r="BW31" i="47"/>
  <c r="BW32" i="47"/>
  <c r="BW38" i="47"/>
  <c r="BV21" i="47"/>
  <c r="BV23" i="47"/>
  <c r="BV30" i="47"/>
  <c r="BV32" i="47"/>
  <c r="BV37" i="47"/>
  <c r="BV22" i="47"/>
  <c r="BV24" i="47"/>
  <c r="BV29" i="47"/>
  <c r="BV31" i="47"/>
  <c r="BV38" i="47"/>
  <c r="BV39" i="47"/>
  <c r="BV27" i="47"/>
  <c r="BV17" i="47"/>
  <c r="AU51" i="47"/>
  <c r="AU206" i="47" s="1"/>
  <c r="AU56" i="51" s="1"/>
  <c r="AW56" i="51" s="1"/>
  <c r="AW58" i="51" s="1"/>
  <c r="AU56" i="47"/>
  <c r="BQ18" i="51" l="1"/>
  <c r="BQ20" i="51" s="1"/>
  <c r="BQ26" i="51" s="1"/>
  <c r="BQ27" i="51" s="1"/>
  <c r="BQ11" i="51"/>
  <c r="AU57" i="47"/>
  <c r="BV41" i="47"/>
  <c r="AU73" i="46" l="1"/>
  <c r="AU76" i="46" s="1"/>
  <c r="AU60" i="47"/>
  <c r="AU58" i="47"/>
  <c r="AZ114" i="47" l="1"/>
  <c r="AZ109" i="47" l="1"/>
  <c r="BE109" i="47" s="1"/>
  <c r="BE100" i="47" s="1"/>
  <c r="AZ115" i="47"/>
  <c r="BE114" i="47"/>
  <c r="AZ100" i="47" l="1"/>
  <c r="BJ109" i="47"/>
  <c r="BO109" i="47" s="1"/>
  <c r="BO100" i="47" s="1"/>
  <c r="BJ114" i="47"/>
  <c r="BE115" i="47"/>
  <c r="AZ9" i="47" l="1"/>
  <c r="AZ11" i="47" s="1"/>
  <c r="AZ8" i="46" s="1"/>
  <c r="BJ100" i="47"/>
  <c r="BO114" i="47"/>
  <c r="BO115" i="47" s="1"/>
  <c r="BJ115" i="47"/>
  <c r="BE9" i="47"/>
  <c r="BJ9" i="47" l="1"/>
  <c r="BJ11" i="47" s="1"/>
  <c r="AZ17" i="47"/>
  <c r="BO9" i="47"/>
  <c r="BE11" i="47"/>
  <c r="AZ10" i="46"/>
  <c r="BE17" i="47" l="1"/>
  <c r="BE8" i="46"/>
  <c r="BO11" i="47"/>
  <c r="BJ17" i="47"/>
  <c r="BJ8" i="46"/>
  <c r="BJ10" i="46" l="1"/>
  <c r="BO17" i="47"/>
  <c r="BO8" i="46"/>
  <c r="BE10" i="46"/>
  <c r="BO10" i="46" l="1"/>
  <c r="AW34" i="64" l="1"/>
  <c r="AZ136" i="47"/>
  <c r="AZ134" i="47" s="1"/>
  <c r="AZ20" i="47" s="1"/>
  <c r="BE136" i="47" l="1"/>
  <c r="BE134" i="47" s="1"/>
  <c r="BE20" i="47" s="1"/>
  <c r="BB136" i="47"/>
  <c r="BJ136" i="47"/>
  <c r="BG136" i="47"/>
  <c r="AZ13" i="46"/>
  <c r="BB20" i="47"/>
  <c r="AZ25" i="47"/>
  <c r="AZ27" i="47" s="1"/>
  <c r="AZ34" i="47" s="1"/>
  <c r="BE13" i="46"/>
  <c r="BG20" i="47"/>
  <c r="BE25" i="47"/>
  <c r="BE27" i="47" s="1"/>
  <c r="BE34" i="47" s="1"/>
  <c r="BG134" i="47"/>
  <c r="BB134" i="47"/>
  <c r="BL136" i="47" l="1"/>
  <c r="BO136" i="47"/>
  <c r="BJ134" i="47"/>
  <c r="BE35" i="47"/>
  <c r="BE20" i="65" s="1"/>
  <c r="BG13" i="46"/>
  <c r="BE18" i="46"/>
  <c r="BE20" i="46" s="1"/>
  <c r="AZ35" i="47"/>
  <c r="AZ20" i="65" s="1"/>
  <c r="BB13" i="46"/>
  <c r="AZ18" i="46"/>
  <c r="AZ20" i="46" s="1"/>
  <c r="BJ20" i="47" l="1"/>
  <c r="BL134" i="47"/>
  <c r="BO134" i="47"/>
  <c r="BQ136" i="47"/>
  <c r="BO20" i="47" l="1"/>
  <c r="BQ134" i="47"/>
  <c r="BL20" i="47"/>
  <c r="BJ25" i="47"/>
  <c r="BJ27" i="47" s="1"/>
  <c r="BJ34" i="47" s="1"/>
  <c r="BJ35" i="47" s="1"/>
  <c r="BJ20" i="65" s="1"/>
  <c r="BJ13" i="46"/>
  <c r="AU210" i="47"/>
  <c r="BL13" i="46" l="1"/>
  <c r="BJ18" i="46"/>
  <c r="BJ20" i="46" s="1"/>
  <c r="BO13" i="46"/>
  <c r="BQ20" i="47"/>
  <c r="BO25" i="47"/>
  <c r="BO27" i="47" s="1"/>
  <c r="BO34" i="47" s="1"/>
  <c r="BO35" i="47" s="1"/>
  <c r="BO20" i="65" s="1"/>
  <c r="BQ13" i="46" l="1"/>
  <c r="BO18" i="46"/>
  <c r="BO20" i="46" s="1"/>
  <c r="AU106" i="46"/>
  <c r="AU237" i="47" l="1"/>
  <c r="AU240" i="47"/>
  <c r="BW37" i="47" l="1"/>
  <c r="BW39" i="47" l="1"/>
  <c r="BW41" i="47" s="1"/>
  <c r="AW242" i="47" l="1"/>
  <c r="AW313" i="47" l="1"/>
  <c r="AW87" i="47" s="1"/>
  <c r="AW314" i="47"/>
  <c r="AW86" i="47" s="1"/>
  <c r="AW9" i="65"/>
  <c r="AW36" i="64" l="1"/>
  <c r="AW50" i="64" s="1"/>
  <c r="AW52" i="64" s="1"/>
  <c r="AW7" i="64"/>
  <c r="AW234" i="47" l="1"/>
  <c r="AW236" i="47" s="1"/>
  <c r="AW245" i="47" s="1"/>
  <c r="AW246" i="47" s="1"/>
  <c r="AV237" i="47" l="1"/>
  <c r="AV240" i="47" l="1"/>
  <c r="AV243" i="47"/>
  <c r="AW237" i="47" l="1"/>
  <c r="AW240" i="47"/>
  <c r="AW243" i="47"/>
  <c r="AW37" i="64" s="1"/>
  <c r="AU457" i="15" l="1"/>
  <c r="AW457" i="15" s="1"/>
  <c r="AX181" i="46" l="1"/>
  <c r="AY181" i="46" s="1"/>
  <c r="AZ181" i="46" s="1"/>
  <c r="BA181" i="46" s="1"/>
  <c r="BB181" i="46" s="1"/>
  <c r="BC181" i="46" s="1"/>
  <c r="BD181" i="46" s="1"/>
  <c r="BE181" i="46" s="1"/>
  <c r="BF181" i="46" s="1"/>
  <c r="BG181" i="46" s="1"/>
  <c r="BH181" i="46" s="1"/>
  <c r="BI181" i="46" s="1"/>
  <c r="BJ181" i="46" s="1"/>
  <c r="BK181" i="46" s="1"/>
  <c r="BL181" i="46" s="1"/>
  <c r="BM181" i="46" s="1"/>
  <c r="BN181" i="46" s="1"/>
  <c r="BO181" i="46" s="1"/>
  <c r="BP181" i="46" s="1"/>
  <c r="BQ181" i="46" s="1"/>
  <c r="AU107" i="46"/>
  <c r="AU108" i="46" s="1"/>
  <c r="AU487" i="15" l="1"/>
  <c r="AU484" i="15"/>
  <c r="BQ469" i="15" l="1"/>
  <c r="BG469" i="15"/>
  <c r="CQ53" i="64"/>
  <c r="AW21" i="65" l="1"/>
  <c r="AV21" i="65" l="1"/>
  <c r="DH27" i="65"/>
  <c r="AW23" i="65"/>
  <c r="AW26" i="65" s="1"/>
  <c r="AW27" i="65" l="1"/>
  <c r="DV7" i="64"/>
  <c r="AV23" i="65"/>
  <c r="AV26" i="65" s="1"/>
  <c r="AV27" i="65" l="1"/>
  <c r="DV12" i="64"/>
  <c r="DV15" i="64"/>
  <c r="DV14" i="64" l="1"/>
  <c r="AW458" i="15" l="1"/>
  <c r="AW220" i="46" s="1"/>
  <c r="AW234" i="46" s="1"/>
  <c r="AW10" i="65"/>
  <c r="AW60" i="47" l="1"/>
  <c r="AV60" i="47"/>
  <c r="DH34" i="65"/>
  <c r="CQ51" i="64"/>
  <c r="AW8" i="64"/>
  <c r="AW53" i="64"/>
  <c r="AW56" i="64" s="1"/>
  <c r="AW61" i="64" s="1"/>
  <c r="AW65" i="64" s="1"/>
  <c r="AW68" i="64" s="1"/>
  <c r="AW70" i="64" s="1"/>
  <c r="DH33" i="65"/>
  <c r="DH43" i="65" s="1"/>
  <c r="AV61" i="47" l="1"/>
  <c r="AW61" i="47" s="1"/>
  <c r="AW11" i="65"/>
  <c r="AW25" i="64"/>
  <c r="CQ83" i="64"/>
  <c r="CQ85" i="64" s="1"/>
  <c r="CQ88" i="64" s="1"/>
  <c r="CQ91" i="64" s="1"/>
  <c r="CQ54" i="64"/>
  <c r="CQ56" i="64" s="1"/>
  <c r="CQ62" i="64" s="1"/>
  <c r="CQ63" i="64" s="1"/>
  <c r="CQ67" i="64" s="1"/>
  <c r="DH26" i="65"/>
  <c r="DH32" i="65"/>
  <c r="DH42" i="65" s="1"/>
  <c r="DH44" i="65" s="1"/>
  <c r="DH48" i="65" s="1"/>
  <c r="AW9" i="64" l="1"/>
  <c r="AW10" i="64" s="1"/>
  <c r="AW17" i="64" s="1"/>
  <c r="AW19" i="64" s="1"/>
  <c r="AW21" i="64" s="1"/>
  <c r="AW12" i="65"/>
  <c r="AW33" i="65" l="1"/>
  <c r="AW43" i="65"/>
  <c r="AW17" i="65"/>
  <c r="AW16" i="65"/>
  <c r="AU58" i="51" l="1"/>
  <c r="DH53" i="65" l="1"/>
  <c r="DH52" i="65"/>
  <c r="DH54" i="65"/>
  <c r="DH51" i="65"/>
  <c r="DH56" i="65"/>
  <c r="AX149" i="46"/>
  <c r="BB149" i="46" s="1"/>
  <c r="DH8" i="65" l="1"/>
  <c r="DH11" i="65"/>
  <c r="AX204" i="46"/>
  <c r="AW50" i="65" l="1"/>
  <c r="AX191" i="46"/>
  <c r="AY191" i="46" s="1"/>
  <c r="AZ191" i="46" s="1"/>
  <c r="BA191" i="46" s="1"/>
  <c r="BB191" i="46" s="1"/>
  <c r="BC191" i="46" s="1"/>
  <c r="BD191" i="46" s="1"/>
  <c r="BE191" i="46" s="1"/>
  <c r="BF191" i="46" s="1"/>
  <c r="BG191" i="46" s="1"/>
  <c r="BH191" i="46" s="1"/>
  <c r="BI191" i="46" s="1"/>
  <c r="BJ191" i="46" s="1"/>
  <c r="BK191" i="46" s="1"/>
  <c r="BL191" i="46" s="1"/>
  <c r="BM191" i="46" s="1"/>
  <c r="BN191" i="46" s="1"/>
  <c r="BO191" i="46" s="1"/>
  <c r="BP191" i="46" s="1"/>
  <c r="BQ191" i="46" s="1"/>
  <c r="AY204" i="46"/>
  <c r="AX179" i="46"/>
  <c r="AY179" i="46" l="1"/>
  <c r="AZ204" i="46"/>
  <c r="DH10" i="65"/>
  <c r="DH12" i="65" s="1"/>
  <c r="AX91" i="46"/>
  <c r="AZ179" i="46" l="1"/>
  <c r="BA204" i="46"/>
  <c r="BA179" i="46" s="1"/>
  <c r="BB179" i="46" s="1"/>
  <c r="BB204" i="46" s="1"/>
  <c r="DH15" i="65"/>
  <c r="DH17" i="65" s="1"/>
  <c r="AX94" i="46"/>
  <c r="DH23" i="65"/>
  <c r="DH22" i="65"/>
  <c r="DH21" i="65"/>
  <c r="DM11" i="65" l="1"/>
  <c r="BC204" i="46"/>
  <c r="DH20" i="65"/>
  <c r="AX30" i="46"/>
  <c r="AX32" i="46" l="1"/>
  <c r="BC179" i="46"/>
  <c r="BD204" i="46"/>
  <c r="BE204" i="46" l="1"/>
  <c r="BD179" i="46"/>
  <c r="BE179" i="46" l="1"/>
  <c r="BF204" i="46"/>
  <c r="BF179" i="46" s="1"/>
  <c r="BG179" i="46" s="1"/>
  <c r="BG204" i="46" s="1"/>
  <c r="DR11" i="65" l="1"/>
  <c r="BH204" i="46"/>
  <c r="BH179" i="46" l="1"/>
  <c r="BI204" i="46"/>
  <c r="BI179" i="46" l="1"/>
  <c r="BJ204" i="46"/>
  <c r="BJ179" i="46" l="1"/>
  <c r="BK204" i="46"/>
  <c r="BK179" i="46" s="1"/>
  <c r="BL179" i="46" s="1"/>
  <c r="BL204" i="46" s="1"/>
  <c r="DW11" i="65" l="1"/>
  <c r="BM204" i="46"/>
  <c r="BM179" i="46" l="1"/>
  <c r="BN204" i="46"/>
  <c r="BN179" i="46" l="1"/>
  <c r="BO204" i="46"/>
  <c r="BO179" i="46" l="1"/>
  <c r="BP204" i="46"/>
  <c r="BP179" i="46" s="1"/>
  <c r="BQ179" i="46" s="1"/>
  <c r="BQ204" i="46" s="1"/>
  <c r="EB11" i="65" l="1"/>
  <c r="BA107" i="47" l="1"/>
  <c r="BB107" i="47" l="1"/>
  <c r="BA120" i="47"/>
  <c r="BF107" i="47"/>
  <c r="BB120" i="47" l="1"/>
  <c r="BB121" i="47" s="1"/>
  <c r="BA15" i="47"/>
  <c r="BG107" i="47"/>
  <c r="BF120" i="47"/>
  <c r="BK107" i="47"/>
  <c r="BG120" i="47" l="1"/>
  <c r="BG121" i="47" s="1"/>
  <c r="BF15" i="47"/>
  <c r="BB15" i="47"/>
  <c r="BB25" i="47" s="1"/>
  <c r="BA9" i="46"/>
  <c r="BA25" i="47"/>
  <c r="BK120" i="47"/>
  <c r="BP107" i="47"/>
  <c r="BL107" i="47"/>
  <c r="BA18" i="46" l="1"/>
  <c r="BB9" i="46"/>
  <c r="BB18" i="46" s="1"/>
  <c r="BF25" i="47"/>
  <c r="BF9" i="46"/>
  <c r="BG15" i="47"/>
  <c r="BG25" i="47" s="1"/>
  <c r="BL120" i="47"/>
  <c r="BL121" i="47" s="1"/>
  <c r="BK15" i="47"/>
  <c r="BQ107" i="47"/>
  <c r="BP120" i="47"/>
  <c r="BF18" i="46" l="1"/>
  <c r="BG9" i="46"/>
  <c r="BG18" i="46" s="1"/>
  <c r="BP15" i="47"/>
  <c r="BQ120" i="47"/>
  <c r="BQ121" i="47" s="1"/>
  <c r="BK9" i="46"/>
  <c r="BL15" i="47"/>
  <c r="BL25" i="47" s="1"/>
  <c r="BK25" i="47"/>
  <c r="BK18" i="46" l="1"/>
  <c r="BL9" i="46"/>
  <c r="BL18" i="46" s="1"/>
  <c r="BP25" i="47"/>
  <c r="BQ15" i="47"/>
  <c r="BQ25" i="47" s="1"/>
  <c r="BP9" i="46"/>
  <c r="BP18" i="46" l="1"/>
  <c r="BQ9" i="46"/>
  <c r="BQ18" i="46" s="1"/>
  <c r="BA109" i="47"/>
  <c r="BA100" i="47" s="1"/>
  <c r="BF109" i="47" l="1"/>
  <c r="BF100" i="47" s="1"/>
  <c r="BG100" i="47" s="1"/>
  <c r="BG109" i="47" s="1"/>
  <c r="BB100" i="47"/>
  <c r="BB109" i="47" s="1"/>
  <c r="BB110" i="47" s="1"/>
  <c r="BG110" i="47" l="1"/>
  <c r="BK109" i="47"/>
  <c r="BK100" i="47" s="1"/>
  <c r="BP109" i="47" l="1"/>
  <c r="BP100" i="47" s="1"/>
  <c r="BQ100" i="47" s="1"/>
  <c r="BQ109" i="47" s="1"/>
  <c r="BL100" i="47"/>
  <c r="BL109" i="47" s="1"/>
  <c r="BL110" i="47" s="1"/>
  <c r="BQ110" i="47" l="1"/>
  <c r="BA114" i="47"/>
  <c r="BF114" i="47" s="1"/>
  <c r="BA115" i="47" l="1"/>
  <c r="BB115" i="47" s="1"/>
  <c r="BB114" i="47" s="1"/>
  <c r="BF115" i="47"/>
  <c r="BK114" i="47"/>
  <c r="BA9" i="47" l="1"/>
  <c r="BB9" i="47" s="1"/>
  <c r="BB11" i="47" s="1"/>
  <c r="BK115" i="47"/>
  <c r="BP114" i="47"/>
  <c r="BP115" i="47" s="1"/>
  <c r="BG115" i="47"/>
  <c r="BG114" i="47" s="1"/>
  <c r="BF9" i="47"/>
  <c r="BA11" i="47" l="1"/>
  <c r="BA17" i="47" s="1"/>
  <c r="BG9" i="47"/>
  <c r="BG11" i="47" s="1"/>
  <c r="BF11" i="47"/>
  <c r="BQ115" i="47"/>
  <c r="BQ114" i="47" s="1"/>
  <c r="BP9" i="47"/>
  <c r="BA8" i="46"/>
  <c r="BL115" i="47"/>
  <c r="BL114" i="47" s="1"/>
  <c r="BK9" i="47"/>
  <c r="BB17" i="47"/>
  <c r="BB27" i="47"/>
  <c r="BB34" i="47" s="1"/>
  <c r="BA27" i="47" l="1"/>
  <c r="BA34" i="47" s="1"/>
  <c r="BA35" i="47" s="1"/>
  <c r="BA20" i="65" s="1"/>
  <c r="BP11" i="47"/>
  <c r="BQ9" i="47"/>
  <c r="BQ11" i="47" s="1"/>
  <c r="BF17" i="47"/>
  <c r="BF8" i="46"/>
  <c r="BF27" i="47"/>
  <c r="BF34" i="47" s="1"/>
  <c r="BB253" i="47"/>
  <c r="BB35" i="47"/>
  <c r="BK11" i="47"/>
  <c r="BL9" i="47"/>
  <c r="BL11" i="47" s="1"/>
  <c r="BA10" i="46"/>
  <c r="BB8" i="46"/>
  <c r="BA20" i="46"/>
  <c r="BG17" i="47"/>
  <c r="BG27" i="47"/>
  <c r="BG34" i="47" s="1"/>
  <c r="BB10" i="46" l="1"/>
  <c r="BB20" i="46"/>
  <c r="BL17" i="47"/>
  <c r="BL27" i="47"/>
  <c r="BL34" i="47" s="1"/>
  <c r="BF10" i="46"/>
  <c r="BG8" i="46"/>
  <c r="BF20" i="46"/>
  <c r="BQ17" i="47"/>
  <c r="BQ27" i="47"/>
  <c r="BQ34" i="47" s="1"/>
  <c r="BG35" i="47"/>
  <c r="BG253" i="47"/>
  <c r="BK17" i="47"/>
  <c r="BK27" i="47"/>
  <c r="BK34" i="47" s="1"/>
  <c r="BK8" i="46"/>
  <c r="BB254" i="47"/>
  <c r="BB20" i="65"/>
  <c r="BF35" i="47"/>
  <c r="BF20" i="65" s="1"/>
  <c r="BP17" i="47"/>
  <c r="BP27" i="47"/>
  <c r="BP34" i="47" s="1"/>
  <c r="BP8" i="46"/>
  <c r="BP35" i="47" l="1"/>
  <c r="BP20" i="65" s="1"/>
  <c r="BK10" i="46"/>
  <c r="BL8" i="46"/>
  <c r="BK20" i="46"/>
  <c r="BQ35" i="47"/>
  <c r="BQ253" i="47"/>
  <c r="BL253" i="47"/>
  <c r="BL35" i="47"/>
  <c r="BP10" i="46"/>
  <c r="BQ8" i="46"/>
  <c r="BP20" i="46"/>
  <c r="BK35" i="47"/>
  <c r="BK20" i="65" s="1"/>
  <c r="BG254" i="47"/>
  <c r="BG20" i="65"/>
  <c r="BG10" i="46"/>
  <c r="BG20" i="46"/>
  <c r="BQ10" i="46" l="1"/>
  <c r="BQ20" i="46"/>
  <c r="BL20" i="65"/>
  <c r="BL254" i="47"/>
  <c r="BQ254" i="47"/>
  <c r="BQ20" i="65"/>
  <c r="BL10" i="46"/>
  <c r="BL20" i="46"/>
  <c r="AW232" i="47" l="1"/>
  <c r="AX226" i="47"/>
  <c r="AX195" i="47" l="1"/>
  <c r="AX198" i="47" l="1"/>
  <c r="AX37" i="47" s="1"/>
  <c r="AX39" i="47" l="1"/>
  <c r="AX41" i="47" l="1"/>
  <c r="AX43" i="47" l="1"/>
  <c r="AX45" i="47" s="1"/>
  <c r="AX49" i="47" s="1"/>
  <c r="AX83" i="47" l="1"/>
  <c r="AX56" i="47"/>
  <c r="AX51" i="47"/>
  <c r="AX242" i="47"/>
  <c r="AX206" i="47" l="1"/>
  <c r="AX57" i="47"/>
  <c r="AX58" i="47" l="1"/>
  <c r="AX73" i="46"/>
  <c r="AX211" i="47"/>
  <c r="AX225" i="47" s="1"/>
  <c r="AX227" i="47" l="1"/>
  <c r="AX228" i="47" s="1"/>
  <c r="AX232" i="47" l="1"/>
  <c r="AX234" i="47"/>
  <c r="AX236" i="47" l="1"/>
  <c r="AY195" i="47"/>
  <c r="AY226" i="47"/>
  <c r="AX245" i="47" l="1"/>
  <c r="AX246" i="47" s="1"/>
  <c r="AX106" i="46"/>
  <c r="AY198" i="47"/>
  <c r="AX237" i="47" l="1"/>
  <c r="AY37" i="47"/>
  <c r="AX240" i="47"/>
  <c r="AX243" i="47"/>
  <c r="AY39" i="47" l="1"/>
  <c r="AY41" i="47" l="1"/>
  <c r="AY43" i="47" l="1"/>
  <c r="AY83" i="47" l="1"/>
  <c r="AY45" i="47"/>
  <c r="AY49" i="47" s="1"/>
  <c r="AY51" i="47" l="1"/>
  <c r="AY56" i="47"/>
  <c r="AY242" i="47"/>
  <c r="AY206" i="47" l="1"/>
  <c r="AY57" i="47"/>
  <c r="AY58" i="47" l="1"/>
  <c r="AY73" i="46"/>
  <c r="AY211" i="47"/>
  <c r="AY225" i="47" s="1"/>
  <c r="AY227" i="47" l="1"/>
  <c r="AY234" i="47" l="1"/>
  <c r="AY228" i="47"/>
  <c r="AY232" i="47"/>
  <c r="AZ226" i="47" l="1"/>
  <c r="AZ195" i="47"/>
  <c r="AY236" i="47"/>
  <c r="AZ198" i="47" l="1"/>
  <c r="AY245" i="47"/>
  <c r="AY237" i="47" s="1"/>
  <c r="AY106" i="46"/>
  <c r="AZ37" i="47" l="1"/>
  <c r="AY240" i="47"/>
  <c r="AY243" i="47"/>
  <c r="AY246" i="47"/>
  <c r="AZ39" i="47" l="1"/>
  <c r="AZ41" i="47" l="1"/>
  <c r="AZ43" i="47" l="1"/>
  <c r="AZ83" i="47" l="1"/>
  <c r="AZ45" i="47"/>
  <c r="AZ49" i="47" s="1"/>
  <c r="AZ56" i="47" l="1"/>
  <c r="AZ51" i="47"/>
  <c r="AZ242" i="47"/>
  <c r="AZ206" i="47" l="1"/>
  <c r="AZ57" i="47"/>
  <c r="AZ211" i="47" l="1"/>
  <c r="AZ225" i="47" s="1"/>
  <c r="AZ58" i="47"/>
  <c r="AZ73" i="46"/>
  <c r="AZ227" i="47" l="1"/>
  <c r="AZ232" i="47" s="1"/>
  <c r="BA226" i="47" l="1"/>
  <c r="AZ234" i="47"/>
  <c r="AZ228" i="47"/>
  <c r="AZ236" i="47" l="1"/>
  <c r="BA195" i="47"/>
  <c r="BA198" i="47" l="1"/>
  <c r="BB195" i="47"/>
  <c r="AZ245" i="47"/>
  <c r="AZ106" i="46"/>
  <c r="AZ240" i="47" l="1"/>
  <c r="AZ243" i="47"/>
  <c r="AZ246" i="47"/>
  <c r="AZ237" i="47"/>
  <c r="BA37" i="47"/>
  <c r="BB198" i="47"/>
  <c r="BA39" i="47" l="1"/>
  <c r="BB37" i="47"/>
  <c r="BB255" i="47" l="1"/>
  <c r="BB266" i="47" s="1"/>
  <c r="BB39" i="47"/>
  <c r="BA41" i="47"/>
  <c r="BA43" i="47" l="1"/>
  <c r="BB41" i="47"/>
  <c r="BA83" i="47" l="1"/>
  <c r="BB43" i="47"/>
  <c r="BA45" i="47"/>
  <c r="BA49" i="47" s="1"/>
  <c r="BA56" i="47" l="1"/>
  <c r="BA51" i="47"/>
  <c r="BA242" i="47"/>
  <c r="BB83" i="47"/>
  <c r="BB45" i="47"/>
  <c r="BB49" i="47" s="1"/>
  <c r="BB56" i="47" l="1"/>
  <c r="BB51" i="47"/>
  <c r="BA57" i="47"/>
  <c r="BA206" i="47"/>
  <c r="BB242" i="47"/>
  <c r="BA211" i="47" l="1"/>
  <c r="BA225" i="47" s="1"/>
  <c r="BB206" i="47"/>
  <c r="BB211" i="47" s="1"/>
  <c r="BB225" i="47" s="1"/>
  <c r="BB252" i="47"/>
  <c r="BB256" i="47"/>
  <c r="BB57" i="47"/>
  <c r="BA58" i="47"/>
  <c r="BA73" i="46"/>
  <c r="BB58" i="47" l="1"/>
  <c r="BB73" i="46"/>
  <c r="BB9" i="65"/>
  <c r="BB265" i="47"/>
  <c r="BA227" i="47"/>
  <c r="BB313" i="47"/>
  <c r="BB87" i="47" s="1"/>
  <c r="BB314" i="47"/>
  <c r="BB86" i="47" s="1"/>
  <c r="BB36" i="64" s="1"/>
  <c r="BB50" i="64" s="1"/>
  <c r="BB52" i="64" s="1"/>
  <c r="BB227" i="47" l="1"/>
  <c r="BA234" i="47"/>
  <c r="BA228" i="47"/>
  <c r="BA232" i="47"/>
  <c r="BB232" i="47" s="1"/>
  <c r="BB7" i="64"/>
  <c r="BC226" i="47" l="1"/>
  <c r="BA236" i="47"/>
  <c r="BB234" i="47"/>
  <c r="BA106" i="46" l="1"/>
  <c r="BA245" i="47"/>
  <c r="BB236" i="47"/>
  <c r="BC195" i="47"/>
  <c r="BC198" i="47" l="1"/>
  <c r="BA240" i="47"/>
  <c r="BA243" i="47"/>
  <c r="BA237" i="47"/>
  <c r="BB245" i="47"/>
  <c r="BB260" i="47" s="1"/>
  <c r="BB106" i="46"/>
  <c r="BB261" i="47"/>
  <c r="BB262" i="47"/>
  <c r="BA246" i="47"/>
  <c r="BB246" i="47" l="1"/>
  <c r="BB240" i="47"/>
  <c r="BB259" i="47"/>
  <c r="BB243" i="47"/>
  <c r="BB301" i="47" s="1"/>
  <c r="BB37" i="64" s="1"/>
  <c r="BB237" i="47"/>
  <c r="BC37" i="47"/>
  <c r="BC39" i="47" l="1"/>
  <c r="BC41" i="47" l="1"/>
  <c r="BC43" i="47" l="1"/>
  <c r="BC45" i="47" s="1"/>
  <c r="BC49" i="47" s="1"/>
  <c r="BC56" i="47" l="1"/>
  <c r="BC51" i="47"/>
  <c r="BC242" i="47"/>
  <c r="BC83" i="47"/>
  <c r="BC206" i="47" l="1"/>
  <c r="BC57" i="47"/>
  <c r="BC58" i="47" l="1"/>
  <c r="BC73" i="46"/>
  <c r="BC211" i="47"/>
  <c r="BC225" i="47" s="1"/>
  <c r="BC227" i="47" l="1"/>
  <c r="BC234" i="47" l="1"/>
  <c r="BC228" i="47"/>
  <c r="BC232" i="47"/>
  <c r="BD226" i="47" l="1"/>
  <c r="BD195" i="47"/>
  <c r="BC236" i="47"/>
  <c r="BD198" i="47" l="1"/>
  <c r="BC106" i="46"/>
  <c r="BC245" i="47"/>
  <c r="BC237" i="47" s="1"/>
  <c r="BD37" i="47" l="1"/>
  <c r="BC240" i="47"/>
  <c r="BC243" i="47"/>
  <c r="BC246" i="47"/>
  <c r="BD39" i="47" l="1"/>
  <c r="BD41" i="47" l="1"/>
  <c r="BD43" i="47" l="1"/>
  <c r="BD45" i="47" s="1"/>
  <c r="BD49" i="47" s="1"/>
  <c r="BD56" i="47" l="1"/>
  <c r="BD51" i="47"/>
  <c r="BD242" i="47"/>
  <c r="BD83" i="47"/>
  <c r="BD206" i="47" l="1"/>
  <c r="BD57" i="47"/>
  <c r="BD211" i="47" l="1"/>
  <c r="BD225" i="47" s="1"/>
  <c r="BD73" i="46"/>
  <c r="BD58" i="47"/>
  <c r="BD227" i="47" l="1"/>
  <c r="BD232" i="47" s="1"/>
  <c r="BD234" i="47" l="1"/>
  <c r="BD228" i="47"/>
  <c r="BE226" i="47"/>
  <c r="BE195" i="47" l="1"/>
  <c r="BD236" i="47"/>
  <c r="BD245" i="47" l="1"/>
  <c r="BD246" i="47" s="1"/>
  <c r="BD106" i="46"/>
  <c r="BE198" i="47"/>
  <c r="BD237" i="47" l="1"/>
  <c r="BD240" i="47"/>
  <c r="BD243" i="47"/>
  <c r="BE37" i="47"/>
  <c r="BE39" i="47" l="1"/>
  <c r="BE41" i="47" l="1"/>
  <c r="BE43" i="47" l="1"/>
  <c r="BE83" i="47" l="1"/>
  <c r="BE45" i="47"/>
  <c r="BE49" i="47" s="1"/>
  <c r="BE51" i="47" l="1"/>
  <c r="BE56" i="47"/>
  <c r="BE242" i="47"/>
  <c r="BE57" i="47" l="1"/>
  <c r="BE206" i="47"/>
  <c r="BE73" i="46" l="1"/>
  <c r="BE58" i="47"/>
  <c r="BE211" i="47"/>
  <c r="BE225" i="47" s="1"/>
  <c r="BE227" i="47" l="1"/>
  <c r="BE234" i="47" l="1"/>
  <c r="BE232" i="47"/>
  <c r="BE228" i="47"/>
  <c r="BE236" i="47" l="1"/>
  <c r="BF195" i="47"/>
  <c r="BF226" i="47"/>
  <c r="BE245" i="47" l="1"/>
  <c r="BE237" i="47" s="1"/>
  <c r="BE106" i="46"/>
  <c r="BF198" i="47"/>
  <c r="BG195" i="47"/>
  <c r="BE246" i="47" l="1"/>
  <c r="BF37" i="47"/>
  <c r="BG198" i="47"/>
  <c r="BE240" i="47"/>
  <c r="BE243" i="47"/>
  <c r="BF39" i="47" l="1"/>
  <c r="BG37" i="47"/>
  <c r="BG255" i="47" l="1"/>
  <c r="BG266" i="47" s="1"/>
  <c r="BG39" i="47"/>
  <c r="BF41" i="47"/>
  <c r="BF43" i="47" l="1"/>
  <c r="BF45" i="47" s="1"/>
  <c r="BF49" i="47" s="1"/>
  <c r="BG41" i="47"/>
  <c r="BF83" i="47" l="1"/>
  <c r="BG43" i="47"/>
  <c r="BF56" i="47"/>
  <c r="BF51" i="47"/>
  <c r="BF242" i="47"/>
  <c r="BF57" i="47" l="1"/>
  <c r="BF206" i="47"/>
  <c r="BG206" i="47" s="1"/>
  <c r="BG242" i="47"/>
  <c r="BG83" i="47"/>
  <c r="BG45" i="47"/>
  <c r="BG49" i="47" s="1"/>
  <c r="BF211" i="47" l="1"/>
  <c r="BF225" i="47" s="1"/>
  <c r="BG211" i="47"/>
  <c r="BG225" i="47" s="1"/>
  <c r="BG51" i="47"/>
  <c r="BG56" i="47"/>
  <c r="BF73" i="46"/>
  <c r="BF58" i="47"/>
  <c r="BG256" i="47" l="1"/>
  <c r="BG57" i="47"/>
  <c r="BG252" i="47"/>
  <c r="BF227" i="47"/>
  <c r="BG227" i="47" l="1"/>
  <c r="BF234" i="47"/>
  <c r="BF228" i="47"/>
  <c r="BG58" i="47"/>
  <c r="BG73" i="46"/>
  <c r="BG9" i="65"/>
  <c r="BF232" i="47"/>
  <c r="BG232" i="47" s="1"/>
  <c r="BG265" i="47"/>
  <c r="BG313" i="47"/>
  <c r="BG87" i="47" s="1"/>
  <c r="BG314" i="47"/>
  <c r="BG86" i="47" s="1"/>
  <c r="BG36" i="64" s="1"/>
  <c r="BG50" i="64" s="1"/>
  <c r="BG52" i="64" s="1"/>
  <c r="BH226" i="47" l="1"/>
  <c r="BF236" i="47"/>
  <c r="BG234" i="47"/>
  <c r="BG7" i="64"/>
  <c r="BF245" i="47" l="1"/>
  <c r="BF237" i="47" s="1"/>
  <c r="BF106" i="46"/>
  <c r="BH195" i="47"/>
  <c r="BG236" i="47"/>
  <c r="BG245" i="47" l="1"/>
  <c r="BG260" i="47" s="1"/>
  <c r="BG261" i="47"/>
  <c r="BG106" i="46"/>
  <c r="BG262" i="47"/>
  <c r="BH198" i="47"/>
  <c r="BF240" i="47"/>
  <c r="BF243" i="47"/>
  <c r="BF246" i="47"/>
  <c r="BG237" i="47" l="1"/>
  <c r="BH37" i="47"/>
  <c r="BG259" i="47"/>
  <c r="BG240" i="47"/>
  <c r="BG243" i="47"/>
  <c r="BG301" i="47" s="1"/>
  <c r="BG37" i="64" s="1"/>
  <c r="BG246" i="47"/>
  <c r="BH39" i="47" l="1"/>
  <c r="BH41" i="47" l="1"/>
  <c r="BH43" i="47" l="1"/>
  <c r="BH83" i="47" l="1"/>
  <c r="BH45" i="47"/>
  <c r="BH49" i="47" s="1"/>
  <c r="BH51" i="47" l="1"/>
  <c r="BH56" i="47"/>
  <c r="BH242" i="47"/>
  <c r="BH206" i="47" l="1"/>
  <c r="BH57" i="47"/>
  <c r="BH58" i="47" l="1"/>
  <c r="BH73" i="46"/>
  <c r="BH211" i="47"/>
  <c r="BH225" i="47" s="1"/>
  <c r="BH227" i="47" l="1"/>
  <c r="BH228" i="47" s="1"/>
  <c r="BH234" i="47" l="1"/>
  <c r="BH232" i="47"/>
  <c r="BI195" i="47" l="1"/>
  <c r="BH236" i="47"/>
  <c r="BI226" i="47"/>
  <c r="BH106" i="46" l="1"/>
  <c r="BH245" i="47"/>
  <c r="BI198" i="47"/>
  <c r="BI37" i="47" l="1"/>
  <c r="BH240" i="47"/>
  <c r="BH243" i="47"/>
  <c r="BH237" i="47"/>
  <c r="BH246" i="47"/>
  <c r="BI39" i="47" l="1"/>
  <c r="BI41" i="47" l="1"/>
  <c r="BI43" i="47" l="1"/>
  <c r="BI45" i="47" s="1"/>
  <c r="BI49" i="47" s="1"/>
  <c r="BI56" i="47" l="1"/>
  <c r="BI51" i="47"/>
  <c r="BI242" i="47"/>
  <c r="BI83" i="47"/>
  <c r="BI206" i="47" l="1"/>
  <c r="BI57" i="47"/>
  <c r="BI58" i="47" l="1"/>
  <c r="BI73" i="46"/>
  <c r="BI211" i="47"/>
  <c r="BI225" i="47" s="1"/>
  <c r="BI227" i="47" l="1"/>
  <c r="BI232" i="47" s="1"/>
  <c r="BJ226" i="47" l="1"/>
  <c r="BI234" i="47"/>
  <c r="BI228" i="47"/>
  <c r="BJ195" i="47" l="1"/>
  <c r="BI236" i="47"/>
  <c r="BI245" i="47" l="1"/>
  <c r="BI106" i="46"/>
  <c r="BJ198" i="47"/>
  <c r="BI240" i="47" l="1"/>
  <c r="BI243" i="47"/>
  <c r="BJ37" i="47"/>
  <c r="BI246" i="47"/>
  <c r="BI237" i="47"/>
  <c r="BJ39" i="47" l="1"/>
  <c r="BJ41" i="47" l="1"/>
  <c r="BJ43" i="47" l="1"/>
  <c r="BJ45" i="47" s="1"/>
  <c r="BJ49" i="47" s="1"/>
  <c r="BJ56" i="47" l="1"/>
  <c r="BJ51" i="47"/>
  <c r="BJ242" i="47"/>
  <c r="BJ83" i="47"/>
  <c r="BJ206" i="47" l="1"/>
  <c r="BJ57" i="47"/>
  <c r="BJ211" i="47" l="1"/>
  <c r="BJ225" i="47" s="1"/>
  <c r="BJ58" i="47"/>
  <c r="BJ73" i="46"/>
  <c r="BJ227" i="47" l="1"/>
  <c r="BJ232" i="47" s="1"/>
  <c r="BK226" i="47" l="1"/>
  <c r="BJ234" i="47"/>
  <c r="BJ228" i="47"/>
  <c r="BJ236" i="47" l="1"/>
  <c r="BK195" i="47"/>
  <c r="BK198" i="47" l="1"/>
  <c r="BL195" i="47"/>
  <c r="BJ106" i="46"/>
  <c r="BJ245" i="47"/>
  <c r="BJ237" i="47" s="1"/>
  <c r="BJ240" i="47" l="1"/>
  <c r="BJ243" i="47"/>
  <c r="BJ246" i="47"/>
  <c r="BK37" i="47"/>
  <c r="BL198" i="47"/>
  <c r="BK39" i="47" l="1"/>
  <c r="BL37" i="47"/>
  <c r="BL255" i="47" l="1"/>
  <c r="BL266" i="47" s="1"/>
  <c r="BL39" i="47"/>
  <c r="BK41" i="47"/>
  <c r="BK43" i="47" l="1"/>
  <c r="BL41" i="47"/>
  <c r="BK83" i="47" l="1"/>
  <c r="BL43" i="47"/>
  <c r="BL45" i="47" s="1"/>
  <c r="BL49" i="47" s="1"/>
  <c r="BK45" i="47"/>
  <c r="BK49" i="47" s="1"/>
  <c r="BK56" i="47" l="1"/>
  <c r="BK51" i="47"/>
  <c r="BK242" i="47"/>
  <c r="BL83" i="47"/>
  <c r="BL56" i="47"/>
  <c r="BL51" i="47"/>
  <c r="BL242" i="47" l="1"/>
  <c r="BL252" i="47"/>
  <c r="BL256" i="47"/>
  <c r="BL57" i="47"/>
  <c r="BK57" i="47"/>
  <c r="BK206" i="47"/>
  <c r="BK58" i="47" l="1"/>
  <c r="BK73" i="46"/>
  <c r="BL313" i="47"/>
  <c r="BL87" i="47" s="1"/>
  <c r="BL314" i="47"/>
  <c r="BL86" i="47" s="1"/>
  <c r="BL36" i="64" s="1"/>
  <c r="BL50" i="64" s="1"/>
  <c r="BL52" i="64" s="1"/>
  <c r="BK211" i="47"/>
  <c r="BK225" i="47" s="1"/>
  <c r="BL206" i="47"/>
  <c r="BL211" i="47" s="1"/>
  <c r="BL225" i="47" s="1"/>
  <c r="BL73" i="46"/>
  <c r="BL9" i="65"/>
  <c r="BL58" i="47"/>
  <c r="BL265" i="47"/>
  <c r="BL7" i="64" l="1"/>
  <c r="BK227" i="47"/>
  <c r="BL227" i="47" l="1"/>
  <c r="BK234" i="47"/>
  <c r="BK228" i="47"/>
  <c r="BK232" i="47"/>
  <c r="BL232" i="47" s="1"/>
  <c r="BM226" i="47" l="1"/>
  <c r="BK236" i="47"/>
  <c r="BL234" i="47"/>
  <c r="BL236" i="47" l="1"/>
  <c r="BM195" i="47"/>
  <c r="BK106" i="46"/>
  <c r="BK245" i="47"/>
  <c r="BK237" i="47" s="1"/>
  <c r="BK240" i="47" l="1"/>
  <c r="BK243" i="47"/>
  <c r="BK246" i="47"/>
  <c r="BM198" i="47"/>
  <c r="BL245" i="47"/>
  <c r="BL260" i="47" s="1"/>
  <c r="BL106" i="46"/>
  <c r="BL261" i="47"/>
  <c r="BL262" i="47"/>
  <c r="BL237" i="47" l="1"/>
  <c r="BL259" i="47"/>
  <c r="BL240" i="47"/>
  <c r="BL243" i="47"/>
  <c r="BL301" i="47" s="1"/>
  <c r="BL37" i="64" s="1"/>
  <c r="BL246" i="47"/>
  <c r="BM37" i="47"/>
  <c r="BM39" i="47" l="1"/>
  <c r="BM41" i="47" l="1"/>
  <c r="BM43" i="47" l="1"/>
  <c r="BM83" i="47" l="1"/>
  <c r="BM45" i="47"/>
  <c r="BM49" i="47" s="1"/>
  <c r="BM56" i="47" l="1"/>
  <c r="BM51" i="47"/>
  <c r="BM242" i="47"/>
  <c r="BM57" i="47" l="1"/>
  <c r="BM206" i="47"/>
  <c r="BM211" i="47" l="1"/>
  <c r="BM225" i="47" s="1"/>
  <c r="BM58" i="47"/>
  <c r="BM73" i="46"/>
  <c r="BM227" i="47" l="1"/>
  <c r="BM232" i="47" s="1"/>
  <c r="BN226" i="47" l="1"/>
  <c r="BM234" i="47"/>
  <c r="BM228" i="47"/>
  <c r="BN195" i="47" l="1"/>
  <c r="BM236" i="47"/>
  <c r="BM106" i="46" l="1"/>
  <c r="BM245" i="47"/>
  <c r="BM237" i="47" s="1"/>
  <c r="BN198" i="47"/>
  <c r="BM246" i="47" l="1"/>
  <c r="BM240" i="47"/>
  <c r="BM243" i="47"/>
  <c r="BN37" i="47"/>
  <c r="BN39" i="47" l="1"/>
  <c r="BN41" i="47" l="1"/>
  <c r="BN43" i="47" l="1"/>
  <c r="BN45" i="47" s="1"/>
  <c r="BN49" i="47" s="1"/>
  <c r="BN56" i="47" l="1"/>
  <c r="BN51" i="47"/>
  <c r="BN242" i="47"/>
  <c r="BN83" i="47"/>
  <c r="BN206" i="47" l="1"/>
  <c r="BN57" i="47"/>
  <c r="BN211" i="47" l="1"/>
  <c r="BN225" i="47" s="1"/>
  <c r="BN73" i="46"/>
  <c r="BN58" i="47"/>
  <c r="BN227" i="47" l="1"/>
  <c r="BN234" i="47" l="1"/>
  <c r="BN228" i="47"/>
  <c r="BN232" i="47"/>
  <c r="BO226" i="47" l="1"/>
  <c r="BO195" i="47"/>
  <c r="BN236" i="47"/>
  <c r="BO198" i="47" l="1"/>
  <c r="BN106" i="46"/>
  <c r="BN245" i="47"/>
  <c r="BN237" i="47" s="1"/>
  <c r="BN246" i="47" l="1"/>
  <c r="BN240" i="47"/>
  <c r="BN243" i="47"/>
  <c r="BO37" i="47"/>
  <c r="BO39" i="47" l="1"/>
  <c r="BO41" i="47" l="1"/>
  <c r="BO43" i="47" l="1"/>
  <c r="BO45" i="47" s="1"/>
  <c r="BO49" i="47" s="1"/>
  <c r="BO51" i="47" l="1"/>
  <c r="BO56" i="47"/>
  <c r="BO242" i="47"/>
  <c r="BO83" i="47"/>
  <c r="BO57" i="47" l="1"/>
  <c r="BO206" i="47"/>
  <c r="BO211" i="47" l="1"/>
  <c r="BO225" i="47" s="1"/>
  <c r="BO58" i="47"/>
  <c r="BO73" i="46"/>
  <c r="BO227" i="47" l="1"/>
  <c r="BO232" i="47" s="1"/>
  <c r="BP226" i="47" l="1"/>
  <c r="BO234" i="47"/>
  <c r="BO228" i="47"/>
  <c r="BO236" i="47" l="1"/>
  <c r="BP195" i="47"/>
  <c r="BO245" i="47" l="1"/>
  <c r="BO246" i="47" s="1"/>
  <c r="BO106" i="46"/>
  <c r="BP198" i="47"/>
  <c r="BQ195" i="47"/>
  <c r="BO237" i="47" l="1"/>
  <c r="BP37" i="47"/>
  <c r="BQ198" i="47"/>
  <c r="BO240" i="47"/>
  <c r="BO243" i="47"/>
  <c r="BP39" i="47" l="1"/>
  <c r="BQ37" i="47"/>
  <c r="BP41" i="47" l="1"/>
  <c r="BQ255" i="47"/>
  <c r="BQ266" i="47" s="1"/>
  <c r="BQ39" i="47"/>
  <c r="BQ41" i="47" l="1"/>
  <c r="BP43" i="47"/>
  <c r="BP45" i="47" s="1"/>
  <c r="BP49" i="47" s="1"/>
  <c r="BP83" i="47" l="1"/>
  <c r="BQ43" i="47"/>
  <c r="BQ45" i="47" s="1"/>
  <c r="BQ49" i="47" s="1"/>
  <c r="BP56" i="47"/>
  <c r="BP51" i="47"/>
  <c r="BP242" i="47"/>
  <c r="BP206" i="47" l="1"/>
  <c r="BP57" i="47"/>
  <c r="BQ242" i="47"/>
  <c r="BQ83" i="47"/>
  <c r="BQ51" i="47"/>
  <c r="BQ56" i="47"/>
  <c r="BQ256" i="47" l="1"/>
  <c r="BQ252" i="47"/>
  <c r="BQ57" i="47"/>
  <c r="BP58" i="47"/>
  <c r="BP73" i="46"/>
  <c r="BP211" i="47"/>
  <c r="BP225" i="47" s="1"/>
  <c r="BQ206" i="47"/>
  <c r="BQ211" i="47" s="1"/>
  <c r="BQ225" i="47" s="1"/>
  <c r="BP227" i="47" l="1"/>
  <c r="BP232" i="47" s="1"/>
  <c r="BQ232" i="47" s="1"/>
  <c r="BQ265" i="47"/>
  <c r="BQ58" i="47"/>
  <c r="BQ9" i="65"/>
  <c r="BQ73" i="46"/>
  <c r="BQ313" i="47"/>
  <c r="BQ87" i="47" s="1"/>
  <c r="BQ314" i="47"/>
  <c r="BQ86" i="47" s="1"/>
  <c r="BQ36" i="64" s="1"/>
  <c r="BQ50" i="64" s="1"/>
  <c r="BQ52" i="64" s="1"/>
  <c r="BQ7" i="64" l="1"/>
  <c r="BQ227" i="47"/>
  <c r="BP234" i="47"/>
  <c r="BP228" i="47"/>
  <c r="BP236" i="47" l="1"/>
  <c r="BQ234" i="47"/>
  <c r="BQ236" i="47" s="1"/>
  <c r="BQ261" i="47" l="1"/>
  <c r="BQ106" i="46"/>
  <c r="BQ245" i="47"/>
  <c r="BQ246" i="47" s="1"/>
  <c r="BQ262" i="47"/>
  <c r="BP245" i="47"/>
  <c r="BP237" i="47" s="1"/>
  <c r="BP106" i="46"/>
  <c r="BQ260" i="47" l="1"/>
  <c r="BP240" i="47"/>
  <c r="BP243" i="47"/>
  <c r="BP246" i="47"/>
  <c r="BQ259" i="47"/>
  <c r="BQ240" i="47"/>
  <c r="BQ243" i="47"/>
  <c r="BQ301" i="47" s="1"/>
  <c r="BQ37" i="64" s="1"/>
  <c r="BQ237" i="47"/>
  <c r="AX473" i="15"/>
  <c r="BB473" i="15" s="1"/>
  <c r="AW479" i="15"/>
  <c r="AV483" i="15" l="1"/>
  <c r="AV492" i="15" s="1"/>
  <c r="AW481" i="15"/>
  <c r="AW483" i="15" l="1"/>
  <c r="AX445" i="15"/>
  <c r="AV484" i="15" l="1"/>
  <c r="AV487" i="15"/>
  <c r="AV493" i="15"/>
  <c r="AV490" i="15"/>
  <c r="AX448" i="15"/>
  <c r="AW492" i="15"/>
  <c r="CQ93" i="64"/>
  <c r="CQ94" i="64" s="1"/>
  <c r="CQ97" i="64" s="1"/>
  <c r="AW484" i="15" l="1"/>
  <c r="AW487" i="15"/>
  <c r="AW490" i="15"/>
  <c r="AW493" i="15"/>
  <c r="AX28" i="15"/>
  <c r="AX500" i="15" l="1"/>
  <c r="AX52" i="15"/>
  <c r="AX29" i="51"/>
  <c r="AX30" i="51" s="1"/>
  <c r="AX23" i="15"/>
  <c r="AX55" i="15" l="1"/>
  <c r="AX25" i="15"/>
  <c r="AX24" i="46"/>
  <c r="AX25" i="46" l="1"/>
  <c r="AX27" i="46" s="1"/>
  <c r="AX26" i="15"/>
  <c r="AX498" i="15"/>
  <c r="AX511" i="15" s="1"/>
  <c r="AX30" i="15"/>
  <c r="AX499" i="15" l="1"/>
  <c r="AX21" i="65"/>
  <c r="AX28" i="46"/>
  <c r="AX34" i="46"/>
  <c r="AX436" i="15" l="1"/>
  <c r="AX53" i="15"/>
  <c r="AX23" i="65"/>
  <c r="AX26" i="65" s="1"/>
  <c r="AX33" i="15"/>
  <c r="AX37" i="15" s="1"/>
  <c r="AX100" i="46" l="1"/>
  <c r="AX32" i="51"/>
  <c r="AX33" i="51" s="1"/>
  <c r="AX37" i="51" s="1"/>
  <c r="AX44" i="15"/>
  <c r="AX39" i="15"/>
  <c r="AX27" i="65"/>
  <c r="AX37" i="46"/>
  <c r="AX41" i="46" s="1"/>
  <c r="AX44" i="51" l="1"/>
  <c r="AX116" i="46"/>
  <c r="AX39" i="51"/>
  <c r="AX246" i="46"/>
  <c r="AX49" i="46"/>
  <c r="AX43" i="46"/>
  <c r="AX50" i="46" s="1"/>
  <c r="AX51" i="46" s="1"/>
  <c r="AX190" i="46"/>
  <c r="AX124" i="46"/>
  <c r="AX501" i="15"/>
  <c r="AX51" i="15"/>
  <c r="AX57" i="15" s="1"/>
  <c r="AX59" i="15" s="1"/>
  <c r="AX497" i="15"/>
  <c r="AX454" i="15"/>
  <c r="AX45" i="15"/>
  <c r="AX46" i="15" l="1"/>
  <c r="AX74" i="46"/>
  <c r="AX510" i="15"/>
  <c r="AX193" i="46"/>
  <c r="AX56" i="51"/>
  <c r="AX45" i="51"/>
  <c r="AX458" i="15"/>
  <c r="AX129" i="46"/>
  <c r="AX120" i="46"/>
  <c r="AX211" i="46" l="1"/>
  <c r="AX75" i="46"/>
  <c r="AX76" i="46" s="1"/>
  <c r="AX60" i="47"/>
  <c r="AX61" i="47" s="1"/>
  <c r="AX59" i="51"/>
  <c r="AX73" i="51" s="1"/>
  <c r="AT113" i="46" l="1"/>
  <c r="AT120" i="46" s="1"/>
  <c r="AS113" i="46"/>
  <c r="AS120" i="46" s="1"/>
  <c r="AU113" i="46" l="1"/>
  <c r="AU120" i="46" s="1"/>
  <c r="AW120" i="46" s="1"/>
  <c r="BB226" i="47" l="1"/>
  <c r="BB228" i="47" s="1"/>
  <c r="BG226" i="47" s="1"/>
  <c r="BG228" i="47" s="1"/>
  <c r="BL226" i="47" s="1"/>
  <c r="BL228" i="47" s="1"/>
  <c r="BQ226" i="47" s="1"/>
  <c r="BQ228" i="47" s="1"/>
  <c r="BN418" i="15" l="1"/>
  <c r="BM17" i="15"/>
  <c r="BC418" i="15"/>
  <c r="BL419" i="15"/>
  <c r="BG419" i="15"/>
  <c r="BB430" i="15"/>
  <c r="AX430" i="15" s="1"/>
  <c r="AX431" i="15" s="1"/>
  <c r="BS431" i="15"/>
  <c r="CV59" i="64" l="1"/>
  <c r="AY430" i="15"/>
  <c r="AY431" i="15" s="1"/>
  <c r="AY460" i="15" s="1"/>
  <c r="BA430" i="15"/>
  <c r="BA431" i="15" s="1"/>
  <c r="BA460" i="15" s="1"/>
  <c r="BA80" i="46" s="1"/>
  <c r="BA82" i="46" s="1"/>
  <c r="BA131" i="46" s="1"/>
  <c r="BA134" i="46" s="1"/>
  <c r="BA462" i="15"/>
  <c r="AX417" i="15"/>
  <c r="AX460" i="15"/>
  <c r="AY80" i="46"/>
  <c r="AY82" i="46" s="1"/>
  <c r="AY131" i="46" s="1"/>
  <c r="AY134" i="46" s="1"/>
  <c r="AY462" i="15"/>
  <c r="AZ430" i="15"/>
  <c r="AZ431" i="15" s="1"/>
  <c r="AZ460" i="15" s="1"/>
  <c r="CV60" i="64" l="1"/>
  <c r="CV110" i="64"/>
  <c r="CV111" i="64" s="1"/>
  <c r="CV113" i="64" s="1"/>
  <c r="CV117" i="64" s="1"/>
  <c r="AZ80" i="46"/>
  <c r="AZ82" i="46" s="1"/>
  <c r="AZ131" i="46" s="1"/>
  <c r="AZ134" i="46" s="1"/>
  <c r="AZ462" i="15"/>
  <c r="AX420" i="15"/>
  <c r="AY417" i="15"/>
  <c r="AX80" i="46"/>
  <c r="AX82" i="46" s="1"/>
  <c r="AX131" i="46" s="1"/>
  <c r="AX462" i="15"/>
  <c r="AX471" i="15" s="1"/>
  <c r="BB460" i="15"/>
  <c r="BB131" i="46" l="1"/>
  <c r="BB134" i="46" s="1"/>
  <c r="AX161" i="46"/>
  <c r="AX134" i="46"/>
  <c r="AX147" i="46" s="1"/>
  <c r="AX150" i="46" s="1"/>
  <c r="AX475" i="15"/>
  <c r="AX479" i="15" s="1"/>
  <c r="AZ417" i="15"/>
  <c r="AY420" i="15"/>
  <c r="BB80" i="46"/>
  <c r="BB462" i="15"/>
  <c r="BB82" i="46" l="1"/>
  <c r="DM39" i="65" s="1"/>
  <c r="DM38" i="65"/>
  <c r="AZ420" i="15"/>
  <c r="BA417" i="15"/>
  <c r="AX474" i="15"/>
  <c r="AY473" i="15" s="1"/>
  <c r="AX481" i="15"/>
  <c r="AY161" i="46"/>
  <c r="AX164" i="46"/>
  <c r="AX151" i="46"/>
  <c r="AX174" i="46"/>
  <c r="AX203" i="46" l="1"/>
  <c r="AX177" i="46"/>
  <c r="AX184" i="46" s="1"/>
  <c r="AX195" i="46" s="1"/>
  <c r="AY445" i="15"/>
  <c r="AX483" i="15"/>
  <c r="DM37" i="65"/>
  <c r="AY149" i="46"/>
  <c r="AX155" i="46"/>
  <c r="AZ161" i="46"/>
  <c r="AY164" i="46"/>
  <c r="BB417" i="15"/>
  <c r="BB420" i="15" s="1"/>
  <c r="BA420" i="15"/>
  <c r="BB427" i="15" s="1"/>
  <c r="BA161" i="46" l="1"/>
  <c r="AZ164" i="46"/>
  <c r="AX107" i="46"/>
  <c r="AX506" i="15"/>
  <c r="AX507" i="15"/>
  <c r="AX492" i="15"/>
  <c r="AX484" i="15" s="1"/>
  <c r="AY91" i="46"/>
  <c r="AX205" i="46"/>
  <c r="AX159" i="46"/>
  <c r="AX171" i="46" s="1"/>
  <c r="AX197" i="46" s="1"/>
  <c r="AX201" i="46"/>
  <c r="AY448" i="15"/>
  <c r="AX493" i="15" l="1"/>
  <c r="AY28" i="15"/>
  <c r="AY94" i="46"/>
  <c r="AX504" i="15"/>
  <c r="AX487" i="15"/>
  <c r="AX490" i="15"/>
  <c r="AX505" i="15"/>
  <c r="AX109" i="46"/>
  <c r="AX108" i="46" s="1"/>
  <c r="AX214" i="46"/>
  <c r="AX206" i="46" s="1"/>
  <c r="BB161" i="46"/>
  <c r="BA164" i="46"/>
  <c r="AX215" i="46" l="1"/>
  <c r="BB164" i="46"/>
  <c r="AX209" i="46"/>
  <c r="AX212" i="46"/>
  <c r="AY30" i="46"/>
  <c r="AY23" i="15"/>
  <c r="AY500" i="15"/>
  <c r="AY52" i="15"/>
  <c r="AY24" i="46" l="1"/>
  <c r="AY25" i="15"/>
  <c r="AY55" i="15"/>
  <c r="AY32" i="46"/>
  <c r="AY29" i="51" s="1"/>
  <c r="AY30" i="51" s="1"/>
  <c r="AY26" i="15" l="1"/>
  <c r="AY30" i="15"/>
  <c r="AY32" i="15" s="1"/>
  <c r="AY498" i="15"/>
  <c r="AY511" i="15" s="1"/>
  <c r="AY25" i="46"/>
  <c r="AY27" i="46" s="1"/>
  <c r="AY34" i="46" l="1"/>
  <c r="AY36" i="46" s="1"/>
  <c r="AY28" i="46"/>
  <c r="AY499" i="15"/>
  <c r="AY21" i="65"/>
  <c r="AY33" i="15"/>
  <c r="AY37" i="15" s="1"/>
  <c r="AY39" i="15" l="1"/>
  <c r="AY44" i="15"/>
  <c r="AY23" i="65"/>
  <c r="AY26" i="65" s="1"/>
  <c r="AY53" i="15"/>
  <c r="AY436" i="15"/>
  <c r="AY37" i="46"/>
  <c r="AY41" i="46" s="1"/>
  <c r="AY27" i="65" l="1"/>
  <c r="AY49" i="46"/>
  <c r="AY43" i="46"/>
  <c r="AY50" i="46" s="1"/>
  <c r="AY51" i="46" s="1"/>
  <c r="AY124" i="46"/>
  <c r="AY190" i="46"/>
  <c r="AY246" i="46"/>
  <c r="AY100" i="46"/>
  <c r="AY32" i="51"/>
  <c r="AY33" i="51" s="1"/>
  <c r="AY37" i="51" s="1"/>
  <c r="AY45" i="15"/>
  <c r="AY51" i="15"/>
  <c r="AY57" i="15" s="1"/>
  <c r="AY59" i="15" s="1"/>
  <c r="AZ501" i="15"/>
  <c r="AY454" i="15"/>
  <c r="AY497" i="15"/>
  <c r="AY501" i="15"/>
  <c r="AY510" i="15" l="1"/>
  <c r="AY458" i="15"/>
  <c r="AY471" i="15" s="1"/>
  <c r="AY74" i="46"/>
  <c r="AY46" i="15"/>
  <c r="AY193" i="46"/>
  <c r="AY116" i="46"/>
  <c r="AY44" i="51"/>
  <c r="AY39" i="51"/>
  <c r="AY129" i="46"/>
  <c r="AY147" i="46" s="1"/>
  <c r="AY150" i="46" s="1"/>
  <c r="AY151" i="46" l="1"/>
  <c r="AY174" i="46"/>
  <c r="AY56" i="51"/>
  <c r="AY45" i="51"/>
  <c r="AY211" i="46"/>
  <c r="AY475" i="15"/>
  <c r="AY479" i="15" s="1"/>
  <c r="AY120" i="46"/>
  <c r="AY474" i="15" l="1"/>
  <c r="AZ473" i="15" s="1"/>
  <c r="AY481" i="15"/>
  <c r="AY59" i="51"/>
  <c r="AY73" i="51" s="1"/>
  <c r="AY75" i="46"/>
  <c r="AY76" i="46" s="1"/>
  <c r="AY60" i="47"/>
  <c r="AY61" i="47" s="1"/>
  <c r="AY177" i="46"/>
  <c r="AY184" i="46" s="1"/>
  <c r="AY195" i="46" s="1"/>
  <c r="AY203" i="46"/>
  <c r="AZ149" i="46"/>
  <c r="AY155" i="46"/>
  <c r="AY159" i="46" l="1"/>
  <c r="AY171" i="46" s="1"/>
  <c r="AY197" i="46" s="1"/>
  <c r="AY201" i="46"/>
  <c r="AZ91" i="46"/>
  <c r="AY205" i="46"/>
  <c r="AZ445" i="15"/>
  <c r="AY483" i="15"/>
  <c r="AZ448" i="15" l="1"/>
  <c r="AZ94" i="46"/>
  <c r="AY107" i="46"/>
  <c r="AY492" i="15"/>
  <c r="AY505" i="15" s="1"/>
  <c r="AY506" i="15"/>
  <c r="AY507" i="15"/>
  <c r="AY109" i="46"/>
  <c r="AY214" i="46"/>
  <c r="AY206" i="46" s="1"/>
  <c r="AY209" i="46" l="1"/>
  <c r="AY212" i="46"/>
  <c r="AY487" i="15"/>
  <c r="AY490" i="15"/>
  <c r="AY504" i="15"/>
  <c r="AZ30" i="46"/>
  <c r="AY215" i="46"/>
  <c r="AY108" i="46"/>
  <c r="AY493" i="15"/>
  <c r="AY484" i="15"/>
  <c r="AZ28" i="15"/>
  <c r="AZ23" i="15" l="1"/>
  <c r="AZ52" i="15"/>
  <c r="AZ500" i="15"/>
  <c r="AZ32" i="46"/>
  <c r="AZ29" i="51" s="1"/>
  <c r="AZ30" i="51" s="1"/>
  <c r="AZ24" i="46" l="1"/>
  <c r="AZ25" i="15"/>
  <c r="AZ55" i="15"/>
  <c r="AZ25" i="46" l="1"/>
  <c r="AZ27" i="46" s="1"/>
  <c r="AZ26" i="15"/>
  <c r="AZ30" i="15"/>
  <c r="AZ32" i="15" s="1"/>
  <c r="AZ498" i="15"/>
  <c r="AZ511" i="15" s="1"/>
  <c r="AZ21" i="65" l="1"/>
  <c r="AZ499" i="15"/>
  <c r="AZ28" i="46"/>
  <c r="AZ34" i="46"/>
  <c r="AZ36" i="46" s="1"/>
  <c r="AZ53" i="15" l="1"/>
  <c r="AZ436" i="15"/>
  <c r="AZ33" i="15"/>
  <c r="AZ37" i="15" s="1"/>
  <c r="AZ23" i="65"/>
  <c r="AZ26" i="65" s="1"/>
  <c r="AZ100" i="46" l="1"/>
  <c r="AZ32" i="51"/>
  <c r="AZ33" i="51" s="1"/>
  <c r="AZ37" i="51" s="1"/>
  <c r="AZ27" i="65"/>
  <c r="AZ37" i="46"/>
  <c r="AZ41" i="46" s="1"/>
  <c r="AZ44" i="15"/>
  <c r="AZ39" i="15"/>
  <c r="AZ45" i="15" l="1"/>
  <c r="AZ454" i="15"/>
  <c r="AZ51" i="15"/>
  <c r="AZ57" i="15" s="1"/>
  <c r="AZ59" i="15" s="1"/>
  <c r="AZ497" i="15"/>
  <c r="AZ43" i="46"/>
  <c r="AZ50" i="46" s="1"/>
  <c r="AZ51" i="46" s="1"/>
  <c r="AZ49" i="46"/>
  <c r="AZ124" i="46"/>
  <c r="AZ246" i="46"/>
  <c r="AZ190" i="46"/>
  <c r="AZ116" i="46"/>
  <c r="AZ39" i="51"/>
  <c r="AZ44" i="51"/>
  <c r="AZ45" i="51" l="1"/>
  <c r="AZ56" i="51"/>
  <c r="AZ193" i="46"/>
  <c r="AZ129" i="46"/>
  <c r="AZ147" i="46" s="1"/>
  <c r="AZ150" i="46" s="1"/>
  <c r="AZ120" i="46"/>
  <c r="AZ510" i="15"/>
  <c r="AZ458" i="15"/>
  <c r="AZ471" i="15" s="1"/>
  <c r="AZ74" i="46"/>
  <c r="AZ46" i="15"/>
  <c r="AZ475" i="15" l="1"/>
  <c r="AZ479" i="15" s="1"/>
  <c r="AZ75" i="46"/>
  <c r="AZ76" i="46" s="1"/>
  <c r="AZ60" i="47"/>
  <c r="AZ61" i="47" s="1"/>
  <c r="AZ211" i="46"/>
  <c r="AZ59" i="51"/>
  <c r="AZ73" i="51" s="1"/>
  <c r="AZ151" i="46"/>
  <c r="AZ174" i="46"/>
  <c r="AZ177" i="46" l="1"/>
  <c r="AZ184" i="46" s="1"/>
  <c r="AZ195" i="46" s="1"/>
  <c r="AZ203" i="46"/>
  <c r="AZ474" i="15"/>
  <c r="BA473" i="15" s="1"/>
  <c r="AZ481" i="15"/>
  <c r="BA149" i="46"/>
  <c r="AZ155" i="46"/>
  <c r="AZ159" i="46" l="1"/>
  <c r="AZ171" i="46" s="1"/>
  <c r="AZ197" i="46" s="1"/>
  <c r="AZ201" i="46"/>
  <c r="BA445" i="15"/>
  <c r="AZ483" i="15"/>
  <c r="BA91" i="46"/>
  <c r="AZ205" i="46"/>
  <c r="AZ109" i="46" l="1"/>
  <c r="AZ214" i="46"/>
  <c r="AZ206" i="46" s="1"/>
  <c r="AZ107" i="46"/>
  <c r="AZ506" i="15"/>
  <c r="AZ492" i="15"/>
  <c r="AZ507" i="15"/>
  <c r="BA94" i="46"/>
  <c r="BB91" i="46"/>
  <c r="BA448" i="15"/>
  <c r="BB445" i="15"/>
  <c r="AZ504" i="15" l="1"/>
  <c r="AZ487" i="15"/>
  <c r="AZ490" i="15"/>
  <c r="BA28" i="15"/>
  <c r="BB448" i="15"/>
  <c r="BA30" i="46"/>
  <c r="BB94" i="46"/>
  <c r="AZ493" i="15"/>
  <c r="AZ484" i="15"/>
  <c r="AZ505" i="15"/>
  <c r="AZ215" i="46"/>
  <c r="AZ209" i="46"/>
  <c r="AZ212" i="46"/>
  <c r="AZ108" i="46"/>
  <c r="BA32" i="46" l="1"/>
  <c r="BA29" i="51" s="1"/>
  <c r="BA30" i="51" s="1"/>
  <c r="BB30" i="46"/>
  <c r="BA23" i="15"/>
  <c r="BA52" i="15"/>
  <c r="BB28" i="15"/>
  <c r="BA500" i="15"/>
  <c r="BB500" i="15" s="1"/>
  <c r="BA24" i="46" l="1"/>
  <c r="BA25" i="15"/>
  <c r="BA55" i="15"/>
  <c r="BB23" i="15"/>
  <c r="BB52" i="15"/>
  <c r="CV53" i="64"/>
  <c r="BB32" i="46"/>
  <c r="BB29" i="51" s="1"/>
  <c r="BB30" i="51" s="1"/>
  <c r="BB223" i="46"/>
  <c r="BB25" i="15" l="1"/>
  <c r="BB55" i="15"/>
  <c r="BA26" i="15"/>
  <c r="BA30" i="15"/>
  <c r="BA32" i="15" s="1"/>
  <c r="BA498" i="15"/>
  <c r="BA25" i="46"/>
  <c r="BA27" i="46" s="1"/>
  <c r="BB24" i="46"/>
  <c r="BB25" i="46" s="1"/>
  <c r="BB27" i="46" s="1"/>
  <c r="BA34" i="46" l="1"/>
  <c r="BA36" i="46" s="1"/>
  <c r="BA28" i="46"/>
  <c r="BB28" i="46"/>
  <c r="BB222" i="46" s="1"/>
  <c r="BB34" i="46"/>
  <c r="BB221" i="46"/>
  <c r="BB240" i="46" s="1"/>
  <c r="DM27" i="65" s="1"/>
  <c r="BA21" i="65"/>
  <c r="BA499" i="15"/>
  <c r="BB499" i="15" s="1"/>
  <c r="BB26" i="15"/>
  <c r="BB21" i="65" s="1"/>
  <c r="BB30" i="15"/>
  <c r="BB498" i="15"/>
  <c r="BB511" i="15" s="1"/>
  <c r="BA511" i="15"/>
  <c r="BA53" i="15" l="1"/>
  <c r="BA436" i="15"/>
  <c r="BB32" i="15"/>
  <c r="BA23" i="65"/>
  <c r="BA26" i="65" s="1"/>
  <c r="BA33" i="15"/>
  <c r="BA37" i="15" s="1"/>
  <c r="BB23" i="65"/>
  <c r="BB26" i="65" s="1"/>
  <c r="DW7" i="64"/>
  <c r="BB27" i="65" l="1"/>
  <c r="BA100" i="46"/>
  <c r="BA32" i="51"/>
  <c r="BA33" i="51" s="1"/>
  <c r="BA37" i="51" s="1"/>
  <c r="BB36" i="46"/>
  <c r="BA39" i="15"/>
  <c r="BA44" i="15"/>
  <c r="BB53" i="15"/>
  <c r="BB436" i="15"/>
  <c r="BA37" i="46"/>
  <c r="BA41" i="46" s="1"/>
  <c r="BA27" i="65"/>
  <c r="BB33" i="15"/>
  <c r="BB37" i="15" s="1"/>
  <c r="DW12" i="64"/>
  <c r="DW15" i="64"/>
  <c r="DW14" i="64" l="1"/>
  <c r="BB44" i="15"/>
  <c r="BB39" i="15"/>
  <c r="BA49" i="46"/>
  <c r="BA43" i="46"/>
  <c r="BA50" i="46" s="1"/>
  <c r="BA51" i="46" s="1"/>
  <c r="BA124" i="46"/>
  <c r="BA246" i="46"/>
  <c r="BA190" i="46"/>
  <c r="BA45" i="15"/>
  <c r="BA51" i="15"/>
  <c r="BA57" i="15" s="1"/>
  <c r="BA59" i="15" s="1"/>
  <c r="BA454" i="15"/>
  <c r="BA501" i="15"/>
  <c r="BB501" i="15" s="1"/>
  <c r="BA497" i="15"/>
  <c r="BA116" i="46"/>
  <c r="BA44" i="51"/>
  <c r="BA39" i="51"/>
  <c r="BB100" i="46"/>
  <c r="BB32" i="51"/>
  <c r="BB33" i="51" s="1"/>
  <c r="BB37" i="51" s="1"/>
  <c r="BB37" i="46"/>
  <c r="BB41" i="46" s="1"/>
  <c r="BB39" i="51" l="1"/>
  <c r="BB44" i="51"/>
  <c r="BB43" i="46"/>
  <c r="BB49" i="46"/>
  <c r="BB246" i="46"/>
  <c r="BB497" i="15"/>
  <c r="BA510" i="15"/>
  <c r="BA458" i="15"/>
  <c r="BA471" i="15" s="1"/>
  <c r="BB454" i="15"/>
  <c r="BB458" i="15" s="1"/>
  <c r="BA74" i="46"/>
  <c r="BA46" i="15"/>
  <c r="BB51" i="15"/>
  <c r="BB57" i="15" s="1"/>
  <c r="BB59" i="15" s="1"/>
  <c r="CV51" i="64" s="1"/>
  <c r="BB45" i="15"/>
  <c r="BA56" i="51"/>
  <c r="BA45" i="51"/>
  <c r="BA120" i="46"/>
  <c r="BB120" i="46" s="1"/>
  <c r="BB116" i="46"/>
  <c r="BB190" i="46"/>
  <c r="BA193" i="46"/>
  <c r="BA129" i="46"/>
  <c r="BA147" i="46" s="1"/>
  <c r="BA150" i="46" s="1"/>
  <c r="BB124" i="46"/>
  <c r="BB129" i="46" s="1"/>
  <c r="BA151" i="46" l="1"/>
  <c r="BB150" i="46"/>
  <c r="DM54" i="65" s="1"/>
  <c r="BA174" i="46"/>
  <c r="BB193" i="46"/>
  <c r="BB147" i="46"/>
  <c r="BB220" i="46"/>
  <c r="DM34" i="65"/>
  <c r="BA211" i="46"/>
  <c r="BA75" i="46"/>
  <c r="BA60" i="47"/>
  <c r="BA61" i="47" s="1"/>
  <c r="BB61" i="47" s="1"/>
  <c r="BB74" i="46"/>
  <c r="BB46" i="15"/>
  <c r="BB10" i="65"/>
  <c r="BB471" i="15"/>
  <c r="DM33" i="65"/>
  <c r="DM43" i="65" s="1"/>
  <c r="BB510" i="15"/>
  <c r="BA59" i="51"/>
  <c r="BA73" i="51" s="1"/>
  <c r="BB56" i="51"/>
  <c r="BB59" i="51" s="1"/>
  <c r="BB73" i="51" s="1"/>
  <c r="CV83" i="64"/>
  <c r="CV85" i="64" s="1"/>
  <c r="CV88" i="64" s="1"/>
  <c r="CV91" i="64" s="1"/>
  <c r="CV54" i="64"/>
  <c r="CV56" i="64" s="1"/>
  <c r="CV62" i="64" s="1"/>
  <c r="CV63" i="64" s="1"/>
  <c r="CV67" i="64" s="1"/>
  <c r="BA76" i="46"/>
  <c r="BA475" i="15"/>
  <c r="BA479" i="15" s="1"/>
  <c r="BB479" i="15" s="1"/>
  <c r="BB50" i="46"/>
  <c r="BB219" i="46"/>
  <c r="BB224" i="46"/>
  <c r="BB45" i="51"/>
  <c r="BB53" i="64"/>
  <c r="BB56" i="64" s="1"/>
  <c r="BB61" i="64" s="1"/>
  <c r="BB65" i="64" s="1"/>
  <c r="BB68" i="64" s="1"/>
  <c r="BB70" i="64" s="1"/>
  <c r="BB51" i="46" l="1"/>
  <c r="BB63" i="46"/>
  <c r="BA474" i="15"/>
  <c r="BB474" i="15" s="1"/>
  <c r="BC473" i="15" s="1"/>
  <c r="BG473" i="15" s="1"/>
  <c r="BB475" i="15"/>
  <c r="BA481" i="15"/>
  <c r="DM32" i="65"/>
  <c r="DM42" i="65" s="1"/>
  <c r="DM44" i="65" s="1"/>
  <c r="DM48" i="65" s="1"/>
  <c r="DM56" i="65" s="1"/>
  <c r="BB211" i="46"/>
  <c r="BB75" i="46"/>
  <c r="BB76" i="46" s="1"/>
  <c r="BB11" i="65"/>
  <c r="BB60" i="47"/>
  <c r="BB237" i="46"/>
  <c r="DM26" i="65" s="1"/>
  <c r="BB238" i="46"/>
  <c r="BB8" i="64"/>
  <c r="BA177" i="46"/>
  <c r="BA184" i="46" s="1"/>
  <c r="BA195" i="46" s="1"/>
  <c r="BB174" i="46"/>
  <c r="BA203" i="46"/>
  <c r="BA205" i="46" s="1"/>
  <c r="BB151" i="46"/>
  <c r="BC149" i="46" s="1"/>
  <c r="BG149" i="46" s="1"/>
  <c r="BA155" i="46"/>
  <c r="BB155" i="46" l="1"/>
  <c r="BA159" i="46"/>
  <c r="BA171" i="46" s="1"/>
  <c r="BA197" i="46" s="1"/>
  <c r="BA201" i="46"/>
  <c r="BA109" i="46"/>
  <c r="BA214" i="46"/>
  <c r="BA215" i="46" s="1"/>
  <c r="BB9" i="64"/>
  <c r="BB10" i="64" s="1"/>
  <c r="BB17" i="64" s="1"/>
  <c r="BB19" i="64" s="1"/>
  <c r="BB21" i="64" s="1"/>
  <c r="DM15" i="65"/>
  <c r="BB203" i="46"/>
  <c r="BB177" i="46"/>
  <c r="BB184" i="46" s="1"/>
  <c r="BB195" i="46" s="1"/>
  <c r="BB25" i="64"/>
  <c r="BB12" i="65"/>
  <c r="BB16" i="65" s="1"/>
  <c r="BA483" i="15"/>
  <c r="BB481" i="15"/>
  <c r="BA206" i="46" l="1"/>
  <c r="BA107" i="46"/>
  <c r="BA108" i="46" s="1"/>
  <c r="BA492" i="15"/>
  <c r="BA484" i="15" s="1"/>
  <c r="BA506" i="15"/>
  <c r="BA507" i="15"/>
  <c r="BC445" i="15"/>
  <c r="BB483" i="15"/>
  <c r="BB33" i="65"/>
  <c r="BB48" i="65"/>
  <c r="BB43" i="65"/>
  <c r="BB17" i="65"/>
  <c r="BC91" i="46"/>
  <c r="BB205" i="46"/>
  <c r="DM10" i="65"/>
  <c r="DM12" i="65" s="1"/>
  <c r="AW46" i="65"/>
  <c r="BB46" i="65"/>
  <c r="AW48" i="65"/>
  <c r="BA209" i="46"/>
  <c r="BA212" i="46"/>
  <c r="BB159" i="46"/>
  <c r="BB171" i="46" s="1"/>
  <c r="BB197" i="46" s="1"/>
  <c r="BB201" i="46"/>
  <c r="DM8" i="65"/>
  <c r="BA505" i="15" l="1"/>
  <c r="DM17" i="65"/>
  <c r="AW55" i="65"/>
  <c r="AW56" i="65" s="1"/>
  <c r="AW44" i="65" s="1"/>
  <c r="BB55" i="65"/>
  <c r="BB56" i="65" s="1"/>
  <c r="BB44" i="65" s="1"/>
  <c r="BB109" i="46"/>
  <c r="BB214" i="46"/>
  <c r="BB206" i="46" s="1"/>
  <c r="BB226" i="46"/>
  <c r="BB234" i="46" s="1"/>
  <c r="BB231" i="46"/>
  <c r="DM22" i="65" s="1"/>
  <c r="BB233" i="46"/>
  <c r="BB232" i="46"/>
  <c r="DM23" i="65" s="1"/>
  <c r="BB50" i="65"/>
  <c r="BC448" i="15"/>
  <c r="BA493" i="15"/>
  <c r="BC94" i="46"/>
  <c r="BB107" i="46"/>
  <c r="BB506" i="15"/>
  <c r="BB492" i="15"/>
  <c r="CV93" i="64"/>
  <c r="CV94" i="64" s="1"/>
  <c r="CV97" i="64" s="1"/>
  <c r="BB507" i="15"/>
  <c r="BA487" i="15"/>
  <c r="BA490" i="15"/>
  <c r="BA504" i="15"/>
  <c r="BB230" i="46" l="1"/>
  <c r="DM21" i="65" s="1"/>
  <c r="BB215" i="46"/>
  <c r="BB504" i="15"/>
  <c r="BB487" i="15"/>
  <c r="BB490" i="15"/>
  <c r="BC30" i="46"/>
  <c r="BB493" i="15"/>
  <c r="BB484" i="15"/>
  <c r="BB505" i="15"/>
  <c r="BC28" i="15"/>
  <c r="BB209" i="46"/>
  <c r="BB229" i="46"/>
  <c r="DM20" i="65" s="1"/>
  <c r="BB212" i="46"/>
  <c r="BB108" i="46"/>
  <c r="BC32" i="46" l="1"/>
  <c r="BC29" i="51" s="1"/>
  <c r="BC30" i="51" s="1"/>
  <c r="BC23" i="15"/>
  <c r="BC500" i="15"/>
  <c r="BC52" i="15"/>
  <c r="BC24" i="46" l="1"/>
  <c r="BC25" i="15"/>
  <c r="BC55" i="15"/>
  <c r="BC25" i="46" l="1"/>
  <c r="BC27" i="46" s="1"/>
  <c r="BC26" i="15"/>
  <c r="BC30" i="15"/>
  <c r="BC498" i="15"/>
  <c r="BC511" i="15" s="1"/>
  <c r="BC32" i="15" l="1"/>
  <c r="BC33" i="15" s="1"/>
  <c r="BC37" i="15" s="1"/>
  <c r="BC34" i="46"/>
  <c r="BC28" i="46"/>
  <c r="BC499" i="15"/>
  <c r="BC21" i="65"/>
  <c r="BC23" i="65" l="1"/>
  <c r="BC26" i="65" s="1"/>
  <c r="BC53" i="15"/>
  <c r="BC436" i="15"/>
  <c r="BC36" i="46"/>
  <c r="BC37" i="46" s="1"/>
  <c r="BC41" i="46" s="1"/>
  <c r="BC39" i="15"/>
  <c r="BC44" i="15"/>
  <c r="BC49" i="46" l="1"/>
  <c r="BC43" i="46"/>
  <c r="BC50" i="46" s="1"/>
  <c r="BC51" i="46" s="1"/>
  <c r="BC124" i="46"/>
  <c r="BC246" i="46"/>
  <c r="BC190" i="46"/>
  <c r="BC45" i="15"/>
  <c r="BC51" i="15"/>
  <c r="BC57" i="15" s="1"/>
  <c r="BC59" i="15" s="1"/>
  <c r="BC454" i="15"/>
  <c r="BC497" i="15"/>
  <c r="BC501" i="15"/>
  <c r="BC27" i="65"/>
  <c r="BC100" i="46"/>
  <c r="BC32" i="51"/>
  <c r="BC33" i="51" s="1"/>
  <c r="BC37" i="51" s="1"/>
  <c r="BC116" i="46" l="1"/>
  <c r="BC44" i="51"/>
  <c r="BC39" i="51"/>
  <c r="BC510" i="15"/>
  <c r="BC74" i="46"/>
  <c r="BC46" i="15"/>
  <c r="BC458" i="15"/>
  <c r="BC193" i="46"/>
  <c r="BC129" i="46"/>
  <c r="BC211" i="46" l="1"/>
  <c r="BC56" i="51"/>
  <c r="BC45" i="51"/>
  <c r="BC120" i="46"/>
  <c r="BC59" i="51" l="1"/>
  <c r="BC73" i="51" s="1"/>
  <c r="BC75" i="46"/>
  <c r="BC76" i="46" s="1"/>
  <c r="BC60" i="47"/>
  <c r="BC61" i="47" s="1"/>
  <c r="BF430" i="15" l="1"/>
  <c r="BF431" i="15"/>
  <c r="BF460" i="15" s="1"/>
  <c r="BD430" i="15"/>
  <c r="BD431" i="15"/>
  <c r="BD460" i="15" s="1"/>
  <c r="DA59" i="64"/>
  <c r="DA60" i="64" s="1"/>
  <c r="BE430" i="15"/>
  <c r="BE431" i="15"/>
  <c r="BE460" i="15" s="1"/>
  <c r="BL430" i="15"/>
  <c r="BG431" i="15"/>
  <c r="BC430" i="15"/>
  <c r="BC431" i="15" s="1"/>
  <c r="BC417" i="15" l="1"/>
  <c r="BC460" i="15"/>
  <c r="BF462" i="15"/>
  <c r="BF80" i="46"/>
  <c r="BF82" i="46" s="1"/>
  <c r="BF131" i="46" s="1"/>
  <c r="BF134" i="46" s="1"/>
  <c r="BL431" i="15"/>
  <c r="BI430" i="15"/>
  <c r="BI431" i="15" s="1"/>
  <c r="BI460" i="15" s="1"/>
  <c r="BJ430" i="15"/>
  <c r="BJ431" i="15" s="1"/>
  <c r="BJ460" i="15" s="1"/>
  <c r="DF59" i="64"/>
  <c r="BH430" i="15"/>
  <c r="BH431" i="15" s="1"/>
  <c r="BH460" i="15" s="1"/>
  <c r="BK430" i="15"/>
  <c r="BK431" i="15" s="1"/>
  <c r="BK460" i="15" s="1"/>
  <c r="BQ430" i="15"/>
  <c r="BD462" i="15"/>
  <c r="BD80" i="46"/>
  <c r="BD82" i="46" s="1"/>
  <c r="BD131" i="46" s="1"/>
  <c r="BD134" i="46" s="1"/>
  <c r="BE462" i="15"/>
  <c r="BE80" i="46"/>
  <c r="BE82" i="46" s="1"/>
  <c r="BE131" i="46" s="1"/>
  <c r="BE134" i="46" s="1"/>
  <c r="DA110" i="64"/>
  <c r="DA111" i="64" s="1"/>
  <c r="DA113" i="64" s="1"/>
  <c r="DA117" i="64" s="1"/>
  <c r="DF60" i="64" l="1"/>
  <c r="DF110" i="64"/>
  <c r="DF111" i="64" s="1"/>
  <c r="DF113" i="64" s="1"/>
  <c r="DF117" i="64" s="1"/>
  <c r="BQ431" i="15"/>
  <c r="BO430" i="15"/>
  <c r="BO431" i="15" s="1"/>
  <c r="BO460" i="15" s="1"/>
  <c r="BP430" i="15"/>
  <c r="BP431" i="15" s="1"/>
  <c r="BP460" i="15" s="1"/>
  <c r="BM430" i="15"/>
  <c r="BM431" i="15" s="1"/>
  <c r="BM460" i="15" s="1"/>
  <c r="DK59" i="64"/>
  <c r="BN430" i="15"/>
  <c r="BN431" i="15" s="1"/>
  <c r="BN460" i="15" s="1"/>
  <c r="BJ462" i="15"/>
  <c r="BJ80" i="46"/>
  <c r="BJ82" i="46" s="1"/>
  <c r="BJ131" i="46" s="1"/>
  <c r="BJ134" i="46" s="1"/>
  <c r="BK462" i="15"/>
  <c r="BK80" i="46"/>
  <c r="BK82" i="46" s="1"/>
  <c r="BK131" i="46" s="1"/>
  <c r="BK134" i="46" s="1"/>
  <c r="BI462" i="15"/>
  <c r="BI80" i="46"/>
  <c r="BI82" i="46" s="1"/>
  <c r="BI131" i="46" s="1"/>
  <c r="BI134" i="46" s="1"/>
  <c r="BG460" i="15"/>
  <c r="BC80" i="46"/>
  <c r="BC82" i="46" s="1"/>
  <c r="BC131" i="46" s="1"/>
  <c r="BC462" i="15"/>
  <c r="BC471" i="15" s="1"/>
  <c r="BH462" i="15"/>
  <c r="BL460" i="15"/>
  <c r="BH80" i="46"/>
  <c r="BH82" i="46" s="1"/>
  <c r="BH131" i="46" s="1"/>
  <c r="BD417" i="15"/>
  <c r="BC420" i="15"/>
  <c r="BO462" i="15" l="1"/>
  <c r="BO80" i="46"/>
  <c r="BO82" i="46" s="1"/>
  <c r="BO131" i="46" s="1"/>
  <c r="BO134" i="46" s="1"/>
  <c r="BL80" i="46"/>
  <c r="BL462" i="15"/>
  <c r="BD420" i="15"/>
  <c r="BE417" i="15"/>
  <c r="BM462" i="15"/>
  <c r="BM80" i="46"/>
  <c r="BM82" i="46" s="1"/>
  <c r="BM131" i="46" s="1"/>
  <c r="BQ460" i="15"/>
  <c r="BG462" i="15"/>
  <c r="BG80" i="46"/>
  <c r="BN462" i="15"/>
  <c r="BN80" i="46"/>
  <c r="BN82" i="46" s="1"/>
  <c r="BN131" i="46" s="1"/>
  <c r="BN134" i="46" s="1"/>
  <c r="DK60" i="64"/>
  <c r="DK110" i="64"/>
  <c r="DK111" i="64" s="1"/>
  <c r="DK113" i="64" s="1"/>
  <c r="DK117" i="64" s="1"/>
  <c r="BC475" i="15"/>
  <c r="BH134" i="46"/>
  <c r="BL131" i="46"/>
  <c r="BL134" i="46" s="1"/>
  <c r="BC161" i="46"/>
  <c r="BG131" i="46"/>
  <c r="BG134" i="46" s="1"/>
  <c r="BC134" i="46"/>
  <c r="BC147" i="46" s="1"/>
  <c r="BC150" i="46" s="1"/>
  <c r="BP462" i="15"/>
  <c r="BP80" i="46"/>
  <c r="BP82" i="46" s="1"/>
  <c r="BP131" i="46" s="1"/>
  <c r="BP134" i="46" s="1"/>
  <c r="BW127" i="64" l="1"/>
  <c r="BW119" i="64"/>
  <c r="BW121" i="64" s="1"/>
  <c r="BW123" i="64" s="1"/>
  <c r="BW125" i="64" s="1"/>
  <c r="DR38" i="65"/>
  <c r="BG82" i="46"/>
  <c r="DR39" i="65" s="1"/>
  <c r="BE420" i="15"/>
  <c r="BF417" i="15"/>
  <c r="DW38" i="65"/>
  <c r="BL82" i="46"/>
  <c r="DW39" i="65" s="1"/>
  <c r="BC151" i="46"/>
  <c r="BC174" i="46"/>
  <c r="BC474" i="15"/>
  <c r="BD473" i="15" s="1"/>
  <c r="BC481" i="15"/>
  <c r="BQ462" i="15"/>
  <c r="BQ80" i="46"/>
  <c r="BC164" i="46"/>
  <c r="BD161" i="46"/>
  <c r="BC479" i="15"/>
  <c r="BM134" i="46"/>
  <c r="BQ131" i="46"/>
  <c r="BQ134" i="46" s="1"/>
  <c r="BW128" i="64" l="1"/>
  <c r="BW73" i="64"/>
  <c r="BC177" i="46"/>
  <c r="BC184" i="46" s="1"/>
  <c r="BC195" i="46" s="1"/>
  <c r="BC203" i="46"/>
  <c r="BD149" i="46"/>
  <c r="BC155" i="46"/>
  <c r="BF420" i="15"/>
  <c r="BG427" i="15" s="1"/>
  <c r="BG417" i="15"/>
  <c r="BG420" i="15" s="1"/>
  <c r="BH417" i="15"/>
  <c r="BC483" i="15"/>
  <c r="BD445" i="15"/>
  <c r="BD164" i="46"/>
  <c r="BE161" i="46"/>
  <c r="EB38" i="65"/>
  <c r="BQ82" i="46"/>
  <c r="EB39" i="65" s="1"/>
  <c r="DW37" i="65"/>
  <c r="DR37" i="65"/>
  <c r="BC205" i="46" l="1"/>
  <c r="BD91" i="46"/>
  <c r="BE164" i="46"/>
  <c r="BF161" i="46"/>
  <c r="BC506" i="15"/>
  <c r="BC107" i="46"/>
  <c r="BC507" i="15"/>
  <c r="BC492" i="15"/>
  <c r="BC201" i="46"/>
  <c r="BC159" i="46"/>
  <c r="BC171" i="46" s="1"/>
  <c r="BC197" i="46" s="1"/>
  <c r="EB37" i="65"/>
  <c r="BD448" i="15"/>
  <c r="BH420" i="15"/>
  <c r="BI417" i="15"/>
  <c r="BF164" i="46" l="1"/>
  <c r="BG161" i="46"/>
  <c r="BC490" i="15"/>
  <c r="BC487" i="15"/>
  <c r="BC504" i="15"/>
  <c r="BI420" i="15"/>
  <c r="BJ417" i="15"/>
  <c r="BD28" i="15"/>
  <c r="BC505" i="15"/>
  <c r="BD94" i="46"/>
  <c r="BC493" i="15"/>
  <c r="BC484" i="15"/>
  <c r="BC214" i="46"/>
  <c r="BC206" i="46" s="1"/>
  <c r="BC109" i="46"/>
  <c r="BC108" i="46" s="1"/>
  <c r="BD30" i="46" l="1"/>
  <c r="BJ420" i="15"/>
  <c r="BK417" i="15"/>
  <c r="BC209" i="46"/>
  <c r="BC212" i="46"/>
  <c r="BG164" i="46"/>
  <c r="BH161" i="46"/>
  <c r="BC215" i="46"/>
  <c r="BD500" i="15"/>
  <c r="BD52" i="15"/>
  <c r="BD23" i="15"/>
  <c r="BD32" i="46" l="1"/>
  <c r="BD29" i="51" s="1"/>
  <c r="BD30" i="51" s="1"/>
  <c r="BD55" i="15"/>
  <c r="BD25" i="15"/>
  <c r="BD24" i="46"/>
  <c r="BH164" i="46"/>
  <c r="BI161" i="46"/>
  <c r="BK420" i="15"/>
  <c r="BL427" i="15" s="1"/>
  <c r="BL417" i="15"/>
  <c r="BL420" i="15" s="1"/>
  <c r="BM417" i="15"/>
  <c r="BD25" i="46" l="1"/>
  <c r="BD27" i="46" s="1"/>
  <c r="BD498" i="15"/>
  <c r="BD511" i="15" s="1"/>
  <c r="BD26" i="15"/>
  <c r="BD30" i="15"/>
  <c r="BI164" i="46"/>
  <c r="BJ161" i="46"/>
  <c r="BN417" i="15"/>
  <c r="BM420" i="15"/>
  <c r="BJ164" i="46" l="1"/>
  <c r="BK161" i="46"/>
  <c r="BN420" i="15"/>
  <c r="BO417" i="15"/>
  <c r="BD32" i="15"/>
  <c r="BD33" i="15" s="1"/>
  <c r="BD37" i="15" s="1"/>
  <c r="BD499" i="15"/>
  <c r="BD21" i="65"/>
  <c r="BD28" i="46"/>
  <c r="BD34" i="46"/>
  <c r="BD44" i="15" l="1"/>
  <c r="BD39" i="15"/>
  <c r="BK164" i="46"/>
  <c r="BL161" i="46"/>
  <c r="BD23" i="65"/>
  <c r="BD26" i="65" s="1"/>
  <c r="BD53" i="15"/>
  <c r="BD436" i="15"/>
  <c r="BD36" i="46"/>
  <c r="BD37" i="46" s="1"/>
  <c r="BD41" i="46" s="1"/>
  <c r="BO420" i="15"/>
  <c r="BP417" i="15"/>
  <c r="BD27" i="65" l="1"/>
  <c r="BD100" i="46"/>
  <c r="BD32" i="51"/>
  <c r="BD33" i="51" s="1"/>
  <c r="BD37" i="51" s="1"/>
  <c r="BD246" i="46"/>
  <c r="BD49" i="46"/>
  <c r="BD43" i="46"/>
  <c r="BD50" i="46" s="1"/>
  <c r="BD51" i="46" s="1"/>
  <c r="BD124" i="46"/>
  <c r="BD190" i="46"/>
  <c r="BD501" i="15"/>
  <c r="BE501" i="15"/>
  <c r="BD497" i="15"/>
  <c r="BD51" i="15"/>
  <c r="BD57" i="15" s="1"/>
  <c r="BD59" i="15" s="1"/>
  <c r="BD45" i="15"/>
  <c r="BD454" i="15"/>
  <c r="BQ417" i="15"/>
  <c r="BQ420" i="15" s="1"/>
  <c r="BP420" i="15"/>
  <c r="BQ427" i="15" s="1"/>
  <c r="BL164" i="46"/>
  <c r="BM161" i="46"/>
  <c r="BD44" i="51" l="1"/>
  <c r="BD116" i="46"/>
  <c r="BD39" i="51"/>
  <c r="BD46" i="15"/>
  <c r="BD74" i="46"/>
  <c r="BD129" i="46"/>
  <c r="BD147" i="46" s="1"/>
  <c r="BD150" i="46" s="1"/>
  <c r="BM164" i="46"/>
  <c r="BN161" i="46"/>
  <c r="BD458" i="15"/>
  <c r="BD471" i="15" s="1"/>
  <c r="BD510" i="15"/>
  <c r="BD193" i="46"/>
  <c r="BD475" i="15" l="1"/>
  <c r="BD479" i="15" s="1"/>
  <c r="BD211" i="46"/>
  <c r="BD120" i="46"/>
  <c r="BD151" i="46"/>
  <c r="BD174" i="46"/>
  <c r="BD45" i="51"/>
  <c r="BD56" i="51"/>
  <c r="BN164" i="46"/>
  <c r="BO161" i="46"/>
  <c r="BD59" i="51" l="1"/>
  <c r="BD73" i="51" s="1"/>
  <c r="BD75" i="46"/>
  <c r="BD76" i="46" s="1"/>
  <c r="BD60" i="47"/>
  <c r="BD61" i="47" s="1"/>
  <c r="BE149" i="46"/>
  <c r="BD155" i="46"/>
  <c r="BO164" i="46"/>
  <c r="BP161" i="46"/>
  <c r="BD177" i="46"/>
  <c r="BD184" i="46" s="1"/>
  <c r="BD195" i="46" s="1"/>
  <c r="BD203" i="46"/>
  <c r="BD474" i="15"/>
  <c r="BE473" i="15" s="1"/>
  <c r="BD481" i="15"/>
  <c r="BP164" i="46" l="1"/>
  <c r="BQ161" i="46"/>
  <c r="BQ164" i="46" s="1"/>
  <c r="BD201" i="46"/>
  <c r="BD159" i="46"/>
  <c r="BD171" i="46" s="1"/>
  <c r="BD197" i="46" s="1"/>
  <c r="BD483" i="15"/>
  <c r="BE445" i="15"/>
  <c r="BD205" i="46"/>
  <c r="BE91" i="46"/>
  <c r="BD109" i="46" l="1"/>
  <c r="BD214" i="46"/>
  <c r="BE448" i="15"/>
  <c r="BE94" i="46"/>
  <c r="BD506" i="15"/>
  <c r="BD107" i="46"/>
  <c r="BD492" i="15"/>
  <c r="BD493" i="15" s="1"/>
  <c r="BD507" i="15"/>
  <c r="BD505" i="15" l="1"/>
  <c r="BE30" i="46"/>
  <c r="BD209" i="46"/>
  <c r="BD212" i="46"/>
  <c r="BD108" i="46"/>
  <c r="BD490" i="15"/>
  <c r="BD487" i="15"/>
  <c r="BD504" i="15"/>
  <c r="BD215" i="46"/>
  <c r="BD484" i="15"/>
  <c r="BE28" i="15"/>
  <c r="BD206" i="46"/>
  <c r="BE52" i="15" l="1"/>
  <c r="BE23" i="15"/>
  <c r="BE500" i="15"/>
  <c r="BE32" i="46"/>
  <c r="BE29" i="51" s="1"/>
  <c r="BE30" i="51" s="1"/>
  <c r="BE55" i="15" l="1"/>
  <c r="BE25" i="15"/>
  <c r="BE24" i="46"/>
  <c r="BE25" i="46" l="1"/>
  <c r="BE27" i="46" s="1"/>
  <c r="BE26" i="15"/>
  <c r="BE30" i="15"/>
  <c r="BE498" i="15"/>
  <c r="BE511" i="15" s="1"/>
  <c r="BE32" i="15" l="1"/>
  <c r="BE33" i="15" s="1"/>
  <c r="BE37" i="15" s="1"/>
  <c r="BE21" i="65"/>
  <c r="BE499" i="15"/>
  <c r="BE28" i="46"/>
  <c r="BE34" i="46"/>
  <c r="BE36" i="46" l="1"/>
  <c r="BE37" i="46" s="1"/>
  <c r="BE41" i="46" s="1"/>
  <c r="BE23" i="65"/>
  <c r="BE26" i="65" s="1"/>
  <c r="BE44" i="15"/>
  <c r="BE39" i="15"/>
  <c r="BE53" i="15"/>
  <c r="BE436" i="15"/>
  <c r="BE27" i="65" l="1"/>
  <c r="BE45" i="15"/>
  <c r="BE51" i="15"/>
  <c r="BE57" i="15" s="1"/>
  <c r="BE59" i="15" s="1"/>
  <c r="BE454" i="15"/>
  <c r="BE497" i="15"/>
  <c r="BE246" i="46"/>
  <c r="BE49" i="46"/>
  <c r="BE43" i="46"/>
  <c r="BE50" i="46" s="1"/>
  <c r="BE51" i="46" s="1"/>
  <c r="BE124" i="46"/>
  <c r="BE190" i="46"/>
  <c r="BE32" i="51"/>
  <c r="BE33" i="51" s="1"/>
  <c r="BE37" i="51" s="1"/>
  <c r="BE100" i="46"/>
  <c r="BE510" i="15" l="1"/>
  <c r="BE46" i="15"/>
  <c r="BE74" i="46"/>
  <c r="BE458" i="15"/>
  <c r="BE471" i="15" s="1"/>
  <c r="BE44" i="51"/>
  <c r="BE116" i="46"/>
  <c r="BE39" i="51"/>
  <c r="BE193" i="46"/>
  <c r="BE129" i="46"/>
  <c r="BE147" i="46" s="1"/>
  <c r="BE150" i="46" s="1"/>
  <c r="BE120" i="46" l="1"/>
  <c r="BE151" i="46"/>
  <c r="BE174" i="46"/>
  <c r="BE211" i="46"/>
  <c r="BE45" i="51"/>
  <c r="BE56" i="51"/>
  <c r="BE475" i="15"/>
  <c r="BE479" i="15" s="1"/>
  <c r="BE474" i="15" l="1"/>
  <c r="BF473" i="15" s="1"/>
  <c r="BE481" i="15"/>
  <c r="BF149" i="46"/>
  <c r="BE155" i="46"/>
  <c r="BE59" i="51"/>
  <c r="BE73" i="51" s="1"/>
  <c r="BE177" i="46"/>
  <c r="BE184" i="46" s="1"/>
  <c r="BE195" i="46" s="1"/>
  <c r="BE203" i="46"/>
  <c r="BE75" i="46"/>
  <c r="BE76" i="46" s="1"/>
  <c r="BE60" i="47"/>
  <c r="BE61" i="47" s="1"/>
  <c r="BE205" i="46" l="1"/>
  <c r="BF91" i="46"/>
  <c r="BE159" i="46"/>
  <c r="BE171" i="46" s="1"/>
  <c r="BE197" i="46" s="1"/>
  <c r="BE201" i="46"/>
  <c r="BE483" i="15"/>
  <c r="BF445" i="15"/>
  <c r="BF448" i="15" l="1"/>
  <c r="BG445" i="15"/>
  <c r="BF94" i="46"/>
  <c r="BG91" i="46"/>
  <c r="BE506" i="15"/>
  <c r="BE107" i="46"/>
  <c r="BE492" i="15"/>
  <c r="BE493" i="15" s="1"/>
  <c r="BE507" i="15"/>
  <c r="BE214" i="46"/>
  <c r="BE206" i="46" s="1"/>
  <c r="BE109" i="46"/>
  <c r="BE505" i="15" l="1"/>
  <c r="BE108" i="46"/>
  <c r="BF30" i="46"/>
  <c r="BG94" i="46"/>
  <c r="BE209" i="46"/>
  <c r="BE212" i="46"/>
  <c r="BE487" i="15"/>
  <c r="BE504" i="15"/>
  <c r="BE490" i="15"/>
  <c r="BE215" i="46"/>
  <c r="BE484" i="15"/>
  <c r="BF28" i="15"/>
  <c r="BG448" i="15"/>
  <c r="BF52" i="15" l="1"/>
  <c r="BF23" i="15"/>
  <c r="BG28" i="15"/>
  <c r="BF500" i="15"/>
  <c r="BG500" i="15" s="1"/>
  <c r="BF32" i="46"/>
  <c r="BF29" i="51" s="1"/>
  <c r="BF30" i="51" s="1"/>
  <c r="BG30" i="46"/>
  <c r="BG223" i="46" l="1"/>
  <c r="BG32" i="46"/>
  <c r="BG29" i="51" s="1"/>
  <c r="BG30" i="51" s="1"/>
  <c r="BF55" i="15"/>
  <c r="BF25" i="15"/>
  <c r="BF24" i="46"/>
  <c r="BG23" i="15"/>
  <c r="DA53" i="64"/>
  <c r="BG52" i="15"/>
  <c r="BF26" i="15" l="1"/>
  <c r="BF30" i="15"/>
  <c r="BF498" i="15"/>
  <c r="BG55" i="15"/>
  <c r="BG25" i="15"/>
  <c r="BF25" i="46"/>
  <c r="BF27" i="46" s="1"/>
  <c r="BG24" i="46"/>
  <c r="BG25" i="46" s="1"/>
  <c r="BG27" i="46" s="1"/>
  <c r="BG26" i="15" l="1"/>
  <c r="BG21" i="65" s="1"/>
  <c r="BG30" i="15"/>
  <c r="BG28" i="46"/>
  <c r="BG222" i="46" s="1"/>
  <c r="BG34" i="46"/>
  <c r="BG221" i="46"/>
  <c r="BG240" i="46" s="1"/>
  <c r="DR27" i="65" s="1"/>
  <c r="BF32" i="15"/>
  <c r="BF33" i="15" s="1"/>
  <c r="BF37" i="15" s="1"/>
  <c r="BF28" i="46"/>
  <c r="BF34" i="46"/>
  <c r="BF511" i="15"/>
  <c r="BG498" i="15"/>
  <c r="BG511" i="15" s="1"/>
  <c r="BF21" i="65"/>
  <c r="BF499" i="15"/>
  <c r="BG499" i="15" s="1"/>
  <c r="DX7" i="64" l="1"/>
  <c r="BF44" i="15"/>
  <c r="BF39" i="15"/>
  <c r="BF436" i="15"/>
  <c r="BF53" i="15"/>
  <c r="BG32" i="15"/>
  <c r="BG33" i="15" s="1"/>
  <c r="BG37" i="15" s="1"/>
  <c r="BF23" i="65"/>
  <c r="BF26" i="65" s="1"/>
  <c r="BF36" i="46"/>
  <c r="BF37" i="46" s="1"/>
  <c r="BF41" i="46" s="1"/>
  <c r="BG23" i="65"/>
  <c r="BG26" i="65" s="1"/>
  <c r="BF49" i="46" l="1"/>
  <c r="BF246" i="46"/>
  <c r="BF43" i="46"/>
  <c r="BF50" i="46" s="1"/>
  <c r="BF51" i="46" s="1"/>
  <c r="BF124" i="46"/>
  <c r="BF190" i="46"/>
  <c r="BF45" i="15"/>
  <c r="BF51" i="15"/>
  <c r="BF57" i="15" s="1"/>
  <c r="BF59" i="15" s="1"/>
  <c r="BF454" i="15"/>
  <c r="BF497" i="15"/>
  <c r="BF501" i="15"/>
  <c r="BG501" i="15" s="1"/>
  <c r="BG44" i="15"/>
  <c r="BG39" i="15"/>
  <c r="BF32" i="51"/>
  <c r="BF33" i="51" s="1"/>
  <c r="BF37" i="51" s="1"/>
  <c r="BF100" i="46"/>
  <c r="BG36" i="46"/>
  <c r="BG53" i="15"/>
  <c r="BG436" i="15"/>
  <c r="DX12" i="64"/>
  <c r="DX15" i="64"/>
  <c r="BG27" i="65"/>
  <c r="BF27" i="65"/>
  <c r="BF129" i="46" l="1"/>
  <c r="BF147" i="46" s="1"/>
  <c r="BF150" i="46" s="1"/>
  <c r="BG124" i="46"/>
  <c r="BG129" i="46" s="1"/>
  <c r="BF458" i="15"/>
  <c r="BF471" i="15" s="1"/>
  <c r="BG454" i="15"/>
  <c r="BG458" i="15" s="1"/>
  <c r="BG45" i="15"/>
  <c r="BG51" i="15"/>
  <c r="BG57" i="15" s="1"/>
  <c r="BG59" i="15" s="1"/>
  <c r="DA51" i="64" s="1"/>
  <c r="BF46" i="15"/>
  <c r="BF74" i="46"/>
  <c r="BF44" i="51"/>
  <c r="BF116" i="46"/>
  <c r="BF39" i="51"/>
  <c r="DX14" i="64"/>
  <c r="BG100" i="46"/>
  <c r="BG32" i="51"/>
  <c r="BG33" i="51" s="1"/>
  <c r="BG37" i="51" s="1"/>
  <c r="BG37" i="46"/>
  <c r="BG41" i="46" s="1"/>
  <c r="BF510" i="15"/>
  <c r="BG497" i="15"/>
  <c r="BF193" i="46"/>
  <c r="BG190" i="46"/>
  <c r="BG193" i="46" l="1"/>
  <c r="BG471" i="15"/>
  <c r="DR33" i="65"/>
  <c r="DR43" i="65" s="1"/>
  <c r="BF211" i="46"/>
  <c r="BG49" i="46"/>
  <c r="BG246" i="46"/>
  <c r="BG43" i="46"/>
  <c r="BF45" i="51"/>
  <c r="BF56" i="51"/>
  <c r="BF475" i="15"/>
  <c r="BF479" i="15" s="1"/>
  <c r="BG479" i="15" s="1"/>
  <c r="BG510" i="15"/>
  <c r="BF120" i="46"/>
  <c r="BG120" i="46" s="1"/>
  <c r="BG116" i="46"/>
  <c r="BG147" i="46"/>
  <c r="BG220" i="46"/>
  <c r="DR34" i="65"/>
  <c r="BG44" i="51"/>
  <c r="BG39" i="51"/>
  <c r="DA54" i="64"/>
  <c r="DA56" i="64" s="1"/>
  <c r="DA62" i="64" s="1"/>
  <c r="DA63" i="64" s="1"/>
  <c r="DA67" i="64" s="1"/>
  <c r="DA83" i="64"/>
  <c r="DA85" i="64" s="1"/>
  <c r="DA88" i="64" s="1"/>
  <c r="DA91" i="64" s="1"/>
  <c r="BG46" i="15"/>
  <c r="BG74" i="46"/>
  <c r="BG10" i="65"/>
  <c r="BF151" i="46"/>
  <c r="BG150" i="46"/>
  <c r="DR54" i="65" s="1"/>
  <c r="BF174" i="46"/>
  <c r="DR32" i="65" l="1"/>
  <c r="DR42" i="65" s="1"/>
  <c r="DR44" i="65" s="1"/>
  <c r="DR48" i="65" s="1"/>
  <c r="DR56" i="65" s="1"/>
  <c r="BF155" i="46"/>
  <c r="BG151" i="46"/>
  <c r="BH149" i="46" s="1"/>
  <c r="BL149" i="46" s="1"/>
  <c r="BF474" i="15"/>
  <c r="BG474" i="15" s="1"/>
  <c r="BH473" i="15" s="1"/>
  <c r="BL473" i="15" s="1"/>
  <c r="BG475" i="15"/>
  <c r="BF481" i="15"/>
  <c r="BF59" i="51"/>
  <c r="BF73" i="51" s="1"/>
  <c r="BG56" i="51"/>
  <c r="BG59" i="51" s="1"/>
  <c r="BG73" i="51" s="1"/>
  <c r="BG50" i="46"/>
  <c r="BG224" i="46"/>
  <c r="BG219" i="46"/>
  <c r="BG8" i="64"/>
  <c r="BF203" i="46"/>
  <c r="BF205" i="46" s="1"/>
  <c r="BF177" i="46"/>
  <c r="BF184" i="46" s="1"/>
  <c r="BF195" i="46" s="1"/>
  <c r="BG174" i="46"/>
  <c r="BG45" i="51"/>
  <c r="BG53" i="64"/>
  <c r="BF60" i="47"/>
  <c r="BF61" i="47" s="1"/>
  <c r="BG61" i="47" s="1"/>
  <c r="BF75" i="46"/>
  <c r="BF76" i="46" s="1"/>
  <c r="BG211" i="46"/>
  <c r="BF201" i="46" l="1"/>
  <c r="BG155" i="46"/>
  <c r="BF159" i="46"/>
  <c r="BF171" i="46" s="1"/>
  <c r="BF197" i="46" s="1"/>
  <c r="BF214" i="46"/>
  <c r="BF109" i="46"/>
  <c r="BG60" i="47"/>
  <c r="BG75" i="46"/>
  <c r="BG76" i="46" s="1"/>
  <c r="BG11" i="65"/>
  <c r="BG56" i="64"/>
  <c r="BG61" i="64" s="1"/>
  <c r="BG65" i="64" s="1"/>
  <c r="BG68" i="64" s="1"/>
  <c r="BG70" i="64" s="1"/>
  <c r="CL9" i="64"/>
  <c r="CL10" i="64" s="1"/>
  <c r="CL16" i="64" s="1"/>
  <c r="CL23" i="64" s="1"/>
  <c r="BG238" i="46"/>
  <c r="BG237" i="46"/>
  <c r="DR26" i="65" s="1"/>
  <c r="DR15" i="65"/>
  <c r="BG46" i="65" s="1"/>
  <c r="BG25" i="64"/>
  <c r="BG177" i="46"/>
  <c r="BG184" i="46" s="1"/>
  <c r="BG195" i="46" s="1"/>
  <c r="BG203" i="46"/>
  <c r="BG63" i="46"/>
  <c r="BG51" i="46"/>
  <c r="BF483" i="15"/>
  <c r="BG481" i="15"/>
  <c r="CL27" i="64" l="1"/>
  <c r="CL29" i="64" s="1"/>
  <c r="BG9" i="64"/>
  <c r="BG12" i="65"/>
  <c r="BG16" i="65" s="1"/>
  <c r="BF107" i="46"/>
  <c r="BF108" i="46" s="1"/>
  <c r="BF506" i="15"/>
  <c r="BF492" i="15"/>
  <c r="BF505" i="15" s="1"/>
  <c r="BF507" i="15"/>
  <c r="BF209" i="46"/>
  <c r="BF212" i="46"/>
  <c r="BG201" i="46"/>
  <c r="DR8" i="65"/>
  <c r="BG159" i="46"/>
  <c r="BG171" i="46" s="1"/>
  <c r="BG197" i="46" s="1"/>
  <c r="BF206" i="46"/>
  <c r="BG483" i="15"/>
  <c r="BH445" i="15"/>
  <c r="BH91" i="46"/>
  <c r="DR10" i="65"/>
  <c r="DR12" i="65" s="1"/>
  <c r="BG205" i="46"/>
  <c r="BF215" i="46"/>
  <c r="BF504" i="15" l="1"/>
  <c r="BF487" i="15"/>
  <c r="BF490" i="15"/>
  <c r="CG10" i="64"/>
  <c r="CG16" i="64" s="1"/>
  <c r="BG10" i="64"/>
  <c r="BG17" i="64" s="1"/>
  <c r="BG19" i="64" s="1"/>
  <c r="BG21" i="64" s="1"/>
  <c r="BG226" i="46"/>
  <c r="BG234" i="46" s="1"/>
  <c r="BG109" i="46"/>
  <c r="BG231" i="46"/>
  <c r="DR22" i="65" s="1"/>
  <c r="BG214" i="46"/>
  <c r="BG206" i="46" s="1"/>
  <c r="BG232" i="46"/>
  <c r="DR23" i="65" s="1"/>
  <c r="BG233" i="46"/>
  <c r="BG107" i="46"/>
  <c r="DA93" i="64"/>
  <c r="DA94" i="64" s="1"/>
  <c r="DA97" i="64" s="1"/>
  <c r="BG506" i="15"/>
  <c r="BG492" i="15"/>
  <c r="BG493" i="15" s="1"/>
  <c r="BG507" i="15"/>
  <c r="BH448" i="15"/>
  <c r="BF484" i="15"/>
  <c r="DR17" i="65"/>
  <c r="BG55" i="65"/>
  <c r="BG56" i="65" s="1"/>
  <c r="BG44" i="65" s="1"/>
  <c r="BH94" i="46"/>
  <c r="BF493" i="15"/>
  <c r="BG48" i="65"/>
  <c r="BG33" i="65"/>
  <c r="BG43" i="65"/>
  <c r="BG50" i="65"/>
  <c r="BG17" i="65"/>
  <c r="BG108" i="46" l="1"/>
  <c r="BG230" i="46"/>
  <c r="DR21" i="65" s="1"/>
  <c r="BG215" i="46"/>
  <c r="BH30" i="46"/>
  <c r="BG490" i="15"/>
  <c r="BG504" i="15"/>
  <c r="BG487" i="15"/>
  <c r="BG505" i="15"/>
  <c r="BH28" i="15"/>
  <c r="BG484" i="15"/>
  <c r="BG209" i="46"/>
  <c r="BG229" i="46"/>
  <c r="DR20" i="65" s="1"/>
  <c r="BG212" i="46"/>
  <c r="BH32" i="46" l="1"/>
  <c r="BH29" i="51" s="1"/>
  <c r="BH30" i="51" s="1"/>
  <c r="BH52" i="15"/>
  <c r="BH500" i="15"/>
  <c r="BH23" i="15"/>
  <c r="BH55" i="15" l="1"/>
  <c r="BH25" i="15"/>
  <c r="BH24" i="46"/>
  <c r="BH498" i="15" l="1"/>
  <c r="BH511" i="15" s="1"/>
  <c r="BH26" i="15"/>
  <c r="BH30" i="15"/>
  <c r="BH25" i="46"/>
  <c r="BH27" i="46" s="1"/>
  <c r="BH28" i="46" l="1"/>
  <c r="BH34" i="46"/>
  <c r="BH32" i="15"/>
  <c r="BH33" i="15" s="1"/>
  <c r="BH37" i="15" s="1"/>
  <c r="BH499" i="15"/>
  <c r="BH21" i="65"/>
  <c r="BH44" i="15" l="1"/>
  <c r="BH39" i="15"/>
  <c r="BH23" i="65"/>
  <c r="BH26" i="65" s="1"/>
  <c r="BH436" i="15"/>
  <c r="BH53" i="15"/>
  <c r="BH36" i="46"/>
  <c r="BH37" i="46" s="1"/>
  <c r="BH41" i="46" s="1"/>
  <c r="BH49" i="46" l="1"/>
  <c r="BH246" i="46"/>
  <c r="BH43" i="46"/>
  <c r="BH50" i="46" s="1"/>
  <c r="BH51" i="46" s="1"/>
  <c r="BH124" i="46"/>
  <c r="BH190" i="46"/>
  <c r="BH100" i="46"/>
  <c r="BH32" i="51"/>
  <c r="BH33" i="51" s="1"/>
  <c r="BH37" i="51" s="1"/>
  <c r="BH501" i="15"/>
  <c r="BH45" i="15"/>
  <c r="BH51" i="15"/>
  <c r="BH57" i="15" s="1"/>
  <c r="BH59" i="15" s="1"/>
  <c r="BH497" i="15"/>
  <c r="BH454" i="15"/>
  <c r="BH27" i="65"/>
  <c r="BH74" i="46" l="1"/>
  <c r="BH46" i="15"/>
  <c r="BH458" i="15"/>
  <c r="BH471" i="15" s="1"/>
  <c r="BH510" i="15"/>
  <c r="BH129" i="46"/>
  <c r="BH147" i="46" s="1"/>
  <c r="BH150" i="46" s="1"/>
  <c r="BH193" i="46"/>
  <c r="BH44" i="51"/>
  <c r="BH116" i="46"/>
  <c r="BH39" i="51"/>
  <c r="BH45" i="51" l="1"/>
  <c r="BH56" i="51"/>
  <c r="BH211" i="46"/>
  <c r="BH475" i="15"/>
  <c r="BH479" i="15" s="1"/>
  <c r="BH151" i="46"/>
  <c r="BH174" i="46"/>
  <c r="BH120" i="46"/>
  <c r="BH474" i="15" l="1"/>
  <c r="BI473" i="15" s="1"/>
  <c r="BH481" i="15"/>
  <c r="BH203" i="46"/>
  <c r="BH177" i="46"/>
  <c r="BH184" i="46" s="1"/>
  <c r="BH195" i="46" s="1"/>
  <c r="BH59" i="51"/>
  <c r="BH73" i="51" s="1"/>
  <c r="BH155" i="46"/>
  <c r="BI149" i="46"/>
  <c r="BH75" i="46"/>
  <c r="BH76" i="46" s="1"/>
  <c r="BH60" i="47"/>
  <c r="BH61" i="47" s="1"/>
  <c r="BI91" i="46" l="1"/>
  <c r="BH205" i="46"/>
  <c r="BH483" i="15"/>
  <c r="BI445" i="15"/>
  <c r="BH201" i="46"/>
  <c r="BH159" i="46"/>
  <c r="BH171" i="46" s="1"/>
  <c r="BH197" i="46" s="1"/>
  <c r="BI448" i="15" l="1"/>
  <c r="BH506" i="15"/>
  <c r="BH107" i="46"/>
  <c r="BH492" i="15"/>
  <c r="BH507" i="15"/>
  <c r="BH214" i="46"/>
  <c r="BH109" i="46"/>
  <c r="BI94" i="46"/>
  <c r="BH209" i="46" l="1"/>
  <c r="BH212" i="46"/>
  <c r="BH490" i="15"/>
  <c r="BH504" i="15"/>
  <c r="BH487" i="15"/>
  <c r="BH206" i="46"/>
  <c r="BH505" i="15"/>
  <c r="BI30" i="46"/>
  <c r="BH215" i="46"/>
  <c r="BH493" i="15"/>
  <c r="BH108" i="46"/>
  <c r="BH484" i="15"/>
  <c r="BI28" i="15"/>
  <c r="BI32" i="46" l="1"/>
  <c r="BI29" i="51" s="1"/>
  <c r="BI30" i="51" s="1"/>
  <c r="BI52" i="15"/>
  <c r="BI23" i="15"/>
  <c r="BI500" i="15"/>
  <c r="BI55" i="15" l="1"/>
  <c r="BI25" i="15"/>
  <c r="BI24" i="46"/>
  <c r="BI25" i="46" l="1"/>
  <c r="BI27" i="46" s="1"/>
  <c r="BI30" i="15"/>
  <c r="BI26" i="15"/>
  <c r="BI498" i="15"/>
  <c r="BI511" i="15" s="1"/>
  <c r="BI21" i="65" l="1"/>
  <c r="BI499" i="15"/>
  <c r="BI32" i="15"/>
  <c r="BI33" i="15" s="1"/>
  <c r="BI37" i="15" s="1"/>
  <c r="BI28" i="46"/>
  <c r="BI34" i="46"/>
  <c r="BI36" i="46" l="1"/>
  <c r="BI37" i="46" s="1"/>
  <c r="BI41" i="46" s="1"/>
  <c r="BI44" i="15"/>
  <c r="BI39" i="15"/>
  <c r="BI436" i="15"/>
  <c r="BI53" i="15"/>
  <c r="BI23" i="65"/>
  <c r="BI26" i="65" s="1"/>
  <c r="BI51" i="15" l="1"/>
  <c r="BI57" i="15" s="1"/>
  <c r="BI59" i="15" s="1"/>
  <c r="BI45" i="15"/>
  <c r="BI454" i="15"/>
  <c r="BI497" i="15"/>
  <c r="BI501" i="15"/>
  <c r="BJ501" i="15"/>
  <c r="BI246" i="46"/>
  <c r="BI49" i="46"/>
  <c r="BI43" i="46"/>
  <c r="BI50" i="46" s="1"/>
  <c r="BI51" i="46" s="1"/>
  <c r="BI124" i="46"/>
  <c r="BI190" i="46"/>
  <c r="BI27" i="65"/>
  <c r="BI100" i="46"/>
  <c r="BI32" i="51"/>
  <c r="BI33" i="51" s="1"/>
  <c r="BI37" i="51" s="1"/>
  <c r="BI510" i="15" l="1"/>
  <c r="BI46" i="15"/>
  <c r="BI74" i="46"/>
  <c r="BI458" i="15"/>
  <c r="BI471" i="15" s="1"/>
  <c r="BI193" i="46"/>
  <c r="BI44" i="51"/>
  <c r="BI116" i="46"/>
  <c r="BI39" i="51"/>
  <c r="BI129" i="46"/>
  <c r="BI147" i="46" s="1"/>
  <c r="BI150" i="46" s="1"/>
  <c r="BI211" i="46" l="1"/>
  <c r="BI120" i="46"/>
  <c r="BI151" i="46"/>
  <c r="BI174" i="46"/>
  <c r="BI45" i="51"/>
  <c r="BI56" i="51"/>
  <c r="BI475" i="15"/>
  <c r="BI479" i="15" s="1"/>
  <c r="BI474" i="15" l="1"/>
  <c r="BJ473" i="15" s="1"/>
  <c r="BI481" i="15"/>
  <c r="BI203" i="46"/>
  <c r="BI177" i="46"/>
  <c r="BI184" i="46" s="1"/>
  <c r="BI195" i="46" s="1"/>
  <c r="BI59" i="51"/>
  <c r="BI73" i="51" s="1"/>
  <c r="BJ149" i="46"/>
  <c r="BI155" i="46"/>
  <c r="BI75" i="46"/>
  <c r="BI76" i="46" s="1"/>
  <c r="BI60" i="47"/>
  <c r="BI61" i="47" s="1"/>
  <c r="BI483" i="15" l="1"/>
  <c r="BJ445" i="15"/>
  <c r="BI201" i="46"/>
  <c r="BI159" i="46"/>
  <c r="BI171" i="46" s="1"/>
  <c r="BI197" i="46" s="1"/>
  <c r="BI205" i="46"/>
  <c r="BJ91" i="46"/>
  <c r="BJ94" i="46" l="1"/>
  <c r="BI109" i="46"/>
  <c r="BI214" i="46"/>
  <c r="BI206" i="46" s="1"/>
  <c r="BJ448" i="15"/>
  <c r="BI107" i="46"/>
  <c r="BI506" i="15"/>
  <c r="BI492" i="15"/>
  <c r="BI493" i="15" s="1"/>
  <c r="BI507" i="15"/>
  <c r="BI108" i="46" l="1"/>
  <c r="BI504" i="15"/>
  <c r="BI487" i="15"/>
  <c r="BI490" i="15"/>
  <c r="BI484" i="15"/>
  <c r="BJ28" i="15"/>
  <c r="BI209" i="46"/>
  <c r="BI212" i="46"/>
  <c r="BI505" i="15"/>
  <c r="BI215" i="46"/>
  <c r="BJ30" i="46"/>
  <c r="BJ32" i="46" l="1"/>
  <c r="BJ29" i="51" s="1"/>
  <c r="BJ30" i="51" s="1"/>
  <c r="BJ52" i="15"/>
  <c r="BJ23" i="15"/>
  <c r="BJ500" i="15"/>
  <c r="BJ55" i="15" l="1"/>
  <c r="BJ24" i="46"/>
  <c r="BJ25" i="15"/>
  <c r="BJ26" i="15" l="1"/>
  <c r="BJ30" i="15"/>
  <c r="BJ498" i="15"/>
  <c r="BJ511" i="15" s="1"/>
  <c r="BJ25" i="46"/>
  <c r="BJ27" i="46" s="1"/>
  <c r="BJ32" i="15" l="1"/>
  <c r="BJ33" i="15" s="1"/>
  <c r="BJ37" i="15" s="1"/>
  <c r="BJ28" i="46"/>
  <c r="BJ34" i="46"/>
  <c r="BJ21" i="65"/>
  <c r="BJ499" i="15"/>
  <c r="BJ36" i="46" l="1"/>
  <c r="BJ37" i="46" s="1"/>
  <c r="BJ41" i="46" s="1"/>
  <c r="BJ23" i="65"/>
  <c r="BJ26" i="65" s="1"/>
  <c r="BJ44" i="15"/>
  <c r="BJ39" i="15"/>
  <c r="BJ436" i="15"/>
  <c r="BJ53" i="15"/>
  <c r="BJ27" i="65" l="1"/>
  <c r="BJ45" i="15"/>
  <c r="BJ51" i="15"/>
  <c r="BJ57" i="15" s="1"/>
  <c r="BJ59" i="15" s="1"/>
  <c r="BJ454" i="15"/>
  <c r="BJ497" i="15"/>
  <c r="BJ246" i="46"/>
  <c r="BJ49" i="46"/>
  <c r="BJ43" i="46"/>
  <c r="BJ50" i="46" s="1"/>
  <c r="BJ51" i="46" s="1"/>
  <c r="BJ124" i="46"/>
  <c r="BJ190" i="46"/>
  <c r="BJ32" i="51"/>
  <c r="BJ33" i="51" s="1"/>
  <c r="BJ37" i="51" s="1"/>
  <c r="BJ100" i="46"/>
  <c r="BJ46" i="15" l="1"/>
  <c r="BJ74" i="46"/>
  <c r="BJ129" i="46"/>
  <c r="BJ147" i="46" s="1"/>
  <c r="BJ150" i="46" s="1"/>
  <c r="BJ510" i="15"/>
  <c r="BJ44" i="51"/>
  <c r="BJ116" i="46"/>
  <c r="BJ39" i="51"/>
  <c r="BJ193" i="46"/>
  <c r="BJ458" i="15"/>
  <c r="BJ471" i="15" s="1"/>
  <c r="BJ475" i="15" l="1"/>
  <c r="BJ479" i="15" s="1"/>
  <c r="BJ120" i="46"/>
  <c r="BJ151" i="46"/>
  <c r="BJ174" i="46"/>
  <c r="BJ211" i="46"/>
  <c r="BJ45" i="51"/>
  <c r="BJ56" i="51"/>
  <c r="BJ59" i="51" l="1"/>
  <c r="BJ73" i="51" s="1"/>
  <c r="BJ75" i="46"/>
  <c r="BJ76" i="46" s="1"/>
  <c r="BJ60" i="47"/>
  <c r="BJ61" i="47" s="1"/>
  <c r="BJ177" i="46"/>
  <c r="BJ184" i="46" s="1"/>
  <c r="BJ195" i="46" s="1"/>
  <c r="BJ203" i="46"/>
  <c r="BK149" i="46"/>
  <c r="BJ155" i="46"/>
  <c r="BJ474" i="15"/>
  <c r="BK473" i="15" s="1"/>
  <c r="BJ481" i="15"/>
  <c r="BJ201" i="46" l="1"/>
  <c r="BJ159" i="46"/>
  <c r="BJ171" i="46" s="1"/>
  <c r="BJ197" i="46" s="1"/>
  <c r="BK445" i="15"/>
  <c r="BJ483" i="15"/>
  <c r="BK91" i="46"/>
  <c r="BJ205" i="46"/>
  <c r="BJ214" i="46" l="1"/>
  <c r="BJ109" i="46"/>
  <c r="BK94" i="46"/>
  <c r="BL91" i="46"/>
  <c r="BK448" i="15"/>
  <c r="BL445" i="15"/>
  <c r="BJ506" i="15"/>
  <c r="BJ107" i="46"/>
  <c r="BJ492" i="15"/>
  <c r="BJ493" i="15" s="1"/>
  <c r="BJ507" i="15"/>
  <c r="BJ505" i="15" l="1"/>
  <c r="BJ108" i="46"/>
  <c r="BK28" i="15"/>
  <c r="BL448" i="15"/>
  <c r="BJ209" i="46"/>
  <c r="BJ212" i="46"/>
  <c r="BJ504" i="15"/>
  <c r="BJ490" i="15"/>
  <c r="BJ487" i="15"/>
  <c r="BJ206" i="46"/>
  <c r="BJ484" i="15"/>
  <c r="BK30" i="46"/>
  <c r="BL94" i="46"/>
  <c r="BJ215" i="46"/>
  <c r="BK32" i="46" l="1"/>
  <c r="BK29" i="51" s="1"/>
  <c r="BK30" i="51" s="1"/>
  <c r="BL30" i="46"/>
  <c r="BK52" i="15"/>
  <c r="BK23" i="15"/>
  <c r="BL28" i="15"/>
  <c r="BK500" i="15"/>
  <c r="BL500" i="15" s="1"/>
  <c r="DF53" i="64" l="1"/>
  <c r="BL52" i="15"/>
  <c r="BK55" i="15"/>
  <c r="BK25" i="15"/>
  <c r="BK24" i="46"/>
  <c r="BL23" i="15"/>
  <c r="BL223" i="46"/>
  <c r="BL32" i="46"/>
  <c r="BL29" i="51" s="1"/>
  <c r="BL30" i="51" s="1"/>
  <c r="BK26" i="15" l="1"/>
  <c r="BK30" i="15"/>
  <c r="BK498" i="15"/>
  <c r="BL55" i="15"/>
  <c r="BL25" i="15"/>
  <c r="BK25" i="46"/>
  <c r="BK27" i="46" s="1"/>
  <c r="BL24" i="46"/>
  <c r="BL25" i="46" s="1"/>
  <c r="BL27" i="46" s="1"/>
  <c r="BL26" i="15" l="1"/>
  <c r="BL21" i="65" s="1"/>
  <c r="BL30" i="15"/>
  <c r="BK32" i="15"/>
  <c r="BK33" i="15" s="1"/>
  <c r="BK37" i="15" s="1"/>
  <c r="BK21" i="65"/>
  <c r="BK499" i="15"/>
  <c r="BL499" i="15" s="1"/>
  <c r="BL221" i="46"/>
  <c r="BL240" i="46" s="1"/>
  <c r="DW27" i="65" s="1"/>
  <c r="BL28" i="46"/>
  <c r="BL222" i="46" s="1"/>
  <c r="BL34" i="46"/>
  <c r="BK511" i="15"/>
  <c r="BL498" i="15"/>
  <c r="BL511" i="15" s="1"/>
  <c r="BK28" i="46"/>
  <c r="BK34" i="46"/>
  <c r="BK23" i="65" l="1"/>
  <c r="BK26" i="65" s="1"/>
  <c r="BK44" i="15"/>
  <c r="BK39" i="15"/>
  <c r="BK36" i="46"/>
  <c r="BK37" i="46" s="1"/>
  <c r="BK41" i="46" s="1"/>
  <c r="DY7" i="64"/>
  <c r="BK436" i="15"/>
  <c r="BK53" i="15"/>
  <c r="BL32" i="15"/>
  <c r="BL33" i="15" s="1"/>
  <c r="BL37" i="15" s="1"/>
  <c r="BL23" i="65"/>
  <c r="BL26" i="65" s="1"/>
  <c r="DY12" i="64" l="1"/>
  <c r="DY15" i="64"/>
  <c r="BL27" i="65"/>
  <c r="BL44" i="15"/>
  <c r="BL39" i="15"/>
  <c r="BK45" i="15"/>
  <c r="BK454" i="15"/>
  <c r="BK51" i="15"/>
  <c r="BK57" i="15" s="1"/>
  <c r="BK59" i="15" s="1"/>
  <c r="BK501" i="15"/>
  <c r="BL501" i="15" s="1"/>
  <c r="BK497" i="15"/>
  <c r="BL53" i="15"/>
  <c r="BL436" i="15"/>
  <c r="BK246" i="46"/>
  <c r="BK49" i="46"/>
  <c r="BK43" i="46"/>
  <c r="BK50" i="46" s="1"/>
  <c r="BK51" i="46" s="1"/>
  <c r="BK124" i="46"/>
  <c r="BK190" i="46"/>
  <c r="BK32" i="51"/>
  <c r="BK33" i="51" s="1"/>
  <c r="BK37" i="51" s="1"/>
  <c r="BK100" i="46"/>
  <c r="BL36" i="46"/>
  <c r="BK27" i="65"/>
  <c r="DY14" i="64" l="1"/>
  <c r="BK458" i="15"/>
  <c r="BK471" i="15" s="1"/>
  <c r="BL454" i="15"/>
  <c r="BL458" i="15" s="1"/>
  <c r="BK129" i="46"/>
  <c r="BK147" i="46" s="1"/>
  <c r="BK150" i="46" s="1"/>
  <c r="BL124" i="46"/>
  <c r="BL129" i="46" s="1"/>
  <c r="BL45" i="15"/>
  <c r="BL51" i="15"/>
  <c r="BL57" i="15" s="1"/>
  <c r="BL59" i="15" s="1"/>
  <c r="DF51" i="64" s="1"/>
  <c r="BK193" i="46"/>
  <c r="BL190" i="46"/>
  <c r="BL100" i="46"/>
  <c r="BL32" i="51"/>
  <c r="BL33" i="51" s="1"/>
  <c r="BL37" i="51" s="1"/>
  <c r="BL37" i="46"/>
  <c r="BL41" i="46" s="1"/>
  <c r="BK46" i="15"/>
  <c r="BK74" i="46"/>
  <c r="BK44" i="51"/>
  <c r="BK116" i="46"/>
  <c r="BK39" i="51"/>
  <c r="BK510" i="15"/>
  <c r="BL497" i="15"/>
  <c r="BK45" i="51" l="1"/>
  <c r="BK56" i="51"/>
  <c r="BL147" i="46"/>
  <c r="BL220" i="46"/>
  <c r="DW34" i="65"/>
  <c r="BL510" i="15"/>
  <c r="BK211" i="46"/>
  <c r="BL193" i="46"/>
  <c r="BK120" i="46"/>
  <c r="BL120" i="46" s="1"/>
  <c r="BL116" i="46"/>
  <c r="BL246" i="46"/>
  <c r="BL49" i="46"/>
  <c r="BL43" i="46"/>
  <c r="BL44" i="51"/>
  <c r="BL39" i="51"/>
  <c r="DW33" i="65"/>
  <c r="DW43" i="65" s="1"/>
  <c r="BL471" i="15"/>
  <c r="BK151" i="46"/>
  <c r="BL150" i="46"/>
  <c r="DW54" i="65" s="1"/>
  <c r="BK174" i="46"/>
  <c r="DF54" i="64"/>
  <c r="DF56" i="64" s="1"/>
  <c r="DF62" i="64" s="1"/>
  <c r="DF63" i="64" s="1"/>
  <c r="DF67" i="64" s="1"/>
  <c r="DF83" i="64"/>
  <c r="DF85" i="64" s="1"/>
  <c r="DF88" i="64" s="1"/>
  <c r="DF91" i="64" s="1"/>
  <c r="BL46" i="15"/>
  <c r="BL74" i="46"/>
  <c r="BL10" i="65"/>
  <c r="BK475" i="15"/>
  <c r="BK479" i="15" s="1"/>
  <c r="BL479" i="15" s="1"/>
  <c r="BL224" i="46" l="1"/>
  <c r="BL50" i="46"/>
  <c r="BL219" i="46"/>
  <c r="BL211" i="46"/>
  <c r="BK59" i="51"/>
  <c r="BK73" i="51" s="1"/>
  <c r="BL56" i="51"/>
  <c r="BL59" i="51" s="1"/>
  <c r="BL73" i="51" s="1"/>
  <c r="BK474" i="15"/>
  <c r="BL474" i="15" s="1"/>
  <c r="BM473" i="15" s="1"/>
  <c r="BQ473" i="15" s="1"/>
  <c r="BL475" i="15"/>
  <c r="BK481" i="15"/>
  <c r="BK177" i="46"/>
  <c r="BK184" i="46" s="1"/>
  <c r="BK195" i="46" s="1"/>
  <c r="BK203" i="46"/>
  <c r="BK205" i="46" s="1"/>
  <c r="BL174" i="46"/>
  <c r="BL8" i="64"/>
  <c r="BL53" i="64"/>
  <c r="BL56" i="64" s="1"/>
  <c r="BL61" i="64" s="1"/>
  <c r="BL65" i="64" s="1"/>
  <c r="BL68" i="64" s="1"/>
  <c r="BL70" i="64" s="1"/>
  <c r="BL45" i="51"/>
  <c r="BL151" i="46"/>
  <c r="BM149" i="46" s="1"/>
  <c r="BQ149" i="46" s="1"/>
  <c r="BK155" i="46"/>
  <c r="DW32" i="65"/>
  <c r="DW42" i="65" s="1"/>
  <c r="DW44" i="65" s="1"/>
  <c r="DW48" i="65" s="1"/>
  <c r="DW56" i="65" s="1"/>
  <c r="BK75" i="46"/>
  <c r="BK76" i="46" s="1"/>
  <c r="BK60" i="47"/>
  <c r="BK61" i="47" s="1"/>
  <c r="BL61" i="47" s="1"/>
  <c r="BL177" i="46" l="1"/>
  <c r="BL184" i="46" s="1"/>
  <c r="BL195" i="46" s="1"/>
  <c r="BL203" i="46"/>
  <c r="BL51" i="46"/>
  <c r="BL63" i="46"/>
  <c r="BK214" i="46"/>
  <c r="BK109" i="46"/>
  <c r="BL60" i="47"/>
  <c r="BL75" i="46"/>
  <c r="BL76" i="46" s="1"/>
  <c r="BL11" i="65"/>
  <c r="DW15" i="65"/>
  <c r="BL46" i="65" s="1"/>
  <c r="BL25" i="64"/>
  <c r="BK201" i="46"/>
  <c r="BK159" i="46"/>
  <c r="BK171" i="46" s="1"/>
  <c r="BK197" i="46" s="1"/>
  <c r="BL155" i="46"/>
  <c r="BK483" i="15"/>
  <c r="BL481" i="15"/>
  <c r="BL238" i="46"/>
  <c r="BL237" i="46"/>
  <c r="DW26" i="65" s="1"/>
  <c r="BK209" i="46" l="1"/>
  <c r="BK212" i="46"/>
  <c r="BL201" i="46"/>
  <c r="DW8" i="65"/>
  <c r="BL159" i="46"/>
  <c r="BL171" i="46" s="1"/>
  <c r="BL197" i="46" s="1"/>
  <c r="BK206" i="46"/>
  <c r="BK215" i="46"/>
  <c r="BM91" i="46"/>
  <c r="DW10" i="65"/>
  <c r="DW12" i="65" s="1"/>
  <c r="BL205" i="46"/>
  <c r="BK107" i="46"/>
  <c r="BK108" i="46" s="1"/>
  <c r="BK506" i="15"/>
  <c r="BK492" i="15"/>
  <c r="BK493" i="15" s="1"/>
  <c r="BK507" i="15"/>
  <c r="BL9" i="64"/>
  <c r="BL10" i="64" s="1"/>
  <c r="BL17" i="64" s="1"/>
  <c r="BL19" i="64" s="1"/>
  <c r="BL21" i="64" s="1"/>
  <c r="BL12" i="65"/>
  <c r="BL16" i="65" s="1"/>
  <c r="BL483" i="15"/>
  <c r="BM445" i="15"/>
  <c r="BM94" i="46" l="1"/>
  <c r="BL43" i="65"/>
  <c r="BL33" i="65"/>
  <c r="BL48" i="65"/>
  <c r="BL50" i="65"/>
  <c r="BL17" i="65"/>
  <c r="BK504" i="15"/>
  <c r="BK490" i="15"/>
  <c r="BK487" i="15"/>
  <c r="BK484" i="15"/>
  <c r="BM448" i="15"/>
  <c r="BL226" i="46"/>
  <c r="BL234" i="46" s="1"/>
  <c r="BL109" i="46"/>
  <c r="BL231" i="46"/>
  <c r="DW22" i="65" s="1"/>
  <c r="BL214" i="46"/>
  <c r="BL232" i="46"/>
  <c r="DW23" i="65" s="1"/>
  <c r="BL233" i="46"/>
  <c r="DF93" i="64"/>
  <c r="DF94" i="64" s="1"/>
  <c r="DF97" i="64" s="1"/>
  <c r="BL506" i="15"/>
  <c r="BL107" i="46"/>
  <c r="BL492" i="15"/>
  <c r="BL493" i="15" s="1"/>
  <c r="BL507" i="15"/>
  <c r="BK505" i="15"/>
  <c r="DW17" i="65"/>
  <c r="BL55" i="65"/>
  <c r="BL56" i="65" s="1"/>
  <c r="BL44" i="65" s="1"/>
  <c r="BL484" i="15" l="1"/>
  <c r="BL505" i="15"/>
  <c r="BL209" i="46"/>
  <c r="BL229" i="46"/>
  <c r="DW20" i="65" s="1"/>
  <c r="BL212" i="46"/>
  <c r="BL206" i="46"/>
  <c r="BL230" i="46"/>
  <c r="DW21" i="65" s="1"/>
  <c r="BM30" i="46"/>
  <c r="BL215" i="46"/>
  <c r="BL490" i="15"/>
  <c r="BL504" i="15"/>
  <c r="BL487" i="15"/>
  <c r="BL108" i="46"/>
  <c r="BM28" i="15"/>
  <c r="BM32" i="46" l="1"/>
  <c r="BM29" i="51" s="1"/>
  <c r="BM30" i="51" s="1"/>
  <c r="BM500" i="15"/>
  <c r="BM52" i="15"/>
  <c r="BM23" i="15"/>
  <c r="BM55" i="15" l="1"/>
  <c r="BM25" i="15"/>
  <c r="BM24" i="46"/>
  <c r="BM25" i="46" l="1"/>
  <c r="BM27" i="46" s="1"/>
  <c r="BM26" i="15"/>
  <c r="BM30" i="15"/>
  <c r="BM498" i="15"/>
  <c r="BM511" i="15" s="1"/>
  <c r="BM499" i="15" l="1"/>
  <c r="BM21" i="65"/>
  <c r="BM28" i="46"/>
  <c r="BM34" i="46"/>
  <c r="BM32" i="15"/>
  <c r="BM53" i="15" l="1"/>
  <c r="BM436" i="15"/>
  <c r="BM36" i="46"/>
  <c r="BM23" i="65"/>
  <c r="BM26" i="65" s="1"/>
  <c r="BM33" i="15"/>
  <c r="BM37" i="15" s="1"/>
  <c r="BM44" i="15" l="1"/>
  <c r="BM39" i="15"/>
  <c r="BM32" i="51"/>
  <c r="BM33" i="51" s="1"/>
  <c r="BM37" i="51" s="1"/>
  <c r="BM100" i="46"/>
  <c r="BM27" i="65"/>
  <c r="BM37" i="46"/>
  <c r="BM41" i="46" s="1"/>
  <c r="BM49" i="46" l="1"/>
  <c r="BM246" i="46"/>
  <c r="BM43" i="46"/>
  <c r="BM50" i="46" s="1"/>
  <c r="BM51" i="46" s="1"/>
  <c r="BM124" i="46"/>
  <c r="BM190" i="46"/>
  <c r="BM44" i="51"/>
  <c r="BM116" i="46"/>
  <c r="BM39" i="51"/>
  <c r="BM501" i="15"/>
  <c r="BM497" i="15"/>
  <c r="BM454" i="15"/>
  <c r="BM45" i="15"/>
  <c r="BM51" i="15"/>
  <c r="BM57" i="15" s="1"/>
  <c r="BM59" i="15" s="1"/>
  <c r="BM45" i="51" l="1"/>
  <c r="BM56" i="51"/>
  <c r="BM46" i="15"/>
  <c r="BM74" i="46"/>
  <c r="BM458" i="15"/>
  <c r="BM471" i="15" s="1"/>
  <c r="BM120" i="46"/>
  <c r="BM129" i="46"/>
  <c r="BM147" i="46" s="1"/>
  <c r="BM150" i="46" s="1"/>
  <c r="BM510" i="15"/>
  <c r="BM193" i="46"/>
  <c r="BM211" i="46" l="1"/>
  <c r="BM151" i="46"/>
  <c r="BM174" i="46"/>
  <c r="BM59" i="51"/>
  <c r="BM73" i="51" s="1"/>
  <c r="BM475" i="15"/>
  <c r="BM479" i="15" s="1"/>
  <c r="BM75" i="46"/>
  <c r="BM76" i="46" s="1"/>
  <c r="BM60" i="47"/>
  <c r="BM61" i="47" s="1"/>
  <c r="BM203" i="46" l="1"/>
  <c r="BM177" i="46"/>
  <c r="BM184" i="46" s="1"/>
  <c r="BM195" i="46" s="1"/>
  <c r="BN149" i="46"/>
  <c r="BM155" i="46"/>
  <c r="BM474" i="15"/>
  <c r="BN473" i="15" s="1"/>
  <c r="BM481" i="15"/>
  <c r="BN445" i="15" l="1"/>
  <c r="BM483" i="15"/>
  <c r="BM201" i="46"/>
  <c r="BM159" i="46"/>
  <c r="BM171" i="46" s="1"/>
  <c r="BM197" i="46" s="1"/>
  <c r="BN91" i="46"/>
  <c r="BM205" i="46"/>
  <c r="BM109" i="46" l="1"/>
  <c r="BM214" i="46"/>
  <c r="BN94" i="46"/>
  <c r="BM506" i="15"/>
  <c r="BM107" i="46"/>
  <c r="BM492" i="15"/>
  <c r="BM493" i="15" s="1"/>
  <c r="BM507" i="15"/>
  <c r="BN448" i="15"/>
  <c r="BM209" i="46" l="1"/>
  <c r="BM212" i="46"/>
  <c r="BM505" i="15"/>
  <c r="BM484" i="15"/>
  <c r="BM108" i="46"/>
  <c r="BN28" i="15"/>
  <c r="BM215" i="46"/>
  <c r="BM487" i="15"/>
  <c r="BM490" i="15"/>
  <c r="BM504" i="15"/>
  <c r="BN30" i="46"/>
  <c r="BM206" i="46"/>
  <c r="BN32" i="46" l="1"/>
  <c r="BN29" i="51" s="1"/>
  <c r="BN30" i="51" s="1"/>
  <c r="BN52" i="15"/>
  <c r="BN23" i="15"/>
  <c r="BN500" i="15"/>
  <c r="BN55" i="15" l="1"/>
  <c r="BN24" i="46"/>
  <c r="BN25" i="15"/>
  <c r="BN30" i="15" l="1"/>
  <c r="BN26" i="15"/>
  <c r="BN498" i="15"/>
  <c r="BN511" i="15" s="1"/>
  <c r="BN25" i="46"/>
  <c r="BN27" i="46" s="1"/>
  <c r="BN28" i="46" l="1"/>
  <c r="BN34" i="46"/>
  <c r="BN21" i="65"/>
  <c r="BN499" i="15"/>
  <c r="BN32" i="15"/>
  <c r="BN33" i="15" s="1"/>
  <c r="BN37" i="15" s="1"/>
  <c r="BN44" i="15" l="1"/>
  <c r="BN39" i="15"/>
  <c r="BN436" i="15"/>
  <c r="BN53" i="15"/>
  <c r="BN23" i="65"/>
  <c r="BN26" i="65" s="1"/>
  <c r="BN36" i="46"/>
  <c r="BN100" i="46" l="1"/>
  <c r="BN32" i="51"/>
  <c r="BN33" i="51" s="1"/>
  <c r="BN37" i="51" s="1"/>
  <c r="BN27" i="65"/>
  <c r="BN45" i="15"/>
  <c r="BN51" i="15"/>
  <c r="BN57" i="15" s="1"/>
  <c r="BN59" i="15" s="1"/>
  <c r="BN454" i="15"/>
  <c r="BN501" i="15"/>
  <c r="BN497" i="15"/>
  <c r="BO501" i="15"/>
  <c r="BN37" i="46"/>
  <c r="BN41" i="46" s="1"/>
  <c r="BN510" i="15" l="1"/>
  <c r="BN458" i="15"/>
  <c r="BN471" i="15" s="1"/>
  <c r="BN246" i="46"/>
  <c r="BN49" i="46"/>
  <c r="BN43" i="46"/>
  <c r="BN50" i="46" s="1"/>
  <c r="BN51" i="46" s="1"/>
  <c r="BN124" i="46"/>
  <c r="BN190" i="46"/>
  <c r="BN44" i="51"/>
  <c r="BN116" i="46"/>
  <c r="BN39" i="51"/>
  <c r="BN74" i="46"/>
  <c r="BN46" i="15"/>
  <c r="BN56" i="51" l="1"/>
  <c r="BN45" i="51"/>
  <c r="BN129" i="46"/>
  <c r="BN147" i="46" s="1"/>
  <c r="BN150" i="46" s="1"/>
  <c r="BN120" i="46"/>
  <c r="BN475" i="15"/>
  <c r="BN479" i="15" s="1"/>
  <c r="BN193" i="46"/>
  <c r="BN474" i="15" l="1"/>
  <c r="BO473" i="15" s="1"/>
  <c r="BN481" i="15"/>
  <c r="BN151" i="46"/>
  <c r="BN174" i="46"/>
  <c r="BN211" i="46"/>
  <c r="BN75" i="46"/>
  <c r="BN76" i="46" s="1"/>
  <c r="BN60" i="47"/>
  <c r="BN61" i="47" s="1"/>
  <c r="BN59" i="51"/>
  <c r="BN73" i="51" s="1"/>
  <c r="BN203" i="46" l="1"/>
  <c r="BN177" i="46"/>
  <c r="BN184" i="46" s="1"/>
  <c r="BN195" i="46" s="1"/>
  <c r="BN483" i="15"/>
  <c r="BO445" i="15"/>
  <c r="BO149" i="46"/>
  <c r="BN155" i="46"/>
  <c r="BN201" i="46" l="1"/>
  <c r="BN159" i="46"/>
  <c r="BN171" i="46" s="1"/>
  <c r="BN197" i="46" s="1"/>
  <c r="BO448" i="15"/>
  <c r="BO91" i="46"/>
  <c r="BN205" i="46"/>
  <c r="BN506" i="15"/>
  <c r="BN107" i="46"/>
  <c r="BN492" i="15"/>
  <c r="BN484" i="15" s="1"/>
  <c r="BN507" i="15"/>
  <c r="BN490" i="15" l="1"/>
  <c r="BN487" i="15"/>
  <c r="BN504" i="15"/>
  <c r="BN505" i="15"/>
  <c r="BO28" i="15"/>
  <c r="BN109" i="46"/>
  <c r="BN108" i="46" s="1"/>
  <c r="BN214" i="46"/>
  <c r="BN215" i="46" s="1"/>
  <c r="BN493" i="15"/>
  <c r="BO94" i="46"/>
  <c r="BN206" i="46" l="1"/>
  <c r="BO30" i="46"/>
  <c r="BN209" i="46"/>
  <c r="BN212" i="46"/>
  <c r="BO52" i="15"/>
  <c r="BO23" i="15"/>
  <c r="BO500" i="15"/>
  <c r="BO55" i="15" l="1"/>
  <c r="BO25" i="15"/>
  <c r="BO24" i="46"/>
  <c r="BO32" i="46"/>
  <c r="BO29" i="51" s="1"/>
  <c r="BO30" i="51" s="1"/>
  <c r="BO25" i="46" l="1"/>
  <c r="BO27" i="46" s="1"/>
  <c r="BO26" i="15"/>
  <c r="BO30" i="15"/>
  <c r="BO498" i="15"/>
  <c r="BO511" i="15" s="1"/>
  <c r="BO32" i="15" l="1"/>
  <c r="BO33" i="15" s="1"/>
  <c r="BO37" i="15" s="1"/>
  <c r="BO21" i="65"/>
  <c r="BO499" i="15"/>
  <c r="BO28" i="46"/>
  <c r="BO34" i="46"/>
  <c r="BO44" i="15" l="1"/>
  <c r="BO39" i="15"/>
  <c r="BO36" i="46"/>
  <c r="BO37" i="46" s="1"/>
  <c r="BO41" i="46" s="1"/>
  <c r="BO23" i="65"/>
  <c r="BO26" i="65" s="1"/>
  <c r="BO53" i="15"/>
  <c r="BO436" i="15"/>
  <c r="BO246" i="46" l="1"/>
  <c r="BO49" i="46"/>
  <c r="BO43" i="46"/>
  <c r="BO50" i="46" s="1"/>
  <c r="BO51" i="46" s="1"/>
  <c r="BO124" i="46"/>
  <c r="BO190" i="46"/>
  <c r="BO32" i="51"/>
  <c r="BO33" i="51" s="1"/>
  <c r="BO37" i="51" s="1"/>
  <c r="BO100" i="46"/>
  <c r="BO45" i="15"/>
  <c r="BO51" i="15"/>
  <c r="BO57" i="15" s="1"/>
  <c r="BO59" i="15" s="1"/>
  <c r="BO454" i="15"/>
  <c r="BO497" i="15"/>
  <c r="BO27" i="65"/>
  <c r="BO129" i="46" l="1"/>
  <c r="BO147" i="46" s="1"/>
  <c r="BO150" i="46" s="1"/>
  <c r="BO458" i="15"/>
  <c r="BO471" i="15" s="1"/>
  <c r="BO510" i="15"/>
  <c r="BO116" i="46"/>
  <c r="BO44" i="51"/>
  <c r="BO39" i="51"/>
  <c r="BO74" i="46"/>
  <c r="BO46" i="15"/>
  <c r="BO193" i="46"/>
  <c r="BO211" i="46" l="1"/>
  <c r="BO120" i="46"/>
  <c r="BO475" i="15"/>
  <c r="BO479" i="15" s="1"/>
  <c r="BO45" i="51"/>
  <c r="BO56" i="51"/>
  <c r="BO151" i="46"/>
  <c r="BO174" i="46"/>
  <c r="BO75" i="46" l="1"/>
  <c r="BO76" i="46" s="1"/>
  <c r="BO60" i="47"/>
  <c r="BO61" i="47" s="1"/>
  <c r="BO177" i="46"/>
  <c r="BO184" i="46" s="1"/>
  <c r="BO195" i="46" s="1"/>
  <c r="BO203" i="46"/>
  <c r="BO155" i="46"/>
  <c r="BP149" i="46"/>
  <c r="BO474" i="15"/>
  <c r="BP473" i="15" s="1"/>
  <c r="BO481" i="15"/>
  <c r="BO59" i="51"/>
  <c r="BO73" i="51" s="1"/>
  <c r="BO483" i="15" l="1"/>
  <c r="BP445" i="15"/>
  <c r="BO201" i="46"/>
  <c r="BO159" i="46"/>
  <c r="BO171" i="46" s="1"/>
  <c r="BO197" i="46" s="1"/>
  <c r="BP91" i="46"/>
  <c r="BO205" i="46"/>
  <c r="BO214" i="46" l="1"/>
  <c r="BO109" i="46"/>
  <c r="BP94" i="46"/>
  <c r="BQ91" i="46"/>
  <c r="BP448" i="15"/>
  <c r="BQ445" i="15"/>
  <c r="BO107" i="46"/>
  <c r="BO506" i="15"/>
  <c r="BO492" i="15"/>
  <c r="BO493" i="15" s="1"/>
  <c r="BO507" i="15"/>
  <c r="BO505" i="15" l="1"/>
  <c r="BO108" i="46"/>
  <c r="BO487" i="15"/>
  <c r="BO504" i="15"/>
  <c r="BO490" i="15"/>
  <c r="BP28" i="15"/>
  <c r="BQ448" i="15"/>
  <c r="BO209" i="46"/>
  <c r="BO212" i="46"/>
  <c r="BO206" i="46"/>
  <c r="BO484" i="15"/>
  <c r="BP30" i="46"/>
  <c r="BQ94" i="46"/>
  <c r="BO215" i="46"/>
  <c r="BP23" i="15" l="1"/>
  <c r="BP52" i="15"/>
  <c r="BP500" i="15"/>
  <c r="BQ500" i="15" s="1"/>
  <c r="BQ28" i="15"/>
  <c r="BP32" i="46"/>
  <c r="BP29" i="51" s="1"/>
  <c r="BP30" i="51" s="1"/>
  <c r="BQ30" i="46"/>
  <c r="BQ52" i="15" l="1"/>
  <c r="DK53" i="64"/>
  <c r="BQ223" i="46"/>
  <c r="BQ32" i="46"/>
  <c r="BQ29" i="51" s="1"/>
  <c r="BQ30" i="51" s="1"/>
  <c r="BP55" i="15"/>
  <c r="BP24" i="46"/>
  <c r="BP25" i="15"/>
  <c r="BQ23" i="15"/>
  <c r="BP26" i="15" l="1"/>
  <c r="BP30" i="15"/>
  <c r="BP498" i="15"/>
  <c r="BP25" i="46"/>
  <c r="BP27" i="46" s="1"/>
  <c r="BQ24" i="46"/>
  <c r="BQ25" i="46" s="1"/>
  <c r="BQ27" i="46" s="1"/>
  <c r="BQ55" i="15"/>
  <c r="BQ25" i="15"/>
  <c r="BQ26" i="15" l="1"/>
  <c r="BQ21" i="65" s="1"/>
  <c r="BQ30" i="15"/>
  <c r="BP511" i="15"/>
  <c r="BQ498" i="15"/>
  <c r="BQ511" i="15" s="1"/>
  <c r="BQ221" i="46"/>
  <c r="BQ240" i="46" s="1"/>
  <c r="EB27" i="65" s="1"/>
  <c r="BQ34" i="46"/>
  <c r="BQ28" i="46"/>
  <c r="BQ222" i="46" s="1"/>
  <c r="BP32" i="15"/>
  <c r="BP28" i="46"/>
  <c r="BP34" i="46"/>
  <c r="BP21" i="65"/>
  <c r="BP499" i="15"/>
  <c r="BQ499" i="15" s="1"/>
  <c r="BP23" i="65" l="1"/>
  <c r="BP26" i="65" s="1"/>
  <c r="BP53" i="15"/>
  <c r="BP436" i="15"/>
  <c r="BQ32" i="15"/>
  <c r="BQ33" i="15" s="1"/>
  <c r="BQ37" i="15" s="1"/>
  <c r="BP36" i="46"/>
  <c r="BP37" i="46" s="1"/>
  <c r="BP41" i="46" s="1"/>
  <c r="DZ7" i="64"/>
  <c r="DZ15" i="64" s="1"/>
  <c r="BP33" i="15"/>
  <c r="BP37" i="15" s="1"/>
  <c r="BQ23" i="65"/>
  <c r="BQ26" i="65" s="1"/>
  <c r="DZ14" i="64" l="1"/>
  <c r="BP27" i="65"/>
  <c r="BQ27" i="65"/>
  <c r="DZ12" i="64"/>
  <c r="EA7" i="64"/>
  <c r="BP44" i="15"/>
  <c r="BP39" i="15"/>
  <c r="BP246" i="46"/>
  <c r="BP49" i="46"/>
  <c r="BP43" i="46"/>
  <c r="BP50" i="46" s="1"/>
  <c r="BP51" i="46" s="1"/>
  <c r="BP124" i="46"/>
  <c r="BP190" i="46"/>
  <c r="BQ44" i="15"/>
  <c r="BQ39" i="15"/>
  <c r="BP32" i="51"/>
  <c r="BP33" i="51" s="1"/>
  <c r="BP37" i="51" s="1"/>
  <c r="BP100" i="46"/>
  <c r="BQ36" i="46"/>
  <c r="BQ53" i="15"/>
  <c r="BQ436" i="15"/>
  <c r="EA15" i="64" l="1"/>
  <c r="EA14" i="64" s="1"/>
  <c r="EB15" i="64" s="1"/>
  <c r="EB14" i="64" s="1"/>
  <c r="EC15" i="64" s="1"/>
  <c r="EC14" i="64" s="1"/>
  <c r="ED15" i="64" s="1"/>
  <c r="ED14" i="64" s="1"/>
  <c r="EE15" i="64" s="1"/>
  <c r="EE14" i="64" s="1"/>
  <c r="EF15" i="64" s="1"/>
  <c r="EF14" i="64" s="1"/>
  <c r="EG15" i="64" s="1"/>
  <c r="EG14" i="64" s="1"/>
  <c r="EH15" i="64" s="1"/>
  <c r="EH14" i="64" s="1"/>
  <c r="EI15" i="64" s="1"/>
  <c r="EI14" i="64" s="1"/>
  <c r="EJ15" i="64" s="1"/>
  <c r="EJ14" i="64" s="1"/>
  <c r="EK15" i="64" s="1"/>
  <c r="DT17" i="64" s="1"/>
  <c r="DT23" i="64" s="1"/>
  <c r="BP129" i="46"/>
  <c r="BP147" i="46" s="1"/>
  <c r="BP150" i="46" s="1"/>
  <c r="BQ124" i="46"/>
  <c r="BQ129" i="46" s="1"/>
  <c r="BQ45" i="15"/>
  <c r="BQ51" i="15"/>
  <c r="BQ57" i="15" s="1"/>
  <c r="BQ59" i="15" s="1"/>
  <c r="DK51" i="64" s="1"/>
  <c r="BP44" i="51"/>
  <c r="BP116" i="46"/>
  <c r="BP39" i="51"/>
  <c r="BP45" i="15"/>
  <c r="BP51" i="15"/>
  <c r="BP57" i="15" s="1"/>
  <c r="BP59" i="15" s="1"/>
  <c r="BP454" i="15"/>
  <c r="BP501" i="15"/>
  <c r="BQ501" i="15" s="1"/>
  <c r="BP497" i="15"/>
  <c r="BQ100" i="46"/>
  <c r="BQ32" i="51"/>
  <c r="BQ33" i="51" s="1"/>
  <c r="BQ37" i="51" s="1"/>
  <c r="BQ37" i="46"/>
  <c r="BQ41" i="46" s="1"/>
  <c r="EA12" i="64"/>
  <c r="EB7" i="64"/>
  <c r="BQ190" i="46"/>
  <c r="BQ193" i="46" s="1"/>
  <c r="BP193" i="46"/>
  <c r="DX17" i="64" l="1"/>
  <c r="DY17" i="64"/>
  <c r="DZ17" i="64"/>
  <c r="EK14" i="64"/>
  <c r="DW17" i="64"/>
  <c r="DW23" i="64" s="1"/>
  <c r="DU17" i="64"/>
  <c r="DU23" i="64" s="1"/>
  <c r="DK54" i="64"/>
  <c r="DK56" i="64" s="1"/>
  <c r="DK62" i="64" s="1"/>
  <c r="DK63" i="64" s="1"/>
  <c r="DK64" i="64"/>
  <c r="DK83" i="64"/>
  <c r="DK85" i="64" s="1"/>
  <c r="DK88" i="64" s="1"/>
  <c r="DK91" i="64" s="1"/>
  <c r="BP56" i="51"/>
  <c r="BP45" i="51"/>
  <c r="BP46" i="15"/>
  <c r="BP74" i="46"/>
  <c r="BQ211" i="46"/>
  <c r="BP120" i="46"/>
  <c r="BQ120" i="46" s="1"/>
  <c r="BQ116" i="46"/>
  <c r="BQ147" i="46"/>
  <c r="EB34" i="65"/>
  <c r="BP510" i="15"/>
  <c r="BQ497" i="15"/>
  <c r="BP211" i="46"/>
  <c r="BQ49" i="46"/>
  <c r="BQ246" i="46"/>
  <c r="BQ43" i="46"/>
  <c r="BQ46" i="15"/>
  <c r="BQ74" i="46"/>
  <c r="BQ10" i="65"/>
  <c r="BQ44" i="51"/>
  <c r="BQ39" i="51"/>
  <c r="BP458" i="15"/>
  <c r="BP471" i="15" s="1"/>
  <c r="BQ454" i="15"/>
  <c r="BQ458" i="15" s="1"/>
  <c r="EB12" i="64"/>
  <c r="EC7" i="64"/>
  <c r="BP151" i="46"/>
  <c r="BQ150" i="46"/>
  <c r="EB54" i="65" s="1"/>
  <c r="BP174" i="46"/>
  <c r="DK67" i="64" l="1"/>
  <c r="BW72" i="64" s="1"/>
  <c r="BW75" i="64" s="1"/>
  <c r="BW69" i="64" s="1"/>
  <c r="EC12" i="64"/>
  <c r="ED7" i="64"/>
  <c r="BQ50" i="46"/>
  <c r="BQ224" i="46"/>
  <c r="BQ219" i="46"/>
  <c r="BQ471" i="15"/>
  <c r="EB33" i="65"/>
  <c r="EB43" i="65" s="1"/>
  <c r="BQ510" i="15"/>
  <c r="BQ220" i="46"/>
  <c r="EB15" i="65"/>
  <c r="BQ46" i="65" s="1"/>
  <c r="BP75" i="46"/>
  <c r="BP76" i="46" s="1"/>
  <c r="BP60" i="47"/>
  <c r="BP61" i="47" s="1"/>
  <c r="BQ61" i="47" s="1"/>
  <c r="BQ45" i="51"/>
  <c r="BQ53" i="64"/>
  <c r="BQ56" i="64" s="1"/>
  <c r="BQ61" i="64" s="1"/>
  <c r="BQ65" i="64" s="1"/>
  <c r="BQ68" i="64" s="1"/>
  <c r="BQ70" i="64" s="1"/>
  <c r="BP177" i="46"/>
  <c r="BP184" i="46" s="1"/>
  <c r="BP195" i="46" s="1"/>
  <c r="BP203" i="46"/>
  <c r="BP205" i="46" s="1"/>
  <c r="BQ174" i="46"/>
  <c r="BQ8" i="64"/>
  <c r="BQ151" i="46"/>
  <c r="BP155" i="46"/>
  <c r="BP475" i="15"/>
  <c r="BP479" i="15" s="1"/>
  <c r="BQ479" i="15" s="1"/>
  <c r="BP59" i="51"/>
  <c r="BP73" i="51" s="1"/>
  <c r="BQ56" i="51"/>
  <c r="BQ59" i="51" s="1"/>
  <c r="BQ73" i="51" s="1"/>
  <c r="CG69" i="64" l="1"/>
  <c r="CQ69" i="64"/>
  <c r="CV69" i="64"/>
  <c r="DK69" i="64"/>
  <c r="BW77" i="64"/>
  <c r="CB70" i="64" s="1"/>
  <c r="CB69" i="64"/>
  <c r="DF69" i="64"/>
  <c r="DA69" i="64"/>
  <c r="CL69" i="64"/>
  <c r="EB32" i="65"/>
  <c r="EB42" i="65" s="1"/>
  <c r="EB44" i="65" s="1"/>
  <c r="EB48" i="65" s="1"/>
  <c r="EB56" i="65" s="1"/>
  <c r="BQ51" i="46"/>
  <c r="BQ63" i="46"/>
  <c r="BQ25" i="64"/>
  <c r="BP109" i="46"/>
  <c r="BP214" i="46"/>
  <c r="BP215" i="46" s="1"/>
  <c r="BP201" i="46"/>
  <c r="BQ155" i="46"/>
  <c r="BP159" i="46"/>
  <c r="BP171" i="46" s="1"/>
  <c r="BP197" i="46" s="1"/>
  <c r="BQ238" i="46"/>
  <c r="BQ237" i="46"/>
  <c r="EB26" i="65" s="1"/>
  <c r="ED12" i="64"/>
  <c r="EE7" i="64"/>
  <c r="BP474" i="15"/>
  <c r="BQ474" i="15" s="1"/>
  <c r="BQ475" i="15"/>
  <c r="BP481" i="15"/>
  <c r="BQ177" i="46"/>
  <c r="BQ184" i="46" s="1"/>
  <c r="BQ195" i="46" s="1"/>
  <c r="BQ203" i="46"/>
  <c r="BQ75" i="46"/>
  <c r="BQ76" i="46" s="1"/>
  <c r="BQ60" i="47"/>
  <c r="BQ11" i="65"/>
  <c r="DA70" i="64" l="1"/>
  <c r="DK70" i="64"/>
  <c r="CQ70" i="64"/>
  <c r="CG70" i="64"/>
  <c r="BW70" i="64"/>
  <c r="DF70" i="64"/>
  <c r="BW79" i="64"/>
  <c r="CG19" i="64" s="1"/>
  <c r="CG21" i="64" s="1"/>
  <c r="CG23" i="64" s="1"/>
  <c r="CL70" i="64"/>
  <c r="CV70" i="64"/>
  <c r="BP206" i="46"/>
  <c r="EE12" i="64"/>
  <c r="EF7" i="64"/>
  <c r="BP483" i="15"/>
  <c r="BQ481" i="15"/>
  <c r="BQ483" i="15" s="1"/>
  <c r="BQ9" i="64"/>
  <c r="BQ10" i="64" s="1"/>
  <c r="BQ17" i="64" s="1"/>
  <c r="BQ19" i="64" s="1"/>
  <c r="BQ21" i="64" s="1"/>
  <c r="BQ12" i="65"/>
  <c r="BQ16" i="65" s="1"/>
  <c r="C5" i="60"/>
  <c r="CG27" i="64"/>
  <c r="CG29" i="64" s="1"/>
  <c r="EB10" i="65"/>
  <c r="EB12" i="65" s="1"/>
  <c r="BQ205" i="46"/>
  <c r="EB8" i="65"/>
  <c r="BQ201" i="46"/>
  <c r="BQ159" i="46"/>
  <c r="BQ171" i="46" s="1"/>
  <c r="BQ197" i="46" s="1"/>
  <c r="BP209" i="46"/>
  <c r="BP212" i="46"/>
  <c r="BQ55" i="65" l="1"/>
  <c r="BQ56" i="65" s="1"/>
  <c r="BQ44" i="65" s="1"/>
  <c r="EB17" i="65"/>
  <c r="BP506" i="15"/>
  <c r="BP107" i="46"/>
  <c r="BP108" i="46" s="1"/>
  <c r="BP492" i="15"/>
  <c r="BP507" i="15"/>
  <c r="EG7" i="64"/>
  <c r="EF12" i="64"/>
  <c r="AC13" i="65"/>
  <c r="BQ43" i="65"/>
  <c r="BQ50" i="65"/>
  <c r="BQ48" i="65"/>
  <c r="BQ33" i="65"/>
  <c r="BQ17" i="65"/>
  <c r="BQ226" i="46"/>
  <c r="BQ234" i="46" s="1"/>
  <c r="BQ109" i="46"/>
  <c r="BQ231" i="46"/>
  <c r="EB22" i="65" s="1"/>
  <c r="BQ214" i="46"/>
  <c r="BQ232" i="46"/>
  <c r="EB23" i="65" s="1"/>
  <c r="BQ233" i="46"/>
  <c r="BQ107" i="46"/>
  <c r="DK93" i="64"/>
  <c r="DK94" i="64" s="1"/>
  <c r="DK97" i="64" s="1"/>
  <c r="BQ506" i="15"/>
  <c r="BQ492" i="15"/>
  <c r="BQ507" i="15"/>
  <c r="BQ108" i="46" l="1"/>
  <c r="BQ504" i="15"/>
  <c r="BQ487" i="15"/>
  <c r="BQ490" i="15"/>
  <c r="BP490" i="15"/>
  <c r="BP487" i="15"/>
  <c r="BP504" i="15"/>
  <c r="BP505" i="15"/>
  <c r="BP484" i="15"/>
  <c r="BQ493" i="15"/>
  <c r="BQ505" i="15"/>
  <c r="BQ209" i="46"/>
  <c r="BQ229" i="46"/>
  <c r="EB20" i="65" s="1"/>
  <c r="BQ212" i="46"/>
  <c r="BQ206" i="46"/>
  <c r="EG12" i="64"/>
  <c r="EH7" i="64"/>
  <c r="BQ484" i="15"/>
  <c r="BQ230" i="46"/>
  <c r="EB21" i="65" s="1"/>
  <c r="BQ215" i="46"/>
  <c r="BP493" i="15"/>
  <c r="EH12" i="64" l="1"/>
  <c r="EI7" i="64"/>
  <c r="EI12" i="64" l="1"/>
  <c r="EJ7" i="64"/>
  <c r="EK7" i="64" l="1"/>
  <c r="EK12" i="64" s="1"/>
  <c r="EJ12" i="64"/>
  <c r="AV391" i="15"/>
  <c r="BA392" i="15" s="1"/>
  <c r="AW388" i="15"/>
  <c r="AW391" i="15" s="1"/>
  <c r="AV392" i="15" l="1"/>
  <c r="BB392" i="15"/>
  <c r="AW392" i="15"/>
</calcChain>
</file>

<file path=xl/comments1.xml><?xml version="1.0" encoding="utf-8"?>
<comments xmlns="http://schemas.openxmlformats.org/spreadsheetml/2006/main">
  <authors>
    <author>appiwill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卟䙄_x0001_＀＀觌䮼_x000F_呅幒䝆偟䥒䕃〨착_x0018_＀＀_x0018_＀＀_x0008_＀＀_x0001_＀＀_x0001_＀＀긔Ѻ䁕觌䮼_x000E_呅幒䝆䑟呁⡅⤰_x001A_＀＀_x0018_＀＀
＀＀_x0001_＀＀_x0008_＀＀⼴㘰㈯㄰0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65</t>
        </r>
      </text>
    </comment>
  </commentList>
</comments>
</file>

<file path=xl/comments2.xml><?xml version="1.0" encoding="utf-8"?>
<comments xmlns="http://schemas.openxmlformats.org/spreadsheetml/2006/main">
  <authors>
    <author>Arcaro, David (Research)</author>
    <author>McDermott, Devin (Research)</author>
    <author>RL</author>
    <author>MD</author>
  </authors>
  <commentList>
    <comment ref="CB1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75% of nuclear costs disallowed, $0.21 impact from load growth</t>
        </r>
      </text>
    </comment>
    <comment ref="DS14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$1.9b gross NOL balance as per 3Q15 call</t>
        </r>
      </text>
    </comment>
    <comment ref="DT1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 10-K: $3.6b gross federal  NOL balance </t>
        </r>
      </text>
    </comment>
    <comment ref="DU1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10-K: $6.7b gross federal  NOL balance
Unregulated federal NOL: $1,881m</t>
        </r>
      </text>
    </comment>
    <comment ref="DS1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2016 10-K: Funded status: $1.971b funding gap, less allocation to the utilities
4Q16 Underfunded nuclear decommissioning trust: IP2 $89m, Palisades $88m, assumed funded over 10 years</t>
        </r>
      </text>
    </comment>
    <comment ref="CG39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Removed below for post 2018 shutdown</t>
        </r>
      </text>
    </comment>
    <comment ref="BU5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Impaired plant fuel cost</t>
        </r>
      </text>
    </comment>
    <comment ref="EE61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based on footnote 3 of 2012 10K, grossed up deferred tax liability for EWC plants is ~$3bil.</t>
        </r>
      </text>
    </comment>
    <comment ref="BW74" authorId="2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pension net of NOL benefit.
Cell DW23, using only unregulated NOL</t>
        </r>
      </text>
    </comment>
    <comment ref="BU76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parent level debt is netted against utility above</t>
        </r>
      </text>
    </comment>
    <comment ref="BU87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to acct for IP shutdown</t>
        </r>
      </text>
    </comment>
    <comment ref="DM98" authorId="3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Based on average fixed a</t>
        </r>
      </text>
    </comment>
    <comment ref="DM105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to tie to guidance of $350m 2017-19 as per 3Q16 slides</t>
        </r>
      </text>
    </comment>
  </commentList>
</comments>
</file>

<file path=xl/comments3.xml><?xml version="1.0" encoding="utf-8"?>
<comments xmlns="http://schemas.openxmlformats.org/spreadsheetml/2006/main">
  <authors>
    <author>ancsan</author>
    <author>sunilt</author>
    <author>Kapoor, Vishal (Research)</author>
    <author>Ananth, Manoj (Research)</author>
    <author>Arcaro, David (Research)</author>
    <author>McDermott, Devin (Research)</author>
  </authors>
  <commentList>
    <comment ref="T24" authorId="0">
      <text>
        <r>
          <rPr>
            <sz val="8"/>
            <color indexed="81"/>
            <rFont val="Tahoma"/>
            <family val="2"/>
          </rPr>
          <t>Asset impairment - 355mn</t>
        </r>
      </text>
    </comment>
    <comment ref="X24" authorId="0">
      <text>
        <r>
          <rPr>
            <sz val="8"/>
            <color indexed="81"/>
            <rFont val="Tahoma"/>
            <family val="2"/>
          </rPr>
          <t>Asset impairment - 355mn</t>
        </r>
      </text>
    </comment>
    <comment ref="AA24" authorId="1">
      <text>
        <r>
          <rPr>
            <sz val="8"/>
            <color indexed="81"/>
            <rFont val="Tahoma"/>
            <family val="2"/>
          </rPr>
          <t>Asset Impairment : $291.505m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24" authorId="1">
      <text>
        <r>
          <rPr>
            <sz val="8"/>
            <color indexed="81"/>
            <rFont val="Tahoma"/>
            <family val="2"/>
          </rPr>
          <t>$340.537m : Asset impairments and related charges
$43.569m : Gain on sale of business</t>
        </r>
      </text>
    </comment>
    <comment ref="AF24" authorId="1">
      <text>
        <r>
          <rPr>
            <sz val="8"/>
            <color indexed="81"/>
            <rFont val="Tahoma"/>
            <family val="2"/>
          </rPr>
          <t xml:space="preserve">Asset Impairment : $163.835m
</t>
        </r>
      </text>
    </comment>
    <comment ref="AH24" authorId="1">
      <text>
        <r>
          <rPr>
            <sz val="8"/>
            <color indexed="81"/>
            <rFont val="Tahoma"/>
            <family val="2"/>
          </rPr>
          <t xml:space="preserve">$179.752m : Asset impairments and related charges
</t>
        </r>
      </text>
    </comment>
    <comment ref="AK24" authorId="1">
      <text>
        <r>
          <rPr>
            <sz val="8"/>
            <color indexed="81"/>
            <rFont val="Tahoma"/>
            <family val="2"/>
          </rPr>
          <t xml:space="preserve">Asset Impairment : $1,642.204m
</t>
        </r>
      </text>
    </comment>
    <comment ref="AM24" authorId="1">
      <text>
        <r>
          <rPr>
            <sz val="8"/>
            <color indexed="81"/>
            <rFont val="Tahoma"/>
            <family val="2"/>
          </rPr>
          <t xml:space="preserve">$2104.906m : Asset write-offs, impairments, and related charges
$154.037m: Gain on sale of asset / business
$ 95.997m : Miscellaneous - net
</t>
        </r>
      </text>
    </comment>
    <comment ref="AN24" authorId="2">
      <text>
        <r>
          <rPr>
            <sz val="9"/>
            <color indexed="81"/>
            <rFont val="Tahoma"/>
            <family val="2"/>
          </rPr>
          <t>$7.361 m : Asset write-offs, impairments, and related charges
$10.587 m : Miscellaneous - net</t>
        </r>
      </text>
    </comment>
    <comment ref="AO24" authorId="2">
      <text>
        <r>
          <rPr>
            <sz val="9"/>
            <color indexed="81"/>
            <rFont val="Tahoma"/>
            <family val="2"/>
          </rPr>
          <t>$6.969 m : Asset write-offs, impairments, and related charges
$8.377 m : Miscellaneous - net</t>
        </r>
      </text>
    </comment>
    <comment ref="AP24" authorId="2">
      <text>
        <r>
          <rPr>
            <sz val="9"/>
            <color indexed="81"/>
            <rFont val="Tahoma"/>
            <family val="2"/>
          </rPr>
          <t>$18.841 m : Asset write-offs, impairments, and related charges
$6.740 m : Miscellaneous - net</t>
        </r>
      </text>
    </comment>
    <comment ref="AR24" authorId="1">
      <text>
        <r>
          <rPr>
            <sz val="8"/>
            <color indexed="81"/>
            <rFont val="Tahoma"/>
            <family val="2"/>
          </rPr>
          <t xml:space="preserve">$2,835.637m : Asset write-offs, impairments, and related charges
$ 41.617m : Miscellaneous - net
</t>
        </r>
      </text>
    </comment>
    <comment ref="AS24" authorId="2">
      <text>
        <r>
          <rPr>
            <sz val="9"/>
            <color indexed="81"/>
            <rFont val="Tahoma"/>
            <family val="2"/>
          </rPr>
          <t>$211.791m : Asset write-offs, impairments, and related charges
$5.501m : Miscellaneous - net
$16.27m: Gain on sale of assets</t>
        </r>
      </text>
    </comment>
    <comment ref="AT24" authorId="2">
      <text>
        <r>
          <rPr>
            <sz val="9"/>
            <color indexed="81"/>
            <rFont val="Tahoma"/>
            <family val="2"/>
          </rPr>
          <t>$193.571 m : Asset write-offs, impairments, and related charges
$6.872 m : Miscellaneous - net</t>
        </r>
      </text>
    </comment>
    <comment ref="AU24" authorId="3">
      <text>
        <r>
          <rPr>
            <sz val="9"/>
            <color indexed="81"/>
            <rFont val="Tahoma"/>
            <family val="2"/>
          </rPr>
          <t>$16.221 m : Asset write-offs, impairments, and related charges
$1.801 m : Miscellaneous - net</t>
        </r>
      </text>
    </comment>
    <comment ref="AW24" authorId="1">
      <text>
        <r>
          <rPr>
            <sz val="8"/>
            <color indexed="81"/>
            <rFont val="Tahoma"/>
            <family val="2"/>
          </rPr>
          <t xml:space="preserve">$538.372m : Asset write-offs, impairments, and related charges
$ 12.701m : Miscellaneous - net
$ 16.27m : Gain on sale of asset
</t>
        </r>
      </text>
    </comment>
    <comment ref="AZ36" authorId="4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slides: Assumed EWC tax item</t>
        </r>
      </text>
    </comment>
    <comment ref="E42" authorId="0">
      <text>
        <r>
          <rPr>
            <sz val="8"/>
            <color indexed="81"/>
            <rFont val="Tahoma"/>
            <family val="2"/>
          </rPr>
          <t xml:space="preserve">Source : 8K of 1Q10
</t>
        </r>
      </text>
    </comment>
    <comment ref="F42" authorId="0">
      <text>
        <r>
          <rPr>
            <sz val="8"/>
            <color indexed="81"/>
            <rFont val="Tahoma"/>
            <family val="2"/>
          </rPr>
          <t xml:space="preserve">Source : 8K of 2Q10
</t>
        </r>
      </text>
    </comment>
    <comment ref="G42" authorId="0">
      <text>
        <r>
          <rPr>
            <sz val="8"/>
            <color indexed="81"/>
            <rFont val="Tahoma"/>
            <family val="2"/>
          </rPr>
          <t xml:space="preserve">Source : 8K of 3Q10
</t>
        </r>
      </text>
    </comment>
    <comment ref="I42" authorId="0">
      <text>
        <r>
          <rPr>
            <sz val="8"/>
            <color indexed="81"/>
            <rFont val="Tahoma"/>
            <family val="2"/>
          </rPr>
          <t xml:space="preserve">Source : 8K of 4Q10
</t>
        </r>
      </text>
    </comment>
    <comment ref="J42" authorId="0">
      <text>
        <r>
          <rPr>
            <sz val="8"/>
            <color indexed="81"/>
            <rFont val="Tahoma"/>
            <family val="2"/>
          </rPr>
          <t xml:space="preserve">Source : 8K of 1Q11
</t>
        </r>
      </text>
    </comment>
    <comment ref="K42" authorId="0">
      <text>
        <r>
          <rPr>
            <sz val="8"/>
            <color indexed="81"/>
            <rFont val="Tahoma"/>
            <family val="2"/>
          </rPr>
          <t xml:space="preserve">Source : 8K of 2Q11
</t>
        </r>
      </text>
    </comment>
    <comment ref="L42" authorId="0">
      <text>
        <r>
          <rPr>
            <sz val="8"/>
            <color indexed="81"/>
            <rFont val="Tahoma"/>
            <family val="2"/>
          </rPr>
          <t xml:space="preserve">Source : 8K of 3Q11
</t>
        </r>
      </text>
    </comment>
    <comment ref="N42" authorId="0">
      <text>
        <r>
          <rPr>
            <sz val="8"/>
            <color indexed="81"/>
            <rFont val="Tahoma"/>
            <family val="2"/>
          </rPr>
          <t xml:space="preserve">Source : 8K of 4Q11
</t>
        </r>
      </text>
    </comment>
    <comment ref="O42" authorId="0">
      <text>
        <r>
          <rPr>
            <sz val="8"/>
            <color indexed="81"/>
            <rFont val="Tahoma"/>
            <family val="2"/>
          </rPr>
          <t xml:space="preserve">Source : 8K of 1Q12
</t>
        </r>
      </text>
    </comment>
    <comment ref="P42" authorId="0">
      <text>
        <r>
          <rPr>
            <sz val="8"/>
            <color indexed="81"/>
            <rFont val="Tahoma"/>
            <family val="2"/>
          </rPr>
          <t xml:space="preserve">Source : 8K of 2Q12
</t>
        </r>
      </text>
    </comment>
    <comment ref="Q42" authorId="0">
      <text>
        <r>
          <rPr>
            <sz val="8"/>
            <color indexed="81"/>
            <rFont val="Tahoma"/>
            <family val="2"/>
          </rPr>
          <t xml:space="preserve">Source : 8K of 3Q11
</t>
        </r>
      </text>
    </comment>
    <comment ref="S42" authorId="0">
      <text>
        <r>
          <rPr>
            <sz val="8"/>
            <color indexed="81"/>
            <rFont val="Tahoma"/>
            <family val="2"/>
          </rPr>
          <t xml:space="preserve">Source : 8K of 4Q11
</t>
        </r>
      </text>
    </comment>
    <comment ref="T42" authorId="0">
      <text>
        <r>
          <rPr>
            <sz val="8"/>
            <color indexed="81"/>
            <rFont val="Tahoma"/>
            <family val="2"/>
          </rPr>
          <t xml:space="preserve">Source : 8K of 1Q12
</t>
        </r>
      </text>
    </comment>
    <comment ref="U42" authorId="0">
      <text>
        <r>
          <rPr>
            <sz val="8"/>
            <color indexed="81"/>
            <rFont val="Tahoma"/>
            <family val="2"/>
          </rPr>
          <t xml:space="preserve">Source : 8K of 2Q12
</t>
        </r>
      </text>
    </comment>
    <comment ref="V42" authorId="0">
      <text>
        <r>
          <rPr>
            <sz val="8"/>
            <color indexed="81"/>
            <rFont val="Tahoma"/>
            <family val="2"/>
          </rPr>
          <t xml:space="preserve">Source : 8K of 3Q12
</t>
        </r>
      </text>
    </comment>
    <comment ref="X42" authorId="0">
      <text>
        <r>
          <rPr>
            <sz val="8"/>
            <color indexed="81"/>
            <rFont val="Tahoma"/>
            <family val="2"/>
          </rPr>
          <t xml:space="preserve">Source : 8K of 4Q12
</t>
        </r>
      </text>
    </comment>
    <comment ref="Y42" authorId="0">
      <text>
        <r>
          <rPr>
            <sz val="8"/>
            <color indexed="81"/>
            <rFont val="Tahoma"/>
            <family val="2"/>
          </rPr>
          <t>Source : 8K of 1Q13</t>
        </r>
      </text>
    </comment>
    <comment ref="Z42" authorId="0">
      <text>
        <r>
          <rPr>
            <sz val="8"/>
            <color indexed="81"/>
            <rFont val="Tahoma"/>
            <family val="2"/>
          </rPr>
          <t>Source : 8K of 2Q13</t>
        </r>
      </text>
    </comment>
    <comment ref="AA42" authorId="0">
      <text>
        <r>
          <rPr>
            <sz val="8"/>
            <color indexed="81"/>
            <rFont val="Tahoma"/>
            <family val="2"/>
          </rPr>
          <t>Source : 8K of 3Q13</t>
        </r>
      </text>
    </comment>
    <comment ref="AC42" authorId="1">
      <text>
        <r>
          <rPr>
            <sz val="8"/>
            <color indexed="81"/>
            <rFont val="Tahoma"/>
            <family val="2"/>
          </rPr>
          <t>Source : 8-K of 4Q13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42" authorId="0">
      <text>
        <r>
          <rPr>
            <sz val="8"/>
            <color indexed="81"/>
            <rFont val="Tahoma"/>
            <family val="2"/>
          </rPr>
          <t>Source : 8K of 1Q14</t>
        </r>
      </text>
    </comment>
    <comment ref="AE42" authorId="0">
      <text>
        <r>
          <rPr>
            <sz val="8"/>
            <color indexed="81"/>
            <rFont val="Tahoma"/>
            <family val="2"/>
          </rPr>
          <t>Source : 8K of 2Q14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Source : 8K of 3Q14</t>
        </r>
      </text>
    </comment>
    <comment ref="AH42" authorId="1">
      <text>
        <r>
          <rPr>
            <sz val="8"/>
            <color indexed="81"/>
            <rFont val="Tahoma"/>
            <family val="2"/>
          </rPr>
          <t xml:space="preserve">Source : 8-K of 4Q14
</t>
        </r>
      </text>
    </comment>
    <comment ref="AI42" authorId="0">
      <text>
        <r>
          <rPr>
            <sz val="8"/>
            <color indexed="81"/>
            <rFont val="Tahoma"/>
            <family val="2"/>
          </rPr>
          <t>Source : 8K of 1Q15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Source : 8K of 2Q15</t>
        </r>
      </text>
    </comment>
    <comment ref="AK42" authorId="0">
      <text>
        <r>
          <rPr>
            <sz val="8"/>
            <color indexed="81"/>
            <rFont val="Tahoma"/>
            <family val="2"/>
          </rPr>
          <t xml:space="preserve">Source : 8K of 3Q15
</t>
        </r>
      </text>
    </comment>
    <comment ref="AM42" authorId="1">
      <text>
        <r>
          <rPr>
            <sz val="8"/>
            <color indexed="81"/>
            <rFont val="Tahoma"/>
            <family val="2"/>
          </rPr>
          <t>Source : 8-K of 4Q15
dated 02/18/16</t>
        </r>
      </text>
    </comment>
    <comment ref="AN42" authorId="0">
      <text>
        <r>
          <rPr>
            <sz val="8"/>
            <color indexed="81"/>
            <rFont val="Tahoma"/>
            <family val="2"/>
          </rPr>
          <t>Source : 8K of 1Q16 dated 04/26/16.</t>
        </r>
      </text>
    </comment>
    <comment ref="AO42" authorId="2">
      <text>
        <r>
          <rPr>
            <sz val="9"/>
            <color indexed="81"/>
            <rFont val="Tahoma"/>
            <family val="2"/>
          </rPr>
          <t>Source : 8K of 2Q16
 dated 08/02/16.</t>
        </r>
      </text>
    </comment>
    <comment ref="AP42" authorId="2">
      <text>
        <r>
          <rPr>
            <sz val="9"/>
            <color indexed="81"/>
            <rFont val="Tahoma"/>
            <family val="2"/>
          </rPr>
          <t>Source : 8K of 3Q16
 dated 10/25/16.</t>
        </r>
      </text>
    </comment>
    <comment ref="AR42" authorId="1">
      <text>
        <r>
          <rPr>
            <sz val="8"/>
            <color indexed="81"/>
            <rFont val="Tahoma"/>
            <family val="2"/>
          </rPr>
          <t>Source : 8-K of 4Q16
dated 02/15/17</t>
        </r>
      </text>
    </comment>
    <comment ref="AS42" authorId="2">
      <text>
        <r>
          <rPr>
            <sz val="9"/>
            <color indexed="81"/>
            <rFont val="Tahoma"/>
            <family val="2"/>
          </rPr>
          <t>Source : 8K of 1Q17
 dated 04/26/17.</t>
        </r>
      </text>
    </comment>
    <comment ref="AT42" authorId="2">
      <text>
        <r>
          <rPr>
            <sz val="9"/>
            <color indexed="81"/>
            <rFont val="Tahoma"/>
            <family val="2"/>
          </rPr>
          <t>Source : 8K of 2Q17
 dated 08/02/17.</t>
        </r>
      </text>
    </comment>
    <comment ref="AU42" authorId="3">
      <text>
        <r>
          <rPr>
            <sz val="9"/>
            <color indexed="81"/>
            <rFont val="Tahoma"/>
            <family val="2"/>
          </rPr>
          <t>Source : 8K of 3Q17
 dated 10/24/17.</t>
        </r>
      </text>
    </comment>
    <comment ref="AW42" authorId="1">
      <text>
        <r>
          <rPr>
            <sz val="8"/>
            <color indexed="81"/>
            <rFont val="Tahoma"/>
            <family val="2"/>
          </rPr>
          <t>Source : 8-K of 4Q17
dated 02/23/18</t>
        </r>
      </text>
    </comment>
    <comment ref="BB50" authorId="2">
      <text>
        <r>
          <rPr>
            <sz val="9"/>
            <color indexed="81"/>
            <rFont val="Tahoma"/>
            <family val="2"/>
          </rPr>
          <t>Guidance: $6.25 - $6.85
Source: 8K of 4Q17 dated 02/23/18</t>
        </r>
      </text>
    </comment>
    <comment ref="BB68" authorId="4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$1b over 2018-2020</t>
        </r>
      </text>
    </comment>
    <comment ref="BB73" authorId="2">
      <text>
        <r>
          <rPr>
            <sz val="9"/>
            <color indexed="81"/>
            <rFont val="Tahoma"/>
            <family val="2"/>
          </rPr>
          <t>Utility, Parent &amp; Other adjusted EPS guidance: $4.5 - $4.9
Source: 8K of 4Q18</t>
        </r>
      </text>
    </comment>
    <comment ref="BB74" authorId="2">
      <text>
        <r>
          <rPr>
            <sz val="9"/>
            <color indexed="81"/>
            <rFont val="Tahoma"/>
            <family val="2"/>
          </rPr>
          <t>Utility, Parent &amp; Other adjusted EPS guidance: $4.5 - $4.9
Source: 8K of 4Q18</t>
        </r>
      </text>
    </comment>
    <comment ref="BB75" authorId="2">
      <text>
        <r>
          <rPr>
            <sz val="9"/>
            <color indexed="81"/>
            <rFont val="Tahoma"/>
            <family val="2"/>
          </rPr>
          <t>Utility, Parent &amp; Other adjusted EPS guidance: $4.5 - $4.9
Source: 8K of 4Q18</t>
        </r>
      </text>
    </comment>
    <comment ref="BB76" authorId="2">
      <text>
        <r>
          <rPr>
            <sz val="9"/>
            <color indexed="81"/>
            <rFont val="Tahoma"/>
            <family val="2"/>
          </rPr>
          <t>Guidance: $6.25 - $6.85
Source: 8K of 4Q18</t>
        </r>
      </text>
    </comment>
    <comment ref="BB79" authorId="3">
      <text>
        <r>
          <rPr>
            <sz val="9"/>
            <color indexed="81"/>
            <rFont val="Tahoma"/>
            <family val="2"/>
          </rPr>
          <t>Guidance: $3,920m
Source: 10K of 2017 dated 02/26/18, Pg.23</t>
        </r>
      </text>
    </comment>
    <comment ref="BG79" authorId="3">
      <text>
        <r>
          <rPr>
            <sz val="9"/>
            <color indexed="81"/>
            <rFont val="Tahoma"/>
            <family val="2"/>
          </rPr>
          <t>Guidance: $3,640m
Source: 10K of 2017 dated 02/26/18, Pg.23</t>
        </r>
      </text>
    </comment>
    <comment ref="BL79" authorId="3">
      <text>
        <r>
          <rPr>
            <sz val="9"/>
            <color indexed="81"/>
            <rFont val="Tahoma"/>
            <family val="2"/>
          </rPr>
          <t>Guidance: $3,300m
Source: 10K of 2017 dated 02/26/18, Pg.23</t>
        </r>
      </text>
    </comment>
    <comment ref="BB80" authorId="3">
      <text>
        <r>
          <rPr>
            <sz val="9"/>
            <color indexed="81"/>
            <rFont val="Tahoma"/>
            <family val="2"/>
          </rPr>
          <t>Guidance: $245m
Source: 10K of 2017 dated 02/26/18, Pg.23</t>
        </r>
      </text>
    </comment>
    <comment ref="BG80" authorId="3">
      <text>
        <r>
          <rPr>
            <sz val="9"/>
            <color indexed="81"/>
            <rFont val="Tahoma"/>
            <family val="2"/>
          </rPr>
          <t>Guidance: $75m
Source: 10K of 2017 dated 02/26/18, Pg.23</t>
        </r>
      </text>
    </comment>
    <comment ref="BL80" authorId="3">
      <text>
        <r>
          <rPr>
            <sz val="9"/>
            <color indexed="81"/>
            <rFont val="Tahoma"/>
            <family val="2"/>
          </rPr>
          <t>Guidance: $40m
Source: 10K of 2017 dated 02/26/18, Pg.23</t>
        </r>
      </text>
    </comment>
    <comment ref="BB82" authorId="3">
      <text>
        <r>
          <rPr>
            <sz val="9"/>
            <color indexed="81"/>
            <rFont val="Tahoma"/>
            <family val="2"/>
          </rPr>
          <t>Guidance: $4,165m
Source: 10K of 2017 dated 02/26/18, Pg.23</t>
        </r>
      </text>
    </comment>
    <comment ref="BG82" authorId="3">
      <text>
        <r>
          <rPr>
            <sz val="9"/>
            <color indexed="81"/>
            <rFont val="Tahoma"/>
            <family val="2"/>
          </rPr>
          <t>Guidance: $3,715m
Source: 10K of 2017 dated 02/26/18, Pg.23</t>
        </r>
      </text>
    </comment>
    <comment ref="BL82" authorId="3">
      <text>
        <r>
          <rPr>
            <sz val="9"/>
            <color indexed="81"/>
            <rFont val="Tahoma"/>
            <family val="2"/>
          </rPr>
          <t>Guidance: $3,335m
Source: 10K of 2017 dated 02/26/18, Pg.23</t>
        </r>
      </text>
    </comment>
    <comment ref="BB127" authorId="5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from NOL calc on the valuation tab</t>
        </r>
      </text>
    </comment>
    <comment ref="BG127" authorId="5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from NOL calc on the valuation tab</t>
        </r>
      </text>
    </comment>
    <comment ref="BL127" authorId="5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from NOL calc on the valuation tab</t>
        </r>
      </text>
    </comment>
    <comment ref="BQ127" authorId="5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from NOL calc on the valuation tab</t>
        </r>
      </text>
    </comment>
    <comment ref="AV139" authorId="3">
      <text>
        <r>
          <rPr>
            <sz val="9"/>
            <color indexed="81"/>
            <rFont val="Tahoma"/>
            <family val="2"/>
          </rPr>
          <t xml:space="preserve">Issuance Preferred Stock of subsidiary - $14.399m
Source: 2017 4Q 10-Q dated 02/23/18 </t>
        </r>
      </text>
    </comment>
  </commentList>
</comments>
</file>

<file path=xl/comments4.xml><?xml version="1.0" encoding="utf-8"?>
<comments xmlns="http://schemas.openxmlformats.org/spreadsheetml/2006/main">
  <authors>
    <author>Arcaro, David (Research)</author>
    <author>ancsan</author>
    <author>RL</author>
    <author>sunilt</author>
    <author>Jacob, Abey (Research)</author>
    <author>Kapoor, Vishal (Research)</author>
    <author>Ananth, Manoj (Research)</author>
    <author>Tammannavar, Sunil (Research)</author>
    <author>McDermott, Devin (Research)</author>
    <author>$</author>
    <author>MD</author>
  </authors>
  <commentList>
    <comment ref="BB2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: $2.59b including refueling</t>
        </r>
      </text>
    </comment>
    <comment ref="BB23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$1,290</t>
        </r>
      </text>
    </comment>
    <comment ref="BG23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$1,360</t>
        </r>
      </text>
    </comment>
    <comment ref="BL23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$1,480</t>
        </r>
      </text>
    </comment>
    <comment ref="BT23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$4,130m</t>
        </r>
      </text>
    </comment>
    <comment ref="Q24" authorId="1">
      <text>
        <r>
          <rPr>
            <sz val="8"/>
            <color indexed="81"/>
            <rFont val="Tahoma"/>
            <family val="2"/>
          </rPr>
          <t xml:space="preserve">Entergy Louisiana will share over a 15-year period a portion of the benefits of the settlement with its customers, and recorded a </t>
        </r>
        <r>
          <rPr>
            <b/>
            <sz val="8"/>
            <color indexed="81"/>
            <rFont val="Tahoma"/>
            <family val="2"/>
          </rPr>
          <t>$199 million</t>
        </r>
        <r>
          <rPr>
            <sz val="8"/>
            <color indexed="81"/>
            <rFont val="Tahoma"/>
            <family val="2"/>
          </rPr>
          <t xml:space="preserve"> regulatory charge and a corresponding regulatory liability to reflect this obligation.
Source : 10Q of 3Q11 , page 70</t>
        </r>
      </text>
    </comment>
    <comment ref="C30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primarily consists of preferred income and returns on decommissioning</t>
        </r>
      </text>
    </comment>
    <comment ref="AC31" authorId="3">
      <text>
        <r>
          <rPr>
            <sz val="8"/>
            <color indexed="81"/>
            <rFont val="Tahoma"/>
            <family val="2"/>
          </rPr>
          <t xml:space="preserve">$9.411m : Asset impairments and related charges
</t>
        </r>
      </text>
    </comment>
    <comment ref="AF31" authorId="3">
      <text>
        <r>
          <rPr>
            <sz val="8"/>
            <color indexed="81"/>
            <rFont val="Tahoma"/>
            <family val="2"/>
          </rPr>
          <t xml:space="preserve">$60.857 mn : Asset impairments and related charges
</t>
        </r>
      </text>
    </comment>
    <comment ref="AH31" authorId="3">
      <text>
        <r>
          <rPr>
            <sz val="8"/>
            <color indexed="81"/>
            <rFont val="Tahoma"/>
            <family val="2"/>
          </rPr>
          <t xml:space="preserve">$72.225 m : Asset impairments and related charges
</t>
        </r>
      </text>
    </comment>
    <comment ref="AM31" authorId="3">
      <text>
        <r>
          <rPr>
            <sz val="8"/>
            <color indexed="81"/>
            <rFont val="Tahoma"/>
            <family val="2"/>
          </rPr>
          <t xml:space="preserve">$68.672m : Asset write-offs, impairments and related charges
</t>
        </r>
      </text>
    </comment>
    <comment ref="E50" authorId="1">
      <text>
        <r>
          <rPr>
            <sz val="8"/>
            <color indexed="81"/>
            <rFont val="Tahoma"/>
            <family val="2"/>
          </rPr>
          <t xml:space="preserve">Source : 8K of 1Q10
</t>
        </r>
      </text>
    </comment>
    <comment ref="F50" authorId="1">
      <text>
        <r>
          <rPr>
            <sz val="8"/>
            <color indexed="81"/>
            <rFont val="Tahoma"/>
            <family val="2"/>
          </rPr>
          <t xml:space="preserve">Source : 8K of 2Q10
</t>
        </r>
      </text>
    </comment>
    <comment ref="G50" authorId="1">
      <text>
        <r>
          <rPr>
            <sz val="8"/>
            <color indexed="81"/>
            <rFont val="Tahoma"/>
            <family val="2"/>
          </rPr>
          <t xml:space="preserve">Source : 8K of 3Q10
</t>
        </r>
      </text>
    </comment>
    <comment ref="I50" authorId="1">
      <text>
        <r>
          <rPr>
            <sz val="8"/>
            <color indexed="81"/>
            <rFont val="Tahoma"/>
            <family val="2"/>
          </rPr>
          <t xml:space="preserve">Source : 8K of 4Q10
</t>
        </r>
      </text>
    </comment>
    <comment ref="J50" authorId="1">
      <text>
        <r>
          <rPr>
            <sz val="8"/>
            <color indexed="81"/>
            <rFont val="Tahoma"/>
            <family val="2"/>
          </rPr>
          <t xml:space="preserve">Source : 8K of 1Q11
</t>
        </r>
      </text>
    </comment>
    <comment ref="K50" authorId="1">
      <text>
        <r>
          <rPr>
            <sz val="8"/>
            <color indexed="81"/>
            <rFont val="Tahoma"/>
            <family val="2"/>
          </rPr>
          <t xml:space="preserve">Source : 8K of 2Q11
</t>
        </r>
      </text>
    </comment>
    <comment ref="L50" authorId="1">
      <text>
        <r>
          <rPr>
            <sz val="8"/>
            <color indexed="81"/>
            <rFont val="Tahoma"/>
            <family val="2"/>
          </rPr>
          <t xml:space="preserve">Source : 8K of 3Q11
</t>
        </r>
      </text>
    </comment>
    <comment ref="N50" authorId="1">
      <text>
        <r>
          <rPr>
            <sz val="8"/>
            <color indexed="81"/>
            <rFont val="Tahoma"/>
            <family val="2"/>
          </rPr>
          <t xml:space="preserve">Source : 8K of 4Q11
</t>
        </r>
      </text>
    </comment>
    <comment ref="O50" authorId="1">
      <text>
        <r>
          <rPr>
            <sz val="8"/>
            <color indexed="81"/>
            <rFont val="Tahoma"/>
            <family val="2"/>
          </rPr>
          <t xml:space="preserve">Source : 8K of 1Q12
</t>
        </r>
      </text>
    </comment>
    <comment ref="P50" authorId="1">
      <text>
        <r>
          <rPr>
            <sz val="8"/>
            <color indexed="81"/>
            <rFont val="Tahoma"/>
            <family val="2"/>
          </rPr>
          <t xml:space="preserve">Source : 8K of 2Q12
</t>
        </r>
      </text>
    </comment>
    <comment ref="Q50" authorId="1">
      <text>
        <r>
          <rPr>
            <sz val="8"/>
            <color indexed="81"/>
            <rFont val="Tahoma"/>
            <family val="2"/>
          </rPr>
          <t xml:space="preserve">Source : 8K of 3Q11
</t>
        </r>
      </text>
    </comment>
    <comment ref="S50" authorId="1">
      <text>
        <r>
          <rPr>
            <sz val="8"/>
            <color indexed="81"/>
            <rFont val="Tahoma"/>
            <family val="2"/>
          </rPr>
          <t xml:space="preserve">Source : 8K of 4Q11
</t>
        </r>
      </text>
    </comment>
    <comment ref="T50" authorId="1">
      <text>
        <r>
          <rPr>
            <sz val="8"/>
            <color indexed="81"/>
            <rFont val="Tahoma"/>
            <family val="2"/>
          </rPr>
          <t>Transmission business spin-merge expenses
Source : 8K of 1Q12</t>
        </r>
      </text>
    </comment>
    <comment ref="U50" authorId="1">
      <text>
        <r>
          <rPr>
            <sz val="8"/>
            <color indexed="81"/>
            <rFont val="Tahoma"/>
            <family val="2"/>
          </rPr>
          <t>Transmission business spin-merge expenses
Source : 8K of 2Q12</t>
        </r>
      </text>
    </comment>
    <comment ref="V50" authorId="1">
      <text>
        <r>
          <rPr>
            <sz val="8"/>
            <color indexed="81"/>
            <rFont val="Tahoma"/>
            <family val="2"/>
          </rPr>
          <t>Transmission business spin-merge expenses
Source : 8K of 3Q12</t>
        </r>
      </text>
    </comment>
    <comment ref="X50" authorId="1">
      <text>
        <r>
          <rPr>
            <sz val="8"/>
            <color indexed="81"/>
            <rFont val="Tahoma"/>
            <family val="2"/>
          </rPr>
          <t>Transmission business spin-merge expenses
Source : 8K of 4Q12</t>
        </r>
      </text>
    </comment>
    <comment ref="Z50" authorId="1">
      <text>
        <r>
          <rPr>
            <sz val="8"/>
            <color indexed="81"/>
            <rFont val="Tahoma"/>
            <family val="2"/>
          </rPr>
          <t>Includes:
$12.2m : Transmission business spin-merge expenses
$2.7m : HCM implementation expenses
Source : 8K of 2Q13</t>
        </r>
      </text>
    </comment>
    <comment ref="AA50" authorId="1">
      <text>
        <r>
          <rPr>
            <sz val="8"/>
            <color indexed="81"/>
            <rFont val="Tahoma"/>
            <family val="2"/>
          </rPr>
          <t>Includes:
$10.1m : Transmission business spin-merge expenses
$5.2m : HCM implementation expenses
Source : 8K of 3Q13</t>
        </r>
      </text>
    </comment>
    <comment ref="AC50" authorId="3">
      <text>
        <r>
          <rPr>
            <sz val="8"/>
            <color indexed="81"/>
            <rFont val="Tahoma"/>
            <family val="2"/>
          </rPr>
          <t xml:space="preserve">$8.7m : Transmission business spin-merge expenses
$20.3m : HCM implementation expenses
Source : 8-K of 4Q13
</t>
        </r>
      </text>
    </comment>
    <comment ref="AD50" authorId="1">
      <text>
        <r>
          <rPr>
            <sz val="8"/>
            <color indexed="81"/>
            <rFont val="Tahoma"/>
            <family val="2"/>
          </rPr>
          <t>Source : 8K of 1Q14</t>
        </r>
      </text>
    </comment>
    <comment ref="AE50" authorId="1">
      <text>
        <r>
          <rPr>
            <sz val="8"/>
            <color indexed="81"/>
            <rFont val="Tahoma"/>
            <family val="2"/>
          </rPr>
          <t>Source : 8K of 2Q14</t>
        </r>
      </text>
    </comment>
    <comment ref="AF50" authorId="1">
      <text>
        <r>
          <rPr>
            <sz val="8"/>
            <color indexed="81"/>
            <rFont val="Tahoma"/>
            <family val="2"/>
          </rPr>
          <t>$0.3m : HCM implementation expenses
Source : 8K of 3Q14</t>
        </r>
      </text>
    </comment>
    <comment ref="AH50" authorId="3">
      <text>
        <r>
          <rPr>
            <sz val="8"/>
            <color indexed="81"/>
            <rFont val="Tahoma"/>
            <family val="2"/>
          </rPr>
          <t xml:space="preserve">$7.6m : HCM implementation expenses
Source : 8-K of 4Q14
</t>
        </r>
      </text>
    </comment>
    <comment ref="AW50" authorId="3">
      <text>
        <r>
          <rPr>
            <sz val="8"/>
            <color indexed="81"/>
            <rFont val="Tahoma"/>
            <family val="2"/>
          </rPr>
          <t xml:space="preserve">$55.5m : Net revenue
$236.2m: Income taxes - other
Source : 8-K of 4Q17 dated 02/23/18
</t>
        </r>
      </text>
    </comment>
    <comment ref="AI6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1Q15 earnings presentation: Excludes $0.13 tax item</t>
        </r>
      </text>
    </comment>
    <comment ref="AL6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Excludes  $1.57 tax benefit in 4Q15
Does not remove $0.35 regulatory charge </t>
        </r>
      </text>
    </comment>
    <comment ref="AN6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1Q16 earnings slides: $0.03 tax items</t>
        </r>
      </text>
    </comment>
    <comment ref="AO6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release: $0.68 tax items</t>
        </r>
      </text>
    </comment>
    <comment ref="AP61" authorId="4">
      <text>
        <r>
          <rPr>
            <sz val="9"/>
            <color indexed="81"/>
            <rFont val="Tahoma"/>
            <family val="2"/>
          </rPr>
          <t>3Q16 earnings release: $0.04 tax items</t>
        </r>
      </text>
    </comment>
    <comment ref="AQ61" authorId="4">
      <text>
        <r>
          <rPr>
            <sz val="9"/>
            <color indexed="81"/>
            <rFont val="Tahoma"/>
            <family val="2"/>
          </rPr>
          <t>4Q16 earnings release: $0.03tax items</t>
        </r>
      </text>
    </comment>
    <comment ref="AS61" authorId="5">
      <text>
        <r>
          <rPr>
            <sz val="9"/>
            <color indexed="81"/>
            <rFont val="Tahoma"/>
            <family val="2"/>
          </rPr>
          <t>$0.05: Income tax items
Source: 1Q17 Presentation, dated, 04/26/17, Pg.43</t>
        </r>
      </text>
    </comment>
    <comment ref="AT61" authorId="0">
      <text>
        <r>
          <rPr>
            <sz val="9"/>
            <color indexed="81"/>
            <rFont val="Tahoma"/>
            <family val="2"/>
          </rPr>
          <t>2Q17 earnings release: $0.0 tax items</t>
        </r>
      </text>
    </comment>
    <comment ref="AU61" authorId="6">
      <text>
        <r>
          <rPr>
            <sz val="9"/>
            <color indexed="81"/>
            <rFont val="Tahoma"/>
            <family val="2"/>
          </rPr>
          <t>3Q17 earnings release dated 10/24/17: $0.0 tax items</t>
        </r>
      </text>
    </comment>
    <comment ref="AV61" authorId="4">
      <text>
        <r>
          <rPr>
            <sz val="9"/>
            <color indexed="81"/>
            <rFont val="Tahoma"/>
            <family val="2"/>
          </rPr>
          <t>$0.12tax items
Source: 4Q17 earnings release:  dated, 02/23/18, Pg.17</t>
        </r>
      </text>
    </comment>
    <comment ref="BB61" authorId="7">
      <text>
        <r>
          <rPr>
            <sz val="9"/>
            <color indexed="81"/>
            <rFont val="Tahoma"/>
            <family val="2"/>
          </rPr>
          <t>Guidance: $4.50 - $4.90
(Utility, Parent &amp; Other)
Source: 8K of 4Q17 dated 02/23/18</t>
        </r>
      </text>
    </comment>
    <comment ref="BG61" authorId="7">
      <text>
        <r>
          <rPr>
            <sz val="9"/>
            <color indexed="81"/>
            <rFont val="Tahoma"/>
            <family val="2"/>
          </rPr>
          <t>Guidance: $4.90 - $5.30
(Utility, Parent &amp; Other)
Source: 8K of 4Q17 dated 02/23/18</t>
        </r>
      </text>
    </comment>
    <comment ref="BL61" authorId="7">
      <text>
        <r>
          <rPr>
            <sz val="9"/>
            <color indexed="81"/>
            <rFont val="Tahoma"/>
            <family val="2"/>
          </rPr>
          <t>Guidance: $5.20 - $5.60
(Utility, Parent &amp; Other)
Source: 8K of 4Q17 dated 02/23/18</t>
        </r>
      </text>
    </comment>
    <comment ref="BB67" authorId="2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4Q17 slides: -0.7%</t>
        </r>
      </text>
    </comment>
    <comment ref="BG6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1.2% equates to 2-2.5% Retail , Industrial 4-5%</t>
        </r>
      </text>
    </comment>
    <comment ref="AR7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March 2016 presentation: $128m net rate increase effective 2/24/2016</t>
        </r>
      </text>
    </comment>
    <comment ref="BV74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0-0.25% residential/commercial
1.5% industrial</t>
        </r>
      </text>
    </comment>
    <comment ref="BB7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Held flat to match EEI guidance</t>
        </r>
      </text>
    </comment>
    <comment ref="AP12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match weather impact </t>
        </r>
      </text>
    </comment>
    <comment ref="T135" authorId="1">
      <text>
        <r>
          <rPr>
            <sz val="8"/>
            <color indexed="81"/>
            <rFont val="Tahoma"/>
            <family val="2"/>
          </rPr>
          <t>Transmission business spin-merge expenses
Source : 10Q of 1Q12, page 4</t>
        </r>
      </text>
    </comment>
    <comment ref="U135" authorId="1">
      <text>
        <r>
          <rPr>
            <sz val="8"/>
            <color indexed="81"/>
            <rFont val="Tahoma"/>
            <family val="2"/>
          </rPr>
          <t>Transmission business spin-merge expenses
Source : 10Q of 2Q12, page 4</t>
        </r>
      </text>
    </comment>
    <comment ref="V135" authorId="1">
      <text>
        <r>
          <rPr>
            <sz val="8"/>
            <color indexed="81"/>
            <rFont val="Tahoma"/>
            <family val="2"/>
          </rPr>
          <t>Transmission business spin-merge expenses
Source : 10Q of 3Q12, page 4</t>
        </r>
      </text>
    </comment>
    <comment ref="X135" authorId="1">
      <text>
        <r>
          <rPr>
            <sz val="8"/>
            <color indexed="81"/>
            <rFont val="Tahoma"/>
            <family val="2"/>
          </rPr>
          <t>Transmission business spin-merge expenses
Source : 10k of FY12, page 5</t>
        </r>
      </text>
    </comment>
    <comment ref="Y135" authorId="1">
      <text>
        <r>
          <rPr>
            <sz val="8"/>
            <color indexed="81"/>
            <rFont val="Tahoma"/>
            <family val="2"/>
          </rPr>
          <t xml:space="preserve">Fossil-fueled generation expenses primarily due to the acquisition of the Hot Spring plant by Entergy Arkansas and the Hinds plant by Entergy Mississippi 
Source : 10Q of 1Q13 page 4
</t>
        </r>
      </text>
    </comment>
    <comment ref="Z135" authorId="1">
      <text>
        <r>
          <rPr>
            <sz val="8"/>
            <color indexed="81"/>
            <rFont val="Tahoma"/>
            <family val="2"/>
          </rPr>
          <t xml:space="preserve">$22m : Fossil-fueled generation expenses primarily due to the acquisition of the Hot Spring plant by Entergy Arkansas and the Hinds plant by Entergy Mississippi 
$14m : Costs related to the generator stator incident at ANO, including an offset for expected insurance proceeds
Source : 10Q of 2Q13 page 4
</t>
        </r>
      </text>
    </comment>
    <comment ref="AA135" authorId="1">
      <text>
        <r>
          <rPr>
            <sz val="8"/>
            <color indexed="81"/>
            <rFont val="Tahoma"/>
            <family val="2"/>
          </rPr>
          <t xml:space="preserve">$8m : Fossil-fueled generation expenses primarily due to the acquisitions of the Hot Spring plant by Entergy Arkansas and the Hinds plant by Entergy Mississippi.
Source : 10Q of 3Q13 page 5
</t>
        </r>
      </text>
    </comment>
    <comment ref="AC135" authorId="3">
      <text>
        <r>
          <rPr>
            <sz val="8"/>
            <color indexed="81"/>
            <rFont val="Tahoma"/>
            <family val="2"/>
          </rPr>
          <t xml:space="preserve">$36m : Transmission business spin off
$72m :  Implementation costs, severance costs, and curtailment and special termination benefits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35" authorId="3">
      <text>
        <r>
          <rPr>
            <sz val="8"/>
            <color indexed="81"/>
            <rFont val="Tahoma"/>
            <family val="2"/>
          </rPr>
          <t>$3m : Baxter Wilson (Unit 1) repairs (but offset by insurance)
$3m : Write-offs of uncollectible customer accounts
Source : 10Q of 3Q14 page 4</t>
        </r>
      </text>
    </comment>
    <comment ref="AH135" authorId="3">
      <text>
        <r>
          <rPr>
            <sz val="8"/>
            <color indexed="81"/>
            <rFont val="Tahoma"/>
            <family val="2"/>
          </rPr>
          <t>$7m : Write-offs of uncollectible customer accounts
Baxter Wilson expense was offset by insurance
Source : 10K of FY14 page 6</t>
        </r>
      </text>
    </comment>
    <comment ref="AX16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match 2017-2019 total depreciation of $3.78b</t>
        </r>
      </text>
    </comment>
    <comment ref="BB164" authorId="5">
      <text>
        <r>
          <rPr>
            <sz val="9"/>
            <color indexed="81"/>
            <rFont val="Tahoma"/>
            <family val="2"/>
          </rPr>
          <t>Guidance: $860m 
Source: 2017 10-K dated 02/26/18</t>
        </r>
      </text>
    </comment>
    <comment ref="BG164" authorId="5">
      <text>
        <r>
          <rPr>
            <sz val="9"/>
            <color indexed="81"/>
            <rFont val="Tahoma"/>
            <family val="2"/>
          </rPr>
          <t>Guidance: $1,030m 
Source: 2017 10-K dated 02/26/18</t>
        </r>
      </text>
    </comment>
    <comment ref="BL164" authorId="5">
      <text>
        <r>
          <rPr>
            <sz val="9"/>
            <color indexed="81"/>
            <rFont val="Tahoma"/>
            <family val="2"/>
          </rPr>
          <t>Guidance: $945m 
Source: 2017 10-K dated 02/26/18</t>
        </r>
      </text>
    </comment>
    <comment ref="BB165" authorId="5">
      <text>
        <r>
          <rPr>
            <sz val="9"/>
            <color indexed="81"/>
            <rFont val="Tahoma"/>
            <family val="2"/>
          </rPr>
          <t>Guidance: $990m 
Source: 2017 10-K dated 02/26/18</t>
        </r>
      </text>
    </comment>
    <comment ref="BG165" authorId="5">
      <text>
        <r>
          <rPr>
            <sz val="9"/>
            <color indexed="81"/>
            <rFont val="Tahoma"/>
            <family val="2"/>
          </rPr>
          <t>Guidance: $865m 
Source: 2017 10-K dated 02/26/18</t>
        </r>
      </text>
    </comment>
    <comment ref="BL165" authorId="5">
      <text>
        <r>
          <rPr>
            <sz val="9"/>
            <color indexed="81"/>
            <rFont val="Tahoma"/>
            <family val="2"/>
          </rPr>
          <t>Guidance: $735m 
Source: 2017 10-K dated 02/26/18</t>
        </r>
      </text>
    </comment>
    <comment ref="BB166" authorId="5">
      <text>
        <r>
          <rPr>
            <sz val="9"/>
            <color indexed="81"/>
            <rFont val="Tahoma"/>
            <family val="2"/>
          </rPr>
          <t>Guidance: $1,590m 
Source: 2017 10-K dated 02/26/18</t>
        </r>
      </text>
    </comment>
    <comment ref="BG166" authorId="5">
      <text>
        <r>
          <rPr>
            <sz val="9"/>
            <color indexed="81"/>
            <rFont val="Tahoma"/>
            <family val="2"/>
          </rPr>
          <t>Guidance: $1,410m 
Source: 2017 10-K dated 02/26/18</t>
        </r>
      </text>
    </comment>
    <comment ref="BL166" authorId="5">
      <text>
        <r>
          <rPr>
            <sz val="9"/>
            <color indexed="81"/>
            <rFont val="Tahoma"/>
            <family val="2"/>
          </rPr>
          <t>Guidance: $1,245m 
Source: 2017 10-K dated 02/26/18</t>
        </r>
      </text>
    </comment>
    <comment ref="BB167" authorId="5">
      <text>
        <r>
          <rPr>
            <sz val="9"/>
            <color indexed="81"/>
            <rFont val="Tahoma"/>
            <family val="2"/>
          </rPr>
          <t>Guidance: $480m 
Source: 2017 10-K dated 02/26/18</t>
        </r>
      </text>
    </comment>
    <comment ref="BG167" authorId="5">
      <text>
        <r>
          <rPr>
            <sz val="9"/>
            <color indexed="81"/>
            <rFont val="Tahoma"/>
            <family val="2"/>
          </rPr>
          <t>Guidance: $335m 
Source: 2017 10-K dated 02/26/18</t>
        </r>
      </text>
    </comment>
    <comment ref="BL167" authorId="5">
      <text>
        <r>
          <rPr>
            <sz val="9"/>
            <color indexed="81"/>
            <rFont val="Tahoma"/>
            <family val="2"/>
          </rPr>
          <t>Guidance: $375m 
Source: 2017 10-K dated 02/26/18</t>
        </r>
      </text>
    </comment>
    <comment ref="S168" authorId="1">
      <text>
        <r>
          <rPr>
            <sz val="8"/>
            <color indexed="81"/>
            <rFont val="Tahoma"/>
            <family val="2"/>
          </rPr>
          <t>Source : 10K of FY10, page 16</t>
        </r>
      </text>
    </comment>
    <comment ref="X168" authorId="1">
      <text>
        <r>
          <rPr>
            <sz val="8"/>
            <color indexed="81"/>
            <rFont val="Tahoma"/>
            <family val="2"/>
          </rPr>
          <t>Source : 10K of FY11, page 19</t>
        </r>
      </text>
    </comment>
    <comment ref="AC168" authorId="1">
      <text>
        <r>
          <rPr>
            <sz val="8"/>
            <color indexed="81"/>
            <rFont val="Tahoma"/>
            <family val="2"/>
          </rPr>
          <t>Source : 10K of FY12, page 22</t>
        </r>
      </text>
    </comment>
    <comment ref="AH168" authorId="1">
      <text>
        <r>
          <rPr>
            <sz val="8"/>
            <color indexed="81"/>
            <rFont val="Tahoma"/>
            <family val="2"/>
          </rPr>
          <t>Source : 10K of FY13, page 21</t>
        </r>
      </text>
    </comment>
    <comment ref="BB168" authorId="5">
      <text>
        <r>
          <rPr>
            <sz val="9"/>
            <color indexed="81"/>
            <rFont val="Tahoma"/>
            <family val="2"/>
          </rPr>
          <t>Guidance: $3,920m 
Source: 2017 10-K dated 02/26/18</t>
        </r>
      </text>
    </comment>
    <comment ref="BG168" authorId="5">
      <text>
        <r>
          <rPr>
            <sz val="9"/>
            <color indexed="81"/>
            <rFont val="Tahoma"/>
            <family val="2"/>
          </rPr>
          <t>Guidance: $3,640m 
Source: 2017 10-K dated 02/26/18</t>
        </r>
      </text>
    </comment>
    <comment ref="BL168" authorId="5">
      <text>
        <r>
          <rPr>
            <sz val="9"/>
            <color indexed="81"/>
            <rFont val="Tahoma"/>
            <family val="2"/>
          </rPr>
          <t>Guidance: $3,300m 
Source: 2017 10-K dated 02/26/18</t>
        </r>
      </text>
    </comment>
    <comment ref="AR171" authorId="9">
      <text>
        <r>
          <rPr>
            <sz val="9"/>
            <color indexed="81"/>
            <rFont val="Tahoma"/>
            <family val="2"/>
          </rPr>
          <t>Source: 2016 analyst day</t>
        </r>
      </text>
    </comment>
    <comment ref="AK172" authorId="7">
      <text>
        <r>
          <rPr>
            <sz val="9"/>
            <color indexed="81"/>
            <rFont val="Tahoma"/>
            <family val="2"/>
          </rPr>
          <t>Not reported since Entergy Louisiana and  Entergy Gulf States Louisiana were combined into a single public utility in october 2015</t>
        </r>
      </text>
    </comment>
    <comment ref="AR172" authorId="9">
      <text>
        <r>
          <rPr>
            <sz val="9"/>
            <color indexed="81"/>
            <rFont val="Tahoma"/>
            <family val="2"/>
          </rPr>
          <t>Company reports consolidated capex for Louisiana</t>
        </r>
      </text>
    </comment>
    <comment ref="BB179" authorId="5">
      <text>
        <r>
          <rPr>
            <sz val="9"/>
            <color indexed="81"/>
            <rFont val="Tahoma"/>
            <family val="2"/>
          </rPr>
          <t>Guidance: $10,700m on Utilities over 3 years as per the Preliminary Three-Year Utility Capital Plan
Source: Edison Electric
Institute Financial
Conference dated 11/07/17, Pg.47</t>
        </r>
      </text>
    </comment>
    <comment ref="BG179" authorId="5">
      <text>
        <r>
          <rPr>
            <sz val="9"/>
            <color indexed="81"/>
            <rFont val="Tahoma"/>
            <family val="2"/>
          </rPr>
          <t>Guidance: $10,700m on Utilities over 3 years as per the Preliminary Three-Year Utility Capital Plan
Source: Edison Electric
Institute Financial
Conference dated 11/07/17, Pg.47</t>
        </r>
      </text>
    </comment>
    <comment ref="BL179" authorId="5">
      <text>
        <r>
          <rPr>
            <sz val="9"/>
            <color indexed="81"/>
            <rFont val="Tahoma"/>
            <family val="2"/>
          </rPr>
          <t>Guidance: $10,700m on Utilities over 3 years as per the Preliminary Three-Year Utility Capital Plan
Source: Edison Electric
Institute Financial
Conference dated 11/07/17, Pg.47</t>
        </r>
      </text>
    </comment>
    <comment ref="X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AC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AH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AM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AR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AW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B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G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L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Q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N209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NOLs and Bonus Depreciation</t>
        </r>
      </text>
    </comment>
    <comment ref="S209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NOLs and Bonus Depreciation</t>
        </r>
      </text>
    </comment>
    <comment ref="X209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NOLs and Bonus Depreciation</t>
        </r>
      </text>
    </comment>
    <comment ref="AQ27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tie to guidance</t>
        </r>
      </text>
    </comment>
    <comment ref="BA27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tie to guidance</t>
        </r>
      </text>
    </comment>
    <comment ref="BF27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match annual guidance</t>
        </r>
      </text>
    </comment>
    <comment ref="BK27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match annual guidance</t>
        </r>
      </text>
    </comment>
    <comment ref="S276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estimate based on company rate base disclosure</t>
        </r>
      </text>
    </comment>
    <comment ref="AM2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March 2016 presentation: $17.5b (mix of ending and average)</t>
        </r>
      </text>
    </comment>
    <comment ref="AR2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analyst day: $19.5b (mix of year-end and average)</t>
        </r>
      </text>
    </comment>
    <comment ref="BB2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2017 EEI: $22.5-23.5b (mix of year-end and average)</t>
        </r>
      </text>
    </comment>
    <comment ref="BG2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2017 EEI: $24-25b (mix of year-end and average)</t>
        </r>
      </text>
    </comment>
    <comment ref="BL2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2017 EEI: $25.5-26.5b (mix of year-end and average)
Tax reform: $1b incremental over three years</t>
        </r>
      </text>
    </comment>
    <comment ref="S282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estimate</t>
        </r>
      </text>
    </comment>
    <comment ref="AO28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$5.858b rate base through 3/31/2016</t>
        </r>
      </text>
    </comment>
    <comment ref="AS28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$6.624b rate base filed</t>
        </r>
      </text>
    </comment>
    <comment ref="S283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2011 Test Year, order issued 2Q12</t>
        </r>
      </text>
    </comment>
    <comment ref="S284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2011 Test Year (2Q12 order)</t>
        </r>
      </text>
    </comment>
    <comment ref="AL28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$7.455b ~2015 test year</t>
        </r>
      </text>
    </comment>
    <comment ref="AN28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Adds Union $475m</t>
        </r>
      </text>
    </comment>
    <comment ref="S285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2011 Test Year (2Q12 order)</t>
        </r>
      </text>
    </comment>
    <comment ref="AQ28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$1.979b 2016 test year</t>
        </r>
      </text>
    </comment>
    <comment ref="S286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2011 Test Year (2Q12 order)</t>
        </r>
      </text>
    </comment>
    <comment ref="AR28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No rate case since 2011</t>
        </r>
      </text>
    </comment>
    <comment ref="S287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6/30/11 Test Year (4Q11 order)</t>
        </r>
      </text>
    </comment>
    <comment ref="AC28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3/31/13 test year rate base $1.634b</t>
        </r>
      </text>
    </comment>
    <comment ref="AR28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No rate case since 2013</t>
        </r>
      </text>
    </comment>
    <comment ref="S288" authorId="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estimate</t>
        </r>
      </text>
    </comment>
    <comment ref="AO28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$1.357b as of 6/30/2016</t>
        </r>
      </text>
    </comment>
    <comment ref="S292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 Based on rate request filed Mar 2013
</t>
        </r>
      </text>
    </comment>
    <comment ref="AO29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28.6% through 3/31/2016</t>
        </r>
      </text>
    </comment>
    <comment ref="AR29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Compensates for deferred tax being included in above rate base</t>
        </r>
      </text>
    </comment>
    <comment ref="AS29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30.79% </t>
        </r>
      </text>
    </comment>
    <comment ref="S293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Based on rate case filed Feb 2013</t>
        </r>
      </text>
    </comment>
    <comment ref="S294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Based on rate case filed Feb 2013</t>
        </r>
      </text>
    </comment>
    <comment ref="AR29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Weighted average</t>
        </r>
      </text>
    </comment>
    <comment ref="S295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44.99% approved in 2003</t>
        </r>
      </text>
    </comment>
    <comment ref="AR29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48.22% </t>
        </r>
      </text>
    </comment>
    <comment ref="S296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48.66% approved in 2009</t>
        </r>
      </text>
    </comment>
    <comment ref="AR29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50.08%</t>
        </r>
      </text>
    </comment>
    <comment ref="S297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49.92% approved in Sep 2012</t>
        </r>
      </text>
    </comment>
    <comment ref="AR29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48.6%</t>
        </r>
      </text>
    </comment>
    <comment ref="S298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Based on 2011 Balance Sheet equity</t>
        </r>
      </text>
    </comment>
    <comment ref="AR29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65%</t>
        </r>
      </text>
    </comment>
    <comment ref="X304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ALJ recommended 9.4% ROE, we assume 9.6%</t>
        </r>
      </text>
    </comment>
    <comment ref="AH304" authorId="10">
      <text>
        <r>
          <rPr>
            <b/>
            <sz val="8"/>
            <color indexed="81"/>
            <rFont val="Tahoma"/>
            <family val="2"/>
          </rPr>
          <t xml:space="preserve">DA: 
</t>
        </r>
        <r>
          <rPr>
            <sz val="8"/>
            <color indexed="81"/>
            <rFont val="Tahoma"/>
            <family val="2"/>
          </rPr>
          <t>1Q15 earnings slides: 9.5%</t>
        </r>
      </text>
    </comment>
    <comment ref="AR30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March 2016 earnings slides: 9.25-10.25% range</t>
        </r>
      </text>
    </comment>
    <comment ref="S305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9.9-11.4% (electric)
10-11% (gas)
2Q12 rate order</t>
        </r>
      </text>
    </comment>
    <comment ref="AH30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1Q15 earnings slides: Weighted average of Electric and Gas</t>
        </r>
      </text>
    </comment>
    <comment ref="S306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9.45-11.05% (2Q12 order)</t>
        </r>
      </text>
    </comment>
    <comment ref="AH30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1Q15 earnings slides: 9.15%-10.75% range</t>
        </r>
      </text>
    </comment>
    <comment ref="S307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9.88-12.01% (2Q12 FRP Filing)</t>
        </r>
      </text>
    </comment>
    <comment ref="AH30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1Q15 earnings slides: 10.07%</t>
        </r>
      </text>
    </comment>
    <comment ref="AR30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9.89-11.97%</t>
        </r>
      </text>
    </comment>
    <comment ref="S308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10.7-11.5% (electric)
10.25-11.25% (gas)</t>
        </r>
      </text>
    </comment>
    <comment ref="AH30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1Q15 earnings slides, weighted average between Electric and Gas</t>
        </r>
      </text>
    </comment>
    <comment ref="S309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9.8%</t>
        </r>
      </text>
    </comment>
    <comment ref="S310" authorId="10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10.94% ROE (2001 FERC Order)</t>
        </r>
      </text>
    </comment>
  </commentList>
</comments>
</file>

<file path=xl/comments5.xml><?xml version="1.0" encoding="utf-8"?>
<comments xmlns="http://schemas.openxmlformats.org/spreadsheetml/2006/main">
  <authors>
    <author>Arcaro, David (Research)</author>
    <author>ancsan</author>
    <author>sunilt</author>
    <author>Kapoor, Vishal (Research)</author>
    <author>Ananth, Manoj (Research)</author>
    <author>MD</author>
    <author>Tammannavar, Sunil (Research)</author>
    <author>RL</author>
    <author>McDermott, Devin (Research)</author>
    <author>rajeevl</author>
    <author>Kobus, Jim (Research)</author>
  </authors>
  <commentList>
    <comment ref="AO1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Note: non-fuel O&amp;M special item reduced this by $22.7m </t>
        </r>
      </text>
    </comment>
    <comment ref="T23" authorId="1">
      <text>
        <r>
          <rPr>
            <sz val="8"/>
            <color indexed="81"/>
            <rFont val="Tahoma"/>
            <family val="2"/>
          </rPr>
          <t>Asset impairment - 355mn</t>
        </r>
      </text>
    </comment>
    <comment ref="X23" authorId="1">
      <text>
        <r>
          <rPr>
            <sz val="8"/>
            <color indexed="81"/>
            <rFont val="Tahoma"/>
            <family val="2"/>
          </rPr>
          <t>Asset impairment - 355mn</t>
        </r>
      </text>
    </comment>
    <comment ref="AA23" authorId="2">
      <text>
        <r>
          <rPr>
            <sz val="8"/>
            <color indexed="81"/>
            <rFont val="Tahoma"/>
            <family val="2"/>
          </rPr>
          <t>$291.505m :Asset impairment and related charges</t>
        </r>
      </text>
    </comment>
    <comment ref="AC23" authorId="2">
      <text>
        <r>
          <rPr>
            <sz val="8"/>
            <color indexed="81"/>
            <rFont val="Tahoma"/>
            <family val="2"/>
          </rPr>
          <t>$329.336m : Asset impairments and related charges
$43.569m : Gain on sale of business</t>
        </r>
      </text>
    </comment>
    <comment ref="AF23" authorId="2">
      <text>
        <r>
          <rPr>
            <sz val="8"/>
            <color indexed="81"/>
            <rFont val="Tahoma"/>
            <family val="2"/>
          </rPr>
          <t>$102.978m :Asset impairment and related charges</t>
        </r>
      </text>
    </comment>
    <comment ref="AH23" authorId="2">
      <text>
        <r>
          <rPr>
            <sz val="8"/>
            <color indexed="81"/>
            <rFont val="Tahoma"/>
            <family val="2"/>
          </rPr>
          <t xml:space="preserve">$107.527m : Asset impairments and related charges
</t>
        </r>
      </text>
    </comment>
    <comment ref="AK23" authorId="2">
      <text>
        <r>
          <rPr>
            <sz val="8"/>
            <color indexed="81"/>
            <rFont val="Tahoma"/>
            <family val="2"/>
          </rPr>
          <t xml:space="preserve">Asset Impairment : $1,642.204m
</t>
        </r>
      </text>
    </comment>
    <comment ref="AM23" authorId="2">
      <text>
        <r>
          <rPr>
            <sz val="8"/>
            <color indexed="81"/>
            <rFont val="Tahoma"/>
            <family val="2"/>
          </rPr>
          <t xml:space="preserve">$2036.234m :   Asset write-offs, impairments and related charges
$154.037m :Gain on sale of asset
</t>
        </r>
      </text>
    </comment>
    <comment ref="AN23" authorId="3">
      <text>
        <r>
          <rPr>
            <sz val="9"/>
            <color indexed="81"/>
            <rFont val="Tahoma"/>
            <family val="2"/>
          </rPr>
          <t xml:space="preserve">$7.361 m  :   Asset write-offs, impairments and related charges
$3.646 m  : Miscellaneous - net
</t>
        </r>
      </text>
    </comment>
    <comment ref="AO23" authorId="3">
      <text>
        <r>
          <rPr>
            <sz val="9"/>
            <color indexed="81"/>
            <rFont val="Tahoma"/>
            <family val="2"/>
          </rPr>
          <t>$6.969 m : Asset write-offs, impairments, and related charges
$2.225 m : Miscellaneous - net</t>
        </r>
      </text>
    </comment>
    <comment ref="AP23" authorId="3">
      <text>
        <r>
          <rPr>
            <sz val="9"/>
            <color indexed="81"/>
            <rFont val="Tahoma"/>
            <family val="2"/>
          </rPr>
          <t>$18.841 m : Asset write-offs, impairments, and related charges
$.741 m : Miscellaneous - net</t>
        </r>
      </text>
    </comment>
    <comment ref="AR23" authorId="2">
      <text>
        <r>
          <rPr>
            <sz val="8"/>
            <color indexed="81"/>
            <rFont val="Tahoma"/>
            <family val="2"/>
          </rPr>
          <t xml:space="preserve">$2,835.637m :   Asset write-offs, impairments and related charges
</t>
        </r>
      </text>
    </comment>
    <comment ref="AS23" authorId="3">
      <text>
        <r>
          <rPr>
            <sz val="9"/>
            <color indexed="81"/>
            <rFont val="Tahoma"/>
            <family val="2"/>
          </rPr>
          <t>$211.791m : Asset write-offs, impairments, and related charges
$10.484m : Miscellaneous - net
$16.27m: Gain on sale of assets</t>
        </r>
      </text>
    </comment>
    <comment ref="AT23" authorId="3">
      <text>
        <r>
          <rPr>
            <sz val="9"/>
            <color indexed="81"/>
            <rFont val="Tahoma"/>
            <family val="2"/>
          </rPr>
          <t>$193.571 m : Asset write-offs, impairments, and related charges
$1.302m : Miscellaneous - net</t>
        </r>
      </text>
    </comment>
    <comment ref="AU23" authorId="4">
      <text>
        <r>
          <rPr>
            <sz val="9"/>
            <color indexed="81"/>
            <rFont val="Tahoma"/>
            <family val="2"/>
          </rPr>
          <t>$41.146 m : Asset write-offs, impairments, and related charges
$1.736m : Miscellaneous - net</t>
        </r>
      </text>
    </comment>
    <comment ref="AW23" authorId="2">
      <text>
        <r>
          <rPr>
            <sz val="8"/>
            <color indexed="81"/>
            <rFont val="Tahoma"/>
            <family val="2"/>
          </rPr>
          <t xml:space="preserve">$2,835.637m :   Asset write-offs, impairments and related charges
$4.353m : Miscellaneous - net
$16.270m : Gain on sale of asset
</t>
        </r>
      </text>
    </comment>
    <comment ref="AZ3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$100m tax item expected 2018</t>
        </r>
      </text>
    </comment>
    <comment ref="E38" authorId="1">
      <text>
        <r>
          <rPr>
            <sz val="8"/>
            <color indexed="81"/>
            <rFont val="Tahoma"/>
            <family val="2"/>
          </rPr>
          <t xml:space="preserve">Source : 8K of 1Q10
</t>
        </r>
      </text>
    </comment>
    <comment ref="F38" authorId="1">
      <text>
        <r>
          <rPr>
            <sz val="8"/>
            <color indexed="81"/>
            <rFont val="Tahoma"/>
            <family val="2"/>
          </rPr>
          <t xml:space="preserve">Source : 8K of 2Q10
</t>
        </r>
      </text>
    </comment>
    <comment ref="G38" authorId="1">
      <text>
        <r>
          <rPr>
            <sz val="8"/>
            <color indexed="81"/>
            <rFont val="Tahoma"/>
            <family val="2"/>
          </rPr>
          <t xml:space="preserve">Source : 8K of 3Q10
</t>
        </r>
      </text>
    </comment>
    <comment ref="I38" authorId="1">
      <text>
        <r>
          <rPr>
            <sz val="8"/>
            <color indexed="81"/>
            <rFont val="Tahoma"/>
            <family val="2"/>
          </rPr>
          <t xml:space="preserve">Source : 8K of 4Q10
</t>
        </r>
      </text>
    </comment>
    <comment ref="J38" authorId="1">
      <text>
        <r>
          <rPr>
            <sz val="8"/>
            <color indexed="81"/>
            <rFont val="Tahoma"/>
            <family val="2"/>
          </rPr>
          <t xml:space="preserve">Non-utility nuclear spin-off expenses 
Source : 8K of 1Q11
</t>
        </r>
      </text>
    </comment>
    <comment ref="K38" authorId="1">
      <text>
        <r>
          <rPr>
            <sz val="8"/>
            <color indexed="81"/>
            <rFont val="Tahoma"/>
            <family val="2"/>
          </rPr>
          <t xml:space="preserve">Source : 8K of 2Q11
</t>
        </r>
      </text>
    </comment>
    <comment ref="L38" authorId="1">
      <text>
        <r>
          <rPr>
            <sz val="8"/>
            <color indexed="81"/>
            <rFont val="Tahoma"/>
            <family val="2"/>
          </rPr>
          <t xml:space="preserve">Non-utility nuclear spin-off expenses 
Source : 8K of 3Q11
</t>
        </r>
      </text>
    </comment>
    <comment ref="N38" authorId="1">
      <text>
        <r>
          <rPr>
            <sz val="8"/>
            <color indexed="81"/>
            <rFont val="Tahoma"/>
            <family val="2"/>
          </rPr>
          <t xml:space="preserve">Non-utility nuclear spin-off expenses
Source : 8K of 4Q11
</t>
        </r>
      </text>
    </comment>
    <comment ref="S38" authorId="5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No Special Items for EWC in 2011</t>
        </r>
      </text>
    </comment>
    <comment ref="T38" authorId="1">
      <text>
        <r>
          <rPr>
            <sz val="8"/>
            <color indexed="81"/>
            <rFont val="Tahoma"/>
            <family val="2"/>
          </rPr>
          <t>Vermont Yankee asset impairment
Source : 8K of 1Q12</t>
        </r>
      </text>
    </comment>
    <comment ref="U38" authorId="1">
      <text>
        <r>
          <rPr>
            <sz val="8"/>
            <color indexed="81"/>
            <rFont val="Tahoma"/>
            <family val="2"/>
          </rPr>
          <t xml:space="preserve">Source : 8K of 2Q12
</t>
        </r>
      </text>
    </comment>
    <comment ref="V38" authorId="1">
      <text>
        <r>
          <rPr>
            <sz val="8"/>
            <color indexed="81"/>
            <rFont val="Tahoma"/>
            <family val="2"/>
          </rPr>
          <t xml:space="preserve">Source : 8K of 3Q12
</t>
        </r>
      </text>
    </comment>
    <comment ref="X38" authorId="1">
      <text>
        <r>
          <rPr>
            <sz val="8"/>
            <color indexed="81"/>
            <rFont val="Tahoma"/>
            <family val="2"/>
          </rPr>
          <t>Vermont Yankee asset impairment
Source : 8K of 4Q12</t>
        </r>
      </text>
    </comment>
    <comment ref="Z38" authorId="1">
      <text>
        <r>
          <rPr>
            <sz val="8"/>
            <color indexed="81"/>
            <rFont val="Tahoma"/>
            <family val="2"/>
          </rPr>
          <t>HCM implementation expenses
Source : 8K of 2Q13</t>
        </r>
      </text>
    </comment>
    <comment ref="AA38" authorId="1">
      <text>
        <r>
          <rPr>
            <sz val="8"/>
            <color indexed="81"/>
            <rFont val="Tahoma"/>
            <family val="2"/>
          </rPr>
          <t>$173.1m : VY asset impairments / related charges
$2.1m : HCM implementation expenses
Source : 8K of 3Q13</t>
        </r>
      </text>
    </comment>
    <comment ref="AC38" authorId="2">
      <text>
        <r>
          <rPr>
            <sz val="8"/>
            <color indexed="81"/>
            <rFont val="Tahoma"/>
            <family val="2"/>
          </rPr>
          <t xml:space="preserve">$204.8m : VY asset impairments / related charges
$15m : HCM implementation expenses
Source : 8-K of 4Q13
</t>
        </r>
      </text>
    </comment>
    <comment ref="AD38" authorId="1">
      <text>
        <r>
          <rPr>
            <sz val="8"/>
            <color indexed="81"/>
            <rFont val="Tahoma"/>
            <family val="2"/>
          </rPr>
          <t>Source : 8K of 1Q14</t>
        </r>
      </text>
    </comment>
    <comment ref="AE38" authorId="1">
      <text>
        <r>
          <rPr>
            <sz val="8"/>
            <color indexed="81"/>
            <rFont val="Tahoma"/>
            <family val="2"/>
          </rPr>
          <t>Source : 8K of 2Q14</t>
        </r>
      </text>
    </comment>
    <comment ref="AF38" authorId="1">
      <text>
        <r>
          <rPr>
            <sz val="8"/>
            <color indexed="81"/>
            <rFont val="Tahoma"/>
            <family val="2"/>
          </rPr>
          <t>$73.7m : Decision to close VY 
$0.3m : HCM implementation expenses
Source : 8K of 3Q14</t>
        </r>
      </text>
    </comment>
    <comment ref="AH38" authorId="2">
      <text>
        <r>
          <rPr>
            <sz val="8"/>
            <color indexed="81"/>
            <rFont val="Tahoma"/>
            <family val="2"/>
          </rPr>
          <t xml:space="preserve">$99.7m : Decision to close VY 
$2.1m : HCM implementation expenses
Source : 8-K of 4Q14
</t>
        </r>
      </text>
    </comment>
    <comment ref="AI38" authorId="1">
      <text>
        <r>
          <rPr>
            <sz val="8"/>
            <color indexed="81"/>
            <rFont val="Tahoma"/>
            <family val="2"/>
          </rPr>
          <t>Source : 8K of 1Q15</t>
        </r>
      </text>
    </comment>
    <comment ref="AJ38" authorId="1">
      <text>
        <r>
          <rPr>
            <sz val="8"/>
            <color indexed="81"/>
            <rFont val="Tahoma"/>
            <family val="2"/>
          </rPr>
          <t>Source : 8K of 2Q15</t>
        </r>
      </text>
    </comment>
    <comment ref="AK38" authorId="1">
      <text>
        <r>
          <rPr>
            <sz val="8"/>
            <color indexed="81"/>
            <rFont val="Tahoma"/>
            <family val="2"/>
          </rPr>
          <t xml:space="preserve">Source : 8K of 3Q15
</t>
        </r>
      </text>
    </comment>
    <comment ref="AM38" authorId="2">
      <text>
        <r>
          <rPr>
            <sz val="8"/>
            <color indexed="81"/>
            <rFont val="Tahoma"/>
            <family val="2"/>
          </rPr>
          <t xml:space="preserve">$17m : Non-fuel O&amp;M
$0.3m: Taxes other than income taxes
$2036.2m: Asset write-off and impairments
$154m: Gain on sale of asset
$36.8m; Miscellaneous net (other income)
$683.8m: Income taxes - other
Source : 8-K of 4Q15 dated 02/18/16
</t>
        </r>
      </text>
    </comment>
    <comment ref="AN38" authorId="1">
      <text>
        <r>
          <rPr>
            <sz val="8"/>
            <color indexed="81"/>
            <rFont val="Tahoma"/>
            <family val="2"/>
          </rPr>
          <t>Source : 8K of 1Q16 dated 04/26/16.</t>
        </r>
      </text>
    </comment>
    <comment ref="AO38" authorId="3">
      <text>
        <r>
          <rPr>
            <sz val="9"/>
            <color indexed="81"/>
            <rFont val="Tahoma"/>
            <family val="2"/>
          </rPr>
          <t>Source : 8K of 2Q16
 dated 08/02/16.</t>
        </r>
      </text>
    </comment>
    <comment ref="AP38" authorId="3">
      <text>
        <r>
          <rPr>
            <sz val="9"/>
            <color indexed="81"/>
            <rFont val="Tahoma"/>
            <family val="2"/>
          </rPr>
          <t>Source : 8K of 3Q16
 dated 10/25/16.</t>
        </r>
      </text>
    </comment>
    <comment ref="AR38" authorId="2">
      <text>
        <r>
          <rPr>
            <sz val="8"/>
            <color indexed="81"/>
            <rFont val="Tahoma"/>
            <family val="2"/>
          </rPr>
          <t xml:space="preserve">$40.7m : Net revenue
$75.6m : Non-fuel O&amp;M
$5.5m: Taxes other than income taxes
$2,835.6m: Asset write-off and impairments
$1,020.7m: Income taxes - other
Source : 8-K of 4Q16 dated 02/15/17
</t>
        </r>
      </text>
    </comment>
    <comment ref="AS38" authorId="3">
      <text>
        <r>
          <rPr>
            <sz val="9"/>
            <color indexed="81"/>
            <rFont val="Tahoma"/>
            <family val="2"/>
          </rPr>
          <t>Source : 8K of 1Q17
 dated 04/26/17.</t>
        </r>
      </text>
    </comment>
    <comment ref="AT38" authorId="3">
      <text>
        <r>
          <rPr>
            <sz val="9"/>
            <color indexed="81"/>
            <rFont val="Tahoma"/>
            <family val="2"/>
          </rPr>
          <t>Source : 8K of 2Q17
 dated 08/02/17.</t>
        </r>
      </text>
    </comment>
    <comment ref="AU38" authorId="4">
      <text>
        <r>
          <rPr>
            <sz val="9"/>
            <color indexed="81"/>
            <rFont val="Tahoma"/>
            <family val="2"/>
          </rPr>
          <t>Source : 8K of 3Q17
 dated 10/24/17.</t>
        </r>
      </text>
    </comment>
    <comment ref="AW38" authorId="2">
      <text>
        <r>
          <rPr>
            <sz val="8"/>
            <color indexed="81"/>
            <rFont val="Tahoma"/>
            <family val="2"/>
          </rPr>
          <t xml:space="preserve">$91m : Net revenue
$201.3m : Non-fuel O&amp;M
$9.6m: Taxes other than income taxes
$538.4m: Asset write-off and impairments
$132.7m: Income taxes - other
$16.3m: gain on sale of asset 
$14.6m: miscellaneous 
Source : 8-K of 4Q17 dated 02/23/18
</t>
        </r>
      </text>
    </comment>
    <comment ref="BB45" authorId="6">
      <text>
        <r>
          <rPr>
            <sz val="9"/>
            <color indexed="81"/>
            <rFont val="Tahoma"/>
            <family val="2"/>
          </rPr>
          <t>Guidance: $1.85
Source: 8K of 4Q17 dated 02/23/18</t>
        </r>
      </text>
    </comment>
    <comment ref="AI5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match reported $7m and $254m adjusted EBITDA</t>
        </r>
      </text>
    </comment>
    <comment ref="AJ5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match reported $2m and $62m total adjusted EBITDA</t>
        </r>
      </text>
    </comment>
    <comment ref="AK5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match reported $1,644m</t>
        </r>
      </text>
    </comment>
    <comment ref="AO9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company sold capacity in strip auctions</t>
        </r>
      </text>
    </comment>
    <comment ref="AM14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 EEI presentation: 34.9 TWh</t>
        </r>
      </text>
    </comment>
    <comment ref="BB14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slides: 27,900</t>
        </r>
      </text>
    </comment>
    <comment ref="BG14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slides: 25,500</t>
        </r>
      </text>
    </comment>
    <comment ref="BL14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slides: 17,900</t>
        </r>
      </text>
    </comment>
    <comment ref="BQ14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slides: 9,700</t>
        </r>
      </text>
    </comment>
    <comment ref="AO17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1Q16 earnings slides: 25.3 TWh generation planned in 2Q-4Q </t>
        </r>
      </text>
    </comment>
    <comment ref="AP17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slides: 18TWh in 2H16, shaped to reach aggregate EBITDA guidance</t>
        </r>
      </text>
    </comment>
    <comment ref="AH173" authorId="7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company noted 74%, which we back into based on quarterly assumptions.</t>
        </r>
      </text>
    </comment>
    <comment ref="AI1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back into 1Q actual based on 1Q15 update</t>
        </r>
      </text>
    </comment>
    <comment ref="AJ1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"Expected based on current market prices" from 1Q15 earnings</t>
        </r>
      </text>
    </comment>
    <comment ref="AR1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Revenue on contracted volumes: "Expected based on current market prices" from 3Q15 earnings</t>
        </r>
      </text>
    </comment>
    <comment ref="AW1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1Q17 earnings slides</t>
        </r>
      </text>
    </comment>
    <comment ref="BB1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</t>
        </r>
      </text>
    </comment>
    <comment ref="BG17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</t>
        </r>
      </text>
    </comment>
    <comment ref="I200" authorId="5">
      <text>
        <r>
          <rPr>
            <b/>
            <sz val="8"/>
            <color indexed="81"/>
            <rFont val="Tahoma"/>
            <family val="2"/>
          </rPr>
          <t>MD:</t>
        </r>
        <r>
          <rPr>
            <sz val="8"/>
            <color indexed="81"/>
            <rFont val="Tahoma"/>
            <family val="2"/>
          </rPr>
          <t xml:space="preserve">
acutal for 2012 per 4Q earnings release</t>
        </r>
      </text>
    </comment>
    <comment ref="AH200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nuclear waste storage fee</t>
        </r>
      </text>
    </comment>
    <comment ref="AM20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4Q14 earnings release: $6.4</t>
        </r>
      </text>
    </comment>
    <comment ref="AR200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 to tie to guidance</t>
        </r>
      </text>
    </comment>
    <comment ref="AW20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$1/MWh post fuel impairment</t>
        </r>
      </text>
    </comment>
    <comment ref="AI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VY shutdown</t>
        </r>
      </text>
    </comment>
    <comment ref="BD20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5/31/2019 closure date</t>
        </r>
      </text>
    </comment>
    <comment ref="BE202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closure date - Pilgrim</t>
        </r>
      </text>
    </comment>
    <comment ref="AR20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presentation: $14m total fuel and RFO expense through end of life</t>
        </r>
      </text>
    </comment>
    <comment ref="AS215" authorId="8">
      <text>
        <r>
          <rPr>
            <b/>
            <sz val="9"/>
            <color indexed="81"/>
            <rFont val="Tahoma"/>
            <family val="2"/>
          </rPr>
          <t xml:space="preserve">McDermott, Devin (Research):
</t>
        </r>
        <r>
          <rPr>
            <sz val="9"/>
            <color indexed="81"/>
            <rFont val="Tahoma"/>
            <family val="2"/>
          </rPr>
          <t>Assumed 2Q17 deal close</t>
        </r>
      </text>
    </comment>
    <comment ref="AR22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presentation: $4m fuel and RFO cost </t>
        </r>
      </text>
    </comment>
    <comment ref="BI22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4/30/20 shutdown date</t>
        </r>
      </text>
    </comment>
    <comment ref="BJ22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2Q20 shutdown for unit 2</t>
        </r>
      </text>
    </comment>
    <comment ref="BO22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2Q21 shutdown for unit 3</t>
        </r>
      </text>
    </comment>
    <comment ref="AC239" authorId="7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assumed PPA price</t>
        </r>
      </text>
    </comment>
    <comment ref="AR239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guidance - 2015 EEI slides</t>
        </r>
      </text>
    </comment>
    <comment ref="AW239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guidance - 2015 EEI slides</t>
        </r>
      </text>
    </comment>
    <comment ref="BB239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guidance - 2015 EEI slides</t>
        </r>
      </text>
    </comment>
    <comment ref="AN268" authorId="8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Asset sale</t>
        </r>
      </text>
    </comment>
    <comment ref="I310" authorId="9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max level for quarter</t>
        </r>
      </text>
    </comment>
    <comment ref="I342" authorId="9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assumed contract price</t>
        </r>
      </text>
    </comment>
    <comment ref="D358" authorId="10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Forced outage rate for capacity sales - assumed</t>
        </r>
      </text>
    </comment>
    <comment ref="E389" authorId="1">
      <text>
        <r>
          <rPr>
            <sz val="8"/>
            <color indexed="81"/>
            <rFont val="Tahoma"/>
            <family val="2"/>
          </rPr>
          <t>$8 million in outside service costs and incremental labor costs related to the planned spin-off of the Non-Utility Nuclear business.
Source : 10Q of 1Q09, page 5</t>
        </r>
      </text>
    </comment>
    <comment ref="F389" authorId="1">
      <text>
        <r>
          <rPr>
            <sz val="8"/>
            <color indexed="81"/>
            <rFont val="Tahoma"/>
            <family val="2"/>
          </rPr>
          <t>$16 million in outside service costs and incremental labor costs related to the planned spin-off of the Non-Utility Nuclear business
Source : 10Q of 2Q09, page 8</t>
        </r>
      </text>
    </comment>
    <comment ref="G389" authorId="1">
      <text>
        <r>
          <rPr>
            <sz val="8"/>
            <color indexed="81"/>
            <rFont val="Tahoma"/>
            <family val="2"/>
          </rPr>
          <t>$11 million in outside service costs and incremental labor costs related to the planned spin-off of the Non-Utility Nuclear business
Source : 10Q of 3Q09, page 8</t>
        </r>
      </text>
    </comment>
    <comment ref="I389" authorId="1">
      <text>
        <r>
          <rPr>
            <sz val="8"/>
            <color indexed="81"/>
            <rFont val="Tahoma"/>
            <family val="2"/>
          </rPr>
          <t>$46 million in outside service costs and incremental labor costs related to the planned spin-off of the Non-Utility Nuclear business. 
Source : 10K of 2010, page 14</t>
        </r>
      </text>
    </comment>
    <comment ref="J389" authorId="1">
      <text>
        <r>
          <rPr>
            <sz val="8"/>
            <color indexed="81"/>
            <rFont val="Tahoma"/>
            <family val="2"/>
          </rPr>
          <t>the write-off of $32 million of capital costs in first quarter 2010, primarily for software that will not be utilized, in connection with Entergy's decision to unwind the infrastructure created for the planned spin-off of its non-utility nuclear business
Source : 10Q of 1Q11, page 4</t>
        </r>
      </text>
    </comment>
    <comment ref="L389" authorId="1">
      <text>
        <r>
          <rPr>
            <sz val="8"/>
            <color indexed="81"/>
            <rFont val="Tahoma"/>
            <family val="2"/>
          </rPr>
          <t>Write-off of $25 million of capital costs in 2010, primarily for software that would not be utilized, and $11 million of additional costs incurred in 2010 in connection with Entergy's decision to unwind the infrastructure created for the planned spin-off of its non-utility nuclear business; 
Source : 10Q of 3Q11, page 4</t>
        </r>
      </text>
    </comment>
    <comment ref="N389" authorId="1">
      <text>
        <r>
          <rPr>
            <sz val="8"/>
            <color indexed="81"/>
            <rFont val="Tahoma"/>
            <family val="2"/>
          </rPr>
          <t>Write-off of $64 million of capital costs in 2010, primarily for software that would not be utilized, and $16 million of additional costs incurred in 2010 in connection with Entergy’s decision to unwind the infrastructure created for the planned spin-off of its non-utility nuclear business; 
Source : 10K of 2011, page 6</t>
        </r>
      </text>
    </comment>
    <comment ref="AN38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1Q16 earnings release: $11.5m special items in non-fuel O&amp;M </t>
        </r>
      </text>
    </comment>
    <comment ref="AO38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release: -$22.7m non-fuel O&amp;M special item</t>
        </r>
      </text>
    </comment>
    <comment ref="AP38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3Q16 earnings release: -$29.3m non-fuel O&amp;M special item</t>
        </r>
      </text>
    </comment>
    <comment ref="AR389" authorId="6">
      <text>
        <r>
          <rPr>
            <sz val="9"/>
            <color indexed="81"/>
            <rFont val="Tahoma"/>
            <family val="2"/>
          </rPr>
          <t>$75.6m non-fuel O&amp;M special item
Source : 8-K of 4Q16</t>
        </r>
      </text>
    </comment>
    <comment ref="AS389" authorId="6">
      <text>
        <r>
          <rPr>
            <sz val="9"/>
            <color indexed="81"/>
            <rFont val="Tahoma"/>
            <family val="2"/>
          </rPr>
          <t xml:space="preserve">Non-fuel O&amp;M special item
Source : 8-K of 1Q17 dated 04/26/2017 </t>
        </r>
      </text>
    </comment>
    <comment ref="AT389" authorId="0">
      <text>
        <r>
          <rPr>
            <sz val="9"/>
            <color indexed="81"/>
            <rFont val="Tahoma"/>
            <family val="2"/>
          </rPr>
          <t>2Q17 earnings release: -$37.1m non-fuel O&amp;M special item</t>
        </r>
      </text>
    </comment>
    <comment ref="AU389" authorId="0">
      <text>
        <r>
          <rPr>
            <sz val="9"/>
            <color indexed="81"/>
            <rFont val="Tahoma"/>
            <family val="2"/>
          </rPr>
          <t>3Q17 earnings release (8k) dated 10/24/17 : -$21.6 m non-fuel O&amp;M special item</t>
        </r>
      </text>
    </comment>
    <comment ref="AW389" authorId="6">
      <text>
        <r>
          <rPr>
            <sz val="9"/>
            <color indexed="81"/>
            <rFont val="Tahoma"/>
            <family val="2"/>
          </rPr>
          <t>$75.6m non-fuel O&amp;M special item
Source : 8-K of 4Q16</t>
        </r>
      </text>
    </comment>
    <comment ref="BB39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745m</t>
        </r>
      </text>
    </comment>
    <comment ref="BG39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670m</t>
        </r>
      </text>
    </comment>
    <comment ref="BL39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510m</t>
        </r>
      </text>
    </comment>
    <comment ref="BQ39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350m</t>
        </r>
      </text>
    </comment>
    <comment ref="AR39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$3,827m less Fitzpatrick</t>
        </r>
      </text>
    </comment>
    <comment ref="AW40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8-9% accretion of decommissioning liabilities</t>
        </r>
      </text>
    </comment>
    <comment ref="AW403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$85m</t>
        </r>
      </text>
    </comment>
    <comment ref="AR40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$4,467m less Fitzpatrick</t>
        </r>
      </text>
    </comment>
    <comment ref="AW404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</t>
        </r>
      </text>
    </comment>
    <comment ref="AO40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2Q16 earnings release: $0.9m special item</t>
        </r>
      </text>
    </comment>
    <comment ref="AP40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3Q16 earnings release: $1.8m special item</t>
        </r>
      </text>
    </comment>
    <comment ref="AR409" authorId="6">
      <text>
        <r>
          <rPr>
            <sz val="9"/>
            <color indexed="81"/>
            <rFont val="Tahoma"/>
            <family val="2"/>
          </rPr>
          <t>$5.5m non-fuel O&amp;M special item
Source : 8-K of 4Q16</t>
        </r>
      </text>
    </comment>
    <comment ref="AS409" authorId="6">
      <text>
        <r>
          <rPr>
            <sz val="9"/>
            <color indexed="81"/>
            <rFont val="Tahoma"/>
            <family val="2"/>
          </rPr>
          <t xml:space="preserve">Taxes other than income taxes
special item
Source : 8-K of 1Q17 dated 04/26/2017 </t>
        </r>
      </text>
    </comment>
    <comment ref="AT409" authorId="0">
      <text>
        <r>
          <rPr>
            <sz val="9"/>
            <color indexed="81"/>
            <rFont val="Tahoma"/>
            <family val="2"/>
          </rPr>
          <t>2Q17 earnings release: $2.5m special item</t>
        </r>
      </text>
    </comment>
    <comment ref="AU409" authorId="0">
      <text>
        <r>
          <rPr>
            <sz val="9"/>
            <color indexed="81"/>
            <rFont val="Tahoma"/>
            <family val="2"/>
          </rPr>
          <t>3Q17 earnings release (8k) dated 10/24/17 : -$1.5 m special item</t>
        </r>
      </text>
    </comment>
    <comment ref="AW409" authorId="6">
      <text>
        <r>
          <rPr>
            <sz val="9"/>
            <color indexed="81"/>
            <rFont val="Tahoma"/>
            <family val="2"/>
          </rPr>
          <t>$9.6m non-fuel O&amp;M special item
Source : 8-K of 4Q17</t>
        </r>
      </text>
    </comment>
    <comment ref="BB41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$125m</t>
        </r>
      </text>
    </comment>
    <comment ref="BG41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$100m</t>
        </r>
      </text>
    </comment>
    <comment ref="BL41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$75m</t>
        </r>
      </text>
    </comment>
    <comment ref="BQ41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slides: $40m</t>
        </r>
      </text>
    </comment>
    <comment ref="AG417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Quarterly press release</t>
        </r>
      </text>
    </comment>
    <comment ref="BB42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slides: $160m</t>
        </r>
      </text>
    </comment>
    <comment ref="BG42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slides: $160m</t>
        </r>
      </text>
    </comment>
    <comment ref="BL42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slides: $120m</t>
        </r>
      </text>
    </comment>
    <comment ref="BQ42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slides: $80m</t>
        </r>
      </text>
    </comment>
    <comment ref="BG429" authorId="3">
      <text>
        <r>
          <rPr>
            <sz val="9"/>
            <color indexed="81"/>
            <rFont val="Tahoma"/>
            <family val="2"/>
          </rPr>
          <t>EEI slides: $75m</t>
        </r>
      </text>
    </comment>
    <comment ref="BL429" authorId="3">
      <text>
        <r>
          <rPr>
            <sz val="9"/>
            <color indexed="81"/>
            <rFont val="Tahoma"/>
            <family val="2"/>
          </rPr>
          <t>EEI slides: $40m</t>
        </r>
      </text>
    </comment>
    <comment ref="BQ429" authorId="3">
      <text>
        <r>
          <rPr>
            <sz val="9"/>
            <color indexed="81"/>
            <rFont val="Tahoma"/>
            <family val="2"/>
          </rPr>
          <t>EEI slides: $15m</t>
        </r>
      </text>
    </comment>
    <comment ref="AM43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2014 10-K: $425</t>
        </r>
      </text>
    </comment>
    <comment ref="AR431" authorId="3">
      <text>
        <r>
          <rPr>
            <sz val="9"/>
            <color indexed="81"/>
            <rFont val="Tahoma"/>
            <family val="2"/>
          </rPr>
          <t xml:space="preserve">Guidance: 265m
Source: 10Q of 2Q2016, Pg.13.
</t>
        </r>
      </text>
    </comment>
    <comment ref="AW431" authorId="3">
      <text>
        <r>
          <rPr>
            <sz val="9"/>
            <color indexed="81"/>
            <rFont val="Tahoma"/>
            <family val="2"/>
          </rPr>
          <t>Guidance: $230m
Source: 10K of 2016, Pg.26</t>
        </r>
      </text>
    </comment>
    <comment ref="BB431" authorId="4">
      <text>
        <r>
          <rPr>
            <sz val="9"/>
            <color indexed="81"/>
            <rFont val="Tahoma"/>
            <family val="2"/>
          </rPr>
          <t>Guidance: $245m
Source : 2017 10-K dated 02/26/18</t>
        </r>
      </text>
    </comment>
    <comment ref="BG431" authorId="4">
      <text>
        <r>
          <rPr>
            <sz val="9"/>
            <color indexed="81"/>
            <rFont val="Tahoma"/>
            <family val="2"/>
          </rPr>
          <t>Guidance: $75m
Source : 2017 10-K dated 02/26/18</t>
        </r>
      </text>
    </comment>
    <comment ref="BL431" authorId="4">
      <text>
        <r>
          <rPr>
            <sz val="9"/>
            <color indexed="81"/>
            <rFont val="Tahoma"/>
            <family val="2"/>
          </rPr>
          <t>Guidance: $35m
Source : 2017 10-K dated 02/26/18</t>
        </r>
      </text>
    </comment>
    <comment ref="BS431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 EEI presentation: $0.6b, $0.1b for Pilgrim/Fitzpartick, rest for IPEC and Palisades</t>
        </r>
      </text>
    </comment>
    <comment ref="BB43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Company guidance for effective EWC tax rate above statutory rate</t>
        </r>
      </text>
    </comment>
    <comment ref="BG43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Company guidance for effective EWC tax rate above statutory rate</t>
        </r>
      </text>
    </comment>
    <comment ref="BL43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Company guidance for effective EWC tax rate above statutory rate</t>
        </r>
      </text>
    </comment>
    <comment ref="BQ435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Company guidance for effective EWC tax rate above statutory rate</t>
        </r>
      </text>
    </comment>
    <comment ref="BB457" authorId="7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assumed pension contribution</t>
        </r>
      </text>
    </comment>
  </commentList>
</comments>
</file>

<file path=xl/comments6.xml><?xml version="1.0" encoding="utf-8"?>
<comments xmlns="http://schemas.openxmlformats.org/spreadsheetml/2006/main">
  <authors>
    <author>McDermott, Devin (Research)</author>
    <author>RL</author>
    <author>mcderdev</author>
    <author>ramrama</author>
  </authors>
  <commentList>
    <comment ref="BY35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BZ36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is ventyx 2015 target</t>
        </r>
      </text>
    </comment>
    <comment ref="BZ37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using market as prices would still need to move up to incent new generation from here.</t>
        </r>
      </text>
    </comment>
    <comment ref="BV58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V61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V64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Y86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AG25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5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C259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5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C260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6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S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U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W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A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S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Winter 2012-13 Strip Auction Clearing Price</t>
        </r>
      </text>
    </comment>
    <comment ref="U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Summer 2013 Strip Auction Clearing Price</t>
        </r>
      </text>
    </comment>
    <comment ref="W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A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8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6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U26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2013/2014 auction clearing price</t>
        </r>
      </text>
    </comment>
    <comment ref="AG27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7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S27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U27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W27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7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Summer 2014 Strip Auction results</t>
        </r>
      </text>
    </comment>
    <comment ref="AA272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Average of Nov-Feb spot auction actuals and Mar-Apr forwards as of 2/9/15</t>
        </r>
      </text>
    </comment>
    <comment ref="AC272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OTC forward capacity quote provided by TFS on 2/9/15</t>
        </r>
      </text>
    </comment>
    <comment ref="AE272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OTC forward capacity quote provided by TFS on 2/9/15</t>
        </r>
      </text>
    </comment>
    <comment ref="AG272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OTC forward capacity quote provided by TFS on 2/9/15</t>
        </r>
      </text>
    </comment>
    <comment ref="AI272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OTC forward capacity quote provided by TFS on 2/9/15</t>
        </r>
      </text>
    </comment>
    <comment ref="AG27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273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O273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2018/19 Auction</t>
        </r>
      </text>
    </comment>
  </commentList>
</comments>
</file>

<file path=xl/sharedStrings.xml><?xml version="1.0" encoding="utf-8"?>
<sst xmlns="http://schemas.openxmlformats.org/spreadsheetml/2006/main" count="2534" uniqueCount="1414">
  <si>
    <t>EPS AND CAPEX BY BUSINESS SEGMENT</t>
  </si>
  <si>
    <t>Long-Term Debt</t>
  </si>
  <si>
    <t>DIVIDEND AND EQUITY ASSUMPTIONS</t>
  </si>
  <si>
    <t>DEBT AND TAX ASSUMPTIONS</t>
  </si>
  <si>
    <t>Holdings &amp; Parent</t>
  </si>
  <si>
    <t>CASH FLOW STATEMENT</t>
  </si>
  <si>
    <t>INCOME STATEMENT</t>
  </si>
  <si>
    <t>BALANCE SHEET</t>
  </si>
  <si>
    <t>Segment EPS</t>
  </si>
  <si>
    <t>Total EPS</t>
  </si>
  <si>
    <t>Segment CapEx</t>
  </si>
  <si>
    <t>Total CapEx</t>
  </si>
  <si>
    <t>YoY EPS Growth</t>
  </si>
  <si>
    <t>CAPITALIZATION</t>
  </si>
  <si>
    <t>Cash &amp; Equivalents</t>
  </si>
  <si>
    <t>Short-Term Debt</t>
  </si>
  <si>
    <t>Preferred Stock</t>
  </si>
  <si>
    <t xml:space="preserve">      % of Total</t>
  </si>
  <si>
    <t>CREDIT STATS</t>
  </si>
  <si>
    <t>ETR.N,mscalc:sedolCodeCalc</t>
  </si>
  <si>
    <t>Equity Issuance</t>
  </si>
  <si>
    <t>Morgan Stanley Price Deck</t>
  </si>
  <si>
    <t>Fuel Prices</t>
  </si>
  <si>
    <t>AEP Dayton</t>
  </si>
  <si>
    <t>$ / mmbtu (Basis Differential to Henry Hub)</t>
  </si>
  <si>
    <t>NY Zone A / Tetco M3</t>
  </si>
  <si>
    <t>PJM West / Tetco M3</t>
  </si>
  <si>
    <t>1Q16</t>
  </si>
  <si>
    <t>2Q16</t>
  </si>
  <si>
    <t>3Q16</t>
  </si>
  <si>
    <t>4Q16</t>
  </si>
  <si>
    <t>CAPP Coal (Delivery Cost $/t)</t>
  </si>
  <si>
    <t>PRB Coal (Delivery Cost $/t)</t>
  </si>
  <si>
    <t>Regulatory Assets</t>
  </si>
  <si>
    <t>EBIT</t>
  </si>
  <si>
    <t>CWIP</t>
  </si>
  <si>
    <t>ISO-NE</t>
  </si>
  <si>
    <t>PJM RTO</t>
  </si>
  <si>
    <t>PJM MAAC</t>
  </si>
  <si>
    <t>PJM SW MAAC</t>
  </si>
  <si>
    <t>PJM EMAAC</t>
  </si>
  <si>
    <t>PJM DPL-South</t>
  </si>
  <si>
    <t xml:space="preserve">PJM </t>
  </si>
  <si>
    <t>Total Debt Issuances/Maturities and Interest Change</t>
  </si>
  <si>
    <t>CO2</t>
  </si>
  <si>
    <t>NOX SEASONAL</t>
  </si>
  <si>
    <t>Natural Gas Basis/Coal Delivery Cost Assumptions</t>
  </si>
  <si>
    <t>PSEG North</t>
  </si>
  <si>
    <t>RGGI CO2</t>
  </si>
  <si>
    <t>CSAPR 1 SOX</t>
  </si>
  <si>
    <t>CSAPR 2 SOX</t>
  </si>
  <si>
    <t>CSAPR 1 NOX</t>
  </si>
  <si>
    <t>CSAPR 2 NOX</t>
  </si>
  <si>
    <t>NY ROS</t>
  </si>
  <si>
    <t>NYC</t>
  </si>
  <si>
    <t>Tax Rate</t>
  </si>
  <si>
    <t>Open EBITDA</t>
  </si>
  <si>
    <t>Wholesale Electric Revenue</t>
  </si>
  <si>
    <t>Wholesale Volumes - GWh</t>
  </si>
  <si>
    <t>Wholesale Rates - $/MWh</t>
  </si>
  <si>
    <t>Wholesale Electric</t>
  </si>
  <si>
    <t>Wholesale Electric Growth</t>
  </si>
  <si>
    <t>NI Hub</t>
  </si>
  <si>
    <t>ERCOT North</t>
  </si>
  <si>
    <t>Palo Verde</t>
  </si>
  <si>
    <t>SP 15</t>
  </si>
  <si>
    <t>NP 15</t>
  </si>
  <si>
    <t>Mid C</t>
  </si>
  <si>
    <t>Balance Check</t>
  </si>
  <si>
    <t>EWC EPS</t>
  </si>
  <si>
    <t>Consolidated EPS</t>
  </si>
  <si>
    <t>Merchant Power</t>
  </si>
  <si>
    <t>Dividends Per Share</t>
  </si>
  <si>
    <t>Dividend Yield</t>
  </si>
  <si>
    <t>Dividend Growth Rate</t>
  </si>
  <si>
    <t>Consolidated EBITDA</t>
  </si>
  <si>
    <t>Current Shares Outstanding</t>
  </si>
  <si>
    <t>Equity Market Capitalization</t>
  </si>
  <si>
    <t>Enterprise Value</t>
  </si>
  <si>
    <t>Cash</t>
  </si>
  <si>
    <t>Total Capitalization</t>
  </si>
  <si>
    <t>Price to Earnings</t>
  </si>
  <si>
    <t>EV / EBITDA</t>
  </si>
  <si>
    <t>Return on Average Equity</t>
  </si>
  <si>
    <t>RISEP</t>
  </si>
  <si>
    <t>ISO-NE Rest-of-Pool Capacity ($/MW-d)</t>
  </si>
  <si>
    <t>Vermont Yankee</t>
  </si>
  <si>
    <t>Pilgrim</t>
  </si>
  <si>
    <t>Fitzpatrick</t>
  </si>
  <si>
    <t>Indian Point 2</t>
  </si>
  <si>
    <t>Indian Point 3</t>
  </si>
  <si>
    <t>Palisades</t>
  </si>
  <si>
    <t>Independence 2</t>
  </si>
  <si>
    <t>Nelson 6</t>
  </si>
  <si>
    <t>Capacity Revenues (New York and New England)</t>
  </si>
  <si>
    <t>South (Arkansas and Lousiana)</t>
  </si>
  <si>
    <t>MISO (Palisades Contract)</t>
  </si>
  <si>
    <t>MISO/Palisades Contract</t>
  </si>
  <si>
    <t>South and Other (w/ renewables) - no capacity revs</t>
  </si>
  <si>
    <t>MISO / Palisades Contract</t>
  </si>
  <si>
    <t>Growth Capex</t>
  </si>
  <si>
    <t>Working Capital / Deferred Taxes / Other</t>
  </si>
  <si>
    <t>Asset Sale and Other</t>
  </si>
  <si>
    <t>Harrison County</t>
  </si>
  <si>
    <t>RS Cogen</t>
  </si>
  <si>
    <t>Ritchie 2</t>
  </si>
  <si>
    <t>Iowa Wind</t>
  </si>
  <si>
    <t>SPP Texas Wind</t>
  </si>
  <si>
    <t>3Q2012A</t>
  </si>
  <si>
    <t>4Q2012A</t>
  </si>
  <si>
    <t>2012A</t>
  </si>
  <si>
    <t>4.9% Series due December 2052</t>
  </si>
  <si>
    <t>2.62% Series K due December 2017</t>
  </si>
  <si>
    <t>3.25% Series Q due July 2017</t>
  </si>
  <si>
    <t>3.3% Series due December 2022</t>
  </si>
  <si>
    <t>3.1% Series due July 2023</t>
  </si>
  <si>
    <t>5.0% Series due December 2052</t>
  </si>
  <si>
    <t>4.1% Series due April 2023</t>
  </si>
  <si>
    <t>4.02% Series H due February 2017</t>
  </si>
  <si>
    <t>Model</t>
  </si>
  <si>
    <t>Debt Profile</t>
  </si>
  <si>
    <t>Period Ended</t>
  </si>
  <si>
    <t>Mty/Issue</t>
  </si>
  <si>
    <t>Rate</t>
  </si>
  <si>
    <t>Month</t>
  </si>
  <si>
    <t>Principal</t>
  </si>
  <si>
    <t>Maturities</t>
  </si>
  <si>
    <t>New Issues</t>
  </si>
  <si>
    <t>Net Annual Change</t>
  </si>
  <si>
    <t>Debt Maturities/Retirements</t>
  </si>
  <si>
    <t>Net Issuances (Maturities) and Interest Change</t>
  </si>
  <si>
    <t>Entergy Consolidated</t>
  </si>
  <si>
    <t>Retirement of LT Debt</t>
  </si>
  <si>
    <t>Long Term Debt Issuance</t>
  </si>
  <si>
    <t>INDIAN POINT VALUATION</t>
  </si>
  <si>
    <t>O&amp;M</t>
  </si>
  <si>
    <t>2018E</t>
  </si>
  <si>
    <t>Arkansas</t>
  </si>
  <si>
    <t>Texas</t>
  </si>
  <si>
    <t>Nuclear Refueling Outage Expense</t>
  </si>
  <si>
    <t>Full Service Load Growth</t>
  </si>
  <si>
    <t>Total Full Service Revenue</t>
  </si>
  <si>
    <t>Average Full Service Rate ($/MWh)</t>
  </si>
  <si>
    <t>Weather impact on EPS</t>
  </si>
  <si>
    <t>Unrecorded Goodwill from poolings,etc.</t>
  </si>
  <si>
    <t>NAPP</t>
  </si>
  <si>
    <t>ILB</t>
  </si>
  <si>
    <t>Coal (Delivery Cost $/t)</t>
  </si>
  <si>
    <t>ATSI</t>
  </si>
  <si>
    <t>PJM East</t>
  </si>
  <si>
    <t>1Q2012A</t>
  </si>
  <si>
    <t>Statutory Tax Rate</t>
  </si>
  <si>
    <t>Gross PP&amp;E In Service</t>
  </si>
  <si>
    <t>Retained Earnings</t>
  </si>
  <si>
    <t>USD</t>
  </si>
  <si>
    <t>Year</t>
  </si>
  <si>
    <t>Parent &amp; Other</t>
  </si>
  <si>
    <t>Reported Tax Rate (%)</t>
  </si>
  <si>
    <t>D&amp;A rate</t>
  </si>
  <si>
    <t>Net Income As Reported</t>
  </si>
  <si>
    <t>Decommissioning</t>
  </si>
  <si>
    <t>Entergy Arkansas, Inc.</t>
  </si>
  <si>
    <t>Entergy Louisiana, LLC</t>
  </si>
  <si>
    <t>Entergy Mississippi, Inc.</t>
  </si>
  <si>
    <t>Entergy New Orleans, Inc.</t>
  </si>
  <si>
    <t>Entergy Texas, Inc.</t>
  </si>
  <si>
    <t>Total Operating Revenue (ex contract amortization)</t>
  </si>
  <si>
    <t>Fuel &amp; Purchased Power</t>
  </si>
  <si>
    <t>Guidance Mid-Point</t>
  </si>
  <si>
    <t>Total Nuclear Refueling Outage Expense</t>
  </si>
  <si>
    <t>Total Decommissioning</t>
  </si>
  <si>
    <t>Base Nuclear Refueling Outage Expense</t>
  </si>
  <si>
    <t>Base Decommissioning</t>
  </si>
  <si>
    <t>Total TOTI</t>
  </si>
  <si>
    <t>Base TOTI</t>
  </si>
  <si>
    <t>FFO (Net Income + D&amp;A)</t>
  </si>
  <si>
    <t>Maintenance Capex</t>
  </si>
  <si>
    <t>Total Capex</t>
  </si>
  <si>
    <t>Current Net Debt / (Cash)</t>
  </si>
  <si>
    <t>EWC EV / EBITDA VALUATION</t>
  </si>
  <si>
    <t>Forecasted Debt (excludes Parent)</t>
  </si>
  <si>
    <t>EWC Valuation</t>
  </si>
  <si>
    <t>Utility Segment Capex (for utility specific rate base)</t>
  </si>
  <si>
    <t>CWIP Rate (% of FY capex)</t>
  </si>
  <si>
    <t>D&amp;A Rate</t>
  </si>
  <si>
    <t>Reported D&amp;A</t>
  </si>
  <si>
    <t>Working Capital and Other</t>
  </si>
  <si>
    <t>AFUDC Debt and Equity</t>
  </si>
  <si>
    <t>Asset Sales and Other</t>
  </si>
  <si>
    <t>Change in ST Debt</t>
  </si>
  <si>
    <t>Total Debt (adjusted for securitization bonds)</t>
  </si>
  <si>
    <t>Regulatory Equity Ratio</t>
  </si>
  <si>
    <t>Weighted Avg Equity Ratio (ex securitization bonds)</t>
  </si>
  <si>
    <t>Rate Change - Wholesale / Other</t>
  </si>
  <si>
    <t>Modeled Equity Ratio (ex securitization / ADIT)</t>
  </si>
  <si>
    <t>Assumed Regulatory / Allowed Equity Ratio</t>
  </si>
  <si>
    <t>Implied Utility/Parent EPS</t>
  </si>
  <si>
    <t>Per Share Dividend Change</t>
  </si>
  <si>
    <t>Stock Price Estimate</t>
  </si>
  <si>
    <t>Share Issuance/(Repurchase) - mil shares</t>
  </si>
  <si>
    <t>Share Issuance/(Repurchase)</t>
  </si>
  <si>
    <t>Refueling Outage Expense</t>
  </si>
  <si>
    <t>Asset Sales and Other Investments</t>
  </si>
  <si>
    <t>Parent Debt Maturity/Issuance, Net</t>
  </si>
  <si>
    <t>Preferred Income (from Parent)</t>
  </si>
  <si>
    <t>Earned ROE (with preferred income)</t>
  </si>
  <si>
    <t>Modeled ROE (includes AFUDC and excludes preferred)</t>
  </si>
  <si>
    <t>Earned ROE (ex preferred income) - most relevant</t>
  </si>
  <si>
    <t>MODELWARE ITEMS</t>
  </si>
  <si>
    <t>Utilities (includes parent)</t>
  </si>
  <si>
    <t>Regulated Utilities (includes parent)</t>
  </si>
  <si>
    <t>Earned ROE (excluding preferred)</t>
  </si>
  <si>
    <t>Average Utility Rate Base ($mil)</t>
  </si>
  <si>
    <t>Parent Loss ($mil) - net of preferred impact</t>
  </si>
  <si>
    <t>3.65% Series L notes due July 2021</t>
  </si>
  <si>
    <t>3.78% Series first mortgage bonds due April 2025</t>
  </si>
  <si>
    <t>3.92% Series H Notes due February 2021</t>
  </si>
  <si>
    <t>5% Series first mortgage bonds due July 2044</t>
  </si>
  <si>
    <t>5.625% Series first mortgage bonds due June 2064</t>
  </si>
  <si>
    <t>ETR Implied Valuation</t>
  </si>
  <si>
    <t>ITC Transaction Benefit</t>
  </si>
  <si>
    <t>Parent EPS (net of preferred)</t>
  </si>
  <si>
    <t>Utilities/Parent EPS, Net</t>
  </si>
  <si>
    <t>Utilities/Parent Valuation</t>
  </si>
  <si>
    <t>System Energy Resources, Inc.</t>
  </si>
  <si>
    <t>Current Stock Price</t>
  </si>
  <si>
    <t>UFCF</t>
  </si>
  <si>
    <t>Interest</t>
  </si>
  <si>
    <t>Operating Expenses</t>
  </si>
  <si>
    <t>Interest and investment income</t>
  </si>
  <si>
    <t>Total Other Income</t>
  </si>
  <si>
    <t>Total Interest Expense</t>
  </si>
  <si>
    <t>Profit Before Taxes</t>
  </si>
  <si>
    <t>Income After Tax</t>
  </si>
  <si>
    <t>Reported Net Income</t>
  </si>
  <si>
    <t>Reconciliation to Adjusted Earnings</t>
  </si>
  <si>
    <t>Actual Shares Outstanding</t>
  </si>
  <si>
    <t>Utility</t>
  </si>
  <si>
    <t>Mass Hub</t>
  </si>
  <si>
    <t>Planned Generation (GWh)</t>
  </si>
  <si>
    <t>% Hedged</t>
  </si>
  <si>
    <t>Hedged Price ($/MWh)</t>
  </si>
  <si>
    <t>Hedging</t>
  </si>
  <si>
    <t>$mil, unless stated otherwise</t>
  </si>
  <si>
    <t>EPS AND EBITDA PROFILE</t>
  </si>
  <si>
    <t>CAPITALIZATION PROFILE</t>
  </si>
  <si>
    <t>EPS by Business Segment</t>
  </si>
  <si>
    <t>Regulated / Unregulated EPS</t>
  </si>
  <si>
    <t>EBITDA by Business Segment</t>
  </si>
  <si>
    <t>Net Debt / LTM EBITDA</t>
  </si>
  <si>
    <t>Regulated / Unregulated EBITDA</t>
  </si>
  <si>
    <t>DIVIDEND AND SHARE COUNT DATA</t>
  </si>
  <si>
    <t>CASH FLOW PROFILE</t>
  </si>
  <si>
    <t>Dividend Per Share</t>
  </si>
  <si>
    <t>Regulated / Unregulated OCF</t>
  </si>
  <si>
    <t>Consolidated OCF</t>
  </si>
  <si>
    <t>Average Shares Outstanding</t>
  </si>
  <si>
    <t>Regulated / Unregulated CapEx</t>
  </si>
  <si>
    <t>Diluted Average Shares Outstanding</t>
  </si>
  <si>
    <t>Consolidated CapEx</t>
  </si>
  <si>
    <t>VALUATION PROFILE</t>
  </si>
  <si>
    <t>Free Cash Flow</t>
  </si>
  <si>
    <t>Power Price Sensitivity ($/mwh)</t>
  </si>
  <si>
    <t>HH Natural Gas Price Assumption ($/mmcf)</t>
  </si>
  <si>
    <t>Gas Price Sensitivity ($/mmcf)</t>
  </si>
  <si>
    <t>UTILITY RATE BASE AND ROE SENSITIVITY</t>
  </si>
  <si>
    <t>Consolidated FCF (Pre-Dividends)</t>
  </si>
  <si>
    <t>Book Value Per Share</t>
  </si>
  <si>
    <t>Other Investing Activities</t>
  </si>
  <si>
    <t>Free Cash Flow (Post Dividends)</t>
  </si>
  <si>
    <t>Return on Invested Capital</t>
  </si>
  <si>
    <t>Return on Average Assets</t>
  </si>
  <si>
    <t>Other Financing Activities</t>
  </si>
  <si>
    <t>Equity Issuance / Buyback, Net</t>
  </si>
  <si>
    <t>Current Share Price:</t>
  </si>
  <si>
    <t>LT Debt Issuance</t>
  </si>
  <si>
    <t>LT Debt Retirement</t>
  </si>
  <si>
    <t>ST Debt Change, Net</t>
  </si>
  <si>
    <t>2Q2014A</t>
  </si>
  <si>
    <t>1Q2018E</t>
  </si>
  <si>
    <t>2Q2018E</t>
  </si>
  <si>
    <t>3Q2018E</t>
  </si>
  <si>
    <t>4Q2018E</t>
  </si>
  <si>
    <t>1Q18</t>
  </si>
  <si>
    <t>2Q18</t>
  </si>
  <si>
    <t>3Q18</t>
  </si>
  <si>
    <t>4Q18</t>
  </si>
  <si>
    <t>Assumed Issuance 2018</t>
  </si>
  <si>
    <t>Net Debt (Forecasted)</t>
  </si>
  <si>
    <t>Annual Change in Cash</t>
  </si>
  <si>
    <t>Parent</t>
  </si>
  <si>
    <t>Utilities</t>
  </si>
  <si>
    <t>Utilities (including Parent)</t>
  </si>
  <si>
    <t>Weather Impact Estimate (% Sales Growth)</t>
  </si>
  <si>
    <t>Electric Rate Change (y-o-y)</t>
  </si>
  <si>
    <t>Fuel and Purchase Power Costs</t>
  </si>
  <si>
    <t>Fuel/Purchased Power</t>
  </si>
  <si>
    <t>Avg Fuel and Purchased Power Rate ($/mwh)</t>
  </si>
  <si>
    <t>PARENT LEVEL CASH FLOWS</t>
  </si>
  <si>
    <t>SEGMENT DEBT</t>
  </si>
  <si>
    <t>Utility Debt</t>
  </si>
  <si>
    <t>EWC Debt</t>
  </si>
  <si>
    <t>Parent Debt</t>
  </si>
  <si>
    <t>PEG.N,mscalc:targetPrice,,,,USD</t>
  </si>
  <si>
    <t>PEG.N,mscalc:closePriceCurrencyCalc</t>
  </si>
  <si>
    <t>PEG.N,mscalc:sedolCodeCalc</t>
  </si>
  <si>
    <t>NA</t>
  </si>
  <si>
    <t/>
  </si>
  <si>
    <t>Hedged Volume (GWh)</t>
  </si>
  <si>
    <t>Statements of Income</t>
  </si>
  <si>
    <t>Total Operating Revenue</t>
  </si>
  <si>
    <t>Purchased Power</t>
  </si>
  <si>
    <t>Fuel</t>
  </si>
  <si>
    <t>Other</t>
  </si>
  <si>
    <t>Gross Margin</t>
  </si>
  <si>
    <t>Operating and Maintenance</t>
  </si>
  <si>
    <t>Taxes Other Than Income</t>
  </si>
  <si>
    <t>EBITDA</t>
  </si>
  <si>
    <t>Depreciation and Amortization</t>
  </si>
  <si>
    <t xml:space="preserve"> </t>
  </si>
  <si>
    <t>Consolidated</t>
  </si>
  <si>
    <t>$m, unless stated otherwise</t>
  </si>
  <si>
    <t>Operating Income</t>
  </si>
  <si>
    <t>Interest and Dividend Income</t>
  </si>
  <si>
    <t>Interest Expense</t>
  </si>
  <si>
    <t>AFUDC (Borrowed Funds)</t>
  </si>
  <si>
    <t>AFUDC (Equity)</t>
  </si>
  <si>
    <t>Other Income</t>
  </si>
  <si>
    <t>Income Tax</t>
  </si>
  <si>
    <t>Risk-Free Rate</t>
  </si>
  <si>
    <t>Equity Risk Premium</t>
  </si>
  <si>
    <t>Debt/EBITDA</t>
  </si>
  <si>
    <t>Implied Market Aggregate Value/EBITDA</t>
  </si>
  <si>
    <t>Maintenance Capex as a % of EBITDA</t>
  </si>
  <si>
    <t>Discounted Cash Flow - Key Assumptions</t>
  </si>
  <si>
    <t>Pension and NOL, Net</t>
  </si>
  <si>
    <t>Taxes Paid</t>
  </si>
  <si>
    <t>Weighted Average Cost of Capital</t>
  </si>
  <si>
    <t xml:space="preserve">    Approach A - Perp. Growth Rate of</t>
  </si>
  <si>
    <t xml:space="preserve">    Approach B - Terminal EBITDA of</t>
  </si>
  <si>
    <t>Cash Taxes</t>
  </si>
  <si>
    <t>Discounted Value of Cash Flows</t>
  </si>
  <si>
    <t>Terminal Value</t>
  </si>
  <si>
    <t>Terminal Value Approach Used</t>
  </si>
  <si>
    <t>Terminal EBITDA Multiple Calculation</t>
  </si>
  <si>
    <t>Term. Year Tax Basis as Multiple of EBITDA</t>
  </si>
  <si>
    <t>Terminal Year Debt/EBITDA</t>
  </si>
  <si>
    <t>Inflation Rate</t>
  </si>
  <si>
    <t>MACRS</t>
  </si>
  <si>
    <t>D&amp;A</t>
  </si>
  <si>
    <t xml:space="preserve">Year 1 </t>
  </si>
  <si>
    <t>Discounted</t>
  </si>
  <si>
    <t>Resulting Term. Value EBITDA Multiple</t>
  </si>
  <si>
    <t>MERCHANT GENERATION VALUATION ASSUMPTIONS</t>
  </si>
  <si>
    <t>Net Income</t>
  </si>
  <si>
    <t>Preferred Stock Dividends</t>
  </si>
  <si>
    <t>Basic Shares Outstanding</t>
  </si>
  <si>
    <t>Diluted Shares Outstanding</t>
  </si>
  <si>
    <t>Payout Ratio</t>
  </si>
  <si>
    <t>Cash Flow From Operations</t>
  </si>
  <si>
    <t>Other Investment Cash Flow</t>
  </si>
  <si>
    <t>Cash Flow From Investing</t>
  </si>
  <si>
    <t>Preferred Equity Issuance / (Repayment)</t>
  </si>
  <si>
    <t>Other Financing Cash Flow</t>
  </si>
  <si>
    <t>Cash Flow From Financing</t>
  </si>
  <si>
    <t>Increase / (Decrease) in Cash</t>
  </si>
  <si>
    <t>Accounts Receivable</t>
  </si>
  <si>
    <t>Inventories</t>
  </si>
  <si>
    <t>Total Current Assets</t>
  </si>
  <si>
    <t>Investments</t>
  </si>
  <si>
    <t>Net Goodwill</t>
  </si>
  <si>
    <t>Long Term Deferred Tax Assets</t>
  </si>
  <si>
    <t>Other Non-Current Assets</t>
  </si>
  <si>
    <t>Total Assets</t>
  </si>
  <si>
    <t xml:space="preserve">Decommissioning </t>
  </si>
  <si>
    <t>Gross PP&amp;E</t>
  </si>
  <si>
    <t>Entergy Corporation</t>
  </si>
  <si>
    <t>Dividend</t>
  </si>
  <si>
    <t>Accounts Payable</t>
  </si>
  <si>
    <t>Other Current Liabilities</t>
  </si>
  <si>
    <t>TAX ITEMS</t>
  </si>
  <si>
    <t>OPERATING EXPENSES</t>
  </si>
  <si>
    <t>Tax Rate (%)</t>
  </si>
  <si>
    <t>Net Change in Cash</t>
  </si>
  <si>
    <t>Beginning Cash Balance</t>
  </si>
  <si>
    <t>Net PP&amp;E</t>
  </si>
  <si>
    <t>DEBT CALCULATIONS</t>
  </si>
  <si>
    <t>Total Current Liabilities</t>
  </si>
  <si>
    <t>Long Term Deferred Tax Liabilities</t>
  </si>
  <si>
    <t>Provisions</t>
  </si>
  <si>
    <t>Other Non-Current Liabilities</t>
  </si>
  <si>
    <t>Total Liabilities</t>
  </si>
  <si>
    <t>Minority Interests</t>
  </si>
  <si>
    <t>Preferred Equity</t>
  </si>
  <si>
    <t>Common Equity</t>
  </si>
  <si>
    <t>Total Liabilities and Equity</t>
  </si>
  <si>
    <t>Total Debt</t>
  </si>
  <si>
    <t>Leverage Ratios</t>
  </si>
  <si>
    <t>Total Debt / Total Cap</t>
  </si>
  <si>
    <t>Net Debt / EBITDA</t>
  </si>
  <si>
    <t>FFO / Total Debt</t>
  </si>
  <si>
    <t>Coverage Ratios</t>
  </si>
  <si>
    <t>Cinergy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</si>
  <si>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</si>
  <si>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</si>
  <si>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</si>
  <si>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</si>
  <si>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</si>
  <si>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</si>
  <si>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</si>
  <si>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</si>
  <si>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</si>
  <si>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</si>
  <si>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</si>
  <si>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</si>
  <si>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</si>
  <si>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</si>
  <si>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</si>
  <si>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</si>
  <si>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EWC Open EPS (i.e. no hedges)</t>
  </si>
  <si>
    <t>Electric Sales Growth</t>
  </si>
  <si>
    <t>Assumed Allowed ROE</t>
  </si>
  <si>
    <t>Modeled Equity Ratio (excluding securitization bonds)</t>
  </si>
  <si>
    <t>Projected Diluted Shares Count (mil)</t>
  </si>
  <si>
    <t>Net Issuance</t>
  </si>
  <si>
    <t>Implied Recurring Equity/ FCF</t>
  </si>
  <si>
    <t>3Q2013A</t>
  </si>
  <si>
    <t>3.78% Series I notes due October 2018</t>
  </si>
  <si>
    <t>2Q2013A</t>
  </si>
  <si>
    <t>3.38% Series R notes due August 2020</t>
  </si>
  <si>
    <t>AEP-Dayton / Tetco M3</t>
  </si>
  <si>
    <t>4.050% Series first mortgage bonds, due Sept 1, 2023</t>
  </si>
  <si>
    <t>Common Dividend</t>
  </si>
  <si>
    <t xml:space="preserve">4.750% First mortgage bonds, due June 1, 2063 </t>
  </si>
  <si>
    <t>3.050% First mortgage bonds, due June 1, 2023</t>
  </si>
  <si>
    <t>4.700% First mortgage bonds, due June 1, 2063</t>
  </si>
  <si>
    <t xml:space="preserve">3.900% First mortgage bonds, due July 1, 2023 </t>
  </si>
  <si>
    <t>Dividends</t>
  </si>
  <si>
    <t>Growth Rate (y/y)</t>
  </si>
  <si>
    <t>Dividends Paid</t>
  </si>
  <si>
    <t>Ending Cash Balance</t>
  </si>
  <si>
    <t>LTM FFO (Net Income + D&amp;A)</t>
  </si>
  <si>
    <t>Increased Interest from LT Debt Issuance</t>
  </si>
  <si>
    <t>Decreased Interest from LT Debt Reduction</t>
  </si>
  <si>
    <t>LTM Interest Expense</t>
  </si>
  <si>
    <t>LTM EBIT</t>
  </si>
  <si>
    <t>LTM EBITDA</t>
  </si>
  <si>
    <t>Tax Rate (adjusted for AFUDC - Equity)</t>
  </si>
  <si>
    <t>Reported Tax Rate</t>
  </si>
  <si>
    <t>LTM Net Income</t>
  </si>
  <si>
    <t>Net Change in Interest Expense</t>
  </si>
  <si>
    <t>Long-Term Debt Issuance</t>
  </si>
  <si>
    <t>Nuclear - NY Zone G (Indian Point)</t>
  </si>
  <si>
    <t>Nuclear Plant Shutdowns</t>
  </si>
  <si>
    <t>Long-Term Debt Maturity/Redemption</t>
  </si>
  <si>
    <t>Long-Term Debt Issuance/Maturity</t>
  </si>
  <si>
    <t>Interest Rate on Short Term Debt/Cash</t>
  </si>
  <si>
    <t>Issuance of LT Debt</t>
  </si>
  <si>
    <t>Change in Preferred Stock</t>
  </si>
  <si>
    <t>Tax Items</t>
  </si>
  <si>
    <t>Common Dividends</t>
  </si>
  <si>
    <t>Utility Dividend</t>
  </si>
  <si>
    <t>EWC Dividend</t>
  </si>
  <si>
    <t>Parent Net Income/(Loss)</t>
  </si>
  <si>
    <t xml:space="preserve">Dividend </t>
  </si>
  <si>
    <t>Asset Sales/Other Investments</t>
  </si>
  <si>
    <t>Retirement of Debt</t>
  </si>
  <si>
    <t>Change in ST debt</t>
  </si>
  <si>
    <t>Common Equity Issuance/Reduction</t>
  </si>
  <si>
    <t>Beginning Balance</t>
  </si>
  <si>
    <t>Cash/Cash equivalents</t>
  </si>
  <si>
    <t>Price Uplift</t>
  </si>
  <si>
    <t>MS Gas Assumption</t>
  </si>
  <si>
    <t>DIVERSIFIED P/E VALUATION</t>
  </si>
  <si>
    <t>Utilities EPS</t>
  </si>
  <si>
    <t>Parent EPS</t>
  </si>
  <si>
    <t>Consensus</t>
  </si>
  <si>
    <t>Assumed Premium/Discount</t>
  </si>
  <si>
    <t>Adjusted P/E</t>
  </si>
  <si>
    <t>Utilities Valuation</t>
  </si>
  <si>
    <t>Implied Valuation</t>
  </si>
  <si>
    <t>% Generation Hedged</t>
  </si>
  <si>
    <t>Hedge Benefit</t>
  </si>
  <si>
    <t>Natural Gas ($/mmbtu)</t>
  </si>
  <si>
    <t>MS Power Price Uplift</t>
  </si>
  <si>
    <t>No</t>
  </si>
  <si>
    <t>Yes</t>
  </si>
  <si>
    <t>UTILITY SUMMARY</t>
  </si>
  <si>
    <t>WACC for Genco</t>
  </si>
  <si>
    <t>Implied Debt Value as a % of Ent Value</t>
  </si>
  <si>
    <t>Implied Equity Value as a % of Ent Value</t>
  </si>
  <si>
    <t>Operating Cash Flow</t>
  </si>
  <si>
    <t>Cost of Long-Term Debt</t>
  </si>
  <si>
    <t>Assumed Beta of Merchant Generation</t>
  </si>
  <si>
    <t>Wind</t>
  </si>
  <si>
    <t>Estimated WACC</t>
  </si>
  <si>
    <t>Levered Free Cash Flow</t>
  </si>
  <si>
    <t>Unlevered Free Cash Flow (w/o interest)</t>
  </si>
  <si>
    <t>Implied EV / EBITDA</t>
  </si>
  <si>
    <t>Cash Flow NPV</t>
  </si>
  <si>
    <t>Equity Value</t>
  </si>
  <si>
    <t>Equity Value Per Share</t>
  </si>
  <si>
    <t>DCF-Driven EV/EBITDA Multiple</t>
  </si>
  <si>
    <t>Implied EV</t>
  </si>
  <si>
    <t>NPV of Hedges</t>
  </si>
  <si>
    <t>Adjusted EV</t>
  </si>
  <si>
    <t>Implied Utility Earnings Potential ($mil)</t>
  </si>
  <si>
    <t>Shares Outstanding (mil)</t>
  </si>
  <si>
    <t>Per Share Value</t>
  </si>
  <si>
    <t>Large Cap Group Average P/E</t>
  </si>
  <si>
    <t>MARKET PRICES &amp; SENSITIVITIES</t>
  </si>
  <si>
    <t>Natural Gas ($/mmcf)</t>
  </si>
  <si>
    <t>Gas Price Sensitivity (from valuation summary)</t>
  </si>
  <si>
    <t>Power Price Sensitivity ($/MWh)</t>
  </si>
  <si>
    <t>Gas Basis ($/mmcf)</t>
  </si>
  <si>
    <t>Mass Hub On Peak</t>
  </si>
  <si>
    <t>Mass Hub Off Peak</t>
  </si>
  <si>
    <t>Mass Hub ATC Price</t>
  </si>
  <si>
    <t>NY Zone A On Peak</t>
  </si>
  <si>
    <t>NY Zone A Off Peak</t>
  </si>
  <si>
    <t>NY Zone A ATC Price</t>
  </si>
  <si>
    <t>Market Heat Rates (btu/kwh)</t>
  </si>
  <si>
    <t>Capacity Price ($/mw-day)</t>
  </si>
  <si>
    <t>Coal Prices</t>
  </si>
  <si>
    <t>NY Zone G On Peak</t>
  </si>
  <si>
    <t>NY Zone G Off Peak</t>
  </si>
  <si>
    <t>NY Zone G ATC Price</t>
  </si>
  <si>
    <t>MARGIN SUMMARY</t>
  </si>
  <si>
    <t>By Asset Type</t>
  </si>
  <si>
    <t>Nuclear (energy only)</t>
  </si>
  <si>
    <t>Gas and Oil (energy only)</t>
  </si>
  <si>
    <t>Renewables (energy only)</t>
  </si>
  <si>
    <t>Coal (energy only)</t>
  </si>
  <si>
    <t>Hedges</t>
  </si>
  <si>
    <t>By Region</t>
  </si>
  <si>
    <t>Midwest</t>
  </si>
  <si>
    <t>New York</t>
  </si>
  <si>
    <t>Renewables</t>
  </si>
  <si>
    <t>PRODUCTION AND CAPACITY SUMMARY</t>
  </si>
  <si>
    <t>Generation (GWH) - Region</t>
  </si>
  <si>
    <t>Generation (GWH) - Fuel</t>
  </si>
  <si>
    <t>Coal</t>
  </si>
  <si>
    <t>Capacity (MW) - Fuel/Technology</t>
  </si>
  <si>
    <t>Capacity Market (MW)</t>
  </si>
  <si>
    <t>HEDGE CALCULATION</t>
  </si>
  <si>
    <t>Nuclear Summary</t>
  </si>
  <si>
    <t xml:space="preserve">Revenues </t>
  </si>
  <si>
    <t>Margins</t>
  </si>
  <si>
    <t>Capacity (MW)</t>
  </si>
  <si>
    <t>Production (gwh)</t>
  </si>
  <si>
    <t>Capacity Factor (%)</t>
  </si>
  <si>
    <t>Assumed Price (ATC) ($/mwh)</t>
  </si>
  <si>
    <t>Assumed Fuel Price ($/mwh)</t>
  </si>
  <si>
    <t>Total MW On-Line</t>
  </si>
  <si>
    <t>Capacity Factor</t>
  </si>
  <si>
    <t>MW</t>
  </si>
  <si>
    <t>On CF</t>
  </si>
  <si>
    <t>Off CF</t>
  </si>
  <si>
    <t>Hub</t>
  </si>
  <si>
    <t>Plant</t>
  </si>
  <si>
    <t>Heat Rate</t>
  </si>
  <si>
    <t>Gas</t>
  </si>
  <si>
    <t>Nuke</t>
  </si>
  <si>
    <t>WInd</t>
  </si>
  <si>
    <t>Nuclear - New England</t>
  </si>
  <si>
    <t>Nuclear - NY Zone A</t>
  </si>
  <si>
    <t>GAS &amp; OIL ENERGY MARGIN CALCULATION - AT MARKET</t>
  </si>
  <si>
    <t>Gas &amp; Oil Summary</t>
  </si>
  <si>
    <t>Assumed Price (Peak) ($/mwh)</t>
  </si>
  <si>
    <t>Capacity Factor (%) - Peak</t>
  </si>
  <si>
    <t>Revenues</t>
  </si>
  <si>
    <t>Assumed Price (Off-Peak) ($/mwh)</t>
  </si>
  <si>
    <t>Peak Production (gwh)</t>
  </si>
  <si>
    <t>Capacity Factor (%) - Off-Peak</t>
  </si>
  <si>
    <t>2014/15</t>
  </si>
  <si>
    <t>2016/17</t>
  </si>
  <si>
    <t>2015/16</t>
  </si>
  <si>
    <t>% Per Year</t>
  </si>
  <si>
    <t>LHV Phase-In Assumptions</t>
  </si>
  <si>
    <t>Off Peak Production (gwh)</t>
  </si>
  <si>
    <t>Total Capacity Factor (%) - All-Hours</t>
  </si>
  <si>
    <t>Total Production (gwh)</t>
  </si>
  <si>
    <t>Gas CCs - NEPOOL</t>
  </si>
  <si>
    <t>Gas CCs - South</t>
  </si>
  <si>
    <t>Gas CTs- South</t>
  </si>
  <si>
    <t>Coal - South</t>
  </si>
  <si>
    <t>CAPACITY MARGIN CALCULATION - AT MARKET</t>
  </si>
  <si>
    <t>MW On-Line</t>
  </si>
  <si>
    <t>NEPOOL</t>
  </si>
  <si>
    <t xml:space="preserve">RENEWABLES ENERGY MARGIN CALCULATION </t>
  </si>
  <si>
    <t>Assumed Contract Price ($/mwh)</t>
  </si>
  <si>
    <t>Current portion of LT Debt</t>
  </si>
  <si>
    <t>Common Stock</t>
  </si>
  <si>
    <t>Additional Paid in Capital</t>
  </si>
  <si>
    <t>Gross PP&amp;E (ex nuclear fuel)</t>
  </si>
  <si>
    <t>FX impact</t>
  </si>
  <si>
    <t>ELECTRIC &amp; GAS MARGINS</t>
  </si>
  <si>
    <t>Implied ETR Valuation</t>
  </si>
  <si>
    <t>Guidance - Low</t>
  </si>
  <si>
    <t>Guidance - High</t>
  </si>
  <si>
    <t>ADJUSTED EBITDA</t>
  </si>
  <si>
    <t>Adjusted EBITDA</t>
  </si>
  <si>
    <t>Impairments</t>
  </si>
  <si>
    <t>Depreciation and Amortizaton</t>
  </si>
  <si>
    <t>Interest and Investment Income</t>
  </si>
  <si>
    <t>Total Electric Revenue Retail</t>
  </si>
  <si>
    <t>,mscalc:targetPrice,,,,USD</t>
  </si>
  <si>
    <t>,mscalc:closePriceCurrencyCalc</t>
  </si>
  <si>
    <t>,mscalc:sedolCodeCalc</t>
  </si>
  <si>
    <t>ETR.N,mscalc:targetPrice</t>
  </si>
  <si>
    <t>$T$2</t>
  </si>
  <si>
    <t>Cash and Equivalents</t>
  </si>
  <si>
    <t>Accumulated Depreciation</t>
  </si>
  <si>
    <t>Short Term Debt</t>
  </si>
  <si>
    <t>Long Term Debt</t>
  </si>
  <si>
    <t>Regulated Electric Revenue</t>
  </si>
  <si>
    <t>Regulated Gas Revenue</t>
  </si>
  <si>
    <t>Total</t>
  </si>
  <si>
    <t>Equity Issuance / (Distributions)</t>
  </si>
  <si>
    <t>Equity</t>
  </si>
  <si>
    <t>Total Net PP&amp;E</t>
  </si>
  <si>
    <t>Beginning Rate Base</t>
  </si>
  <si>
    <t>Ending Rate Base</t>
  </si>
  <si>
    <t>Electric Deliveries (GWh)</t>
  </si>
  <si>
    <t>Residential</t>
  </si>
  <si>
    <t>Total Full Service</t>
  </si>
  <si>
    <t>Electric Revenue</t>
  </si>
  <si>
    <t>Gas Resales and Other Revenue</t>
  </si>
  <si>
    <t>Valuation Summary</t>
  </si>
  <si>
    <t>Assumed Allowed Equity Ratio</t>
  </si>
  <si>
    <t>Capacity Prices ($/MW-day)</t>
  </si>
  <si>
    <t>Assumed Earned ROE</t>
  </si>
  <si>
    <t>Group Average P/E</t>
  </si>
  <si>
    <t>Fuel Costs</t>
  </si>
  <si>
    <t>BULL-BEAR CASE VALUATION</t>
  </si>
  <si>
    <t>BEAR</t>
  </si>
  <si>
    <t>BASE</t>
  </si>
  <si>
    <t>BULL</t>
  </si>
  <si>
    <t>Valuation Year</t>
  </si>
  <si>
    <t>Price Return Potential</t>
  </si>
  <si>
    <t>Total Return Potential</t>
  </si>
  <si>
    <t>Financial Summary</t>
  </si>
  <si>
    <t>O&amp;M Growth</t>
  </si>
  <si>
    <t>TOTI Growth</t>
  </si>
  <si>
    <t>Other Current Assets</t>
  </si>
  <si>
    <t>1Q15</t>
  </si>
  <si>
    <t>2Q15</t>
  </si>
  <si>
    <t>3Q15</t>
  </si>
  <si>
    <t>4Q15</t>
  </si>
  <si>
    <t>Reguatory Liabilities</t>
  </si>
  <si>
    <t>2317087</t>
  </si>
  <si>
    <t>Entergy Gulf States Louisiana, L.L.C.</t>
  </si>
  <si>
    <t>Operating Expense</t>
  </si>
  <si>
    <t>2010A</t>
  </si>
  <si>
    <t>2014E</t>
  </si>
  <si>
    <t>RATE BASE AND ROEs</t>
  </si>
  <si>
    <t>1Q2011A</t>
  </si>
  <si>
    <t>2Q2011A</t>
  </si>
  <si>
    <t>3Q2011A</t>
  </si>
  <si>
    <t>4Q2011A</t>
  </si>
  <si>
    <t>Total O&amp;M</t>
  </si>
  <si>
    <t>PP&amp;E, D&amp;A, AND CAPEX</t>
  </si>
  <si>
    <t>DEBT AND PREFERRED CALCULATIONS</t>
  </si>
  <si>
    <t>FFO Interest Coverage ((FFO + Int.) / Int.)</t>
  </si>
  <si>
    <t>Ending Rate Base (For Reference)</t>
  </si>
  <si>
    <t>Pretax Interest Coverage (EBIT / Int.)</t>
  </si>
  <si>
    <t>3Q2009A</t>
  </si>
  <si>
    <t>4Q2009A</t>
  </si>
  <si>
    <t>1Q2010A</t>
  </si>
  <si>
    <t>2Q2010A</t>
  </si>
  <si>
    <t>3Q2010A</t>
  </si>
  <si>
    <t>4Q2010A</t>
  </si>
  <si>
    <t>1Q2009A</t>
  </si>
  <si>
    <t>2Q2009A</t>
  </si>
  <si>
    <t>Other Non-Recurring Items</t>
  </si>
  <si>
    <t>Base O&amp;M</t>
  </si>
  <si>
    <t>Growth (YoY)</t>
  </si>
  <si>
    <t>2011A</t>
  </si>
  <si>
    <t>Capex</t>
  </si>
  <si>
    <t>System Energy (Grand Gulf)</t>
  </si>
  <si>
    <t>AFUDC DEBT AND EQUITY</t>
  </si>
  <si>
    <t>Net change in interest expense</t>
  </si>
  <si>
    <t>Power Prices ($/MWh)</t>
  </si>
  <si>
    <t>AFUDC - Equity as % of CWIP</t>
  </si>
  <si>
    <t>AFUDC - Debt as % of CWIP</t>
  </si>
  <si>
    <t>Modeled ROE (includes AFUDC)</t>
  </si>
  <si>
    <t>AFUDC - Equity</t>
  </si>
  <si>
    <t>AFUDC - Debt</t>
  </si>
  <si>
    <t>Weekly Price Deck</t>
  </si>
  <si>
    <t>Market Adjustment</t>
  </si>
  <si>
    <t>HR Adjusted Gas</t>
  </si>
  <si>
    <t>Market HR</t>
  </si>
  <si>
    <t>MIDWEST</t>
  </si>
  <si>
    <t>Target Peak HR</t>
  </si>
  <si>
    <t>Market Peak HR</t>
  </si>
  <si>
    <t>Differential in Peak HR</t>
  </si>
  <si>
    <t>Appalachian Basis</t>
  </si>
  <si>
    <t>MS Target Basis - PJM/AD</t>
  </si>
  <si>
    <t>Market Basis - PJM</t>
  </si>
  <si>
    <t>Differential (PJM)</t>
  </si>
  <si>
    <t xml:space="preserve">Income Tax (Adjusted for AFUDC and Preferreds) </t>
  </si>
  <si>
    <t>Market Basis - AD</t>
  </si>
  <si>
    <t>Differential (AD)</t>
  </si>
  <si>
    <t>Check</t>
  </si>
  <si>
    <t>Target</t>
  </si>
  <si>
    <t>Delta</t>
  </si>
  <si>
    <t>NY LHV</t>
  </si>
  <si>
    <t>Interest on Short Term Debt/Cash</t>
  </si>
  <si>
    <t>Deferred Taxes and Credits</t>
  </si>
  <si>
    <t>Plant Additions</t>
  </si>
  <si>
    <t>Rating:</t>
  </si>
  <si>
    <t>Price Target:</t>
  </si>
  <si>
    <t>Date:</t>
  </si>
  <si>
    <t>Stephen Byrd</t>
  </si>
  <si>
    <t>(212) 761-3865</t>
  </si>
  <si>
    <t>stephen.byrd@morganstanley.com</t>
  </si>
  <si>
    <t>Long-Term Debt Maturity/Redemtion</t>
  </si>
  <si>
    <t>Increased Interest from LT debt issuance</t>
  </si>
  <si>
    <t>Decreased Interest from LT debt reduction</t>
  </si>
  <si>
    <t>2016E</t>
  </si>
  <si>
    <t>On-Peak Regional Power Prices ($/MWh)</t>
  </si>
  <si>
    <t>Off-Peak Regional Power Prices ($/MWh)</t>
  </si>
  <si>
    <t>Coal Delivery Costs</t>
  </si>
  <si>
    <t>1Q2013A</t>
  </si>
  <si>
    <t>On-Peak Regional Heat Rates (btu/kWh)</t>
  </si>
  <si>
    <t>Off-Peak Regional Heat Rates (btu/kWh)</t>
  </si>
  <si>
    <t>Emissions Prices ($/ton)</t>
  </si>
  <si>
    <t>Assumptions/Drivers</t>
  </si>
  <si>
    <t>Discount Factor</t>
  </si>
  <si>
    <t>WACC</t>
  </si>
  <si>
    <t>Maint. Capex</t>
  </si>
  <si>
    <t>EWC</t>
  </si>
  <si>
    <t>Commercial and Agricultural</t>
  </si>
  <si>
    <t>Total Capex Forecast</t>
  </si>
  <si>
    <t>Electric Distribution</t>
  </si>
  <si>
    <t>Electric Transmission (FERC)</t>
  </si>
  <si>
    <t>Ticker:</t>
  </si>
  <si>
    <t>Price Target</t>
  </si>
  <si>
    <t>Currency</t>
  </si>
  <si>
    <t>Count</t>
  </si>
  <si>
    <t>3.75% Series due February 2021</t>
  </si>
  <si>
    <t xml:space="preserve">4.6% Series due 2017, Jefferson County </t>
  </si>
  <si>
    <t>MS Assumption</t>
  </si>
  <si>
    <t>2.30% Series Senior Secured due August 2021</t>
  </si>
  <si>
    <t xml:space="preserve">Long-term DOE Obligation </t>
  </si>
  <si>
    <t>Mortgage Bonds</t>
  </si>
  <si>
    <t xml:space="preserve">Governmental Bonds </t>
  </si>
  <si>
    <t xml:space="preserve">Variable Interest Entity Notes Payable </t>
  </si>
  <si>
    <t>Securitization Bonds</t>
  </si>
  <si>
    <t>6.0% Series due May 2018</t>
  </si>
  <si>
    <t>3.95% Series due October 2020</t>
  </si>
  <si>
    <t>5.59% Series due October 2024</t>
  </si>
  <si>
    <t>6.50% Series due September 2018</t>
  </si>
  <si>
    <t>4.8% Series due May 2021</t>
  </si>
  <si>
    <t>Other Regulatory Credits</t>
  </si>
  <si>
    <t>5.40% Series due November 2024</t>
  </si>
  <si>
    <t>4.44% Series due January 2026</t>
  </si>
  <si>
    <t>2.04% Series Senior Secured due June 2021</t>
  </si>
  <si>
    <t>1Q10</t>
  </si>
  <si>
    <t>2Q10</t>
  </si>
  <si>
    <t>3Q10</t>
  </si>
  <si>
    <t>Mass Hub / Transco Z6</t>
  </si>
  <si>
    <t>PJM East / Tetco M3</t>
  </si>
  <si>
    <t>4Q10</t>
  </si>
  <si>
    <t>1Q17</t>
  </si>
  <si>
    <t>2Q17</t>
  </si>
  <si>
    <t>3Q17</t>
  </si>
  <si>
    <t>4Q17</t>
  </si>
  <si>
    <t>2017E</t>
  </si>
  <si>
    <t>NYMEX Natural Gas - HH</t>
  </si>
  <si>
    <t>NY Zone G / Transco Z6</t>
  </si>
  <si>
    <t>NY Zone J / Transco Z6</t>
  </si>
  <si>
    <t>Cinergy / HH</t>
  </si>
  <si>
    <t>NI Hub / HH</t>
  </si>
  <si>
    <t>ERCOT Houston / HH</t>
  </si>
  <si>
    <t>ERCOT North / HH</t>
  </si>
  <si>
    <t>ERCOT South / HH</t>
  </si>
  <si>
    <t>Palo Verde / SCAL</t>
  </si>
  <si>
    <t>SP 15 / SCAL</t>
  </si>
  <si>
    <t>NP 15 / SCAL</t>
  </si>
  <si>
    <t>Mid C / SCAL</t>
  </si>
  <si>
    <t>Waterford 3 Lease Obligation 7.45%</t>
  </si>
  <si>
    <t>6.64% Series due July 2019</t>
  </si>
  <si>
    <t>5.10% Series due December 2020</t>
  </si>
  <si>
    <t>7.125% Series due February 2019</t>
  </si>
  <si>
    <t>4.1% Series due September 2021</t>
  </si>
  <si>
    <t>5.79% Series Senior Secured, Series A due October 2018</t>
  </si>
  <si>
    <t>5.93% Series Senior Secured, Series A due June 2022</t>
  </si>
  <si>
    <t>5.125% Senior unsecured notes, due Sept 15, 2020</t>
  </si>
  <si>
    <t>5.25% Series first mortgage bonds due July 2052</t>
  </si>
  <si>
    <t>3.65% Series Senior Secured due August 2019</t>
  </si>
  <si>
    <t>4.38% Series Senior Secured due November 2023</t>
  </si>
  <si>
    <t>5.875% Series due 2022, Mississippi Business Finance Corp.</t>
  </si>
  <si>
    <t>3.70% Series first mortgage bonds due June 2024</t>
  </si>
  <si>
    <t>3.75% Series first mortgage bonds due July 2024</t>
  </si>
  <si>
    <t>Grand Gulf Lease Obligation 5.13%</t>
  </si>
  <si>
    <t>Updated as of</t>
  </si>
  <si>
    <t>2Q2012A</t>
  </si>
  <si>
    <t>ETR</t>
  </si>
  <si>
    <t>2013A</t>
  </si>
  <si>
    <t>4Q2013A</t>
  </si>
  <si>
    <t>1Q2014A</t>
  </si>
  <si>
    <t>Regulated Generation</t>
  </si>
  <si>
    <t>Nuclear Fuel</t>
  </si>
  <si>
    <t>Utility Rate Base - Subsidiary Summary</t>
  </si>
  <si>
    <t>Gulf States - Louisiana</t>
  </si>
  <si>
    <t>Louisiana</t>
  </si>
  <si>
    <t>Mississippi</t>
  </si>
  <si>
    <t>New Orleans</t>
  </si>
  <si>
    <t>Authorized ROE</t>
  </si>
  <si>
    <t>Total Utility Capex</t>
  </si>
  <si>
    <t>Industrial / Large C&amp;I</t>
  </si>
  <si>
    <t>Fuel/Purchased Power Expense</t>
  </si>
  <si>
    <t>Rate Change - Arkansas</t>
  </si>
  <si>
    <t>Rate Change - Texas</t>
  </si>
  <si>
    <t>Rate Change - Louisiana/Gulf States/New Orleans</t>
  </si>
  <si>
    <t>Total Rate Change</t>
  </si>
  <si>
    <t>Authorized ROE (weighted-average)</t>
  </si>
  <si>
    <t>FFO / Total Debt (w/ nuclear fuel benefit)</t>
  </si>
  <si>
    <t>IP Shutdown</t>
  </si>
  <si>
    <t>Maintenance Capex - adjusted for MWs in operation</t>
  </si>
  <si>
    <t>Growth Capex - adjusted for MWs in operation</t>
  </si>
  <si>
    <t>Total Capex - adjusted for MWs in operation</t>
  </si>
  <si>
    <t>EWC EBITDA</t>
  </si>
  <si>
    <t>Entergy Wholesale Commodities</t>
  </si>
  <si>
    <t>FFO Interest ((FFO + Int.) / Int.) - w/ nuclear</t>
  </si>
  <si>
    <t>EPS Impact</t>
  </si>
  <si>
    <t>ISO-NE Maine</t>
  </si>
  <si>
    <t>MISO</t>
  </si>
  <si>
    <t>ISO-NE Connecticut</t>
  </si>
  <si>
    <t>ISO-NE NEMA-Boston</t>
  </si>
  <si>
    <t>NY Zone G (New LHV Zone in 2014)</t>
  </si>
  <si>
    <t>Assumed Price (ATC) ($/mwh) - assumed hedge price</t>
  </si>
  <si>
    <t>NUCLEAR ENERGY MARGIN CALCULATION</t>
  </si>
  <si>
    <t>Nuclear - Midwest (PPA)</t>
  </si>
  <si>
    <t>Market Price ($/MWh) - ex Palisades</t>
  </si>
  <si>
    <t>Palisades PPA ($/MWh)</t>
  </si>
  <si>
    <t>Blended Market/PPA Price ($/MWh)</t>
  </si>
  <si>
    <t>Palisades Portion of Hedges (%)</t>
  </si>
  <si>
    <t>Rate Change - Mississippi</t>
  </si>
  <si>
    <t>Other Adustments (AFUDC and CWIP)</t>
  </si>
  <si>
    <t>Average Rate Base</t>
  </si>
  <si>
    <t>Fuel and Purchased Power Expense</t>
  </si>
  <si>
    <t>West PRB Coal Prices - FOB ($/ton)</t>
  </si>
  <si>
    <t>West PRB Transport Cost ($/ton)</t>
  </si>
  <si>
    <t>Delivered PRB Coal Prices ($/ton)</t>
  </si>
  <si>
    <t>PTC (EWC Wind)</t>
  </si>
  <si>
    <t>PTCs</t>
  </si>
  <si>
    <t>Wind PTCs</t>
  </si>
  <si>
    <t>PTC ($/mwh)</t>
  </si>
  <si>
    <t>Regulated Utilities</t>
  </si>
  <si>
    <t>Public &amp; Other</t>
  </si>
  <si>
    <t>GAAP Reported Net Income</t>
  </si>
  <si>
    <t>New England</t>
  </si>
  <si>
    <t>PJM West</t>
  </si>
  <si>
    <t>PRB Coal</t>
  </si>
  <si>
    <t>Nuclear</t>
  </si>
  <si>
    <t>NY Zone G</t>
  </si>
  <si>
    <t>NY Zone J</t>
  </si>
  <si>
    <t>NY Zone A</t>
  </si>
  <si>
    <t>ERCOT Houston</t>
  </si>
  <si>
    <t>ERCOT South</t>
  </si>
  <si>
    <t>CAPP Coal</t>
  </si>
  <si>
    <t>Adjusted / Operating Net Income</t>
  </si>
  <si>
    <t>Adjusted / Operating EPS</t>
  </si>
  <si>
    <t>GAAP Reported EPS</t>
  </si>
  <si>
    <t>LT Debt  / Total Cap</t>
  </si>
  <si>
    <t>TOTI, etc.</t>
  </si>
  <si>
    <t>D&amp;A (% of Total)</t>
  </si>
  <si>
    <t>TOTI (% of Total)</t>
  </si>
  <si>
    <t>Capex (% of Total)</t>
  </si>
  <si>
    <t>O&amp;M ($/MWh)</t>
  </si>
  <si>
    <t>This sheet contains Factset binary data for use with this workbook's =FDS codes.  Modifying the worksheet's contents may damage the workbook's =FDS functionality.</t>
  </si>
  <si>
    <t>ETR.N</t>
  </si>
  <si>
    <t>Entergy Corp</t>
  </si>
  <si>
    <t>ETR.N,mscalc:closePriceCurrencyCalc</t>
  </si>
  <si>
    <t>ETR.N,mscalc:targetPrice,,,,USD</t>
  </si>
  <si>
    <t>% Gas on Margin</t>
  </si>
  <si>
    <t>HR Assumption at $4 Gas</t>
  </si>
  <si>
    <t>Assumed Gas ($/mmBtu)</t>
  </si>
  <si>
    <t>Target Power Price Move ($/MWh)</t>
  </si>
  <si>
    <t>Modeled</t>
  </si>
  <si>
    <t>EWC Valuation (With IP)</t>
  </si>
  <si>
    <t>Probability Weigted EWC Valuation</t>
  </si>
  <si>
    <t>Probability of IP Remaining Open</t>
  </si>
  <si>
    <t>David Arcaro</t>
  </si>
  <si>
    <t>(212) 761-1817</t>
  </si>
  <si>
    <t>david.arcaro@morganstanley.com</t>
  </si>
  <si>
    <t>ISO-NE SEMA-RI</t>
  </si>
  <si>
    <t>EFORd</t>
  </si>
  <si>
    <t>NY Basis</t>
  </si>
  <si>
    <t>3Q2014A</t>
  </si>
  <si>
    <t>4Q2014A</t>
  </si>
  <si>
    <t>2014A</t>
  </si>
  <si>
    <t>4.95% Series due December 2044</t>
  </si>
  <si>
    <t>4.95% Series due January 2045</t>
  </si>
  <si>
    <t>1Q19</t>
  </si>
  <si>
    <t>2Q19</t>
  </si>
  <si>
    <t>3Q19</t>
  </si>
  <si>
    <t>4Q19</t>
  </si>
  <si>
    <t>1Q20</t>
  </si>
  <si>
    <t>2Q20</t>
  </si>
  <si>
    <t>3Q20</t>
  </si>
  <si>
    <t>4Q20</t>
  </si>
  <si>
    <t>1Q2020E</t>
  </si>
  <si>
    <t>2Q2020E</t>
  </si>
  <si>
    <t>3Q2020E</t>
  </si>
  <si>
    <t>4Q2020E</t>
  </si>
  <si>
    <t>2020E</t>
  </si>
  <si>
    <t>1Q2019E</t>
  </si>
  <si>
    <t>2Q2019E</t>
  </si>
  <si>
    <t>3Q2019E</t>
  </si>
  <si>
    <t>4Q2019E</t>
  </si>
  <si>
    <t>2019E</t>
  </si>
  <si>
    <t>Assumed Issuance 2019</t>
  </si>
  <si>
    <t>Assumed Issuance 2020</t>
  </si>
  <si>
    <t>Gas assumptions</t>
  </si>
  <si>
    <t>2019 Forward Gas</t>
  </si>
  <si>
    <t>Gas/Power Sensitivity Assumption:</t>
  </si>
  <si>
    <t>Gas Price:</t>
  </si>
  <si>
    <t>Off-Peak Heat Rate Adjustments</t>
  </si>
  <si>
    <t>Chicago Basis</t>
  </si>
  <si>
    <t>Indy Hub Basis</t>
  </si>
  <si>
    <t>Deferred Tax Liability</t>
  </si>
  <si>
    <t>Indian Point Capacity (% of Total Nuclear)</t>
  </si>
  <si>
    <t>Transco Z6 / Mass Hub</t>
  </si>
  <si>
    <t>Transco Z6 / NY</t>
  </si>
  <si>
    <t>NY Zone G Gas Basis ($/mmbtu)</t>
  </si>
  <si>
    <t>1Q2015A</t>
  </si>
  <si>
    <t>2Q2015A</t>
  </si>
  <si>
    <t>3Q2015A</t>
  </si>
  <si>
    <t>4.0% Series senior notes due July 2022</t>
  </si>
  <si>
    <t>5.15% Series first mortgage bonds due June 2045</t>
  </si>
  <si>
    <t>2.670% Tranche A senior secured storm recovery bonds, due June 1, 2027</t>
  </si>
  <si>
    <t>NOL NPV</t>
  </si>
  <si>
    <t>AMT Rate (%)</t>
  </si>
  <si>
    <t>Net Tax Rate (%)</t>
  </si>
  <si>
    <t>NOL Balance</t>
  </si>
  <si>
    <t>NOL Usage</t>
  </si>
  <si>
    <t>NPV</t>
  </si>
  <si>
    <t>Assumed Pension Contribution</t>
  </si>
  <si>
    <t>Net</t>
  </si>
  <si>
    <t>2016-2018</t>
  </si>
  <si>
    <t>Adjusted UP&amp;O</t>
  </si>
  <si>
    <t>Utility, Parent, and Other Operational EPS</t>
  </si>
  <si>
    <t>Arman Tabatabai</t>
  </si>
  <si>
    <t>(212) 761-6358</t>
  </si>
  <si>
    <t>arman.tabatabai@morganstanley.com</t>
  </si>
  <si>
    <t>2015A</t>
  </si>
  <si>
    <t>4Q2015A</t>
  </si>
  <si>
    <t>Fitzpatrick Monetized Hedges</t>
  </si>
  <si>
    <t>Fuel cost</t>
  </si>
  <si>
    <t>1Q2016A</t>
  </si>
  <si>
    <t>3.5% Series first mortgage bonds due April 2026.</t>
  </si>
  <si>
    <t>3.25% Series collateral trust mortgage bonds due April 2028</t>
  </si>
  <si>
    <t>3.375% pollution control refunding revenue bonds Series 2016A due September 2028</t>
  </si>
  <si>
    <t>3.50% pollution control refunding revenue bonds Series 2016B due June 2030</t>
  </si>
  <si>
    <t>2028</t>
  </si>
  <si>
    <t>2030</t>
  </si>
  <si>
    <t>Waterford Series collateral trust mortgage notes due July 2017</t>
  </si>
  <si>
    <t>5.50% Series first mortgage bonds due April 2066</t>
  </si>
  <si>
    <t>2.55% Series first mortgage bonds due June 2021</t>
  </si>
  <si>
    <t>2Q2016A</t>
  </si>
  <si>
    <t>3.05% Series collateral trust mortgage bonds due June 2031</t>
  </si>
  <si>
    <t>2.85% Series first mortgage bonds due June 2028</t>
  </si>
  <si>
    <t>4.00% Series first mortgage bonds due June 2026</t>
  </si>
  <si>
    <t>Ethan Ellison</t>
  </si>
  <si>
    <t>(212) 296-5124</t>
  </si>
  <si>
    <t>ethan.ellison@morganstanley.com</t>
  </si>
  <si>
    <t>UP&amp;O Guidance (High)</t>
  </si>
  <si>
    <t>UP&amp;O Guidance (Low)</t>
  </si>
  <si>
    <t>Guidance</t>
  </si>
  <si>
    <t>2017-19</t>
  </si>
  <si>
    <t>Assumed Disallowed Nuclear Spend</t>
  </si>
  <si>
    <t>Equity Value for 2021 Shutdown</t>
  </si>
  <si>
    <t>2021 Indian Point Shutdown</t>
  </si>
  <si>
    <t>Equity Value Per Share (2021 IP Shutdown)</t>
  </si>
  <si>
    <t>NOL Values</t>
  </si>
  <si>
    <t>Analyst Day Guidance (Total Sales)</t>
  </si>
  <si>
    <t>Resi &amp; Commercial Growth</t>
  </si>
  <si>
    <t>Industrial Growth</t>
  </si>
  <si>
    <t>Updated Resi &amp; Comm (3Q16 Call)</t>
  </si>
  <si>
    <t>MS Assumption (Total Sales)</t>
  </si>
  <si>
    <t>Implied New Total Sales Guidance</t>
  </si>
  <si>
    <t>Sales Growth Outlook</t>
  </si>
  <si>
    <t>EWC Valuation (2021 IP Shut-Down)</t>
  </si>
  <si>
    <t>TERMINAL ASSUMPTIONS</t>
  </si>
  <si>
    <t>3Q2016A</t>
  </si>
  <si>
    <t>1Q2021E</t>
  </si>
  <si>
    <t>2Q2021E</t>
  </si>
  <si>
    <t>3Q2021E</t>
  </si>
  <si>
    <t>4Q2021E</t>
  </si>
  <si>
    <t>2021E</t>
  </si>
  <si>
    <t>2021 Forward Gas</t>
  </si>
  <si>
    <t>1Q21</t>
  </si>
  <si>
    <t>2Q21</t>
  </si>
  <si>
    <t>3Q21</t>
  </si>
  <si>
    <t>4Q21</t>
  </si>
  <si>
    <t>EPS 2015-2021 CAGR</t>
  </si>
  <si>
    <t>Assumed Issuance 2021</t>
  </si>
  <si>
    <t>4.875% First mortgage bonds, due Sept 1, 2066</t>
  </si>
  <si>
    <t>2.950% Senior unsecured notes, due Sept 1, 2026</t>
  </si>
  <si>
    <t>4.875% Collateral trust mortgage bonds, due Sept 1, 2066</t>
  </si>
  <si>
    <t xml:space="preserve">$6.90 </t>
  </si>
  <si>
    <t xml:space="preserve">$4.66 </t>
  </si>
  <si>
    <t xml:space="preserve">$4.72 </t>
  </si>
  <si>
    <t xml:space="preserve">$5.00 </t>
  </si>
  <si>
    <t xml:space="preserve">$5.14 </t>
  </si>
  <si>
    <t>TETCO M3 (For NY Zone A)</t>
  </si>
  <si>
    <t>2016A</t>
  </si>
  <si>
    <t>4Q2016A</t>
  </si>
  <si>
    <t>3.17% Series M due December 2023</t>
  </si>
  <si>
    <t>4.90% Series first mortgage bonds due Oct 2066</t>
  </si>
  <si>
    <t>2.40% Series first mortgage bonds due October 2026</t>
  </si>
  <si>
    <t>ARO Liability</t>
  </si>
  <si>
    <t>Nuclear Decommissioning Trust Asset</t>
  </si>
  <si>
    <t>Return (%)</t>
  </si>
  <si>
    <t>Recognized earnings</t>
  </si>
  <si>
    <t>Accretion ($m)</t>
  </si>
  <si>
    <t>Accretion (%)</t>
  </si>
  <si>
    <t>Total Interest Income</t>
  </si>
  <si>
    <t>yes</t>
  </si>
  <si>
    <t>1Q2017A</t>
  </si>
  <si>
    <t>2Q2017A</t>
  </si>
  <si>
    <t>3.120% Collateral trust mortgage bonds, due Sept 1, 2027</t>
  </si>
  <si>
    <t>3.5% Series first mortgage bonds due April 2026</t>
  </si>
  <si>
    <t>YoY EPS Change</t>
  </si>
  <si>
    <t>84</t>
  </si>
  <si>
    <t>Equal-Weight</t>
  </si>
  <si>
    <t>FFO (Operating Cash Flow - Excluding EWC)</t>
  </si>
  <si>
    <t>Total debt (Excluding EWC)</t>
  </si>
  <si>
    <t>FFO / Total Debt (Operating Cash Flow - Excluding EWC)</t>
  </si>
  <si>
    <t>3Q2017A</t>
  </si>
  <si>
    <t>3.25% Series Q notes</t>
  </si>
  <si>
    <t>3.25% Series G notes</t>
  </si>
  <si>
    <t>2018-2020</t>
  </si>
  <si>
    <t>Load growth</t>
  </si>
  <si>
    <t>4Q2017A</t>
  </si>
  <si>
    <t>2017A</t>
  </si>
  <si>
    <t>3.25% Series first mortgage bonds due due December 2027</t>
  </si>
  <si>
    <t>3.45% Series first mortgage bonds due December 2027</t>
  </si>
  <si>
    <t xml:space="preserve">2.375% Series due 2021, Independence County </t>
  </si>
  <si>
    <t>3.22% Series I Notes due December 2023</t>
  </si>
  <si>
    <t xml:space="preserve">       </t>
  </si>
  <si>
    <t>Research</t>
  </si>
  <si>
    <t>MSA54148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</si>
  <si>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</si>
  <si>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</si>
  <si>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</si>
  <si>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</si>
  <si>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</si>
  <si>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</si>
  <si>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</si>
  <si>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Stephen Byrd</t>
  </si>
  <si>
    <t>Date: 13 Apr 2018</t>
  </si>
  <si>
    <t>Ticker: ETR.N</t>
  </si>
  <si>
    <t>Stock Rating: Equal-Weight</t>
  </si>
  <si>
    <t>Industry: Diversified Utilities / IPPs</t>
  </si>
  <si>
    <t>Industry View: Attractive</t>
  </si>
  <si>
    <t>Price as of 13 Apr 2018: 78.65</t>
  </si>
  <si>
    <t>Target Price: 81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</si>
  <si>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</si>
  <si>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</si>
  <si>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</si>
  <si>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</si>
  <si>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Entergy Corp.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</si>
  <si>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</si>
  <si>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</si>
  <si>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</si>
  <si>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</si>
  <si>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</si>
  <si>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</si>
  <si>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</si>
  <si>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</si>
  <si>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</si>
  <si>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</si>
  <si>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</si>
  <si>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</si>
  <si>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</si>
  <si>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</si>
  <si>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</si>
  <si>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</si>
  <si>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</si>
  <si>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</si>
  <si>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</si>
  <si>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</si>
  <si>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</si>
  <si>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</si>
  <si>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</si>
  <si>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</si>
  <si>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</si>
  <si>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</si>
  <si>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</si>
  <si>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</si>
  <si>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</si>
  <si>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</si>
  <si>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</si>
  <si>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</si>
  <si>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</si>
  <si>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</si>
  <si>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</si>
  <si>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</si>
  <si>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</si>
  <si>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</si>
  <si>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</si>
  <si>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</si>
  <si>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</si>
  <si>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</si>
  <si>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</si>
  <si>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</si>
  <si>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</si>
  <si>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</si>
  <si>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</si>
  <si>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</si>
  <si>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</si>
  <si>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</si>
  <si>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</si>
  <si>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</si>
  <si>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</si>
  <si>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</si>
  <si>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</si>
  <si>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</si>
  <si>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</si>
  <si>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</si>
  <si>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</si>
  <si>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</si>
  <si>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</si>
  <si>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</si>
  <si>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</si>
  <si>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</si>
  <si>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</si>
  <si>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</si>
  <si>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</si>
  <si>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</si>
  <si>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</si>
  <si>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</si>
  <si>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</si>
  <si>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</si>
  <si>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</si>
  <si>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</si>
  <si>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</si>
  <si>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</si>
  <si>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</si>
  <si>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</si>
  <si>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</si>
  <si>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</si>
  <si>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</si>
  <si>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</si>
  <si>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</si>
  <si>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</si>
  <si>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</si>
  <si>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</si>
  <si>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</si>
  <si>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</si>
  <si>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</si>
  <si>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</si>
  <si>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</si>
  <si>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</si>
  <si>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</si>
  <si>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</si>
  <si>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</si>
  <si>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</si>
  <si>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</si>
  <si>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</si>
  <si>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</si>
  <si>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</si>
  <si>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</si>
  <si>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</si>
  <si>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</si>
  <si>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</si>
  <si>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</si>
  <si>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</si>
  <si>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</si>
  <si>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</si>
  <si>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</si>
  <si>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</si>
  <si>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</si>
  <si>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</si>
  <si>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</si>
  <si>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</si>
  <si>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</si>
  <si>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</si>
  <si>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</si>
  <si>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</si>
  <si>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</si>
  <si>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</si>
  <si>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</si>
  <si>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</si>
  <si>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</si>
  <si>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</si>
  <si>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</si>
  <si>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</si>
  <si>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</si>
  <si>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</si>
  <si>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</si>
  <si>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</si>
  <si>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</si>
  <si>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</si>
  <si>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</si>
  <si>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</si>
  <si>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</si>
  <si>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</si>
  <si>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</si>
  <si>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</si>
  <si>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</si>
  <si>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</si>
  <si>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</si>
  <si>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</si>
  <si>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</si>
  <si>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</si>
  <si>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</si>
  <si>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</si>
  <si>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</si>
  <si>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</si>
  <si>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</si>
  <si>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</si>
  <si>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</si>
  <si>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</si>
  <si>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</si>
  <si>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</si>
  <si>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</si>
  <si>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</si>
  <si>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</si>
  <si>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</si>
  <si>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</si>
  <si>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</si>
  <si>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</si>
  <si>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</si>
  <si>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</si>
  <si>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</si>
  <si>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</si>
  <si>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</si>
  <si>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</si>
  <si>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</si>
  <si>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</si>
  <si>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</si>
  <si>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</si>
  <si>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</si>
  <si>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</si>
  <si>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</si>
  <si>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</si>
  <si>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</si>
  <si>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Entergy Corp.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</si>
  <si>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</si>
  <si>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</si>
  <si>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</si>
  <si>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</si>
  <si>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</si>
  <si>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</si>
  <si>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</si>
  <si>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</si>
  <si>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</si>
  <si>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</si>
  <si>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</si>
  <si>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</si>
  <si>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</si>
  <si>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</si>
  <si>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</si>
  <si>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</si>
  <si>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</si>
  <si>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</si>
  <si>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</si>
  <si>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</si>
  <si>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</si>
  <si>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</si>
  <si>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</si>
  <si>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</si>
  <si>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</si>
  <si>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</si>
  <si>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</si>
  <si>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</si>
  <si>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</si>
  <si>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</si>
  <si>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</si>
  <si>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</si>
  <si>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</si>
  <si>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</si>
  <si>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</si>
  <si>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</si>
  <si>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</si>
  <si>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</si>
  <si>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</si>
  <si>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</si>
  <si>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</si>
  <si>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</si>
  <si>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</si>
  <si>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</si>
  <si>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</si>
  <si>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</si>
  <si>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</si>
  <si>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</si>
  <si>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</si>
  <si>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</si>
  <si>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</si>
  <si>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</si>
  <si>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</si>
  <si>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</si>
  <si>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</si>
  <si>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</si>
  <si>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</si>
  <si>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</si>
  <si>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</si>
  <si>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</si>
  <si>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</si>
  <si>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</si>
  <si>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</si>
  <si>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</si>
  <si>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</si>
  <si>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</si>
  <si>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</si>
  <si>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</si>
  <si>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Entergy Corp.</t>
  </si>
  <si>
    <t>Within the last 12 months, Morgan Stanley has provided or is providing investment banking services to,</t>
  </si>
  <si>
    <t>or has an investment banking client relationship with, the following company: Entergy Corp.</t>
  </si>
  <si>
    <t>Within the last 12 months, Morgan Stanley has received compensation for products and services other than</t>
  </si>
  <si>
    <t>investment banking services from Entergy Corp.</t>
  </si>
  <si>
    <t>In the next 3 months, Morgan Stanley expects to receive or intends to seek compensation for investment</t>
  </si>
  <si>
    <t>banking services from Entergy Corp.</t>
  </si>
  <si>
    <t>Within the last 12 months, Morgan Stanley has received compensation for investment banking services from</t>
  </si>
  <si>
    <t>Entergy Corp.</t>
  </si>
  <si>
    <t>Within the last 12 months, Morgan Stanley managed or co-managed a public offering (or 144A offering) of</t>
  </si>
  <si>
    <t>securities of Entergy Corp.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</si>
  <si>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</si>
  <si>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</si>
  <si>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</si>
  <si>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</si>
  <si>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</si>
  <si>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Stephen C Byrd.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</si>
  <si>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</si>
  <si>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</si>
  <si>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</si>
  <si>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</si>
  <si>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</si>
  <si>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</si>
  <si>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</si>
  <si>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</si>
  <si>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</si>
  <si>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</si>
  <si>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</si>
  <si>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</si>
  <si>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</si>
  <si>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</si>
  <si>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</si>
  <si>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</si>
  <si>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</si>
  <si>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</si>
  <si>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</si>
  <si>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</si>
  <si>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</si>
  <si>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</si>
  <si>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</si>
  <si>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</si>
  <si>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</si>
  <si>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</si>
  <si>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</si>
  <si>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</si>
  <si>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</si>
  <si>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</si>
  <si>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</si>
  <si>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</si>
  <si>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</si>
  <si>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</si>
  <si>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</si>
  <si>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</si>
  <si>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</si>
  <si>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</si>
  <si>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</si>
  <si>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</si>
  <si>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</si>
  <si>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</si>
  <si>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</si>
  <si>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</si>
  <si>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</si>
  <si>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</si>
  <si>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</si>
  <si>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</si>
  <si>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</si>
  <si>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</si>
  <si>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</si>
  <si>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</si>
  <si>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</si>
  <si>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</si>
  <si>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</si>
  <si>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</si>
  <si>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</si>
  <si>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</si>
  <si>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</si>
  <si>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</si>
  <si>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</si>
  <si>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</si>
  <si>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</si>
  <si>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</si>
  <si>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</si>
  <si>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</si>
  <si>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</si>
  <si>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Attractive</t>
  </si>
  <si>
    <t>Regular Update</t>
  </si>
  <si>
    <t>NorthAmerica</t>
  </si>
  <si>
    <t>arcaro</t>
  </si>
  <si>
    <t>29364G103</t>
  </si>
  <si>
    <t>L:\UTILITIES\Models\ETR\Published\ETR Model.xlsm</t>
  </si>
  <si>
    <t>[BRO MSA]</t>
  </si>
  <si>
    <t>[PRODUCT MODEL]</t>
  </si>
  <si>
    <t>[EMAIL_ALERT YES]</t>
  </si>
  <si>
    <t>[DISCIPLINE Company]</t>
  </si>
  <si>
    <t>[SUPPRESSED NO]</t>
  </si>
  <si>
    <t>[DOCDAT 2018-04-13]</t>
  </si>
  <si>
    <t>[DOCTIME 17:09]</t>
  </si>
  <si>
    <t>[PSYM ETR.N(S&amp;P) (None)]</t>
  </si>
  <si>
    <t>[COU 1]</t>
  </si>
  <si>
    <t>[ANA ]</t>
  </si>
  <si>
    <t>[HL ETR.N Model]</t>
  </si>
  <si>
    <t>[IND ELECCO]</t>
  </si>
  <si>
    <t>[PANA MSA54148]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</si>
</sst>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mmm\ yy"/>
    <numFmt numFmtId="168" formatCode="[$-F400]h:mm:ss\ AM/PM"/>
    <numFmt numFmtId="169" formatCode="0.0%"/>
    <numFmt numFmtId="170" formatCode="#,##0.0"/>
    <numFmt numFmtId="171" formatCode="0.0\x"/>
    <numFmt numFmtId="172" formatCode="&quot;$&quot;#,##0.00"/>
    <numFmt numFmtId="173" formatCode="0&quot;A&quot;"/>
    <numFmt numFmtId="174" formatCode="0&quot;E&quot;"/>
    <numFmt numFmtId="176" formatCode="0.0"/>
    <numFmt numFmtId="177" formatCode="_(* #,##0_);_(* \(#,##0\);_(* &quot;-&quot;??_);_(@_)"/>
    <numFmt numFmtId="178" formatCode="0_);\(0\)"/>
    <numFmt numFmtId="179" formatCode="_(* #,##0.0_);_(* \(#,##0.0\);_(* &quot;-&quot;??_);_(@_)"/>
    <numFmt numFmtId="180" formatCode="####&quot;A&quot;"/>
    <numFmt numFmtId="181" formatCode="0000&quot;E&quot;"/>
    <numFmt numFmtId="182" formatCode="0.0_);[Red]\(0.0\)"/>
    <numFmt numFmtId="183" formatCode="0.000%"/>
    <numFmt numFmtId="187" formatCode="0000&quot;A&quot;"/>
    <numFmt numFmtId="188" formatCode="[$-409]mmmm\ d\,\ yyyy;@"/>
    <numFmt numFmtId="189" formatCode="#,##0.0_);\(#,##0.0\)"/>
    <numFmt numFmtId="190" formatCode="#,##0.0_);[Red]\(#,##0.0\)"/>
    <numFmt numFmtId="191" formatCode="&quot;$&quot;#,##0.0_);[Red]\(&quot;$&quot;#,##0.0\)"/>
    <numFmt numFmtId="192" formatCode="&quot;$&quot;#,##0.0_);\(&quot;$&quot;#,##0.0\)"/>
    <numFmt numFmtId="193" formatCode="0.000\x"/>
    <numFmt numFmtId="194" formatCode="0.000"/>
    <numFmt numFmtId="195" formatCode="#,##0.000"/>
    <numFmt numFmtId="196" formatCode="_(* #,##0.000_);_(* \(#,##0.000\);_(* &quot;-&quot;??_);_(@_)"/>
    <numFmt numFmtId="197" formatCode="[$$-409]#,##0.00_ ;[Red]\-[$$-409]#,##0.00\ "/>
    <numFmt numFmtId="203" formatCode="mm/dd/yy\ hh:mm"/>
  </numFmts>
  <fonts count="13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indexed="12"/>
      <name val="Arial"/>
      <family val="2"/>
    </font>
    <font>
      <b/>
      <sz val="14"/>
      <color indexed="9"/>
      <name val="Arial"/>
      <family val="2"/>
    </font>
    <font>
      <b/>
      <sz val="10"/>
      <color indexed="16"/>
      <name val="Arial"/>
      <family val="2"/>
    </font>
    <font>
      <b/>
      <sz val="10"/>
      <name val="Arial"/>
      <family val="2"/>
    </font>
    <font>
      <sz val="10"/>
      <color indexed="54"/>
      <name val="Arial"/>
      <family val="2"/>
    </font>
    <font>
      <sz val="10"/>
      <color indexed="16"/>
      <name val="Arial"/>
      <family val="2"/>
    </font>
    <font>
      <b/>
      <sz val="10"/>
      <color indexed="16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12"/>
      <color indexed="53"/>
      <name val="Arial"/>
      <family val="2"/>
    </font>
    <font>
      <sz val="10"/>
      <color indexed="53"/>
      <name val="Arial"/>
      <family val="2"/>
    </font>
    <font>
      <sz val="10"/>
      <color indexed="16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u/>
      <sz val="10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i/>
      <sz val="10"/>
      <color indexed="9"/>
      <name val="Arial"/>
      <family val="2"/>
    </font>
    <font>
      <b/>
      <sz val="8"/>
      <color indexed="16"/>
      <name val="Arial"/>
      <family val="2"/>
    </font>
    <font>
      <sz val="10"/>
      <color indexed="8"/>
      <name val="Arial"/>
      <family val="2"/>
    </font>
    <font>
      <b/>
      <i/>
      <sz val="10"/>
      <color indexed="9"/>
      <name val="Arial"/>
      <family val="2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52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9"/>
      <name val="Arial"/>
      <family val="2"/>
    </font>
    <font>
      <sz val="10"/>
      <color indexed="51"/>
      <name val="Arial"/>
      <family val="2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u/>
      <sz val="10"/>
      <name val="Arial"/>
      <family val="2"/>
    </font>
    <font>
      <sz val="10"/>
      <name val="MS Sans Serif"/>
      <family val="2"/>
    </font>
    <font>
      <sz val="10"/>
      <color indexed="11"/>
      <name val="Arial"/>
      <family val="2"/>
    </font>
    <font>
      <b/>
      <sz val="7"/>
      <color indexed="16"/>
      <name val="Arial"/>
      <family val="2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sz val="10"/>
      <color indexed="52"/>
      <name val="Arial"/>
      <family val="2"/>
    </font>
    <font>
      <sz val="10"/>
      <color indexed="13"/>
      <name val="Arial"/>
      <family val="2"/>
    </font>
    <font>
      <b/>
      <sz val="12"/>
      <color indexed="9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12"/>
      <color indexed="9"/>
      <name val="Arial"/>
      <family val="2"/>
    </font>
    <font>
      <sz val="8"/>
      <color indexed="22"/>
      <name val="Arial"/>
      <family val="2"/>
    </font>
    <font>
      <b/>
      <sz val="11"/>
      <color indexed="16"/>
      <name val="Arial"/>
      <family val="2"/>
    </font>
    <font>
      <sz val="10"/>
      <color indexed="8"/>
      <name val="MS Sans Serif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b/>
      <sz val="10"/>
      <color indexed="52"/>
      <name val="Arial"/>
      <family val="2"/>
    </font>
    <font>
      <sz val="10"/>
      <color indexed="60"/>
      <name val="Arial"/>
      <family val="2"/>
    </font>
    <font>
      <b/>
      <sz val="12"/>
      <color indexed="16"/>
      <name val="Arial Narrow"/>
      <family val="2"/>
    </font>
    <font>
      <b/>
      <sz val="10"/>
      <name val="Times New Roman"/>
      <family val="1"/>
    </font>
    <font>
      <b/>
      <sz val="10"/>
      <color indexed="60"/>
      <name val="Arial"/>
      <family val="2"/>
    </font>
    <font>
      <b/>
      <sz val="10"/>
      <color indexed="23"/>
      <name val="Arial"/>
      <family val="2"/>
    </font>
    <font>
      <sz val="10"/>
      <color indexed="60"/>
      <name val="Arial"/>
      <family val="2"/>
    </font>
    <font>
      <u/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2"/>
      <color indexed="16"/>
      <name val="Arial"/>
      <family val="2"/>
    </font>
    <font>
      <sz val="12"/>
      <color indexed="53"/>
      <name val="Arial"/>
      <family val="2"/>
    </font>
    <font>
      <b/>
      <sz val="12"/>
      <color indexed="12"/>
      <name val="Arial"/>
      <family val="2"/>
    </font>
    <font>
      <sz val="12"/>
      <color indexed="16"/>
      <name val="Arial"/>
      <family val="2"/>
    </font>
    <font>
      <sz val="7"/>
      <color indexed="22"/>
      <name val="Arial"/>
      <family val="2"/>
    </font>
    <font>
      <b/>
      <i/>
      <sz val="10"/>
      <name val="Arial"/>
      <family val="2"/>
    </font>
    <font>
      <b/>
      <u/>
      <sz val="10"/>
      <color indexed="63"/>
      <name val="Arial"/>
      <family val="2"/>
    </font>
    <font>
      <b/>
      <u/>
      <sz val="10"/>
      <color indexed="52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u/>
      <sz val="10"/>
      <color indexed="52"/>
      <name val="Arial"/>
      <family val="2"/>
    </font>
    <font>
      <i/>
      <sz val="10"/>
      <color indexed="63"/>
      <name val="Arial"/>
      <family val="2"/>
    </font>
    <font>
      <b/>
      <i/>
      <sz val="10"/>
      <color indexed="63"/>
      <name val="Arial"/>
      <family val="2"/>
    </font>
    <font>
      <b/>
      <sz val="18"/>
      <color indexed="9"/>
      <name val="Arial"/>
      <family val="2"/>
    </font>
    <font>
      <sz val="8"/>
      <color indexed="63"/>
      <name val="Arial"/>
      <family val="2"/>
    </font>
    <font>
      <i/>
      <sz val="10"/>
      <color indexed="63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24"/>
      <name val="Arial"/>
      <family val="2"/>
    </font>
    <font>
      <sz val="10"/>
      <color indexed="24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2"/>
      <name val="바탕체"/>
      <family val="3"/>
      <charset val="129"/>
    </font>
    <font>
      <sz val="12"/>
      <name val="바탕체"/>
      <family val="3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10"/>
      <color rgb="FF00B05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</fills>
  <borders count="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16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dashDot">
        <color indexed="16"/>
      </right>
      <top/>
      <bottom/>
      <diagonal/>
    </border>
    <border>
      <left style="thin">
        <color indexed="16"/>
      </left>
      <right/>
      <top/>
      <bottom/>
      <diagonal/>
    </border>
    <border>
      <left style="medium">
        <color indexed="16"/>
      </left>
      <right/>
      <top/>
      <bottom/>
      <diagonal/>
    </border>
    <border>
      <left style="medium">
        <color indexed="60"/>
      </left>
      <right style="dashDot">
        <color indexed="16"/>
      </right>
      <top/>
      <bottom style="medium">
        <color indexed="60"/>
      </bottom>
      <diagonal/>
    </border>
    <border>
      <left/>
      <right style="dashDot">
        <color indexed="16"/>
      </right>
      <top/>
      <bottom style="medium">
        <color indexed="60"/>
      </bottom>
      <diagonal/>
    </border>
    <border>
      <left style="thin">
        <color indexed="16"/>
      </left>
      <right/>
      <top/>
      <bottom style="medium">
        <color indexed="60"/>
      </bottom>
      <diagonal/>
    </border>
    <border>
      <left/>
      <right/>
      <top/>
      <bottom style="medium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0"/>
      </left>
      <right/>
      <top style="medium">
        <color indexed="60"/>
      </top>
      <bottom style="thin">
        <color indexed="64"/>
      </bottom>
      <diagonal/>
    </border>
    <border>
      <left/>
      <right/>
      <top style="medium">
        <color indexed="60"/>
      </top>
      <bottom style="thin">
        <color indexed="64"/>
      </bottom>
      <diagonal/>
    </border>
    <border>
      <left/>
      <right style="thin">
        <color indexed="64"/>
      </right>
      <top style="medium">
        <color indexed="60"/>
      </top>
      <bottom style="thin">
        <color indexed="64"/>
      </bottom>
      <diagonal/>
    </border>
    <border>
      <left style="thin">
        <color indexed="64"/>
      </left>
      <right/>
      <top style="medium">
        <color indexed="60"/>
      </top>
      <bottom/>
      <diagonal/>
    </border>
    <border>
      <left/>
      <right/>
      <top style="medium">
        <color indexed="60"/>
      </top>
      <bottom/>
      <diagonal/>
    </border>
    <border>
      <left/>
      <right style="thin">
        <color indexed="64"/>
      </right>
      <top style="medium">
        <color indexed="60"/>
      </top>
      <bottom/>
      <diagonal/>
    </border>
    <border>
      <left style="medium">
        <color indexed="60"/>
      </left>
      <right/>
      <top/>
      <bottom/>
      <diagonal/>
    </border>
    <border>
      <left/>
      <right/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0000"/>
      </right>
      <top/>
      <bottom style="medium">
        <color indexed="60"/>
      </bottom>
      <diagonal/>
    </border>
    <border>
      <left style="medium">
        <color indexed="6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92">
    <xf numFmtId="0" fontId="0" fillId="0" borderId="0" applyNumberFormat="0" applyFont="0" applyFill="0" applyBorder="0" applyAlignment="0" applyProtection="0"/>
    <xf numFmtId="0" fontId="112" fillId="0" borderId="0" applyNumberFormat="0" applyFont="0" applyFill="0" applyBorder="0" applyAlignment="0" applyProtection="0"/>
    <xf numFmtId="0" fontId="1" fillId="0" borderId="0"/>
    <xf numFmtId="0" fontId="41" fillId="0" borderId="0"/>
    <xf numFmtId="0" fontId="41" fillId="0" borderId="0"/>
    <xf numFmtId="0" fontId="47" fillId="0" borderId="0"/>
    <xf numFmtId="0" fontId="41" fillId="0" borderId="0"/>
    <xf numFmtId="0" fontId="56" fillId="2" borderId="0" applyNumberFormat="0" applyBorder="0" applyAlignment="0" applyProtection="0"/>
    <xf numFmtId="0" fontId="56" fillId="3" borderId="0" applyNumberFormat="0" applyBorder="0" applyAlignment="0" applyProtection="0"/>
    <xf numFmtId="0" fontId="56" fillId="4" borderId="0" applyNumberFormat="0" applyBorder="0" applyAlignment="0" applyProtection="0"/>
    <xf numFmtId="0" fontId="56" fillId="5" borderId="0" applyNumberFormat="0" applyBorder="0" applyAlignment="0" applyProtection="0"/>
    <xf numFmtId="0" fontId="56" fillId="6" borderId="0" applyNumberFormat="0" applyBorder="0" applyAlignment="0" applyProtection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5" borderId="0" applyNumberFormat="0" applyBorder="0" applyAlignment="0" applyProtection="0"/>
    <xf numFmtId="0" fontId="56" fillId="8" borderId="0" applyNumberFormat="0" applyBorder="0" applyAlignment="0" applyProtection="0"/>
    <xf numFmtId="0" fontId="56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7" borderId="0" applyNumberFormat="0" applyBorder="0" applyAlignment="0" applyProtection="0"/>
    <xf numFmtId="0" fontId="57" fillId="18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9" borderId="0" applyNumberFormat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8" fillId="3" borderId="0" applyNumberFormat="0" applyBorder="0" applyAlignment="0" applyProtection="0"/>
    <xf numFmtId="0" fontId="42" fillId="0" borderId="0"/>
    <xf numFmtId="0" fontId="1" fillId="0" borderId="0"/>
    <xf numFmtId="0" fontId="1" fillId="0" borderId="0"/>
    <xf numFmtId="0" fontId="59" fillId="20" borderId="1" applyNumberFormat="0" applyAlignment="0" applyProtection="0"/>
    <xf numFmtId="0" fontId="60" fillId="21" borderId="2" applyNumberFormat="0" applyAlignment="0" applyProtection="0"/>
    <xf numFmtId="43" fontId="1" fillId="0" borderId="0" applyFont="0" applyFill="0" applyBorder="0" applyAlignment="0" applyProtection="0"/>
    <xf numFmtId="38" fontId="41" fillId="0" borderId="0" applyFont="0" applyFill="0" applyBorder="0" applyAlignment="0" applyProtection="0"/>
    <xf numFmtId="44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0" fontId="61" fillId="0" borderId="0" applyNumberFormat="0" applyFill="0" applyBorder="0" applyAlignment="0" applyProtection="0"/>
    <xf numFmtId="0" fontId="62" fillId="4" borderId="0" applyNumberFormat="0" applyBorder="0" applyAlignment="0" applyProtection="0"/>
    <xf numFmtId="0" fontId="63" fillId="0" borderId="3" applyNumberFormat="0" applyFill="0" applyAlignment="0" applyProtection="0"/>
    <xf numFmtId="0" fontId="64" fillId="0" borderId="4" applyNumberFormat="0" applyFill="0" applyAlignment="0" applyProtection="0"/>
    <xf numFmtId="0" fontId="65" fillId="0" borderId="5" applyNumberFormat="0" applyFill="0" applyAlignment="0" applyProtection="0"/>
    <xf numFmtId="0" fontId="65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66" fillId="7" borderId="1" applyNumberFormat="0" applyAlignment="0" applyProtection="0"/>
    <xf numFmtId="0" fontId="67" fillId="0" borderId="6" applyNumberFormat="0" applyFill="0" applyAlignment="0" applyProtection="0"/>
    <xf numFmtId="0" fontId="68" fillId="22" borderId="0" applyNumberFormat="0" applyBorder="0" applyAlignment="0" applyProtection="0"/>
    <xf numFmtId="0" fontId="1" fillId="0" borderId="0"/>
    <xf numFmtId="0" fontId="82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5" fillId="0" borderId="0" applyNumberFormat="0" applyFont="0" applyFill="0" applyBorder="0" applyAlignment="0" applyProtection="0"/>
    <xf numFmtId="0" fontId="1" fillId="0" borderId="0"/>
    <xf numFmtId="0" fontId="1" fillId="0" borderId="0"/>
    <xf numFmtId="0" fontId="119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69" fillId="23" borderId="7" applyNumberFormat="0" applyFont="0" applyAlignment="0" applyProtection="0"/>
    <xf numFmtId="0" fontId="70" fillId="20" borderId="8" applyNumberFormat="0" applyAlignment="0" applyProtection="0"/>
    <xf numFmtId="0" fontId="43" fillId="0" borderId="0">
      <alignment vertical="center"/>
    </xf>
    <xf numFmtId="9" fontId="1" fillId="0" borderId="0" applyFont="0" applyFill="0" applyBorder="0" applyAlignment="0" applyProtection="0"/>
    <xf numFmtId="0" fontId="5" fillId="24" borderId="0" applyNumberFormat="0" applyFont="0" applyBorder="0" applyAlignment="0" applyProtection="0"/>
    <xf numFmtId="0" fontId="1" fillId="24" borderId="0" applyNumberFormat="0" applyFont="0" applyBorder="0" applyAlignment="0" applyProtection="0"/>
    <xf numFmtId="0" fontId="44" fillId="0" borderId="0"/>
    <xf numFmtId="0" fontId="44" fillId="0" borderId="9">
      <alignment horizontal="centerContinuous"/>
    </xf>
    <xf numFmtId="0" fontId="45" fillId="0" borderId="9"/>
    <xf numFmtId="0" fontId="71" fillId="0" borderId="0" applyNumberFormat="0" applyFill="0" applyBorder="0" applyAlignment="0" applyProtection="0"/>
    <xf numFmtId="0" fontId="72" fillId="0" borderId="10" applyNumberFormat="0" applyFill="0" applyAlignment="0" applyProtection="0"/>
    <xf numFmtId="0" fontId="73" fillId="0" borderId="0" applyNumberFormat="0" applyFill="0" applyBorder="0" applyAlignment="0" applyProtection="0"/>
    <xf numFmtId="0" fontId="1" fillId="0" borderId="0" applyFont="0" applyFill="0" applyBorder="0" applyAlignment="0" applyProtection="0"/>
    <xf numFmtId="0" fontId="120" fillId="0" borderId="0" applyFont="0" applyFill="0" applyBorder="0" applyAlignment="0" applyProtection="0"/>
    <xf numFmtId="0" fontId="121" fillId="0" borderId="0"/>
    <xf numFmtId="0" fontId="123" fillId="0" borderId="0"/>
    <xf numFmtId="164" fontId="123" fillId="0" borderId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28" fillId="0" borderId="0"/>
  </cellStyleXfs>
  <cellXfs count="2079">
    <xf numFmtId="0" fontId="0" fillId="0" borderId="0" xfId="0"/>
    <xf numFmtId="6" fontId="36" fillId="0" borderId="0" xfId="1" applyNumberFormat="1" applyFont="1" applyFill="1" applyBorder="1" applyAlignment="1">
      <alignment horizontal="center"/>
    </xf>
    <xf numFmtId="6" fontId="36" fillId="0" borderId="15" xfId="1" applyNumberFormat="1" applyFont="1" applyFill="1" applyBorder="1" applyAlignment="1">
      <alignment horizontal="center"/>
    </xf>
    <xf numFmtId="6" fontId="1" fillId="0" borderId="0" xfId="59" applyNumberFormat="1"/>
    <xf numFmtId="6" fontId="115" fillId="0" borderId="16" xfId="43" applyNumberFormat="1" applyFont="1" applyFill="1" applyBorder="1"/>
    <xf numFmtId="0" fontId="0" fillId="0" borderId="0" xfId="1" applyFont="1" applyFill="1" applyBorder="1"/>
    <xf numFmtId="3" fontId="0" fillId="0" borderId="0" xfId="1" applyNumberFormat="1" applyFont="1" applyFill="1" applyBorder="1"/>
    <xf numFmtId="0" fontId="0" fillId="25" borderId="0" xfId="1" applyFont="1" applyFill="1" applyBorder="1"/>
    <xf numFmtId="0" fontId="0" fillId="0" borderId="0" xfId="1" applyFont="1" applyFill="1"/>
    <xf numFmtId="168" fontId="7" fillId="27" borderId="0" xfId="1" applyNumberFormat="1" applyFont="1" applyFill="1"/>
    <xf numFmtId="168" fontId="6" fillId="27" borderId="0" xfId="1" applyNumberFormat="1" applyFont="1" applyFill="1"/>
    <xf numFmtId="168" fontId="13" fillId="27" borderId="0" xfId="1" applyNumberFormat="1" applyFont="1" applyFill="1"/>
    <xf numFmtId="168" fontId="14" fillId="27" borderId="0" xfId="1" applyNumberFormat="1" applyFont="1" applyFill="1"/>
    <xf numFmtId="168" fontId="12" fillId="27" borderId="0" xfId="1" applyNumberFormat="1" applyFont="1" applyFill="1"/>
    <xf numFmtId="168" fontId="11" fillId="27" borderId="0" xfId="1" applyNumberFormat="1" applyFont="1" applyFill="1"/>
    <xf numFmtId="168" fontId="15" fillId="27" borderId="0" xfId="1" applyNumberFormat="1" applyFont="1" applyFill="1"/>
    <xf numFmtId="0" fontId="1" fillId="0" borderId="0" xfId="1" applyFont="1" applyFill="1" applyBorder="1"/>
    <xf numFmtId="0" fontId="0" fillId="27" borderId="0" xfId="1" applyFont="1" applyFill="1" applyBorder="1"/>
    <xf numFmtId="3" fontId="0" fillId="25" borderId="0" xfId="1" applyNumberFormat="1" applyFont="1" applyFill="1" applyBorder="1"/>
    <xf numFmtId="0" fontId="0" fillId="0" borderId="0" xfId="1" applyFont="1" applyBorder="1"/>
    <xf numFmtId="3" fontId="4" fillId="0" borderId="0" xfId="1" applyNumberFormat="1" applyFont="1" applyFill="1" applyBorder="1"/>
    <xf numFmtId="3" fontId="5" fillId="0" borderId="0" xfId="1" applyNumberFormat="1" applyFont="1" applyFill="1" applyBorder="1"/>
    <xf numFmtId="168" fontId="11" fillId="27" borderId="0" xfId="1" applyNumberFormat="1" applyFont="1" applyFill="1" applyAlignment="1">
      <alignment horizontal="right"/>
    </xf>
    <xf numFmtId="4" fontId="0" fillId="0" borderId="0" xfId="1" applyNumberFormat="1" applyFont="1" applyFill="1" applyBorder="1"/>
    <xf numFmtId="9" fontId="5" fillId="0" borderId="0" xfId="1" applyNumberFormat="1" applyFont="1" applyFill="1" applyBorder="1"/>
    <xf numFmtId="169" fontId="0" fillId="0" borderId="0" xfId="1" applyNumberFormat="1" applyFont="1" applyFill="1" applyBorder="1"/>
    <xf numFmtId="169" fontId="5" fillId="0" borderId="0" xfId="1" applyNumberFormat="1" applyFont="1" applyFill="1" applyBorder="1"/>
    <xf numFmtId="4" fontId="4" fillId="0" borderId="0" xfId="1" applyNumberFormat="1" applyFont="1" applyFill="1" applyBorder="1"/>
    <xf numFmtId="169" fontId="1" fillId="0" borderId="0" xfId="1" applyNumberFormat="1" applyFont="1" applyFill="1" applyBorder="1"/>
    <xf numFmtId="168" fontId="26" fillId="27" borderId="0" xfId="1" applyNumberFormat="1" applyFont="1" applyFill="1"/>
    <xf numFmtId="168" fontId="12" fillId="27" borderId="0" xfId="1" applyNumberFormat="1" applyFont="1" applyFill="1" applyBorder="1"/>
    <xf numFmtId="0" fontId="5" fillId="0" borderId="0" xfId="1" applyFont="1" applyFill="1" applyBorder="1"/>
    <xf numFmtId="0" fontId="21" fillId="0" borderId="0" xfId="1" applyFont="1" applyFill="1" applyBorder="1"/>
    <xf numFmtId="3" fontId="35" fillId="0" borderId="0" xfId="1" applyNumberFormat="1" applyFont="1" applyFill="1" applyBorder="1"/>
    <xf numFmtId="0" fontId="1" fillId="0" borderId="0" xfId="1" applyFont="1"/>
    <xf numFmtId="171" fontId="0" fillId="0" borderId="0" xfId="1" applyNumberFormat="1" applyFont="1" applyFill="1" applyBorder="1"/>
    <xf numFmtId="0" fontId="4" fillId="0" borderId="0" xfId="1" applyFont="1" applyFill="1" applyBorder="1"/>
    <xf numFmtId="0" fontId="4" fillId="0" borderId="0" xfId="1" applyFont="1"/>
    <xf numFmtId="49" fontId="0" fillId="0" borderId="0" xfId="1" applyNumberFormat="1" applyFont="1"/>
    <xf numFmtId="177" fontId="4" fillId="0" borderId="0" xfId="41" applyNumberFormat="1" applyFont="1"/>
    <xf numFmtId="0" fontId="46" fillId="0" borderId="0" xfId="1" applyFont="1"/>
    <xf numFmtId="0" fontId="4" fillId="0" borderId="0" xfId="1" applyFont="1" applyBorder="1"/>
    <xf numFmtId="0" fontId="30" fillId="0" borderId="0" xfId="1" applyFont="1"/>
    <xf numFmtId="169" fontId="35" fillId="0" borderId="0" xfId="1" applyNumberFormat="1" applyFont="1" applyFill="1" applyBorder="1"/>
    <xf numFmtId="177" fontId="5" fillId="0" borderId="0" xfId="41" applyNumberFormat="1" applyFont="1" applyFill="1" applyBorder="1"/>
    <xf numFmtId="168" fontId="14" fillId="27" borderId="0" xfId="1" applyNumberFormat="1" applyFont="1" applyFill="1" applyAlignment="1">
      <alignment horizontal="right"/>
    </xf>
    <xf numFmtId="168" fontId="51" fillId="27" borderId="0" xfId="1" applyNumberFormat="1" applyFont="1" applyFill="1"/>
    <xf numFmtId="166" fontId="8" fillId="0" borderId="14" xfId="1" applyNumberFormat="1" applyFont="1" applyFill="1" applyBorder="1"/>
    <xf numFmtId="166" fontId="27" fillId="0" borderId="14" xfId="1" applyNumberFormat="1" applyFont="1" applyFill="1" applyBorder="1" applyAlignment="1">
      <alignment horizontal="right"/>
    </xf>
    <xf numFmtId="0" fontId="8" fillId="0" borderId="18" xfId="42" applyNumberFormat="1" applyFont="1" applyBorder="1" applyAlignment="1">
      <alignment horizontal="center"/>
    </xf>
    <xf numFmtId="0" fontId="8" fillId="0" borderId="14" xfId="42" applyNumberFormat="1" applyFont="1" applyBorder="1" applyAlignment="1">
      <alignment horizontal="center"/>
    </xf>
    <xf numFmtId="38" fontId="8" fillId="0" borderId="14" xfId="42" applyNumberFormat="1" applyFont="1" applyBorder="1" applyAlignment="1">
      <alignment horizontal="center"/>
    </xf>
    <xf numFmtId="166" fontId="0" fillId="0" borderId="14" xfId="1" applyNumberFormat="1" applyFont="1" applyFill="1" applyBorder="1"/>
    <xf numFmtId="180" fontId="8" fillId="0" borderId="19" xfId="1" applyNumberFormat="1" applyFont="1" applyFill="1" applyBorder="1" applyAlignment="1">
      <alignment horizontal="right"/>
    </xf>
    <xf numFmtId="181" fontId="8" fillId="0" borderId="19" xfId="1" applyNumberFormat="1" applyFont="1" applyFill="1" applyBorder="1" applyAlignment="1">
      <alignment horizontal="right"/>
    </xf>
    <xf numFmtId="166" fontId="8" fillId="25" borderId="20" xfId="1" applyNumberFormat="1" applyFont="1" applyFill="1" applyBorder="1" applyAlignment="1">
      <alignment horizontal="right"/>
    </xf>
    <xf numFmtId="166" fontId="8" fillId="25" borderId="21" xfId="1" applyNumberFormat="1" applyFont="1" applyFill="1" applyBorder="1" applyAlignment="1">
      <alignment horizontal="right"/>
    </xf>
    <xf numFmtId="166" fontId="8" fillId="25" borderId="22" xfId="1" applyNumberFormat="1" applyFont="1" applyFill="1" applyBorder="1" applyAlignment="1">
      <alignment horizontal="right"/>
    </xf>
    <xf numFmtId="0" fontId="8" fillId="0" borderId="23" xfId="1" applyNumberFormat="1" applyFont="1" applyFill="1" applyBorder="1" applyAlignment="1">
      <alignment horizontal="right"/>
    </xf>
    <xf numFmtId="0" fontId="4" fillId="0" borderId="12" xfId="1" applyFont="1" applyFill="1" applyBorder="1" applyAlignment="1"/>
    <xf numFmtId="0" fontId="20" fillId="0" borderId="24" xfId="1" applyFont="1" applyBorder="1" applyAlignment="1"/>
    <xf numFmtId="0" fontId="20" fillId="0" borderId="25" xfId="42" applyNumberFormat="1" applyFont="1" applyBorder="1" applyAlignment="1">
      <alignment horizontal="center"/>
    </xf>
    <xf numFmtId="0" fontId="20" fillId="0" borderId="24" xfId="42" applyNumberFormat="1" applyFont="1" applyBorder="1" applyAlignment="1">
      <alignment horizontal="center"/>
    </xf>
    <xf numFmtId="38" fontId="20" fillId="0" borderId="24" xfId="42" applyNumberFormat="1" applyFont="1" applyBorder="1" applyAlignment="1">
      <alignment horizontal="center"/>
    </xf>
    <xf numFmtId="0" fontId="20" fillId="0" borderId="26" xfId="1" applyFont="1" applyBorder="1" applyAlignment="1">
      <alignment horizontal="left"/>
    </xf>
    <xf numFmtId="0" fontId="20" fillId="0" borderId="24" xfId="1" applyFont="1" applyBorder="1" applyAlignment="1">
      <alignment horizontal="right"/>
    </xf>
    <xf numFmtId="0" fontId="20" fillId="25" borderId="25" xfId="1" applyFont="1" applyFill="1" applyBorder="1" applyAlignment="1">
      <alignment horizontal="right"/>
    </xf>
    <xf numFmtId="0" fontId="20" fillId="25" borderId="24" xfId="1" applyFont="1" applyFill="1" applyBorder="1" applyAlignment="1">
      <alignment horizontal="right"/>
    </xf>
    <xf numFmtId="0" fontId="20" fillId="25" borderId="26" xfId="1" applyFont="1" applyFill="1" applyBorder="1" applyAlignment="1">
      <alignment horizontal="right"/>
    </xf>
    <xf numFmtId="0" fontId="20" fillId="0" borderId="26" xfId="1" applyFont="1" applyBorder="1" applyAlignment="1">
      <alignment horizontal="right"/>
    </xf>
    <xf numFmtId="0" fontId="3" fillId="27" borderId="0" xfId="1" applyFont="1" applyFill="1" applyBorder="1"/>
    <xf numFmtId="0" fontId="4" fillId="0" borderId="0" xfId="1" applyFont="1" applyFill="1" applyBorder="1" applyAlignment="1"/>
    <xf numFmtId="177" fontId="4" fillId="0" borderId="30" xfId="41" applyNumberFormat="1" applyFont="1" applyFill="1" applyBorder="1" applyAlignment="1">
      <alignment horizontal="right"/>
    </xf>
    <xf numFmtId="177" fontId="4" fillId="0" borderId="0" xfId="41" applyNumberFormat="1" applyFont="1" applyFill="1" applyBorder="1" applyAlignment="1">
      <alignment horizontal="right"/>
    </xf>
    <xf numFmtId="177" fontId="4" fillId="25" borderId="27" xfId="41" applyNumberFormat="1" applyFont="1" applyFill="1" applyBorder="1" applyAlignment="1">
      <alignment horizontal="right"/>
    </xf>
    <xf numFmtId="177" fontId="4" fillId="25" borderId="0" xfId="41" applyNumberFormat="1" applyFont="1" applyFill="1" applyBorder="1" applyAlignment="1">
      <alignment horizontal="right"/>
    </xf>
    <xf numFmtId="177" fontId="4" fillId="25" borderId="16" xfId="41" applyNumberFormat="1" applyFont="1" applyFill="1" applyBorder="1" applyAlignment="1">
      <alignment horizontal="right"/>
    </xf>
    <xf numFmtId="177" fontId="4" fillId="0" borderId="27" xfId="41" applyNumberFormat="1" applyFont="1" applyFill="1" applyBorder="1" applyAlignment="1">
      <alignment horizontal="right"/>
    </xf>
    <xf numFmtId="177" fontId="4" fillId="0" borderId="0" xfId="41" applyNumberFormat="1" applyFont="1" applyBorder="1" applyAlignment="1">
      <alignment horizontal="right"/>
    </xf>
    <xf numFmtId="177" fontId="53" fillId="0" borderId="29" xfId="41" applyNumberFormat="1" applyFont="1" applyFill="1" applyBorder="1" applyAlignment="1"/>
    <xf numFmtId="177" fontId="53" fillId="0" borderId="14" xfId="41" applyNumberFormat="1" applyFont="1" applyFill="1" applyBorder="1" applyAlignment="1">
      <alignment horizontal="right"/>
    </xf>
    <xf numFmtId="177" fontId="4" fillId="0" borderId="16" xfId="41" applyNumberFormat="1" applyFont="1" applyFill="1" applyBorder="1" applyAlignment="1"/>
    <xf numFmtId="169" fontId="36" fillId="0" borderId="0" xfId="75" applyNumberFormat="1" applyFont="1" applyFill="1" applyBorder="1"/>
    <xf numFmtId="8" fontId="0" fillId="0" borderId="0" xfId="1" applyNumberFormat="1" applyFont="1" applyFill="1" applyBorder="1"/>
    <xf numFmtId="169" fontId="4" fillId="0" borderId="0" xfId="1" applyNumberFormat="1" applyFont="1" applyFill="1" applyBorder="1"/>
    <xf numFmtId="8" fontId="4" fillId="0" borderId="0" xfId="1" applyNumberFormat="1" applyFont="1" applyFill="1" applyBorder="1"/>
    <xf numFmtId="37" fontId="4" fillId="0" borderId="0" xfId="1" applyNumberFormat="1" applyFont="1" applyFill="1" applyBorder="1"/>
    <xf numFmtId="169" fontId="20" fillId="0" borderId="0" xfId="1" applyNumberFormat="1" applyFont="1" applyFill="1" applyBorder="1"/>
    <xf numFmtId="37" fontId="4" fillId="0" borderId="0" xfId="41" applyNumberFormat="1" applyFont="1" applyFill="1" applyBorder="1"/>
    <xf numFmtId="9" fontId="36" fillId="0" borderId="0" xfId="1" applyNumberFormat="1" applyFont="1" applyFill="1" applyBorder="1"/>
    <xf numFmtId="0" fontId="20" fillId="0" borderId="0" xfId="1" applyFont="1"/>
    <xf numFmtId="0" fontId="3" fillId="27" borderId="20" xfId="1" applyFont="1" applyFill="1" applyBorder="1"/>
    <xf numFmtId="0" fontId="16" fillId="27" borderId="21" xfId="1" applyFont="1" applyFill="1" applyBorder="1"/>
    <xf numFmtId="9" fontId="35" fillId="0" borderId="0" xfId="75" applyFont="1"/>
    <xf numFmtId="177" fontId="0" fillId="0" borderId="0" xfId="1" applyNumberFormat="1" applyFont="1"/>
    <xf numFmtId="169" fontId="35" fillId="0" borderId="0" xfId="75" applyNumberFormat="1" applyFont="1" applyFill="1"/>
    <xf numFmtId="10" fontId="35" fillId="0" borderId="0" xfId="75" applyNumberFormat="1" applyFont="1" applyFill="1"/>
    <xf numFmtId="43" fontId="35" fillId="0" borderId="0" xfId="41" applyFont="1" applyFill="1"/>
    <xf numFmtId="179" fontId="35" fillId="0" borderId="0" xfId="41" applyNumberFormat="1" applyFont="1" applyFill="1"/>
    <xf numFmtId="177" fontId="35" fillId="0" borderId="0" xfId="41" applyNumberFormat="1" applyFont="1" applyFill="1"/>
    <xf numFmtId="171" fontId="5" fillId="0" borderId="0" xfId="1" applyNumberFormat="1" applyFont="1" applyFill="1" applyBorder="1"/>
    <xf numFmtId="0" fontId="74" fillId="27" borderId="20" xfId="1" applyFont="1" applyFill="1" applyBorder="1"/>
    <xf numFmtId="0" fontId="38" fillId="27" borderId="21" xfId="1" applyFont="1" applyFill="1" applyBorder="1"/>
    <xf numFmtId="0" fontId="5" fillId="0" borderId="0" xfId="1" applyFont="1"/>
    <xf numFmtId="9" fontId="5" fillId="0" borderId="0" xfId="75" applyFont="1" applyFill="1" applyBorder="1"/>
    <xf numFmtId="169" fontId="0" fillId="0" borderId="0" xfId="75" applyNumberFormat="1" applyFont="1" applyFill="1" applyBorder="1"/>
    <xf numFmtId="9" fontId="0" fillId="0" borderId="0" xfId="1" applyNumberFormat="1" applyFont="1" applyFill="1" applyBorder="1"/>
    <xf numFmtId="177" fontId="0" fillId="0" borderId="0" xfId="41" applyNumberFormat="1" applyFont="1" applyFill="1" applyBorder="1"/>
    <xf numFmtId="177" fontId="35" fillId="0" borderId="0" xfId="41" applyNumberFormat="1" applyFont="1" applyFill="1" applyBorder="1"/>
    <xf numFmtId="43" fontId="0" fillId="0" borderId="0" xfId="41" applyNumberFormat="1" applyFont="1" applyFill="1" applyBorder="1"/>
    <xf numFmtId="177" fontId="4" fillId="0" borderId="0" xfId="41" applyNumberFormat="1" applyFont="1" applyFill="1" applyBorder="1"/>
    <xf numFmtId="9" fontId="1" fillId="0" borderId="0" xfId="75" applyFill="1" applyBorder="1"/>
    <xf numFmtId="0" fontId="4" fillId="0" borderId="0" xfId="1" applyFont="1" applyAlignment="1">
      <alignment horizontal="center"/>
    </xf>
    <xf numFmtId="0" fontId="5" fillId="25" borderId="0" xfId="1" applyFont="1" applyFill="1" applyBorder="1"/>
    <xf numFmtId="168" fontId="79" fillId="27" borderId="0" xfId="1" applyNumberFormat="1" applyFont="1" applyFill="1"/>
    <xf numFmtId="168" fontId="79" fillId="27" borderId="0" xfId="1" applyNumberFormat="1" applyFont="1" applyFill="1" applyBorder="1"/>
    <xf numFmtId="0" fontId="38" fillId="27" borderId="0" xfId="1" applyFont="1" applyFill="1"/>
    <xf numFmtId="168" fontId="74" fillId="27" borderId="0" xfId="1" applyNumberFormat="1" applyFont="1" applyFill="1"/>
    <xf numFmtId="168" fontId="38" fillId="27" borderId="0" xfId="1" applyNumberFormat="1" applyFont="1" applyFill="1"/>
    <xf numFmtId="168" fontId="15" fillId="27" borderId="0" xfId="1" applyNumberFormat="1" applyFont="1" applyFill="1" applyBorder="1"/>
    <xf numFmtId="168" fontId="11" fillId="27" borderId="0" xfId="1" applyNumberFormat="1" applyFont="1" applyFill="1" applyBorder="1"/>
    <xf numFmtId="0" fontId="16" fillId="27" borderId="0" xfId="1" applyFont="1" applyFill="1" applyBorder="1"/>
    <xf numFmtId="0" fontId="4" fillId="25" borderId="27" xfId="1" applyFont="1" applyFill="1" applyBorder="1"/>
    <xf numFmtId="0" fontId="4" fillId="25" borderId="0" xfId="1" applyFont="1" applyFill="1" applyBorder="1"/>
    <xf numFmtId="169" fontId="4" fillId="25" borderId="22" xfId="75" applyNumberFormat="1" applyFont="1" applyFill="1" applyBorder="1"/>
    <xf numFmtId="177" fontId="34" fillId="25" borderId="16" xfId="41" applyNumberFormat="1" applyFont="1" applyFill="1" applyBorder="1"/>
    <xf numFmtId="8" fontId="5" fillId="0" borderId="0" xfId="1" applyNumberFormat="1" applyFont="1" applyFill="1" applyBorder="1"/>
    <xf numFmtId="37" fontId="5" fillId="0" borderId="0" xfId="41" applyNumberFormat="1" applyFont="1" applyFill="1" applyBorder="1"/>
    <xf numFmtId="8" fontId="4" fillId="0" borderId="0" xfId="41" applyNumberFormat="1" applyFont="1" applyFill="1" applyBorder="1"/>
    <xf numFmtId="0" fontId="0" fillId="0" borderId="0" xfId="1" applyNumberFormat="1" applyFont="1" applyFill="1" applyBorder="1"/>
    <xf numFmtId="166" fontId="12" fillId="26" borderId="32" xfId="1" applyNumberFormat="1" applyFont="1" applyFill="1" applyBorder="1"/>
    <xf numFmtId="0" fontId="12" fillId="26" borderId="32" xfId="1" applyFont="1" applyFill="1" applyBorder="1"/>
    <xf numFmtId="0" fontId="11" fillId="26" borderId="32" xfId="1" applyFont="1" applyFill="1" applyBorder="1"/>
    <xf numFmtId="3" fontId="19" fillId="25" borderId="27" xfId="1" applyNumberFormat="1" applyFont="1" applyFill="1" applyBorder="1"/>
    <xf numFmtId="3" fontId="19" fillId="25" borderId="0" xfId="1" applyNumberFormat="1" applyFont="1" applyFill="1" applyBorder="1"/>
    <xf numFmtId="3" fontId="19" fillId="25" borderId="16" xfId="1" applyNumberFormat="1" applyFont="1" applyFill="1" applyBorder="1"/>
    <xf numFmtId="3" fontId="5" fillId="25" borderId="27" xfId="1" applyNumberFormat="1" applyFont="1" applyFill="1" applyBorder="1"/>
    <xf numFmtId="3" fontId="5" fillId="25" borderId="0" xfId="1" applyNumberFormat="1" applyFont="1" applyFill="1" applyBorder="1"/>
    <xf numFmtId="3" fontId="5" fillId="25" borderId="16" xfId="1" applyNumberFormat="1" applyFont="1" applyFill="1" applyBorder="1"/>
    <xf numFmtId="3" fontId="0" fillId="25" borderId="27" xfId="1" applyNumberFormat="1" applyFont="1" applyFill="1" applyBorder="1"/>
    <xf numFmtId="3" fontId="0" fillId="25" borderId="16" xfId="1" applyNumberFormat="1" applyFont="1" applyFill="1" applyBorder="1"/>
    <xf numFmtId="3" fontId="4" fillId="25" borderId="27" xfId="1" applyNumberFormat="1" applyFont="1" applyFill="1" applyBorder="1"/>
    <xf numFmtId="3" fontId="4" fillId="25" borderId="0" xfId="1" applyNumberFormat="1" applyFont="1" applyFill="1" applyBorder="1"/>
    <xf numFmtId="3" fontId="4" fillId="25" borderId="16" xfId="1" applyNumberFormat="1" applyFont="1" applyFill="1" applyBorder="1"/>
    <xf numFmtId="3" fontId="35" fillId="25" borderId="0" xfId="1" applyNumberFormat="1" applyFont="1" applyFill="1" applyBorder="1"/>
    <xf numFmtId="3" fontId="35" fillId="25" borderId="16" xfId="1" applyNumberFormat="1" applyFont="1" applyFill="1" applyBorder="1"/>
    <xf numFmtId="0" fontId="0" fillId="25" borderId="27" xfId="1" applyFont="1" applyFill="1" applyBorder="1"/>
    <xf numFmtId="0" fontId="0" fillId="25" borderId="16" xfId="1" applyFont="1" applyFill="1" applyBorder="1"/>
    <xf numFmtId="3" fontId="35" fillId="25" borderId="27" xfId="1" applyNumberFormat="1" applyFont="1" applyFill="1" applyBorder="1"/>
    <xf numFmtId="4" fontId="0" fillId="25" borderId="27" xfId="1" applyNumberFormat="1" applyFont="1" applyFill="1" applyBorder="1"/>
    <xf numFmtId="4" fontId="0" fillId="25" borderId="0" xfId="1" applyNumberFormat="1" applyFont="1" applyFill="1" applyBorder="1"/>
    <xf numFmtId="4" fontId="4" fillId="25" borderId="27" xfId="1" applyNumberFormat="1" applyFont="1" applyFill="1" applyBorder="1"/>
    <xf numFmtId="4" fontId="4" fillId="25" borderId="0" xfId="1" applyNumberFormat="1" applyFont="1" applyFill="1" applyBorder="1"/>
    <xf numFmtId="4" fontId="4" fillId="25" borderId="16" xfId="1" applyNumberFormat="1" applyFont="1" applyFill="1" applyBorder="1"/>
    <xf numFmtId="169" fontId="35" fillId="25" borderId="27" xfId="1" applyNumberFormat="1" applyFont="1" applyFill="1" applyBorder="1"/>
    <xf numFmtId="169" fontId="36" fillId="25" borderId="27" xfId="1" applyNumberFormat="1" applyFont="1" applyFill="1" applyBorder="1"/>
    <xf numFmtId="169" fontId="36" fillId="25" borderId="0" xfId="1" applyNumberFormat="1" applyFont="1" applyFill="1" applyBorder="1"/>
    <xf numFmtId="169" fontId="36" fillId="25" borderId="16" xfId="1" applyNumberFormat="1" applyFont="1" applyFill="1" applyBorder="1"/>
    <xf numFmtId="169" fontId="5" fillId="25" borderId="27" xfId="1" applyNumberFormat="1" applyFont="1" applyFill="1" applyBorder="1"/>
    <xf numFmtId="169" fontId="5" fillId="25" borderId="0" xfId="1" applyNumberFormat="1" applyFont="1" applyFill="1" applyBorder="1"/>
    <xf numFmtId="169" fontId="5" fillId="25" borderId="16" xfId="1" applyNumberFormat="1" applyFont="1" applyFill="1" applyBorder="1"/>
    <xf numFmtId="169" fontId="1" fillId="25" borderId="27" xfId="1" applyNumberFormat="1" applyFont="1" applyFill="1" applyBorder="1"/>
    <xf numFmtId="169" fontId="35" fillId="25" borderId="0" xfId="1" applyNumberFormat="1" applyFont="1" applyFill="1" applyBorder="1"/>
    <xf numFmtId="169" fontId="1" fillId="25" borderId="0" xfId="1" applyNumberFormat="1" applyFont="1" applyFill="1" applyBorder="1"/>
    <xf numFmtId="169" fontId="1" fillId="25" borderId="16" xfId="1" applyNumberFormat="1" applyFont="1" applyFill="1" applyBorder="1"/>
    <xf numFmtId="0" fontId="10" fillId="25" borderId="27" xfId="1" applyFont="1" applyFill="1" applyBorder="1"/>
    <xf numFmtId="0" fontId="10" fillId="25" borderId="0" xfId="1" applyFont="1" applyFill="1" applyBorder="1"/>
    <xf numFmtId="0" fontId="10" fillId="25" borderId="16" xfId="1" applyFont="1" applyFill="1" applyBorder="1"/>
    <xf numFmtId="177" fontId="50" fillId="25" borderId="27" xfId="41" applyNumberFormat="1" applyFont="1" applyFill="1" applyBorder="1"/>
    <xf numFmtId="177" fontId="50" fillId="25" borderId="0" xfId="41" applyNumberFormat="1" applyFont="1" applyFill="1" applyBorder="1"/>
    <xf numFmtId="177" fontId="50" fillId="25" borderId="16" xfId="41" applyNumberFormat="1" applyFont="1" applyFill="1" applyBorder="1"/>
    <xf numFmtId="177" fontId="37" fillId="25" borderId="27" xfId="41" applyNumberFormat="1" applyFont="1" applyFill="1" applyBorder="1"/>
    <xf numFmtId="177" fontId="37" fillId="25" borderId="0" xfId="41" applyNumberFormat="1" applyFont="1" applyFill="1" applyBorder="1"/>
    <xf numFmtId="177" fontId="37" fillId="25" borderId="16" xfId="41" applyNumberFormat="1" applyFont="1" applyFill="1" applyBorder="1"/>
    <xf numFmtId="177" fontId="0" fillId="25" borderId="27" xfId="41" applyNumberFormat="1" applyFont="1" applyFill="1" applyBorder="1"/>
    <xf numFmtId="177" fontId="0" fillId="25" borderId="0" xfId="41" applyNumberFormat="1" applyFont="1" applyFill="1" applyBorder="1"/>
    <xf numFmtId="177" fontId="0" fillId="25" borderId="16" xfId="41" applyNumberFormat="1" applyFont="1" applyFill="1" applyBorder="1"/>
    <xf numFmtId="177" fontId="5" fillId="25" borderId="27" xfId="41" applyNumberFormat="1" applyFont="1" applyFill="1" applyBorder="1"/>
    <xf numFmtId="177" fontId="5" fillId="25" borderId="0" xfId="41" applyNumberFormat="1" applyFont="1" applyFill="1" applyBorder="1"/>
    <xf numFmtId="177" fontId="5" fillId="25" borderId="16" xfId="41" applyNumberFormat="1" applyFont="1" applyFill="1" applyBorder="1"/>
    <xf numFmtId="177" fontId="4" fillId="25" borderId="27" xfId="41" applyNumberFormat="1" applyFont="1" applyFill="1" applyBorder="1"/>
    <xf numFmtId="177" fontId="4" fillId="25" borderId="0" xfId="41" applyNumberFormat="1" applyFont="1" applyFill="1" applyBorder="1"/>
    <xf numFmtId="177" fontId="4" fillId="25" borderId="16" xfId="41" applyNumberFormat="1" applyFont="1" applyFill="1" applyBorder="1"/>
    <xf numFmtId="177" fontId="35" fillId="25" borderId="27" xfId="41" applyNumberFormat="1" applyFont="1" applyFill="1" applyBorder="1"/>
    <xf numFmtId="177" fontId="35" fillId="25" borderId="0" xfId="41" applyNumberFormat="1" applyFont="1" applyFill="1" applyBorder="1"/>
    <xf numFmtId="177" fontId="35" fillId="25" borderId="16" xfId="41" applyNumberFormat="1" applyFont="1" applyFill="1" applyBorder="1"/>
    <xf numFmtId="177" fontId="34" fillId="25" borderId="27" xfId="41" applyNumberFormat="1" applyFont="1" applyFill="1" applyBorder="1"/>
    <xf numFmtId="177" fontId="19" fillId="25" borderId="27" xfId="41" applyNumberFormat="1" applyFont="1" applyFill="1" applyBorder="1"/>
    <xf numFmtId="177" fontId="19" fillId="25" borderId="0" xfId="41" applyNumberFormat="1" applyFont="1" applyFill="1" applyBorder="1"/>
    <xf numFmtId="177" fontId="19" fillId="25" borderId="16" xfId="41" applyNumberFormat="1" applyFont="1" applyFill="1" applyBorder="1"/>
    <xf numFmtId="177" fontId="33" fillId="25" borderId="0" xfId="41" applyNumberFormat="1" applyFont="1" applyFill="1" applyBorder="1"/>
    <xf numFmtId="177" fontId="33" fillId="25" borderId="16" xfId="41" applyNumberFormat="1" applyFont="1" applyFill="1" applyBorder="1"/>
    <xf numFmtId="177" fontId="34" fillId="25" borderId="0" xfId="41" applyNumberFormat="1" applyFont="1" applyFill="1" applyBorder="1"/>
    <xf numFmtId="177" fontId="1" fillId="25" borderId="16" xfId="41" applyNumberFormat="1" applyFont="1" applyFill="1" applyBorder="1"/>
    <xf numFmtId="8" fontId="35" fillId="25" borderId="0" xfId="41" applyNumberFormat="1" applyFont="1" applyFill="1" applyBorder="1"/>
    <xf numFmtId="8" fontId="35" fillId="25" borderId="16" xfId="41" applyNumberFormat="1" applyFont="1" applyFill="1" applyBorder="1"/>
    <xf numFmtId="169" fontId="35" fillId="25" borderId="16" xfId="1" applyNumberFormat="1" applyFont="1" applyFill="1" applyBorder="1"/>
    <xf numFmtId="177" fontId="1" fillId="25" borderId="27" xfId="41" applyNumberFormat="1" applyFont="1" applyFill="1" applyBorder="1"/>
    <xf numFmtId="177" fontId="1" fillId="25" borderId="0" xfId="41" applyNumberFormat="1" applyFont="1" applyFill="1" applyBorder="1"/>
    <xf numFmtId="43" fontId="35" fillId="25" borderId="16" xfId="41" applyNumberFormat="1" applyFont="1" applyFill="1" applyBorder="1"/>
    <xf numFmtId="37" fontId="4" fillId="25" borderId="27" xfId="1" applyNumberFormat="1" applyFont="1" applyFill="1" applyBorder="1"/>
    <xf numFmtId="37" fontId="4" fillId="25" borderId="0" xfId="1" applyNumberFormat="1" applyFont="1" applyFill="1" applyBorder="1"/>
    <xf numFmtId="37" fontId="4" fillId="25" borderId="16" xfId="1" applyNumberFormat="1" applyFont="1" applyFill="1" applyBorder="1"/>
    <xf numFmtId="4" fontId="5" fillId="25" borderId="27" xfId="1" applyNumberFormat="1" applyFont="1" applyFill="1" applyBorder="1"/>
    <xf numFmtId="4" fontId="5" fillId="25" borderId="0" xfId="1" applyNumberFormat="1" applyFont="1" applyFill="1" applyBorder="1"/>
    <xf numFmtId="4" fontId="5" fillId="25" borderId="16" xfId="1" applyNumberFormat="1" applyFont="1" applyFill="1" applyBorder="1"/>
    <xf numFmtId="9" fontId="5" fillId="25" borderId="27" xfId="1" applyNumberFormat="1" applyFont="1" applyFill="1" applyBorder="1"/>
    <xf numFmtId="9" fontId="5" fillId="25" borderId="0" xfId="1" applyNumberFormat="1" applyFont="1" applyFill="1" applyBorder="1"/>
    <xf numFmtId="9" fontId="5" fillId="25" borderId="16" xfId="1" applyNumberFormat="1" applyFont="1" applyFill="1" applyBorder="1"/>
    <xf numFmtId="171" fontId="5" fillId="25" borderId="27" xfId="1" applyNumberFormat="1" applyFont="1" applyFill="1" applyBorder="1"/>
    <xf numFmtId="171" fontId="5" fillId="25" borderId="0" xfId="1" applyNumberFormat="1" applyFont="1" applyFill="1" applyBorder="1"/>
    <xf numFmtId="171" fontId="5" fillId="25" borderId="16" xfId="1" applyNumberFormat="1" applyFont="1" applyFill="1" applyBorder="1"/>
    <xf numFmtId="3" fontId="5" fillId="25" borderId="27" xfId="1" applyNumberFormat="1" applyFont="1" applyFill="1" applyBorder="1" applyAlignment="1">
      <alignment horizontal="center"/>
    </xf>
    <xf numFmtId="3" fontId="5" fillId="25" borderId="0" xfId="1" applyNumberFormat="1" applyFont="1" applyFill="1" applyBorder="1" applyAlignment="1">
      <alignment horizontal="center"/>
    </xf>
    <xf numFmtId="10" fontId="5" fillId="25" borderId="27" xfId="75" applyNumberFormat="1" applyFont="1" applyFill="1" applyBorder="1"/>
    <xf numFmtId="10" fontId="5" fillId="25" borderId="0" xfId="75" applyNumberFormat="1" applyFont="1" applyFill="1" applyBorder="1"/>
    <xf numFmtId="10" fontId="5" fillId="25" borderId="16" xfId="75" applyNumberFormat="1" applyFont="1" applyFill="1" applyBorder="1"/>
    <xf numFmtId="177" fontId="36" fillId="25" borderId="27" xfId="41" applyNumberFormat="1" applyFont="1" applyFill="1" applyBorder="1"/>
    <xf numFmtId="177" fontId="36" fillId="25" borderId="0" xfId="41" applyNumberFormat="1" applyFont="1" applyFill="1" applyBorder="1"/>
    <xf numFmtId="177" fontId="36" fillId="25" borderId="16" xfId="41" applyNumberFormat="1" applyFont="1" applyFill="1" applyBorder="1"/>
    <xf numFmtId="37" fontId="5" fillId="25" borderId="27" xfId="1" applyNumberFormat="1" applyFont="1" applyFill="1" applyBorder="1"/>
    <xf numFmtId="37" fontId="5" fillId="25" borderId="0" xfId="1" applyNumberFormat="1" applyFont="1" applyFill="1" applyBorder="1"/>
    <xf numFmtId="37" fontId="5" fillId="25" borderId="16" xfId="1" applyNumberFormat="1" applyFont="1" applyFill="1" applyBorder="1"/>
    <xf numFmtId="169" fontId="5" fillId="25" borderId="27" xfId="75" applyNumberFormat="1" applyFont="1" applyFill="1" applyBorder="1"/>
    <xf numFmtId="4" fontId="0" fillId="25" borderId="16" xfId="1" applyNumberFormat="1" applyFont="1" applyFill="1" applyBorder="1"/>
    <xf numFmtId="177" fontId="5" fillId="25" borderId="27" xfId="41" applyNumberFormat="1" applyFont="1" applyFill="1" applyBorder="1" applyAlignment="1">
      <alignment horizontal="center"/>
    </xf>
    <xf numFmtId="169" fontId="19" fillId="25" borderId="16" xfId="75" applyNumberFormat="1" applyFont="1" applyFill="1" applyBorder="1"/>
    <xf numFmtId="0" fontId="54" fillId="27" borderId="0" xfId="1" applyFont="1" applyFill="1"/>
    <xf numFmtId="7" fontId="54" fillId="27" borderId="0" xfId="1" applyNumberFormat="1" applyFont="1" applyFill="1" applyAlignment="1">
      <alignment horizontal="left"/>
    </xf>
    <xf numFmtId="14" fontId="54" fillId="27" borderId="0" xfId="1" applyNumberFormat="1" applyFont="1" applyFill="1" applyAlignment="1">
      <alignment horizontal="left"/>
    </xf>
    <xf numFmtId="0" fontId="81" fillId="26" borderId="0" xfId="1" applyFont="1" applyFill="1"/>
    <xf numFmtId="0" fontId="0" fillId="0" borderId="13" xfId="1" applyFont="1" applyFill="1" applyBorder="1"/>
    <xf numFmtId="7" fontId="34" fillId="0" borderId="13" xfId="1" applyNumberFormat="1" applyFont="1" applyFill="1" applyBorder="1"/>
    <xf numFmtId="0" fontId="75" fillId="0" borderId="0" xfId="1" applyFont="1" applyFill="1" applyBorder="1"/>
    <xf numFmtId="0" fontId="75" fillId="25" borderId="27" xfId="1" applyFont="1" applyFill="1" applyBorder="1"/>
    <xf numFmtId="0" fontId="75" fillId="25" borderId="0" xfId="1" applyFont="1" applyFill="1" applyBorder="1"/>
    <xf numFmtId="0" fontId="75" fillId="25" borderId="16" xfId="1" applyFont="1" applyFill="1" applyBorder="1"/>
    <xf numFmtId="3" fontId="11" fillId="25" borderId="27" xfId="1" applyNumberFormat="1" applyFont="1" applyFill="1" applyBorder="1"/>
    <xf numFmtId="3" fontId="11" fillId="25" borderId="0" xfId="1" applyNumberFormat="1" applyFont="1" applyFill="1" applyBorder="1"/>
    <xf numFmtId="3" fontId="11" fillId="25" borderId="16" xfId="1" applyNumberFormat="1" applyFont="1" applyFill="1" applyBorder="1"/>
    <xf numFmtId="3" fontId="75" fillId="0" borderId="0" xfId="1" applyNumberFormat="1" applyFont="1" applyFill="1" applyBorder="1"/>
    <xf numFmtId="3" fontId="75" fillId="25" borderId="27" xfId="1" applyNumberFormat="1" applyFont="1" applyFill="1" applyBorder="1"/>
    <xf numFmtId="3" fontId="75" fillId="25" borderId="0" xfId="1" applyNumberFormat="1" applyFont="1" applyFill="1" applyBorder="1"/>
    <xf numFmtId="3" fontId="75" fillId="25" borderId="16" xfId="1" applyNumberFormat="1" applyFont="1" applyFill="1" applyBorder="1"/>
    <xf numFmtId="177" fontId="75" fillId="0" borderId="0" xfId="41" applyNumberFormat="1" applyFont="1" applyFill="1" applyBorder="1"/>
    <xf numFmtId="177" fontId="9" fillId="0" borderId="0" xfId="41" applyNumberFormat="1" applyFont="1" applyFill="1" applyBorder="1"/>
    <xf numFmtId="177" fontId="9" fillId="25" borderId="0" xfId="41" applyNumberFormat="1" applyFont="1" applyFill="1" applyBorder="1"/>
    <xf numFmtId="177" fontId="9" fillId="25" borderId="16" xfId="41" applyNumberFormat="1" applyFont="1" applyFill="1" applyBorder="1"/>
    <xf numFmtId="177" fontId="9" fillId="25" borderId="27" xfId="41" applyNumberFormat="1" applyFont="1" applyFill="1" applyBorder="1"/>
    <xf numFmtId="177" fontId="75" fillId="25" borderId="27" xfId="41" applyNumberFormat="1" applyFont="1" applyFill="1" applyBorder="1"/>
    <xf numFmtId="177" fontId="75" fillId="25" borderId="0" xfId="41" applyNumberFormat="1" applyFont="1" applyFill="1" applyBorder="1"/>
    <xf numFmtId="177" fontId="75" fillId="25" borderId="16" xfId="41" applyNumberFormat="1" applyFont="1" applyFill="1" applyBorder="1"/>
    <xf numFmtId="177" fontId="12" fillId="0" borderId="0" xfId="41" applyNumberFormat="1" applyFont="1" applyFill="1" applyBorder="1"/>
    <xf numFmtId="177" fontId="12" fillId="25" borderId="27" xfId="41" applyNumberFormat="1" applyFont="1" applyFill="1" applyBorder="1"/>
    <xf numFmtId="177" fontId="12" fillId="25" borderId="0" xfId="41" applyNumberFormat="1" applyFont="1" applyFill="1" applyBorder="1"/>
    <xf numFmtId="177" fontId="12" fillId="25" borderId="16" xfId="41" applyNumberFormat="1" applyFont="1" applyFill="1" applyBorder="1"/>
    <xf numFmtId="4" fontId="9" fillId="0" borderId="0" xfId="1" applyNumberFormat="1" applyFont="1" applyFill="1" applyBorder="1"/>
    <xf numFmtId="43" fontId="75" fillId="25" borderId="0" xfId="41" applyNumberFormat="1" applyFont="1" applyFill="1" applyBorder="1"/>
    <xf numFmtId="43" fontId="75" fillId="25" borderId="16" xfId="41" applyNumberFormat="1" applyFont="1" applyFill="1" applyBorder="1"/>
    <xf numFmtId="43" fontId="35" fillId="25" borderId="0" xfId="41" applyNumberFormat="1" applyFont="1" applyFill="1" applyBorder="1"/>
    <xf numFmtId="43" fontId="75" fillId="0" borderId="0" xfId="41" applyNumberFormat="1" applyFont="1" applyFill="1" applyBorder="1"/>
    <xf numFmtId="43" fontId="75" fillId="25" borderId="27" xfId="41" applyNumberFormat="1" applyFont="1" applyFill="1" applyBorder="1"/>
    <xf numFmtId="177" fontId="11" fillId="25" borderId="27" xfId="41" applyNumberFormat="1" applyFont="1" applyFill="1" applyBorder="1"/>
    <xf numFmtId="177" fontId="11" fillId="25" borderId="0" xfId="41" applyNumberFormat="1" applyFont="1" applyFill="1" applyBorder="1"/>
    <xf numFmtId="177" fontId="11" fillId="25" borderId="16" xfId="41" applyNumberFormat="1" applyFont="1" applyFill="1" applyBorder="1"/>
    <xf numFmtId="43" fontId="11" fillId="25" borderId="27" xfId="41" applyNumberFormat="1" applyFont="1" applyFill="1" applyBorder="1"/>
    <xf numFmtId="43" fontId="11" fillId="25" borderId="0" xfId="41" applyNumberFormat="1" applyFont="1" applyFill="1" applyBorder="1"/>
    <xf numFmtId="43" fontId="11" fillId="25" borderId="16" xfId="41" applyNumberFormat="1" applyFont="1" applyFill="1" applyBorder="1"/>
    <xf numFmtId="179" fontId="75" fillId="0" borderId="0" xfId="41" applyNumberFormat="1" applyFont="1" applyFill="1" applyBorder="1"/>
    <xf numFmtId="179" fontId="75" fillId="25" borderId="27" xfId="41" applyNumberFormat="1" applyFont="1" applyFill="1" applyBorder="1"/>
    <xf numFmtId="179" fontId="75" fillId="25" borderId="0" xfId="41" applyNumberFormat="1" applyFont="1" applyFill="1" applyBorder="1"/>
    <xf numFmtId="179" fontId="75" fillId="25" borderId="16" xfId="41" applyNumberFormat="1" applyFont="1" applyFill="1" applyBorder="1"/>
    <xf numFmtId="9" fontId="83" fillId="25" borderId="27" xfId="1" applyNumberFormat="1" applyFont="1" applyFill="1" applyBorder="1"/>
    <xf numFmtId="9" fontId="83" fillId="25" borderId="0" xfId="1" applyNumberFormat="1" applyFont="1" applyFill="1" applyBorder="1"/>
    <xf numFmtId="9" fontId="83" fillId="25" borderId="16" xfId="1" applyNumberFormat="1" applyFont="1" applyFill="1" applyBorder="1"/>
    <xf numFmtId="9" fontId="83" fillId="0" borderId="0" xfId="1" applyNumberFormat="1" applyFont="1" applyFill="1" applyBorder="1"/>
    <xf numFmtId="0" fontId="84" fillId="0" borderId="0" xfId="1" applyFont="1" applyFill="1" applyBorder="1"/>
    <xf numFmtId="0" fontId="84" fillId="25" borderId="0" xfId="1" applyFont="1" applyFill="1" applyBorder="1"/>
    <xf numFmtId="0" fontId="84" fillId="25" borderId="16" xfId="1" applyFont="1" applyFill="1" applyBorder="1"/>
    <xf numFmtId="0" fontId="84" fillId="25" borderId="27" xfId="1" applyFont="1" applyFill="1" applyBorder="1"/>
    <xf numFmtId="177" fontId="84" fillId="0" borderId="0" xfId="41" applyNumberFormat="1" applyFont="1" applyFill="1" applyBorder="1"/>
    <xf numFmtId="177" fontId="84" fillId="25" borderId="27" xfId="41" applyNumberFormat="1" applyFont="1" applyFill="1" applyBorder="1"/>
    <xf numFmtId="177" fontId="84" fillId="25" borderId="0" xfId="41" applyNumberFormat="1" applyFont="1" applyFill="1" applyBorder="1"/>
    <xf numFmtId="177" fontId="84" fillId="25" borderId="16" xfId="41" applyNumberFormat="1" applyFont="1" applyFill="1" applyBorder="1"/>
    <xf numFmtId="43" fontId="84" fillId="25" borderId="27" xfId="41" applyNumberFormat="1" applyFont="1" applyFill="1" applyBorder="1"/>
    <xf numFmtId="43" fontId="84" fillId="25" borderId="0" xfId="41" applyNumberFormat="1" applyFont="1" applyFill="1" applyBorder="1"/>
    <xf numFmtId="43" fontId="84" fillId="25" borderId="16" xfId="41" applyNumberFormat="1" applyFont="1" applyFill="1" applyBorder="1"/>
    <xf numFmtId="43" fontId="84" fillId="0" borderId="0" xfId="41" applyNumberFormat="1" applyFont="1" applyFill="1" applyBorder="1"/>
    <xf numFmtId="9" fontId="75" fillId="25" borderId="27" xfId="75" applyNumberFormat="1" applyFont="1" applyFill="1" applyBorder="1"/>
    <xf numFmtId="9" fontId="75" fillId="25" borderId="0" xfId="75" applyNumberFormat="1" applyFont="1" applyFill="1" applyBorder="1"/>
    <xf numFmtId="9" fontId="75" fillId="25" borderId="16" xfId="75" applyNumberFormat="1" applyFont="1" applyFill="1" applyBorder="1"/>
    <xf numFmtId="9" fontId="75" fillId="0" borderId="0" xfId="75" applyNumberFormat="1" applyFont="1" applyFill="1" applyBorder="1"/>
    <xf numFmtId="171" fontId="75" fillId="25" borderId="27" xfId="1" applyNumberFormat="1" applyFont="1" applyFill="1" applyBorder="1"/>
    <xf numFmtId="171" fontId="75" fillId="25" borderId="0" xfId="1" applyNumberFormat="1" applyFont="1" applyFill="1" applyBorder="1"/>
    <xf numFmtId="171" fontId="75" fillId="25" borderId="16" xfId="1" applyNumberFormat="1" applyFont="1" applyFill="1" applyBorder="1"/>
    <xf numFmtId="171" fontId="75" fillId="0" borderId="0" xfId="1" applyNumberFormat="1" applyFont="1" applyFill="1" applyBorder="1"/>
    <xf numFmtId="9" fontId="75" fillId="25" borderId="27" xfId="1" applyNumberFormat="1" applyFont="1" applyFill="1" applyBorder="1"/>
    <xf numFmtId="9" fontId="75" fillId="25" borderId="0" xfId="1" applyNumberFormat="1" applyFont="1" applyFill="1" applyBorder="1"/>
    <xf numFmtId="9" fontId="75" fillId="25" borderId="16" xfId="1" applyNumberFormat="1" applyFont="1" applyFill="1" applyBorder="1"/>
    <xf numFmtId="9" fontId="75" fillId="0" borderId="0" xfId="1" applyNumberFormat="1" applyFont="1" applyFill="1" applyBorder="1"/>
    <xf numFmtId="169" fontId="35" fillId="25" borderId="27" xfId="75" applyNumberFormat="1" applyFont="1" applyFill="1" applyBorder="1"/>
    <xf numFmtId="169" fontId="35" fillId="25" borderId="0" xfId="75" applyNumberFormat="1" applyFont="1" applyFill="1" applyBorder="1"/>
    <xf numFmtId="169" fontId="35" fillId="25" borderId="16" xfId="75" applyNumberFormat="1" applyFont="1" applyFill="1" applyBorder="1"/>
    <xf numFmtId="169" fontId="75" fillId="25" borderId="27" xfId="75" applyNumberFormat="1" applyFont="1" applyFill="1" applyBorder="1"/>
    <xf numFmtId="169" fontId="75" fillId="25" borderId="0" xfId="75" applyNumberFormat="1" applyFont="1" applyFill="1" applyBorder="1"/>
    <xf numFmtId="169" fontId="75" fillId="25" borderId="16" xfId="75" applyNumberFormat="1" applyFont="1" applyFill="1" applyBorder="1"/>
    <xf numFmtId="169" fontId="75" fillId="0" borderId="0" xfId="75" applyNumberFormat="1" applyFont="1" applyFill="1" applyBorder="1"/>
    <xf numFmtId="0" fontId="85" fillId="0" borderId="0" xfId="1" applyFont="1"/>
    <xf numFmtId="0" fontId="75" fillId="0" borderId="0" xfId="1" applyFont="1" applyBorder="1"/>
    <xf numFmtId="169" fontId="75" fillId="0" borderId="0" xfId="1" applyNumberFormat="1" applyFont="1" applyBorder="1"/>
    <xf numFmtId="3" fontId="75" fillId="0" borderId="0" xfId="1" applyNumberFormat="1" applyFont="1" applyBorder="1"/>
    <xf numFmtId="177" fontId="75" fillId="0" borderId="0" xfId="1" applyNumberFormat="1" applyFont="1" applyFill="1" applyBorder="1"/>
    <xf numFmtId="177" fontId="9" fillId="0" borderId="0" xfId="1" applyNumberFormat="1" applyFont="1" applyFill="1" applyBorder="1"/>
    <xf numFmtId="177" fontId="75" fillId="25" borderId="27" xfId="1" applyNumberFormat="1" applyFont="1" applyFill="1" applyBorder="1"/>
    <xf numFmtId="177" fontId="75" fillId="25" borderId="0" xfId="1" applyNumberFormat="1" applyFont="1" applyFill="1" applyBorder="1"/>
    <xf numFmtId="177" fontId="75" fillId="25" borderId="16" xfId="1" applyNumberFormat="1" applyFont="1" applyFill="1" applyBorder="1"/>
    <xf numFmtId="177" fontId="35" fillId="25" borderId="0" xfId="1" applyNumberFormat="1" applyFont="1" applyFill="1" applyBorder="1"/>
    <xf numFmtId="177" fontId="35" fillId="25" borderId="16" xfId="1" applyNumberFormat="1" applyFont="1" applyFill="1" applyBorder="1"/>
    <xf numFmtId="177" fontId="12" fillId="0" borderId="0" xfId="1" applyNumberFormat="1" applyFont="1" applyFill="1" applyBorder="1"/>
    <xf numFmtId="177" fontId="35" fillId="25" borderId="27" xfId="1" applyNumberFormat="1" applyFont="1" applyFill="1" applyBorder="1"/>
    <xf numFmtId="177" fontId="0" fillId="0" borderId="0" xfId="1" applyNumberFormat="1" applyFont="1" applyFill="1" applyBorder="1"/>
    <xf numFmtId="177" fontId="1" fillId="25" borderId="27" xfId="1" applyNumberFormat="1" applyFont="1" applyFill="1" applyBorder="1"/>
    <xf numFmtId="177" fontId="1" fillId="25" borderId="0" xfId="1" applyNumberFormat="1" applyFont="1" applyFill="1" applyBorder="1"/>
    <xf numFmtId="177" fontId="1" fillId="25" borderId="16" xfId="1" applyNumberFormat="1" applyFont="1" applyFill="1" applyBorder="1"/>
    <xf numFmtId="177" fontId="0" fillId="25" borderId="27" xfId="1" applyNumberFormat="1" applyFont="1" applyFill="1" applyBorder="1"/>
    <xf numFmtId="177" fontId="0" fillId="25" borderId="0" xfId="1" applyNumberFormat="1" applyFont="1" applyFill="1" applyBorder="1"/>
    <xf numFmtId="177" fontId="0" fillId="25" borderId="16" xfId="1" applyNumberFormat="1" applyFont="1" applyFill="1" applyBorder="1"/>
    <xf numFmtId="177" fontId="4" fillId="0" borderId="0" xfId="1" applyNumberFormat="1" applyFont="1" applyFill="1" applyBorder="1"/>
    <xf numFmtId="177" fontId="34" fillId="25" borderId="27" xfId="1" applyNumberFormat="1" applyFont="1" applyFill="1" applyBorder="1"/>
    <xf numFmtId="177" fontId="34" fillId="25" borderId="0" xfId="1" applyNumberFormat="1" applyFont="1" applyFill="1" applyBorder="1"/>
    <xf numFmtId="177" fontId="34" fillId="25" borderId="16" xfId="1" applyNumberFormat="1" applyFont="1" applyFill="1" applyBorder="1"/>
    <xf numFmtId="177" fontId="5" fillId="0" borderId="0" xfId="1" applyNumberFormat="1" applyFont="1" applyFill="1" applyBorder="1"/>
    <xf numFmtId="177" fontId="5" fillId="25" borderId="27" xfId="1" applyNumberFormat="1" applyFont="1" applyFill="1" applyBorder="1"/>
    <xf numFmtId="177" fontId="5" fillId="25" borderId="0" xfId="1" applyNumberFormat="1" applyFont="1" applyFill="1" applyBorder="1"/>
    <xf numFmtId="177" fontId="5" fillId="25" borderId="16" xfId="1" applyNumberFormat="1" applyFont="1" applyFill="1" applyBorder="1"/>
    <xf numFmtId="177" fontId="4" fillId="25" borderId="27" xfId="1" applyNumberFormat="1" applyFont="1" applyFill="1" applyBorder="1"/>
    <xf numFmtId="177" fontId="4" fillId="25" borderId="0" xfId="1" applyNumberFormat="1" applyFont="1" applyFill="1" applyBorder="1"/>
    <xf numFmtId="177" fontId="4" fillId="25" borderId="16" xfId="1" applyNumberFormat="1" applyFont="1" applyFill="1" applyBorder="1"/>
    <xf numFmtId="177" fontId="8" fillId="0" borderId="0" xfId="1" applyNumberFormat="1" applyFont="1" applyFill="1" applyBorder="1"/>
    <xf numFmtId="177" fontId="36" fillId="25" borderId="27" xfId="1" applyNumberFormat="1" applyFont="1" applyFill="1" applyBorder="1"/>
    <xf numFmtId="177" fontId="36" fillId="25" borderId="0" xfId="1" applyNumberFormat="1" applyFont="1" applyFill="1" applyBorder="1"/>
    <xf numFmtId="177" fontId="36" fillId="25" borderId="16" xfId="1" applyNumberFormat="1" applyFont="1" applyFill="1" applyBorder="1"/>
    <xf numFmtId="177" fontId="21" fillId="0" borderId="0" xfId="1" applyNumberFormat="1" applyFont="1" applyFill="1" applyBorder="1"/>
    <xf numFmtId="177" fontId="19" fillId="25" borderId="27" xfId="1" applyNumberFormat="1" applyFont="1" applyFill="1" applyBorder="1"/>
    <xf numFmtId="177" fontId="19" fillId="25" borderId="0" xfId="1" applyNumberFormat="1" applyFont="1" applyFill="1" applyBorder="1"/>
    <xf numFmtId="177" fontId="19" fillId="25" borderId="16" xfId="1" applyNumberFormat="1" applyFont="1" applyFill="1" applyBorder="1"/>
    <xf numFmtId="177" fontId="86" fillId="25" borderId="0" xfId="41" applyNumberFormat="1" applyFont="1" applyFill="1" applyBorder="1"/>
    <xf numFmtId="177" fontId="34" fillId="0" borderId="0" xfId="41" applyNumberFormat="1" applyFont="1" applyFill="1" applyBorder="1"/>
    <xf numFmtId="177" fontId="33" fillId="0" borderId="0" xfId="41" applyNumberFormat="1" applyFont="1" applyFill="1" applyBorder="1"/>
    <xf numFmtId="177" fontId="86" fillId="25" borderId="16" xfId="41" applyNumberFormat="1" applyFont="1" applyFill="1" applyBorder="1"/>
    <xf numFmtId="0" fontId="3" fillId="27" borderId="0" xfId="57" applyFont="1" applyFill="1" applyBorder="1"/>
    <xf numFmtId="0" fontId="16" fillId="27" borderId="21" xfId="57" applyFont="1" applyFill="1" applyBorder="1"/>
    <xf numFmtId="38" fontId="4" fillId="0" borderId="0" xfId="42" applyNumberFormat="1" applyFont="1" applyFill="1"/>
    <xf numFmtId="0" fontId="5" fillId="0" borderId="0" xfId="57" applyFont="1" applyFill="1" applyBorder="1"/>
    <xf numFmtId="38" fontId="5" fillId="0" borderId="0" xfId="42" applyNumberFormat="1" applyFont="1"/>
    <xf numFmtId="172" fontId="5" fillId="0" borderId="0" xfId="1" applyNumberFormat="1" applyFont="1" applyFill="1" applyBorder="1"/>
    <xf numFmtId="177" fontId="1" fillId="0" borderId="0" xfId="1" applyNumberFormat="1" applyFont="1" applyFill="1" applyBorder="1"/>
    <xf numFmtId="177" fontId="1" fillId="0" borderId="0" xfId="41" applyNumberFormat="1" applyFont="1" applyFill="1" applyBorder="1"/>
    <xf numFmtId="7" fontId="1" fillId="0" borderId="0" xfId="1" applyNumberFormat="1" applyFont="1" applyFill="1" applyBorder="1"/>
    <xf numFmtId="7" fontId="1" fillId="25" borderId="27" xfId="1" applyNumberFormat="1" applyFont="1" applyFill="1" applyBorder="1"/>
    <xf numFmtId="7" fontId="1" fillId="25" borderId="0" xfId="1" applyNumberFormat="1" applyFont="1" applyFill="1" applyBorder="1"/>
    <xf numFmtId="7" fontId="1" fillId="25" borderId="16" xfId="1" applyNumberFormat="1" applyFont="1" applyFill="1" applyBorder="1"/>
    <xf numFmtId="7" fontId="1" fillId="25" borderId="0" xfId="41" applyNumberFormat="1" applyFont="1" applyFill="1" applyBorder="1"/>
    <xf numFmtId="7" fontId="1" fillId="25" borderId="16" xfId="41" applyNumberFormat="1" applyFont="1" applyFill="1" applyBorder="1"/>
    <xf numFmtId="7" fontId="1" fillId="0" borderId="0" xfId="41" applyNumberFormat="1" applyFont="1" applyFill="1" applyBorder="1"/>
    <xf numFmtId="7" fontId="1" fillId="25" borderId="27" xfId="41" applyNumberFormat="1" applyFont="1" applyFill="1" applyBorder="1"/>
    <xf numFmtId="7" fontId="75" fillId="0" borderId="0" xfId="1" applyNumberFormat="1" applyFont="1" applyFill="1" applyBorder="1"/>
    <xf numFmtId="7" fontId="75" fillId="25" borderId="27" xfId="1" applyNumberFormat="1" applyFont="1" applyFill="1" applyBorder="1"/>
    <xf numFmtId="7" fontId="75" fillId="25" borderId="0" xfId="1" applyNumberFormat="1" applyFont="1" applyFill="1" applyBorder="1"/>
    <xf numFmtId="7" fontId="75" fillId="25" borderId="16" xfId="1" applyNumberFormat="1" applyFont="1" applyFill="1" applyBorder="1"/>
    <xf numFmtId="9" fontId="20" fillId="0" borderId="0" xfId="75" applyFont="1" applyFill="1" applyBorder="1"/>
    <xf numFmtId="9" fontId="20" fillId="25" borderId="0" xfId="75" applyFont="1" applyFill="1" applyBorder="1"/>
    <xf numFmtId="9" fontId="20" fillId="25" borderId="16" xfId="75" applyFont="1" applyFill="1" applyBorder="1"/>
    <xf numFmtId="9" fontId="20" fillId="25" borderId="27" xfId="75" applyFont="1" applyFill="1" applyBorder="1"/>
    <xf numFmtId="177" fontId="5" fillId="0" borderId="0" xfId="57" applyNumberFormat="1" applyFont="1" applyFill="1" applyBorder="1"/>
    <xf numFmtId="177" fontId="4" fillId="0" borderId="0" xfId="57" applyNumberFormat="1" applyFont="1" applyFill="1" applyBorder="1"/>
    <xf numFmtId="168" fontId="38" fillId="27" borderId="0" xfId="1" applyNumberFormat="1" applyFont="1" applyFill="1" applyBorder="1"/>
    <xf numFmtId="177" fontId="33" fillId="0" borderId="27" xfId="41" applyNumberFormat="1" applyFont="1" applyFill="1" applyBorder="1"/>
    <xf numFmtId="177" fontId="4" fillId="0" borderId="27" xfId="41" applyNumberFormat="1" applyFont="1" applyFill="1" applyBorder="1"/>
    <xf numFmtId="177" fontId="75" fillId="0" borderId="27" xfId="41" applyNumberFormat="1" applyFont="1" applyFill="1" applyBorder="1"/>
    <xf numFmtId="177" fontId="9" fillId="0" borderId="27" xfId="41" applyNumberFormat="1" applyFont="1" applyFill="1" applyBorder="1"/>
    <xf numFmtId="177" fontId="12" fillId="0" borderId="27" xfId="41" applyNumberFormat="1" applyFont="1" applyFill="1" applyBorder="1"/>
    <xf numFmtId="0" fontId="75" fillId="0" borderId="27" xfId="1" applyFont="1" applyFill="1" applyBorder="1"/>
    <xf numFmtId="4" fontId="9" fillId="0" borderId="27" xfId="1" applyNumberFormat="1" applyFont="1" applyFill="1" applyBorder="1"/>
    <xf numFmtId="9" fontId="83" fillId="0" borderId="27" xfId="1" applyNumberFormat="1" applyFont="1" applyFill="1" applyBorder="1"/>
    <xf numFmtId="0" fontId="84" fillId="0" borderId="27" xfId="1" applyFont="1" applyFill="1" applyBorder="1"/>
    <xf numFmtId="177" fontId="84" fillId="0" borderId="27" xfId="41" applyNumberFormat="1" applyFont="1" applyFill="1" applyBorder="1"/>
    <xf numFmtId="7" fontId="1" fillId="0" borderId="27" xfId="41" applyNumberFormat="1" applyFont="1" applyFill="1" applyBorder="1"/>
    <xf numFmtId="179" fontId="75" fillId="0" borderId="27" xfId="41" applyNumberFormat="1" applyFont="1" applyFill="1" applyBorder="1"/>
    <xf numFmtId="177" fontId="75" fillId="0" borderId="27" xfId="1" applyNumberFormat="1" applyFont="1" applyFill="1" applyBorder="1"/>
    <xf numFmtId="9" fontId="20" fillId="0" borderId="27" xfId="75" applyFont="1" applyFill="1" applyBorder="1"/>
    <xf numFmtId="177" fontId="4" fillId="0" borderId="27" xfId="1" applyNumberFormat="1" applyFont="1" applyFill="1" applyBorder="1"/>
    <xf numFmtId="177" fontId="86" fillId="25" borderId="27" xfId="41" applyNumberFormat="1" applyFont="1" applyFill="1" applyBorder="1"/>
    <xf numFmtId="177" fontId="33" fillId="25" borderId="27" xfId="41" applyNumberFormat="1" applyFont="1" applyFill="1" applyBorder="1"/>
    <xf numFmtId="8" fontId="35" fillId="25" borderId="27" xfId="41" applyNumberFormat="1" applyFont="1" applyFill="1" applyBorder="1"/>
    <xf numFmtId="166" fontId="8" fillId="25" borderId="30" xfId="57" applyNumberFormat="1" applyFont="1" applyFill="1" applyBorder="1" applyAlignment="1">
      <alignment horizontal="right"/>
    </xf>
    <xf numFmtId="166" fontId="8" fillId="25" borderId="13" xfId="57" applyNumberFormat="1" applyFont="1" applyFill="1" applyBorder="1" applyAlignment="1">
      <alignment horizontal="right"/>
    </xf>
    <xf numFmtId="166" fontId="8" fillId="25" borderId="33" xfId="57" applyNumberFormat="1" applyFont="1" applyFill="1" applyBorder="1" applyAlignment="1">
      <alignment horizontal="right"/>
    </xf>
    <xf numFmtId="187" fontId="8" fillId="0" borderId="32" xfId="57" applyNumberFormat="1" applyFont="1" applyBorder="1" applyAlignment="1">
      <alignment horizontal="right"/>
    </xf>
    <xf numFmtId="181" fontId="8" fillId="0" borderId="32" xfId="57" applyNumberFormat="1" applyFont="1" applyBorder="1" applyAlignment="1">
      <alignment horizontal="right"/>
    </xf>
    <xf numFmtId="0" fontId="3" fillId="27" borderId="0" xfId="69" applyFont="1" applyFill="1" applyBorder="1"/>
    <xf numFmtId="178" fontId="3" fillId="27" borderId="0" xfId="69" applyNumberFormat="1" applyFont="1" applyFill="1" applyBorder="1"/>
    <xf numFmtId="169" fontId="8" fillId="25" borderId="16" xfId="1" applyNumberFormat="1" applyFont="1" applyFill="1" applyBorder="1"/>
    <xf numFmtId="7" fontId="0" fillId="0" borderId="0" xfId="1" applyNumberFormat="1" applyFont="1" applyFill="1" applyBorder="1"/>
    <xf numFmtId="0" fontId="1" fillId="27" borderId="0" xfId="69" applyFill="1" applyBorder="1"/>
    <xf numFmtId="177" fontId="33" fillId="25" borderId="27" xfId="1" applyNumberFormat="1" applyFont="1" applyFill="1" applyBorder="1"/>
    <xf numFmtId="177" fontId="33" fillId="25" borderId="0" xfId="1" applyNumberFormat="1" applyFont="1" applyFill="1" applyBorder="1"/>
    <xf numFmtId="177" fontId="33" fillId="25" borderId="16" xfId="1" applyNumberFormat="1" applyFont="1" applyFill="1" applyBorder="1"/>
    <xf numFmtId="177" fontId="37" fillId="0" borderId="0" xfId="41" applyNumberFormat="1" applyFont="1" applyFill="1" applyBorder="1"/>
    <xf numFmtId="4" fontId="34" fillId="25" borderId="27" xfId="1" applyNumberFormat="1" applyFont="1" applyFill="1" applyBorder="1"/>
    <xf numFmtId="4" fontId="34" fillId="25" borderId="0" xfId="1" applyNumberFormat="1" applyFont="1" applyFill="1" applyBorder="1"/>
    <xf numFmtId="4" fontId="34" fillId="25" borderId="16" xfId="1" applyNumberFormat="1" applyFont="1" applyFill="1" applyBorder="1"/>
    <xf numFmtId="4" fontId="34" fillId="0" borderId="0" xfId="1" applyNumberFormat="1" applyFont="1" applyFill="1" applyBorder="1"/>
    <xf numFmtId="177" fontId="9" fillId="25" borderId="27" xfId="1" applyNumberFormat="1" applyFont="1" applyFill="1" applyBorder="1"/>
    <xf numFmtId="177" fontId="9" fillId="25" borderId="0" xfId="1" applyNumberFormat="1" applyFont="1" applyFill="1" applyBorder="1"/>
    <xf numFmtId="177" fontId="9" fillId="25" borderId="16" xfId="1" applyNumberFormat="1" applyFont="1" applyFill="1" applyBorder="1"/>
    <xf numFmtId="0" fontId="16" fillId="27" borderId="13" xfId="1" applyFont="1" applyFill="1" applyBorder="1"/>
    <xf numFmtId="0" fontId="0" fillId="25" borderId="30" xfId="1" applyFont="1" applyFill="1" applyBorder="1"/>
    <xf numFmtId="0" fontId="0" fillId="25" borderId="13" xfId="1" applyFont="1" applyFill="1" applyBorder="1"/>
    <xf numFmtId="0" fontId="0" fillId="25" borderId="33" xfId="1" applyFont="1" applyFill="1" applyBorder="1"/>
    <xf numFmtId="177" fontId="5" fillId="0" borderId="0" xfId="69" applyNumberFormat="1" applyFont="1" applyFill="1" applyBorder="1"/>
    <xf numFmtId="9" fontId="0" fillId="0" borderId="0" xfId="75" applyFont="1" applyFill="1" applyBorder="1"/>
    <xf numFmtId="177" fontId="19" fillId="0" borderId="0" xfId="1" applyNumberFormat="1" applyFont="1" applyFill="1" applyBorder="1"/>
    <xf numFmtId="9" fontId="36" fillId="25" borderId="27" xfId="75" applyFont="1" applyFill="1" applyBorder="1"/>
    <xf numFmtId="9" fontId="5" fillId="25" borderId="0" xfId="75" applyFont="1" applyFill="1" applyBorder="1"/>
    <xf numFmtId="9" fontId="5" fillId="25" borderId="16" xfId="75" applyFont="1" applyFill="1" applyBorder="1"/>
    <xf numFmtId="9" fontId="5" fillId="25" borderId="27" xfId="75" applyFont="1" applyFill="1" applyBorder="1"/>
    <xf numFmtId="177" fontId="52" fillId="25" borderId="27" xfId="41" applyNumberFormat="1" applyFont="1" applyFill="1" applyBorder="1"/>
    <xf numFmtId="177" fontId="52" fillId="25" borderId="0" xfId="41" applyNumberFormat="1" applyFont="1" applyFill="1" applyBorder="1"/>
    <xf numFmtId="177" fontId="52" fillId="25" borderId="16" xfId="41" applyNumberFormat="1" applyFont="1" applyFill="1" applyBorder="1"/>
    <xf numFmtId="177" fontId="87" fillId="25" borderId="27" xfId="41" applyNumberFormat="1" applyFont="1" applyFill="1" applyBorder="1"/>
    <xf numFmtId="177" fontId="87" fillId="25" borderId="0" xfId="41" applyNumberFormat="1" applyFont="1" applyFill="1" applyBorder="1"/>
    <xf numFmtId="177" fontId="87" fillId="25" borderId="16" xfId="41" applyNumberFormat="1" applyFont="1" applyFill="1" applyBorder="1"/>
    <xf numFmtId="3" fontId="33" fillId="25" borderId="27" xfId="1" applyNumberFormat="1" applyFont="1" applyFill="1" applyBorder="1"/>
    <xf numFmtId="3" fontId="33" fillId="25" borderId="0" xfId="1" applyNumberFormat="1" applyFont="1" applyFill="1" applyBorder="1"/>
    <xf numFmtId="177" fontId="33" fillId="0" borderId="0" xfId="1" applyNumberFormat="1" applyFont="1" applyFill="1" applyBorder="1"/>
    <xf numFmtId="177" fontId="30" fillId="25" borderId="0" xfId="1" applyNumberFormat="1" applyFont="1" applyFill="1" applyBorder="1"/>
    <xf numFmtId="177" fontId="30" fillId="25" borderId="16" xfId="1" applyNumberFormat="1" applyFont="1" applyFill="1" applyBorder="1"/>
    <xf numFmtId="177" fontId="30" fillId="25" borderId="27" xfId="1" applyNumberFormat="1" applyFont="1" applyFill="1" applyBorder="1"/>
    <xf numFmtId="0" fontId="3" fillId="27" borderId="0" xfId="58" applyFont="1" applyFill="1" applyBorder="1"/>
    <xf numFmtId="178" fontId="3" fillId="27" borderId="0" xfId="58" applyNumberFormat="1" applyFont="1" applyFill="1" applyBorder="1"/>
    <xf numFmtId="7" fontId="9" fillId="0" borderId="20" xfId="1" applyNumberFormat="1" applyFont="1" applyFill="1" applyBorder="1"/>
    <xf numFmtId="7" fontId="75" fillId="0" borderId="21" xfId="1" applyNumberFormat="1" applyFont="1" applyFill="1" applyBorder="1"/>
    <xf numFmtId="7" fontId="9" fillId="25" borderId="20" xfId="1" applyNumberFormat="1" applyFont="1" applyFill="1" applyBorder="1"/>
    <xf numFmtId="7" fontId="9" fillId="25" borderId="21" xfId="1" applyNumberFormat="1" applyFont="1" applyFill="1" applyBorder="1"/>
    <xf numFmtId="7" fontId="9" fillId="25" borderId="22" xfId="1" applyNumberFormat="1" applyFont="1" applyFill="1" applyBorder="1"/>
    <xf numFmtId="7" fontId="9" fillId="0" borderId="21" xfId="1" applyNumberFormat="1" applyFont="1" applyFill="1" applyBorder="1"/>
    <xf numFmtId="7" fontId="9" fillId="0" borderId="22" xfId="1" applyNumberFormat="1" applyFont="1" applyFill="1" applyBorder="1"/>
    <xf numFmtId="177" fontId="87" fillId="25" borderId="27" xfId="1" applyNumberFormat="1" applyFont="1" applyFill="1" applyBorder="1"/>
    <xf numFmtId="177" fontId="87" fillId="25" borderId="0" xfId="1" applyNumberFormat="1" applyFont="1" applyFill="1" applyBorder="1"/>
    <xf numFmtId="177" fontId="87" fillId="25" borderId="16" xfId="1" applyNumberFormat="1" applyFont="1" applyFill="1" applyBorder="1"/>
    <xf numFmtId="177" fontId="4" fillId="0" borderId="13" xfId="41" applyNumberFormat="1" applyFont="1" applyFill="1" applyBorder="1" applyAlignment="1">
      <alignment horizontal="right"/>
    </xf>
    <xf numFmtId="177" fontId="4" fillId="0" borderId="27" xfId="41" applyNumberFormat="1" applyFont="1" applyBorder="1" applyAlignment="1">
      <alignment horizontal="right"/>
    </xf>
    <xf numFmtId="177" fontId="53" fillId="0" borderId="18" xfId="41" applyNumberFormat="1" applyFont="1" applyFill="1" applyBorder="1" applyAlignment="1">
      <alignment horizontal="right"/>
    </xf>
    <xf numFmtId="177" fontId="4" fillId="0" borderId="16" xfId="41" applyNumberFormat="1" applyFont="1" applyFill="1" applyBorder="1" applyAlignment="1">
      <alignment horizontal="right"/>
    </xf>
    <xf numFmtId="177" fontId="0" fillId="0" borderId="0" xfId="1" applyNumberFormat="1" applyFont="1" applyFill="1"/>
    <xf numFmtId="177" fontId="4" fillId="0" borderId="0" xfId="1" applyNumberFormat="1" applyFont="1" applyFill="1" applyBorder="1" applyAlignment="1"/>
    <xf numFmtId="177" fontId="4" fillId="0" borderId="27" xfId="1" applyNumberFormat="1" applyFont="1" applyFill="1" applyBorder="1" applyAlignment="1">
      <alignment horizontal="center"/>
    </xf>
    <xf numFmtId="177" fontId="4" fillId="0" borderId="0" xfId="1" applyNumberFormat="1" applyFont="1" applyFill="1" applyBorder="1" applyAlignment="1">
      <alignment horizontal="center"/>
    </xf>
    <xf numFmtId="177" fontId="4" fillId="0" borderId="0" xfId="1" applyNumberFormat="1" applyFont="1" applyFill="1"/>
    <xf numFmtId="177" fontId="4" fillId="0" borderId="0" xfId="42" applyNumberFormat="1" applyFont="1" applyBorder="1" applyAlignment="1"/>
    <xf numFmtId="177" fontId="4" fillId="0" borderId="27" xfId="43" applyNumberFormat="1" applyFont="1" applyFill="1" applyBorder="1" applyAlignment="1">
      <alignment horizontal="center"/>
    </xf>
    <xf numFmtId="177" fontId="4" fillId="0" borderId="0" xfId="43" applyNumberFormat="1" applyFont="1" applyFill="1" applyBorder="1" applyAlignment="1">
      <alignment horizontal="center"/>
    </xf>
    <xf numFmtId="177" fontId="4" fillId="0" borderId="0" xfId="42" applyNumberFormat="1" applyFont="1" applyFill="1" applyBorder="1" applyAlignment="1">
      <alignment horizontal="center"/>
    </xf>
    <xf numFmtId="177" fontId="4" fillId="0" borderId="16" xfId="1" applyNumberFormat="1" applyFont="1" applyFill="1" applyBorder="1" applyAlignment="1">
      <alignment horizontal="right"/>
    </xf>
    <xf numFmtId="177" fontId="5" fillId="0" borderId="0" xfId="1" applyNumberFormat="1" applyFont="1" applyFill="1" applyBorder="1" applyAlignment="1">
      <alignment horizontal="center"/>
    </xf>
    <xf numFmtId="177" fontId="3" fillId="27" borderId="0" xfId="1" applyNumberFormat="1" applyFont="1" applyFill="1" applyBorder="1"/>
    <xf numFmtId="177" fontId="0" fillId="27" borderId="0" xfId="1" applyNumberFormat="1" applyFont="1" applyFill="1" applyBorder="1"/>
    <xf numFmtId="177" fontId="46" fillId="0" borderId="0" xfId="42" applyNumberFormat="1" applyFont="1" applyBorder="1" applyAlignment="1"/>
    <xf numFmtId="177" fontId="46" fillId="0" borderId="0" xfId="1" applyNumberFormat="1" applyFont="1" applyFill="1" applyBorder="1" applyAlignment="1"/>
    <xf numFmtId="177" fontId="53" fillId="0" borderId="14" xfId="1" applyNumberFormat="1" applyFont="1" applyFill="1" applyBorder="1" applyAlignment="1">
      <alignment horizontal="left"/>
    </xf>
    <xf numFmtId="177" fontId="53" fillId="0" borderId="14" xfId="1" applyNumberFormat="1" applyFont="1" applyFill="1" applyBorder="1" applyAlignment="1">
      <alignment horizontal="center"/>
    </xf>
    <xf numFmtId="177" fontId="53" fillId="0" borderId="29" xfId="1" applyNumberFormat="1" applyFont="1" applyFill="1" applyBorder="1" applyAlignment="1">
      <alignment horizontal="right"/>
    </xf>
    <xf numFmtId="177" fontId="4" fillId="0" borderId="0" xfId="42" applyNumberFormat="1" applyFont="1" applyFill="1" applyBorder="1" applyAlignment="1"/>
    <xf numFmtId="177" fontId="46" fillId="0" borderId="0" xfId="1" applyNumberFormat="1" applyFont="1" applyBorder="1" applyAlignment="1"/>
    <xf numFmtId="177" fontId="24" fillId="0" borderId="0" xfId="42" applyNumberFormat="1" applyFont="1" applyFill="1" applyBorder="1" applyAlignment="1">
      <alignment horizontal="center"/>
    </xf>
    <xf numFmtId="177" fontId="4" fillId="0" borderId="0" xfId="1" applyNumberFormat="1" applyFont="1" applyBorder="1" applyAlignment="1"/>
    <xf numFmtId="177" fontId="4" fillId="0" borderId="12" xfId="1" applyNumberFormat="1" applyFont="1" applyFill="1" applyBorder="1" applyAlignment="1"/>
    <xf numFmtId="177" fontId="4" fillId="25" borderId="27" xfId="43" applyNumberFormat="1" applyFont="1" applyFill="1" applyBorder="1" applyAlignment="1">
      <alignment horizontal="center"/>
    </xf>
    <xf numFmtId="177" fontId="4" fillId="25" borderId="0" xfId="43" applyNumberFormat="1" applyFont="1" applyFill="1" applyBorder="1" applyAlignment="1">
      <alignment horizontal="center"/>
    </xf>
    <xf numFmtId="177" fontId="4" fillId="25" borderId="16" xfId="43" applyNumberFormat="1" applyFont="1" applyFill="1" applyBorder="1" applyAlignment="1">
      <alignment horizontal="center"/>
    </xf>
    <xf numFmtId="179" fontId="4" fillId="0" borderId="0" xfId="41" applyNumberFormat="1" applyFont="1" applyFill="1" applyBorder="1"/>
    <xf numFmtId="179" fontId="4" fillId="25" borderId="0" xfId="41" applyNumberFormat="1" applyFont="1" applyFill="1" applyBorder="1"/>
    <xf numFmtId="179" fontId="4" fillId="25" borderId="16" xfId="41" applyNumberFormat="1" applyFont="1" applyFill="1" applyBorder="1"/>
    <xf numFmtId="179" fontId="4" fillId="0" borderId="27" xfId="41" applyNumberFormat="1" applyFont="1" applyFill="1" applyBorder="1"/>
    <xf numFmtId="179" fontId="4" fillId="25" borderId="27" xfId="41" applyNumberFormat="1" applyFont="1" applyFill="1" applyBorder="1"/>
    <xf numFmtId="177" fontId="33" fillId="0" borderId="0" xfId="1" applyNumberFormat="1" applyFont="1"/>
    <xf numFmtId="177" fontId="0" fillId="0" borderId="14" xfId="1" applyNumberFormat="1" applyFont="1" applyBorder="1"/>
    <xf numFmtId="7" fontId="75" fillId="0" borderId="27" xfId="1" applyNumberFormat="1" applyFont="1" applyFill="1" applyBorder="1"/>
    <xf numFmtId="43" fontId="35" fillId="25" borderId="27" xfId="41" applyNumberFormat="1" applyFont="1" applyFill="1" applyBorder="1"/>
    <xf numFmtId="9" fontId="84" fillId="25" borderId="27" xfId="75" applyNumberFormat="1" applyFont="1" applyFill="1" applyBorder="1"/>
    <xf numFmtId="9" fontId="84" fillId="25" borderId="0" xfId="75" applyNumberFormat="1" applyFont="1" applyFill="1" applyBorder="1"/>
    <xf numFmtId="9" fontId="84" fillId="25" borderId="16" xfId="75" applyNumberFormat="1" applyFont="1" applyFill="1" applyBorder="1"/>
    <xf numFmtId="9" fontId="84" fillId="0" borderId="0" xfId="75" applyNumberFormat="1" applyFont="1" applyFill="1" applyBorder="1"/>
    <xf numFmtId="0" fontId="36" fillId="0" borderId="0" xfId="1" applyFont="1" applyFill="1" applyBorder="1"/>
    <xf numFmtId="177" fontId="52" fillId="0" borderId="0" xfId="41" applyNumberFormat="1" applyFont="1" applyFill="1" applyBorder="1"/>
    <xf numFmtId="177" fontId="87" fillId="0" borderId="0" xfId="41" applyNumberFormat="1" applyFont="1" applyFill="1" applyBorder="1"/>
    <xf numFmtId="177" fontId="50" fillId="0" borderId="0" xfId="1" applyNumberFormat="1" applyFont="1" applyFill="1" applyBorder="1"/>
    <xf numFmtId="0" fontId="50" fillId="0" borderId="0" xfId="1" applyFont="1" applyFill="1" applyBorder="1"/>
    <xf numFmtId="177" fontId="50" fillId="0" borderId="0" xfId="41" applyNumberFormat="1" applyFont="1" applyFill="1" applyBorder="1"/>
    <xf numFmtId="169" fontId="5" fillId="25" borderId="0" xfId="75" applyNumberFormat="1" applyFont="1" applyFill="1" applyBorder="1"/>
    <xf numFmtId="169" fontId="5" fillId="25" borderId="16" xfId="75" applyNumberFormat="1" applyFont="1" applyFill="1" applyBorder="1"/>
    <xf numFmtId="169" fontId="21" fillId="0" borderId="0" xfId="75" applyNumberFormat="1" applyFont="1" applyFill="1" applyBorder="1"/>
    <xf numFmtId="10" fontId="0" fillId="0" borderId="0" xfId="75" applyNumberFormat="1" applyFont="1" applyFill="1" applyBorder="1"/>
    <xf numFmtId="10" fontId="21" fillId="0" borderId="0" xfId="75" applyNumberFormat="1" applyFont="1" applyFill="1" applyBorder="1"/>
    <xf numFmtId="169" fontId="1" fillId="25" borderId="27" xfId="75" applyNumberFormat="1" applyFont="1" applyFill="1" applyBorder="1"/>
    <xf numFmtId="169" fontId="1" fillId="25" borderId="0" xfId="75" applyNumberFormat="1" applyFont="1" applyFill="1" applyBorder="1"/>
    <xf numFmtId="169" fontId="36" fillId="25" borderId="0" xfId="75" applyNumberFormat="1" applyFont="1" applyFill="1" applyBorder="1"/>
    <xf numFmtId="169" fontId="36" fillId="25" borderId="16" xfId="75" applyNumberFormat="1" applyFont="1" applyFill="1" applyBorder="1"/>
    <xf numFmtId="169" fontId="36" fillId="25" borderId="27" xfId="75" applyNumberFormat="1" applyFont="1" applyFill="1" applyBorder="1"/>
    <xf numFmtId="169" fontId="1" fillId="25" borderId="16" xfId="75" applyNumberFormat="1" applyFont="1" applyFill="1" applyBorder="1"/>
    <xf numFmtId="0" fontId="23" fillId="25" borderId="0" xfId="51" applyFill="1" applyBorder="1" applyAlignment="1" applyProtection="1"/>
    <xf numFmtId="7" fontId="33" fillId="0" borderId="0" xfId="1" applyNumberFormat="1" applyFont="1" applyFill="1" applyBorder="1"/>
    <xf numFmtId="7" fontId="33" fillId="25" borderId="27" xfId="1" applyNumberFormat="1" applyFont="1" applyFill="1" applyBorder="1"/>
    <xf numFmtId="7" fontId="33" fillId="25" borderId="0" xfId="1" applyNumberFormat="1" applyFont="1" applyFill="1" applyBorder="1"/>
    <xf numFmtId="7" fontId="33" fillId="25" borderId="16" xfId="1" applyNumberFormat="1" applyFont="1" applyFill="1" applyBorder="1"/>
    <xf numFmtId="7" fontId="9" fillId="0" borderId="0" xfId="1" applyNumberFormat="1" applyFont="1" applyFill="1" applyBorder="1"/>
    <xf numFmtId="37" fontId="75" fillId="0" borderId="0" xfId="1" applyNumberFormat="1" applyFont="1" applyBorder="1"/>
    <xf numFmtId="177" fontId="36" fillId="0" borderId="0" xfId="41" applyNumberFormat="1" applyFont="1" applyFill="1" applyBorder="1"/>
    <xf numFmtId="169" fontId="20" fillId="25" borderId="27" xfId="75" applyNumberFormat="1" applyFont="1" applyFill="1" applyBorder="1"/>
    <xf numFmtId="169" fontId="20" fillId="25" borderId="0" xfId="75" applyNumberFormat="1" applyFont="1" applyFill="1" applyBorder="1"/>
    <xf numFmtId="169" fontId="20" fillId="25" borderId="16" xfId="75" applyNumberFormat="1" applyFont="1" applyFill="1" applyBorder="1"/>
    <xf numFmtId="169" fontId="20" fillId="0" borderId="0" xfId="75" applyNumberFormat="1" applyFont="1" applyFill="1" applyBorder="1"/>
    <xf numFmtId="0" fontId="5" fillId="0" borderId="0" xfId="1" applyFont="1" applyBorder="1"/>
    <xf numFmtId="168" fontId="54" fillId="27" borderId="0" xfId="1" applyNumberFormat="1" applyFont="1" applyFill="1"/>
    <xf numFmtId="166" fontId="8" fillId="0" borderId="32" xfId="1" applyNumberFormat="1" applyFont="1" applyBorder="1"/>
    <xf numFmtId="166" fontId="27" fillId="0" borderId="32" xfId="1" applyNumberFormat="1" applyFont="1" applyBorder="1" applyAlignment="1">
      <alignment horizontal="right"/>
    </xf>
    <xf numFmtId="166" fontId="8" fillId="25" borderId="30" xfId="1" applyNumberFormat="1" applyFont="1" applyFill="1" applyBorder="1" applyAlignment="1">
      <alignment horizontal="right"/>
    </xf>
    <xf numFmtId="166" fontId="8" fillId="25" borderId="13" xfId="1" applyNumberFormat="1" applyFont="1" applyFill="1" applyBorder="1" applyAlignment="1">
      <alignment horizontal="right"/>
    </xf>
    <xf numFmtId="166" fontId="8" fillId="25" borderId="33" xfId="1" applyNumberFormat="1" applyFont="1" applyFill="1" applyBorder="1" applyAlignment="1">
      <alignment horizontal="right"/>
    </xf>
    <xf numFmtId="187" fontId="8" fillId="0" borderId="32" xfId="1" applyNumberFormat="1" applyFont="1" applyBorder="1" applyAlignment="1">
      <alignment horizontal="right"/>
    </xf>
    <xf numFmtId="181" fontId="8" fillId="0" borderId="32" xfId="1" applyNumberFormat="1" applyFont="1" applyBorder="1" applyAlignment="1">
      <alignment horizontal="right"/>
    </xf>
    <xf numFmtId="0" fontId="3" fillId="27" borderId="0" xfId="1" applyFont="1" applyFill="1"/>
    <xf numFmtId="0" fontId="0" fillId="27" borderId="0" xfId="1" applyFont="1" applyFill="1"/>
    <xf numFmtId="7" fontId="9" fillId="25" borderId="27" xfId="1" applyNumberFormat="1" applyFont="1" applyFill="1" applyBorder="1"/>
    <xf numFmtId="7" fontId="9" fillId="25" borderId="0" xfId="1" applyNumberFormat="1" applyFont="1" applyFill="1" applyBorder="1"/>
    <xf numFmtId="7" fontId="9" fillId="25" borderId="16" xfId="1" applyNumberFormat="1" applyFont="1" applyFill="1" applyBorder="1"/>
    <xf numFmtId="0" fontId="1" fillId="27" borderId="0" xfId="58" applyFill="1" applyBorder="1"/>
    <xf numFmtId="4" fontId="5" fillId="25" borderId="27" xfId="58" applyNumberFormat="1" applyFont="1" applyFill="1" applyBorder="1"/>
    <xf numFmtId="4" fontId="5" fillId="25" borderId="0" xfId="58" applyNumberFormat="1" applyFont="1" applyFill="1" applyBorder="1"/>
    <xf numFmtId="4" fontId="5" fillId="25" borderId="16" xfId="58" applyNumberFormat="1" applyFont="1" applyFill="1" applyBorder="1"/>
    <xf numFmtId="4" fontId="5" fillId="0" borderId="0" xfId="58" applyNumberFormat="1" applyFont="1" applyFill="1" applyBorder="1"/>
    <xf numFmtId="0" fontId="1" fillId="0" borderId="0" xfId="58" applyFill="1" applyBorder="1"/>
    <xf numFmtId="0" fontId="1" fillId="0" borderId="0" xfId="58"/>
    <xf numFmtId="169" fontId="5" fillId="25" borderId="27" xfId="58" applyNumberFormat="1" applyFont="1" applyFill="1" applyBorder="1"/>
    <xf numFmtId="169" fontId="5" fillId="25" borderId="0" xfId="58" applyNumberFormat="1" applyFont="1" applyFill="1" applyBorder="1"/>
    <xf numFmtId="169" fontId="5" fillId="25" borderId="16" xfId="58" applyNumberFormat="1" applyFont="1" applyFill="1" applyBorder="1"/>
    <xf numFmtId="169" fontId="36" fillId="0" borderId="0" xfId="58" applyNumberFormat="1" applyFont="1" applyFill="1" applyBorder="1"/>
    <xf numFmtId="169" fontId="5" fillId="0" borderId="0" xfId="58" applyNumberFormat="1" applyFont="1" applyFill="1" applyBorder="1"/>
    <xf numFmtId="169" fontId="20" fillId="25" borderId="27" xfId="1" applyNumberFormat="1" applyFont="1" applyFill="1" applyBorder="1"/>
    <xf numFmtId="169" fontId="20" fillId="25" borderId="0" xfId="1" applyNumberFormat="1" applyFont="1" applyFill="1" applyBorder="1"/>
    <xf numFmtId="169" fontId="20" fillId="25" borderId="16" xfId="1" applyNumberFormat="1" applyFont="1" applyFill="1" applyBorder="1"/>
    <xf numFmtId="169" fontId="35" fillId="0" borderId="0" xfId="75" applyNumberFormat="1" applyFont="1" applyFill="1" applyBorder="1"/>
    <xf numFmtId="177" fontId="80" fillId="27" borderId="0" xfId="41" applyNumberFormat="1" applyFont="1" applyFill="1"/>
    <xf numFmtId="0" fontId="5" fillId="0" borderId="0" xfId="1" applyFont="1" applyFill="1" applyBorder="1" applyAlignment="1">
      <alignment horizontal="centerContinuous"/>
    </xf>
    <xf numFmtId="0" fontId="1" fillId="26" borderId="0" xfId="0" applyFont="1" applyFill="1"/>
    <xf numFmtId="0" fontId="11" fillId="26" borderId="0" xfId="0" applyFont="1" applyFill="1"/>
    <xf numFmtId="0" fontId="89" fillId="26" borderId="0" xfId="68" applyFont="1" applyFill="1" applyBorder="1" applyAlignment="1">
      <alignment horizontal="left"/>
    </xf>
    <xf numFmtId="0" fontId="81" fillId="26" borderId="0" xfId="0" applyFont="1" applyFill="1"/>
    <xf numFmtId="0" fontId="8" fillId="26" borderId="0" xfId="0" applyFont="1" applyFill="1"/>
    <xf numFmtId="0" fontId="89" fillId="26" borderId="0" xfId="68" quotePrefix="1" applyFont="1" applyFill="1" applyBorder="1" applyAlignment="1">
      <alignment horizontal="left"/>
    </xf>
    <xf numFmtId="0" fontId="4" fillId="26" borderId="0" xfId="0" applyFont="1" applyFill="1"/>
    <xf numFmtId="0" fontId="90" fillId="0" borderId="0" xfId="0" applyFont="1"/>
    <xf numFmtId="0" fontId="38" fillId="27" borderId="0" xfId="0" applyFont="1" applyFill="1"/>
    <xf numFmtId="169" fontId="4" fillId="25" borderId="0" xfId="75" applyNumberFormat="1" applyFont="1" applyFill="1" applyBorder="1"/>
    <xf numFmtId="169" fontId="4" fillId="25" borderId="16" xfId="75" applyNumberFormat="1" applyFont="1" applyFill="1" applyBorder="1"/>
    <xf numFmtId="4" fontId="0" fillId="0" borderId="0" xfId="41" applyNumberFormat="1" applyFont="1" applyFill="1" applyBorder="1"/>
    <xf numFmtId="9" fontId="0" fillId="0" borderId="0" xfId="41" applyNumberFormat="1" applyFont="1" applyFill="1" applyBorder="1"/>
    <xf numFmtId="8" fontId="0" fillId="0" borderId="0" xfId="1" applyNumberFormat="1" applyFont="1"/>
    <xf numFmtId="169" fontId="5" fillId="25" borderId="18" xfId="1" applyNumberFormat="1" applyFont="1" applyFill="1" applyBorder="1"/>
    <xf numFmtId="169" fontId="5" fillId="25" borderId="14" xfId="1" applyNumberFormat="1" applyFont="1" applyFill="1" applyBorder="1"/>
    <xf numFmtId="169" fontId="5" fillId="25" borderId="29" xfId="1" applyNumberFormat="1" applyFont="1" applyFill="1" applyBorder="1"/>
    <xf numFmtId="168" fontId="76" fillId="27" borderId="0" xfId="60" applyNumberFormat="1" applyFont="1" applyFill="1"/>
    <xf numFmtId="168" fontId="96" fillId="27" borderId="0" xfId="60" applyNumberFormat="1" applyFont="1" applyFill="1"/>
    <xf numFmtId="168" fontId="96" fillId="27" borderId="0" xfId="65" applyNumberFormat="1" applyFont="1" applyFill="1" applyAlignment="1">
      <alignment horizontal="right"/>
    </xf>
    <xf numFmtId="168" fontId="96" fillId="27" borderId="0" xfId="65" applyNumberFormat="1" applyFont="1" applyFill="1"/>
    <xf numFmtId="168" fontId="97" fillId="27" borderId="0" xfId="65" applyNumberFormat="1" applyFont="1" applyFill="1"/>
    <xf numFmtId="168" fontId="17" fillId="27" borderId="0" xfId="65" applyNumberFormat="1" applyFont="1" applyFill="1"/>
    <xf numFmtId="168" fontId="17" fillId="27" borderId="0" xfId="64" applyNumberFormat="1" applyFont="1" applyFill="1"/>
    <xf numFmtId="168" fontId="54" fillId="27" borderId="0" xfId="64" applyNumberFormat="1" applyFont="1" applyFill="1"/>
    <xf numFmtId="0" fontId="5" fillId="0" borderId="0" xfId="65"/>
    <xf numFmtId="168" fontId="98" fillId="27" borderId="0" xfId="65" applyNumberFormat="1" applyFont="1" applyFill="1" applyBorder="1"/>
    <xf numFmtId="168" fontId="54" fillId="27" borderId="0" xfId="60" applyNumberFormat="1" applyFont="1" applyFill="1"/>
    <xf numFmtId="168" fontId="98" fillId="27" borderId="0" xfId="60" applyNumberFormat="1" applyFont="1" applyFill="1"/>
    <xf numFmtId="168" fontId="99" fillId="27" borderId="0" xfId="65" applyNumberFormat="1" applyFont="1" applyFill="1" applyAlignment="1">
      <alignment horizontal="right"/>
    </xf>
    <xf numFmtId="168" fontId="99" fillId="27" borderId="0" xfId="65" applyNumberFormat="1" applyFont="1" applyFill="1"/>
    <xf numFmtId="168" fontId="8" fillId="27" borderId="0" xfId="65" applyNumberFormat="1" applyFont="1" applyFill="1" applyBorder="1"/>
    <xf numFmtId="168" fontId="15" fillId="27" borderId="0" xfId="56" applyNumberFormat="1" applyFont="1" applyFill="1"/>
    <xf numFmtId="168" fontId="12" fillId="27" borderId="0" xfId="56" applyNumberFormat="1" applyFont="1" applyFill="1"/>
    <xf numFmtId="168" fontId="12" fillId="27" borderId="0" xfId="65" applyNumberFormat="1" applyFont="1" applyFill="1"/>
    <xf numFmtId="168" fontId="18" fillId="27" borderId="0" xfId="65" applyNumberFormat="1" applyFont="1" applyFill="1"/>
    <xf numFmtId="168" fontId="18" fillId="27" borderId="0" xfId="65" applyNumberFormat="1" applyFont="1" applyFill="1" applyBorder="1"/>
    <xf numFmtId="168" fontId="18" fillId="27" borderId="0" xfId="64" applyNumberFormat="1" applyFont="1" applyFill="1"/>
    <xf numFmtId="166" fontId="8" fillId="0" borderId="34" xfId="65" applyNumberFormat="1" applyFont="1" applyFill="1" applyBorder="1"/>
    <xf numFmtId="166" fontId="8" fillId="0" borderId="35" xfId="65" quotePrefix="1" applyNumberFormat="1" applyFont="1" applyFill="1" applyBorder="1"/>
    <xf numFmtId="166" fontId="91" fillId="0" borderId="36" xfId="65" applyNumberFormat="1" applyFont="1" applyFill="1" applyBorder="1" applyAlignment="1">
      <alignment horizontal="center"/>
    </xf>
    <xf numFmtId="166" fontId="16" fillId="0" borderId="35" xfId="65" applyNumberFormat="1" applyFont="1" applyFill="1" applyBorder="1"/>
    <xf numFmtId="173" fontId="8" fillId="25" borderId="27" xfId="65" applyNumberFormat="1" applyFont="1" applyFill="1" applyBorder="1" applyAlignment="1">
      <alignment horizontal="right"/>
    </xf>
    <xf numFmtId="173" fontId="8" fillId="25" borderId="0" xfId="65" applyNumberFormat="1" applyFont="1" applyFill="1" applyBorder="1" applyAlignment="1">
      <alignment horizontal="right"/>
    </xf>
    <xf numFmtId="174" fontId="8" fillId="25" borderId="16" xfId="65" applyNumberFormat="1" applyFont="1" applyFill="1" applyBorder="1" applyAlignment="1">
      <alignment horizontal="right"/>
    </xf>
    <xf numFmtId="173" fontId="8" fillId="25" borderId="16" xfId="65" applyNumberFormat="1" applyFont="1" applyFill="1" applyBorder="1" applyAlignment="1">
      <alignment horizontal="right"/>
    </xf>
    <xf numFmtId="173" fontId="8" fillId="0" borderId="0" xfId="65" applyNumberFormat="1" applyFont="1" applyFill="1" applyBorder="1" applyAlignment="1">
      <alignment horizontal="center"/>
    </xf>
    <xf numFmtId="173" fontId="92" fillId="0" borderId="0" xfId="65" applyNumberFormat="1" applyFont="1" applyFill="1" applyBorder="1" applyAlignment="1">
      <alignment horizontal="center"/>
    </xf>
    <xf numFmtId="1" fontId="8" fillId="0" borderId="0" xfId="65" applyNumberFormat="1" applyFont="1" applyFill="1" applyBorder="1" applyAlignment="1">
      <alignment horizontal="center"/>
    </xf>
    <xf numFmtId="174" fontId="8" fillId="0" borderId="0" xfId="65" applyNumberFormat="1" applyFont="1" applyFill="1" applyBorder="1" applyAlignment="1">
      <alignment horizontal="center"/>
    </xf>
    <xf numFmtId="0" fontId="19" fillId="0" borderId="0" xfId="65" applyFont="1" applyBorder="1" applyAlignment="1"/>
    <xf numFmtId="0" fontId="8" fillId="0" borderId="37" xfId="65" applyFont="1" applyBorder="1" applyAlignment="1"/>
    <xf numFmtId="0" fontId="19" fillId="0" borderId="0" xfId="65" applyFont="1" applyAlignment="1"/>
    <xf numFmtId="0" fontId="19" fillId="0" borderId="0" xfId="65" applyFont="1"/>
    <xf numFmtId="168" fontId="16" fillId="0" borderId="0" xfId="65" applyNumberFormat="1" applyFont="1"/>
    <xf numFmtId="0" fontId="5" fillId="0" borderId="0" xfId="65" applyFill="1" applyBorder="1"/>
    <xf numFmtId="0" fontId="1" fillId="0" borderId="0" xfId="65" applyFont="1" applyFill="1"/>
    <xf numFmtId="166" fontId="91" fillId="0" borderId="0" xfId="65" applyNumberFormat="1" applyFont="1" applyFill="1" applyBorder="1" applyAlignment="1">
      <alignment horizontal="center"/>
    </xf>
    <xf numFmtId="166" fontId="5" fillId="0" borderId="0" xfId="65" applyNumberFormat="1" applyFont="1" applyFill="1" applyBorder="1"/>
    <xf numFmtId="0" fontId="3" fillId="27" borderId="18" xfId="65" applyFont="1" applyFill="1" applyBorder="1" applyAlignment="1">
      <alignment horizontal="left"/>
    </xf>
    <xf numFmtId="0" fontId="16" fillId="27" borderId="14" xfId="65" applyFont="1" applyFill="1" applyBorder="1" applyAlignment="1">
      <alignment horizontal="left"/>
    </xf>
    <xf numFmtId="0" fontId="16" fillId="27" borderId="21" xfId="65" applyFont="1" applyFill="1" applyBorder="1" applyAlignment="1">
      <alignment horizontal="left"/>
    </xf>
    <xf numFmtId="0" fontId="8" fillId="25" borderId="27" xfId="65" applyFont="1" applyFill="1" applyBorder="1" applyAlignment="1">
      <alignment horizontal="centerContinuous"/>
    </xf>
    <xf numFmtId="0" fontId="19" fillId="25" borderId="0" xfId="65" applyFont="1" applyFill="1" applyBorder="1" applyAlignment="1">
      <alignment horizontal="centerContinuous"/>
    </xf>
    <xf numFmtId="0" fontId="19" fillId="25" borderId="16" xfId="65" applyFont="1" applyFill="1" applyBorder="1" applyAlignment="1">
      <alignment horizontal="centerContinuous"/>
    </xf>
    <xf numFmtId="0" fontId="8" fillId="25" borderId="16" xfId="65" applyFont="1" applyFill="1" applyBorder="1" applyAlignment="1">
      <alignment horizontal="centerContinuous"/>
    </xf>
    <xf numFmtId="0" fontId="8" fillId="25" borderId="0" xfId="65" applyFont="1" applyFill="1" applyBorder="1" applyAlignment="1">
      <alignment horizontal="centerContinuous"/>
    </xf>
    <xf numFmtId="0" fontId="8" fillId="0" borderId="0" xfId="65" applyFont="1" applyFill="1" applyBorder="1" applyAlignment="1">
      <alignment horizontal="centerContinuous"/>
    </xf>
    <xf numFmtId="0" fontId="19" fillId="0" borderId="0" xfId="65" applyFont="1" applyFill="1" applyBorder="1" applyAlignment="1">
      <alignment horizontal="centerContinuous"/>
    </xf>
    <xf numFmtId="0" fontId="5" fillId="0" borderId="0" xfId="65" applyBorder="1" applyAlignment="1"/>
    <xf numFmtId="0" fontId="5" fillId="0" borderId="37" xfId="65" applyBorder="1" applyAlignment="1"/>
    <xf numFmtId="0" fontId="5" fillId="0" borderId="0" xfId="65" applyAlignment="1"/>
    <xf numFmtId="0" fontId="5" fillId="0" borderId="0" xfId="56" applyFont="1"/>
    <xf numFmtId="0" fontId="8" fillId="0" borderId="0" xfId="65" applyFont="1" applyFill="1" applyAlignment="1">
      <alignment horizontal="left"/>
    </xf>
    <xf numFmtId="0" fontId="1" fillId="0" borderId="0" xfId="65" applyFont="1" applyFill="1" applyAlignment="1">
      <alignment horizontal="left"/>
    </xf>
    <xf numFmtId="4" fontId="50" fillId="25" borderId="27" xfId="65" applyNumberFormat="1" applyFont="1" applyFill="1" applyBorder="1" applyAlignment="1">
      <alignment horizontal="right"/>
    </xf>
    <xf numFmtId="4" fontId="50" fillId="25" borderId="0" xfId="65" applyNumberFormat="1" applyFont="1" applyFill="1" applyBorder="1" applyAlignment="1">
      <alignment horizontal="right"/>
    </xf>
    <xf numFmtId="4" fontId="50" fillId="25" borderId="16" xfId="65" applyNumberFormat="1" applyFont="1" applyFill="1" applyBorder="1" applyAlignment="1">
      <alignment horizontal="right"/>
    </xf>
    <xf numFmtId="4" fontId="48" fillId="25" borderId="16" xfId="65" applyNumberFormat="1" applyFont="1" applyFill="1" applyBorder="1" applyAlignment="1">
      <alignment horizontal="right"/>
    </xf>
    <xf numFmtId="4" fontId="48" fillId="25" borderId="27" xfId="65" applyNumberFormat="1" applyFont="1" applyFill="1" applyBorder="1" applyAlignment="1">
      <alignment horizontal="right"/>
    </xf>
    <xf numFmtId="4" fontId="48" fillId="25" borderId="0" xfId="65" applyNumberFormat="1" applyFont="1" applyFill="1" applyBorder="1" applyAlignment="1">
      <alignment horizontal="right"/>
    </xf>
    <xf numFmtId="4" fontId="48" fillId="0" borderId="0" xfId="65" applyNumberFormat="1" applyFont="1" applyFill="1" applyBorder="1" applyAlignment="1">
      <alignment horizontal="right"/>
    </xf>
    <xf numFmtId="0" fontId="5" fillId="0" borderId="0" xfId="65" applyBorder="1"/>
    <xf numFmtId="0" fontId="5" fillId="0" borderId="37" xfId="65" applyBorder="1"/>
    <xf numFmtId="3" fontId="35" fillId="0" borderId="0" xfId="65" applyNumberFormat="1" applyFont="1" applyFill="1" applyBorder="1" applyAlignment="1">
      <alignment horizontal="center"/>
    </xf>
    <xf numFmtId="4" fontId="1" fillId="25" borderId="27" xfId="65" applyNumberFormat="1" applyFont="1" applyFill="1" applyBorder="1" applyAlignment="1">
      <alignment horizontal="right"/>
    </xf>
    <xf numFmtId="4" fontId="1" fillId="25" borderId="0" xfId="65" applyNumberFormat="1" applyFont="1" applyFill="1" applyBorder="1" applyAlignment="1">
      <alignment horizontal="right"/>
    </xf>
    <xf numFmtId="4" fontId="1" fillId="25" borderId="16" xfId="65" applyNumberFormat="1" applyFont="1" applyFill="1" applyBorder="1" applyAlignment="1">
      <alignment horizontal="right"/>
    </xf>
    <xf numFmtId="4" fontId="35" fillId="25" borderId="27" xfId="65" applyNumberFormat="1" applyFont="1" applyFill="1" applyBorder="1" applyAlignment="1">
      <alignment horizontal="right"/>
    </xf>
    <xf numFmtId="4" fontId="35" fillId="25" borderId="0" xfId="65" applyNumberFormat="1" applyFont="1" applyFill="1" applyBorder="1" applyAlignment="1">
      <alignment horizontal="right"/>
    </xf>
    <xf numFmtId="4" fontId="35" fillId="25" borderId="16" xfId="65" applyNumberFormat="1" applyFont="1" applyFill="1" applyBorder="1" applyAlignment="1">
      <alignment horizontal="right"/>
    </xf>
    <xf numFmtId="4" fontId="35" fillId="0" borderId="0" xfId="65" applyNumberFormat="1" applyFont="1" applyFill="1" applyBorder="1" applyAlignment="1">
      <alignment horizontal="right"/>
    </xf>
    <xf numFmtId="4" fontId="4" fillId="0" borderId="0" xfId="56" applyNumberFormat="1" applyFont="1" applyFill="1" applyBorder="1" applyAlignment="1">
      <alignment horizontal="right"/>
    </xf>
    <xf numFmtId="0" fontId="4" fillId="0" borderId="18" xfId="65" applyFont="1" applyBorder="1"/>
    <xf numFmtId="0" fontId="5" fillId="0" borderId="0" xfId="56" applyNumberFormat="1" applyFont="1" applyFill="1" applyBorder="1" applyAlignment="1"/>
    <xf numFmtId="4" fontId="36" fillId="25" borderId="27" xfId="65" applyNumberFormat="1" applyFont="1" applyFill="1" applyBorder="1" applyAlignment="1">
      <alignment horizontal="right"/>
    </xf>
    <xf numFmtId="4" fontId="36" fillId="25" borderId="0" xfId="65" applyNumberFormat="1" applyFont="1" applyFill="1" applyBorder="1" applyAlignment="1">
      <alignment horizontal="right"/>
    </xf>
    <xf numFmtId="4" fontId="36" fillId="25" borderId="16" xfId="65" applyNumberFormat="1" applyFont="1" applyFill="1" applyBorder="1" applyAlignment="1">
      <alignment horizontal="right"/>
    </xf>
    <xf numFmtId="4" fontId="37" fillId="0" borderId="0" xfId="65" applyNumberFormat="1" applyFont="1" applyFill="1" applyBorder="1" applyAlignment="1">
      <alignment horizontal="right"/>
    </xf>
    <xf numFmtId="170" fontId="1" fillId="0" borderId="0" xfId="65" applyNumberFormat="1" applyFont="1" applyFill="1" applyBorder="1" applyAlignment="1">
      <alignment horizontal="center"/>
    </xf>
    <xf numFmtId="4" fontId="5" fillId="0" borderId="0" xfId="56" applyNumberFormat="1" applyFont="1" applyFill="1" applyBorder="1" applyAlignment="1">
      <alignment horizontal="right"/>
    </xf>
    <xf numFmtId="0" fontId="5" fillId="0" borderId="38" xfId="65" applyBorder="1"/>
    <xf numFmtId="0" fontId="34" fillId="0" borderId="0" xfId="65" applyFont="1" applyBorder="1"/>
    <xf numFmtId="0" fontId="4" fillId="0" borderId="0" xfId="65" applyFont="1"/>
    <xf numFmtId="0" fontId="3" fillId="27" borderId="20" xfId="65" applyFont="1" applyFill="1" applyBorder="1" applyAlignment="1">
      <alignment horizontal="left"/>
    </xf>
    <xf numFmtId="0" fontId="19" fillId="27" borderId="0" xfId="65" applyFont="1" applyFill="1" applyBorder="1" applyAlignment="1">
      <alignment horizontal="left"/>
    </xf>
    <xf numFmtId="0" fontId="9" fillId="25" borderId="27" xfId="65" applyFont="1" applyFill="1" applyBorder="1" applyAlignment="1">
      <alignment horizontal="centerContinuous"/>
    </xf>
    <xf numFmtId="0" fontId="1" fillId="25" borderId="0" xfId="65" applyFont="1" applyFill="1" applyBorder="1" applyAlignment="1">
      <alignment horizontal="centerContinuous"/>
    </xf>
    <xf numFmtId="0" fontId="1" fillId="25" borderId="16" xfId="65" applyFont="1" applyFill="1" applyBorder="1" applyAlignment="1">
      <alignment horizontal="centerContinuous"/>
    </xf>
    <xf numFmtId="0" fontId="35" fillId="25" borderId="16" xfId="65" applyFont="1" applyFill="1" applyBorder="1" applyAlignment="1">
      <alignment horizontal="centerContinuous"/>
    </xf>
    <xf numFmtId="0" fontId="37" fillId="25" borderId="27" xfId="65" applyFont="1" applyFill="1" applyBorder="1" applyAlignment="1">
      <alignment horizontal="centerContinuous"/>
    </xf>
    <xf numFmtId="0" fontId="35" fillId="25" borderId="0" xfId="65" applyFont="1" applyFill="1" applyBorder="1" applyAlignment="1">
      <alignment horizontal="centerContinuous"/>
    </xf>
    <xf numFmtId="0" fontId="37" fillId="25" borderId="16" xfId="65" applyFont="1" applyFill="1" applyBorder="1" applyAlignment="1">
      <alignment horizontal="centerContinuous"/>
    </xf>
    <xf numFmtId="0" fontId="37" fillId="25" borderId="0" xfId="65" applyFont="1" applyFill="1" applyBorder="1" applyAlignment="1">
      <alignment horizontal="centerContinuous"/>
    </xf>
    <xf numFmtId="0" fontId="37" fillId="0" borderId="0" xfId="65" applyFont="1" applyFill="1" applyBorder="1" applyAlignment="1">
      <alignment horizontal="centerContinuous"/>
    </xf>
    <xf numFmtId="0" fontId="35" fillId="0" borderId="0" xfId="65" applyFont="1" applyFill="1" applyBorder="1" applyAlignment="1">
      <alignment horizontal="centerContinuous"/>
    </xf>
    <xf numFmtId="0" fontId="5" fillId="0" borderId="0" xfId="56" applyFont="1" applyFill="1" applyBorder="1" applyAlignment="1">
      <alignment horizontal="centerContinuous"/>
    </xf>
    <xf numFmtId="4" fontId="5" fillId="0" borderId="0" xfId="56" applyNumberFormat="1" applyFont="1" applyBorder="1" applyAlignment="1">
      <alignment horizontal="right"/>
    </xf>
    <xf numFmtId="0" fontId="35" fillId="0" borderId="0" xfId="65" applyFont="1" applyAlignment="1">
      <alignment horizontal="right"/>
    </xf>
    <xf numFmtId="177" fontId="5" fillId="0" borderId="0" xfId="41" applyNumberFormat="1" applyFont="1" applyBorder="1"/>
    <xf numFmtId="0" fontId="4" fillId="0" borderId="0" xfId="65" applyFont="1" applyFill="1" applyAlignment="1">
      <alignment horizontal="left"/>
    </xf>
    <xf numFmtId="9" fontId="35" fillId="0" borderId="0" xfId="65" applyNumberFormat="1" applyFont="1" applyFill="1" applyBorder="1" applyAlignment="1">
      <alignment horizontal="center"/>
    </xf>
    <xf numFmtId="4" fontId="5" fillId="0" borderId="37" xfId="56" applyNumberFormat="1" applyFont="1" applyBorder="1" applyAlignment="1">
      <alignment horizontal="right"/>
    </xf>
    <xf numFmtId="0" fontId="5" fillId="0" borderId="0" xfId="65" applyFont="1" applyFill="1" applyAlignment="1">
      <alignment horizontal="left"/>
    </xf>
    <xf numFmtId="0" fontId="5" fillId="0" borderId="0" xfId="65" applyFont="1" applyBorder="1"/>
    <xf numFmtId="0" fontId="49" fillId="0" borderId="0" xfId="65" applyFont="1" applyFill="1"/>
    <xf numFmtId="0" fontId="1" fillId="0" borderId="0" xfId="65" applyFont="1" applyFill="1" applyBorder="1"/>
    <xf numFmtId="0" fontId="93" fillId="0" borderId="37" xfId="65" applyFont="1" applyBorder="1"/>
    <xf numFmtId="0" fontId="8" fillId="27" borderId="0" xfId="65" applyFont="1" applyFill="1" applyBorder="1" applyAlignment="1">
      <alignment horizontal="left"/>
    </xf>
    <xf numFmtId="39" fontId="1" fillId="0" borderId="37" xfId="65" applyNumberFormat="1" applyFont="1" applyFill="1" applyBorder="1" applyAlignment="1">
      <alignment horizontal="right"/>
    </xf>
    <xf numFmtId="39" fontId="1" fillId="0" borderId="0" xfId="65" applyNumberFormat="1" applyFont="1" applyFill="1" applyBorder="1" applyAlignment="1">
      <alignment horizontal="right"/>
    </xf>
    <xf numFmtId="2" fontId="1" fillId="25" borderId="27" xfId="65" applyNumberFormat="1" applyFont="1" applyFill="1" applyBorder="1" applyAlignment="1">
      <alignment horizontal="right"/>
    </xf>
    <xf numFmtId="2" fontId="1" fillId="25" borderId="0" xfId="65" applyNumberFormat="1" applyFont="1" applyFill="1" applyBorder="1" applyAlignment="1">
      <alignment horizontal="right"/>
    </xf>
    <xf numFmtId="2" fontId="1" fillId="25" borderId="16" xfId="65" applyNumberFormat="1" applyFont="1" applyFill="1" applyBorder="1" applyAlignment="1">
      <alignment horizontal="right"/>
    </xf>
    <xf numFmtId="2" fontId="35" fillId="25" borderId="27" xfId="65" applyNumberFormat="1" applyFont="1" applyFill="1" applyBorder="1" applyAlignment="1">
      <alignment horizontal="right"/>
    </xf>
    <xf numFmtId="2" fontId="35" fillId="25" borderId="0" xfId="65" applyNumberFormat="1" applyFont="1" applyFill="1" applyBorder="1" applyAlignment="1">
      <alignment horizontal="right"/>
    </xf>
    <xf numFmtId="2" fontId="35" fillId="25" borderId="16" xfId="65" applyNumberFormat="1" applyFont="1" applyFill="1" applyBorder="1" applyAlignment="1">
      <alignment horizontal="right"/>
    </xf>
    <xf numFmtId="0" fontId="8" fillId="0" borderId="0" xfId="65" applyFont="1" applyFill="1" applyBorder="1" applyAlignment="1">
      <alignment horizontal="left"/>
    </xf>
    <xf numFmtId="0" fontId="1" fillId="27" borderId="0" xfId="65" applyFont="1" applyFill="1" applyAlignment="1">
      <alignment horizontal="left"/>
    </xf>
    <xf numFmtId="3" fontId="1" fillId="25" borderId="27" xfId="65" applyNumberFormat="1" applyFont="1" applyFill="1" applyBorder="1" applyAlignment="1">
      <alignment horizontal="right"/>
    </xf>
    <xf numFmtId="3" fontId="1" fillId="25" borderId="0" xfId="65" applyNumberFormat="1" applyFont="1" applyFill="1" applyBorder="1" applyAlignment="1">
      <alignment horizontal="right"/>
    </xf>
    <xf numFmtId="3" fontId="1" fillId="25" borderId="16" xfId="65" applyNumberFormat="1" applyFont="1" applyFill="1" applyBorder="1" applyAlignment="1">
      <alignment horizontal="right"/>
    </xf>
    <xf numFmtId="3" fontId="35" fillId="25" borderId="27" xfId="65" applyNumberFormat="1" applyFont="1" applyFill="1" applyBorder="1" applyAlignment="1">
      <alignment horizontal="right"/>
    </xf>
    <xf numFmtId="3" fontId="35" fillId="25" borderId="0" xfId="65" applyNumberFormat="1" applyFont="1" applyFill="1" applyBorder="1" applyAlignment="1">
      <alignment horizontal="right"/>
    </xf>
    <xf numFmtId="3" fontId="35" fillId="25" borderId="16" xfId="65" applyNumberFormat="1" applyFont="1" applyFill="1" applyBorder="1" applyAlignment="1">
      <alignment horizontal="right"/>
    </xf>
    <xf numFmtId="3" fontId="35" fillId="0" borderId="0" xfId="65" applyNumberFormat="1" applyFont="1" applyFill="1" applyBorder="1" applyAlignment="1">
      <alignment horizontal="right"/>
    </xf>
    <xf numFmtId="3" fontId="5" fillId="0" borderId="0" xfId="56" applyNumberFormat="1" applyFont="1" applyFill="1" applyBorder="1" applyAlignment="1">
      <alignment horizontal="right"/>
    </xf>
    <xf numFmtId="0" fontId="1" fillId="0" borderId="37" xfId="65" applyNumberFormat="1" applyFont="1" applyFill="1" applyBorder="1" applyAlignment="1">
      <alignment horizontal="right"/>
    </xf>
    <xf numFmtId="3" fontId="50" fillId="25" borderId="0" xfId="65" applyNumberFormat="1" applyFont="1" applyFill="1" applyBorder="1" applyAlignment="1">
      <alignment horizontal="right"/>
    </xf>
    <xf numFmtId="3" fontId="50" fillId="25" borderId="16" xfId="65" applyNumberFormat="1" applyFont="1" applyFill="1" applyBorder="1" applyAlignment="1">
      <alignment horizontal="right"/>
    </xf>
    <xf numFmtId="0" fontId="95" fillId="25" borderId="0" xfId="65" applyFont="1" applyFill="1" applyBorder="1" applyAlignment="1">
      <alignment horizontal="centerContinuous"/>
    </xf>
    <xf numFmtId="0" fontId="95" fillId="25" borderId="16" xfId="65" applyFont="1" applyFill="1" applyBorder="1" applyAlignment="1">
      <alignment horizontal="centerContinuous"/>
    </xf>
    <xf numFmtId="3" fontId="1" fillId="0" borderId="0" xfId="65" applyNumberFormat="1" applyFont="1" applyBorder="1" applyAlignment="1">
      <alignment horizontal="right"/>
    </xf>
    <xf numFmtId="3" fontId="1" fillId="0" borderId="0" xfId="65" applyNumberFormat="1" applyFont="1" applyFill="1" applyBorder="1" applyAlignment="1">
      <alignment horizontal="right"/>
    </xf>
    <xf numFmtId="0" fontId="1" fillId="0" borderId="0" xfId="65" applyFont="1" applyFill="1" applyBorder="1" applyAlignment="1">
      <alignment horizontal="left"/>
    </xf>
    <xf numFmtId="0" fontId="1" fillId="25" borderId="27" xfId="65" applyFont="1" applyFill="1" applyBorder="1"/>
    <xf numFmtId="4" fontId="1" fillId="0" borderId="0" xfId="65" applyNumberFormat="1" applyFont="1" applyFill="1" applyBorder="1" applyAlignment="1">
      <alignment horizontal="right"/>
    </xf>
    <xf numFmtId="0" fontId="5" fillId="0" borderId="0" xfId="60" applyNumberFormat="1" applyFont="1" applyFill="1" applyBorder="1" applyAlignment="1"/>
    <xf numFmtId="0" fontId="5" fillId="0" borderId="0" xfId="56" applyNumberFormat="1" applyFont="1" applyFill="1" applyBorder="1" applyAlignment="1">
      <alignment horizontal="left"/>
    </xf>
    <xf numFmtId="0" fontId="1" fillId="25" borderId="0" xfId="65" applyFont="1" applyFill="1" applyBorder="1"/>
    <xf numFmtId="0" fontId="1" fillId="25" borderId="16" xfId="65" applyFont="1" applyFill="1" applyBorder="1"/>
    <xf numFmtId="0" fontId="5" fillId="27" borderId="39" xfId="65" applyFill="1" applyBorder="1"/>
    <xf numFmtId="0" fontId="5" fillId="27" borderId="39" xfId="65" applyFill="1" applyBorder="1" applyAlignment="1">
      <alignment horizontal="left"/>
    </xf>
    <xf numFmtId="0" fontId="5" fillId="27" borderId="40" xfId="65" applyFill="1" applyBorder="1"/>
    <xf numFmtId="0" fontId="5" fillId="27" borderId="0" xfId="65" applyFill="1" applyBorder="1"/>
    <xf numFmtId="0" fontId="5" fillId="0" borderId="41" xfId="65" applyBorder="1"/>
    <xf numFmtId="0" fontId="1" fillId="0" borderId="0" xfId="56" applyFont="1" applyFill="1"/>
    <xf numFmtId="0" fontId="1" fillId="0" borderId="0" xfId="56" applyFont="1" applyFill="1" applyBorder="1"/>
    <xf numFmtId="0" fontId="5" fillId="0" borderId="0" xfId="56" applyFont="1" applyFill="1"/>
    <xf numFmtId="168" fontId="7" fillId="0" borderId="0" xfId="56" applyNumberFormat="1" applyFont="1" applyFill="1"/>
    <xf numFmtId="168" fontId="51" fillId="0" borderId="0" xfId="56" applyNumberFormat="1" applyFont="1" applyFill="1"/>
    <xf numFmtId="168" fontId="15" fillId="0" borderId="0" xfId="56" applyNumberFormat="1" applyFont="1" applyFill="1"/>
    <xf numFmtId="0" fontId="5" fillId="27" borderId="42" xfId="65" applyFill="1" applyBorder="1"/>
    <xf numFmtId="0" fontId="5" fillId="27" borderId="43" xfId="65" applyFill="1" applyBorder="1"/>
    <xf numFmtId="0" fontId="5" fillId="27" borderId="44" xfId="65" applyFill="1" applyBorder="1"/>
    <xf numFmtId="0" fontId="5" fillId="27" borderId="45" xfId="65" applyFill="1" applyBorder="1"/>
    <xf numFmtId="0" fontId="5" fillId="0" borderId="0" xfId="56" applyFont="1" applyAlignment="1">
      <alignment horizontal="right"/>
    </xf>
    <xf numFmtId="0" fontId="5" fillId="0" borderId="0" xfId="65" applyAlignment="1">
      <alignment horizontal="right"/>
    </xf>
    <xf numFmtId="168" fontId="76" fillId="27" borderId="0" xfId="59" applyNumberFormat="1" applyFont="1" applyFill="1"/>
    <xf numFmtId="168" fontId="96" fillId="27" borderId="0" xfId="59" applyNumberFormat="1" applyFont="1" applyFill="1"/>
    <xf numFmtId="168" fontId="99" fillId="27" borderId="0" xfId="59" applyNumberFormat="1" applyFont="1" applyFill="1"/>
    <xf numFmtId="0" fontId="1" fillId="0" borderId="0" xfId="59"/>
    <xf numFmtId="168" fontId="54" fillId="27" borderId="0" xfId="59" applyNumberFormat="1" applyFont="1" applyFill="1" applyAlignment="1">
      <alignment horizontal="center"/>
    </xf>
    <xf numFmtId="168" fontId="98" fillId="27" borderId="0" xfId="59" applyNumberFormat="1" applyFont="1" applyFill="1"/>
    <xf numFmtId="168" fontId="54" fillId="27" borderId="0" xfId="59" applyNumberFormat="1" applyFont="1" applyFill="1"/>
    <xf numFmtId="168" fontId="8" fillId="27" borderId="0" xfId="59" applyNumberFormat="1" applyFont="1" applyFill="1"/>
    <xf numFmtId="168" fontId="15" fillId="27" borderId="0" xfId="59" applyNumberFormat="1" applyFont="1" applyFill="1"/>
    <xf numFmtId="168" fontId="19" fillId="27" borderId="0" xfId="59" applyNumberFormat="1" applyFont="1" applyFill="1"/>
    <xf numFmtId="166" fontId="8" fillId="0" borderId="0" xfId="59" applyNumberFormat="1" applyFont="1"/>
    <xf numFmtId="166" fontId="3" fillId="0" borderId="0" xfId="59" applyNumberFormat="1" applyFont="1"/>
    <xf numFmtId="166" fontId="27" fillId="0" borderId="0" xfId="59" applyNumberFormat="1" applyFont="1" applyAlignment="1">
      <alignment horizontal="right"/>
    </xf>
    <xf numFmtId="166" fontId="1" fillId="0" borderId="0" xfId="59" applyNumberFormat="1"/>
    <xf numFmtId="9" fontId="1" fillId="0" borderId="0" xfId="59" applyNumberFormat="1"/>
    <xf numFmtId="169" fontId="1" fillId="0" borderId="0" xfId="59" applyNumberFormat="1"/>
    <xf numFmtId="0" fontId="3" fillId="27" borderId="0" xfId="59" applyFont="1" applyFill="1"/>
    <xf numFmtId="0" fontId="1" fillId="27" borderId="0" xfId="59" applyFill="1"/>
    <xf numFmtId="0" fontId="8" fillId="0" borderId="0" xfId="59" applyFont="1" applyAlignment="1">
      <alignment horizontal="right"/>
    </xf>
    <xf numFmtId="0" fontId="8" fillId="0" borderId="0" xfId="59" applyFont="1" applyFill="1" applyBorder="1" applyAlignment="1">
      <alignment horizontal="right"/>
    </xf>
    <xf numFmtId="166" fontId="4" fillId="0" borderId="0" xfId="59" applyNumberFormat="1" applyFont="1" applyAlignment="1">
      <alignment horizontal="left"/>
    </xf>
    <xf numFmtId="7" fontId="1" fillId="0" borderId="0" xfId="59" applyNumberFormat="1"/>
    <xf numFmtId="0" fontId="5" fillId="0" borderId="0" xfId="59" applyFont="1" applyAlignment="1">
      <alignment horizontal="right"/>
    </xf>
    <xf numFmtId="0" fontId="5" fillId="0" borderId="0" xfId="59" applyFont="1" applyAlignment="1">
      <alignment horizontal="left"/>
    </xf>
    <xf numFmtId="166" fontId="16" fillId="0" borderId="0" xfId="59" applyNumberFormat="1" applyFont="1" applyFill="1" applyBorder="1"/>
    <xf numFmtId="8" fontId="1" fillId="0" borderId="0" xfId="59" applyNumberFormat="1" applyFill="1" applyBorder="1" applyAlignment="1">
      <alignment horizontal="right"/>
    </xf>
    <xf numFmtId="8" fontId="36" fillId="0" borderId="0" xfId="59" applyNumberFormat="1" applyFont="1" applyFill="1" applyAlignment="1">
      <alignment horizontal="right"/>
    </xf>
    <xf numFmtId="8" fontId="5" fillId="0" borderId="0" xfId="59" applyNumberFormat="1" applyFont="1" applyFill="1" applyAlignment="1">
      <alignment horizontal="right"/>
    </xf>
    <xf numFmtId="8" fontId="1" fillId="0" borderId="0" xfId="59" applyNumberFormat="1"/>
    <xf numFmtId="0" fontId="1" fillId="0" borderId="0" xfId="59" applyFill="1" applyBorder="1"/>
    <xf numFmtId="171" fontId="55" fillId="0" borderId="0" xfId="59" applyNumberFormat="1" applyFont="1" applyFill="1" applyBorder="1" applyAlignment="1">
      <alignment horizontal="right"/>
    </xf>
    <xf numFmtId="0" fontId="5" fillId="0" borderId="0" xfId="59" applyFont="1"/>
    <xf numFmtId="0" fontId="4" fillId="0" borderId="0" xfId="59" applyFont="1"/>
    <xf numFmtId="7" fontId="4" fillId="0" borderId="0" xfId="59" applyNumberFormat="1" applyFont="1"/>
    <xf numFmtId="169" fontId="24" fillId="0" borderId="0" xfId="59" applyNumberFormat="1" applyFont="1" applyFill="1" applyBorder="1" applyAlignment="1">
      <alignment horizontal="right"/>
    </xf>
    <xf numFmtId="171" fontId="1" fillId="0" borderId="0" xfId="59" applyNumberFormat="1" applyFont="1" applyAlignment="1">
      <alignment horizontal="right"/>
    </xf>
    <xf numFmtId="171" fontId="1" fillId="0" borderId="0" xfId="59" applyNumberFormat="1" applyAlignment="1">
      <alignment horizontal="right"/>
    </xf>
    <xf numFmtId="177" fontId="1" fillId="0" borderId="0" xfId="41" applyNumberFormat="1"/>
    <xf numFmtId="0" fontId="20" fillId="0" borderId="0" xfId="59" applyFont="1"/>
    <xf numFmtId="7" fontId="1" fillId="0" borderId="0" xfId="59" applyNumberFormat="1" applyFont="1"/>
    <xf numFmtId="0" fontId="1" fillId="0" borderId="0" xfId="59" applyFont="1"/>
    <xf numFmtId="171" fontId="1" fillId="0" borderId="0" xfId="59" applyNumberFormat="1" applyFill="1" applyBorder="1" applyAlignment="1">
      <alignment horizontal="right"/>
    </xf>
    <xf numFmtId="169" fontId="36" fillId="0" borderId="0" xfId="59" applyNumberFormat="1" applyFont="1" applyAlignment="1">
      <alignment horizontal="right"/>
    </xf>
    <xf numFmtId="171" fontId="55" fillId="0" borderId="0" xfId="59" applyNumberFormat="1" applyFont="1" applyAlignment="1">
      <alignment horizontal="right"/>
    </xf>
    <xf numFmtId="171" fontId="36" fillId="0" borderId="0" xfId="59" applyNumberFormat="1" applyFont="1" applyAlignment="1">
      <alignment horizontal="right"/>
    </xf>
    <xf numFmtId="8" fontId="4" fillId="0" borderId="0" xfId="59" applyNumberFormat="1" applyFont="1" applyFill="1" applyBorder="1" applyAlignment="1">
      <alignment horizontal="right"/>
    </xf>
    <xf numFmtId="169" fontId="24" fillId="0" borderId="0" xfId="59" applyNumberFormat="1" applyFont="1" applyAlignment="1">
      <alignment horizontal="right"/>
    </xf>
    <xf numFmtId="8" fontId="4" fillId="0" borderId="0" xfId="59" applyNumberFormat="1" applyFont="1"/>
    <xf numFmtId="8" fontId="1" fillId="0" borderId="0" xfId="59" applyNumberFormat="1" applyFill="1" applyBorder="1"/>
    <xf numFmtId="8" fontId="1" fillId="0" borderId="0" xfId="41" applyNumberFormat="1"/>
    <xf numFmtId="0" fontId="1" fillId="0" borderId="0" xfId="59" applyFill="1"/>
    <xf numFmtId="171" fontId="4" fillId="0" borderId="0" xfId="59" applyNumberFormat="1" applyFont="1" applyAlignment="1">
      <alignment horizontal="right"/>
    </xf>
    <xf numFmtId="8" fontId="34" fillId="0" borderId="0" xfId="41" applyNumberFormat="1" applyFont="1" applyFill="1"/>
    <xf numFmtId="8" fontId="4" fillId="0" borderId="0" xfId="41" applyNumberFormat="1" applyFont="1" applyFill="1"/>
    <xf numFmtId="169" fontId="1" fillId="0" borderId="0" xfId="75" applyNumberFormat="1"/>
    <xf numFmtId="0" fontId="4" fillId="25" borderId="20" xfId="59" applyFont="1" applyFill="1" applyBorder="1"/>
    <xf numFmtId="0" fontId="4" fillId="25" borderId="21" xfId="59" applyFont="1" applyFill="1" applyBorder="1"/>
    <xf numFmtId="8" fontId="4" fillId="25" borderId="21" xfId="59" applyNumberFormat="1" applyFont="1" applyFill="1" applyBorder="1" applyAlignment="1">
      <alignment horizontal="right"/>
    </xf>
    <xf numFmtId="8" fontId="1" fillId="0" borderId="21" xfId="59" applyNumberFormat="1" applyBorder="1"/>
    <xf numFmtId="8" fontId="4" fillId="25" borderId="22" xfId="59" applyNumberFormat="1" applyFont="1" applyFill="1" applyBorder="1" applyAlignment="1">
      <alignment horizontal="right"/>
    </xf>
    <xf numFmtId="8" fontId="35" fillId="0" borderId="0" xfId="59" applyNumberFormat="1" applyFont="1"/>
    <xf numFmtId="3" fontId="1" fillId="0" borderId="0" xfId="59" applyNumberFormat="1"/>
    <xf numFmtId="8" fontId="36" fillId="0" borderId="0" xfId="59" applyNumberFormat="1" applyFont="1"/>
    <xf numFmtId="169" fontId="1" fillId="0" borderId="0" xfId="59" applyNumberFormat="1" applyFill="1" applyBorder="1"/>
    <xf numFmtId="0" fontId="4" fillId="0" borderId="0" xfId="59" applyFont="1" applyFill="1" applyBorder="1"/>
    <xf numFmtId="3" fontId="1" fillId="0" borderId="0" xfId="59" applyNumberFormat="1" applyFill="1"/>
    <xf numFmtId="169" fontId="5" fillId="0" borderId="0" xfId="59" applyNumberFormat="1" applyFont="1" applyFill="1"/>
    <xf numFmtId="8" fontId="20" fillId="0" borderId="0" xfId="59" applyNumberFormat="1" applyFont="1"/>
    <xf numFmtId="177" fontId="1" fillId="0" borderId="0" xfId="59" applyNumberFormat="1"/>
    <xf numFmtId="169" fontId="36" fillId="0" borderId="0" xfId="59" applyNumberFormat="1" applyFont="1" applyFill="1"/>
    <xf numFmtId="0" fontId="1" fillId="25" borderId="21" xfId="59" applyFill="1" applyBorder="1"/>
    <xf numFmtId="169" fontId="4" fillId="25" borderId="21" xfId="59" applyNumberFormat="1" applyFont="1" applyFill="1" applyBorder="1"/>
    <xf numFmtId="0" fontId="1" fillId="0" borderId="21" xfId="59" applyBorder="1"/>
    <xf numFmtId="169" fontId="4" fillId="25" borderId="22" xfId="59" applyNumberFormat="1" applyFont="1" applyFill="1" applyBorder="1"/>
    <xf numFmtId="14" fontId="78" fillId="0" borderId="0" xfId="59" applyNumberFormat="1" applyFont="1" applyFill="1"/>
    <xf numFmtId="9" fontId="2" fillId="0" borderId="0" xfId="59" applyNumberFormat="1" applyFont="1" applyFill="1"/>
    <xf numFmtId="168" fontId="18" fillId="0" borderId="0" xfId="59" applyNumberFormat="1" applyFont="1" applyFill="1" applyBorder="1"/>
    <xf numFmtId="168" fontId="11" fillId="0" borderId="0" xfId="59" applyNumberFormat="1" applyFont="1" applyFill="1" applyBorder="1"/>
    <xf numFmtId="168" fontId="11" fillId="0" borderId="0" xfId="59" applyNumberFormat="1" applyFont="1" applyFill="1" applyBorder="1" applyAlignment="1">
      <alignment horizontal="right"/>
    </xf>
    <xf numFmtId="168" fontId="29" fillId="0" borderId="0" xfId="59" applyNumberFormat="1" applyFont="1" applyFill="1" applyBorder="1"/>
    <xf numFmtId="0" fontId="5" fillId="0" borderId="0" xfId="59" applyFont="1" applyFill="1"/>
    <xf numFmtId="169" fontId="1" fillId="0" borderId="0" xfId="59" applyNumberFormat="1" applyFill="1"/>
    <xf numFmtId="0" fontId="3" fillId="27" borderId="20" xfId="59" applyFont="1" applyFill="1" applyBorder="1"/>
    <xf numFmtId="0" fontId="8" fillId="0" borderId="0" xfId="59" applyFont="1" applyAlignment="1">
      <alignment horizontal="center"/>
    </xf>
    <xf numFmtId="7" fontId="35" fillId="0" borderId="0" xfId="59" applyNumberFormat="1" applyFont="1" applyFill="1" applyBorder="1"/>
    <xf numFmtId="0" fontId="5" fillId="0" borderId="0" xfId="59" applyFont="1" applyFill="1" applyBorder="1"/>
    <xf numFmtId="8" fontId="36" fillId="0" borderId="0" xfId="59" applyNumberFormat="1" applyFont="1" applyFill="1" applyBorder="1" applyAlignment="1">
      <alignment horizontal="center"/>
    </xf>
    <xf numFmtId="8" fontId="34" fillId="25" borderId="46" xfId="59" applyNumberFormat="1" applyFont="1" applyFill="1" applyBorder="1" applyAlignment="1">
      <alignment horizontal="center"/>
    </xf>
    <xf numFmtId="6" fontId="36" fillId="0" borderId="0" xfId="59" applyNumberFormat="1" applyFont="1" applyFill="1" applyBorder="1" applyAlignment="1">
      <alignment horizontal="center"/>
    </xf>
    <xf numFmtId="14" fontId="100" fillId="0" borderId="0" xfId="59" applyNumberFormat="1" applyFont="1" applyFill="1" applyAlignment="1">
      <alignment horizontal="left"/>
    </xf>
    <xf numFmtId="0" fontId="38" fillId="0" borderId="0" xfId="59" applyFont="1"/>
    <xf numFmtId="14" fontId="100" fillId="0" borderId="0" xfId="59" applyNumberFormat="1" applyFont="1" applyFill="1"/>
    <xf numFmtId="43" fontId="1" fillId="0" borderId="0" xfId="59" applyNumberFormat="1"/>
    <xf numFmtId="168" fontId="15" fillId="27" borderId="21" xfId="59" applyNumberFormat="1" applyFont="1" applyFill="1" applyBorder="1"/>
    <xf numFmtId="168" fontId="12" fillId="27" borderId="21" xfId="59" applyNumberFormat="1" applyFont="1" applyFill="1" applyBorder="1"/>
    <xf numFmtId="168" fontId="12" fillId="27" borderId="22" xfId="59" applyNumberFormat="1" applyFont="1" applyFill="1" applyBorder="1"/>
    <xf numFmtId="3" fontId="1" fillId="0" borderId="0" xfId="59" applyNumberFormat="1" applyFill="1" applyBorder="1"/>
    <xf numFmtId="0" fontId="22" fillId="0" borderId="0" xfId="59" quotePrefix="1" applyFont="1" applyFill="1" applyAlignment="1">
      <alignment horizontal="right"/>
    </xf>
    <xf numFmtId="0" fontId="4" fillId="0" borderId="0" xfId="59" applyFont="1" applyFill="1"/>
    <xf numFmtId="177" fontId="1" fillId="0" borderId="0" xfId="41" applyNumberFormat="1" applyFill="1" applyBorder="1"/>
    <xf numFmtId="43" fontId="8" fillId="0" borderId="0" xfId="59" applyNumberFormat="1" applyFont="1" applyAlignment="1">
      <alignment horizontal="right"/>
    </xf>
    <xf numFmtId="9" fontId="20" fillId="0" borderId="0" xfId="75" applyFont="1" applyFill="1"/>
    <xf numFmtId="0" fontId="34" fillId="0" borderId="46" xfId="59" applyFont="1" applyFill="1" applyBorder="1"/>
    <xf numFmtId="0" fontId="93" fillId="0" borderId="0" xfId="59" applyFont="1"/>
    <xf numFmtId="177" fontId="1" fillId="0" borderId="0" xfId="41" applyNumberFormat="1" applyFont="1"/>
    <xf numFmtId="9" fontId="1" fillId="0" borderId="0" xfId="75" applyFont="1" applyFill="1"/>
    <xf numFmtId="9" fontId="1" fillId="0" borderId="0" xfId="75" applyFill="1"/>
    <xf numFmtId="179" fontId="1" fillId="0" borderId="0" xfId="59" applyNumberFormat="1" applyFill="1"/>
    <xf numFmtId="9" fontId="1" fillId="0" borderId="0" xfId="59" applyNumberFormat="1" applyFill="1"/>
    <xf numFmtId="177" fontId="4" fillId="0" borderId="0" xfId="59" applyNumberFormat="1" applyFont="1"/>
    <xf numFmtId="177" fontId="1" fillId="0" borderId="0" xfId="41" applyNumberFormat="1" applyFill="1"/>
    <xf numFmtId="177" fontId="5" fillId="0" borderId="0" xfId="59" applyNumberFormat="1" applyFont="1"/>
    <xf numFmtId="9" fontId="4" fillId="0" borderId="0" xfId="75" applyFont="1"/>
    <xf numFmtId="179" fontId="4" fillId="25" borderId="22" xfId="59" applyNumberFormat="1" applyFont="1" applyFill="1" applyBorder="1"/>
    <xf numFmtId="179" fontId="1" fillId="0" borderId="0" xfId="41" applyNumberFormat="1"/>
    <xf numFmtId="0" fontId="101" fillId="0" borderId="0" xfId="59" applyFont="1"/>
    <xf numFmtId="171" fontId="101" fillId="0" borderId="0" xfId="41" applyNumberFormat="1" applyFont="1"/>
    <xf numFmtId="177" fontId="35" fillId="0" borderId="0" xfId="59" applyNumberFormat="1" applyFont="1"/>
    <xf numFmtId="43" fontId="1" fillId="0" borderId="0" xfId="59" applyNumberFormat="1" applyFill="1"/>
    <xf numFmtId="177" fontId="35" fillId="0" borderId="0" xfId="41" applyNumberFormat="1" applyFont="1"/>
    <xf numFmtId="0" fontId="4" fillId="0" borderId="0" xfId="59" applyFont="1" applyAlignment="1">
      <alignment horizontal="right"/>
    </xf>
    <xf numFmtId="43" fontId="1" fillId="0" borderId="0" xfId="41"/>
    <xf numFmtId="171" fontId="35" fillId="0" borderId="0" xfId="59" applyNumberFormat="1" applyFont="1" applyAlignment="1">
      <alignment horizontal="right"/>
    </xf>
    <xf numFmtId="37" fontId="1" fillId="0" borderId="0" xfId="59" applyNumberFormat="1"/>
    <xf numFmtId="169" fontId="1" fillId="0" borderId="0" xfId="59" applyNumberFormat="1" applyAlignment="1">
      <alignment horizontal="right"/>
    </xf>
    <xf numFmtId="169" fontId="35" fillId="0" borderId="0" xfId="59" applyNumberFormat="1" applyFont="1" applyAlignment="1">
      <alignment horizontal="right"/>
    </xf>
    <xf numFmtId="37" fontId="4" fillId="0" borderId="0" xfId="59" applyNumberFormat="1" applyFont="1" applyFill="1" applyBorder="1"/>
    <xf numFmtId="169" fontId="36" fillId="0" borderId="0" xfId="59" applyNumberFormat="1" applyFont="1" applyFill="1" applyBorder="1"/>
    <xf numFmtId="43" fontId="4" fillId="0" borderId="0" xfId="59" applyNumberFormat="1" applyFont="1"/>
    <xf numFmtId="37" fontId="1" fillId="0" borderId="0" xfId="59" applyNumberFormat="1" applyFill="1" applyBorder="1"/>
    <xf numFmtId="169" fontId="1" fillId="0" borderId="0" xfId="59" applyNumberFormat="1" applyFill="1" applyBorder="1" applyAlignment="1">
      <alignment horizontal="right"/>
    </xf>
    <xf numFmtId="0" fontId="1" fillId="28" borderId="0" xfId="59" applyFill="1"/>
    <xf numFmtId="0" fontId="0" fillId="0" borderId="33" xfId="1" applyFont="1" applyFill="1" applyBorder="1"/>
    <xf numFmtId="7" fontId="4" fillId="25" borderId="27" xfId="41" applyNumberFormat="1" applyFont="1" applyFill="1" applyBorder="1"/>
    <xf numFmtId="7" fontId="4" fillId="25" borderId="0" xfId="1" applyNumberFormat="1" applyFont="1" applyFill="1" applyBorder="1"/>
    <xf numFmtId="7" fontId="4" fillId="25" borderId="16" xfId="1" applyNumberFormat="1" applyFont="1" applyFill="1" applyBorder="1"/>
    <xf numFmtId="7" fontId="5" fillId="25" borderId="27" xfId="1" applyNumberFormat="1" applyFont="1" applyFill="1" applyBorder="1"/>
    <xf numFmtId="7" fontId="5" fillId="25" borderId="0" xfId="1" applyNumberFormat="1" applyFont="1" applyFill="1" applyBorder="1"/>
    <xf numFmtId="7" fontId="5" fillId="25" borderId="16" xfId="1" applyNumberFormat="1" applyFont="1" applyFill="1" applyBorder="1"/>
    <xf numFmtId="8" fontId="5" fillId="0" borderId="0" xfId="41" applyNumberFormat="1" applyFont="1" applyFill="1" applyBorder="1"/>
    <xf numFmtId="0" fontId="0" fillId="0" borderId="16" xfId="1" applyFont="1" applyFill="1" applyBorder="1"/>
    <xf numFmtId="8" fontId="36" fillId="0" borderId="0" xfId="41" applyNumberFormat="1" applyFont="1" applyFill="1" applyBorder="1"/>
    <xf numFmtId="8" fontId="0" fillId="25" borderId="27" xfId="1" applyNumberFormat="1" applyFont="1" applyFill="1" applyBorder="1"/>
    <xf numFmtId="8" fontId="0" fillId="25" borderId="0" xfId="1" applyNumberFormat="1" applyFont="1" applyFill="1" applyBorder="1"/>
    <xf numFmtId="8" fontId="0" fillId="25" borderId="16" xfId="1" applyNumberFormat="1" applyFont="1" applyFill="1" applyBorder="1"/>
    <xf numFmtId="8" fontId="5" fillId="25" borderId="27" xfId="1" applyNumberFormat="1" applyFont="1" applyFill="1" applyBorder="1"/>
    <xf numFmtId="8" fontId="5" fillId="25" borderId="0" xfId="1" applyNumberFormat="1" applyFont="1" applyFill="1" applyBorder="1"/>
    <xf numFmtId="8" fontId="5" fillId="25" borderId="16" xfId="1" applyNumberFormat="1" applyFont="1" applyFill="1" applyBorder="1"/>
    <xf numFmtId="7" fontId="0" fillId="25" borderId="27" xfId="1" applyNumberFormat="1" applyFont="1" applyFill="1" applyBorder="1"/>
    <xf numFmtId="7" fontId="0" fillId="25" borderId="0" xfId="1" applyNumberFormat="1" applyFont="1" applyFill="1" applyBorder="1"/>
    <xf numFmtId="7" fontId="0" fillId="25" borderId="16" xfId="1" applyNumberFormat="1" applyFont="1" applyFill="1" applyBorder="1"/>
    <xf numFmtId="7" fontId="0" fillId="0" borderId="16" xfId="1" applyNumberFormat="1" applyFont="1" applyFill="1" applyBorder="1"/>
    <xf numFmtId="177" fontId="1" fillId="25" borderId="27" xfId="41" applyNumberFormat="1" applyFill="1" applyBorder="1"/>
    <xf numFmtId="177" fontId="1" fillId="25" borderId="0" xfId="41" applyNumberFormat="1" applyFill="1" applyBorder="1"/>
    <xf numFmtId="177" fontId="1" fillId="25" borderId="16" xfId="41" applyNumberFormat="1" applyFill="1" applyBorder="1"/>
    <xf numFmtId="177" fontId="1" fillId="0" borderId="16" xfId="41" applyNumberFormat="1" applyFill="1" applyBorder="1"/>
    <xf numFmtId="39" fontId="0" fillId="0" borderId="0" xfId="1" applyNumberFormat="1" applyFont="1" applyFill="1" applyBorder="1"/>
    <xf numFmtId="6" fontId="0" fillId="25" borderId="27" xfId="1" applyNumberFormat="1" applyFont="1" applyFill="1" applyBorder="1"/>
    <xf numFmtId="6" fontId="0" fillId="25" borderId="0" xfId="1" applyNumberFormat="1" applyFont="1" applyFill="1" applyBorder="1"/>
    <xf numFmtId="6" fontId="0" fillId="25" borderId="16" xfId="1" applyNumberFormat="1" applyFont="1" applyFill="1" applyBorder="1"/>
    <xf numFmtId="6" fontId="1" fillId="0" borderId="0" xfId="43" applyNumberFormat="1" applyFill="1" applyBorder="1"/>
    <xf numFmtId="6" fontId="1" fillId="25" borderId="27" xfId="43" applyNumberFormat="1" applyFill="1" applyBorder="1"/>
    <xf numFmtId="6" fontId="1" fillId="25" borderId="0" xfId="43" applyNumberFormat="1" applyFill="1" applyBorder="1"/>
    <xf numFmtId="6" fontId="1" fillId="25" borderId="16" xfId="43" applyNumberFormat="1" applyFill="1" applyBorder="1"/>
    <xf numFmtId="6" fontId="1" fillId="0" borderId="16" xfId="43" applyNumberFormat="1" applyFill="1" applyBorder="1"/>
    <xf numFmtId="39" fontId="0" fillId="25" borderId="27" xfId="1" applyNumberFormat="1" applyFont="1" applyFill="1" applyBorder="1"/>
    <xf numFmtId="39" fontId="0" fillId="25" borderId="0" xfId="1" applyNumberFormat="1" applyFont="1" applyFill="1" applyBorder="1"/>
    <xf numFmtId="39" fontId="0" fillId="25" borderId="16" xfId="1" applyNumberFormat="1" applyFont="1" applyFill="1" applyBorder="1"/>
    <xf numFmtId="5" fontId="0" fillId="25" borderId="27" xfId="1" applyNumberFormat="1" applyFont="1" applyFill="1" applyBorder="1"/>
    <xf numFmtId="5" fontId="0" fillId="25" borderId="0" xfId="1" applyNumberFormat="1" applyFont="1" applyFill="1" applyBorder="1"/>
    <xf numFmtId="5" fontId="0" fillId="25" borderId="16" xfId="1" applyNumberFormat="1" applyFont="1" applyFill="1" applyBorder="1"/>
    <xf numFmtId="5" fontId="0" fillId="0" borderId="0" xfId="1" applyNumberFormat="1" applyFont="1" applyFill="1" applyBorder="1"/>
    <xf numFmtId="5" fontId="0" fillId="0" borderId="16" xfId="1" applyNumberFormat="1" applyFont="1" applyFill="1" applyBorder="1"/>
    <xf numFmtId="0" fontId="0" fillId="0" borderId="14" xfId="1" applyFont="1" applyFill="1" applyBorder="1"/>
    <xf numFmtId="0" fontId="0" fillId="25" borderId="18" xfId="1" applyFont="1" applyFill="1" applyBorder="1"/>
    <xf numFmtId="0" fontId="0" fillId="25" borderId="14" xfId="1" applyFont="1" applyFill="1" applyBorder="1"/>
    <xf numFmtId="0" fontId="0" fillId="25" borderId="29" xfId="1" applyFont="1" applyFill="1" applyBorder="1"/>
    <xf numFmtId="0" fontId="5" fillId="0" borderId="14" xfId="1" applyFont="1" applyFill="1" applyBorder="1"/>
    <xf numFmtId="37" fontId="0" fillId="0" borderId="0" xfId="1" applyNumberFormat="1" applyFont="1" applyFill="1" applyBorder="1"/>
    <xf numFmtId="37" fontId="0" fillId="25" borderId="27" xfId="1" applyNumberFormat="1" applyFont="1" applyFill="1" applyBorder="1"/>
    <xf numFmtId="37" fontId="0" fillId="25" borderId="0" xfId="1" applyNumberFormat="1" applyFont="1" applyFill="1" applyBorder="1"/>
    <xf numFmtId="37" fontId="0" fillId="25" borderId="16" xfId="1" applyNumberFormat="1" applyFont="1" applyFill="1" applyBorder="1"/>
    <xf numFmtId="0" fontId="4" fillId="25" borderId="16" xfId="1" applyFont="1" applyFill="1" applyBorder="1"/>
    <xf numFmtId="37" fontId="5" fillId="0" borderId="0" xfId="1" applyNumberFormat="1" applyFont="1" applyFill="1" applyBorder="1"/>
    <xf numFmtId="0" fontId="5" fillId="25" borderId="27" xfId="1" applyFont="1" applyFill="1" applyBorder="1"/>
    <xf numFmtId="0" fontId="5" fillId="25" borderId="16" xfId="1" applyFont="1" applyFill="1" applyBorder="1"/>
    <xf numFmtId="0" fontId="88" fillId="0" borderId="0" xfId="1" applyFont="1" applyFill="1" applyBorder="1"/>
    <xf numFmtId="9" fontId="0" fillId="25" borderId="27" xfId="1" applyNumberFormat="1" applyFont="1" applyFill="1" applyBorder="1"/>
    <xf numFmtId="9" fontId="0" fillId="25" borderId="0" xfId="1" applyNumberFormat="1" applyFont="1" applyFill="1" applyBorder="1"/>
    <xf numFmtId="9" fontId="0" fillId="25" borderId="16" xfId="1" applyNumberFormat="1" applyFont="1" applyFill="1" applyBorder="1"/>
    <xf numFmtId="9" fontId="1" fillId="0" borderId="0" xfId="41" applyNumberFormat="1" applyFill="1" applyBorder="1"/>
    <xf numFmtId="8" fontId="36" fillId="0" borderId="46" xfId="1" applyNumberFormat="1" applyFont="1" applyFill="1" applyBorder="1"/>
    <xf numFmtId="7" fontId="35" fillId="0" borderId="0" xfId="1" applyNumberFormat="1" applyFont="1" applyFill="1" applyBorder="1"/>
    <xf numFmtId="177" fontId="34" fillId="0" borderId="46" xfId="41" applyNumberFormat="1" applyFont="1" applyFill="1" applyBorder="1"/>
    <xf numFmtId="9" fontId="36" fillId="0" borderId="46" xfId="1" applyNumberFormat="1" applyFont="1" applyFill="1" applyBorder="1"/>
    <xf numFmtId="0" fontId="91" fillId="0" borderId="0" xfId="1" applyFont="1" applyFill="1" applyBorder="1"/>
    <xf numFmtId="37" fontId="1" fillId="25" borderId="27" xfId="41" applyNumberFormat="1" applyFill="1" applyBorder="1"/>
    <xf numFmtId="37" fontId="1" fillId="25" borderId="0" xfId="41" applyNumberFormat="1" applyFill="1" applyBorder="1"/>
    <xf numFmtId="37" fontId="1" fillId="25" borderId="16" xfId="41" applyNumberFormat="1" applyFill="1" applyBorder="1"/>
    <xf numFmtId="37" fontId="1" fillId="0" borderId="0" xfId="41" applyNumberFormat="1" applyFill="1" applyBorder="1"/>
    <xf numFmtId="37" fontId="4" fillId="25" borderId="27" xfId="41" applyNumberFormat="1" applyFont="1" applyFill="1" applyBorder="1"/>
    <xf numFmtId="37" fontId="4" fillId="25" borderId="0" xfId="41" applyNumberFormat="1" applyFont="1" applyFill="1" applyBorder="1"/>
    <xf numFmtId="37" fontId="4" fillId="25" borderId="16" xfId="41" applyNumberFormat="1" applyFont="1" applyFill="1" applyBorder="1"/>
    <xf numFmtId="9" fontId="75" fillId="0" borderId="0" xfId="1" applyNumberFormat="1" applyFont="1" applyBorder="1" applyAlignment="1">
      <alignment horizontal="center"/>
    </xf>
    <xf numFmtId="3" fontId="75" fillId="0" borderId="0" xfId="1" applyNumberFormat="1" applyFont="1" applyBorder="1" applyAlignment="1">
      <alignment horizontal="center"/>
    </xf>
    <xf numFmtId="177" fontId="5" fillId="0" borderId="0" xfId="41" applyNumberFormat="1" applyFont="1" applyFill="1" applyBorder="1" applyAlignment="1">
      <alignment horizontal="center"/>
    </xf>
    <xf numFmtId="177" fontId="4" fillId="0" borderId="0" xfId="41" applyNumberFormat="1" applyFont="1" applyFill="1" applyBorder="1" applyAlignment="1">
      <alignment horizontal="center"/>
    </xf>
    <xf numFmtId="0" fontId="4" fillId="0" borderId="0" xfId="1" applyFont="1" applyBorder="1" applyAlignment="1">
      <alignment horizontal="center"/>
    </xf>
    <xf numFmtId="177" fontId="36" fillId="0" borderId="46" xfId="41" applyNumberFormat="1" applyFont="1" applyFill="1" applyBorder="1"/>
    <xf numFmtId="9" fontId="0" fillId="0" borderId="0" xfId="1" applyNumberFormat="1" applyFont="1" applyBorder="1"/>
    <xf numFmtId="9" fontId="0" fillId="0" borderId="0" xfId="1" applyNumberFormat="1" applyFont="1" applyBorder="1" applyAlignment="1">
      <alignment horizontal="center"/>
    </xf>
    <xf numFmtId="4" fontId="5" fillId="0" borderId="0" xfId="1" applyNumberFormat="1" applyFont="1" applyFill="1" applyBorder="1"/>
    <xf numFmtId="37" fontId="5" fillId="25" borderId="27" xfId="41" applyNumberFormat="1" applyFont="1" applyFill="1" applyBorder="1"/>
    <xf numFmtId="37" fontId="5" fillId="25" borderId="0" xfId="41" applyNumberFormat="1" applyFont="1" applyFill="1" applyBorder="1"/>
    <xf numFmtId="37" fontId="5" fillId="25" borderId="16" xfId="41" applyNumberFormat="1" applyFont="1" applyFill="1" applyBorder="1"/>
    <xf numFmtId="5" fontId="5" fillId="25" borderId="27" xfId="41" applyNumberFormat="1" applyFont="1" applyFill="1" applyBorder="1"/>
    <xf numFmtId="5" fontId="5" fillId="25" borderId="0" xfId="41" applyNumberFormat="1" applyFont="1" applyFill="1" applyBorder="1"/>
    <xf numFmtId="5" fontId="5" fillId="25" borderId="16" xfId="41" applyNumberFormat="1" applyFont="1" applyFill="1" applyBorder="1"/>
    <xf numFmtId="5" fontId="5" fillId="0" borderId="0" xfId="41" applyNumberFormat="1" applyFont="1" applyFill="1" applyBorder="1"/>
    <xf numFmtId="5" fontId="5" fillId="25" borderId="27" xfId="1" applyNumberFormat="1" applyFont="1" applyFill="1" applyBorder="1"/>
    <xf numFmtId="5" fontId="5" fillId="25" borderId="0" xfId="1" applyNumberFormat="1" applyFont="1" applyFill="1" applyBorder="1"/>
    <xf numFmtId="5" fontId="5" fillId="25" borderId="16" xfId="1" applyNumberFormat="1" applyFont="1" applyFill="1" applyBorder="1"/>
    <xf numFmtId="8" fontId="36" fillId="0" borderId="46" xfId="41" applyNumberFormat="1" applyFont="1" applyFill="1" applyBorder="1"/>
    <xf numFmtId="9" fontId="36" fillId="0" borderId="0" xfId="41" applyNumberFormat="1" applyFont="1" applyFill="1" applyBorder="1"/>
    <xf numFmtId="9" fontId="5" fillId="25" borderId="27" xfId="41" applyNumberFormat="1" applyFont="1" applyFill="1" applyBorder="1"/>
    <xf numFmtId="9" fontId="5" fillId="25" borderId="0" xfId="41" applyNumberFormat="1" applyFont="1" applyFill="1" applyBorder="1"/>
    <xf numFmtId="9" fontId="5" fillId="25" borderId="16" xfId="41" applyNumberFormat="1" applyFont="1" applyFill="1" applyBorder="1"/>
    <xf numFmtId="8" fontId="5" fillId="25" borderId="27" xfId="41" applyNumberFormat="1" applyFont="1" applyFill="1" applyBorder="1"/>
    <xf numFmtId="8" fontId="5" fillId="25" borderId="0" xfId="41" applyNumberFormat="1" applyFont="1" applyFill="1" applyBorder="1"/>
    <xf numFmtId="8" fontId="5" fillId="25" borderId="16" xfId="41" applyNumberFormat="1" applyFont="1" applyFill="1" applyBorder="1"/>
    <xf numFmtId="166" fontId="8" fillId="0" borderId="47" xfId="59" applyNumberFormat="1" applyFont="1" applyBorder="1"/>
    <xf numFmtId="166" fontId="19" fillId="0" borderId="47" xfId="59" applyNumberFormat="1" applyFont="1" applyBorder="1"/>
    <xf numFmtId="173" fontId="8" fillId="0" borderId="47" xfId="59" applyNumberFormat="1" applyFont="1" applyBorder="1" applyAlignment="1">
      <alignment horizontal="center"/>
    </xf>
    <xf numFmtId="174" fontId="8" fillId="0" borderId="47" xfId="59" applyNumberFormat="1" applyFont="1" applyBorder="1" applyAlignment="1">
      <alignment horizontal="center"/>
    </xf>
    <xf numFmtId="0" fontId="16" fillId="27" borderId="0" xfId="59" applyFont="1" applyFill="1"/>
    <xf numFmtId="4" fontId="1" fillId="0" borderId="0" xfId="59" applyNumberFormat="1"/>
    <xf numFmtId="4" fontId="1" fillId="0" borderId="0" xfId="59" applyNumberFormat="1" applyFont="1"/>
    <xf numFmtId="9" fontId="1" fillId="0" borderId="0" xfId="59" applyNumberFormat="1" applyFont="1"/>
    <xf numFmtId="0" fontId="77" fillId="0" borderId="0" xfId="59" applyFont="1" applyAlignment="1">
      <alignment horizontal="left"/>
    </xf>
    <xf numFmtId="0" fontId="25" fillId="0" borderId="0" xfId="59" applyFont="1" applyAlignment="1">
      <alignment horizontal="center"/>
    </xf>
    <xf numFmtId="3" fontId="4" fillId="0" borderId="0" xfId="59" applyNumberFormat="1" applyFont="1"/>
    <xf numFmtId="0" fontId="104" fillId="0" borderId="0" xfId="59" applyFont="1" applyAlignment="1">
      <alignment horizontal="left"/>
    </xf>
    <xf numFmtId="9" fontId="19" fillId="0" borderId="0" xfId="59" applyNumberFormat="1" applyFont="1" applyAlignment="1">
      <alignment horizontal="center"/>
    </xf>
    <xf numFmtId="7" fontId="1" fillId="0" borderId="0" xfId="59" applyNumberFormat="1" applyFill="1"/>
    <xf numFmtId="0" fontId="5" fillId="0" borderId="0" xfId="59" applyFont="1" applyAlignment="1">
      <alignment horizontal="left" indent="1"/>
    </xf>
    <xf numFmtId="3" fontId="1" fillId="0" borderId="0" xfId="59" applyNumberFormat="1" applyFont="1"/>
    <xf numFmtId="0" fontId="4" fillId="25" borderId="30" xfId="59" applyFont="1" applyFill="1" applyBorder="1" applyAlignment="1">
      <alignment horizontal="left"/>
    </xf>
    <xf numFmtId="0" fontId="4" fillId="25" borderId="13" xfId="59" applyFont="1" applyFill="1" applyBorder="1"/>
    <xf numFmtId="8" fontId="4" fillId="25" borderId="13" xfId="59" applyNumberFormat="1" applyFont="1" applyFill="1" applyBorder="1"/>
    <xf numFmtId="7" fontId="4" fillId="25" borderId="13" xfId="59" applyNumberFormat="1" applyFont="1" applyFill="1" applyBorder="1"/>
    <xf numFmtId="0" fontId="4" fillId="25" borderId="18" xfId="59" applyFont="1" applyFill="1" applyBorder="1"/>
    <xf numFmtId="0" fontId="4" fillId="25" borderId="14" xfId="59" applyFont="1" applyFill="1" applyBorder="1"/>
    <xf numFmtId="9" fontId="4" fillId="25" borderId="14" xfId="59" applyNumberFormat="1" applyFont="1" applyFill="1" applyBorder="1"/>
    <xf numFmtId="9" fontId="4" fillId="25" borderId="14" xfId="75" applyNumberFormat="1" applyFont="1" applyFill="1" applyBorder="1"/>
    <xf numFmtId="9" fontId="4" fillId="25" borderId="29" xfId="59" applyNumberFormat="1" applyFont="1" applyFill="1" applyBorder="1"/>
    <xf numFmtId="0" fontId="4" fillId="0" borderId="0" xfId="59" applyFont="1" applyAlignment="1">
      <alignment horizontal="left" indent="1"/>
    </xf>
    <xf numFmtId="0" fontId="1" fillId="0" borderId="0" xfId="59" applyAlignment="1">
      <alignment horizontal="left"/>
    </xf>
    <xf numFmtId="0" fontId="1" fillId="0" borderId="0" xfId="59" applyFont="1" applyFill="1"/>
    <xf numFmtId="9" fontId="1" fillId="0" borderId="0" xfId="59" applyNumberFormat="1" applyFont="1" applyFill="1"/>
    <xf numFmtId="0" fontId="1" fillId="0" borderId="0" xfId="59" applyFont="1" applyFill="1" applyAlignment="1">
      <alignment horizontal="left"/>
    </xf>
    <xf numFmtId="9" fontId="5" fillId="0" borderId="0" xfId="59" applyNumberFormat="1" applyFont="1"/>
    <xf numFmtId="0" fontId="1" fillId="0" borderId="0" xfId="59" applyFont="1" applyAlignment="1">
      <alignment horizontal="left" indent="1"/>
    </xf>
    <xf numFmtId="171" fontId="5" fillId="0" borderId="0" xfId="59" applyNumberFormat="1" applyFont="1"/>
    <xf numFmtId="177" fontId="1" fillId="0" borderId="0" xfId="41" applyNumberFormat="1" applyBorder="1"/>
    <xf numFmtId="177" fontId="5" fillId="0" borderId="0" xfId="41" applyNumberFormat="1" applyFont="1"/>
    <xf numFmtId="177" fontId="5" fillId="0" borderId="0" xfId="41" applyNumberFormat="1" applyFont="1" applyFill="1"/>
    <xf numFmtId="0" fontId="77" fillId="0" borderId="0" xfId="59" applyFont="1"/>
    <xf numFmtId="0" fontId="4" fillId="25" borderId="20" xfId="59" applyFont="1" applyFill="1" applyBorder="1" applyAlignment="1">
      <alignment horizontal="left"/>
    </xf>
    <xf numFmtId="0" fontId="5" fillId="25" borderId="21" xfId="59" applyFont="1" applyFill="1" applyBorder="1"/>
    <xf numFmtId="177" fontId="4" fillId="25" borderId="21" xfId="41" applyNumberFormat="1" applyFont="1" applyFill="1" applyBorder="1"/>
    <xf numFmtId="177" fontId="4" fillId="25" borderId="22" xfId="41" applyNumberFormat="1" applyFont="1" applyFill="1" applyBorder="1"/>
    <xf numFmtId="43" fontId="1" fillId="0" borderId="0" xfId="59" applyNumberFormat="1" applyFont="1"/>
    <xf numFmtId="0" fontId="4" fillId="0" borderId="0" xfId="59" applyFont="1" applyAlignment="1">
      <alignment horizontal="left"/>
    </xf>
    <xf numFmtId="169" fontId="1" fillId="0" borderId="0" xfId="59" applyNumberFormat="1" applyFont="1"/>
    <xf numFmtId="177" fontId="1" fillId="0" borderId="0" xfId="41" applyNumberFormat="1" applyFont="1" applyFill="1"/>
    <xf numFmtId="169" fontId="1" fillId="0" borderId="0" xfId="59" applyNumberFormat="1" applyFont="1" applyFill="1"/>
    <xf numFmtId="8" fontId="1" fillId="0" borderId="0" xfId="59" applyNumberFormat="1" applyFont="1"/>
    <xf numFmtId="177" fontId="4" fillId="0" borderId="0" xfId="41" applyNumberFormat="1" applyFont="1" applyBorder="1"/>
    <xf numFmtId="38" fontId="5" fillId="0" borderId="0" xfId="42" applyFont="1"/>
    <xf numFmtId="190" fontId="5" fillId="0" borderId="0" xfId="42" quotePrefix="1" applyNumberFormat="1" applyFont="1" applyAlignment="1">
      <alignment horizontal="left"/>
    </xf>
    <xf numFmtId="0" fontId="19" fillId="0" borderId="0" xfId="59" applyFont="1"/>
    <xf numFmtId="169" fontId="5" fillId="0" borderId="0" xfId="59" applyNumberFormat="1" applyFont="1"/>
    <xf numFmtId="0" fontId="1" fillId="25" borderId="21" xfId="59" applyFont="1" applyFill="1" applyBorder="1"/>
    <xf numFmtId="8" fontId="5" fillId="0" borderId="0" xfId="59" applyNumberFormat="1" applyFont="1"/>
    <xf numFmtId="169" fontId="1" fillId="0" borderId="0" xfId="75" applyNumberFormat="1" applyFont="1" applyFill="1"/>
    <xf numFmtId="0" fontId="5" fillId="0" borderId="0" xfId="59" applyFont="1" applyFill="1" applyAlignment="1">
      <alignment horizontal="left"/>
    </xf>
    <xf numFmtId="0" fontId="5" fillId="0" borderId="0" xfId="59" applyFont="1" applyFill="1" applyAlignment="1">
      <alignment horizontal="left" indent="1"/>
    </xf>
    <xf numFmtId="177" fontId="5" fillId="0" borderId="0" xfId="41" applyNumberFormat="1" applyFont="1" applyAlignment="1">
      <alignment horizontal="left" indent="1"/>
    </xf>
    <xf numFmtId="177" fontId="1" fillId="0" borderId="0" xfId="41" applyNumberFormat="1" applyFont="1" applyBorder="1"/>
    <xf numFmtId="177" fontId="8" fillId="0" borderId="0" xfId="41" applyNumberFormat="1" applyFont="1"/>
    <xf numFmtId="177" fontId="8" fillId="0" borderId="0" xfId="41" applyNumberFormat="1" applyFont="1" applyBorder="1"/>
    <xf numFmtId="4" fontId="36" fillId="0" borderId="0" xfId="59" applyNumberFormat="1" applyFont="1"/>
    <xf numFmtId="2" fontId="1" fillId="0" borderId="0" xfId="59" applyNumberFormat="1"/>
    <xf numFmtId="169" fontId="4" fillId="25" borderId="27" xfId="75" applyNumberFormat="1" applyFont="1" applyFill="1" applyBorder="1"/>
    <xf numFmtId="169" fontId="9" fillId="25" borderId="27" xfId="1" applyNumberFormat="1" applyFont="1" applyFill="1" applyBorder="1"/>
    <xf numFmtId="169" fontId="9" fillId="25" borderId="0" xfId="1" applyNumberFormat="1" applyFont="1" applyFill="1" applyBorder="1"/>
    <xf numFmtId="169" fontId="9" fillId="25" borderId="16" xfId="1" applyNumberFormat="1" applyFont="1" applyFill="1" applyBorder="1"/>
    <xf numFmtId="169" fontId="9" fillId="25" borderId="27" xfId="75" applyNumberFormat="1" applyFont="1" applyFill="1" applyBorder="1"/>
    <xf numFmtId="169" fontId="9" fillId="25" borderId="0" xfId="75" applyNumberFormat="1" applyFont="1" applyFill="1" applyBorder="1"/>
    <xf numFmtId="169" fontId="9" fillId="25" borderId="16" xfId="75" applyNumberFormat="1" applyFont="1" applyFill="1" applyBorder="1"/>
    <xf numFmtId="3" fontId="36" fillId="25" borderId="27" xfId="1" applyNumberFormat="1" applyFont="1" applyFill="1" applyBorder="1"/>
    <xf numFmtId="3" fontId="36" fillId="25" borderId="0" xfId="1" applyNumberFormat="1" applyFont="1" applyFill="1" applyBorder="1"/>
    <xf numFmtId="7" fontId="5" fillId="0" borderId="0" xfId="1" applyNumberFormat="1" applyFont="1" applyFill="1" applyBorder="1"/>
    <xf numFmtId="7" fontId="5" fillId="0" borderId="21" xfId="1" applyNumberFormat="1" applyFont="1" applyFill="1" applyBorder="1"/>
    <xf numFmtId="7" fontId="4" fillId="25" borderId="20" xfId="1" applyNumberFormat="1" applyFont="1" applyFill="1" applyBorder="1"/>
    <xf numFmtId="7" fontId="4" fillId="25" borderId="21" xfId="1" applyNumberFormat="1" applyFont="1" applyFill="1" applyBorder="1"/>
    <xf numFmtId="7" fontId="4" fillId="25" borderId="22" xfId="1" applyNumberFormat="1" applyFont="1" applyFill="1" applyBorder="1"/>
    <xf numFmtId="7" fontId="4" fillId="0" borderId="21" xfId="1" applyNumberFormat="1" applyFont="1" applyFill="1" applyBorder="1"/>
    <xf numFmtId="0" fontId="5" fillId="27" borderId="21" xfId="1" applyFont="1" applyFill="1" applyBorder="1"/>
    <xf numFmtId="169" fontId="5" fillId="0" borderId="0" xfId="75" applyNumberFormat="1" applyFont="1" applyFill="1" applyBorder="1"/>
    <xf numFmtId="169" fontId="4" fillId="25" borderId="16" xfId="1" applyNumberFormat="1" applyFont="1" applyFill="1" applyBorder="1"/>
    <xf numFmtId="169" fontId="4" fillId="25" borderId="27" xfId="1" applyNumberFormat="1" applyFont="1" applyFill="1" applyBorder="1"/>
    <xf numFmtId="169" fontId="4" fillId="25" borderId="0" xfId="1" applyNumberFormat="1" applyFont="1" applyFill="1" applyBorder="1"/>
    <xf numFmtId="169" fontId="36" fillId="0" borderId="0" xfId="1" applyNumberFormat="1" applyFont="1" applyFill="1" applyBorder="1"/>
    <xf numFmtId="169" fontId="75" fillId="0" borderId="0" xfId="1" applyNumberFormat="1" applyFont="1" applyFill="1" applyBorder="1"/>
    <xf numFmtId="169" fontId="33" fillId="0" borderId="0" xfId="1" applyNumberFormat="1" applyFont="1" applyBorder="1"/>
    <xf numFmtId="187" fontId="8" fillId="0" borderId="19" xfId="1" applyNumberFormat="1" applyFont="1" applyFill="1" applyBorder="1" applyAlignment="1">
      <alignment horizontal="right"/>
    </xf>
    <xf numFmtId="0" fontId="4" fillId="0" borderId="12" xfId="1" applyFont="1" applyFill="1" applyBorder="1"/>
    <xf numFmtId="0" fontId="4" fillId="0" borderId="12" xfId="1" applyFont="1" applyBorder="1" applyAlignment="1"/>
    <xf numFmtId="38" fontId="4" fillId="0" borderId="31" xfId="1" applyNumberFormat="1" applyFont="1" applyFill="1" applyBorder="1" applyAlignment="1">
      <alignment horizontal="center"/>
    </xf>
    <xf numFmtId="38" fontId="4" fillId="0" borderId="12" xfId="1" applyNumberFormat="1" applyFont="1" applyFill="1" applyBorder="1" applyAlignment="1">
      <alignment horizontal="center"/>
    </xf>
    <xf numFmtId="176" fontId="4" fillId="0" borderId="12" xfId="1" applyNumberFormat="1" applyFont="1" applyFill="1" applyBorder="1" applyAlignment="1">
      <alignment horizontal="center"/>
    </xf>
    <xf numFmtId="177" fontId="4" fillId="0" borderId="17" xfId="41" applyNumberFormat="1" applyFont="1" applyFill="1" applyBorder="1" applyAlignment="1"/>
    <xf numFmtId="177" fontId="4" fillId="0" borderId="12" xfId="41" applyNumberFormat="1" applyFont="1" applyFill="1" applyBorder="1" applyAlignment="1">
      <alignment horizontal="right"/>
    </xf>
    <xf numFmtId="179" fontId="4" fillId="25" borderId="31" xfId="41" applyNumberFormat="1" applyFont="1" applyFill="1" applyBorder="1" applyAlignment="1">
      <alignment horizontal="right"/>
    </xf>
    <xf numFmtId="179" fontId="4" fillId="25" borderId="12" xfId="41" applyNumberFormat="1" applyFont="1" applyFill="1" applyBorder="1" applyAlignment="1">
      <alignment horizontal="right"/>
    </xf>
    <xf numFmtId="179" fontId="4" fillId="25" borderId="17" xfId="41" applyNumberFormat="1" applyFont="1" applyFill="1" applyBorder="1" applyAlignment="1">
      <alignment horizontal="right"/>
    </xf>
    <xf numFmtId="38" fontId="4" fillId="0" borderId="17" xfId="1" applyNumberFormat="1" applyFont="1" applyFill="1" applyBorder="1" applyAlignment="1">
      <alignment horizontal="right"/>
    </xf>
    <xf numFmtId="179" fontId="4" fillId="0" borderId="12" xfId="41" applyNumberFormat="1" applyFont="1" applyFill="1" applyBorder="1" applyAlignment="1">
      <alignment horizontal="right"/>
    </xf>
    <xf numFmtId="7" fontId="20" fillId="0" borderId="0" xfId="1" applyNumberFormat="1" applyFont="1" applyFill="1" applyBorder="1"/>
    <xf numFmtId="0" fontId="20" fillId="0" borderId="0" xfId="1" applyFont="1" applyBorder="1"/>
    <xf numFmtId="7" fontId="20" fillId="25" borderId="27" xfId="1" applyNumberFormat="1" applyFont="1" applyFill="1" applyBorder="1"/>
    <xf numFmtId="7" fontId="20" fillId="25" borderId="0" xfId="1" applyNumberFormat="1" applyFont="1" applyFill="1" applyBorder="1"/>
    <xf numFmtId="7" fontId="20" fillId="25" borderId="16" xfId="1" applyNumberFormat="1" applyFont="1" applyFill="1" applyBorder="1"/>
    <xf numFmtId="169" fontId="1" fillId="25" borderId="30" xfId="1" applyNumberFormat="1" applyFont="1" applyFill="1" applyBorder="1"/>
    <xf numFmtId="169" fontId="1" fillId="25" borderId="13" xfId="1" applyNumberFormat="1" applyFont="1" applyFill="1" applyBorder="1"/>
    <xf numFmtId="169" fontId="1" fillId="25" borderId="33" xfId="1" applyNumberFormat="1" applyFont="1" applyFill="1" applyBorder="1"/>
    <xf numFmtId="169" fontId="5" fillId="25" borderId="33" xfId="1" applyNumberFormat="1" applyFont="1" applyFill="1" applyBorder="1"/>
    <xf numFmtId="169" fontId="5" fillId="25" borderId="30" xfId="1" applyNumberFormat="1" applyFont="1" applyFill="1" applyBorder="1"/>
    <xf numFmtId="169" fontId="5" fillId="25" borderId="13" xfId="1" applyNumberFormat="1" applyFont="1" applyFill="1" applyBorder="1"/>
    <xf numFmtId="169" fontId="36" fillId="0" borderId="13" xfId="1" applyNumberFormat="1" applyFont="1" applyFill="1" applyBorder="1"/>
    <xf numFmtId="169" fontId="0" fillId="0" borderId="14" xfId="75" applyNumberFormat="1" applyFont="1" applyFill="1" applyBorder="1"/>
    <xf numFmtId="169" fontId="1" fillId="25" borderId="14" xfId="75" applyNumberFormat="1" applyFont="1" applyFill="1" applyBorder="1"/>
    <xf numFmtId="169" fontId="1" fillId="0" borderId="14" xfId="75" applyNumberFormat="1" applyFill="1" applyBorder="1"/>
    <xf numFmtId="169" fontId="5" fillId="25" borderId="14" xfId="75" applyNumberFormat="1" applyFont="1" applyFill="1" applyBorder="1"/>
    <xf numFmtId="169" fontId="1" fillId="25" borderId="18" xfId="75" applyNumberFormat="1" applyFont="1" applyFill="1" applyBorder="1"/>
    <xf numFmtId="169" fontId="1" fillId="25" borderId="29" xfId="75" applyNumberFormat="1" applyFont="1" applyFill="1" applyBorder="1"/>
    <xf numFmtId="169" fontId="5" fillId="25" borderId="29" xfId="75" applyNumberFormat="1" applyFont="1" applyFill="1" applyBorder="1"/>
    <xf numFmtId="169" fontId="5" fillId="25" borderId="18" xfId="75" applyNumberFormat="1" applyFont="1" applyFill="1" applyBorder="1"/>
    <xf numFmtId="0" fontId="52" fillId="0" borderId="0" xfId="1" applyFont="1"/>
    <xf numFmtId="8" fontId="52" fillId="0" borderId="0" xfId="41" applyNumberFormat="1" applyFont="1" applyFill="1" applyBorder="1"/>
    <xf numFmtId="9" fontId="20" fillId="0" borderId="0" xfId="75" applyNumberFormat="1" applyFont="1" applyFill="1" applyBorder="1"/>
    <xf numFmtId="39" fontId="4" fillId="0" borderId="0" xfId="1" applyNumberFormat="1" applyFont="1" applyFill="1" applyBorder="1"/>
    <xf numFmtId="5" fontId="4" fillId="25" borderId="27" xfId="1" applyNumberFormat="1" applyFont="1" applyFill="1" applyBorder="1"/>
    <xf numFmtId="5" fontId="4" fillId="25" borderId="0" xfId="1" applyNumberFormat="1" applyFont="1" applyFill="1" applyBorder="1"/>
    <xf numFmtId="5" fontId="4" fillId="25" borderId="16" xfId="1" applyNumberFormat="1" applyFont="1" applyFill="1" applyBorder="1"/>
    <xf numFmtId="5" fontId="4" fillId="0" borderId="0" xfId="1" applyNumberFormat="1" applyFont="1" applyFill="1" applyBorder="1"/>
    <xf numFmtId="5" fontId="4" fillId="0" borderId="16" xfId="1" applyNumberFormat="1" applyFont="1" applyFill="1" applyBorder="1"/>
    <xf numFmtId="0" fontId="16" fillId="0" borderId="0" xfId="0" applyFont="1" applyFill="1" applyBorder="1"/>
    <xf numFmtId="0" fontId="1" fillId="25" borderId="27" xfId="0" applyFont="1" applyFill="1" applyBorder="1"/>
    <xf numFmtId="0" fontId="1" fillId="25" borderId="0" xfId="0" applyFont="1" applyFill="1" applyBorder="1"/>
    <xf numFmtId="0" fontId="1" fillId="25" borderId="16" xfId="0" applyFont="1" applyFill="1" applyBorder="1"/>
    <xf numFmtId="0" fontId="5" fillId="0" borderId="0" xfId="0" applyFont="1" applyFill="1" applyBorder="1"/>
    <xf numFmtId="0" fontId="1" fillId="0" borderId="0" xfId="0" applyFont="1" applyFill="1" applyBorder="1"/>
    <xf numFmtId="178" fontId="5" fillId="0" borderId="0" xfId="1" applyNumberFormat="1" applyFont="1" applyFill="1" applyBorder="1"/>
    <xf numFmtId="178" fontId="5" fillId="25" borderId="27" xfId="1" applyNumberFormat="1" applyFont="1" applyFill="1" applyBorder="1"/>
    <xf numFmtId="178" fontId="5" fillId="25" borderId="0" xfId="1" applyNumberFormat="1" applyFont="1" applyFill="1" applyBorder="1"/>
    <xf numFmtId="178" fontId="5" fillId="25" borderId="16" xfId="1" applyNumberFormat="1" applyFont="1" applyFill="1" applyBorder="1"/>
    <xf numFmtId="8" fontId="36" fillId="0" borderId="0" xfId="1" applyNumberFormat="1" applyFont="1" applyFill="1" applyBorder="1"/>
    <xf numFmtId="169" fontId="20" fillId="0" borderId="0" xfId="41" applyNumberFormat="1" applyFont="1" applyFill="1" applyBorder="1"/>
    <xf numFmtId="177" fontId="20" fillId="25" borderId="27" xfId="41" applyNumberFormat="1" applyFont="1" applyFill="1" applyBorder="1"/>
    <xf numFmtId="177" fontId="20" fillId="25" borderId="0" xfId="41" applyNumberFormat="1" applyFont="1" applyFill="1" applyBorder="1"/>
    <xf numFmtId="177" fontId="20" fillId="25" borderId="16" xfId="41" applyNumberFormat="1" applyFont="1" applyFill="1" applyBorder="1"/>
    <xf numFmtId="183" fontId="35" fillId="0" borderId="0" xfId="75" applyNumberFormat="1" applyFont="1"/>
    <xf numFmtId="0" fontId="1" fillId="0" borderId="21" xfId="59" applyFill="1" applyBorder="1"/>
    <xf numFmtId="169" fontId="0" fillId="0" borderId="13" xfId="1" applyNumberFormat="1" applyFont="1" applyFill="1" applyBorder="1"/>
    <xf numFmtId="9" fontId="5" fillId="0" borderId="0" xfId="41" applyNumberFormat="1" applyFont="1" applyFill="1" applyBorder="1"/>
    <xf numFmtId="4" fontId="20" fillId="0" borderId="0" xfId="75" applyNumberFormat="1" applyFont="1" applyFill="1" applyBorder="1"/>
    <xf numFmtId="4" fontId="20" fillId="25" borderId="27" xfId="75" applyNumberFormat="1" applyFont="1" applyFill="1" applyBorder="1"/>
    <xf numFmtId="4" fontId="20" fillId="25" borderId="0" xfId="75" applyNumberFormat="1" applyFont="1" applyFill="1" applyBorder="1"/>
    <xf numFmtId="169" fontId="4" fillId="0" borderId="0" xfId="59" applyNumberFormat="1" applyFont="1"/>
    <xf numFmtId="169" fontId="4" fillId="0" borderId="0" xfId="59" applyNumberFormat="1" applyFont="1" applyFill="1" applyBorder="1"/>
    <xf numFmtId="169" fontId="35" fillId="0" borderId="0" xfId="59" applyNumberFormat="1" applyFont="1"/>
    <xf numFmtId="169" fontId="35" fillId="0" borderId="0" xfId="59" applyNumberFormat="1" applyFont="1" applyFill="1" applyBorder="1"/>
    <xf numFmtId="8" fontId="4" fillId="25" borderId="21" xfId="59" applyNumberFormat="1" applyFont="1" applyFill="1" applyBorder="1"/>
    <xf numFmtId="8" fontId="4" fillId="25" borderId="22" xfId="59" applyNumberFormat="1" applyFont="1" applyFill="1" applyBorder="1"/>
    <xf numFmtId="37" fontId="4" fillId="0" borderId="21" xfId="59" applyNumberFormat="1" applyFont="1" applyFill="1" applyBorder="1"/>
    <xf numFmtId="177" fontId="52" fillId="25" borderId="27" xfId="1" applyNumberFormat="1" applyFont="1" applyFill="1" applyBorder="1"/>
    <xf numFmtId="177" fontId="52" fillId="25" borderId="0" xfId="1" applyNumberFormat="1" applyFont="1" applyFill="1" applyBorder="1"/>
    <xf numFmtId="6" fontId="35" fillId="25" borderId="27" xfId="1" applyNumberFormat="1" applyFont="1" applyFill="1" applyBorder="1"/>
    <xf numFmtId="6" fontId="35" fillId="25" borderId="0" xfId="1" applyNumberFormat="1" applyFont="1" applyFill="1" applyBorder="1"/>
    <xf numFmtId="6" fontId="35" fillId="25" borderId="16" xfId="1" applyNumberFormat="1" applyFont="1" applyFill="1" applyBorder="1"/>
    <xf numFmtId="0" fontId="0" fillId="0" borderId="0" xfId="1" applyNumberFormat="1" applyFont="1" applyFill="1" applyBorder="1" applyAlignment="1">
      <alignment horizontal="left"/>
    </xf>
    <xf numFmtId="0" fontId="16" fillId="27" borderId="21" xfId="1" applyNumberFormat="1" applyFont="1" applyFill="1" applyBorder="1" applyAlignment="1">
      <alignment horizontal="left"/>
    </xf>
    <xf numFmtId="0" fontId="5" fillId="0" borderId="0" xfId="1" applyNumberFormat="1" applyFont="1" applyFill="1" applyBorder="1" applyAlignment="1">
      <alignment horizontal="left"/>
    </xf>
    <xf numFmtId="0" fontId="4" fillId="0" borderId="0" xfId="1" applyNumberFormat="1" applyFont="1" applyFill="1" applyBorder="1" applyAlignment="1">
      <alignment horizontal="left"/>
    </xf>
    <xf numFmtId="0" fontId="75" fillId="0" borderId="0" xfId="1" applyNumberFormat="1" applyFont="1" applyFill="1" applyBorder="1" applyAlignment="1">
      <alignment horizontal="left"/>
    </xf>
    <xf numFmtId="0" fontId="9" fillId="0" borderId="0" xfId="1" applyNumberFormat="1" applyFont="1" applyFill="1" applyBorder="1" applyAlignment="1">
      <alignment horizontal="left"/>
    </xf>
    <xf numFmtId="0" fontId="1" fillId="0" borderId="0" xfId="1" applyNumberFormat="1" applyFont="1" applyFill="1" applyBorder="1" applyAlignment="1">
      <alignment horizontal="left"/>
    </xf>
    <xf numFmtId="0" fontId="9" fillId="0" borderId="20" xfId="1" applyNumberFormat="1" applyFont="1" applyFill="1" applyBorder="1" applyAlignment="1">
      <alignment horizontal="left"/>
    </xf>
    <xf numFmtId="0" fontId="20" fillId="0" borderId="0" xfId="57" applyNumberFormat="1" applyFont="1" applyFill="1" applyBorder="1" applyAlignment="1">
      <alignment horizontal="left"/>
    </xf>
    <xf numFmtId="0" fontId="52" fillId="0" borderId="0" xfId="41" applyNumberFormat="1" applyFont="1" applyFill="1" applyBorder="1" applyAlignment="1">
      <alignment horizontal="left"/>
    </xf>
    <xf numFmtId="0" fontId="37" fillId="0" borderId="0" xfId="41" applyNumberFormat="1" applyFont="1" applyFill="1" applyBorder="1" applyAlignment="1">
      <alignment horizontal="left"/>
    </xf>
    <xf numFmtId="0" fontId="5" fillId="0" borderId="30" xfId="1" applyNumberFormat="1" applyFont="1" applyFill="1" applyBorder="1" applyAlignment="1">
      <alignment horizontal="left"/>
    </xf>
    <xf numFmtId="0" fontId="34" fillId="0" borderId="27" xfId="42" applyNumberFormat="1" applyFont="1" applyBorder="1" applyAlignment="1">
      <alignment horizontal="left"/>
    </xf>
    <xf numFmtId="0" fontId="5" fillId="0" borderId="27" xfId="1" applyNumberFormat="1" applyFont="1" applyFill="1" applyBorder="1" applyAlignment="1">
      <alignment horizontal="left"/>
    </xf>
    <xf numFmtId="0" fontId="5" fillId="0" borderId="27" xfId="42" applyNumberFormat="1" applyFont="1" applyBorder="1" applyAlignment="1">
      <alignment horizontal="left"/>
    </xf>
    <xf numFmtId="0" fontId="102" fillId="0" borderId="27" xfId="42" applyNumberFormat="1" applyFont="1" applyBorder="1" applyAlignment="1">
      <alignment horizontal="left"/>
    </xf>
    <xf numFmtId="0" fontId="0" fillId="0" borderId="27" xfId="1" applyNumberFormat="1" applyFont="1" applyFill="1" applyBorder="1" applyAlignment="1">
      <alignment horizontal="left"/>
    </xf>
    <xf numFmtId="0" fontId="4" fillId="0" borderId="27" xfId="1" applyNumberFormat="1" applyFont="1" applyFill="1" applyBorder="1" applyAlignment="1">
      <alignment horizontal="left"/>
    </xf>
    <xf numFmtId="0" fontId="0" fillId="0" borderId="18" xfId="1" applyNumberFormat="1" applyFont="1" applyFill="1" applyBorder="1" applyAlignment="1">
      <alignment horizontal="left"/>
    </xf>
    <xf numFmtId="0" fontId="0" fillId="27" borderId="0" xfId="1" applyNumberFormat="1" applyFont="1" applyFill="1" applyBorder="1" applyAlignment="1">
      <alignment horizontal="left"/>
    </xf>
    <xf numFmtId="0" fontId="0" fillId="0" borderId="0" xfId="1" applyNumberFormat="1" applyFont="1" applyAlignment="1">
      <alignment horizontal="left"/>
    </xf>
    <xf numFmtId="0" fontId="4" fillId="0" borderId="0" xfId="1" applyNumberFormat="1" applyFont="1" applyAlignment="1">
      <alignment horizontal="left"/>
    </xf>
    <xf numFmtId="0" fontId="5" fillId="0" borderId="0" xfId="42" applyNumberFormat="1" applyFont="1" applyBorder="1" applyAlignment="1">
      <alignment horizontal="left"/>
    </xf>
    <xf numFmtId="0" fontId="4" fillId="0" borderId="0" xfId="42" applyNumberFormat="1" applyFont="1" applyBorder="1" applyAlignment="1">
      <alignment horizontal="left"/>
    </xf>
    <xf numFmtId="0" fontId="4" fillId="0" borderId="0" xfId="42" applyNumberFormat="1" applyFont="1" applyFill="1" applyBorder="1" applyAlignment="1">
      <alignment horizontal="left"/>
    </xf>
    <xf numFmtId="0" fontId="5" fillId="0" borderId="0" xfId="42" applyNumberFormat="1" applyFont="1" applyFill="1" applyBorder="1" applyAlignment="1">
      <alignment horizontal="left"/>
    </xf>
    <xf numFmtId="0" fontId="9" fillId="0" borderId="0" xfId="42" applyNumberFormat="1" applyFont="1" applyBorder="1" applyAlignment="1">
      <alignment horizontal="left"/>
    </xf>
    <xf numFmtId="0" fontId="5" fillId="0" borderId="0" xfId="42" applyNumberFormat="1" applyFont="1" applyFill="1" applyBorder="1" applyAlignment="1">
      <alignment horizontal="left" indent="1"/>
    </xf>
    <xf numFmtId="0" fontId="103" fillId="0" borderId="0" xfId="42" applyNumberFormat="1" applyFont="1" applyBorder="1" applyAlignment="1">
      <alignment horizontal="left"/>
    </xf>
    <xf numFmtId="0" fontId="102" fillId="0" borderId="0" xfId="42" applyNumberFormat="1" applyFont="1" applyBorder="1" applyAlignment="1">
      <alignment horizontal="left"/>
    </xf>
    <xf numFmtId="0" fontId="0" fillId="0" borderId="0" xfId="1" applyNumberFormat="1" applyFont="1" applyBorder="1" applyAlignment="1">
      <alignment horizontal="left"/>
    </xf>
    <xf numFmtId="0" fontId="102" fillId="0" borderId="0" xfId="1" applyNumberFormat="1" applyFont="1" applyFill="1" applyBorder="1" applyAlignment="1">
      <alignment horizontal="left"/>
    </xf>
    <xf numFmtId="0" fontId="16" fillId="27" borderId="0" xfId="69" applyNumberFormat="1" applyFont="1" applyFill="1" applyBorder="1" applyAlignment="1">
      <alignment horizontal="left"/>
    </xf>
    <xf numFmtId="0" fontId="4" fillId="0" borderId="0" xfId="69" applyNumberFormat="1" applyFont="1" applyFill="1" applyBorder="1" applyAlignment="1">
      <alignment horizontal="left"/>
    </xf>
    <xf numFmtId="0" fontId="5" fillId="0" borderId="0" xfId="69" applyNumberFormat="1" applyFont="1" applyFill="1" applyBorder="1" applyAlignment="1">
      <alignment horizontal="left"/>
    </xf>
    <xf numFmtId="0" fontId="20" fillId="0" borderId="0" xfId="75" applyNumberFormat="1" applyFont="1" applyFill="1" applyBorder="1" applyAlignment="1">
      <alignment horizontal="left"/>
    </xf>
    <xf numFmtId="0" fontId="28" fillId="0" borderId="0" xfId="1" applyNumberFormat="1" applyFont="1" applyFill="1" applyBorder="1" applyAlignment="1">
      <alignment horizontal="left"/>
    </xf>
    <xf numFmtId="0" fontId="16" fillId="27" borderId="0" xfId="58" applyNumberFormat="1" applyFont="1" applyFill="1" applyBorder="1" applyAlignment="1">
      <alignment horizontal="left"/>
    </xf>
    <xf numFmtId="0" fontId="5" fillId="0" borderId="0" xfId="58" applyNumberFormat="1" applyFont="1" applyFill="1" applyBorder="1" applyAlignment="1">
      <alignment horizontal="left"/>
    </xf>
    <xf numFmtId="0" fontId="4" fillId="0" borderId="0" xfId="42" applyNumberFormat="1" applyFont="1" applyAlignment="1">
      <alignment horizontal="left"/>
    </xf>
    <xf numFmtId="0" fontId="20" fillId="0" borderId="0" xfId="75" applyNumberFormat="1" applyFont="1" applyAlignment="1">
      <alignment horizontal="left"/>
    </xf>
    <xf numFmtId="0" fontId="5" fillId="0" borderId="0" xfId="42" applyNumberFormat="1" applyFont="1" applyAlignment="1">
      <alignment horizontal="left"/>
    </xf>
    <xf numFmtId="0" fontId="8" fillId="0" borderId="0" xfId="1" applyNumberFormat="1" applyFont="1" applyFill="1" applyBorder="1" applyAlignment="1">
      <alignment horizontal="left"/>
    </xf>
    <xf numFmtId="0" fontId="7" fillId="27" borderId="0" xfId="1" applyNumberFormat="1" applyFont="1" applyFill="1"/>
    <xf numFmtId="0" fontId="6" fillId="27" borderId="0" xfId="1" applyNumberFormat="1" applyFont="1" applyFill="1"/>
    <xf numFmtId="0" fontId="12" fillId="27" borderId="0" xfId="1" applyNumberFormat="1" applyFont="1" applyFill="1"/>
    <xf numFmtId="0" fontId="11" fillId="26" borderId="32" xfId="1" applyNumberFormat="1" applyFont="1" applyFill="1" applyBorder="1"/>
    <xf numFmtId="0" fontId="16" fillId="27" borderId="21" xfId="1" applyNumberFormat="1" applyFont="1" applyFill="1" applyBorder="1"/>
    <xf numFmtId="0" fontId="4" fillId="0" borderId="0" xfId="1" applyNumberFormat="1" applyFont="1" applyFill="1" applyBorder="1"/>
    <xf numFmtId="0" fontId="5" fillId="0" borderId="0" xfId="1" applyNumberFormat="1" applyFont="1" applyFill="1" applyBorder="1"/>
    <xf numFmtId="0" fontId="9" fillId="0" borderId="0" xfId="1" applyNumberFormat="1" applyFont="1" applyFill="1" applyBorder="1"/>
    <xf numFmtId="0" fontId="4" fillId="0" borderId="20" xfId="1" applyNumberFormat="1" applyFont="1" applyFill="1" applyBorder="1"/>
    <xf numFmtId="0" fontId="20" fillId="0" borderId="0" xfId="57" applyNumberFormat="1" applyFont="1" applyFill="1" applyBorder="1"/>
    <xf numFmtId="0" fontId="34" fillId="0" borderId="0" xfId="1" applyNumberFormat="1" applyFont="1" applyFill="1" applyBorder="1"/>
    <xf numFmtId="0" fontId="16" fillId="27" borderId="13" xfId="1" applyNumberFormat="1" applyFont="1" applyFill="1" applyBorder="1"/>
    <xf numFmtId="0" fontId="5" fillId="0" borderId="30" xfId="1" applyNumberFormat="1" applyFont="1" applyFill="1" applyBorder="1"/>
    <xf numFmtId="0" fontId="5" fillId="0" borderId="27" xfId="1" applyNumberFormat="1" applyFont="1" applyFill="1" applyBorder="1"/>
    <xf numFmtId="0" fontId="5" fillId="0" borderId="27" xfId="42" applyNumberFormat="1" applyFont="1" applyFill="1" applyBorder="1" applyAlignment="1">
      <alignment horizontal="left"/>
    </xf>
    <xf numFmtId="0" fontId="21" fillId="0" borderId="27" xfId="1" applyNumberFormat="1" applyFont="1" applyFill="1" applyBorder="1"/>
    <xf numFmtId="0" fontId="5" fillId="0" borderId="27" xfId="75" applyNumberFormat="1" applyFont="1" applyFill="1" applyBorder="1"/>
    <xf numFmtId="0" fontId="5" fillId="0" borderId="27" xfId="42" applyNumberFormat="1" applyFont="1" applyFill="1" applyBorder="1"/>
    <xf numFmtId="0" fontId="5" fillId="0" borderId="27" xfId="42" applyNumberFormat="1" applyFont="1" applyFill="1" applyBorder="1" applyAlignment="1">
      <alignment horizontal="left" indent="1"/>
    </xf>
    <xf numFmtId="0" fontId="5" fillId="0" borderId="18" xfId="75" applyNumberFormat="1" applyFont="1" applyFill="1" applyBorder="1"/>
    <xf numFmtId="0" fontId="21" fillId="0" borderId="0" xfId="1" applyNumberFormat="1" applyFont="1" applyFill="1" applyBorder="1"/>
    <xf numFmtId="0" fontId="20" fillId="0" borderId="0" xfId="1" applyNumberFormat="1" applyFont="1" applyFill="1" applyBorder="1"/>
    <xf numFmtId="0" fontId="86" fillId="0" borderId="0" xfId="1" applyNumberFormat="1" applyFont="1" applyFill="1" applyBorder="1"/>
    <xf numFmtId="0" fontId="16" fillId="27" borderId="0" xfId="69" applyNumberFormat="1" applyFont="1" applyFill="1" applyBorder="1"/>
    <xf numFmtId="0" fontId="4" fillId="0" borderId="0" xfId="69" applyNumberFormat="1" applyFont="1" applyFill="1" applyBorder="1"/>
    <xf numFmtId="0" fontId="5" fillId="0" borderId="0" xfId="69" applyNumberFormat="1" applyFont="1" applyFill="1" applyBorder="1"/>
    <xf numFmtId="0" fontId="20" fillId="0" borderId="0" xfId="75" applyNumberFormat="1" applyFont="1" applyFill="1" applyBorder="1"/>
    <xf numFmtId="0" fontId="5" fillId="0" borderId="0" xfId="1" applyNumberFormat="1" applyFont="1" applyFill="1" applyBorder="1" applyAlignment="1">
      <alignment horizontal="left" indent="1"/>
    </xf>
    <xf numFmtId="0" fontId="4" fillId="0" borderId="0" xfId="1" applyNumberFormat="1" applyFont="1" applyFill="1" applyBorder="1" applyAlignment="1">
      <alignment horizontal="left" indent="1"/>
    </xf>
    <xf numFmtId="0" fontId="1" fillId="0" borderId="0" xfId="1" applyNumberFormat="1" applyFont="1" applyFill="1" applyBorder="1"/>
    <xf numFmtId="0" fontId="1" fillId="0" borderId="0" xfId="75" applyNumberFormat="1" applyFont="1" applyFill="1" applyBorder="1"/>
    <xf numFmtId="0" fontId="5" fillId="0" borderId="0" xfId="75" applyNumberFormat="1" applyFont="1" applyFill="1" applyBorder="1"/>
    <xf numFmtId="0" fontId="4" fillId="0" borderId="0" xfId="42" applyNumberFormat="1" applyFont="1"/>
    <xf numFmtId="0" fontId="20" fillId="0" borderId="0" xfId="75" applyNumberFormat="1" applyFont="1"/>
    <xf numFmtId="0" fontId="5" fillId="0" borderId="0" xfId="42" applyNumberFormat="1" applyFont="1"/>
    <xf numFmtId="0" fontId="5" fillId="27" borderId="21" xfId="1" applyNumberFormat="1" applyFont="1" applyFill="1" applyBorder="1"/>
    <xf numFmtId="0" fontId="0" fillId="0" borderId="0" xfId="1" applyNumberFormat="1" applyFont="1"/>
    <xf numFmtId="0" fontId="55" fillId="0" borderId="0" xfId="1" applyFont="1" applyFill="1" applyBorder="1"/>
    <xf numFmtId="0" fontId="55" fillId="0" borderId="0" xfId="1" applyFont="1"/>
    <xf numFmtId="4" fontId="4" fillId="0" borderId="27" xfId="1" applyNumberFormat="1" applyFont="1" applyFill="1" applyBorder="1"/>
    <xf numFmtId="0" fontId="3" fillId="27" borderId="20" xfId="58" applyFont="1" applyFill="1" applyBorder="1"/>
    <xf numFmtId="0" fontId="16" fillId="27" borderId="21" xfId="58" applyFont="1" applyFill="1" applyBorder="1"/>
    <xf numFmtId="0" fontId="4" fillId="0" borderId="0" xfId="58" applyFont="1" applyFill="1" applyBorder="1"/>
    <xf numFmtId="0" fontId="1" fillId="0" borderId="0" xfId="58" applyFont="1" applyFill="1"/>
    <xf numFmtId="0" fontId="4" fillId="0" borderId="0" xfId="58" applyFont="1" applyFill="1"/>
    <xf numFmtId="0" fontId="1" fillId="0" borderId="0" xfId="58" applyFont="1" applyFill="1" applyBorder="1"/>
    <xf numFmtId="0" fontId="5" fillId="0" borderId="0" xfId="71" applyFont="1"/>
    <xf numFmtId="0" fontId="1" fillId="0" borderId="0" xfId="71"/>
    <xf numFmtId="8" fontId="1" fillId="0" borderId="0" xfId="71" applyNumberFormat="1"/>
    <xf numFmtId="7" fontId="35" fillId="0" borderId="0" xfId="71" applyNumberFormat="1" applyFont="1"/>
    <xf numFmtId="0" fontId="1" fillId="0" borderId="0" xfId="71" applyFill="1" applyBorder="1"/>
    <xf numFmtId="177" fontId="105" fillId="25" borderId="27" xfId="1" applyNumberFormat="1" applyFont="1" applyFill="1" applyBorder="1"/>
    <xf numFmtId="177" fontId="105" fillId="25" borderId="0" xfId="1" applyNumberFormat="1" applyFont="1" applyFill="1" applyBorder="1"/>
    <xf numFmtId="177" fontId="105" fillId="25" borderId="16" xfId="1" applyNumberFormat="1" applyFont="1" applyFill="1" applyBorder="1"/>
    <xf numFmtId="0" fontId="3" fillId="27" borderId="0" xfId="70" applyFont="1" applyFill="1"/>
    <xf numFmtId="7" fontId="4" fillId="0" borderId="0" xfId="41" applyNumberFormat="1" applyFont="1" applyFill="1" applyBorder="1"/>
    <xf numFmtId="7" fontId="20" fillId="0" borderId="0" xfId="41" applyNumberFormat="1" applyFont="1" applyFill="1" applyBorder="1"/>
    <xf numFmtId="177" fontId="20" fillId="0" borderId="0" xfId="41" applyNumberFormat="1" applyFont="1" applyFill="1" applyBorder="1"/>
    <xf numFmtId="9" fontId="37" fillId="0" borderId="0" xfId="41" applyNumberFormat="1" applyFont="1" applyFill="1" applyBorder="1"/>
    <xf numFmtId="9" fontId="5" fillId="0" borderId="46" xfId="1" applyNumberFormat="1" applyFont="1" applyFill="1" applyBorder="1"/>
    <xf numFmtId="177" fontId="4" fillId="0" borderId="0" xfId="41" applyNumberFormat="1" applyFont="1" applyFill="1"/>
    <xf numFmtId="0" fontId="0" fillId="0" borderId="27" xfId="1" applyNumberFormat="1" applyFont="1" applyFill="1" applyBorder="1"/>
    <xf numFmtId="0" fontId="39" fillId="0" borderId="0" xfId="1" applyFont="1" applyFill="1" applyBorder="1"/>
    <xf numFmtId="191" fontId="4" fillId="0" borderId="0" xfId="1" applyNumberFormat="1" applyFont="1" applyFill="1" applyBorder="1"/>
    <xf numFmtId="191" fontId="4" fillId="25" borderId="27" xfId="1" applyNumberFormat="1" applyFont="1" applyFill="1" applyBorder="1"/>
    <xf numFmtId="191" fontId="4" fillId="25" borderId="0" xfId="1" applyNumberFormat="1" applyFont="1" applyFill="1" applyBorder="1"/>
    <xf numFmtId="191" fontId="4" fillId="25" borderId="16" xfId="1" applyNumberFormat="1" applyFont="1" applyFill="1" applyBorder="1"/>
    <xf numFmtId="191" fontId="0" fillId="0" borderId="0" xfId="1" applyNumberFormat="1" applyFont="1" applyFill="1" applyBorder="1"/>
    <xf numFmtId="192" fontId="4" fillId="0" borderId="0" xfId="1" applyNumberFormat="1" applyFont="1" applyFill="1" applyBorder="1"/>
    <xf numFmtId="192" fontId="4" fillId="25" borderId="27" xfId="1" applyNumberFormat="1" applyFont="1" applyFill="1" applyBorder="1"/>
    <xf numFmtId="192" fontId="4" fillId="25" borderId="0" xfId="1" applyNumberFormat="1" applyFont="1" applyFill="1" applyBorder="1"/>
    <xf numFmtId="192" fontId="4" fillId="25" borderId="16" xfId="1" applyNumberFormat="1" applyFont="1" applyFill="1" applyBorder="1"/>
    <xf numFmtId="192" fontId="0" fillId="0" borderId="0" xfId="1" applyNumberFormat="1" applyFont="1" applyFill="1" applyBorder="1"/>
    <xf numFmtId="192" fontId="0" fillId="25" borderId="27" xfId="1" applyNumberFormat="1" applyFont="1" applyFill="1" applyBorder="1"/>
    <xf numFmtId="192" fontId="0" fillId="25" borderId="0" xfId="1" applyNumberFormat="1" applyFont="1" applyFill="1" applyBorder="1"/>
    <xf numFmtId="192" fontId="0" fillId="25" borderId="16" xfId="1" applyNumberFormat="1" applyFont="1" applyFill="1" applyBorder="1"/>
    <xf numFmtId="191" fontId="5" fillId="0" borderId="0" xfId="1" applyNumberFormat="1" applyFont="1" applyFill="1" applyBorder="1"/>
    <xf numFmtId="191" fontId="5" fillId="25" borderId="27" xfId="41" applyNumberFormat="1" applyFont="1" applyFill="1" applyBorder="1"/>
    <xf numFmtId="191" fontId="5" fillId="25" borderId="0" xfId="41" applyNumberFormat="1" applyFont="1" applyFill="1" applyBorder="1"/>
    <xf numFmtId="191" fontId="5" fillId="25" borderId="16" xfId="41" applyNumberFormat="1" applyFont="1" applyFill="1" applyBorder="1"/>
    <xf numFmtId="191" fontId="5" fillId="0" borderId="0" xfId="41" applyNumberFormat="1" applyFont="1" applyFill="1" applyBorder="1"/>
    <xf numFmtId="0" fontId="20" fillId="0" borderId="0" xfId="1" applyFont="1" applyFill="1" applyBorder="1"/>
    <xf numFmtId="0" fontId="101" fillId="0" borderId="0" xfId="1" applyNumberFormat="1" applyFont="1" applyFill="1" applyBorder="1"/>
    <xf numFmtId="178" fontId="5" fillId="0" borderId="0" xfId="1" applyNumberFormat="1" applyFont="1"/>
    <xf numFmtId="9" fontId="5" fillId="25" borderId="0" xfId="1" applyNumberFormat="1" applyFont="1" applyFill="1"/>
    <xf numFmtId="9" fontId="5" fillId="0" borderId="0" xfId="1" applyNumberFormat="1" applyFont="1"/>
    <xf numFmtId="169" fontId="34" fillId="25" borderId="27" xfId="1" applyNumberFormat="1" applyFont="1" applyFill="1" applyBorder="1"/>
    <xf numFmtId="169" fontId="34" fillId="25" borderId="0" xfId="1" applyNumberFormat="1" applyFont="1" applyFill="1" applyBorder="1"/>
    <xf numFmtId="169" fontId="34" fillId="25" borderId="16" xfId="1" applyNumberFormat="1" applyFont="1" applyFill="1" applyBorder="1"/>
    <xf numFmtId="169" fontId="4" fillId="0" borderId="0" xfId="75" applyNumberFormat="1" applyFont="1" applyFill="1" applyBorder="1"/>
    <xf numFmtId="0" fontId="5" fillId="0" borderId="0" xfId="1" applyNumberFormat="1" applyFont="1"/>
    <xf numFmtId="177" fontId="35" fillId="0" borderId="0" xfId="1" applyNumberFormat="1" applyFont="1" applyFill="1" applyBorder="1"/>
    <xf numFmtId="177" fontId="55" fillId="25" borderId="16" xfId="41" applyNumberFormat="1" applyFont="1" applyFill="1" applyBorder="1"/>
    <xf numFmtId="177" fontId="52" fillId="0" borderId="27" xfId="41" applyNumberFormat="1" applyFont="1" applyFill="1" applyBorder="1"/>
    <xf numFmtId="0" fontId="51" fillId="27" borderId="0" xfId="1" applyNumberFormat="1" applyFont="1" applyFill="1"/>
    <xf numFmtId="0" fontId="74" fillId="27" borderId="0" xfId="1" applyNumberFormat="1" applyFont="1" applyFill="1"/>
    <xf numFmtId="0" fontId="75" fillId="0" borderId="0" xfId="1" applyNumberFormat="1" applyFont="1" applyFill="1" applyBorder="1"/>
    <xf numFmtId="0" fontId="38" fillId="27" borderId="21" xfId="1" applyNumberFormat="1" applyFont="1" applyFill="1" applyBorder="1"/>
    <xf numFmtId="0" fontId="12" fillId="0" borderId="0" xfId="1" applyNumberFormat="1" applyFont="1" applyFill="1" applyBorder="1"/>
    <xf numFmtId="0" fontId="9" fillId="0" borderId="20" xfId="1" applyNumberFormat="1" applyFont="1" applyFill="1" applyBorder="1"/>
    <xf numFmtId="0" fontId="5" fillId="0" borderId="0" xfId="57" applyNumberFormat="1" applyFont="1" applyFill="1" applyBorder="1"/>
    <xf numFmtId="0" fontId="84" fillId="0" borderId="0" xfId="1" applyNumberFormat="1" applyFont="1" applyFill="1" applyBorder="1"/>
    <xf numFmtId="0" fontId="83" fillId="0" borderId="0" xfId="1" applyNumberFormat="1" applyFont="1" applyFill="1" applyBorder="1"/>
    <xf numFmtId="0" fontId="16" fillId="27" borderId="21" xfId="57" applyNumberFormat="1" applyFont="1" applyFill="1" applyBorder="1"/>
    <xf numFmtId="0" fontId="4" fillId="0" borderId="0" xfId="42" applyNumberFormat="1" applyFont="1" applyFill="1"/>
    <xf numFmtId="0" fontId="1" fillId="0" borderId="0" xfId="42" applyNumberFormat="1" applyFont="1"/>
    <xf numFmtId="0" fontId="9" fillId="0" borderId="0" xfId="42" applyNumberFormat="1" applyFont="1" applyFill="1"/>
    <xf numFmtId="0" fontId="5" fillId="0" borderId="0" xfId="57" applyNumberFormat="1" applyFont="1" applyFill="1"/>
    <xf numFmtId="0" fontId="75" fillId="0" borderId="0" xfId="42" applyNumberFormat="1" applyFont="1"/>
    <xf numFmtId="0" fontId="75" fillId="0" borderId="0" xfId="42" applyNumberFormat="1" applyFont="1" applyFill="1" applyBorder="1"/>
    <xf numFmtId="0" fontId="9" fillId="0" borderId="0" xfId="42" applyNumberFormat="1" applyFont="1" applyFill="1" applyBorder="1"/>
    <xf numFmtId="0" fontId="1" fillId="0" borderId="0" xfId="42" applyNumberFormat="1" applyFont="1" applyFill="1" applyBorder="1"/>
    <xf numFmtId="0" fontId="4" fillId="0" borderId="0" xfId="42" applyNumberFormat="1" applyFont="1" applyFill="1" applyBorder="1"/>
    <xf numFmtId="0" fontId="5" fillId="0" borderId="0" xfId="44" applyNumberFormat="1" applyFont="1"/>
    <xf numFmtId="0" fontId="4" fillId="0" borderId="0" xfId="44" applyNumberFormat="1" applyFont="1"/>
    <xf numFmtId="0" fontId="4" fillId="0" borderId="0" xfId="41" applyNumberFormat="1" applyFont="1"/>
    <xf numFmtId="0" fontId="20" fillId="0" borderId="0" xfId="75" applyNumberFormat="1" applyFont="1" applyBorder="1"/>
    <xf numFmtId="0" fontId="5" fillId="0" borderId="0" xfId="42" applyNumberFormat="1" applyFont="1" applyBorder="1"/>
    <xf numFmtId="0" fontId="4" fillId="0" borderId="0" xfId="44" applyNumberFormat="1" applyFont="1" applyBorder="1"/>
    <xf numFmtId="0" fontId="85" fillId="0" borderId="0" xfId="1" applyNumberFormat="1" applyFont="1"/>
    <xf numFmtId="0" fontId="39" fillId="0" borderId="0" xfId="1" applyNumberFormat="1" applyFont="1" applyFill="1" applyBorder="1"/>
    <xf numFmtId="177" fontId="5" fillId="0" borderId="27" xfId="41" applyNumberFormat="1" applyFont="1" applyFill="1" applyBorder="1"/>
    <xf numFmtId="8" fontId="35" fillId="25" borderId="27" xfId="1" applyNumberFormat="1" applyFont="1" applyFill="1" applyBorder="1"/>
    <xf numFmtId="8" fontId="35" fillId="25" borderId="0" xfId="1" applyNumberFormat="1" applyFont="1" applyFill="1" applyBorder="1"/>
    <xf numFmtId="8" fontId="35" fillId="25" borderId="16" xfId="1" applyNumberFormat="1" applyFont="1" applyFill="1" applyBorder="1"/>
    <xf numFmtId="8" fontId="75" fillId="0" borderId="0" xfId="1" applyNumberFormat="1" applyFont="1" applyFill="1" applyBorder="1"/>
    <xf numFmtId="8" fontId="52" fillId="25" borderId="0" xfId="1" applyNumberFormat="1" applyFont="1" applyFill="1" applyBorder="1"/>
    <xf numFmtId="8" fontId="52" fillId="0" borderId="27" xfId="1" applyNumberFormat="1" applyFont="1" applyFill="1" applyBorder="1"/>
    <xf numFmtId="8" fontId="52" fillId="25" borderId="27" xfId="1" applyNumberFormat="1" applyFont="1" applyFill="1" applyBorder="1"/>
    <xf numFmtId="8" fontId="52" fillId="0" borderId="0" xfId="1" applyNumberFormat="1" applyFont="1" applyFill="1" applyBorder="1"/>
    <xf numFmtId="8" fontId="75" fillId="0" borderId="27" xfId="1" applyNumberFormat="1" applyFont="1" applyFill="1" applyBorder="1"/>
    <xf numFmtId="8" fontId="1" fillId="25" borderId="27" xfId="1" applyNumberFormat="1" applyFont="1" applyFill="1" applyBorder="1"/>
    <xf numFmtId="8" fontId="1" fillId="25" borderId="0" xfId="1" applyNumberFormat="1" applyFont="1" applyFill="1" applyBorder="1"/>
    <xf numFmtId="8" fontId="1" fillId="25" borderId="16" xfId="1" applyNumberFormat="1" applyFont="1" applyFill="1" applyBorder="1"/>
    <xf numFmtId="8" fontId="1" fillId="0" borderId="0" xfId="1" applyNumberFormat="1" applyFont="1" applyFill="1" applyBorder="1"/>
    <xf numFmtId="9" fontId="84" fillId="0" borderId="0" xfId="1" applyNumberFormat="1" applyFont="1" applyFill="1" applyBorder="1"/>
    <xf numFmtId="9" fontId="84" fillId="25" borderId="27" xfId="1" applyNumberFormat="1" applyFont="1" applyFill="1" applyBorder="1"/>
    <xf numFmtId="9" fontId="84" fillId="25" borderId="0" xfId="1" applyNumberFormat="1" applyFont="1" applyFill="1" applyBorder="1"/>
    <xf numFmtId="9" fontId="84" fillId="25" borderId="16" xfId="1" applyNumberFormat="1" applyFont="1" applyFill="1" applyBorder="1"/>
    <xf numFmtId="9" fontId="84" fillId="0" borderId="27" xfId="75" applyNumberFormat="1" applyFont="1" applyFill="1" applyBorder="1"/>
    <xf numFmtId="8" fontId="75" fillId="25" borderId="27" xfId="41" applyNumberFormat="1" applyFont="1" applyFill="1" applyBorder="1"/>
    <xf numFmtId="8" fontId="75" fillId="25" borderId="0" xfId="41" applyNumberFormat="1" applyFont="1" applyFill="1" applyBorder="1"/>
    <xf numFmtId="8" fontId="75" fillId="25" borderId="16" xfId="41" applyNumberFormat="1" applyFont="1" applyFill="1" applyBorder="1"/>
    <xf numFmtId="8" fontId="75" fillId="0" borderId="0" xfId="41" applyNumberFormat="1" applyFont="1" applyFill="1" applyBorder="1"/>
    <xf numFmtId="38" fontId="5" fillId="0" borderId="0" xfId="42" applyNumberFormat="1" applyFont="1" applyFill="1"/>
    <xf numFmtId="0" fontId="52" fillId="0" borderId="0" xfId="57" applyNumberFormat="1" applyFont="1" applyFill="1" applyBorder="1"/>
    <xf numFmtId="0" fontId="52" fillId="0" borderId="0" xfId="1" applyFont="1" applyFill="1" applyBorder="1"/>
    <xf numFmtId="0" fontId="52" fillId="25" borderId="0" xfId="1" applyFont="1" applyFill="1" applyBorder="1"/>
    <xf numFmtId="0" fontId="106" fillId="25" borderId="0" xfId="51" applyFont="1" applyFill="1" applyBorder="1" applyAlignment="1" applyProtection="1"/>
    <xf numFmtId="0" fontId="52" fillId="25" borderId="16" xfId="1" applyFont="1" applyFill="1" applyBorder="1"/>
    <xf numFmtId="4" fontId="87" fillId="0" borderId="27" xfId="1" applyNumberFormat="1" applyFont="1" applyFill="1" applyBorder="1"/>
    <xf numFmtId="169" fontId="52" fillId="25" borderId="27" xfId="75" applyNumberFormat="1" applyFont="1" applyFill="1" applyBorder="1"/>
    <xf numFmtId="169" fontId="52" fillId="25" borderId="0" xfId="75" applyNumberFormat="1" applyFont="1" applyFill="1" applyBorder="1"/>
    <xf numFmtId="169" fontId="52" fillId="25" borderId="16" xfId="75" applyNumberFormat="1" applyFont="1" applyFill="1" applyBorder="1"/>
    <xf numFmtId="169" fontId="52" fillId="0" borderId="0" xfId="75" applyNumberFormat="1" applyFont="1" applyFill="1" applyBorder="1"/>
    <xf numFmtId="8" fontId="52" fillId="0" borderId="0" xfId="75" applyNumberFormat="1" applyFont="1" applyFill="1" applyBorder="1"/>
    <xf numFmtId="0" fontId="8" fillId="0" borderId="32" xfId="1" applyNumberFormat="1" applyFont="1" applyBorder="1"/>
    <xf numFmtId="0" fontId="4" fillId="0" borderId="0" xfId="67" applyNumberFormat="1" applyFont="1" applyFill="1" applyBorder="1"/>
    <xf numFmtId="0" fontId="3" fillId="27" borderId="0" xfId="1" applyNumberFormat="1" applyFont="1" applyFill="1"/>
    <xf numFmtId="0" fontId="5" fillId="0" borderId="0" xfId="42" applyNumberFormat="1" applyFont="1" applyFill="1" applyBorder="1"/>
    <xf numFmtId="7" fontId="4" fillId="0" borderId="0" xfId="1" applyNumberFormat="1" applyFont="1" applyFill="1" applyBorder="1"/>
    <xf numFmtId="10" fontId="14" fillId="27" borderId="0" xfId="75" applyNumberFormat="1" applyFont="1" applyFill="1" applyAlignment="1">
      <alignment horizontal="center"/>
    </xf>
    <xf numFmtId="10" fontId="11" fillId="27" borderId="0" xfId="75" applyNumberFormat="1" applyFont="1" applyFill="1" applyAlignment="1">
      <alignment horizontal="center"/>
    </xf>
    <xf numFmtId="10" fontId="8" fillId="0" borderId="14" xfId="75" applyNumberFormat="1" applyFont="1" applyBorder="1" applyAlignment="1">
      <alignment horizontal="center"/>
    </xf>
    <xf numFmtId="10" fontId="20" fillId="0" borderId="24" xfId="75" applyNumberFormat="1" applyFont="1" applyBorder="1" applyAlignment="1">
      <alignment horizontal="center"/>
    </xf>
    <xf numFmtId="10" fontId="4" fillId="0" borderId="0" xfId="75" applyNumberFormat="1" applyFont="1" applyFill="1" applyBorder="1" applyAlignment="1">
      <alignment horizontal="center"/>
    </xf>
    <xf numFmtId="10" fontId="33" fillId="0" borderId="0" xfId="75" applyNumberFormat="1" applyFont="1" applyAlignment="1">
      <alignment horizontal="center"/>
    </xf>
    <xf numFmtId="10" fontId="33" fillId="0" borderId="0" xfId="75" applyNumberFormat="1" applyFont="1" applyFill="1" applyAlignment="1">
      <alignment horizontal="center"/>
    </xf>
    <xf numFmtId="10" fontId="53" fillId="0" borderId="14" xfId="75" applyNumberFormat="1" applyFont="1" applyFill="1" applyBorder="1" applyAlignment="1">
      <alignment horizontal="center"/>
    </xf>
    <xf numFmtId="10" fontId="33" fillId="0" borderId="0" xfId="75" applyNumberFormat="1" applyFont="1" applyFill="1" applyBorder="1" applyAlignment="1">
      <alignment horizontal="center"/>
    </xf>
    <xf numFmtId="10" fontId="4" fillId="0" borderId="12" xfId="75" applyNumberFormat="1" applyFont="1" applyFill="1" applyBorder="1" applyAlignment="1">
      <alignment horizontal="center"/>
    </xf>
    <xf numFmtId="0" fontId="0" fillId="0" borderId="0" xfId="1" applyFont="1" applyAlignment="1">
      <alignment horizontal="center"/>
    </xf>
    <xf numFmtId="168" fontId="14" fillId="27" borderId="0" xfId="1" applyNumberFormat="1" applyFont="1" applyFill="1" applyAlignment="1">
      <alignment horizontal="center"/>
    </xf>
    <xf numFmtId="168" fontId="11" fillId="27" borderId="0" xfId="1" applyNumberFormat="1" applyFont="1" applyFill="1" applyAlignment="1">
      <alignment horizontal="center"/>
    </xf>
    <xf numFmtId="177" fontId="33" fillId="0" borderId="0" xfId="1" applyNumberFormat="1" applyFont="1" applyAlignment="1">
      <alignment horizontal="center"/>
    </xf>
    <xf numFmtId="177" fontId="33" fillId="0" borderId="0" xfId="1" applyNumberFormat="1" applyFont="1" applyFill="1" applyAlignment="1">
      <alignment horizontal="center"/>
    </xf>
    <xf numFmtId="1" fontId="14" fillId="27" borderId="0" xfId="1" applyNumberFormat="1" applyFont="1" applyFill="1" applyAlignment="1">
      <alignment horizontal="center"/>
    </xf>
    <xf numFmtId="1" fontId="11" fillId="27" borderId="0" xfId="1" applyNumberFormat="1" applyFont="1" applyFill="1" applyAlignment="1">
      <alignment horizontal="center"/>
    </xf>
    <xf numFmtId="1" fontId="8" fillId="0" borderId="14" xfId="42" applyNumberFormat="1" applyFont="1" applyBorder="1" applyAlignment="1">
      <alignment horizontal="center"/>
    </xf>
    <xf numFmtId="1" fontId="20" fillId="0" borderId="24" xfId="42" applyNumberFormat="1" applyFont="1" applyBorder="1" applyAlignment="1">
      <alignment horizontal="center"/>
    </xf>
    <xf numFmtId="1" fontId="4" fillId="0" borderId="0" xfId="1" applyNumberFormat="1" applyFont="1" applyFill="1" applyBorder="1" applyAlignment="1">
      <alignment horizontal="center"/>
    </xf>
    <xf numFmtId="1" fontId="33" fillId="0" borderId="0" xfId="1" applyNumberFormat="1" applyFont="1" applyAlignment="1">
      <alignment horizontal="center"/>
    </xf>
    <xf numFmtId="1" fontId="33" fillId="0" borderId="0" xfId="1" applyNumberFormat="1" applyFont="1" applyFill="1" applyAlignment="1">
      <alignment horizontal="center"/>
    </xf>
    <xf numFmtId="1" fontId="4" fillId="0" borderId="0" xfId="42" applyNumberFormat="1" applyFont="1" applyFill="1" applyBorder="1" applyAlignment="1">
      <alignment horizontal="center"/>
    </xf>
    <xf numFmtId="1" fontId="53" fillId="0" borderId="14" xfId="1" applyNumberFormat="1" applyFont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3" fillId="0" borderId="14" xfId="1" applyNumberFormat="1" applyFont="1" applyFill="1" applyBorder="1"/>
    <xf numFmtId="0" fontId="20" fillId="0" borderId="24" xfId="1" applyNumberFormat="1" applyFont="1" applyBorder="1" applyAlignment="1"/>
    <xf numFmtId="0" fontId="16" fillId="27" borderId="0" xfId="1" applyNumberFormat="1" applyFont="1" applyFill="1"/>
    <xf numFmtId="0" fontId="4" fillId="0" borderId="0" xfId="1" applyNumberFormat="1" applyFont="1" applyFill="1" applyBorder="1" applyAlignment="1"/>
    <xf numFmtId="0" fontId="46" fillId="0" borderId="0" xfId="42" applyNumberFormat="1" applyFont="1" applyBorder="1" applyAlignment="1"/>
    <xf numFmtId="0" fontId="4" fillId="0" borderId="0" xfId="42" applyNumberFormat="1" applyFont="1" applyBorder="1" applyAlignment="1"/>
    <xf numFmtId="0" fontId="46" fillId="0" borderId="0" xfId="1" applyNumberFormat="1" applyFont="1" applyFill="1" applyBorder="1" applyAlignment="1"/>
    <xf numFmtId="0" fontId="4" fillId="0" borderId="0" xfId="1" applyNumberFormat="1" applyFont="1" applyAlignment="1"/>
    <xf numFmtId="0" fontId="4" fillId="0" borderId="0" xfId="1" applyNumberFormat="1" applyFont="1" applyAlignment="1">
      <alignment horizontal="left" indent="1"/>
    </xf>
    <xf numFmtId="0" fontId="0" fillId="0" borderId="0" xfId="1" applyNumberFormat="1" applyFont="1" applyFill="1" applyAlignment="1">
      <alignment horizontal="left" indent="1"/>
    </xf>
    <xf numFmtId="0" fontId="0" fillId="0" borderId="0" xfId="1" applyNumberFormat="1" applyFont="1" applyFill="1"/>
    <xf numFmtId="0" fontId="4" fillId="0" borderId="0" xfId="1" applyNumberFormat="1" applyFont="1" applyFill="1"/>
    <xf numFmtId="0" fontId="0" fillId="0" borderId="14" xfId="1" applyNumberFormat="1" applyFont="1" applyBorder="1"/>
    <xf numFmtId="0" fontId="46" fillId="0" borderId="0" xfId="1" applyNumberFormat="1" applyFont="1" applyBorder="1" applyAlignment="1"/>
    <xf numFmtId="0" fontId="4" fillId="0" borderId="12" xfId="1" applyNumberFormat="1" applyFont="1" applyFill="1" applyBorder="1" applyAlignment="1"/>
    <xf numFmtId="0" fontId="4" fillId="0" borderId="12" xfId="1" applyNumberFormat="1" applyFont="1" applyBorder="1" applyAlignment="1"/>
    <xf numFmtId="7" fontId="4" fillId="25" borderId="27" xfId="1" applyNumberFormat="1" applyFont="1" applyFill="1" applyBorder="1"/>
    <xf numFmtId="7" fontId="4" fillId="25" borderId="0" xfId="41" applyNumberFormat="1" applyFont="1" applyFill="1" applyBorder="1"/>
    <xf numFmtId="7" fontId="4" fillId="25" borderId="16" xfId="41" applyNumberFormat="1" applyFont="1" applyFill="1" applyBorder="1"/>
    <xf numFmtId="7" fontId="4" fillId="0" borderId="22" xfId="1" applyNumberFormat="1" applyFont="1" applyFill="1" applyBorder="1"/>
    <xf numFmtId="177" fontId="36" fillId="0" borderId="0" xfId="1" applyNumberFormat="1" applyFont="1" applyFill="1" applyBorder="1"/>
    <xf numFmtId="0" fontId="4" fillId="0" borderId="30" xfId="1" applyNumberFormat="1" applyFont="1" applyFill="1" applyBorder="1"/>
    <xf numFmtId="0" fontId="4" fillId="0" borderId="13" xfId="1" applyFont="1" applyFill="1" applyBorder="1"/>
    <xf numFmtId="169" fontId="4" fillId="0" borderId="13" xfId="75" applyNumberFormat="1" applyFont="1" applyFill="1" applyBorder="1"/>
    <xf numFmtId="169" fontId="4" fillId="0" borderId="33" xfId="75" applyNumberFormat="1" applyFont="1" applyFill="1" applyBorder="1"/>
    <xf numFmtId="0" fontId="4" fillId="0" borderId="18" xfId="1" applyNumberFormat="1" applyFont="1" applyFill="1" applyBorder="1"/>
    <xf numFmtId="0" fontId="4" fillId="0" borderId="14" xfId="1" applyFont="1" applyFill="1" applyBorder="1"/>
    <xf numFmtId="169" fontId="4" fillId="0" borderId="14" xfId="75" applyNumberFormat="1" applyFont="1" applyFill="1" applyBorder="1"/>
    <xf numFmtId="169" fontId="4" fillId="0" borderId="29" xfId="75" applyNumberFormat="1" applyFont="1" applyFill="1" applyBorder="1"/>
    <xf numFmtId="3" fontId="5" fillId="25" borderId="30" xfId="1" applyNumberFormat="1" applyFont="1" applyFill="1" applyBorder="1"/>
    <xf numFmtId="3" fontId="5" fillId="25" borderId="13" xfId="1" applyNumberFormat="1" applyFont="1" applyFill="1" applyBorder="1"/>
    <xf numFmtId="3" fontId="5" fillId="25" borderId="18" xfId="1" applyNumberFormat="1" applyFont="1" applyFill="1" applyBorder="1"/>
    <xf numFmtId="3" fontId="5" fillId="25" borderId="14" xfId="1" applyNumberFormat="1" applyFont="1" applyFill="1" applyBorder="1"/>
    <xf numFmtId="0" fontId="39" fillId="27" borderId="0" xfId="1" applyNumberFormat="1" applyFont="1" applyFill="1" applyBorder="1"/>
    <xf numFmtId="0" fontId="39" fillId="27" borderId="0" xfId="1" applyFont="1" applyFill="1" applyBorder="1"/>
    <xf numFmtId="7" fontId="1" fillId="0" borderId="0" xfId="59" applyNumberFormat="1" applyFill="1" applyBorder="1"/>
    <xf numFmtId="169" fontId="1" fillId="0" borderId="21" xfId="59" applyNumberFormat="1" applyFill="1" applyBorder="1"/>
    <xf numFmtId="169" fontId="20" fillId="0" borderId="21" xfId="59" applyNumberFormat="1" applyFont="1" applyFill="1" applyBorder="1"/>
    <xf numFmtId="7" fontId="52" fillId="0" borderId="0" xfId="41" applyNumberFormat="1" applyFont="1" applyFill="1" applyBorder="1"/>
    <xf numFmtId="9" fontId="20" fillId="25" borderId="27" xfId="1" applyNumberFormat="1" applyFont="1" applyFill="1" applyBorder="1"/>
    <xf numFmtId="9" fontId="20" fillId="25" borderId="0" xfId="1" applyNumberFormat="1" applyFont="1" applyFill="1" applyBorder="1"/>
    <xf numFmtId="9" fontId="20" fillId="25" borderId="16" xfId="1" applyNumberFormat="1" applyFont="1" applyFill="1" applyBorder="1"/>
    <xf numFmtId="9" fontId="107" fillId="0" borderId="0" xfId="1" applyNumberFormat="1" applyFont="1" applyFill="1" applyBorder="1"/>
    <xf numFmtId="9" fontId="107" fillId="25" borderId="27" xfId="1" applyNumberFormat="1" applyFont="1" applyFill="1" applyBorder="1"/>
    <xf numFmtId="9" fontId="107" fillId="25" borderId="0" xfId="1" applyNumberFormat="1" applyFont="1" applyFill="1" applyBorder="1"/>
    <xf numFmtId="9" fontId="107" fillId="25" borderId="16" xfId="1" applyNumberFormat="1" applyFont="1" applyFill="1" applyBorder="1"/>
    <xf numFmtId="7" fontId="107" fillId="0" borderId="0" xfId="59" applyNumberFormat="1" applyFont="1"/>
    <xf numFmtId="0" fontId="107" fillId="0" borderId="0" xfId="59" applyFont="1"/>
    <xf numFmtId="171" fontId="107" fillId="0" borderId="0" xfId="59" applyNumberFormat="1" applyFont="1" applyFill="1" applyBorder="1" applyAlignment="1">
      <alignment horizontal="right"/>
    </xf>
    <xf numFmtId="0" fontId="35" fillId="0" borderId="0" xfId="59" applyFont="1"/>
    <xf numFmtId="8" fontId="35" fillId="0" borderId="0" xfId="59" applyNumberFormat="1" applyFont="1" applyAlignment="1">
      <alignment horizontal="right"/>
    </xf>
    <xf numFmtId="8" fontId="91" fillId="0" borderId="16" xfId="41" applyNumberFormat="1" applyFont="1" applyFill="1" applyBorder="1"/>
    <xf numFmtId="4" fontId="34" fillId="25" borderId="0" xfId="65" applyNumberFormat="1" applyFont="1" applyFill="1" applyBorder="1" applyAlignment="1">
      <alignment horizontal="right"/>
    </xf>
    <xf numFmtId="4" fontId="34" fillId="25" borderId="16" xfId="65" applyNumberFormat="1" applyFont="1" applyFill="1" applyBorder="1" applyAlignment="1">
      <alignment horizontal="right"/>
    </xf>
    <xf numFmtId="3" fontId="34" fillId="25" borderId="0" xfId="65" applyNumberFormat="1" applyFont="1" applyFill="1" applyBorder="1" applyAlignment="1">
      <alignment horizontal="right"/>
    </xf>
    <xf numFmtId="3" fontId="34" fillId="25" borderId="16" xfId="65" applyNumberFormat="1" applyFont="1" applyFill="1" applyBorder="1" applyAlignment="1">
      <alignment horizontal="right"/>
    </xf>
    <xf numFmtId="8" fontId="1" fillId="0" borderId="0" xfId="75" applyNumberFormat="1"/>
    <xf numFmtId="9" fontId="108" fillId="0" borderId="0" xfId="1" applyNumberFormat="1" applyFont="1" applyFill="1" applyBorder="1"/>
    <xf numFmtId="9" fontId="108" fillId="25" borderId="27" xfId="1" applyNumberFormat="1" applyFont="1" applyFill="1" applyBorder="1"/>
    <xf numFmtId="9" fontId="108" fillId="25" borderId="0" xfId="1" applyNumberFormat="1" applyFont="1" applyFill="1" applyBorder="1"/>
    <xf numFmtId="9" fontId="108" fillId="25" borderId="16" xfId="1" applyNumberFormat="1" applyFont="1" applyFill="1" applyBorder="1"/>
    <xf numFmtId="0" fontId="20" fillId="0" borderId="0" xfId="42" applyNumberFormat="1" applyFont="1" applyFill="1" applyBorder="1" applyAlignment="1">
      <alignment horizontal="left"/>
    </xf>
    <xf numFmtId="177" fontId="107" fillId="0" borderId="0" xfId="41" applyNumberFormat="1" applyFont="1" applyFill="1" applyBorder="1"/>
    <xf numFmtId="177" fontId="108" fillId="25" borderId="27" xfId="41" applyNumberFormat="1" applyFont="1" applyFill="1" applyBorder="1"/>
    <xf numFmtId="177" fontId="108" fillId="25" borderId="0" xfId="41" applyNumberFormat="1" applyFont="1" applyFill="1" applyBorder="1"/>
    <xf numFmtId="177" fontId="108" fillId="25" borderId="16" xfId="41" applyNumberFormat="1" applyFont="1" applyFill="1" applyBorder="1"/>
    <xf numFmtId="177" fontId="108" fillId="0" borderId="0" xfId="41" applyNumberFormat="1" applyFont="1" applyFill="1" applyBorder="1"/>
    <xf numFmtId="9" fontId="75" fillId="0" borderId="0" xfId="41" applyNumberFormat="1" applyFont="1" applyFill="1" applyBorder="1"/>
    <xf numFmtId="168" fontId="109" fillId="27" borderId="0" xfId="1" applyNumberFormat="1" applyFont="1" applyFill="1"/>
    <xf numFmtId="4" fontId="1" fillId="25" borderId="27" xfId="61" applyNumberFormat="1" applyFont="1" applyFill="1" applyBorder="1" applyAlignment="1">
      <alignment horizontal="right"/>
    </xf>
    <xf numFmtId="3" fontId="1" fillId="25" borderId="27" xfId="61" applyNumberFormat="1" applyFont="1" applyFill="1" applyBorder="1" applyAlignment="1">
      <alignment horizontal="right"/>
    </xf>
    <xf numFmtId="3" fontId="1" fillId="25" borderId="0" xfId="61" applyNumberFormat="1" applyFont="1" applyFill="1" applyBorder="1" applyAlignment="1">
      <alignment horizontal="right"/>
    </xf>
    <xf numFmtId="3" fontId="1" fillId="25" borderId="16" xfId="61" applyNumberFormat="1" applyFont="1" applyFill="1" applyBorder="1" applyAlignment="1">
      <alignment horizontal="right"/>
    </xf>
    <xf numFmtId="7" fontId="108" fillId="25" borderId="27" xfId="41" applyNumberFormat="1" applyFont="1" applyFill="1" applyBorder="1"/>
    <xf numFmtId="7" fontId="108" fillId="25" borderId="0" xfId="41" applyNumberFormat="1" applyFont="1" applyFill="1" applyBorder="1"/>
    <xf numFmtId="7" fontId="108" fillId="25" borderId="16" xfId="41" applyNumberFormat="1" applyFont="1" applyFill="1" applyBorder="1"/>
    <xf numFmtId="9" fontId="36" fillId="0" borderId="0" xfId="59" applyNumberFormat="1" applyFont="1" applyAlignment="1">
      <alignment horizontal="right"/>
    </xf>
    <xf numFmtId="43" fontId="110" fillId="0" borderId="0" xfId="41" applyFont="1" applyFill="1"/>
    <xf numFmtId="166" fontId="4" fillId="0" borderId="0" xfId="59" applyNumberFormat="1" applyFont="1"/>
    <xf numFmtId="43" fontId="35" fillId="0" borderId="0" xfId="41" applyFont="1"/>
    <xf numFmtId="169" fontId="110" fillId="0" borderId="0" xfId="75" applyNumberFormat="1" applyFont="1" applyFill="1"/>
    <xf numFmtId="177" fontId="33" fillId="0" borderId="0" xfId="1" applyNumberFormat="1" applyFont="1" applyFill="1"/>
    <xf numFmtId="9" fontId="9" fillId="0" borderId="0" xfId="41" applyNumberFormat="1" applyFont="1" applyFill="1" applyBorder="1"/>
    <xf numFmtId="8" fontId="34" fillId="0" borderId="0" xfId="59" applyNumberFormat="1" applyFont="1"/>
    <xf numFmtId="8" fontId="34" fillId="0" borderId="46" xfId="59" applyNumberFormat="1" applyFont="1" applyBorder="1"/>
    <xf numFmtId="37" fontId="1" fillId="0" borderId="0" xfId="59" applyNumberFormat="1" applyFont="1"/>
    <xf numFmtId="9" fontId="34" fillId="0" borderId="46" xfId="59" applyNumberFormat="1" applyFont="1" applyBorder="1" applyAlignment="1">
      <alignment horizontal="center"/>
    </xf>
    <xf numFmtId="9" fontId="34" fillId="0" borderId="48" xfId="41" applyNumberFormat="1" applyFont="1" applyBorder="1" applyAlignment="1">
      <alignment horizontal="center"/>
    </xf>
    <xf numFmtId="9" fontId="34" fillId="0" borderId="49" xfId="41" applyNumberFormat="1" applyFont="1" applyBorder="1" applyAlignment="1">
      <alignment horizontal="center"/>
    </xf>
    <xf numFmtId="0" fontId="36" fillId="0" borderId="0" xfId="59" applyFont="1"/>
    <xf numFmtId="9" fontId="1" fillId="0" borderId="0" xfId="75"/>
    <xf numFmtId="168" fontId="96" fillId="27" borderId="0" xfId="65" applyNumberFormat="1" applyFont="1" applyFill="1" applyAlignment="1">
      <alignment horizontal="center"/>
    </xf>
    <xf numFmtId="188" fontId="15" fillId="27" borderId="0" xfId="56" applyNumberFormat="1" applyFont="1" applyFill="1" applyAlignment="1">
      <alignment horizontal="left"/>
    </xf>
    <xf numFmtId="166" fontId="91" fillId="0" borderId="11" xfId="65" applyNumberFormat="1" applyFont="1" applyFill="1" applyBorder="1" applyAlignment="1">
      <alignment horizontal="left"/>
    </xf>
    <xf numFmtId="166" fontId="5" fillId="0" borderId="0" xfId="65" applyNumberFormat="1" applyFont="1" applyFill="1" applyBorder="1" applyAlignment="1">
      <alignment horizontal="center"/>
    </xf>
    <xf numFmtId="0" fontId="16" fillId="27" borderId="22" xfId="65" applyFont="1" applyFill="1" applyBorder="1" applyAlignment="1">
      <alignment horizontal="center"/>
    </xf>
    <xf numFmtId="0" fontId="102" fillId="0" borderId="0" xfId="65" applyFont="1"/>
    <xf numFmtId="0" fontId="22" fillId="0" borderId="0" xfId="65" applyFont="1" applyFill="1" applyBorder="1" applyAlignment="1">
      <alignment horizontal="center"/>
    </xf>
    <xf numFmtId="9" fontId="48" fillId="0" borderId="0" xfId="65" applyNumberFormat="1" applyFont="1" applyFill="1" applyBorder="1" applyAlignment="1">
      <alignment horizontal="right"/>
    </xf>
    <xf numFmtId="8" fontId="5" fillId="0" borderId="33" xfId="65" applyNumberFormat="1" applyFont="1" applyBorder="1"/>
    <xf numFmtId="0" fontId="5" fillId="0" borderId="27" xfId="65" applyFont="1" applyBorder="1"/>
    <xf numFmtId="8" fontId="5" fillId="0" borderId="16" xfId="65" applyNumberFormat="1" applyFont="1" applyBorder="1"/>
    <xf numFmtId="8" fontId="4" fillId="0" borderId="29" xfId="65" applyNumberFormat="1" applyFont="1" applyBorder="1"/>
    <xf numFmtId="0" fontId="88" fillId="0" borderId="0" xfId="65" applyFont="1"/>
    <xf numFmtId="0" fontId="5" fillId="0" borderId="0" xfId="65" applyAlignment="1">
      <alignment horizontal="center"/>
    </xf>
    <xf numFmtId="0" fontId="19" fillId="27" borderId="0" xfId="65" applyFont="1" applyFill="1" applyBorder="1" applyAlignment="1">
      <alignment horizontal="center"/>
    </xf>
    <xf numFmtId="9" fontId="5" fillId="0" borderId="0" xfId="56" applyNumberFormat="1" applyFont="1" applyBorder="1" applyAlignment="1">
      <alignment horizontal="right"/>
    </xf>
    <xf numFmtId="0" fontId="1" fillId="0" borderId="0" xfId="65" applyFont="1" applyFill="1" applyBorder="1" applyAlignment="1">
      <alignment horizontal="center"/>
    </xf>
    <xf numFmtId="0" fontId="8" fillId="27" borderId="0" xfId="65" applyFont="1" applyFill="1" applyBorder="1" applyAlignment="1">
      <alignment horizontal="center"/>
    </xf>
    <xf numFmtId="4" fontId="5" fillId="0" borderId="0" xfId="56" applyNumberFormat="1" applyFont="1" applyFill="1" applyBorder="1" applyAlignment="1">
      <alignment horizontal="centerContinuous"/>
    </xf>
    <xf numFmtId="177" fontId="36" fillId="0" borderId="0" xfId="41" applyNumberFormat="1" applyFont="1"/>
    <xf numFmtId="3" fontId="5" fillId="0" borderId="0" xfId="65" applyNumberFormat="1" applyFont="1"/>
    <xf numFmtId="0" fontId="94" fillId="27" borderId="0" xfId="65" applyFont="1" applyFill="1" applyBorder="1" applyAlignment="1">
      <alignment horizontal="center"/>
    </xf>
    <xf numFmtId="0" fontId="5" fillId="0" borderId="0" xfId="65" applyFont="1"/>
    <xf numFmtId="7" fontId="36" fillId="0" borderId="0" xfId="65" applyNumberFormat="1" applyFont="1"/>
    <xf numFmtId="0" fontId="4" fillId="0" borderId="0" xfId="65" applyFont="1" applyFill="1" applyBorder="1" applyAlignment="1">
      <alignment horizontal="center"/>
    </xf>
    <xf numFmtId="7" fontId="5" fillId="0" borderId="0" xfId="65" applyNumberFormat="1" applyFont="1"/>
    <xf numFmtId="7" fontId="4" fillId="0" borderId="0" xfId="65" applyNumberFormat="1" applyFont="1"/>
    <xf numFmtId="0" fontId="4" fillId="0" borderId="0" xfId="65" applyFont="1" applyAlignment="1">
      <alignment horizontal="right"/>
    </xf>
    <xf numFmtId="177" fontId="5" fillId="0" borderId="0" xfId="65" applyNumberFormat="1" applyFont="1"/>
    <xf numFmtId="0" fontId="5" fillId="0" borderId="0" xfId="56" applyNumberFormat="1" applyFont="1" applyFill="1" applyBorder="1" applyAlignment="1">
      <alignment horizontal="center"/>
    </xf>
    <xf numFmtId="0" fontId="5" fillId="27" borderId="39" xfId="65" applyFill="1" applyBorder="1" applyAlignment="1">
      <alignment horizontal="center"/>
    </xf>
    <xf numFmtId="0" fontId="3" fillId="27" borderId="50" xfId="65" applyFont="1" applyFill="1" applyBorder="1"/>
    <xf numFmtId="0" fontId="16" fillId="27" borderId="51" xfId="65" applyFont="1" applyFill="1" applyBorder="1"/>
    <xf numFmtId="0" fontId="16" fillId="27" borderId="52" xfId="65" applyFont="1" applyFill="1" applyBorder="1" applyAlignment="1">
      <alignment horizontal="center"/>
    </xf>
    <xf numFmtId="0" fontId="8" fillId="25" borderId="53" xfId="65" applyFont="1" applyFill="1" applyBorder="1" applyAlignment="1">
      <alignment horizontal="centerContinuous"/>
    </xf>
    <xf numFmtId="0" fontId="19" fillId="25" borderId="54" xfId="65" applyFont="1" applyFill="1" applyBorder="1" applyAlignment="1">
      <alignment horizontal="centerContinuous"/>
    </xf>
    <xf numFmtId="0" fontId="19" fillId="25" borderId="55" xfId="65" applyFont="1" applyFill="1" applyBorder="1" applyAlignment="1">
      <alignment horizontal="centerContinuous"/>
    </xf>
    <xf numFmtId="0" fontId="8" fillId="25" borderId="55" xfId="65" applyFont="1" applyFill="1" applyBorder="1" applyAlignment="1">
      <alignment horizontal="centerContinuous"/>
    </xf>
    <xf numFmtId="0" fontId="8" fillId="25" borderId="54" xfId="65" applyFont="1" applyFill="1" applyBorder="1" applyAlignment="1">
      <alignment horizontal="centerContinuous"/>
    </xf>
    <xf numFmtId="0" fontId="8" fillId="0" borderId="56" xfId="65" applyFont="1" applyFill="1" applyBorder="1"/>
    <xf numFmtId="0" fontId="1" fillId="0" borderId="56" xfId="65" applyFont="1" applyFill="1" applyBorder="1"/>
    <xf numFmtId="0" fontId="5" fillId="0" borderId="56" xfId="56" applyNumberFormat="1" applyFont="1" applyFill="1" applyBorder="1" applyAlignment="1"/>
    <xf numFmtId="0" fontId="5" fillId="27" borderId="43" xfId="65" applyFill="1" applyBorder="1" applyAlignment="1">
      <alignment horizontal="center"/>
    </xf>
    <xf numFmtId="0" fontId="5" fillId="0" borderId="0" xfId="56" applyFont="1" applyAlignment="1">
      <alignment horizontal="center"/>
    </xf>
    <xf numFmtId="7" fontId="36" fillId="0" borderId="0" xfId="1" applyNumberFormat="1" applyFont="1" applyFill="1" applyBorder="1" applyAlignment="1">
      <alignment horizontal="center"/>
    </xf>
    <xf numFmtId="39" fontId="36" fillId="0" borderId="48" xfId="1" applyNumberFormat="1" applyFont="1" applyFill="1" applyBorder="1" applyAlignment="1">
      <alignment horizontal="center"/>
    </xf>
    <xf numFmtId="8" fontId="36" fillId="0" borderId="0" xfId="1" applyNumberFormat="1" applyFont="1" applyFill="1" applyBorder="1" applyAlignment="1">
      <alignment horizontal="center"/>
    </xf>
    <xf numFmtId="0" fontId="1" fillId="0" borderId="0" xfId="61" applyFont="1" applyFill="1"/>
    <xf numFmtId="0" fontId="0" fillId="0" borderId="0" xfId="1" applyFont="1" applyBorder="1" applyAlignment="1">
      <alignment horizontal="center"/>
    </xf>
    <xf numFmtId="0" fontId="5" fillId="0" borderId="0" xfId="1" applyFont="1" applyAlignment="1">
      <alignment horizontal="center"/>
    </xf>
    <xf numFmtId="181" fontId="8" fillId="0" borderId="32" xfId="57" applyNumberFormat="1" applyFont="1" applyBorder="1" applyAlignment="1">
      <alignment horizontal="center"/>
    </xf>
    <xf numFmtId="177" fontId="0" fillId="0" borderId="0" xfId="41" applyNumberFormat="1" applyFont="1" applyFill="1" applyBorder="1" applyAlignment="1">
      <alignment horizontal="center"/>
    </xf>
    <xf numFmtId="9" fontId="20" fillId="0" borderId="0" xfId="75" applyFont="1" applyFill="1" applyBorder="1" applyAlignment="1">
      <alignment horizontal="center"/>
    </xf>
    <xf numFmtId="8" fontId="91" fillId="0" borderId="0" xfId="41" applyNumberFormat="1" applyFont="1" applyFill="1" applyBorder="1"/>
    <xf numFmtId="0" fontId="0" fillId="0" borderId="0" xfId="1" applyFont="1" applyFill="1" applyBorder="1" applyAlignment="1">
      <alignment horizontal="center"/>
    </xf>
    <xf numFmtId="177" fontId="80" fillId="27" borderId="0" xfId="41" applyNumberFormat="1" applyFont="1" applyFill="1" applyAlignment="1">
      <alignment horizontal="center"/>
    </xf>
    <xf numFmtId="177" fontId="34" fillId="0" borderId="0" xfId="41" applyNumberFormat="1" applyFont="1" applyFill="1" applyBorder="1" applyAlignment="1">
      <alignment horizontal="center"/>
    </xf>
    <xf numFmtId="177" fontId="35" fillId="0" borderId="0" xfId="41" applyNumberFormat="1" applyFont="1" applyFill="1" applyBorder="1" applyAlignment="1">
      <alignment horizontal="center"/>
    </xf>
    <xf numFmtId="177" fontId="37" fillId="0" borderId="0" xfId="41" applyNumberFormat="1" applyFont="1" applyFill="1" applyBorder="1" applyAlignment="1">
      <alignment horizontal="center"/>
    </xf>
    <xf numFmtId="7" fontId="20" fillId="0" borderId="0" xfId="41" applyNumberFormat="1" applyFont="1" applyFill="1" applyBorder="1" applyAlignment="1">
      <alignment horizontal="center"/>
    </xf>
    <xf numFmtId="0" fontId="0" fillId="0" borderId="14" xfId="1" applyFont="1" applyBorder="1" applyAlignment="1">
      <alignment horizontal="center"/>
    </xf>
    <xf numFmtId="177" fontId="9" fillId="0" borderId="0" xfId="41" applyNumberFormat="1" applyFont="1" applyFill="1" applyBorder="1" applyAlignment="1">
      <alignment horizontal="center"/>
    </xf>
    <xf numFmtId="177" fontId="20" fillId="0" borderId="0" xfId="41" applyNumberFormat="1" applyFont="1" applyFill="1" applyBorder="1" applyAlignment="1">
      <alignment horizontal="center"/>
    </xf>
    <xf numFmtId="7" fontId="1" fillId="0" borderId="0" xfId="1" applyNumberFormat="1" applyFont="1" applyFill="1" applyBorder="1" applyAlignment="1">
      <alignment horizontal="center"/>
    </xf>
    <xf numFmtId="7" fontId="35" fillId="0" borderId="0" xfId="1" applyNumberFormat="1" applyFont="1" applyFill="1" applyBorder="1" applyAlignment="1">
      <alignment horizontal="center"/>
    </xf>
    <xf numFmtId="7" fontId="20" fillId="0" borderId="0" xfId="1" applyNumberFormat="1" applyFont="1" applyFill="1" applyBorder="1" applyAlignment="1">
      <alignment horizontal="center"/>
    </xf>
    <xf numFmtId="0" fontId="1" fillId="0" borderId="0" xfId="1" applyFont="1" applyBorder="1" applyAlignment="1">
      <alignment horizontal="center"/>
    </xf>
    <xf numFmtId="7" fontId="9" fillId="0" borderId="0" xfId="1" applyNumberFormat="1" applyFont="1" applyFill="1" applyBorder="1" applyAlignment="1">
      <alignment horizontal="center"/>
    </xf>
    <xf numFmtId="7" fontId="37" fillId="0" borderId="0" xfId="1" applyNumberFormat="1" applyFont="1" applyFill="1" applyBorder="1" applyAlignment="1">
      <alignment horizontal="center"/>
    </xf>
    <xf numFmtId="169" fontId="20" fillId="0" borderId="0" xfId="75" applyNumberFormat="1" applyFont="1" applyFill="1" applyBorder="1" applyAlignment="1">
      <alignment horizontal="center"/>
    </xf>
    <xf numFmtId="169" fontId="111" fillId="0" borderId="0" xfId="75" applyNumberFormat="1" applyFont="1" applyFill="1" applyBorder="1" applyAlignment="1">
      <alignment horizontal="center"/>
    </xf>
    <xf numFmtId="4" fontId="4" fillId="0" borderId="0" xfId="1" applyNumberFormat="1" applyFont="1" applyFill="1" applyBorder="1" applyAlignment="1">
      <alignment horizontal="center"/>
    </xf>
    <xf numFmtId="4" fontId="37" fillId="0" borderId="0" xfId="1" applyNumberFormat="1" applyFont="1" applyFill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35" fillId="0" borderId="0" xfId="1" applyFont="1" applyBorder="1" applyAlignment="1">
      <alignment horizontal="center"/>
    </xf>
    <xf numFmtId="0" fontId="5" fillId="0" borderId="0" xfId="1" applyFont="1" applyFill="1" applyAlignment="1">
      <alignment horizontal="center"/>
    </xf>
    <xf numFmtId="7" fontId="0" fillId="0" borderId="0" xfId="1" applyNumberFormat="1" applyFont="1" applyFill="1" applyBorder="1" applyAlignment="1">
      <alignment horizontal="center"/>
    </xf>
    <xf numFmtId="38" fontId="4" fillId="0" borderId="0" xfId="1" applyNumberFormat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177" fontId="1" fillId="0" borderId="0" xfId="41" applyNumberFormat="1" applyFill="1" applyBorder="1" applyAlignment="1">
      <alignment horizontal="center"/>
    </xf>
    <xf numFmtId="0" fontId="37" fillId="0" borderId="0" xfId="1" applyFont="1" applyBorder="1" applyAlignment="1">
      <alignment horizontal="center"/>
    </xf>
    <xf numFmtId="9" fontId="37" fillId="0" borderId="0" xfId="41" applyNumberFormat="1" applyFont="1" applyFill="1" applyBorder="1" applyAlignment="1">
      <alignment horizontal="center"/>
    </xf>
    <xf numFmtId="8" fontId="37" fillId="0" borderId="0" xfId="41" applyNumberFormat="1" applyFont="1" applyFill="1" applyBorder="1" applyAlignment="1">
      <alignment horizontal="center"/>
    </xf>
    <xf numFmtId="177" fontId="108" fillId="0" borderId="0" xfId="41" applyNumberFormat="1" applyFont="1" applyFill="1" applyBorder="1" applyAlignment="1">
      <alignment horizontal="center"/>
    </xf>
    <xf numFmtId="0" fontId="20" fillId="0" borderId="0" xfId="1" applyFont="1" applyBorder="1" applyAlignment="1">
      <alignment horizontal="center"/>
    </xf>
    <xf numFmtId="177" fontId="0" fillId="0" borderId="0" xfId="1" applyNumberFormat="1" applyFont="1" applyFill="1" applyBorder="1" applyAlignment="1">
      <alignment horizontal="center"/>
    </xf>
    <xf numFmtId="3" fontId="0" fillId="0" borderId="0" xfId="1" applyNumberFormat="1" applyFont="1" applyFill="1" applyBorder="1" applyAlignment="1">
      <alignment horizontal="center"/>
    </xf>
    <xf numFmtId="9" fontId="4" fillId="0" borderId="0" xfId="41" applyNumberFormat="1" applyFont="1" applyFill="1" applyBorder="1" applyAlignment="1">
      <alignment horizontal="center"/>
    </xf>
    <xf numFmtId="169" fontId="0" fillId="0" borderId="0" xfId="75" applyNumberFormat="1" applyFont="1" applyFill="1" applyBorder="1" applyAlignment="1">
      <alignment horizontal="center"/>
    </xf>
    <xf numFmtId="177" fontId="1" fillId="0" borderId="0" xfId="41" applyNumberFormat="1" applyFont="1" applyFill="1" applyBorder="1" applyAlignment="1">
      <alignment horizontal="center"/>
    </xf>
    <xf numFmtId="4" fontId="5" fillId="0" borderId="0" xfId="58" applyNumberFormat="1" applyFont="1" applyFill="1" applyBorder="1" applyAlignment="1">
      <alignment horizontal="center"/>
    </xf>
    <xf numFmtId="169" fontId="36" fillId="0" borderId="0" xfId="58" applyNumberFormat="1" applyFont="1" applyFill="1" applyBorder="1" applyAlignment="1">
      <alignment horizontal="center"/>
    </xf>
    <xf numFmtId="169" fontId="5" fillId="0" borderId="0" xfId="58" applyNumberFormat="1" applyFont="1" applyFill="1" applyBorder="1" applyAlignment="1">
      <alignment horizontal="center"/>
    </xf>
    <xf numFmtId="177" fontId="36" fillId="0" borderId="0" xfId="41" applyNumberFormat="1" applyFont="1" applyFill="1" applyBorder="1" applyAlignment="1">
      <alignment horizontal="center"/>
    </xf>
    <xf numFmtId="9" fontId="0" fillId="0" borderId="0" xfId="75" applyFont="1" applyFill="1" applyBorder="1" applyAlignment="1">
      <alignment horizontal="center"/>
    </xf>
    <xf numFmtId="9" fontId="0" fillId="0" borderId="0" xfId="1" applyNumberFormat="1" applyFont="1" applyFill="1" applyBorder="1" applyAlignment="1">
      <alignment horizontal="center"/>
    </xf>
    <xf numFmtId="171" fontId="0" fillId="0" borderId="0" xfId="1" applyNumberFormat="1" applyFont="1" applyFill="1" applyBorder="1" applyAlignment="1">
      <alignment horizontal="center"/>
    </xf>
    <xf numFmtId="171" fontId="5" fillId="0" borderId="0" xfId="1" applyNumberFormat="1" applyFont="1" applyFill="1" applyBorder="1" applyAlignment="1">
      <alignment horizontal="center"/>
    </xf>
    <xf numFmtId="181" fontId="8" fillId="0" borderId="32" xfId="1" applyNumberFormat="1" applyFont="1" applyBorder="1" applyAlignment="1">
      <alignment horizontal="center"/>
    </xf>
    <xf numFmtId="177" fontId="75" fillId="0" borderId="0" xfId="41" applyNumberFormat="1" applyFont="1" applyFill="1" applyBorder="1" applyAlignment="1">
      <alignment horizontal="center"/>
    </xf>
    <xf numFmtId="7" fontId="75" fillId="0" borderId="0" xfId="1" applyNumberFormat="1" applyFont="1" applyFill="1" applyBorder="1" applyAlignment="1">
      <alignment horizontal="center"/>
    </xf>
    <xf numFmtId="7" fontId="5" fillId="0" borderId="0" xfId="1" applyNumberFormat="1" applyFont="1" applyFill="1" applyBorder="1" applyAlignment="1">
      <alignment horizontal="center"/>
    </xf>
    <xf numFmtId="0" fontId="0" fillId="0" borderId="13" xfId="1" applyFont="1" applyBorder="1" applyAlignment="1">
      <alignment horizontal="center"/>
    </xf>
    <xf numFmtId="0" fontId="4" fillId="0" borderId="30" xfId="1" applyFont="1" applyBorder="1" applyAlignment="1">
      <alignment horizontal="left"/>
    </xf>
    <xf numFmtId="0" fontId="4" fillId="0" borderId="18" xfId="1" applyFont="1" applyBorder="1" applyAlignment="1">
      <alignment horizontal="left"/>
    </xf>
    <xf numFmtId="8" fontId="4" fillId="0" borderId="33" xfId="1" applyNumberFormat="1" applyFont="1" applyFill="1" applyBorder="1" applyAlignment="1">
      <alignment horizontal="right"/>
    </xf>
    <xf numFmtId="8" fontId="34" fillId="0" borderId="29" xfId="1" applyNumberFormat="1" applyFont="1" applyFill="1" applyBorder="1" applyAlignment="1">
      <alignment horizontal="right"/>
    </xf>
    <xf numFmtId="8" fontId="0" fillId="0" borderId="0" xfId="41" applyNumberFormat="1" applyFont="1" applyFill="1" applyBorder="1"/>
    <xf numFmtId="8" fontId="20" fillId="0" borderId="0" xfId="75" applyNumberFormat="1" applyFont="1" applyFill="1" applyBorder="1" applyAlignment="1">
      <alignment horizontal="center"/>
    </xf>
    <xf numFmtId="189" fontId="5" fillId="0" borderId="0" xfId="41" applyNumberFormat="1" applyFont="1" applyFill="1" applyBorder="1"/>
    <xf numFmtId="169" fontId="1" fillId="0" borderId="0" xfId="75" applyNumberFormat="1" applyFont="1" applyFill="1" applyBorder="1"/>
    <xf numFmtId="8" fontId="11" fillId="25" borderId="27" xfId="1" applyNumberFormat="1" applyFont="1" applyFill="1" applyBorder="1"/>
    <xf numFmtId="8" fontId="11" fillId="25" borderId="0" xfId="1" applyNumberFormat="1" applyFont="1" applyFill="1" applyBorder="1"/>
    <xf numFmtId="8" fontId="11" fillId="25" borderId="16" xfId="1" applyNumberFormat="1" applyFont="1" applyFill="1" applyBorder="1"/>
    <xf numFmtId="10" fontId="9" fillId="0" borderId="0" xfId="1" applyNumberFormat="1" applyFont="1" applyFill="1" applyBorder="1"/>
    <xf numFmtId="0" fontId="1" fillId="0" borderId="0" xfId="59" applyFont="1" applyAlignment="1">
      <alignment horizontal="center"/>
    </xf>
    <xf numFmtId="0" fontId="1" fillId="0" borderId="0" xfId="59" applyAlignment="1">
      <alignment horizontal="center"/>
    </xf>
    <xf numFmtId="9" fontId="35" fillId="0" borderId="0" xfId="59" applyNumberFormat="1" applyFont="1" applyAlignment="1">
      <alignment horizontal="center"/>
    </xf>
    <xf numFmtId="0" fontId="35" fillId="0" borderId="0" xfId="59" applyFont="1" applyAlignment="1">
      <alignment horizontal="center"/>
    </xf>
    <xf numFmtId="177" fontId="5" fillId="0" borderId="14" xfId="41" applyNumberFormat="1" applyFont="1" applyFill="1" applyBorder="1"/>
    <xf numFmtId="177" fontId="5" fillId="25" borderId="18" xfId="41" applyNumberFormat="1" applyFont="1" applyFill="1" applyBorder="1"/>
    <xf numFmtId="177" fontId="5" fillId="25" borderId="14" xfId="41" applyNumberFormat="1" applyFont="1" applyFill="1" applyBorder="1"/>
    <xf numFmtId="177" fontId="5" fillId="25" borderId="29" xfId="41" applyNumberFormat="1" applyFont="1" applyFill="1" applyBorder="1"/>
    <xf numFmtId="177" fontId="5" fillId="0" borderId="29" xfId="41" applyNumberFormat="1" applyFont="1" applyFill="1" applyBorder="1"/>
    <xf numFmtId="8" fontId="0" fillId="0" borderId="16" xfId="1" applyNumberFormat="1" applyFont="1" applyFill="1" applyBorder="1"/>
    <xf numFmtId="8" fontId="0" fillId="0" borderId="0" xfId="41" applyNumberFormat="1" applyFont="1" applyFill="1" applyBorder="1" applyAlignment="1">
      <alignment horizontal="center"/>
    </xf>
    <xf numFmtId="3" fontId="36" fillId="25" borderId="0" xfId="65" applyNumberFormat="1" applyFont="1" applyFill="1" applyBorder="1" applyAlignment="1"/>
    <xf numFmtId="1" fontId="36" fillId="25" borderId="16" xfId="65" applyNumberFormat="1" applyFont="1" applyFill="1" applyBorder="1" applyAlignment="1"/>
    <xf numFmtId="43" fontId="0" fillId="0" borderId="0" xfId="1" applyNumberFormat="1" applyFont="1"/>
    <xf numFmtId="0" fontId="5" fillId="0" borderId="0" xfId="0" applyFont="1"/>
    <xf numFmtId="8" fontId="20" fillId="0" borderId="0" xfId="75" applyNumberFormat="1" applyFont="1" applyFill="1" applyBorder="1"/>
    <xf numFmtId="8" fontId="20" fillId="25" borderId="27" xfId="75" applyNumberFormat="1" applyFont="1" applyFill="1" applyBorder="1"/>
    <xf numFmtId="8" fontId="20" fillId="25" borderId="0" xfId="75" applyNumberFormat="1" applyFont="1" applyFill="1" applyBorder="1"/>
    <xf numFmtId="8" fontId="20" fillId="25" borderId="16" xfId="75" applyNumberFormat="1" applyFont="1" applyFill="1" applyBorder="1"/>
    <xf numFmtId="6" fontId="35" fillId="0" borderId="15" xfId="59" applyNumberFormat="1" applyFont="1" applyFill="1" applyBorder="1" applyAlignment="1">
      <alignment horizontal="center"/>
    </xf>
    <xf numFmtId="10" fontId="4" fillId="25" borderId="14" xfId="75" applyNumberFormat="1" applyFont="1" applyFill="1" applyBorder="1"/>
    <xf numFmtId="7" fontId="4" fillId="25" borderId="33" xfId="59" applyNumberFormat="1" applyFont="1" applyFill="1" applyBorder="1"/>
    <xf numFmtId="3" fontId="5" fillId="0" borderId="0" xfId="56" applyNumberFormat="1" applyFont="1" applyBorder="1" applyAlignment="1">
      <alignment horizontal="right"/>
    </xf>
    <xf numFmtId="3" fontId="5" fillId="0" borderId="0" xfId="56" applyNumberFormat="1" applyFont="1" applyFill="1" applyBorder="1" applyAlignment="1">
      <alignment horizontal="centerContinuous"/>
    </xf>
    <xf numFmtId="43" fontId="36" fillId="0" borderId="0" xfId="41" applyFont="1" applyAlignment="1">
      <alignment horizontal="right"/>
    </xf>
    <xf numFmtId="193" fontId="36" fillId="0" borderId="0" xfId="59" applyNumberFormat="1" applyFont="1" applyAlignment="1">
      <alignment horizontal="right"/>
    </xf>
    <xf numFmtId="169" fontId="50" fillId="0" borderId="0" xfId="1" applyNumberFormat="1" applyFont="1" applyFill="1" applyBorder="1"/>
    <xf numFmtId="169" fontId="50" fillId="0" borderId="14" xfId="75" applyNumberFormat="1" applyFont="1" applyFill="1" applyBorder="1"/>
    <xf numFmtId="0" fontId="0" fillId="0" borderId="27" xfId="0" applyBorder="1"/>
    <xf numFmtId="0" fontId="0" fillId="0" borderId="27" xfId="1" applyFont="1" applyFill="1" applyBorder="1"/>
    <xf numFmtId="7" fontId="116" fillId="0" borderId="16" xfId="1" applyNumberFormat="1" applyFont="1" applyFill="1" applyBorder="1"/>
    <xf numFmtId="7" fontId="5" fillId="0" borderId="0" xfId="59" applyNumberFormat="1" applyFont="1" applyFill="1" applyBorder="1"/>
    <xf numFmtId="177" fontId="0" fillId="0" borderId="14" xfId="1" applyNumberFormat="1" applyFont="1" applyFill="1" applyBorder="1"/>
    <xf numFmtId="0" fontId="0" fillId="0" borderId="0" xfId="0" applyFill="1"/>
    <xf numFmtId="43" fontId="52" fillId="25" borderId="27" xfId="41" applyNumberFormat="1" applyFont="1" applyFill="1" applyBorder="1"/>
    <xf numFmtId="0" fontId="4" fillId="0" borderId="0" xfId="0" applyFont="1"/>
    <xf numFmtId="0" fontId="4" fillId="0" borderId="0" xfId="1" applyNumberFormat="1" applyFont="1" applyFill="1" applyAlignment="1">
      <alignment horizontal="left" indent="1"/>
    </xf>
    <xf numFmtId="1" fontId="0" fillId="0" borderId="0" xfId="1" applyNumberFormat="1" applyFont="1" applyFill="1" applyAlignment="1">
      <alignment horizontal="center"/>
    </xf>
    <xf numFmtId="10" fontId="0" fillId="0" borderId="0" xfId="75" applyNumberFormat="1" applyFont="1" applyFill="1" applyAlignment="1">
      <alignment horizontal="center"/>
    </xf>
    <xf numFmtId="177" fontId="0" fillId="0" borderId="0" xfId="1" applyNumberFormat="1" applyFont="1" applyFill="1" applyAlignment="1">
      <alignment horizontal="center"/>
    </xf>
    <xf numFmtId="177" fontId="35" fillId="0" borderId="0" xfId="1" applyNumberFormat="1" applyFont="1" applyFill="1" applyAlignment="1">
      <alignment horizontal="center"/>
    </xf>
    <xf numFmtId="1" fontId="35" fillId="0" borderId="0" xfId="1" applyNumberFormat="1" applyFont="1" applyFill="1" applyAlignment="1">
      <alignment horizontal="center"/>
    </xf>
    <xf numFmtId="10" fontId="35" fillId="0" borderId="0" xfId="75" applyNumberFormat="1" applyFont="1" applyFill="1" applyAlignment="1">
      <alignment horizontal="center"/>
    </xf>
    <xf numFmtId="177" fontId="117" fillId="0" borderId="0" xfId="1" applyNumberFormat="1" applyFont="1" applyFill="1" applyBorder="1"/>
    <xf numFmtId="177" fontId="118" fillId="0" borderId="0" xfId="41" applyNumberFormat="1" applyFont="1" applyFill="1" applyBorder="1"/>
    <xf numFmtId="177" fontId="118" fillId="25" borderId="27" xfId="41" applyNumberFormat="1" applyFont="1" applyFill="1" applyBorder="1"/>
    <xf numFmtId="177" fontId="118" fillId="25" borderId="0" xfId="41" applyNumberFormat="1" applyFont="1" applyFill="1" applyBorder="1"/>
    <xf numFmtId="177" fontId="118" fillId="25" borderId="16" xfId="41" applyNumberFormat="1" applyFont="1" applyFill="1" applyBorder="1"/>
    <xf numFmtId="0" fontId="117" fillId="0" borderId="0" xfId="1" applyFont="1" applyFill="1" applyBorder="1"/>
    <xf numFmtId="0" fontId="35" fillId="25" borderId="0" xfId="63" applyFont="1" applyFill="1" applyBorder="1" applyAlignment="1">
      <alignment horizontal="centerContinuous"/>
    </xf>
    <xf numFmtId="0" fontId="34" fillId="25" borderId="27" xfId="63" applyFont="1" applyFill="1" applyBorder="1" applyAlignment="1">
      <alignment horizontal="centerContinuous"/>
    </xf>
    <xf numFmtId="0" fontId="35" fillId="25" borderId="16" xfId="63" applyFont="1" applyFill="1" applyBorder="1" applyAlignment="1">
      <alignment horizontal="centerContinuous"/>
    </xf>
    <xf numFmtId="3" fontId="119" fillId="25" borderId="0" xfId="63" applyNumberFormat="1" applyFont="1" applyFill="1" applyBorder="1" applyAlignment="1">
      <alignment horizontal="right"/>
    </xf>
    <xf numFmtId="3" fontId="35" fillId="25" borderId="0" xfId="63" applyNumberFormat="1" applyFont="1" applyFill="1" applyBorder="1" applyAlignment="1">
      <alignment horizontal="right"/>
    </xf>
    <xf numFmtId="3" fontId="35" fillId="25" borderId="27" xfId="63" applyNumberFormat="1" applyFont="1" applyFill="1" applyBorder="1" applyAlignment="1">
      <alignment horizontal="right"/>
    </xf>
    <xf numFmtId="3" fontId="35" fillId="25" borderId="16" xfId="63" applyNumberFormat="1" applyFont="1" applyFill="1" applyBorder="1" applyAlignment="1">
      <alignment horizontal="right"/>
    </xf>
    <xf numFmtId="3" fontId="119" fillId="25" borderId="27" xfId="63" applyNumberFormat="1" applyFont="1" applyFill="1" applyBorder="1" applyAlignment="1">
      <alignment horizontal="right"/>
    </xf>
    <xf numFmtId="3" fontId="119" fillId="25" borderId="16" xfId="63" applyNumberFormat="1" applyFont="1" applyFill="1" applyBorder="1" applyAlignment="1">
      <alignment horizontal="right"/>
    </xf>
    <xf numFmtId="0" fontId="4" fillId="25" borderId="27" xfId="63" applyFont="1" applyFill="1" applyBorder="1" applyAlignment="1">
      <alignment horizontal="centerContinuous"/>
    </xf>
    <xf numFmtId="0" fontId="119" fillId="25" borderId="0" xfId="63" applyFont="1" applyFill="1" applyBorder="1" applyAlignment="1">
      <alignment horizontal="centerContinuous"/>
    </xf>
    <xf numFmtId="0" fontId="119" fillId="25" borderId="16" xfId="63" applyFont="1" applyFill="1" applyBorder="1" applyAlignment="1">
      <alignment horizontal="centerContinuous"/>
    </xf>
    <xf numFmtId="0" fontId="119" fillId="0" borderId="0" xfId="66" applyFont="1" applyFill="1" applyBorder="1"/>
    <xf numFmtId="0" fontId="11" fillId="27" borderId="0" xfId="66" applyFont="1" applyFill="1" applyBorder="1"/>
    <xf numFmtId="0" fontId="4" fillId="0" borderId="0" xfId="66" applyFont="1" applyFill="1" applyBorder="1" applyAlignment="1">
      <alignment horizontal="right"/>
    </xf>
    <xf numFmtId="0" fontId="1" fillId="0" borderId="0" xfId="66" applyFont="1" applyFill="1" applyBorder="1"/>
    <xf numFmtId="0" fontId="4" fillId="0" borderId="0" xfId="66" applyFont="1" applyFill="1" applyBorder="1"/>
    <xf numFmtId="0" fontId="8" fillId="27" borderId="0" xfId="66" applyFont="1" applyFill="1" applyBorder="1" applyAlignment="1">
      <alignment horizontal="centerContinuous"/>
    </xf>
    <xf numFmtId="0" fontId="119" fillId="27" borderId="0" xfId="66" applyFont="1" applyFill="1" applyBorder="1"/>
    <xf numFmtId="3" fontId="33" fillId="25" borderId="27" xfId="63" applyNumberFormat="1" applyFont="1" applyFill="1" applyBorder="1" applyAlignment="1">
      <alignment horizontal="right"/>
    </xf>
    <xf numFmtId="3" fontId="33" fillId="25" borderId="0" xfId="63" applyNumberFormat="1" applyFont="1" applyFill="1" applyBorder="1" applyAlignment="1">
      <alignment horizontal="right"/>
    </xf>
    <xf numFmtId="3" fontId="33" fillId="25" borderId="16" xfId="63" applyNumberFormat="1" applyFont="1" applyFill="1" applyBorder="1" applyAlignment="1">
      <alignment horizontal="right"/>
    </xf>
    <xf numFmtId="3" fontId="1" fillId="25" borderId="16" xfId="62" applyNumberFormat="1" applyFont="1" applyFill="1" applyBorder="1" applyAlignment="1">
      <alignment horizontal="right"/>
    </xf>
    <xf numFmtId="3" fontId="1" fillId="25" borderId="0" xfId="62" applyNumberFormat="1" applyFont="1" applyFill="1" applyBorder="1" applyAlignment="1">
      <alignment horizontal="right"/>
    </xf>
    <xf numFmtId="3" fontId="33" fillId="25" borderId="0" xfId="62" applyNumberFormat="1" applyFont="1" applyFill="1" applyBorder="1" applyAlignment="1">
      <alignment horizontal="right"/>
    </xf>
    <xf numFmtId="3" fontId="33" fillId="25" borderId="16" xfId="62" applyNumberFormat="1" applyFont="1" applyFill="1" applyBorder="1" applyAlignment="1">
      <alignment horizontal="right"/>
    </xf>
    <xf numFmtId="0" fontId="4" fillId="0" borderId="0" xfId="66" applyFont="1"/>
    <xf numFmtId="8" fontId="1" fillId="0" borderId="0" xfId="66" applyNumberFormat="1"/>
    <xf numFmtId="7" fontId="34" fillId="0" borderId="0" xfId="1" applyNumberFormat="1" applyFont="1" applyFill="1" applyBorder="1"/>
    <xf numFmtId="0" fontId="1" fillId="0" borderId="0" xfId="59" applyFont="1" applyFill="1" applyBorder="1"/>
    <xf numFmtId="9" fontId="36" fillId="0" borderId="0" xfId="75" applyFont="1" applyFill="1" applyBorder="1" applyAlignment="1">
      <alignment horizontal="center"/>
    </xf>
    <xf numFmtId="9" fontId="36" fillId="0" borderId="49" xfId="75" applyFont="1" applyFill="1" applyBorder="1" applyAlignment="1">
      <alignment horizontal="center"/>
    </xf>
    <xf numFmtId="0" fontId="51" fillId="27" borderId="0" xfId="1" applyFont="1" applyFill="1"/>
    <xf numFmtId="0" fontId="4" fillId="25" borderId="27" xfId="61" applyFont="1" applyFill="1" applyBorder="1" applyAlignment="1">
      <alignment horizontal="centerContinuous"/>
    </xf>
    <xf numFmtId="3" fontId="33" fillId="25" borderId="27" xfId="61" applyNumberFormat="1" applyFont="1" applyFill="1" applyBorder="1" applyAlignment="1">
      <alignment horizontal="right"/>
    </xf>
    <xf numFmtId="3" fontId="33" fillId="25" borderId="0" xfId="61" applyNumberFormat="1" applyFont="1" applyFill="1" applyBorder="1" applyAlignment="1">
      <alignment horizontal="right"/>
    </xf>
    <xf numFmtId="3" fontId="33" fillId="25" borderId="16" xfId="61" applyNumberFormat="1" applyFont="1" applyFill="1" applyBorder="1" applyAlignment="1">
      <alignment horizontal="right"/>
    </xf>
    <xf numFmtId="3" fontId="50" fillId="25" borderId="0" xfId="61" applyNumberFormat="1" applyFont="1" applyFill="1" applyBorder="1" applyAlignment="1">
      <alignment horizontal="right"/>
    </xf>
    <xf numFmtId="3" fontId="35" fillId="25" borderId="16" xfId="61" applyNumberFormat="1" applyFont="1" applyFill="1" applyBorder="1" applyAlignment="1">
      <alignment horizontal="right"/>
    </xf>
    <xf numFmtId="3" fontId="35" fillId="25" borderId="0" xfId="61" applyNumberFormat="1" applyFont="1" applyFill="1" applyBorder="1" applyAlignment="1">
      <alignment horizontal="right"/>
    </xf>
    <xf numFmtId="0" fontId="1" fillId="25" borderId="0" xfId="61" applyFont="1" applyFill="1" applyBorder="1" applyAlignment="1">
      <alignment horizontal="centerContinuous"/>
    </xf>
    <xf numFmtId="0" fontId="1" fillId="25" borderId="16" xfId="61" applyFont="1" applyFill="1" applyBorder="1" applyAlignment="1">
      <alignment horizontal="centerContinuous"/>
    </xf>
    <xf numFmtId="9" fontId="122" fillId="0" borderId="46" xfId="1" applyNumberFormat="1" applyFont="1" applyFill="1" applyBorder="1"/>
    <xf numFmtId="0" fontId="1" fillId="0" borderId="0" xfId="59" applyFont="1" applyAlignment="1">
      <alignment horizontal="right"/>
    </xf>
    <xf numFmtId="0" fontId="1" fillId="0" borderId="0" xfId="65" applyFont="1"/>
    <xf numFmtId="4" fontId="1" fillId="25" borderId="0" xfId="61" applyNumberFormat="1" applyFont="1" applyFill="1" applyBorder="1" applyAlignment="1">
      <alignment horizontal="right"/>
    </xf>
    <xf numFmtId="4" fontId="1" fillId="25" borderId="16" xfId="61" applyNumberFormat="1" applyFont="1" applyFill="1" applyBorder="1" applyAlignment="1">
      <alignment horizontal="right"/>
    </xf>
    <xf numFmtId="4" fontId="35" fillId="25" borderId="0" xfId="61" applyNumberFormat="1" applyFont="1" applyFill="1" applyBorder="1" applyAlignment="1">
      <alignment horizontal="right"/>
    </xf>
    <xf numFmtId="4" fontId="35" fillId="25" borderId="16" xfId="61" applyNumberFormat="1" applyFont="1" applyFill="1" applyBorder="1" applyAlignment="1">
      <alignment horizontal="right"/>
    </xf>
    <xf numFmtId="0" fontId="35" fillId="25" borderId="0" xfId="61" applyFont="1" applyFill="1" applyBorder="1" applyAlignment="1">
      <alignment horizontal="centerContinuous"/>
    </xf>
    <xf numFmtId="0" fontId="35" fillId="25" borderId="16" xfId="61" applyFont="1" applyFill="1" applyBorder="1" applyAlignment="1">
      <alignment horizontal="centerContinuous"/>
    </xf>
    <xf numFmtId="0" fontId="34" fillId="25" borderId="0" xfId="61" applyFont="1" applyFill="1" applyBorder="1" applyAlignment="1">
      <alignment horizontal="centerContinuous"/>
    </xf>
    <xf numFmtId="0" fontId="34" fillId="25" borderId="16" xfId="61" applyFont="1" applyFill="1" applyBorder="1" applyAlignment="1">
      <alignment horizontal="centerContinuous"/>
    </xf>
    <xf numFmtId="2" fontId="1" fillId="25" borderId="0" xfId="61" applyNumberFormat="1" applyFont="1" applyFill="1" applyBorder="1" applyAlignment="1">
      <alignment horizontal="right"/>
    </xf>
    <xf numFmtId="2" fontId="1" fillId="25" borderId="16" xfId="61" applyNumberFormat="1" applyFont="1" applyFill="1" applyBorder="1" applyAlignment="1">
      <alignment horizontal="right"/>
    </xf>
    <xf numFmtId="2" fontId="35" fillId="25" borderId="0" xfId="61" applyNumberFormat="1" applyFont="1" applyFill="1" applyBorder="1" applyAlignment="1">
      <alignment horizontal="right"/>
    </xf>
    <xf numFmtId="2" fontId="35" fillId="25" borderId="16" xfId="61" applyNumberFormat="1" applyFont="1" applyFill="1" applyBorder="1" applyAlignment="1">
      <alignment horizontal="right"/>
    </xf>
    <xf numFmtId="3" fontId="50" fillId="25" borderId="16" xfId="61" applyNumberFormat="1" applyFont="1" applyFill="1" applyBorder="1" applyAlignment="1">
      <alignment horizontal="right"/>
    </xf>
    <xf numFmtId="1" fontId="1" fillId="0" borderId="0" xfId="1" applyNumberFormat="1" applyFont="1" applyFill="1" applyBorder="1" applyAlignment="1">
      <alignment horizontal="center"/>
    </xf>
    <xf numFmtId="43" fontId="4" fillId="25" borderId="0" xfId="41" applyNumberFormat="1" applyFont="1" applyFill="1" applyBorder="1" applyAlignment="1">
      <alignment horizontal="right"/>
    </xf>
    <xf numFmtId="0" fontId="8" fillId="25" borderId="57" xfId="65" applyFont="1" applyFill="1" applyBorder="1" applyAlignment="1">
      <alignment horizontal="centerContinuous"/>
    </xf>
    <xf numFmtId="4" fontId="35" fillId="25" borderId="58" xfId="61" applyNumberFormat="1" applyFont="1" applyFill="1" applyBorder="1" applyAlignment="1">
      <alignment horizontal="right"/>
    </xf>
    <xf numFmtId="4" fontId="35" fillId="25" borderId="57" xfId="61" applyNumberFormat="1" applyFont="1" applyFill="1" applyBorder="1" applyAlignment="1">
      <alignment horizontal="right"/>
    </xf>
    <xf numFmtId="4" fontId="35" fillId="25" borderId="59" xfId="61" applyNumberFormat="1" applyFont="1" applyFill="1" applyBorder="1" applyAlignment="1">
      <alignment horizontal="right"/>
    </xf>
    <xf numFmtId="4" fontId="35" fillId="25" borderId="60" xfId="61" applyNumberFormat="1" applyFont="1" applyFill="1" applyBorder="1" applyAlignment="1">
      <alignment horizontal="right"/>
    </xf>
    <xf numFmtId="3" fontId="1" fillId="25" borderId="60" xfId="61" applyNumberFormat="1" applyFont="1" applyFill="1" applyBorder="1" applyAlignment="1">
      <alignment horizontal="right"/>
    </xf>
    <xf numFmtId="4" fontId="1" fillId="25" borderId="60" xfId="65" applyNumberFormat="1" applyFont="1" applyFill="1" applyBorder="1" applyAlignment="1">
      <alignment horizontal="right"/>
    </xf>
    <xf numFmtId="0" fontId="1" fillId="25" borderId="60" xfId="65" applyFont="1" applyFill="1" applyBorder="1"/>
    <xf numFmtId="0" fontId="5" fillId="27" borderId="61" xfId="65" applyFill="1" applyBorder="1"/>
    <xf numFmtId="0" fontId="1" fillId="0" borderId="0" xfId="1" applyNumberFormat="1" applyFont="1" applyAlignment="1">
      <alignment horizontal="left"/>
    </xf>
    <xf numFmtId="177" fontId="122" fillId="0" borderId="0" xfId="1" applyNumberFormat="1" applyFont="1" applyFill="1" applyBorder="1"/>
    <xf numFmtId="169" fontId="122" fillId="0" borderId="13" xfId="1" applyNumberFormat="1" applyFont="1" applyFill="1" applyBorder="1"/>
    <xf numFmtId="169" fontId="122" fillId="0" borderId="0" xfId="1" applyNumberFormat="1" applyFont="1" applyFill="1" applyBorder="1"/>
    <xf numFmtId="7" fontId="116" fillId="0" borderId="0" xfId="1" applyNumberFormat="1" applyFont="1" applyFill="1" applyBorder="1"/>
    <xf numFmtId="0" fontId="1" fillId="29" borderId="0" xfId="59" applyFill="1"/>
    <xf numFmtId="0" fontId="1" fillId="0" borderId="30" xfId="65" applyFont="1" applyBorder="1"/>
    <xf numFmtId="0" fontId="5" fillId="0" borderId="0" xfId="65" applyFill="1"/>
    <xf numFmtId="4" fontId="5" fillId="0" borderId="0" xfId="65" applyNumberFormat="1"/>
    <xf numFmtId="4" fontId="19" fillId="0" borderId="0" xfId="65" applyNumberFormat="1" applyFont="1"/>
    <xf numFmtId="0" fontId="4" fillId="0" borderId="0" xfId="65" applyFont="1" applyBorder="1"/>
    <xf numFmtId="0" fontId="5" fillId="0" borderId="0" xfId="56" applyFont="1" applyBorder="1"/>
    <xf numFmtId="8" fontId="36" fillId="0" borderId="0" xfId="56" applyNumberFormat="1" applyFont="1" applyFill="1" applyBorder="1"/>
    <xf numFmtId="0" fontId="5" fillId="0" borderId="0" xfId="56" applyFont="1" applyFill="1" applyBorder="1"/>
    <xf numFmtId="177" fontId="5" fillId="0" borderId="0" xfId="56" applyNumberFormat="1" applyFont="1" applyFill="1" applyBorder="1"/>
    <xf numFmtId="6" fontId="5" fillId="0" borderId="0" xfId="43" applyNumberFormat="1" applyFont="1" applyBorder="1"/>
    <xf numFmtId="0" fontId="19" fillId="0" borderId="0" xfId="65" applyFont="1" applyBorder="1"/>
    <xf numFmtId="0" fontId="1" fillId="0" borderId="0" xfId="66"/>
    <xf numFmtId="0" fontId="46" fillId="0" borderId="0" xfId="66" applyFont="1"/>
    <xf numFmtId="4" fontId="1" fillId="0" borderId="0" xfId="66" applyNumberFormat="1" applyFill="1"/>
    <xf numFmtId="0" fontId="1" fillId="0" borderId="0" xfId="66" applyFont="1" applyFill="1" applyAlignment="1">
      <alignment horizontal="left"/>
    </xf>
    <xf numFmtId="9" fontId="115" fillId="0" borderId="0" xfId="75" applyFont="1"/>
    <xf numFmtId="9" fontId="1" fillId="0" borderId="0" xfId="75" applyFont="1"/>
    <xf numFmtId="0" fontId="102" fillId="0" borderId="0" xfId="66" applyFont="1"/>
    <xf numFmtId="0" fontId="11" fillId="0" borderId="0" xfId="66" applyFont="1"/>
    <xf numFmtId="0" fontId="102" fillId="0" borderId="0" xfId="66" applyFont="1" applyFill="1"/>
    <xf numFmtId="0" fontId="11" fillId="0" borderId="0" xfId="66" applyFont="1" applyFill="1"/>
    <xf numFmtId="0" fontId="1" fillId="0" borderId="0" xfId="66" applyFill="1"/>
    <xf numFmtId="0" fontId="4" fillId="0" borderId="0" xfId="66" applyFont="1" applyFill="1"/>
    <xf numFmtId="7" fontId="35" fillId="0" borderId="0" xfId="66" applyNumberFormat="1" applyFont="1"/>
    <xf numFmtId="0" fontId="1" fillId="0" borderId="0" xfId="0" applyFont="1"/>
    <xf numFmtId="169" fontId="34" fillId="0" borderId="0" xfId="75" applyNumberFormat="1" applyFont="1" applyFill="1" applyBorder="1"/>
    <xf numFmtId="169" fontId="4" fillId="25" borderId="27" xfId="41" applyNumberFormat="1" applyFont="1" applyFill="1" applyBorder="1"/>
    <xf numFmtId="169" fontId="4" fillId="25" borderId="0" xfId="41" applyNumberFormat="1" applyFont="1" applyFill="1" applyBorder="1"/>
    <xf numFmtId="169" fontId="4" fillId="25" borderId="16" xfId="41" applyNumberFormat="1" applyFont="1" applyFill="1" applyBorder="1"/>
    <xf numFmtId="43" fontId="37" fillId="25" borderId="0" xfId="41" applyNumberFormat="1" applyFont="1" applyFill="1" applyBorder="1"/>
    <xf numFmtId="8" fontId="122" fillId="25" borderId="27" xfId="41" applyNumberFormat="1" applyFont="1" applyFill="1" applyBorder="1"/>
    <xf numFmtId="8" fontId="122" fillId="25" borderId="0" xfId="41" applyNumberFormat="1" applyFont="1" applyFill="1" applyBorder="1"/>
    <xf numFmtId="8" fontId="122" fillId="25" borderId="16" xfId="41" applyNumberFormat="1" applyFont="1" applyFill="1" applyBorder="1"/>
    <xf numFmtId="195" fontId="4" fillId="0" borderId="0" xfId="1" applyNumberFormat="1" applyFont="1" applyFill="1" applyBorder="1"/>
    <xf numFmtId="43" fontId="0" fillId="0" borderId="0" xfId="1" applyNumberFormat="1" applyFont="1" applyBorder="1"/>
    <xf numFmtId="43" fontId="52" fillId="0" borderId="0" xfId="41" applyNumberFormat="1" applyFont="1" applyFill="1" applyBorder="1"/>
    <xf numFmtId="177" fontId="1" fillId="0" borderId="0" xfId="59" applyNumberFormat="1" applyFill="1"/>
    <xf numFmtId="0" fontId="1" fillId="0" borderId="27" xfId="1" applyNumberFormat="1" applyFont="1" applyFill="1" applyBorder="1" applyAlignment="1">
      <alignment horizontal="left"/>
    </xf>
    <xf numFmtId="8" fontId="5" fillId="0" borderId="0" xfId="59" applyNumberFormat="1" applyFont="1" applyFill="1"/>
    <xf numFmtId="0" fontId="1" fillId="0" borderId="0" xfId="1" applyNumberFormat="1" applyFont="1" applyFill="1" applyAlignment="1">
      <alignment horizontal="left" indent="1"/>
    </xf>
    <xf numFmtId="0" fontId="0" fillId="0" borderId="0" xfId="1" applyNumberFormat="1" applyFont="1" applyFill="1" applyAlignment="1">
      <alignment horizontal="left"/>
    </xf>
    <xf numFmtId="177" fontId="124" fillId="25" borderId="27" xfId="41" applyNumberFormat="1" applyFont="1" applyFill="1" applyBorder="1"/>
    <xf numFmtId="43" fontId="52" fillId="0" borderId="0" xfId="41" applyFont="1" applyFill="1" applyBorder="1"/>
    <xf numFmtId="196" fontId="0" fillId="25" borderId="27" xfId="41" applyNumberFormat="1" applyFont="1" applyFill="1" applyBorder="1"/>
    <xf numFmtId="196" fontId="75" fillId="25" borderId="0" xfId="41" applyNumberFormat="1" applyFont="1" applyFill="1" applyBorder="1"/>
    <xf numFmtId="0" fontId="1" fillId="0" borderId="0" xfId="1" applyNumberFormat="1" applyFont="1" applyFill="1" applyBorder="1" applyAlignment="1">
      <alignment horizontal="left" indent="1"/>
    </xf>
    <xf numFmtId="0" fontId="34" fillId="25" borderId="60" xfId="61" applyFont="1" applyFill="1" applyBorder="1" applyAlignment="1">
      <alignment horizontal="centerContinuous"/>
    </xf>
    <xf numFmtId="2" fontId="35" fillId="25" borderId="60" xfId="61" applyNumberFormat="1" applyFont="1" applyFill="1" applyBorder="1" applyAlignment="1">
      <alignment horizontal="right"/>
    </xf>
    <xf numFmtId="3" fontId="35" fillId="25" borderId="60" xfId="61" applyNumberFormat="1" applyFont="1" applyFill="1" applyBorder="1" applyAlignment="1">
      <alignment horizontal="right"/>
    </xf>
    <xf numFmtId="3" fontId="1" fillId="25" borderId="60" xfId="62" applyNumberFormat="1" applyFont="1" applyFill="1" applyBorder="1" applyAlignment="1">
      <alignment horizontal="right"/>
    </xf>
    <xf numFmtId="0" fontId="4" fillId="25" borderId="0" xfId="63" applyFont="1" applyFill="1" applyBorder="1" applyAlignment="1">
      <alignment horizontal="centerContinuous"/>
    </xf>
    <xf numFmtId="0" fontId="4" fillId="25" borderId="0" xfId="61" applyFont="1" applyFill="1" applyBorder="1" applyAlignment="1">
      <alignment horizontal="centerContinuous"/>
    </xf>
    <xf numFmtId="0" fontId="22" fillId="0" borderId="16" xfId="65" applyFont="1" applyFill="1" applyBorder="1" applyAlignment="1">
      <alignment horizontal="center"/>
    </xf>
    <xf numFmtId="0" fontId="8" fillId="0" borderId="56" xfId="66" applyFont="1" applyFill="1" applyBorder="1"/>
    <xf numFmtId="3" fontId="35" fillId="0" borderId="16" xfId="66" applyNumberFormat="1" applyFont="1" applyFill="1" applyBorder="1" applyAlignment="1">
      <alignment horizontal="center"/>
    </xf>
    <xf numFmtId="0" fontId="119" fillId="0" borderId="56" xfId="66" applyFont="1" applyFill="1" applyBorder="1"/>
    <xf numFmtId="170" fontId="119" fillId="0" borderId="16" xfId="66" applyNumberFormat="1" applyFont="1" applyFill="1" applyBorder="1" applyAlignment="1">
      <alignment horizontal="center"/>
    </xf>
    <xf numFmtId="0" fontId="3" fillId="27" borderId="56" xfId="66" applyFont="1" applyFill="1" applyBorder="1"/>
    <xf numFmtId="0" fontId="11" fillId="27" borderId="16" xfId="66" applyFont="1" applyFill="1" applyBorder="1" applyAlignment="1">
      <alignment horizontal="center"/>
    </xf>
    <xf numFmtId="9" fontId="35" fillId="0" borderId="16" xfId="66" applyNumberFormat="1" applyFont="1" applyFill="1" applyBorder="1" applyAlignment="1">
      <alignment horizontal="center"/>
    </xf>
    <xf numFmtId="0" fontId="1" fillId="0" borderId="56" xfId="66" applyFont="1" applyFill="1" applyBorder="1"/>
    <xf numFmtId="0" fontId="119" fillId="0" borderId="16" xfId="66" applyFont="1" applyFill="1" applyBorder="1" applyAlignment="1">
      <alignment horizontal="center"/>
    </xf>
    <xf numFmtId="0" fontId="3" fillId="27" borderId="62" xfId="66" applyFont="1" applyFill="1" applyBorder="1"/>
    <xf numFmtId="0" fontId="8" fillId="27" borderId="16" xfId="66" applyFont="1" applyFill="1" applyBorder="1" applyAlignment="1">
      <alignment horizontal="center"/>
    </xf>
    <xf numFmtId="0" fontId="8" fillId="0" borderId="56" xfId="66" applyFont="1" applyFill="1" applyBorder="1" applyAlignment="1">
      <alignment horizontal="left"/>
    </xf>
    <xf numFmtId="0" fontId="4" fillId="0" borderId="16" xfId="66" applyFont="1" applyFill="1" applyBorder="1" applyAlignment="1">
      <alignment horizontal="center"/>
    </xf>
    <xf numFmtId="0" fontId="94" fillId="27" borderId="16" xfId="66" applyFont="1" applyFill="1" applyBorder="1" applyAlignment="1">
      <alignment horizontal="center"/>
    </xf>
    <xf numFmtId="170" fontId="1" fillId="0" borderId="16" xfId="66" applyNumberFormat="1" applyFont="1" applyFill="1" applyBorder="1" applyAlignment="1">
      <alignment horizontal="center"/>
    </xf>
    <xf numFmtId="170" fontId="1" fillId="0" borderId="16" xfId="65" applyNumberFormat="1" applyFont="1" applyFill="1" applyBorder="1" applyAlignment="1">
      <alignment horizontal="center"/>
    </xf>
    <xf numFmtId="0" fontId="1" fillId="0" borderId="16" xfId="65" applyFont="1" applyFill="1" applyBorder="1" applyAlignment="1">
      <alignment horizontal="center"/>
    </xf>
    <xf numFmtId="0" fontId="5" fillId="0" borderId="16" xfId="56" applyNumberFormat="1" applyFont="1" applyFill="1" applyBorder="1" applyAlignment="1">
      <alignment horizontal="center"/>
    </xf>
    <xf numFmtId="3" fontId="122" fillId="25" borderId="0" xfId="1" applyNumberFormat="1" applyFont="1" applyFill="1" applyBorder="1"/>
    <xf numFmtId="177" fontId="122" fillId="25" borderId="0" xfId="41" applyNumberFormat="1" applyFont="1" applyFill="1" applyBorder="1"/>
    <xf numFmtId="177" fontId="122" fillId="25" borderId="27" xfId="41" applyNumberFormat="1" applyFont="1" applyFill="1" applyBorder="1"/>
    <xf numFmtId="0" fontId="3" fillId="27" borderId="20" xfId="0" applyFont="1" applyFill="1" applyBorder="1"/>
    <xf numFmtId="181" fontId="8" fillId="0" borderId="0" xfId="0" applyNumberFormat="1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41" fontId="11" fillId="0" borderId="0" xfId="0" applyNumberFormat="1" applyFont="1" applyAlignment="1">
      <alignment horizontal="right"/>
    </xf>
    <xf numFmtId="41" fontId="35" fillId="0" borderId="0" xfId="0" applyNumberFormat="1" applyFont="1"/>
    <xf numFmtId="9" fontId="0" fillId="0" borderId="0" xfId="0" applyNumberFormat="1"/>
    <xf numFmtId="9" fontId="35" fillId="0" borderId="0" xfId="0" applyNumberFormat="1" applyFont="1"/>
    <xf numFmtId="9" fontId="4" fillId="0" borderId="0" xfId="0" applyNumberFormat="1" applyFont="1"/>
    <xf numFmtId="169" fontId="1" fillId="0" borderId="0" xfId="75" applyNumberFormat="1" applyFont="1"/>
    <xf numFmtId="177" fontId="0" fillId="0" borderId="0" xfId="0" applyNumberFormat="1"/>
    <xf numFmtId="0" fontId="8" fillId="0" borderId="0" xfId="0" applyFont="1" applyAlignment="1">
      <alignment horizontal="left"/>
    </xf>
    <xf numFmtId="169" fontId="4" fillId="0" borderId="0" xfId="75" applyNumberFormat="1" applyFont="1"/>
    <xf numFmtId="177" fontId="122" fillId="0" borderId="0" xfId="59" applyNumberFormat="1" applyFont="1"/>
    <xf numFmtId="0" fontId="33" fillId="0" borderId="0" xfId="41" applyNumberFormat="1" applyFont="1" applyFill="1" applyBorder="1"/>
    <xf numFmtId="177" fontId="0" fillId="0" borderId="0" xfId="1" applyNumberFormat="1" applyFont="1" applyBorder="1"/>
    <xf numFmtId="43" fontId="52" fillId="25" borderId="0" xfId="41" applyNumberFormat="1" applyFont="1" applyFill="1" applyBorder="1"/>
    <xf numFmtId="43" fontId="52" fillId="25" borderId="16" xfId="41" applyNumberFormat="1" applyFont="1" applyFill="1" applyBorder="1"/>
    <xf numFmtId="2" fontId="52" fillId="0" borderId="0" xfId="41" applyNumberFormat="1" applyFont="1" applyFill="1" applyBorder="1"/>
    <xf numFmtId="2" fontId="52" fillId="25" borderId="27" xfId="41" applyNumberFormat="1" applyFont="1" applyFill="1" applyBorder="1"/>
    <xf numFmtId="2" fontId="52" fillId="25" borderId="0" xfId="41" applyNumberFormat="1" applyFont="1" applyFill="1" applyBorder="1"/>
    <xf numFmtId="2" fontId="52" fillId="25" borderId="16" xfId="41" applyNumberFormat="1" applyFont="1" applyFill="1" applyBorder="1"/>
    <xf numFmtId="43" fontId="75" fillId="0" borderId="0" xfId="1" applyNumberFormat="1" applyFont="1" applyFill="1" applyBorder="1"/>
    <xf numFmtId="9" fontId="75" fillId="0" borderId="0" xfId="75" applyFont="1" applyFill="1" applyBorder="1"/>
    <xf numFmtId="9" fontId="4" fillId="0" borderId="0" xfId="75" applyFont="1" applyFill="1" applyBorder="1"/>
    <xf numFmtId="0" fontId="101" fillId="0" borderId="0" xfId="0" applyFont="1"/>
    <xf numFmtId="10" fontId="0" fillId="0" borderId="0" xfId="75" applyNumberFormat="1" applyFont="1" applyBorder="1"/>
    <xf numFmtId="10" fontId="4" fillId="0" borderId="0" xfId="75" applyNumberFormat="1" applyFont="1" applyFill="1" applyBorder="1"/>
    <xf numFmtId="179" fontId="1" fillId="0" borderId="0" xfId="41" applyNumberFormat="1" applyFont="1" applyFill="1" applyBorder="1" applyAlignment="1">
      <alignment horizontal="right"/>
    </xf>
    <xf numFmtId="179" fontId="1" fillId="25" borderId="16" xfId="41" applyNumberFormat="1" applyFont="1" applyFill="1" applyBorder="1" applyAlignment="1">
      <alignment horizontal="right"/>
    </xf>
    <xf numFmtId="179" fontId="1" fillId="25" borderId="0" xfId="41" applyNumberFormat="1" applyFont="1" applyFill="1" applyBorder="1" applyAlignment="1">
      <alignment horizontal="right"/>
    </xf>
    <xf numFmtId="179" fontId="1" fillId="25" borderId="27" xfId="41" applyNumberFormat="1" applyFont="1" applyFill="1" applyBorder="1" applyAlignment="1">
      <alignment horizontal="right"/>
    </xf>
    <xf numFmtId="38" fontId="1" fillId="0" borderId="16" xfId="1" applyNumberFormat="1" applyFont="1" applyFill="1" applyBorder="1" applyAlignment="1">
      <alignment horizontal="right"/>
    </xf>
    <xf numFmtId="177" fontId="1" fillId="0" borderId="0" xfId="41" applyNumberFormat="1" applyFont="1" applyFill="1" applyBorder="1" applyAlignment="1">
      <alignment horizontal="right"/>
    </xf>
    <xf numFmtId="177" fontId="1" fillId="0" borderId="16" xfId="41" applyNumberFormat="1" applyFont="1" applyFill="1" applyBorder="1" applyAlignment="1"/>
    <xf numFmtId="176" fontId="1" fillId="0" borderId="0" xfId="1" applyNumberFormat="1" applyFont="1" applyFill="1" applyBorder="1" applyAlignment="1">
      <alignment horizontal="center"/>
    </xf>
    <xf numFmtId="10" fontId="1" fillId="0" borderId="0" xfId="75" applyNumberFormat="1" applyFont="1" applyFill="1" applyBorder="1" applyAlignment="1">
      <alignment horizontal="center"/>
    </xf>
    <xf numFmtId="38" fontId="1" fillId="0" borderId="0" xfId="1" applyNumberFormat="1" applyFont="1" applyFill="1" applyBorder="1" applyAlignment="1">
      <alignment horizontal="center"/>
    </xf>
    <xf numFmtId="38" fontId="1" fillId="0" borderId="27" xfId="1" applyNumberFormat="1" applyFont="1" applyFill="1" applyBorder="1" applyAlignment="1">
      <alignment horizontal="center"/>
    </xf>
    <xf numFmtId="0" fontId="1" fillId="0" borderId="0" xfId="1" applyFont="1" applyBorder="1" applyAlignment="1"/>
    <xf numFmtId="0" fontId="1" fillId="0" borderId="0" xfId="1" applyNumberFormat="1" applyFont="1" applyBorder="1" applyAlignment="1"/>
    <xf numFmtId="177" fontId="1" fillId="0" borderId="14" xfId="41" applyNumberFormat="1" applyFont="1" applyFill="1" applyBorder="1" applyAlignment="1">
      <alignment horizontal="right"/>
    </xf>
    <xf numFmtId="177" fontId="1" fillId="25" borderId="29" xfId="41" applyNumberFormat="1" applyFont="1" applyFill="1" applyBorder="1" applyAlignment="1">
      <alignment horizontal="right"/>
    </xf>
    <xf numFmtId="177" fontId="1" fillId="25" borderId="14" xfId="41" applyNumberFormat="1" applyFont="1" applyFill="1" applyBorder="1" applyAlignment="1">
      <alignment horizontal="right"/>
    </xf>
    <xf numFmtId="177" fontId="1" fillId="25" borderId="18" xfId="41" applyNumberFormat="1" applyFont="1" applyFill="1" applyBorder="1" applyAlignment="1">
      <alignment horizontal="right"/>
    </xf>
    <xf numFmtId="177" fontId="1" fillId="0" borderId="14" xfId="1" applyNumberFormat="1" applyFont="1" applyFill="1" applyBorder="1" applyAlignment="1">
      <alignment horizontal="center"/>
    </xf>
    <xf numFmtId="177" fontId="1" fillId="0" borderId="18" xfId="1" applyNumberFormat="1" applyFont="1" applyFill="1" applyBorder="1" applyAlignment="1">
      <alignment horizontal="center"/>
    </xf>
    <xf numFmtId="0" fontId="1" fillId="0" borderId="14" xfId="1" applyNumberFormat="1" applyFont="1" applyFill="1" applyBorder="1" applyAlignment="1">
      <alignment horizontal="left"/>
    </xf>
    <xf numFmtId="177" fontId="1" fillId="25" borderId="16" xfId="41" applyNumberFormat="1" applyFont="1" applyFill="1" applyBorder="1" applyAlignment="1">
      <alignment horizontal="right"/>
    </xf>
    <xf numFmtId="177" fontId="1" fillId="25" borderId="0" xfId="41" applyNumberFormat="1" applyFont="1" applyFill="1" applyBorder="1" applyAlignment="1">
      <alignment horizontal="right"/>
    </xf>
    <xf numFmtId="177" fontId="1" fillId="25" borderId="27" xfId="41" applyNumberFormat="1" applyFont="1" applyFill="1" applyBorder="1" applyAlignment="1">
      <alignment horizontal="right"/>
    </xf>
    <xf numFmtId="177" fontId="1" fillId="0" borderId="16" xfId="1" applyNumberFormat="1" applyFont="1" applyFill="1" applyBorder="1" applyAlignment="1">
      <alignment horizontal="right"/>
    </xf>
    <xf numFmtId="177" fontId="1" fillId="0" borderId="27" xfId="41" applyNumberFormat="1" applyFont="1" applyFill="1" applyBorder="1" applyAlignment="1">
      <alignment horizontal="right"/>
    </xf>
    <xf numFmtId="177" fontId="35" fillId="0" borderId="0" xfId="42" applyNumberFormat="1" applyFont="1" applyFill="1" applyBorder="1" applyAlignment="1">
      <alignment horizontal="center"/>
    </xf>
    <xf numFmtId="10" fontId="35" fillId="0" borderId="0" xfId="75" applyNumberFormat="1" applyFont="1" applyFill="1" applyBorder="1" applyAlignment="1">
      <alignment horizontal="center"/>
    </xf>
    <xf numFmtId="1" fontId="35" fillId="0" borderId="0" xfId="42" applyNumberFormat="1" applyFont="1" applyFill="1" applyBorder="1" applyAlignment="1">
      <alignment horizontal="center"/>
    </xf>
    <xf numFmtId="177" fontId="1" fillId="0" borderId="27" xfId="42" applyNumberFormat="1" applyFont="1" applyFill="1" applyBorder="1" applyAlignment="1">
      <alignment horizontal="center"/>
    </xf>
    <xf numFmtId="177" fontId="1" fillId="0" borderId="0" xfId="1" applyNumberFormat="1" applyFont="1" applyBorder="1" applyAlignment="1">
      <alignment horizontal="left"/>
    </xf>
    <xf numFmtId="177" fontId="1" fillId="0" borderId="0" xfId="1" applyNumberFormat="1" applyFont="1" applyFill="1" applyBorder="1" applyAlignment="1">
      <alignment horizontal="right"/>
    </xf>
    <xf numFmtId="177" fontId="1" fillId="0" borderId="0" xfId="1" applyNumberFormat="1" applyFont="1" applyFill="1" applyBorder="1" applyAlignment="1">
      <alignment horizontal="center"/>
    </xf>
    <xf numFmtId="177" fontId="1" fillId="0" borderId="27" xfId="1" applyNumberFormat="1" applyFont="1" applyFill="1" applyBorder="1" applyAlignment="1">
      <alignment horizontal="center"/>
    </xf>
    <xf numFmtId="177" fontId="1" fillId="0" borderId="0" xfId="1" applyNumberFormat="1" applyFont="1" applyBorder="1" applyAlignment="1">
      <alignment horizontal="right"/>
    </xf>
    <xf numFmtId="177" fontId="1" fillId="25" borderId="16" xfId="1" applyNumberFormat="1" applyFont="1" applyFill="1" applyBorder="1" applyAlignment="1">
      <alignment horizontal="right"/>
    </xf>
    <xf numFmtId="177" fontId="1" fillId="25" borderId="0" xfId="1" applyNumberFormat="1" applyFont="1" applyFill="1" applyBorder="1" applyAlignment="1">
      <alignment horizontal="right"/>
    </xf>
    <xf numFmtId="177" fontId="1" fillId="25" borderId="27" xfId="1" applyNumberFormat="1" applyFont="1" applyFill="1" applyBorder="1" applyAlignment="1">
      <alignment horizontal="right"/>
    </xf>
    <xf numFmtId="177" fontId="1" fillId="0" borderId="27" xfId="1" applyNumberFormat="1" applyFont="1" applyBorder="1" applyAlignment="1">
      <alignment horizontal="right"/>
    </xf>
    <xf numFmtId="177" fontId="1" fillId="0" borderId="0" xfId="1" applyNumberFormat="1" applyFont="1" applyBorder="1" applyAlignment="1"/>
    <xf numFmtId="177" fontId="1" fillId="0" borderId="0" xfId="1" applyNumberFormat="1" applyFont="1" applyBorder="1" applyAlignment="1">
      <alignment horizontal="center"/>
    </xf>
    <xf numFmtId="10" fontId="1" fillId="0" borderId="0" xfId="75" applyNumberFormat="1" applyFont="1" applyBorder="1" applyAlignment="1">
      <alignment horizontal="center"/>
    </xf>
    <xf numFmtId="177" fontId="1" fillId="0" borderId="16" xfId="42" applyNumberFormat="1" applyFont="1" applyFill="1" applyBorder="1" applyAlignment="1">
      <alignment horizontal="right"/>
    </xf>
    <xf numFmtId="177" fontId="33" fillId="0" borderId="0" xfId="1" applyNumberFormat="1" applyFont="1" applyFill="1" applyBorder="1" applyAlignment="1">
      <alignment horizontal="center"/>
    </xf>
    <xf numFmtId="0" fontId="1" fillId="0" borderId="0" xfId="1" applyNumberFormat="1" applyFont="1" applyFill="1" applyBorder="1" applyAlignment="1"/>
    <xf numFmtId="177" fontId="1" fillId="0" borderId="12" xfId="41" applyNumberFormat="1" applyFont="1" applyFill="1" applyBorder="1" applyAlignment="1">
      <alignment horizontal="right"/>
    </xf>
    <xf numFmtId="177" fontId="1" fillId="25" borderId="17" xfId="41" applyNumberFormat="1" applyFont="1" applyFill="1" applyBorder="1" applyAlignment="1">
      <alignment horizontal="right"/>
    </xf>
    <xf numFmtId="177" fontId="1" fillId="25" borderId="12" xfId="41" applyNumberFormat="1" applyFont="1" applyFill="1" applyBorder="1" applyAlignment="1">
      <alignment horizontal="right"/>
    </xf>
    <xf numFmtId="177" fontId="1" fillId="25" borderId="31" xfId="41" applyNumberFormat="1" applyFont="1" applyFill="1" applyBorder="1" applyAlignment="1">
      <alignment horizontal="right"/>
    </xf>
    <xf numFmtId="177" fontId="1" fillId="0" borderId="17" xfId="1" applyNumberFormat="1" applyFont="1" applyFill="1" applyBorder="1" applyAlignment="1">
      <alignment horizontal="right"/>
    </xf>
    <xf numFmtId="177" fontId="1" fillId="0" borderId="31" xfId="41" applyNumberFormat="1" applyFont="1" applyFill="1" applyBorder="1" applyAlignment="1">
      <alignment horizontal="right"/>
    </xf>
    <xf numFmtId="177" fontId="1" fillId="0" borderId="12" xfId="1" applyNumberFormat="1" applyFont="1" applyFill="1" applyBorder="1" applyAlignment="1">
      <alignment horizontal="center"/>
    </xf>
    <xf numFmtId="10" fontId="1" fillId="0" borderId="12" xfId="75" applyNumberFormat="1" applyFont="1" applyFill="1" applyBorder="1" applyAlignment="1">
      <alignment horizontal="center"/>
    </xf>
    <xf numFmtId="1" fontId="1" fillId="0" borderId="12" xfId="1" applyNumberFormat="1" applyFont="1" applyFill="1" applyBorder="1" applyAlignment="1">
      <alignment horizontal="center"/>
    </xf>
    <xf numFmtId="177" fontId="1" fillId="0" borderId="31" xfId="1" applyNumberFormat="1" applyFont="1" applyFill="1" applyBorder="1" applyAlignment="1">
      <alignment horizontal="center"/>
    </xf>
    <xf numFmtId="177" fontId="1" fillId="0" borderId="0" xfId="42" applyNumberFormat="1" applyFont="1" applyFill="1" applyBorder="1" applyAlignment="1">
      <alignment horizontal="center"/>
    </xf>
    <xf numFmtId="1" fontId="1" fillId="0" borderId="0" xfId="42" applyNumberFormat="1" applyFont="1" applyFill="1" applyBorder="1" applyAlignment="1">
      <alignment horizontal="center"/>
    </xf>
    <xf numFmtId="177" fontId="1" fillId="0" borderId="29" xfId="42" applyNumberFormat="1" applyFont="1" applyFill="1" applyBorder="1" applyAlignment="1">
      <alignment horizontal="right"/>
    </xf>
    <xf numFmtId="177" fontId="1" fillId="0" borderId="18" xfId="41" applyNumberFormat="1" applyFont="1" applyFill="1" applyBorder="1" applyAlignment="1">
      <alignment horizontal="right"/>
    </xf>
    <xf numFmtId="179" fontId="1" fillId="0" borderId="27" xfId="41" applyNumberFormat="1" applyFont="1" applyFill="1" applyBorder="1" applyAlignment="1">
      <alignment horizontal="right"/>
    </xf>
    <xf numFmtId="176" fontId="22" fillId="0" borderId="0" xfId="42" applyNumberFormat="1" applyFont="1" applyFill="1" applyBorder="1" applyAlignment="1">
      <alignment horizontal="center"/>
    </xf>
    <xf numFmtId="10" fontId="22" fillId="0" borderId="0" xfId="75" applyNumberFormat="1" applyFont="1" applyFill="1" applyBorder="1" applyAlignment="1">
      <alignment horizontal="center"/>
    </xf>
    <xf numFmtId="1" fontId="22" fillId="0" borderId="0" xfId="42" applyNumberFormat="1" applyFont="1" applyFill="1" applyBorder="1" applyAlignment="1">
      <alignment horizontal="center"/>
    </xf>
    <xf numFmtId="179" fontId="1" fillId="0" borderId="12" xfId="41" applyNumberFormat="1" applyFont="1" applyBorder="1" applyAlignment="1">
      <alignment horizontal="right"/>
    </xf>
    <xf numFmtId="179" fontId="1" fillId="25" borderId="17" xfId="41" applyNumberFormat="1" applyFont="1" applyFill="1" applyBorder="1" applyAlignment="1">
      <alignment horizontal="right"/>
    </xf>
    <xf numFmtId="179" fontId="1" fillId="25" borderId="12" xfId="41" applyNumberFormat="1" applyFont="1" applyFill="1" applyBorder="1" applyAlignment="1">
      <alignment horizontal="right"/>
    </xf>
    <xf numFmtId="179" fontId="1" fillId="25" borderId="31" xfId="41" applyNumberFormat="1" applyFont="1" applyFill="1" applyBorder="1" applyAlignment="1">
      <alignment horizontal="right"/>
    </xf>
    <xf numFmtId="179" fontId="1" fillId="0" borderId="31" xfId="41" applyNumberFormat="1" applyFont="1" applyBorder="1" applyAlignment="1">
      <alignment horizontal="right"/>
    </xf>
    <xf numFmtId="177" fontId="1" fillId="0" borderId="12" xfId="41" applyNumberFormat="1" applyFont="1" applyBorder="1" applyAlignment="1">
      <alignment horizontal="right"/>
    </xf>
    <xf numFmtId="177" fontId="1" fillId="0" borderId="31" xfId="41" applyNumberFormat="1" applyFont="1" applyBorder="1" applyAlignment="1">
      <alignment horizontal="right"/>
    </xf>
    <xf numFmtId="176" fontId="1" fillId="0" borderId="12" xfId="1" applyNumberFormat="1" applyFont="1" applyFill="1" applyBorder="1" applyAlignment="1">
      <alignment horizontal="center"/>
    </xf>
    <xf numFmtId="38" fontId="1" fillId="0" borderId="12" xfId="1" applyNumberFormat="1" applyFont="1" applyFill="1" applyBorder="1" applyAlignment="1">
      <alignment horizontal="center"/>
    </xf>
    <xf numFmtId="38" fontId="1" fillId="0" borderId="31" xfId="1" applyNumberFormat="1" applyFont="1" applyFill="1" applyBorder="1" applyAlignment="1">
      <alignment horizontal="center"/>
    </xf>
    <xf numFmtId="0" fontId="1" fillId="0" borderId="12" xfId="1" applyFont="1" applyBorder="1" applyAlignment="1"/>
    <xf numFmtId="0" fontId="1" fillId="0" borderId="12" xfId="1" applyNumberFormat="1" applyFont="1" applyBorder="1" applyAlignment="1"/>
    <xf numFmtId="177" fontId="1" fillId="0" borderId="0" xfId="1" applyNumberFormat="1" applyFont="1" applyFill="1" applyBorder="1" applyAlignment="1">
      <alignment horizontal="left"/>
    </xf>
    <xf numFmtId="177" fontId="1" fillId="0" borderId="0" xfId="41" applyNumberFormat="1" applyFont="1" applyBorder="1" applyAlignment="1">
      <alignment horizontal="right"/>
    </xf>
    <xf numFmtId="177" fontId="1" fillId="0" borderId="27" xfId="41" applyNumberFormat="1" applyFont="1" applyBorder="1" applyAlignment="1">
      <alignment horizontal="right"/>
    </xf>
    <xf numFmtId="177" fontId="1" fillId="0" borderId="0" xfId="42" applyNumberFormat="1" applyFont="1" applyBorder="1" applyAlignment="1"/>
    <xf numFmtId="0" fontId="1" fillId="0" borderId="0" xfId="42" applyNumberFormat="1" applyFont="1" applyBorder="1" applyAlignment="1"/>
    <xf numFmtId="177" fontId="1" fillId="0" borderId="14" xfId="42" applyNumberFormat="1" applyFont="1" applyFill="1" applyBorder="1" applyAlignment="1">
      <alignment horizontal="center"/>
    </xf>
    <xf numFmtId="10" fontId="1" fillId="0" borderId="14" xfId="75" applyNumberFormat="1" applyFont="1" applyFill="1" applyBorder="1" applyAlignment="1">
      <alignment horizontal="center"/>
    </xf>
    <xf numFmtId="1" fontId="1" fillId="0" borderId="14" xfId="75" applyNumberFormat="1" applyFont="1" applyFill="1" applyBorder="1" applyAlignment="1">
      <alignment horizontal="center"/>
    </xf>
    <xf numFmtId="177" fontId="1" fillId="0" borderId="18" xfId="42" applyNumberFormat="1" applyFont="1" applyFill="1" applyBorder="1" applyAlignment="1">
      <alignment horizontal="center"/>
    </xf>
    <xf numFmtId="177" fontId="1" fillId="0" borderId="14" xfId="1" applyNumberFormat="1" applyFont="1" applyBorder="1" applyAlignment="1">
      <alignment horizontal="left"/>
    </xf>
    <xf numFmtId="0" fontId="1" fillId="0" borderId="14" xfId="1" applyNumberFormat="1" applyFont="1" applyBorder="1" applyAlignment="1">
      <alignment horizontal="left"/>
    </xf>
    <xf numFmtId="177" fontId="1" fillId="0" borderId="16" xfId="1" applyNumberFormat="1" applyFont="1" applyBorder="1" applyAlignment="1">
      <alignment horizontal="right"/>
    </xf>
    <xf numFmtId="177" fontId="22" fillId="0" borderId="16" xfId="42" applyNumberFormat="1" applyFont="1" applyBorder="1" applyAlignment="1">
      <alignment horizontal="center"/>
    </xf>
    <xf numFmtId="1" fontId="1" fillId="0" borderId="0" xfId="42" applyNumberFormat="1" applyFont="1" applyBorder="1" applyAlignment="1">
      <alignment horizontal="center"/>
    </xf>
    <xf numFmtId="177" fontId="1" fillId="0" borderId="0" xfId="42" applyNumberFormat="1" applyFont="1" applyBorder="1" applyAlignment="1">
      <alignment horizontal="center"/>
    </xf>
    <xf numFmtId="177" fontId="1" fillId="0" borderId="27" xfId="42" applyNumberFormat="1" applyFont="1" applyBorder="1" applyAlignment="1">
      <alignment horizontal="center"/>
    </xf>
    <xf numFmtId="177" fontId="1" fillId="0" borderId="16" xfId="1" applyNumberFormat="1" applyFont="1" applyBorder="1" applyAlignment="1">
      <alignment horizontal="center"/>
    </xf>
    <xf numFmtId="177" fontId="22" fillId="0" borderId="0" xfId="42" applyNumberFormat="1" applyFont="1" applyBorder="1" applyAlignment="1">
      <alignment horizontal="center"/>
    </xf>
    <xf numFmtId="10" fontId="22" fillId="0" borderId="0" xfId="75" applyNumberFormat="1" applyFont="1" applyBorder="1" applyAlignment="1">
      <alignment horizontal="center"/>
    </xf>
    <xf numFmtId="177" fontId="1" fillId="0" borderId="27" xfId="1" applyNumberFormat="1" applyFont="1" applyBorder="1" applyAlignment="1">
      <alignment horizontal="center"/>
    </xf>
    <xf numFmtId="177" fontId="1" fillId="0" borderId="16" xfId="1" applyNumberFormat="1" applyFont="1" applyFill="1" applyBorder="1" applyAlignment="1">
      <alignment horizontal="center"/>
    </xf>
    <xf numFmtId="177" fontId="22" fillId="0" borderId="0" xfId="42" applyNumberFormat="1" applyFont="1" applyFill="1" applyBorder="1" applyAlignment="1">
      <alignment horizontal="center"/>
    </xf>
    <xf numFmtId="177" fontId="1" fillId="0" borderId="17" xfId="1" applyNumberFormat="1" applyFont="1" applyBorder="1" applyAlignment="1">
      <alignment horizontal="right"/>
    </xf>
    <xf numFmtId="194" fontId="1" fillId="0" borderId="12" xfId="1" applyNumberFormat="1" applyFont="1" applyFill="1" applyBorder="1" applyAlignment="1">
      <alignment horizontal="center"/>
    </xf>
    <xf numFmtId="177" fontId="1" fillId="0" borderId="12" xfId="1" applyNumberFormat="1" applyFont="1" applyBorder="1" applyAlignment="1"/>
    <xf numFmtId="177" fontId="1" fillId="0" borderId="29" xfId="41" applyNumberFormat="1" applyFont="1" applyFill="1" applyBorder="1" applyAlignment="1">
      <alignment horizontal="right"/>
    </xf>
    <xf numFmtId="177" fontId="1" fillId="0" borderId="29" xfId="41" applyNumberFormat="1" applyFont="1" applyFill="1" applyBorder="1" applyAlignment="1"/>
    <xf numFmtId="1" fontId="1" fillId="0" borderId="14" xfId="1" applyNumberFormat="1" applyFont="1" applyFill="1" applyBorder="1" applyAlignment="1">
      <alignment horizontal="center"/>
    </xf>
    <xf numFmtId="177" fontId="1" fillId="0" borderId="14" xfId="1" applyNumberFormat="1" applyFont="1" applyFill="1" applyBorder="1" applyAlignment="1"/>
    <xf numFmtId="0" fontId="1" fillId="0" borderId="14" xfId="1" applyNumberFormat="1" applyFont="1" applyFill="1" applyBorder="1" applyAlignment="1"/>
    <xf numFmtId="177" fontId="1" fillId="0" borderId="16" xfId="41" applyNumberFormat="1" applyFont="1" applyFill="1" applyBorder="1" applyAlignment="1">
      <alignment horizontal="right"/>
    </xf>
    <xf numFmtId="177" fontId="1" fillId="0" borderId="0" xfId="1" applyNumberFormat="1" applyFont="1" applyFill="1" applyBorder="1" applyAlignment="1"/>
    <xf numFmtId="182" fontId="1" fillId="0" borderId="16" xfId="1" applyNumberFormat="1" applyFont="1" applyFill="1" applyBorder="1" applyAlignment="1">
      <alignment horizontal="right"/>
    </xf>
    <xf numFmtId="0" fontId="1" fillId="0" borderId="0" xfId="1" applyFont="1" applyFill="1" applyBorder="1" applyAlignment="1"/>
    <xf numFmtId="182" fontId="1" fillId="0" borderId="28" xfId="1" applyNumberFormat="1" applyFont="1" applyFill="1" applyBorder="1" applyAlignment="1">
      <alignment horizontal="right"/>
    </xf>
    <xf numFmtId="168" fontId="8" fillId="27" borderId="0" xfId="1" applyNumberFormat="1" applyFont="1" applyFill="1"/>
    <xf numFmtId="0" fontId="8" fillId="27" borderId="0" xfId="1" applyNumberFormat="1" applyFont="1" applyFill="1"/>
    <xf numFmtId="168" fontId="7" fillId="27" borderId="0" xfId="59" applyNumberFormat="1" applyFont="1" applyFill="1"/>
    <xf numFmtId="165" fontId="1" fillId="0" borderId="0" xfId="1" applyNumberFormat="1" applyFont="1" applyFill="1" applyBorder="1" applyAlignment="1">
      <alignment horizontal="center"/>
    </xf>
    <xf numFmtId="1" fontId="0" fillId="0" borderId="14" xfId="1" applyNumberFormat="1" applyFont="1" applyFill="1" applyBorder="1" applyAlignment="1">
      <alignment horizontal="center"/>
    </xf>
    <xf numFmtId="10" fontId="0" fillId="0" borderId="14" xfId="75" applyNumberFormat="1" applyFont="1" applyFill="1" applyBorder="1" applyAlignment="1">
      <alignment horizontal="center"/>
    </xf>
    <xf numFmtId="177" fontId="0" fillId="0" borderId="14" xfId="1" applyNumberFormat="1" applyFont="1" applyFill="1" applyBorder="1" applyAlignment="1">
      <alignment horizontal="center"/>
    </xf>
    <xf numFmtId="0" fontId="0" fillId="0" borderId="0" xfId="1" applyFont="1" applyFill="1" applyAlignment="1">
      <alignment horizontal="center"/>
    </xf>
    <xf numFmtId="8" fontId="35" fillId="0" borderId="0" xfId="1" applyNumberFormat="1" applyFont="1" applyBorder="1"/>
    <xf numFmtId="8" fontId="107" fillId="0" borderId="0" xfId="1" applyNumberFormat="1" applyFont="1" applyBorder="1"/>
    <xf numFmtId="197" fontId="52" fillId="0" borderId="0" xfId="75" applyNumberFormat="1" applyFont="1" applyFill="1" applyBorder="1"/>
    <xf numFmtId="43" fontId="1" fillId="25" borderId="27" xfId="41" applyNumberFormat="1" applyFont="1" applyFill="1" applyBorder="1"/>
    <xf numFmtId="43" fontId="1" fillId="25" borderId="0" xfId="41" applyNumberFormat="1" applyFont="1" applyFill="1" applyBorder="1"/>
    <xf numFmtId="43" fontId="1" fillId="0" borderId="0" xfId="41" applyFont="1" applyFill="1" applyBorder="1"/>
    <xf numFmtId="177" fontId="122" fillId="25" borderId="16" xfId="41" applyNumberFormat="1" applyFont="1" applyFill="1" applyBorder="1"/>
    <xf numFmtId="43" fontId="0" fillId="0" borderId="0" xfId="0" applyNumberFormat="1"/>
    <xf numFmtId="169" fontId="122" fillId="25" borderId="27" xfId="75" applyNumberFormat="1" applyFont="1" applyFill="1" applyBorder="1"/>
    <xf numFmtId="43" fontId="0" fillId="0" borderId="0" xfId="1" applyNumberFormat="1" applyFont="1" applyFill="1" applyBorder="1" applyAlignment="1">
      <alignment horizontal="center"/>
    </xf>
    <xf numFmtId="3" fontId="122" fillId="25" borderId="16" xfId="1" applyNumberFormat="1" applyFont="1" applyFill="1" applyBorder="1"/>
    <xf numFmtId="9" fontId="122" fillId="25" borderId="27" xfId="1" applyNumberFormat="1" applyFont="1" applyFill="1" applyBorder="1"/>
    <xf numFmtId="37" fontId="122" fillId="25" borderId="27" xfId="41" applyNumberFormat="1" applyFont="1" applyFill="1" applyBorder="1"/>
    <xf numFmtId="37" fontId="122" fillId="25" borderId="0" xfId="41" applyNumberFormat="1" applyFont="1" applyFill="1" applyBorder="1"/>
    <xf numFmtId="37" fontId="122" fillId="25" borderId="16" xfId="41" applyNumberFormat="1" applyFont="1" applyFill="1" applyBorder="1"/>
    <xf numFmtId="43" fontId="37" fillId="0" borderId="0" xfId="41" applyNumberFormat="1" applyFont="1" applyFill="1" applyBorder="1" applyAlignment="1">
      <alignment horizontal="center"/>
    </xf>
    <xf numFmtId="0" fontId="1" fillId="0" borderId="0" xfId="42" applyNumberFormat="1" applyFont="1" applyBorder="1" applyAlignment="1">
      <alignment horizontal="left"/>
    </xf>
    <xf numFmtId="37" fontId="122" fillId="25" borderId="27" xfId="1" applyNumberFormat="1" applyFont="1" applyFill="1" applyBorder="1"/>
    <xf numFmtId="37" fontId="122" fillId="25" borderId="0" xfId="1" applyNumberFormat="1" applyFont="1" applyFill="1" applyBorder="1"/>
    <xf numFmtId="37" fontId="122" fillId="25" borderId="16" xfId="1" applyNumberFormat="1" applyFont="1" applyFill="1" applyBorder="1"/>
    <xf numFmtId="8" fontId="1" fillId="0" borderId="0" xfId="59" applyNumberFormat="1" applyAlignment="1">
      <alignment horizontal="right"/>
    </xf>
    <xf numFmtId="0" fontId="1" fillId="0" borderId="0" xfId="59" applyAlignment="1">
      <alignment horizontal="right"/>
    </xf>
    <xf numFmtId="177" fontId="122" fillId="0" borderId="0" xfId="0" applyNumberFormat="1" applyFont="1"/>
    <xf numFmtId="169" fontId="122" fillId="25" borderId="0" xfId="1" applyNumberFormat="1" applyFont="1" applyFill="1" applyBorder="1"/>
    <xf numFmtId="6" fontId="122" fillId="25" borderId="0" xfId="43" applyNumberFormat="1" applyFont="1" applyFill="1" applyBorder="1"/>
    <xf numFmtId="6" fontId="122" fillId="25" borderId="16" xfId="43" applyNumberFormat="1" applyFont="1" applyFill="1" applyBorder="1"/>
    <xf numFmtId="0" fontId="1" fillId="0" borderId="0" xfId="1" applyNumberFormat="1" applyFont="1" applyFill="1" applyAlignment="1">
      <alignment horizontal="left"/>
    </xf>
    <xf numFmtId="9" fontId="20" fillId="0" borderId="0" xfId="75" applyFont="1"/>
    <xf numFmtId="10" fontId="1" fillId="0" borderId="0" xfId="75" applyNumberFormat="1"/>
    <xf numFmtId="171" fontId="122" fillId="0" borderId="0" xfId="59" applyNumberFormat="1" applyFont="1" applyAlignment="1">
      <alignment horizontal="right"/>
    </xf>
    <xf numFmtId="9" fontId="122" fillId="0" borderId="0" xfId="41" applyNumberFormat="1" applyFont="1" applyFill="1" applyBorder="1"/>
    <xf numFmtId="169" fontId="122" fillId="25" borderId="27" xfId="1" applyNumberFormat="1" applyFont="1" applyFill="1" applyBorder="1"/>
    <xf numFmtId="9" fontId="122" fillId="25" borderId="16" xfId="41" applyNumberFormat="1" applyFont="1" applyFill="1" applyBorder="1"/>
    <xf numFmtId="43" fontId="4" fillId="0" borderId="0" xfId="1" applyNumberFormat="1" applyFont="1"/>
    <xf numFmtId="8" fontId="5" fillId="0" borderId="0" xfId="1" applyNumberFormat="1" applyFont="1" applyFill="1" applyAlignment="1">
      <alignment horizontal="center"/>
    </xf>
    <xf numFmtId="0" fontId="125" fillId="0" borderId="0" xfId="58" applyFont="1" applyFill="1" applyBorder="1"/>
    <xf numFmtId="177" fontId="125" fillId="0" borderId="0" xfId="41" applyNumberFormat="1" applyFont="1" applyFill="1" applyBorder="1"/>
    <xf numFmtId="177" fontId="125" fillId="25" borderId="27" xfId="41" applyNumberFormat="1" applyFont="1" applyFill="1" applyBorder="1"/>
    <xf numFmtId="177" fontId="125" fillId="25" borderId="0" xfId="41" applyNumberFormat="1" applyFont="1" applyFill="1" applyBorder="1"/>
    <xf numFmtId="177" fontId="125" fillId="25" borderId="16" xfId="41" applyNumberFormat="1" applyFont="1" applyFill="1" applyBorder="1"/>
    <xf numFmtId="8" fontId="125" fillId="0" borderId="0" xfId="41" applyNumberFormat="1" applyFont="1" applyFill="1" applyBorder="1"/>
    <xf numFmtId="3" fontId="125" fillId="25" borderId="27" xfId="1" applyNumberFormat="1" applyFont="1" applyFill="1" applyBorder="1"/>
    <xf numFmtId="3" fontId="125" fillId="25" borderId="0" xfId="1" applyNumberFormat="1" applyFont="1" applyFill="1" applyBorder="1"/>
    <xf numFmtId="3" fontId="125" fillId="25" borderId="16" xfId="1" applyNumberFormat="1" applyFont="1" applyFill="1" applyBorder="1"/>
    <xf numFmtId="4" fontId="125" fillId="0" borderId="0" xfId="1" applyNumberFormat="1" applyFont="1" applyFill="1" applyBorder="1"/>
    <xf numFmtId="3" fontId="125" fillId="0" borderId="0" xfId="1" applyNumberFormat="1" applyFont="1" applyFill="1" applyBorder="1"/>
    <xf numFmtId="177" fontId="122" fillId="0" borderId="0" xfId="41" applyNumberFormat="1" applyFont="1" applyFill="1" applyBorder="1"/>
    <xf numFmtId="195" fontId="0" fillId="0" borderId="0" xfId="1" applyNumberFormat="1" applyFont="1" applyFill="1" applyBorder="1"/>
    <xf numFmtId="195" fontId="0" fillId="25" borderId="27" xfId="1" applyNumberFormat="1" applyFont="1" applyFill="1" applyBorder="1"/>
    <xf numFmtId="195" fontId="0" fillId="25" borderId="0" xfId="1" applyNumberFormat="1" applyFont="1" applyFill="1" applyBorder="1"/>
    <xf numFmtId="195" fontId="0" fillId="25" borderId="16" xfId="1" applyNumberFormat="1" applyFont="1" applyFill="1" applyBorder="1"/>
    <xf numFmtId="10" fontId="52" fillId="0" borderId="0" xfId="75" applyNumberFormat="1" applyFont="1" applyFill="1" applyBorder="1"/>
    <xf numFmtId="177" fontId="0" fillId="0" borderId="0" xfId="41" applyNumberFormat="1" applyFont="1"/>
    <xf numFmtId="0" fontId="126" fillId="30" borderId="30" xfId="0" applyFont="1" applyFill="1" applyBorder="1"/>
    <xf numFmtId="0" fontId="126" fillId="30" borderId="13" xfId="0" applyFont="1" applyFill="1" applyBorder="1"/>
    <xf numFmtId="8" fontId="126" fillId="30" borderId="13" xfId="89" applyNumberFormat="1" applyFont="1" applyFill="1" applyBorder="1"/>
    <xf numFmtId="0" fontId="0" fillId="0" borderId="0" xfId="0" applyBorder="1"/>
    <xf numFmtId="8" fontId="1" fillId="0" borderId="0" xfId="89" applyNumberFormat="1" applyFont="1" applyBorder="1" applyAlignment="1">
      <alignment horizontal="right"/>
    </xf>
    <xf numFmtId="43" fontId="0" fillId="0" borderId="27" xfId="0" applyNumberFormat="1" applyBorder="1"/>
    <xf numFmtId="0" fontId="0" fillId="31" borderId="27" xfId="0" applyFill="1" applyBorder="1"/>
    <xf numFmtId="0" fontId="0" fillId="31" borderId="0" xfId="0" applyFill="1" applyBorder="1"/>
    <xf numFmtId="0" fontId="1" fillId="31" borderId="0" xfId="89" applyFont="1" applyFill="1" applyBorder="1" applyAlignment="1">
      <alignment horizontal="right"/>
    </xf>
    <xf numFmtId="0" fontId="1" fillId="0" borderId="0" xfId="89" applyFont="1" applyBorder="1" applyAlignment="1">
      <alignment horizontal="right"/>
    </xf>
    <xf numFmtId="0" fontId="0" fillId="0" borderId="18" xfId="0" applyBorder="1"/>
    <xf numFmtId="0" fontId="0" fillId="0" borderId="14" xfId="0" applyBorder="1"/>
    <xf numFmtId="8" fontId="1" fillId="0" borderId="14" xfId="89" applyNumberFormat="1" applyFont="1" applyBorder="1" applyAlignment="1">
      <alignment horizontal="right"/>
    </xf>
    <xf numFmtId="10" fontId="122" fillId="0" borderId="16" xfId="75" applyNumberFormat="1" applyFont="1" applyBorder="1" applyAlignment="1">
      <alignment horizontal="center"/>
    </xf>
    <xf numFmtId="10" fontId="1" fillId="31" borderId="16" xfId="89" applyNumberFormat="1" applyFont="1" applyFill="1" applyBorder="1" applyAlignment="1">
      <alignment horizontal="center"/>
    </xf>
    <xf numFmtId="10" fontId="1" fillId="0" borderId="16" xfId="75" applyNumberFormat="1" applyFont="1" applyBorder="1" applyAlignment="1">
      <alignment horizontal="center"/>
    </xf>
    <xf numFmtId="10" fontId="122" fillId="0" borderId="29" xfId="75" applyNumberFormat="1" applyFont="1" applyBorder="1" applyAlignment="1">
      <alignment horizontal="center"/>
    </xf>
    <xf numFmtId="8" fontId="127" fillId="30" borderId="33" xfId="89" applyNumberFormat="1" applyFont="1" applyFill="1" applyBorder="1" applyAlignment="1">
      <alignment horizontal="right"/>
    </xf>
    <xf numFmtId="177" fontId="1" fillId="32" borderId="0" xfId="41" applyNumberFormat="1" applyFont="1" applyFill="1" applyBorder="1"/>
    <xf numFmtId="171" fontId="107" fillId="32" borderId="0" xfId="59" applyNumberFormat="1" applyFont="1" applyFill="1" applyBorder="1" applyAlignment="1">
      <alignment horizontal="right"/>
    </xf>
    <xf numFmtId="3" fontId="1" fillId="25" borderId="27" xfId="1" applyNumberFormat="1" applyFont="1" applyFill="1" applyBorder="1"/>
    <xf numFmtId="177" fontId="122" fillId="0" borderId="0" xfId="41" applyNumberFormat="1" applyFont="1"/>
    <xf numFmtId="8" fontId="35" fillId="0" borderId="0" xfId="59" applyNumberFormat="1" applyFont="1" applyFill="1" applyBorder="1" applyAlignment="1">
      <alignment horizontal="center"/>
    </xf>
    <xf numFmtId="43" fontId="0" fillId="0" borderId="0" xfId="1" applyNumberFormat="1" applyFont="1" applyFill="1" applyBorder="1"/>
    <xf numFmtId="0" fontId="1" fillId="0" borderId="0" xfId="75" applyNumberFormat="1" applyFont="1" applyFill="1" applyBorder="1" applyAlignment="1">
      <alignment horizontal="left"/>
    </xf>
    <xf numFmtId="0" fontId="122" fillId="0" borderId="0" xfId="59" applyFont="1"/>
    <xf numFmtId="188" fontId="15" fillId="27" borderId="0" xfId="90" applyNumberFormat="1" applyFont="1" applyFill="1" applyAlignment="1">
      <alignment horizontal="left"/>
    </xf>
    <xf numFmtId="4" fontId="35" fillId="25" borderId="27" xfId="61" applyNumberFormat="1" applyFont="1" applyFill="1" applyBorder="1" applyAlignment="1">
      <alignment horizontal="right"/>
    </xf>
    <xf numFmtId="0" fontId="35" fillId="25" borderId="27" xfId="61" applyFont="1" applyFill="1" applyBorder="1" applyAlignment="1">
      <alignment horizontal="centerContinuous"/>
    </xf>
    <xf numFmtId="0" fontId="1" fillId="25" borderId="27" xfId="61" applyFont="1" applyFill="1" applyBorder="1" applyAlignment="1">
      <alignment horizontal="centerContinuous"/>
    </xf>
    <xf numFmtId="2" fontId="1" fillId="25" borderId="27" xfId="61" applyNumberFormat="1" applyFont="1" applyFill="1" applyBorder="1" applyAlignment="1">
      <alignment horizontal="right"/>
    </xf>
    <xf numFmtId="43" fontId="5" fillId="0" borderId="0" xfId="41" applyFont="1" applyFill="1" applyBorder="1" applyAlignment="1">
      <alignment horizontal="center"/>
    </xf>
    <xf numFmtId="6" fontId="35" fillId="0" borderId="0" xfId="59" applyNumberFormat="1" applyFont="1" applyFill="1" applyBorder="1" applyAlignment="1">
      <alignment horizontal="center"/>
    </xf>
    <xf numFmtId="177" fontId="1" fillId="0" borderId="15" xfId="1" applyNumberFormat="1" applyFont="1" applyBorder="1" applyAlignment="1">
      <alignment horizontal="right"/>
    </xf>
    <xf numFmtId="177" fontId="1" fillId="25" borderId="15" xfId="1" applyNumberFormat="1" applyFont="1" applyFill="1" applyBorder="1" applyAlignment="1">
      <alignment horizontal="right"/>
    </xf>
    <xf numFmtId="177" fontId="1" fillId="0" borderId="15" xfId="41" applyNumberFormat="1" applyFont="1" applyFill="1" applyBorder="1" applyAlignment="1">
      <alignment horizontal="right"/>
    </xf>
    <xf numFmtId="177" fontId="1" fillId="25" borderId="15" xfId="41" applyNumberFormat="1" applyFont="1" applyFill="1" applyBorder="1" applyAlignment="1">
      <alignment horizontal="right"/>
    </xf>
    <xf numFmtId="177" fontId="1" fillId="0" borderId="49" xfId="41" applyNumberFormat="1" applyFont="1" applyFill="1" applyBorder="1" applyAlignment="1">
      <alignment horizontal="right"/>
    </xf>
    <xf numFmtId="177" fontId="1" fillId="25" borderId="49" xfId="41" applyNumberFormat="1" applyFont="1" applyFill="1" applyBorder="1" applyAlignment="1">
      <alignment horizontal="right"/>
    </xf>
    <xf numFmtId="177" fontId="4" fillId="0" borderId="33" xfId="42" applyNumberFormat="1" applyFont="1" applyFill="1" applyBorder="1" applyAlignment="1">
      <alignment horizontal="right"/>
    </xf>
    <xf numFmtId="177" fontId="4" fillId="0" borderId="15" xfId="41" applyNumberFormat="1" applyFont="1" applyBorder="1" applyAlignment="1">
      <alignment horizontal="right"/>
    </xf>
    <xf numFmtId="177" fontId="4" fillId="25" borderId="15" xfId="41" applyNumberFormat="1" applyFont="1" applyFill="1" applyBorder="1" applyAlignment="1">
      <alignment horizontal="right"/>
    </xf>
    <xf numFmtId="177" fontId="1" fillId="0" borderId="15" xfId="41" applyNumberFormat="1" applyFont="1" applyBorder="1" applyAlignment="1">
      <alignment horizontal="right"/>
    </xf>
    <xf numFmtId="177" fontId="4" fillId="0" borderId="15" xfId="41" applyNumberFormat="1" applyFont="1" applyFill="1" applyBorder="1" applyAlignment="1">
      <alignment horizontal="right"/>
    </xf>
    <xf numFmtId="38" fontId="1" fillId="0" borderId="17" xfId="1" applyNumberFormat="1" applyFont="1" applyBorder="1" applyAlignment="1">
      <alignment horizontal="right"/>
    </xf>
    <xf numFmtId="179" fontId="1" fillId="0" borderId="63" xfId="41" applyNumberFormat="1" applyFont="1" applyBorder="1" applyAlignment="1">
      <alignment horizontal="right"/>
    </xf>
    <xf numFmtId="179" fontId="1" fillId="25" borderId="63" xfId="41" applyNumberFormat="1" applyFont="1" applyFill="1" applyBorder="1" applyAlignment="1">
      <alignment horizontal="right"/>
    </xf>
    <xf numFmtId="179" fontId="1" fillId="0" borderId="15" xfId="41" applyNumberFormat="1" applyFont="1" applyFill="1" applyBorder="1" applyAlignment="1">
      <alignment horizontal="right"/>
    </xf>
    <xf numFmtId="179" fontId="1" fillId="25" borderId="15" xfId="41" applyNumberFormat="1" applyFont="1" applyFill="1" applyBorder="1" applyAlignment="1">
      <alignment horizontal="right"/>
    </xf>
    <xf numFmtId="177" fontId="4" fillId="0" borderId="33" xfId="41" applyNumberFormat="1" applyFont="1" applyBorder="1" applyAlignment="1"/>
    <xf numFmtId="177" fontId="1" fillId="0" borderId="17" xfId="41" applyNumberFormat="1" applyFont="1" applyBorder="1" applyAlignment="1"/>
    <xf numFmtId="177" fontId="22" fillId="0" borderId="16" xfId="41" applyNumberFormat="1" applyFont="1" applyFill="1" applyBorder="1" applyAlignment="1">
      <alignment horizontal="center"/>
    </xf>
    <xf numFmtId="177" fontId="1" fillId="0" borderId="17" xfId="41" applyNumberFormat="1" applyFont="1" applyFill="1" applyBorder="1" applyAlignment="1"/>
    <xf numFmtId="177" fontId="1" fillId="0" borderId="16" xfId="1" applyNumberFormat="1" applyFont="1" applyBorder="1" applyAlignment="1"/>
    <xf numFmtId="177" fontId="4" fillId="0" borderId="33" xfId="41" applyNumberFormat="1" applyFont="1" applyFill="1" applyBorder="1" applyAlignment="1"/>
    <xf numFmtId="177" fontId="1" fillId="0" borderId="33" xfId="42" applyNumberFormat="1" applyFont="1" applyFill="1" applyBorder="1" applyAlignment="1">
      <alignment horizontal="right"/>
    </xf>
    <xf numFmtId="177" fontId="4" fillId="0" borderId="16" xfId="42" applyNumberFormat="1" applyFont="1" applyFill="1" applyBorder="1" applyAlignment="1">
      <alignment horizontal="right"/>
    </xf>
    <xf numFmtId="9" fontId="20" fillId="25" borderId="0" xfId="75" applyNumberFormat="1" applyFont="1" applyFill="1" applyBorder="1"/>
    <xf numFmtId="177" fontId="1" fillId="25" borderId="0" xfId="90" applyNumberFormat="1" applyFont="1" applyFill="1" applyBorder="1"/>
    <xf numFmtId="43" fontId="1" fillId="25" borderId="0" xfId="41" applyNumberFormat="1" applyFill="1" applyBorder="1"/>
    <xf numFmtId="43" fontId="1" fillId="25" borderId="27" xfId="41" applyNumberFormat="1" applyFill="1" applyBorder="1"/>
    <xf numFmtId="0" fontId="20" fillId="0" borderId="0" xfId="1" applyFont="1" applyBorder="1" applyAlignment="1">
      <alignment horizontal="right"/>
    </xf>
    <xf numFmtId="0" fontId="20" fillId="0" borderId="0" xfId="0" applyFont="1" applyAlignment="1">
      <alignment horizontal="right"/>
    </xf>
    <xf numFmtId="0" fontId="101" fillId="0" borderId="0" xfId="1" applyFont="1" applyAlignment="1">
      <alignment horizontal="right"/>
    </xf>
    <xf numFmtId="8" fontId="124" fillId="0" borderId="0" xfId="59" applyNumberFormat="1" applyFont="1"/>
    <xf numFmtId="0" fontId="1" fillId="0" borderId="0" xfId="90" applyNumberFormat="1" applyFont="1" applyFill="1" applyBorder="1"/>
    <xf numFmtId="177" fontId="1" fillId="0" borderId="0" xfId="90" applyNumberFormat="1" applyFont="1" applyFill="1" applyBorder="1"/>
    <xf numFmtId="0" fontId="1" fillId="0" borderId="0" xfId="90" applyFont="1" applyFill="1" applyBorder="1"/>
    <xf numFmtId="0" fontId="1" fillId="25" borderId="27" xfId="90" applyFont="1" applyFill="1" applyBorder="1"/>
    <xf numFmtId="0" fontId="1" fillId="25" borderId="0" xfId="90" applyFont="1" applyFill="1" applyBorder="1"/>
    <xf numFmtId="0" fontId="1" fillId="25" borderId="16" xfId="90" applyFont="1" applyFill="1" applyBorder="1"/>
    <xf numFmtId="0" fontId="20" fillId="0" borderId="0" xfId="90" applyNumberFormat="1" applyFont="1" applyFill="1" applyBorder="1"/>
    <xf numFmtId="0" fontId="20" fillId="0" borderId="0" xfId="90" applyFont="1" applyFill="1" applyBorder="1"/>
    <xf numFmtId="9" fontId="20" fillId="25" borderId="27" xfId="90" applyNumberFormat="1" applyFont="1" applyFill="1" applyBorder="1"/>
    <xf numFmtId="9" fontId="20" fillId="25" borderId="0" xfId="90" applyNumberFormat="1" applyFont="1" applyFill="1" applyBorder="1"/>
    <xf numFmtId="9" fontId="20" fillId="25" borderId="16" xfId="90" applyNumberFormat="1" applyFont="1" applyFill="1" applyBorder="1"/>
    <xf numFmtId="169" fontId="19" fillId="25" borderId="27" xfId="75" applyNumberFormat="1" applyFont="1" applyFill="1" applyBorder="1"/>
    <xf numFmtId="169" fontId="19" fillId="25" borderId="0" xfId="75" applyNumberFormat="1" applyFont="1" applyFill="1" applyBorder="1"/>
    <xf numFmtId="43" fontId="4" fillId="25" borderId="0" xfId="41" applyNumberFormat="1" applyFont="1" applyFill="1" applyBorder="1"/>
    <xf numFmtId="9" fontId="101" fillId="0" borderId="0" xfId="1" applyNumberFormat="1" applyFont="1" applyFill="1" applyBorder="1"/>
    <xf numFmtId="9" fontId="101" fillId="25" borderId="27" xfId="1" applyNumberFormat="1" applyFont="1" applyFill="1" applyBorder="1"/>
    <xf numFmtId="9" fontId="101" fillId="25" borderId="0" xfId="1" applyNumberFormat="1" applyFont="1" applyFill="1" applyBorder="1"/>
    <xf numFmtId="9" fontId="101" fillId="25" borderId="16" xfId="1" applyNumberFormat="1" applyFont="1" applyFill="1" applyBorder="1"/>
    <xf numFmtId="9" fontId="20" fillId="0" borderId="0" xfId="1" applyNumberFormat="1" applyFont="1" applyFill="1" applyBorder="1"/>
    <xf numFmtId="9" fontId="101" fillId="0" borderId="0" xfId="90" applyNumberFormat="1" applyFont="1" applyFill="1" applyBorder="1"/>
    <xf numFmtId="9" fontId="101" fillId="25" borderId="27" xfId="90" applyNumberFormat="1" applyFont="1" applyFill="1" applyBorder="1"/>
    <xf numFmtId="9" fontId="101" fillId="25" borderId="0" xfId="90" applyNumberFormat="1" applyFont="1" applyFill="1" applyBorder="1"/>
    <xf numFmtId="9" fontId="101" fillId="25" borderId="16" xfId="90" applyNumberFormat="1" applyFont="1" applyFill="1" applyBorder="1"/>
    <xf numFmtId="9" fontId="20" fillId="0" borderId="0" xfId="90" applyNumberFormat="1" applyFont="1" applyFill="1" applyBorder="1"/>
    <xf numFmtId="171" fontId="20" fillId="0" borderId="0" xfId="1" applyNumberFormat="1" applyFont="1" applyFill="1" applyBorder="1"/>
    <xf numFmtId="171" fontId="101" fillId="25" borderId="27" xfId="1" applyNumberFormat="1" applyFont="1" applyFill="1" applyBorder="1"/>
    <xf numFmtId="171" fontId="101" fillId="25" borderId="0" xfId="1" applyNumberFormat="1" applyFont="1" applyFill="1" applyBorder="1"/>
    <xf numFmtId="171" fontId="101" fillId="25" borderId="16" xfId="1" applyNumberFormat="1" applyFont="1" applyFill="1" applyBorder="1"/>
    <xf numFmtId="171" fontId="20" fillId="25" borderId="27" xfId="1" applyNumberFormat="1" applyFont="1" applyFill="1" applyBorder="1"/>
    <xf numFmtId="171" fontId="20" fillId="25" borderId="0" xfId="1" applyNumberFormat="1" applyFont="1" applyFill="1" applyBorder="1"/>
    <xf numFmtId="171" fontId="20" fillId="25" borderId="16" xfId="1" applyNumberFormat="1" applyFont="1" applyFill="1" applyBorder="1"/>
    <xf numFmtId="0" fontId="1" fillId="0" borderId="0" xfId="55"/>
    <xf numFmtId="0" fontId="1" fillId="33" borderId="0" xfId="91" applyFont="1" applyFill="1" applyAlignment="1">
      <alignment vertical="top"/>
    </xf>
    <xf numFmtId="0" fontId="1" fillId="33" borderId="0" xfId="55" applyFill="1" applyAlignment="1">
      <alignment vertical="top"/>
    </xf>
    <xf numFmtId="0" fontId="1" fillId="33" borderId="0" xfId="55" applyFill="1"/>
    <xf numFmtId="0" fontId="40" fillId="33" borderId="0" xfId="91" applyFont="1" applyFill="1" applyAlignment="1">
      <alignment horizontal="left" vertical="top"/>
    </xf>
    <xf numFmtId="0" fontId="1" fillId="33" borderId="0" xfId="55" applyFont="1" applyFill="1" applyAlignment="1">
      <alignment vertical="top"/>
    </xf>
    <xf numFmtId="0" fontId="20" fillId="33" borderId="0" xfId="91" applyFont="1" applyFill="1" applyAlignment="1">
      <alignment vertical="top"/>
    </xf>
    <xf numFmtId="0" fontId="0" fillId="33" borderId="0" xfId="0" applyFill="1" applyAlignment="1">
      <alignment vertical="top"/>
    </xf>
    <xf numFmtId="0" fontId="129" fillId="33" borderId="0" xfId="0" applyFont="1" applyFill="1" applyAlignment="1">
      <alignment vertical="top"/>
    </xf>
    <xf numFmtId="0" fontId="130" fillId="33" borderId="0" xfId="0" applyFont="1" applyFill="1" applyAlignment="1">
      <alignment vertical="top"/>
    </xf>
    <xf numFmtId="0" fontId="130" fillId="33" borderId="0" xfId="0" applyFont="1" applyFill="1" applyAlignment="1">
      <alignment vertical="top"/>
    </xf>
    <xf numFmtId="0" fontId="129" fillId="33" borderId="0" xfId="0" applyFont="1" applyFill="1" applyAlignment="1">
      <alignment vertical="top"/>
    </xf>
    <xf numFmtId="0" fontId="0" fillId="33" borderId="0" xfId="0" applyFill="1" applyAlignment="1">
      <alignment vertical="top"/>
    </xf>
    <xf numFmtId="0" fontId="0" fillId="33" borderId="68" xfId="0" applyFill="1" applyBorder="1" applyAlignment="1">
      <alignment vertical="top"/>
    </xf>
    <xf numFmtId="0" fontId="129" fillId="33" borderId="64" xfId="0" applyFont="1" applyFill="1" applyBorder="1" applyAlignment="1">
      <alignment vertical="top"/>
    </xf>
    <xf numFmtId="0" fontId="129" fillId="33" borderId="65" xfId="0" applyFont="1" applyFill="1" applyBorder="1" applyAlignment="1">
      <alignment vertical="top"/>
    </xf>
    <xf numFmtId="0" fontId="129" fillId="33" borderId="66" xfId="0" applyFont="1" applyFill="1" applyBorder="1" applyAlignment="1">
      <alignment vertical="top"/>
    </xf>
    <xf numFmtId="0" fontId="129" fillId="33" borderId="67" xfId="0" applyFont="1" applyFill="1" applyBorder="1" applyAlignment="1">
      <alignment vertical="top"/>
    </xf>
    <xf numFmtId="9" fontId="129" fillId="33" borderId="64" xfId="0" applyNumberFormat="1" applyFont="1" applyFill="1" applyBorder="1" applyAlignment="1">
      <alignment vertical="top"/>
    </xf>
    <xf numFmtId="3" fontId="129" fillId="33" borderId="64" xfId="0" applyNumberFormat="1" applyFont="1" applyFill="1" applyBorder="1" applyAlignment="1">
      <alignment vertical="top"/>
    </xf>
    <xf numFmtId="0" fontId="0" fillId="33" borderId="69" xfId="0" applyFill="1" applyBorder="1" applyAlignment="1">
      <alignment vertical="top"/>
    </xf>
    <xf numFmtId="2" fontId="1" fillId="0" borderId="0" xfId="55" applyNumberFormat="1" applyAlignment="1">
      <alignment horizontal="left"/>
    </xf>
    <xf numFmtId="0" fontId="1" fillId="0" borderId="0" xfId="55" applyNumberFormat="1" applyAlignment="1">
      <alignment horizontal="left"/>
    </xf>
    <xf numFmtId="1" fontId="1" fillId="0" borderId="0" xfId="55" applyNumberFormat="1" applyAlignment="1">
      <alignment horizontal="left"/>
    </xf>
    <xf numFmtId="0" fontId="1" fillId="0" borderId="0" xfId="55" applyFont="1"/>
    <xf numFmtId="203" fontId="1" fillId="0" borderId="0" xfId="55" applyNumberFormat="1" applyAlignment="1">
      <alignment horizontal="left"/>
    </xf>
    <xf numFmtId="49" fontId="1" fillId="0" borderId="0" xfId="55" applyNumberFormat="1"/>
  </cellXfs>
  <cellStyles count="92">
    <cellStyle name="******************************************" xfId="1"/>
    <cellStyle name="****************************************** 2 2" xfId="90"/>
    <cellStyle name="_SUMMARY " xfId="2"/>
    <cellStyle name="0_Capex &amp; Depreciation " xfId="3"/>
    <cellStyle name="0_P&amp;L-adj " xfId="4"/>
    <cellStyle name="0_Quarterly " xfId="5"/>
    <cellStyle name="0_Valuing BP " xfId="6"/>
    <cellStyle name="20% - Accent1" xfId="7" builtinId="30" customBuiltin="1"/>
    <cellStyle name="20% - Accent2" xfId="8" builtinId="34" customBuiltin="1"/>
    <cellStyle name="20% - Accent3" xfId="9" builtinId="38" customBuiltin="1"/>
    <cellStyle name="20% - Accent4" xfId="10" builtinId="42" customBuiltin="1"/>
    <cellStyle name="20% - Accent5" xfId="11" builtinId="46" customBuiltin="1"/>
    <cellStyle name="20% - Accent6" xfId="12" builtinId="50" customBuiltin="1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60% - Accent1" xfId="19" builtinId="32" customBuiltin="1"/>
    <cellStyle name="60% - Accent2" xfId="20" builtinId="36" customBuiltin="1"/>
    <cellStyle name="60% - Accent3" xfId="21" builtinId="40" customBuiltin="1"/>
    <cellStyle name="60% - Accent4" xfId="22" builtinId="44" customBuiltin="1"/>
    <cellStyle name="60% - Accent5" xfId="23" builtinId="48" customBuiltin="1"/>
    <cellStyle name="60% - Accent6" xfId="24" builtinId="52" customBuiltin="1"/>
    <cellStyle name="Accent1" xfId="25" builtinId="29" customBuiltin="1"/>
    <cellStyle name="Accent2" xfId="26" builtinId="33" customBuiltin="1"/>
    <cellStyle name="Accent3" xfId="27" builtinId="37" customBuiltin="1"/>
    <cellStyle name="Accent4" xfId="28" builtinId="41" customBuiltin="1"/>
    <cellStyle name="Accent5" xfId="29" builtinId="45" customBuiltin="1"/>
    <cellStyle name="Accent6" xfId="30" builtinId="49" customBuiltin="1"/>
    <cellStyle name="ÅëÈ­ [0]_cover " xfId="31"/>
    <cellStyle name="ÅëÈ­_cover " xfId="32"/>
    <cellStyle name="ÄÞ¸¶ [0]_cover " xfId="33"/>
    <cellStyle name="ÄÞ¸¶_cover " xfId="34"/>
    <cellStyle name="Bad" xfId="35" builtinId="27" customBuiltin="1"/>
    <cellStyle name="c_HardInc " xfId="36"/>
    <cellStyle name="C￥AØ_¿μ¾÷CoE² " xfId="37"/>
    <cellStyle name="Ç¥ÁØ_cover " xfId="38"/>
    <cellStyle name="Calculation" xfId="39" builtinId="22" customBuiltin="1"/>
    <cellStyle name="Check Cell" xfId="40" builtinId="23" customBuiltin="1"/>
    <cellStyle name="Comma" xfId="41" builtinId="3"/>
    <cellStyle name="Comma [0]_FORECAST" xfId="42"/>
    <cellStyle name="Currency" xfId="43" builtinId="4"/>
    <cellStyle name="Currency [0]_FORECAST" xfId="44"/>
    <cellStyle name="Currency 2" xfId="88"/>
    <cellStyle name="Explanatory Text" xfId="45" builtinId="53" customBuiltin="1"/>
    <cellStyle name="Good" xfId="46" builtinId="26" customBuiltin="1"/>
    <cellStyle name="Heading 1" xfId="47" builtinId="16" customBuiltin="1"/>
    <cellStyle name="Heading 2" xfId="48" builtinId="17" customBuiltin="1"/>
    <cellStyle name="Heading 3" xfId="49" builtinId="18" customBuiltin="1"/>
    <cellStyle name="Heading 4" xfId="50" builtinId="19" customBuiltin="1"/>
    <cellStyle name="Hyperlink" xfId="51" builtinId="8"/>
    <cellStyle name="Input" xfId="52" builtinId="20" customBuiltin="1"/>
    <cellStyle name="Linked Cell" xfId="53" builtinId="24" customBuiltin="1"/>
    <cellStyle name="Neutral" xfId="54" builtinId="28" customBuiltin="1"/>
    <cellStyle name="Normal" xfId="0" builtinId="0"/>
    <cellStyle name="Normal 2" xfId="55"/>
    <cellStyle name="Normal 3" xfId="87"/>
    <cellStyle name="Normal_AEP Model WIP 02.01.13" xfId="56"/>
    <cellStyle name="Normal_AT_08.06.13" xfId="89"/>
    <cellStyle name="Normal_DisclaimerSheet Samples" xfId="91"/>
    <cellStyle name="Normal_ETR" xfId="57"/>
    <cellStyle name="Normal_EWC" xfId="58"/>
    <cellStyle name="Normal_EXC Model 02.07.13 WIP v4" xfId="59"/>
    <cellStyle name="Normal_MS Price Deck 3.30.12" xfId="60"/>
    <cellStyle name="Normal_NEE Model 1.10.12" xfId="61"/>
    <cellStyle name="Normal_NEE Model 1.10.12 2" xfId="62"/>
    <cellStyle name="Normal_NEE Model 1.10.12 3" xfId="63"/>
    <cellStyle name="Normal_NEE Model 1.10.12_FE Model 01.31.13 WIP v2" xfId="64"/>
    <cellStyle name="Normal_NEE Model 1.10.12_FE Model 02.01.13 WIP" xfId="65"/>
    <cellStyle name="Normal_NEE Model 1.10.12_FE Model 02.01.13 WIP 2" xfId="66"/>
    <cellStyle name="Normal_Parent" xfId="67"/>
    <cellStyle name="Normal_PFE_WYEwk-old" xfId="68"/>
    <cellStyle name="Normal_Utility" xfId="69"/>
    <cellStyle name="Normal_Valuation" xfId="70"/>
    <cellStyle name="Normal_Valuation2" xfId="71"/>
    <cellStyle name="Note" xfId="72" builtinId="10" customBuiltin="1"/>
    <cellStyle name="Output" xfId="73" builtinId="21" customBuiltin="1"/>
    <cellStyle name="p " xfId="74"/>
    <cellStyle name="Percent" xfId="75" builtinId="5"/>
    <cellStyle name="RRSInstruction" xfId="76"/>
    <cellStyle name="RRSInstruction 2" xfId="77"/>
    <cellStyle name="s_HardInc " xfId="78"/>
    <cellStyle name="s_Valuation " xfId="79"/>
    <cellStyle name="ssp " xfId="80"/>
    <cellStyle name="Title" xfId="81" builtinId="15" customBuiltin="1"/>
    <cellStyle name="Total" xfId="82" builtinId="25" customBuiltin="1"/>
    <cellStyle name="Warning Text" xfId="83" builtinId="11" customBuiltin="1"/>
    <cellStyle name="콤마 [0]_ 2팀층별 " xfId="84"/>
    <cellStyle name="콤마_ 2팀층별 " xfId="85"/>
    <cellStyle name="표준_0N-HANDLING " xfId="86"/>
  </cellStyles>
  <dxfs count="63"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63"/>
      </font>
    </dxf>
    <dxf>
      <font>
        <condense val="0"/>
        <extend val="0"/>
        <color indexed="12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125A31"/>
      <rgbColor rgb="00E2E7E8"/>
      <rgbColor rgb="009DC9DC"/>
      <rgbColor rgb="00B2122B"/>
      <rgbColor rgb="00FC7114"/>
      <rgbColor rgb="00F8CD14"/>
      <rgbColor rgb="00003366"/>
      <rgbColor rgb="004091BF"/>
      <rgbColor rgb="00FCAE91"/>
      <rgbColor rgb="002270AB"/>
      <rgbColor rgb="00E3EEDE"/>
      <rgbColor rgb="0069ADCA"/>
      <rgbColor rgb="00CED5D7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800080"/>
      <rgbColor rgb="00FFFFCC"/>
      <rgbColor rgb="0097A5BB"/>
      <rgbColor rgb="00F7BEBF"/>
      <rgbColor rgb="00EFC1D2"/>
      <rgbColor rgb="00EFC49F"/>
      <rgbColor rgb="00ECD7B2"/>
      <rgbColor rgb="00A6DAC5"/>
      <rgbColor rgb="00C7E5BE"/>
      <rgbColor rgb="00A1D399"/>
      <rgbColor rgb="0041A95C"/>
      <rgbColor rgb="00E5EEF7"/>
      <rgbColor rgb="00238B45"/>
      <rgbColor rgb="001B4694"/>
      <rgbColor rgb="00C6D9E2"/>
      <rgbColor rgb="00969696"/>
      <rgbColor rgb="00FB9A7A"/>
      <rgbColor rgb="0074BE74"/>
      <rgbColor rgb="00EE7F81"/>
      <rgbColor rgb="00F26163"/>
      <rgbColor rgb="00FF0000"/>
      <rgbColor rgb="00A55628"/>
      <rgbColor rgb="00FDCDB8"/>
      <rgbColor rgb="000000FF"/>
    </indexed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externalLinks/externalLink1.xml" Type="http://schemas.openxmlformats.org/officeDocument/2006/relationships/externalLink"/>
<Relationship Id="rId16" Target="externalLinks/externalLink2.xml" Type="http://schemas.openxmlformats.org/officeDocument/2006/relationships/externalLink"/>
<Relationship Id="rId17" Target="externalLinks/externalLink3.xml" Type="http://schemas.openxmlformats.org/officeDocument/2006/relationships/externalLink"/>
<Relationship Id="rId18" Target="externalLinks/externalLink4.xml" Type="http://schemas.openxmlformats.org/officeDocument/2006/relationships/externalLink"/>
<Relationship Id="rId19" Target="externalLinks/externalLink5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6.xml" Type="http://schemas.openxmlformats.org/officeDocument/2006/relationships/externalLink"/>
<Relationship Id="rId21" Target="externalLinks/externalLink7.xml" Type="http://schemas.openxmlformats.org/officeDocument/2006/relationships/externalLink"/>
<Relationship Id="rId22" Target="externalLinks/externalLink8.xml" Type="http://schemas.openxmlformats.org/officeDocument/2006/relationships/externalLink"/>
<Relationship Id="rId23" Target="externalLinks/externalLink9.xml" Type="http://schemas.openxmlformats.org/officeDocument/2006/relationships/externalLink"/>
<Relationship Id="rId24" Target="externalLinks/externalLink10.xml" Type="http://schemas.openxmlformats.org/officeDocument/2006/relationships/externalLink"/>
<Relationship Id="rId25" Target="externalLinks/externalLink11.xml" Type="http://schemas.openxmlformats.org/officeDocument/2006/relationships/externalLink"/>
<Relationship Id="rId26" Target="externalLinks/externalLink12.xml" Type="http://schemas.openxmlformats.org/officeDocument/2006/relationships/externalLink"/>
<Relationship Id="rId27" Target="externalLinks/externalLink13.xml" Type="http://schemas.openxmlformats.org/officeDocument/2006/relationships/externalLink"/>
<Relationship Id="rId28" Target="externalLinks/externalLink14.xml" Type="http://schemas.openxmlformats.org/officeDocument/2006/relationships/externalLink"/>
<Relationship Id="rId29" Target="externalLinks/externalLink15.xml" Type="http://schemas.openxmlformats.org/officeDocument/2006/relationships/externalLink"/>
<Relationship Id="rId3" Target="worksheets/sheet3.xml" Type="http://schemas.openxmlformats.org/officeDocument/2006/relationships/worksheet"/>
<Relationship Id="rId30" Target="externalLinks/externalLink16.xml" Type="http://schemas.openxmlformats.org/officeDocument/2006/relationships/externalLink"/>
<Relationship Id="rId31" Target="externalLinks/externalLink17.xml" Type="http://schemas.openxmlformats.org/officeDocument/2006/relationships/externalLink"/>
<Relationship Id="rId32" Target="externalLinks/externalLink18.xml" Type="http://schemas.openxmlformats.org/officeDocument/2006/relationships/externalLink"/>
<Relationship Id="rId33" Target="theme/theme1.xml" Type="http://schemas.openxmlformats.org/officeDocument/2006/relationships/theme"/>
<Relationship Id="rId34" Target="styles.xml" Type="http://schemas.openxmlformats.org/officeDocument/2006/relationships/styles"/>
<Relationship Id="rId35" Target="sharedStrings.xml" Type="http://schemas.openxmlformats.org/officeDocument/2006/relationships/sharedStrings"/>
<Relationship Id="rId36" Target="calcChain.xml" Type="http://schemas.openxmlformats.org/officeDocument/2006/relationships/calcChain"/>
<Relationship Id="rId37" Target="../customXml/item1.xml" Type="http://schemas.openxmlformats.org/officeDocument/2006/relationships/customXml"/>
<Relationship Id="rId38" Target="../customXml/item2.xml" Type="http://schemas.openxmlformats.org/officeDocument/2006/relationships/customXml"/>
<Relationship Id="rId39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6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7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8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9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0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284673" name="Picture 1" descr="C:\Users\arcaro\AppData\Local\Temp\MercuryPriceRatingHistoryChart\ETR.N_2018_04_13_10_31_3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2</xdr:row>
      <xdr:rowOff>38100</xdr:rowOff>
    </xdr:from>
    <xdr:to>
      <xdr:col>10</xdr:col>
      <xdr:colOff>257175</xdr:colOff>
      <xdr:row>4</xdr:row>
      <xdr:rowOff>0</xdr:rowOff>
    </xdr:to>
    <xdr:pic>
      <xdr:nvPicPr>
        <xdr:cNvPr id="37991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0" y="561975"/>
          <a:ext cx="36861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1562100</xdr:colOff>
      <xdr:row>1</xdr:row>
      <xdr:rowOff>85725</xdr:rowOff>
    </xdr:from>
    <xdr:to>
      <xdr:col>84</xdr:col>
      <xdr:colOff>504825</xdr:colOff>
      <xdr:row>2</xdr:row>
      <xdr:rowOff>180975</xdr:rowOff>
    </xdr:to>
    <xdr:pic>
      <xdr:nvPicPr>
        <xdr:cNvPr id="74963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01275" y="276225"/>
          <a:ext cx="30099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81</xdr:col>
      <xdr:colOff>295275</xdr:colOff>
      <xdr:row>1</xdr:row>
      <xdr:rowOff>38100</xdr:rowOff>
    </xdr:from>
    <xdr:to>
      <xdr:col>121</xdr:col>
      <xdr:colOff>95251</xdr:colOff>
      <xdr:row>2</xdr:row>
      <xdr:rowOff>133350</xdr:rowOff>
    </xdr:to>
    <xdr:pic>
      <xdr:nvPicPr>
        <xdr:cNvPr id="75879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28600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390525</xdr:colOff>
      <xdr:row>1</xdr:row>
      <xdr:rowOff>66675</xdr:rowOff>
    </xdr:from>
    <xdr:to>
      <xdr:col>53</xdr:col>
      <xdr:colOff>390526</xdr:colOff>
      <xdr:row>2</xdr:row>
      <xdr:rowOff>114300</xdr:rowOff>
    </xdr:to>
    <xdr:pic>
      <xdr:nvPicPr>
        <xdr:cNvPr id="48438" name="Picture 13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5" y="295275"/>
          <a:ext cx="3000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447675</xdr:colOff>
      <xdr:row>1</xdr:row>
      <xdr:rowOff>66675</xdr:rowOff>
    </xdr:from>
    <xdr:to>
      <xdr:col>53</xdr:col>
      <xdr:colOff>447675</xdr:colOff>
      <xdr:row>2</xdr:row>
      <xdr:rowOff>114300</xdr:rowOff>
    </xdr:to>
    <xdr:pic>
      <xdr:nvPicPr>
        <xdr:cNvPr id="217276" name="Picture 468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2225" y="295275"/>
          <a:ext cx="3000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561975</xdr:colOff>
      <xdr:row>1</xdr:row>
      <xdr:rowOff>104775</xdr:rowOff>
    </xdr:from>
    <xdr:to>
      <xdr:col>53</xdr:col>
      <xdr:colOff>552449</xdr:colOff>
      <xdr:row>2</xdr:row>
      <xdr:rowOff>152400</xdr:rowOff>
    </xdr:to>
    <xdr:pic>
      <xdr:nvPicPr>
        <xdr:cNvPr id="149043" name="Picture 3889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257175"/>
          <a:ext cx="29908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1</xdr:row>
      <xdr:rowOff>57150</xdr:rowOff>
    </xdr:from>
    <xdr:to>
      <xdr:col>49</xdr:col>
      <xdr:colOff>0</xdr:colOff>
      <xdr:row>2</xdr:row>
      <xdr:rowOff>104775</xdr:rowOff>
    </xdr:to>
    <xdr:pic>
      <xdr:nvPicPr>
        <xdr:cNvPr id="219239" name="Picture 23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47650"/>
          <a:ext cx="3000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142875</xdr:colOff>
      <xdr:row>1</xdr:row>
      <xdr:rowOff>85725</xdr:rowOff>
    </xdr:from>
    <xdr:ext cx="2990290" cy="285750"/>
    <xdr:pic>
      <xdr:nvPicPr>
        <xdr:cNvPr id="2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1275" y="276225"/>
          <a:ext cx="299029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342900</xdr:colOff>
      <xdr:row>0</xdr:row>
      <xdr:rowOff>133350</xdr:rowOff>
    </xdr:from>
    <xdr:to>
      <xdr:col>24</xdr:col>
      <xdr:colOff>438150</xdr:colOff>
      <xdr:row>1</xdr:row>
      <xdr:rowOff>180975</xdr:rowOff>
    </xdr:to>
    <xdr:pic>
      <xdr:nvPicPr>
        <xdr:cNvPr id="79040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33350"/>
          <a:ext cx="3000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NA/NY/LIB/ER/UTILITIES/Models/Rebuild/NVE/NVE%2010.4.11.xls" TargetMode="External" Type="http://schemas.microsoft.com/office/2006/relationships/xlExternalLinkPath/xlAlternateStartup"/>
</Relationships>

</file>

<file path=xl/externalLinks/_rels/externalLink3.xml.rels><?xml version="1.0" encoding="UTF-8" standalone="yes"?>
<Relationships xmlns="http://schemas.openxmlformats.org/package/2006/relationships">
<Relationship Id="rId1" Target="NA/NY/LIB/ER/UTILITIES/Models/Rebuild/NVE/NVE%20Model%2011.14.11.xls" TargetMode="External" Type="http://schemas.microsoft.com/office/2006/relationships/xlExternalLinkPath/xlAlternateStartup"/>
</Relationships>

</file>

<file path=xl/externalLinks/_rels/externalLink4.xml.rels><?xml version="1.0" encoding="UTF-8" standalone="yes"?>
<Relationships xmlns="http://schemas.openxmlformats.org/package/2006/relationships">
<Relationship Id="rId1" Target="UTILITIES/Models/CPN/CPN%20Model%2011.6.12%20WIP%20v2.xls" TargetMode="External" Type="http://schemas.microsoft.com/office/2006/relationships/xlExternalLinkPath/xlAlternateStartup"/>
</Relationships>

</file>

<file path=xl/externalLinks/_rels/externalLink5.xml.rels><?xml version="1.0" encoding="UTF-8" standalone="yes"?>
<Relationships xmlns="http://schemas.openxmlformats.org/package/2006/relationships">
<Relationship Id="rId1" Target="UTILITIES/Models/Rebuild/EIX/EMG%205.xls" TargetMode="External" Type="http://schemas.microsoft.com/office/2006/relationships/xlExternalLinkPath/xlStartup"/>
</Relationships>

</file>

<file path=xl/externalLinks/_rels/externalLink6.xml.rels><?xml version="1.0" encoding="UTF-8" standalone="yes"?>
<Relationships xmlns="http://schemas.openxmlformats.org/package/2006/relationships">
<Relationship Id="rId1" Target="C/UTILITY/Power/Utilities/WEC/Models/Initiation/Previous%20JPM%20WEC%20Model%2007%20Apr%2004.xls" TargetMode="External" Type="http://schemas.microsoft.com/office/2006/relationships/xlExternalLinkPath/xlStartup"/>
</Relationships>

</file>

<file path=xl/externalLinks/_rels/externalLink7.xml.rels><?xml version="1.0" encoding="UTF-8" standalone="yes"?>
<Relationships xmlns="http://schemas.openxmlformats.org/package/2006/relationships">
<Relationship Id="rId1" Target="C/UTILITY/Power/Utilities/WEC/Models/Initiation/Previous%20JPM%20WEC%20Model%2007%20Apr%2004.xls" TargetMode="External" Type="http://schemas.microsoft.com/office/2006/relationships/xlExternalLinkPath/xlAlternateStartup"/>
</Relationships>

</file>

<file path=xl/externalLinks/_rels/externalLink8.xml.rels><?xml version="1.0" encoding="UTF-8" standalone="yes"?>
<Relationships xmlns="http://schemas.openxmlformats.org/package/2006/relationships">
<Relationship Id="rId1" Target="C/UTILITY/Power/Models/Working/PNW%20Model%20Jen.xls" TargetMode="External" Type="http://schemas.microsoft.com/office/2006/relationships/xlExternalLinkPath/xlStartup"/>
</Relationships>

</file>

<file path=xl/externalLinks/_rels/externalLink9.xml.rels><?xml version="1.0" encoding="UTF-8" standalone="yes"?>
<Relationships xmlns="http://schemas.openxmlformats.org/package/2006/relationships">
<Relationship Id="rId1" Target="C/UTILITY/Power/Models/Working/PNW%20Model%20Jen.xls" TargetMode="External" Type="http://schemas.microsoft.com/office/2006/relationships/xlExternalLinkPath/xlAlternateStartup"/>
</Relationships>

</file>

<file path=xl/externalLinks/_rels/externalLink10.xml.rels><?xml version="1.0" encoding="UTF-8" standalone="yes"?>
<Relationships xmlns="http://schemas.openxmlformats.org/package/2006/relationships">
<Relationship Id="rId1" Target="Volumes/NO%20NAME/UTILITY/Power/Utilities/WEC/Models/Initiation/Previous%20JPM%20WEC%20Model%2007%20Apr%2004.xls" TargetMode="External" Type="http://schemas.microsoft.com/office/2006/relationships/xlExternalLinkPath/xlStartup"/>
</Relationships>

</file>

<file path=xl/externalLinks/_rels/externalLink11.xml.rels><?xml version="1.0" encoding="UTF-8" standalone="yes"?>
<Relationships xmlns="http://schemas.openxmlformats.org/package/2006/relationships">
<Relationship Id="rId1" Target="Volumes/NO%20NAME/UTILITY/Power/Utilities/WEC/Models/Initiation/Previous%20JPM%20WEC%20Model%2007%20Apr%2004.xls" TargetMode="External" Type="http://schemas.microsoft.com/office/2006/relationships/xlExternalLinkPath/xlAlternateStartup"/>
</Relationships>

</file>

<file path=xl/externalLinks/_rels/externalLink1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13.xml.rels><?xml version="1.0" encoding="UTF-8" standalone="yes"?>
<Relationships xmlns="http://schemas.openxmlformats.org/package/2006/relationships">
<Relationship Id="rId1" Target="file://///consltdb3/JOBS/F/RefCase%20Spring%202006/Northeast/Report/Tables&amp;Figures/Table%205-4%20Northeast%20Market%20Area%20Summary.xls" TargetMode="External" Type="http://schemas.openxmlformats.org/officeDocument/2006/relationships/externalLinkPath"/>
</Relationships>

</file>

<file path=xl/externalLinks/_rels/externalLink14.xml.rels><?xml version="1.0" encoding="UTF-8" standalone="yes"?>
<Relationships xmlns="http://schemas.openxmlformats.org/package/2006/relationships">
<Relationship Id="rId1" Target="UTILITIES/Price%20Deck/MS%20New%20Price%20Deck%20122811.xls" TargetMode="External" Type="http://schemas.microsoft.com/office/2006/relationships/xlExternalLinkPath/xlStartup"/>
</Relationships>

</file>

<file path=xl/externalLinks/_rels/externalLink15.xml.rels><?xml version="1.0" encoding="UTF-8" standalone="yes"?>
<Relationships xmlns="http://schemas.openxmlformats.org/package/2006/relationships">
<Relationship Id="rId1" Target="Price%20Deck/MS%20New%20Price%20Deck%20100711.xls" TargetMode="External" Type="http://schemas.microsoft.com/office/2006/relationships/xlExternalLinkPath/xlStartup"/>
</Relationships>

</file>

<file path=xl/externalLinks/_rels/externalLink16.xml.rels><?xml version="1.0" encoding="UTF-8" standalone="yes"?>
<Relationships xmlns="http://schemas.openxmlformats.org/package/2006/relationships">
<Relationship Id="rId1" Target="Program%20Files/MSERXlAddins/Model/ERModelPublish.xla" TargetMode="External" Type="http://schemas.microsoft.com/office/2006/relationships/xlExternalLinkPath/xlAlternateStartup"/>
</Relationships>

</file>

<file path=xl/externalLinks/_rels/externalLink17.xml.rels><?xml version="1.0" encoding="UTF-8" standalone="yes"?>
<Relationships xmlns="http://schemas.openxmlformats.org/package/2006/relationships">
<Relationship Id="rId1" Target="UTILITIES/Models/EXC/Published%20Model/EXC%20Model%2011.1.12.xls" TargetMode="External" Type="http://schemas.microsoft.com/office/2006/relationships/xlExternalLinkPath/xlStartup"/>
</Relationships>

</file>

<file path=xl/externalLinks/_rels/externalLink18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 Flow"/>
      <sheetName val="upside_downside"/>
      <sheetName val="Income Statement"/>
      <sheetName val="Balance Sheet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Good 12-00 (2)"/>
      <sheetName val="Good 11-36"/>
      <sheetName val="Good 11-50"/>
      <sheetName val="Sheet3 (5)"/>
      <sheetName val="Inputs"/>
      <sheetName val="FX"/>
      <sheetName val="Interims"/>
      <sheetName val="Financial Statements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 Detail "/>
      <sheetName val="Model"/>
      <sheetName val="Sheet4"/>
      <sheetName val="ForeignStake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MWA RR"/>
      <sheetName val="Note Tables"/>
      <sheetName val="mwareDates"/>
      <sheetName val="Capex Chart"/>
      <sheetName val="FCF-Div. Working Chart"/>
      <sheetName val="MW FDS"/>
      <sheetName val="mwareSettings"/>
      <sheetName val="MW-Cache"/>
      <sheetName val="Summary"/>
      <sheetName val="misc"/>
      <sheetName val="Margins"/>
      <sheetName val="BS"/>
      <sheetName val="Valu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NVE.N</v>
          </cell>
          <cell r="E4" t="str">
            <v>Company Name:</v>
          </cell>
          <cell r="F4" t="str">
            <v>NV Energy Inc.</v>
          </cell>
          <cell r="I4" t="str">
            <v>Sedol:</v>
          </cell>
          <cell r="J4">
            <v>244379</v>
          </cell>
          <cell r="K4" t="str">
            <v>NA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17.5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16.5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14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  <cell r="I13" t="str">
            <v xml:space="preserve">WARNINGDONOTEDIT_RRS4RL~NVE.N~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40050</v>
          </cell>
          <cell r="E15" t="str">
            <v>NA</v>
          </cell>
          <cell r="F15" t="str">
            <v>USD</v>
          </cell>
        </row>
        <row r="16">
          <cell r="B16" t="str">
            <v>End Date (+1 Yr)</v>
          </cell>
          <cell r="C16">
            <v>41146</v>
          </cell>
          <cell r="E16" t="str">
            <v>NA</v>
          </cell>
          <cell r="F16" t="str">
            <v>USD</v>
          </cell>
        </row>
        <row r="17">
          <cell r="B17">
            <v>14.35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40780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41146</v>
          </cell>
          <cell r="B52">
            <v>764</v>
          </cell>
          <cell r="N52" t="str">
            <v>Aug-12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Price(Aug-12)</v>
          </cell>
          <cell r="K53" t="str">
            <v>Bull Price(Aug-12)</v>
          </cell>
          <cell r="L53" t="str">
            <v>Bear Price(Aug-12)</v>
          </cell>
          <cell r="M53" t="str">
            <v>Extreme Downside Price(Aug-12)</v>
          </cell>
          <cell r="N53" t="str">
            <v>Base Case  (Aug-12)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Case(Aug-12)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40050</v>
          </cell>
          <cell r="B54">
            <v>40050</v>
          </cell>
          <cell r="C54" t="str">
            <v>Past</v>
          </cell>
          <cell r="D54">
            <v>12.21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12.21</v>
          </cell>
          <cell r="Q54">
            <v>1.3155129999999999</v>
          </cell>
          <cell r="R54" t="e">
            <v>#N/A</v>
          </cell>
          <cell r="S54" t="str">
            <v>Count</v>
          </cell>
          <cell r="T54">
            <v>764</v>
          </cell>
          <cell r="U54">
            <v>17.5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40051</v>
          </cell>
          <cell r="B55">
            <v>40051</v>
          </cell>
          <cell r="C55" t="str">
            <v>Past</v>
          </cell>
          <cell r="D55">
            <v>12.3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12.3</v>
          </cell>
          <cell r="Q55">
            <v>1.131678</v>
          </cell>
          <cell r="R55" t="e">
            <v>#N/A</v>
          </cell>
          <cell r="S55" t="str">
            <v>Curr Price</v>
          </cell>
          <cell r="T55">
            <v>14.35</v>
          </cell>
          <cell r="U55">
            <v>506</v>
          </cell>
          <cell r="V55">
            <v>55.094300000000004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40052</v>
          </cell>
          <cell r="B56">
            <v>40052</v>
          </cell>
          <cell r="C56" t="str">
            <v>Past</v>
          </cell>
          <cell r="D56">
            <v>12.22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12.22</v>
          </cell>
          <cell r="Q56">
            <v>0.87458399999999992</v>
          </cell>
          <cell r="R56" t="e">
            <v>#N/A</v>
          </cell>
          <cell r="S56" t="str">
            <v>Curr Price Date</v>
          </cell>
          <cell r="T56">
            <v>40780</v>
          </cell>
          <cell r="U56">
            <v>40519.771412037036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40053</v>
          </cell>
          <cell r="B57">
            <v>40053</v>
          </cell>
          <cell r="C57" t="str">
            <v>Past</v>
          </cell>
          <cell r="D57">
            <v>12.22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12.22</v>
          </cell>
          <cell r="Q57">
            <v>1.1191689999999999</v>
          </cell>
          <cell r="R57" t="e">
            <v>#N/A</v>
          </cell>
          <cell r="S57" t="str">
            <v>Bull-Curr</v>
          </cell>
          <cell r="T57">
            <v>3.1500000000000004</v>
          </cell>
          <cell r="U57">
            <v>1.2162162162162163E-2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40056</v>
          </cell>
          <cell r="B58">
            <v>40056</v>
          </cell>
          <cell r="C58" t="str">
            <v>Past</v>
          </cell>
          <cell r="D58">
            <v>12.06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12.06</v>
          </cell>
          <cell r="Q58">
            <v>1.369715</v>
          </cell>
          <cell r="R58" t="e">
            <v>#N/A</v>
          </cell>
          <cell r="S58" t="str">
            <v>Upp-Cur</v>
          </cell>
          <cell r="T58">
            <v>-14.35</v>
          </cell>
          <cell r="U58">
            <v>-5.5405405405405402E-2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40057</v>
          </cell>
          <cell r="B59">
            <v>40057</v>
          </cell>
          <cell r="C59" t="str">
            <v>Past</v>
          </cell>
          <cell r="D59">
            <v>11.93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11.93</v>
          </cell>
          <cell r="Q59">
            <v>1.273631</v>
          </cell>
          <cell r="R59" t="e">
            <v>#N/A</v>
          </cell>
          <cell r="S59" t="str">
            <v>Curr-Bear</v>
          </cell>
          <cell r="T59">
            <v>0.34999999999999964</v>
          </cell>
          <cell r="U59">
            <v>1.3513513513513499E-3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40058</v>
          </cell>
          <cell r="B60">
            <v>40058</v>
          </cell>
          <cell r="C60" t="str">
            <v>Past</v>
          </cell>
          <cell r="D60">
            <v>11.86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11.86</v>
          </cell>
          <cell r="Q60">
            <v>0.99380199999999996</v>
          </cell>
          <cell r="R60" t="e">
            <v>#N/A</v>
          </cell>
          <cell r="S60" t="str">
            <v>Curr-Lower</v>
          </cell>
          <cell r="T60">
            <v>14.35</v>
          </cell>
          <cell r="U60">
            <v>5.5405405405405402E-2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40059</v>
          </cell>
          <cell r="B61">
            <v>40059</v>
          </cell>
          <cell r="C61" t="str">
            <v>Past</v>
          </cell>
          <cell r="D61">
            <v>11.82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11.82</v>
          </cell>
          <cell r="Q61">
            <v>1.1897</v>
          </cell>
          <cell r="R61" t="e">
            <v>#N/A</v>
          </cell>
          <cell r="S61" t="str">
            <v>PriceFoundAt</v>
          </cell>
          <cell r="T61">
            <v>506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40060</v>
          </cell>
          <cell r="B62">
            <v>40060</v>
          </cell>
          <cell r="C62" t="str">
            <v>Past</v>
          </cell>
          <cell r="D62">
            <v>11.81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11.81</v>
          </cell>
          <cell r="Q62">
            <v>1.1005549999999999</v>
          </cell>
          <cell r="R62" t="e">
            <v>#N/A</v>
          </cell>
          <cell r="S62" t="str">
            <v>Starting Point</v>
          </cell>
          <cell r="T62">
            <v>559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40064</v>
          </cell>
          <cell r="B63">
            <v>40064</v>
          </cell>
          <cell r="C63" t="str">
            <v>Past</v>
          </cell>
          <cell r="D63">
            <v>11.83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11.83</v>
          </cell>
          <cell r="Q63">
            <v>1.2291809999999999</v>
          </cell>
          <cell r="R63" t="e">
            <v>#N/A</v>
          </cell>
          <cell r="S63" t="str">
            <v>Saved</v>
          </cell>
          <cell r="T63">
            <v>259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40065</v>
          </cell>
          <cell r="B64">
            <v>40065</v>
          </cell>
          <cell r="C64" t="str">
            <v>Past</v>
          </cell>
          <cell r="D64">
            <v>11.85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11.85</v>
          </cell>
          <cell r="Q64">
            <v>1.3311300000000001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40066</v>
          </cell>
          <cell r="B65">
            <v>40066</v>
          </cell>
          <cell r="C65" t="str">
            <v>Past</v>
          </cell>
          <cell r="D65">
            <v>11.88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11.88</v>
          </cell>
          <cell r="Q65">
            <v>2.2897369999999997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40067</v>
          </cell>
          <cell r="B66">
            <v>40067</v>
          </cell>
          <cell r="C66" t="str">
            <v>Past</v>
          </cell>
          <cell r="D66">
            <v>11.56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11.56</v>
          </cell>
          <cell r="Q66">
            <v>4.1574999999999998</v>
          </cell>
          <cell r="R66" t="e">
            <v>#N/A</v>
          </cell>
          <cell r="S66" t="str">
            <v>default StartDate</v>
          </cell>
          <cell r="T66">
            <v>40050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40070</v>
          </cell>
          <cell r="B67">
            <v>40070</v>
          </cell>
          <cell r="C67" t="str">
            <v>Past</v>
          </cell>
          <cell r="D67">
            <v>11.76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11.76</v>
          </cell>
          <cell r="Q67">
            <v>3.4181539999999999</v>
          </cell>
          <cell r="R67" t="e">
            <v>#N/A</v>
          </cell>
          <cell r="S67" t="str">
            <v>default EndDate</v>
          </cell>
          <cell r="T67">
            <v>41146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40071</v>
          </cell>
          <cell r="B68">
            <v>40071</v>
          </cell>
          <cell r="C68" t="str">
            <v>Past</v>
          </cell>
          <cell r="D68">
            <v>11.71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11.71</v>
          </cell>
          <cell r="Q68">
            <v>3.6388000000000003</v>
          </cell>
          <cell r="R68" t="e">
            <v>#N/A</v>
          </cell>
          <cell r="S68" t="str">
            <v>Max sharePrice</v>
          </cell>
          <cell r="T68">
            <v>15.89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40072</v>
          </cell>
          <cell r="B69">
            <v>40072</v>
          </cell>
          <cell r="C69" t="str">
            <v>Past</v>
          </cell>
          <cell r="D69">
            <v>11.76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11.76</v>
          </cell>
          <cell r="Q69">
            <v>2.8619700000000003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40073</v>
          </cell>
          <cell r="B70">
            <v>40073</v>
          </cell>
          <cell r="C70" t="str">
            <v>Past</v>
          </cell>
          <cell r="D70">
            <v>11.85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11.85</v>
          </cell>
          <cell r="Q70">
            <v>2.6357729999999999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40074</v>
          </cell>
          <cell r="B71">
            <v>40074</v>
          </cell>
          <cell r="C71" t="str">
            <v>Past</v>
          </cell>
          <cell r="D71">
            <v>11.8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11.8</v>
          </cell>
          <cell r="Q71">
            <v>2.2391289999999997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40077</v>
          </cell>
          <cell r="B72">
            <v>40077</v>
          </cell>
          <cell r="C72" t="str">
            <v>Past</v>
          </cell>
          <cell r="D72">
            <v>11.82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11.82</v>
          </cell>
          <cell r="Q72">
            <v>2.264758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40078</v>
          </cell>
          <cell r="B73">
            <v>40078</v>
          </cell>
          <cell r="C73" t="str">
            <v>Past</v>
          </cell>
          <cell r="D73">
            <v>11.72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11.72</v>
          </cell>
          <cell r="Q73">
            <v>1.6808400000000001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40079</v>
          </cell>
          <cell r="B74">
            <v>40079</v>
          </cell>
          <cell r="C74" t="str">
            <v>Past</v>
          </cell>
          <cell r="D74">
            <v>11.64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11.64</v>
          </cell>
          <cell r="Q74">
            <v>2.3194809999999997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40080</v>
          </cell>
          <cell r="B75">
            <v>40080</v>
          </cell>
          <cell r="C75" t="str">
            <v>Past</v>
          </cell>
          <cell r="D75">
            <v>11.54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11.54</v>
          </cell>
          <cell r="Q75">
            <v>2.1152579999999999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40081</v>
          </cell>
          <cell r="B76">
            <v>40081</v>
          </cell>
          <cell r="C76" t="str">
            <v>Past</v>
          </cell>
          <cell r="D76">
            <v>11.49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11.49</v>
          </cell>
          <cell r="Q76">
            <v>3.0800739999999998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40084</v>
          </cell>
          <cell r="B77">
            <v>40084</v>
          </cell>
          <cell r="C77" t="str">
            <v>Past</v>
          </cell>
          <cell r="D77">
            <v>11.6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11.6</v>
          </cell>
          <cell r="Q77">
            <v>1.955897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40085</v>
          </cell>
          <cell r="B78">
            <v>40085</v>
          </cell>
          <cell r="C78" t="str">
            <v>Past</v>
          </cell>
          <cell r="D78">
            <v>11.58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11.58</v>
          </cell>
          <cell r="Q78">
            <v>1.5703909999999999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40086</v>
          </cell>
          <cell r="B79">
            <v>40086</v>
          </cell>
          <cell r="C79" t="str">
            <v>Past</v>
          </cell>
          <cell r="D79">
            <v>11.59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11.59</v>
          </cell>
          <cell r="Q79">
            <v>2.2237610000000001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40087</v>
          </cell>
          <cell r="B80">
            <v>40087</v>
          </cell>
          <cell r="C80" t="str">
            <v>Past</v>
          </cell>
          <cell r="D80">
            <v>11.47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11.47</v>
          </cell>
          <cell r="Q80">
            <v>3.3032800000000004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40088</v>
          </cell>
          <cell r="B81">
            <v>40088</v>
          </cell>
          <cell r="C81" t="str">
            <v>Past</v>
          </cell>
          <cell r="D81">
            <v>11.26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11.26</v>
          </cell>
          <cell r="Q81">
            <v>3.5768739999999997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40091</v>
          </cell>
          <cell r="B82">
            <v>40091</v>
          </cell>
          <cell r="C82" t="str">
            <v>Past</v>
          </cell>
          <cell r="D82">
            <v>11.39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11.39</v>
          </cell>
          <cell r="Q82">
            <v>3.0325839999999999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40092</v>
          </cell>
          <cell r="B83">
            <v>40092</v>
          </cell>
          <cell r="C83" t="str">
            <v>Past</v>
          </cell>
          <cell r="D83">
            <v>11.43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11.43</v>
          </cell>
          <cell r="Q83">
            <v>2.647376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40093</v>
          </cell>
          <cell r="B84">
            <v>40093</v>
          </cell>
          <cell r="C84" t="str">
            <v>Past</v>
          </cell>
          <cell r="D84">
            <v>11.36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11.36</v>
          </cell>
          <cell r="Q84">
            <v>2.1541139999999999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40094</v>
          </cell>
          <cell r="B85">
            <v>40094</v>
          </cell>
          <cell r="C85" t="str">
            <v>Past</v>
          </cell>
          <cell r="D85">
            <v>11.37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11.37</v>
          </cell>
          <cell r="Q85">
            <v>3.583091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40095</v>
          </cell>
          <cell r="B86">
            <v>40095</v>
          </cell>
          <cell r="C86" t="str">
            <v>Past</v>
          </cell>
          <cell r="D86">
            <v>11.54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11.54</v>
          </cell>
          <cell r="Q86">
            <v>3.244996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40098</v>
          </cell>
          <cell r="B87">
            <v>40098</v>
          </cell>
          <cell r="C87" t="str">
            <v>Past</v>
          </cell>
          <cell r="D87">
            <v>11.6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11.6</v>
          </cell>
          <cell r="Q87">
            <v>1.45696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40099</v>
          </cell>
          <cell r="B88">
            <v>40099</v>
          </cell>
          <cell r="C88" t="str">
            <v>Past</v>
          </cell>
          <cell r="D88">
            <v>11.46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11.46</v>
          </cell>
          <cell r="Q88">
            <v>2.1492249999999999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40100</v>
          </cell>
          <cell r="B89">
            <v>40100</v>
          </cell>
          <cell r="C89" t="str">
            <v>Past</v>
          </cell>
          <cell r="D89">
            <v>11.58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11.58</v>
          </cell>
          <cell r="Q89">
            <v>2.0291129999999997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40101</v>
          </cell>
          <cell r="B90">
            <v>40101</v>
          </cell>
          <cell r="C90" t="str">
            <v>Past</v>
          </cell>
          <cell r="D90">
            <v>11.64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11.64</v>
          </cell>
          <cell r="Q90">
            <v>1.4275819999999999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40102</v>
          </cell>
          <cell r="B91">
            <v>40102</v>
          </cell>
          <cell r="C91" t="str">
            <v>Past</v>
          </cell>
          <cell r="D91">
            <v>11.56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11.56</v>
          </cell>
          <cell r="Q91">
            <v>1.6266229999999999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40105</v>
          </cell>
          <cell r="B92">
            <v>40105</v>
          </cell>
          <cell r="C92" t="str">
            <v>Past</v>
          </cell>
          <cell r="D92">
            <v>11.61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11.61</v>
          </cell>
          <cell r="Q92">
            <v>1.6260700000000001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40106</v>
          </cell>
          <cell r="B93">
            <v>40106</v>
          </cell>
          <cell r="C93" t="str">
            <v>Past</v>
          </cell>
          <cell r="D93">
            <v>11.46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11.46</v>
          </cell>
          <cell r="Q93">
            <v>1.2816339999999999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40107</v>
          </cell>
          <cell r="B94">
            <v>40107</v>
          </cell>
          <cell r="C94" t="str">
            <v>Past</v>
          </cell>
          <cell r="D94">
            <v>11.34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11.34</v>
          </cell>
          <cell r="Q94">
            <v>1.940421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40108</v>
          </cell>
          <cell r="B95">
            <v>40108</v>
          </cell>
          <cell r="C95" t="str">
            <v>Past</v>
          </cell>
          <cell r="D95">
            <v>11.33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11.33</v>
          </cell>
          <cell r="Q95">
            <v>2.0317000000000003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40109</v>
          </cell>
          <cell r="B96">
            <v>40109</v>
          </cell>
          <cell r="C96" t="str">
            <v>Past</v>
          </cell>
          <cell r="D96">
            <v>11.28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11.28</v>
          </cell>
          <cell r="Q96">
            <v>2.386104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40112</v>
          </cell>
          <cell r="B97">
            <v>40112</v>
          </cell>
          <cell r="C97" t="str">
            <v>Past</v>
          </cell>
          <cell r="D97">
            <v>11.37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11.37</v>
          </cell>
          <cell r="Q97">
            <v>3.054189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40113</v>
          </cell>
          <cell r="B98">
            <v>40113</v>
          </cell>
          <cell r="C98" t="str">
            <v>Past</v>
          </cell>
          <cell r="D98">
            <v>11.44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11.44</v>
          </cell>
          <cell r="Q98">
            <v>2.2041369999999998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40114</v>
          </cell>
          <cell r="B99">
            <v>40114</v>
          </cell>
          <cell r="C99" t="str">
            <v>Past</v>
          </cell>
          <cell r="D99">
            <v>11.46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11.46</v>
          </cell>
          <cell r="Q99">
            <v>3.8279000000000001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40115</v>
          </cell>
          <cell r="B100">
            <v>40115</v>
          </cell>
          <cell r="C100" t="str">
            <v>Past</v>
          </cell>
          <cell r="D100">
            <v>11.71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11.71</v>
          </cell>
          <cell r="Q100">
            <v>2.7270479999999999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40116</v>
          </cell>
          <cell r="B101">
            <v>40116</v>
          </cell>
          <cell r="C101" t="str">
            <v>Past</v>
          </cell>
          <cell r="D101">
            <v>11.46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11.46</v>
          </cell>
          <cell r="Q101">
            <v>3.0121819999999997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40119</v>
          </cell>
          <cell r="B102">
            <v>40119</v>
          </cell>
          <cell r="C102" t="str">
            <v>Past</v>
          </cell>
          <cell r="D102">
            <v>11.34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11.34</v>
          </cell>
          <cell r="Q102">
            <v>3.8830300000000002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40120</v>
          </cell>
          <cell r="B103">
            <v>40120</v>
          </cell>
          <cell r="C103" t="str">
            <v>Past</v>
          </cell>
          <cell r="D103">
            <v>11.46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11.46</v>
          </cell>
          <cell r="Q103">
            <v>2.5635779999999997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40121</v>
          </cell>
          <cell r="B104">
            <v>40121</v>
          </cell>
          <cell r="C104" t="str">
            <v>Past</v>
          </cell>
          <cell r="D104">
            <v>11.5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11.5</v>
          </cell>
          <cell r="Q104">
            <v>2.1466309999999997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40122</v>
          </cell>
          <cell r="B105">
            <v>40122</v>
          </cell>
          <cell r="C105" t="str">
            <v>Past</v>
          </cell>
          <cell r="D105">
            <v>11.73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11.73</v>
          </cell>
          <cell r="Q105">
            <v>1.6737000000000002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40123</v>
          </cell>
          <cell r="B106">
            <v>40123</v>
          </cell>
          <cell r="C106" t="str">
            <v>Past</v>
          </cell>
          <cell r="D106">
            <v>11.76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11.76</v>
          </cell>
          <cell r="Q106">
            <v>1.227522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40126</v>
          </cell>
          <cell r="B107">
            <v>40126</v>
          </cell>
          <cell r="C107" t="str">
            <v>Past</v>
          </cell>
          <cell r="D107">
            <v>11.76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11.76</v>
          </cell>
          <cell r="Q107">
            <v>2.7558609999999999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40127</v>
          </cell>
          <cell r="B108">
            <v>40127</v>
          </cell>
          <cell r="C108" t="str">
            <v>Past</v>
          </cell>
          <cell r="D108">
            <v>12.04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12.04</v>
          </cell>
          <cell r="Q108">
            <v>5.5502000000000002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40128</v>
          </cell>
          <cell r="B109">
            <v>40128</v>
          </cell>
          <cell r="C109" t="str">
            <v>Past</v>
          </cell>
          <cell r="D109">
            <v>11.87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11.87</v>
          </cell>
          <cell r="Q109">
            <v>1.5279600000000002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40129</v>
          </cell>
          <cell r="B110">
            <v>40129</v>
          </cell>
          <cell r="C110" t="str">
            <v>Past</v>
          </cell>
          <cell r="D110">
            <v>11.68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11.68</v>
          </cell>
          <cell r="Q110">
            <v>1.0482609999999999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40130</v>
          </cell>
          <cell r="B111">
            <v>40130</v>
          </cell>
          <cell r="C111" t="str">
            <v>Past</v>
          </cell>
          <cell r="D111">
            <v>11.79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11.79</v>
          </cell>
          <cell r="Q111">
            <v>1.274297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40133</v>
          </cell>
          <cell r="B112">
            <v>40133</v>
          </cell>
          <cell r="C112" t="str">
            <v>Past</v>
          </cell>
          <cell r="D112">
            <v>11.94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11.94</v>
          </cell>
          <cell r="Q112">
            <v>0.62196399999999996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40134</v>
          </cell>
          <cell r="B113">
            <v>40134</v>
          </cell>
          <cell r="C113" t="str">
            <v>Past</v>
          </cell>
          <cell r="D113">
            <v>11.9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11.9</v>
          </cell>
          <cell r="Q113">
            <v>0.67125299999999999</v>
          </cell>
          <cell r="R113" t="e">
            <v>#N/A</v>
          </cell>
        </row>
        <row r="114">
          <cell r="A114">
            <v>40135</v>
          </cell>
          <cell r="B114">
            <v>40135</v>
          </cell>
          <cell r="C114" t="str">
            <v>Past</v>
          </cell>
          <cell r="D114">
            <v>11.76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11.76</v>
          </cell>
          <cell r="Q114">
            <v>0.64498599999999995</v>
          </cell>
          <cell r="R114" t="e">
            <v>#N/A</v>
          </cell>
        </row>
        <row r="115">
          <cell r="A115">
            <v>40136</v>
          </cell>
          <cell r="B115">
            <v>40136</v>
          </cell>
          <cell r="C115" t="str">
            <v>Past</v>
          </cell>
          <cell r="D115">
            <v>11.56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11.56</v>
          </cell>
          <cell r="Q115">
            <v>1.2904279999999999</v>
          </cell>
          <cell r="R115" t="e">
            <v>#N/A</v>
          </cell>
        </row>
        <row r="116">
          <cell r="A116">
            <v>40137</v>
          </cell>
          <cell r="B116">
            <v>40137</v>
          </cell>
          <cell r="C116" t="str">
            <v>Past</v>
          </cell>
          <cell r="D116">
            <v>11.49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11.49</v>
          </cell>
          <cell r="Q116">
            <v>0.70999499999999993</v>
          </cell>
          <cell r="R116" t="e">
            <v>#N/A</v>
          </cell>
        </row>
        <row r="117">
          <cell r="A117">
            <v>40140</v>
          </cell>
          <cell r="B117">
            <v>40140</v>
          </cell>
          <cell r="C117" t="str">
            <v>Past</v>
          </cell>
          <cell r="D117">
            <v>11.67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11.67</v>
          </cell>
          <cell r="Q117">
            <v>1.04413</v>
          </cell>
          <cell r="R117" t="e">
            <v>#N/A</v>
          </cell>
        </row>
        <row r="118">
          <cell r="A118">
            <v>40141</v>
          </cell>
          <cell r="B118">
            <v>40141</v>
          </cell>
          <cell r="C118" t="str">
            <v>Past</v>
          </cell>
          <cell r="D118">
            <v>11.61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11.61</v>
          </cell>
          <cell r="Q118">
            <v>1.9307329999999998</v>
          </cell>
          <cell r="R118" t="e">
            <v>#N/A</v>
          </cell>
        </row>
        <row r="119">
          <cell r="A119">
            <v>40142</v>
          </cell>
          <cell r="B119">
            <v>40142</v>
          </cell>
          <cell r="C119" t="str">
            <v>Past</v>
          </cell>
          <cell r="D119">
            <v>11.65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11.65</v>
          </cell>
          <cell r="Q119">
            <v>0.93092900000000001</v>
          </cell>
          <cell r="R119" t="e">
            <v>#N/A</v>
          </cell>
        </row>
        <row r="120">
          <cell r="A120">
            <v>40144</v>
          </cell>
          <cell r="B120">
            <v>40144</v>
          </cell>
          <cell r="C120" t="str">
            <v>Past</v>
          </cell>
          <cell r="D120">
            <v>11.44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11.44</v>
          </cell>
          <cell r="Q120">
            <v>0.54460500000000001</v>
          </cell>
          <cell r="R120" t="e">
            <v>#N/A</v>
          </cell>
        </row>
        <row r="121">
          <cell r="A121">
            <v>40147</v>
          </cell>
          <cell r="B121">
            <v>40147</v>
          </cell>
          <cell r="C121" t="str">
            <v>Past</v>
          </cell>
          <cell r="D121">
            <v>11.64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11.64</v>
          </cell>
          <cell r="Q121">
            <v>3.259204</v>
          </cell>
          <cell r="R121" t="e">
            <v>#N/A</v>
          </cell>
        </row>
        <row r="122">
          <cell r="A122">
            <v>40148</v>
          </cell>
          <cell r="B122">
            <v>40148</v>
          </cell>
          <cell r="C122" t="str">
            <v>Past</v>
          </cell>
          <cell r="D122">
            <v>11.92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11.92</v>
          </cell>
          <cell r="Q122">
            <v>4.5483539999999998</v>
          </cell>
          <cell r="R122" t="e">
            <v>#N/A</v>
          </cell>
        </row>
        <row r="123">
          <cell r="A123">
            <v>40149</v>
          </cell>
          <cell r="B123">
            <v>40149</v>
          </cell>
          <cell r="C123" t="str">
            <v>Past</v>
          </cell>
          <cell r="D123">
            <v>12.08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12.08</v>
          </cell>
          <cell r="Q123">
            <v>1.643826</v>
          </cell>
          <cell r="R123" t="e">
            <v>#N/A</v>
          </cell>
        </row>
        <row r="124">
          <cell r="A124">
            <v>40150</v>
          </cell>
          <cell r="B124">
            <v>40150</v>
          </cell>
          <cell r="C124" t="str">
            <v>Past</v>
          </cell>
          <cell r="D124">
            <v>12.01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12.01</v>
          </cell>
          <cell r="Q124">
            <v>2.0495200000000002</v>
          </cell>
          <cell r="R124" t="e">
            <v>#N/A</v>
          </cell>
        </row>
        <row r="125">
          <cell r="A125">
            <v>40151</v>
          </cell>
          <cell r="B125">
            <v>40151</v>
          </cell>
          <cell r="C125" t="str">
            <v>Past</v>
          </cell>
          <cell r="D125">
            <v>12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12</v>
          </cell>
          <cell r="Q125">
            <v>1.6330449999999999</v>
          </cell>
          <cell r="R125" t="e">
            <v>#N/A</v>
          </cell>
        </row>
        <row r="126">
          <cell r="A126">
            <v>40154</v>
          </cell>
          <cell r="B126">
            <v>40154</v>
          </cell>
          <cell r="C126" t="str">
            <v>Past</v>
          </cell>
          <cell r="D126">
            <v>11.98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11.98</v>
          </cell>
          <cell r="Q126">
            <v>1.9720549999999999</v>
          </cell>
          <cell r="R126" t="e">
            <v>#N/A</v>
          </cell>
        </row>
        <row r="127">
          <cell r="A127">
            <v>40155</v>
          </cell>
          <cell r="B127">
            <v>40155</v>
          </cell>
          <cell r="C127" t="str">
            <v>Past</v>
          </cell>
          <cell r="D127">
            <v>11.96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11.96</v>
          </cell>
          <cell r="Q127">
            <v>1.403686</v>
          </cell>
          <cell r="R127" t="e">
            <v>#N/A</v>
          </cell>
        </row>
        <row r="128">
          <cell r="A128">
            <v>40156</v>
          </cell>
          <cell r="B128">
            <v>40156</v>
          </cell>
          <cell r="C128" t="str">
            <v>Past</v>
          </cell>
          <cell r="D128">
            <v>11.9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11.9</v>
          </cell>
          <cell r="Q128">
            <v>1.402925</v>
          </cell>
          <cell r="R128" t="e">
            <v>#N/A</v>
          </cell>
        </row>
        <row r="129">
          <cell r="A129">
            <v>40157</v>
          </cell>
          <cell r="B129">
            <v>40157</v>
          </cell>
          <cell r="C129" t="str">
            <v>Past</v>
          </cell>
          <cell r="D129">
            <v>11.92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11.92</v>
          </cell>
          <cell r="Q129">
            <v>1.6281049999999999</v>
          </cell>
          <cell r="R129" t="e">
            <v>#N/A</v>
          </cell>
        </row>
        <row r="130">
          <cell r="A130">
            <v>40158</v>
          </cell>
          <cell r="B130">
            <v>40158</v>
          </cell>
          <cell r="C130" t="str">
            <v>Past</v>
          </cell>
          <cell r="D130">
            <v>12.26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12.26</v>
          </cell>
          <cell r="Q130">
            <v>2.5341459999999998</v>
          </cell>
          <cell r="R130" t="e">
            <v>#N/A</v>
          </cell>
        </row>
        <row r="131">
          <cell r="A131">
            <v>40161</v>
          </cell>
          <cell r="B131">
            <v>40161</v>
          </cell>
          <cell r="C131" t="str">
            <v>Past</v>
          </cell>
          <cell r="D131">
            <v>12.39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12.39</v>
          </cell>
          <cell r="Q131">
            <v>1.5428109999999999</v>
          </cell>
          <cell r="R131" t="e">
            <v>#N/A</v>
          </cell>
        </row>
        <row r="132">
          <cell r="A132">
            <v>40162</v>
          </cell>
          <cell r="B132">
            <v>40162</v>
          </cell>
          <cell r="C132" t="str">
            <v>Past</v>
          </cell>
          <cell r="D132">
            <v>12.49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12.49</v>
          </cell>
          <cell r="Q132">
            <v>1.816954</v>
          </cell>
          <cell r="R132" t="e">
            <v>#N/A</v>
          </cell>
        </row>
        <row r="133">
          <cell r="A133">
            <v>40163</v>
          </cell>
          <cell r="B133">
            <v>40163</v>
          </cell>
          <cell r="C133" t="str">
            <v>Past</v>
          </cell>
          <cell r="D133">
            <v>12.67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12.67</v>
          </cell>
          <cell r="Q133">
            <v>3.4078200000000001</v>
          </cell>
          <cell r="R133" t="e">
            <v>#N/A</v>
          </cell>
        </row>
        <row r="134">
          <cell r="A134">
            <v>40164</v>
          </cell>
          <cell r="B134">
            <v>40164</v>
          </cell>
          <cell r="C134" t="str">
            <v>Past</v>
          </cell>
          <cell r="D134">
            <v>12.37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12.37</v>
          </cell>
          <cell r="Q134">
            <v>2.987034</v>
          </cell>
          <cell r="R134" t="e">
            <v>#N/A</v>
          </cell>
        </row>
        <row r="135">
          <cell r="A135">
            <v>40165</v>
          </cell>
          <cell r="B135">
            <v>40165</v>
          </cell>
          <cell r="C135" t="str">
            <v>Past</v>
          </cell>
          <cell r="D135">
            <v>12.39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12.39</v>
          </cell>
          <cell r="Q135">
            <v>2.0287000000000002</v>
          </cell>
          <cell r="R135" t="e">
            <v>#N/A</v>
          </cell>
        </row>
        <row r="136">
          <cell r="A136">
            <v>40168</v>
          </cell>
          <cell r="B136">
            <v>40168</v>
          </cell>
          <cell r="C136" t="str">
            <v>Past</v>
          </cell>
          <cell r="D136">
            <v>12.55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12.55</v>
          </cell>
          <cell r="Q136">
            <v>1.2931679999999999</v>
          </cell>
          <cell r="R136" t="e">
            <v>#N/A</v>
          </cell>
        </row>
        <row r="137">
          <cell r="A137">
            <v>40169</v>
          </cell>
          <cell r="B137">
            <v>40169</v>
          </cell>
          <cell r="C137" t="str">
            <v>Past</v>
          </cell>
          <cell r="D137">
            <v>12.51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12.51</v>
          </cell>
          <cell r="Q137">
            <v>0.98313899999999999</v>
          </cell>
          <cell r="R137" t="e">
            <v>#N/A</v>
          </cell>
        </row>
        <row r="138">
          <cell r="A138">
            <v>40170</v>
          </cell>
          <cell r="B138">
            <v>40170</v>
          </cell>
          <cell r="C138" t="str">
            <v>Past</v>
          </cell>
          <cell r="D138">
            <v>12.53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12.53</v>
          </cell>
          <cell r="Q138">
            <v>1.043939</v>
          </cell>
          <cell r="R138" t="e">
            <v>#N/A</v>
          </cell>
        </row>
        <row r="139">
          <cell r="A139">
            <v>40171</v>
          </cell>
          <cell r="B139">
            <v>40171</v>
          </cell>
          <cell r="C139" t="str">
            <v>Past</v>
          </cell>
          <cell r="D139">
            <v>12.54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12.54</v>
          </cell>
          <cell r="Q139">
            <v>0.188083</v>
          </cell>
          <cell r="R139" t="e">
            <v>#N/A</v>
          </cell>
        </row>
        <row r="140">
          <cell r="A140">
            <v>40175</v>
          </cell>
          <cell r="B140">
            <v>40175</v>
          </cell>
          <cell r="C140" t="str">
            <v>Past</v>
          </cell>
          <cell r="D140">
            <v>12.52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12.52</v>
          </cell>
          <cell r="Q140">
            <v>1.007449</v>
          </cell>
          <cell r="R140" t="e">
            <v>#N/A</v>
          </cell>
        </row>
        <row r="141">
          <cell r="A141">
            <v>40176</v>
          </cell>
          <cell r="B141">
            <v>40176</v>
          </cell>
          <cell r="C141" t="str">
            <v>Past</v>
          </cell>
          <cell r="D141">
            <v>12.53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12.53</v>
          </cell>
          <cell r="Q141">
            <v>1.2915209999999999</v>
          </cell>
          <cell r="R141" t="e">
            <v>#N/A</v>
          </cell>
        </row>
        <row r="142">
          <cell r="A142">
            <v>40177</v>
          </cell>
          <cell r="B142">
            <v>40177</v>
          </cell>
          <cell r="C142" t="str">
            <v>Past</v>
          </cell>
          <cell r="D142">
            <v>12.57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12.57</v>
          </cell>
          <cell r="Q142">
            <v>0.81364099999999995</v>
          </cell>
          <cell r="R142" t="e">
            <v>#N/A</v>
          </cell>
        </row>
        <row r="143">
          <cell r="A143">
            <v>40178</v>
          </cell>
          <cell r="B143">
            <v>40178</v>
          </cell>
          <cell r="C143" t="str">
            <v>Past</v>
          </cell>
          <cell r="D143">
            <v>12.38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12.38</v>
          </cell>
          <cell r="Q143">
            <v>0.75707799999999992</v>
          </cell>
          <cell r="R143" t="e">
            <v>#N/A</v>
          </cell>
        </row>
        <row r="144">
          <cell r="A144">
            <v>40182</v>
          </cell>
          <cell r="B144">
            <v>40182</v>
          </cell>
          <cell r="C144" t="str">
            <v>Past</v>
          </cell>
          <cell r="D144">
            <v>12.49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12.49</v>
          </cell>
          <cell r="Q144">
            <v>1.3208600000000001</v>
          </cell>
          <cell r="R144" t="e">
            <v>#N/A</v>
          </cell>
        </row>
        <row r="145">
          <cell r="A145">
            <v>40183</v>
          </cell>
          <cell r="B145">
            <v>40183</v>
          </cell>
          <cell r="C145" t="str">
            <v>Past</v>
          </cell>
          <cell r="D145">
            <v>12.22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12.22</v>
          </cell>
          <cell r="Q145">
            <v>2.594293</v>
          </cell>
          <cell r="R145" t="e">
            <v>#N/A</v>
          </cell>
        </row>
        <row r="146">
          <cell r="A146">
            <v>40184</v>
          </cell>
          <cell r="B146">
            <v>40184</v>
          </cell>
          <cell r="C146" t="str">
            <v>Past</v>
          </cell>
          <cell r="D146">
            <v>12.18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12.18</v>
          </cell>
          <cell r="Q146">
            <v>2.7537319999999998</v>
          </cell>
          <cell r="R146" t="e">
            <v>#N/A</v>
          </cell>
        </row>
        <row r="147">
          <cell r="A147">
            <v>40185</v>
          </cell>
          <cell r="B147">
            <v>40185</v>
          </cell>
          <cell r="C147" t="str">
            <v>Past</v>
          </cell>
          <cell r="D147">
            <v>11.95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11.95</v>
          </cell>
          <cell r="Q147">
            <v>2.590455</v>
          </cell>
          <cell r="R147" t="e">
            <v>#N/A</v>
          </cell>
        </row>
        <row r="148">
          <cell r="A148">
            <v>40186</v>
          </cell>
          <cell r="B148">
            <v>40186</v>
          </cell>
          <cell r="C148" t="str">
            <v>Past</v>
          </cell>
          <cell r="D148">
            <v>11.88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11.88</v>
          </cell>
          <cell r="Q148">
            <v>2.3484229999999999</v>
          </cell>
          <cell r="R148" t="e">
            <v>#N/A</v>
          </cell>
        </row>
        <row r="149">
          <cell r="A149">
            <v>40189</v>
          </cell>
          <cell r="B149">
            <v>40189</v>
          </cell>
          <cell r="C149" t="str">
            <v>Past</v>
          </cell>
          <cell r="D149">
            <v>11.93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11.93</v>
          </cell>
          <cell r="Q149">
            <v>5.0173579999999998</v>
          </cell>
          <cell r="R149" t="e">
            <v>#N/A</v>
          </cell>
        </row>
        <row r="150">
          <cell r="A150">
            <v>40190</v>
          </cell>
          <cell r="B150">
            <v>40190</v>
          </cell>
          <cell r="C150" t="str">
            <v>Past</v>
          </cell>
          <cell r="D150">
            <v>12.17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12.17</v>
          </cell>
          <cell r="Q150">
            <v>6.0215049999999994</v>
          </cell>
          <cell r="R150" t="e">
            <v>#N/A</v>
          </cell>
        </row>
        <row r="151">
          <cell r="A151">
            <v>40191</v>
          </cell>
          <cell r="B151">
            <v>40191</v>
          </cell>
          <cell r="C151" t="str">
            <v>Past</v>
          </cell>
          <cell r="D151">
            <v>12.36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12.36</v>
          </cell>
          <cell r="Q151">
            <v>2.7192000000000003</v>
          </cell>
          <cell r="R151" t="e">
            <v>#N/A</v>
          </cell>
        </row>
        <row r="152">
          <cell r="A152">
            <v>40192</v>
          </cell>
          <cell r="B152">
            <v>40192</v>
          </cell>
          <cell r="C152" t="str">
            <v>Past</v>
          </cell>
          <cell r="D152">
            <v>12.37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12.37</v>
          </cell>
          <cell r="Q152">
            <v>1.4913419999999999</v>
          </cell>
          <cell r="R152" t="e">
            <v>#N/A</v>
          </cell>
        </row>
        <row r="153">
          <cell r="A153">
            <v>40193</v>
          </cell>
          <cell r="B153">
            <v>40193</v>
          </cell>
          <cell r="C153" t="str">
            <v>Past</v>
          </cell>
          <cell r="D153">
            <v>12.31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12.31</v>
          </cell>
          <cell r="Q153">
            <v>2.846365</v>
          </cell>
          <cell r="R153" t="e">
            <v>#N/A</v>
          </cell>
        </row>
        <row r="154">
          <cell r="A154">
            <v>40197</v>
          </cell>
          <cell r="B154">
            <v>40197</v>
          </cell>
          <cell r="C154" t="str">
            <v>Past</v>
          </cell>
          <cell r="D154">
            <v>12.5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12.5</v>
          </cell>
          <cell r="Q154">
            <v>2.921125</v>
          </cell>
          <cell r="R154" t="e">
            <v>#N/A</v>
          </cell>
        </row>
        <row r="155">
          <cell r="A155">
            <v>40198</v>
          </cell>
          <cell r="B155">
            <v>40198</v>
          </cell>
          <cell r="C155" t="str">
            <v>Past</v>
          </cell>
          <cell r="D155">
            <v>12.54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12.54</v>
          </cell>
          <cell r="Q155">
            <v>5.5452529999999998</v>
          </cell>
          <cell r="R155" t="e">
            <v>#N/A</v>
          </cell>
        </row>
        <row r="156">
          <cell r="A156">
            <v>40199</v>
          </cell>
          <cell r="B156">
            <v>40199</v>
          </cell>
          <cell r="C156" t="str">
            <v>Past</v>
          </cell>
          <cell r="D156">
            <v>12.28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12.28</v>
          </cell>
          <cell r="Q156">
            <v>3.254715</v>
          </cell>
          <cell r="R156" t="e">
            <v>#N/A</v>
          </cell>
        </row>
        <row r="157">
          <cell r="A157">
            <v>40200</v>
          </cell>
          <cell r="B157">
            <v>40200</v>
          </cell>
          <cell r="C157" t="str">
            <v>Past</v>
          </cell>
          <cell r="D157">
            <v>11.99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11.99</v>
          </cell>
          <cell r="Q157">
            <v>2.027603</v>
          </cell>
          <cell r="R157" t="e">
            <v>#N/A</v>
          </cell>
        </row>
        <row r="158">
          <cell r="A158">
            <v>40203</v>
          </cell>
          <cell r="B158">
            <v>40203</v>
          </cell>
          <cell r="C158" t="str">
            <v>Past</v>
          </cell>
          <cell r="D158">
            <v>12.01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12.01</v>
          </cell>
          <cell r="Q158">
            <v>2.0521279999999997</v>
          </cell>
          <cell r="R158" t="e">
            <v>#N/A</v>
          </cell>
        </row>
        <row r="159">
          <cell r="A159">
            <v>40204</v>
          </cell>
          <cell r="B159">
            <v>40204</v>
          </cell>
          <cell r="C159" t="str">
            <v>Past</v>
          </cell>
          <cell r="D159">
            <v>11.98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11.98</v>
          </cell>
          <cell r="Q159">
            <v>1.741779</v>
          </cell>
          <cell r="R159" t="e">
            <v>#N/A</v>
          </cell>
        </row>
        <row r="160">
          <cell r="A160">
            <v>40205</v>
          </cell>
          <cell r="B160">
            <v>40205</v>
          </cell>
          <cell r="C160" t="str">
            <v>Past</v>
          </cell>
          <cell r="D160">
            <v>11.85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11.85</v>
          </cell>
          <cell r="Q160">
            <v>2.2158500000000001</v>
          </cell>
          <cell r="R160" t="e">
            <v>#N/A</v>
          </cell>
        </row>
        <row r="161">
          <cell r="A161">
            <v>40206</v>
          </cell>
          <cell r="B161">
            <v>40206</v>
          </cell>
          <cell r="C161" t="str">
            <v>Past</v>
          </cell>
          <cell r="D161">
            <v>11.74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11.74</v>
          </cell>
          <cell r="Q161">
            <v>2.1453059999999997</v>
          </cell>
          <cell r="R161" t="e">
            <v>#N/A</v>
          </cell>
        </row>
        <row r="162">
          <cell r="A162">
            <v>40207</v>
          </cell>
          <cell r="B162">
            <v>40207</v>
          </cell>
          <cell r="C162" t="str">
            <v>Past</v>
          </cell>
          <cell r="D162">
            <v>11.52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11.52</v>
          </cell>
          <cell r="Q162">
            <v>2.407451</v>
          </cell>
          <cell r="R162" t="e">
            <v>#N/A</v>
          </cell>
        </row>
        <row r="163">
          <cell r="A163">
            <v>40210</v>
          </cell>
          <cell r="B163">
            <v>40210</v>
          </cell>
          <cell r="C163" t="str">
            <v>Past</v>
          </cell>
          <cell r="D163">
            <v>11.58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11.58</v>
          </cell>
          <cell r="Q163">
            <v>1.7375529999999999</v>
          </cell>
          <cell r="R163" t="e">
            <v>#N/A</v>
          </cell>
        </row>
        <row r="164">
          <cell r="A164">
            <v>40211</v>
          </cell>
          <cell r="B164">
            <v>40211</v>
          </cell>
          <cell r="C164" t="str">
            <v>Past</v>
          </cell>
          <cell r="D164">
            <v>11.71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11.71</v>
          </cell>
          <cell r="Q164">
            <v>2.8388329999999997</v>
          </cell>
          <cell r="R164" t="e">
            <v>#N/A</v>
          </cell>
        </row>
        <row r="165">
          <cell r="A165">
            <v>40212</v>
          </cell>
          <cell r="B165">
            <v>40212</v>
          </cell>
          <cell r="C165" t="str">
            <v>Past</v>
          </cell>
          <cell r="D165">
            <v>11.47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11.47</v>
          </cell>
          <cell r="Q165">
            <v>8.2753759999999996</v>
          </cell>
          <cell r="R165" t="e">
            <v>#N/A</v>
          </cell>
        </row>
        <row r="166">
          <cell r="A166">
            <v>40213</v>
          </cell>
          <cell r="B166">
            <v>40213</v>
          </cell>
          <cell r="C166" t="str">
            <v>Past</v>
          </cell>
          <cell r="D166">
            <v>11.44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11.44</v>
          </cell>
          <cell r="Q166">
            <v>5.2136639999999996</v>
          </cell>
          <cell r="R166" t="e">
            <v>#N/A</v>
          </cell>
        </row>
        <row r="167">
          <cell r="A167">
            <v>40214</v>
          </cell>
          <cell r="B167">
            <v>40214</v>
          </cell>
          <cell r="C167" t="str">
            <v>Past</v>
          </cell>
          <cell r="D167">
            <v>11.36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11.36</v>
          </cell>
          <cell r="Q167">
            <v>3.9470300000000003</v>
          </cell>
          <cell r="R167" t="e">
            <v>#N/A</v>
          </cell>
        </row>
        <row r="168">
          <cell r="A168">
            <v>40217</v>
          </cell>
          <cell r="B168">
            <v>40217</v>
          </cell>
          <cell r="C168" t="str">
            <v>Past</v>
          </cell>
          <cell r="D168">
            <v>11.17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11.17</v>
          </cell>
          <cell r="Q168">
            <v>2.7023820000000001</v>
          </cell>
          <cell r="R168" t="e">
            <v>#N/A</v>
          </cell>
        </row>
        <row r="169">
          <cell r="A169">
            <v>40218</v>
          </cell>
          <cell r="B169">
            <v>40218</v>
          </cell>
          <cell r="C169" t="str">
            <v>Past</v>
          </cell>
          <cell r="D169">
            <v>11.17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11.17</v>
          </cell>
          <cell r="Q169">
            <v>2.2356449999999999</v>
          </cell>
          <cell r="R169" t="e">
            <v>#N/A</v>
          </cell>
        </row>
        <row r="170">
          <cell r="A170">
            <v>40219</v>
          </cell>
          <cell r="B170">
            <v>40219</v>
          </cell>
          <cell r="C170" t="str">
            <v>Past</v>
          </cell>
          <cell r="D170">
            <v>11.08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11.08</v>
          </cell>
          <cell r="Q170">
            <v>1.5576589999999999</v>
          </cell>
          <cell r="R170" t="e">
            <v>#N/A</v>
          </cell>
        </row>
        <row r="171">
          <cell r="A171">
            <v>40220</v>
          </cell>
          <cell r="B171">
            <v>40220</v>
          </cell>
          <cell r="C171" t="str">
            <v>Past</v>
          </cell>
          <cell r="D171">
            <v>11.1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11.1</v>
          </cell>
          <cell r="Q171">
            <v>3.0232400000000004</v>
          </cell>
          <cell r="R171" t="e">
            <v>#N/A</v>
          </cell>
        </row>
        <row r="172">
          <cell r="A172">
            <v>40221</v>
          </cell>
          <cell r="B172">
            <v>40221</v>
          </cell>
          <cell r="C172" t="str">
            <v>Past</v>
          </cell>
          <cell r="D172">
            <v>11.09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11.09</v>
          </cell>
          <cell r="Q172">
            <v>2.0410629999999998</v>
          </cell>
          <cell r="R172" t="e">
            <v>#N/A</v>
          </cell>
        </row>
        <row r="173">
          <cell r="A173">
            <v>40225</v>
          </cell>
          <cell r="B173">
            <v>40225</v>
          </cell>
          <cell r="C173" t="str">
            <v>Past</v>
          </cell>
          <cell r="D173">
            <v>11.34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11.34</v>
          </cell>
          <cell r="Q173">
            <v>1.205857</v>
          </cell>
          <cell r="R173" t="e">
            <v>#N/A</v>
          </cell>
        </row>
        <row r="174">
          <cell r="A174">
            <v>40226</v>
          </cell>
          <cell r="B174">
            <v>40226</v>
          </cell>
          <cell r="C174" t="str">
            <v>Past</v>
          </cell>
          <cell r="D174">
            <v>11.39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11.39</v>
          </cell>
          <cell r="Q174">
            <v>1.968005</v>
          </cell>
          <cell r="R174" t="e">
            <v>#N/A</v>
          </cell>
        </row>
        <row r="175">
          <cell r="A175">
            <v>40227</v>
          </cell>
          <cell r="B175">
            <v>40227</v>
          </cell>
          <cell r="C175" t="str">
            <v>Past</v>
          </cell>
          <cell r="D175">
            <v>11.4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11.4</v>
          </cell>
          <cell r="Q175">
            <v>1.733876</v>
          </cell>
          <cell r="R175" t="e">
            <v>#N/A</v>
          </cell>
        </row>
        <row r="176">
          <cell r="A176">
            <v>40228</v>
          </cell>
          <cell r="B176">
            <v>40228</v>
          </cell>
          <cell r="C176" t="str">
            <v>Past</v>
          </cell>
          <cell r="D176">
            <v>11.56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11.56</v>
          </cell>
          <cell r="Q176">
            <v>1.7208400000000001</v>
          </cell>
          <cell r="R176" t="e">
            <v>#N/A</v>
          </cell>
        </row>
        <row r="177">
          <cell r="A177">
            <v>40231</v>
          </cell>
          <cell r="B177">
            <v>40231</v>
          </cell>
          <cell r="C177" t="str">
            <v>Past</v>
          </cell>
          <cell r="D177">
            <v>11.49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11.49</v>
          </cell>
          <cell r="Q177">
            <v>0.80953000000000008</v>
          </cell>
          <cell r="R177" t="e">
            <v>#N/A</v>
          </cell>
        </row>
        <row r="178">
          <cell r="A178">
            <v>40232</v>
          </cell>
          <cell r="B178">
            <v>40232</v>
          </cell>
          <cell r="C178" t="str">
            <v>Past</v>
          </cell>
          <cell r="D178">
            <v>11.31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11.31</v>
          </cell>
          <cell r="Q178">
            <v>2.328532</v>
          </cell>
          <cell r="R178" t="e">
            <v>#N/A</v>
          </cell>
        </row>
        <row r="179">
          <cell r="A179">
            <v>40233</v>
          </cell>
          <cell r="B179">
            <v>40233</v>
          </cell>
          <cell r="C179" t="str">
            <v>Past</v>
          </cell>
          <cell r="D179">
            <v>11.28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11.28</v>
          </cell>
          <cell r="Q179">
            <v>2.9020509999999997</v>
          </cell>
          <cell r="R179" t="e">
            <v>#N/A</v>
          </cell>
        </row>
        <row r="180">
          <cell r="A180">
            <v>40234</v>
          </cell>
          <cell r="B180">
            <v>40234</v>
          </cell>
          <cell r="C180" t="str">
            <v>Past</v>
          </cell>
          <cell r="D180">
            <v>11.23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11.23</v>
          </cell>
          <cell r="Q180">
            <v>2.0132189999999999</v>
          </cell>
          <cell r="R180" t="e">
            <v>#N/A</v>
          </cell>
        </row>
        <row r="181">
          <cell r="A181">
            <v>40235</v>
          </cell>
          <cell r="B181">
            <v>40235</v>
          </cell>
          <cell r="C181" t="str">
            <v>Past</v>
          </cell>
          <cell r="D181">
            <v>11.11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11.11</v>
          </cell>
          <cell r="Q181">
            <v>2.0343549999999997</v>
          </cell>
          <cell r="R181" t="e">
            <v>#N/A</v>
          </cell>
        </row>
        <row r="182">
          <cell r="A182">
            <v>40238</v>
          </cell>
          <cell r="B182">
            <v>40238</v>
          </cell>
          <cell r="C182" t="str">
            <v>Past</v>
          </cell>
          <cell r="D182">
            <v>11.55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11.55</v>
          </cell>
          <cell r="Q182">
            <v>3.2926409999999997</v>
          </cell>
          <cell r="R182" t="e">
            <v>#N/A</v>
          </cell>
        </row>
        <row r="183">
          <cell r="A183">
            <v>40239</v>
          </cell>
          <cell r="B183">
            <v>40239</v>
          </cell>
          <cell r="C183" t="str">
            <v>Past</v>
          </cell>
          <cell r="D183">
            <v>11.68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11.68</v>
          </cell>
          <cell r="Q183">
            <v>1.8359489999999998</v>
          </cell>
          <cell r="R183" t="e">
            <v>#N/A</v>
          </cell>
        </row>
        <row r="184">
          <cell r="A184">
            <v>40240</v>
          </cell>
          <cell r="B184">
            <v>40240</v>
          </cell>
          <cell r="C184" t="str">
            <v>Past</v>
          </cell>
          <cell r="D184">
            <v>11.62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11.62</v>
          </cell>
          <cell r="Q184">
            <v>1.013161</v>
          </cell>
          <cell r="R184" t="e">
            <v>#N/A</v>
          </cell>
        </row>
        <row r="185">
          <cell r="A185">
            <v>40241</v>
          </cell>
          <cell r="B185">
            <v>40241</v>
          </cell>
          <cell r="C185" t="str">
            <v>Past</v>
          </cell>
          <cell r="D185">
            <v>11.6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11.6</v>
          </cell>
          <cell r="Q185">
            <v>0.86625799999999997</v>
          </cell>
          <cell r="R185" t="e">
            <v>#N/A</v>
          </cell>
        </row>
        <row r="186">
          <cell r="A186">
            <v>40242</v>
          </cell>
          <cell r="B186">
            <v>40242</v>
          </cell>
          <cell r="C186" t="str">
            <v>Past</v>
          </cell>
          <cell r="D186">
            <v>11.7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11.7</v>
          </cell>
          <cell r="Q186">
            <v>0.73514099999999993</v>
          </cell>
          <cell r="R186" t="e">
            <v>#N/A</v>
          </cell>
        </row>
        <row r="187">
          <cell r="A187">
            <v>40245</v>
          </cell>
          <cell r="B187">
            <v>40245</v>
          </cell>
          <cell r="C187" t="str">
            <v>Past</v>
          </cell>
          <cell r="D187">
            <v>11.65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11.65</v>
          </cell>
          <cell r="Q187">
            <v>0.86661699999999997</v>
          </cell>
          <cell r="R187" t="e">
            <v>#N/A</v>
          </cell>
        </row>
        <row r="188">
          <cell r="A188">
            <v>40246</v>
          </cell>
          <cell r="B188">
            <v>40246</v>
          </cell>
          <cell r="C188" t="str">
            <v>Past</v>
          </cell>
          <cell r="D188">
            <v>11.72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11.72</v>
          </cell>
          <cell r="Q188">
            <v>1.2221309999999999</v>
          </cell>
          <cell r="R188" t="e">
            <v>#N/A</v>
          </cell>
        </row>
        <row r="189">
          <cell r="A189">
            <v>40247</v>
          </cell>
          <cell r="B189">
            <v>40247</v>
          </cell>
          <cell r="C189" t="str">
            <v>Past</v>
          </cell>
          <cell r="D189">
            <v>11.6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11.6</v>
          </cell>
          <cell r="Q189">
            <v>2.0219130000000001</v>
          </cell>
          <cell r="R189" t="e">
            <v>#N/A</v>
          </cell>
        </row>
        <row r="190">
          <cell r="A190">
            <v>40248</v>
          </cell>
          <cell r="B190">
            <v>40248</v>
          </cell>
          <cell r="C190" t="str">
            <v>Past</v>
          </cell>
          <cell r="D190">
            <v>11.72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11.72</v>
          </cell>
          <cell r="Q190">
            <v>1.8552769999999998</v>
          </cell>
          <cell r="R190" t="e">
            <v>#N/A</v>
          </cell>
        </row>
        <row r="191">
          <cell r="A191">
            <v>40249</v>
          </cell>
          <cell r="B191">
            <v>40249</v>
          </cell>
          <cell r="C191" t="str">
            <v>Past</v>
          </cell>
          <cell r="D191">
            <v>11.69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11.69</v>
          </cell>
          <cell r="Q191">
            <v>1.565866</v>
          </cell>
          <cell r="R191" t="e">
            <v>#N/A</v>
          </cell>
        </row>
        <row r="192">
          <cell r="A192">
            <v>40252</v>
          </cell>
          <cell r="B192">
            <v>40252</v>
          </cell>
          <cell r="C192" t="str">
            <v>Past</v>
          </cell>
          <cell r="D192">
            <v>11.76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11.76</v>
          </cell>
          <cell r="Q192">
            <v>1.1150229999999999</v>
          </cell>
          <cell r="R192" t="e">
            <v>#N/A</v>
          </cell>
        </row>
        <row r="193">
          <cell r="A193">
            <v>40253</v>
          </cell>
          <cell r="B193">
            <v>40253</v>
          </cell>
          <cell r="C193" t="str">
            <v>Past</v>
          </cell>
          <cell r="D193">
            <v>11.93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11.93</v>
          </cell>
          <cell r="Q193">
            <v>1.731938</v>
          </cell>
          <cell r="R193" t="e">
            <v>#N/A</v>
          </cell>
        </row>
        <row r="194">
          <cell r="A194">
            <v>40254</v>
          </cell>
          <cell r="B194">
            <v>40254</v>
          </cell>
          <cell r="C194" t="str">
            <v>Past</v>
          </cell>
          <cell r="D194">
            <v>12.02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12.02</v>
          </cell>
          <cell r="Q194">
            <v>1.4566429999999999</v>
          </cell>
          <cell r="R194" t="e">
            <v>#N/A</v>
          </cell>
        </row>
        <row r="195">
          <cell r="A195">
            <v>40255</v>
          </cell>
          <cell r="B195">
            <v>40255</v>
          </cell>
          <cell r="C195" t="str">
            <v>Past</v>
          </cell>
          <cell r="D195">
            <v>12.03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12.03</v>
          </cell>
          <cell r="Q195">
            <v>0.810307</v>
          </cell>
          <cell r="R195" t="e">
            <v>#N/A</v>
          </cell>
        </row>
        <row r="196">
          <cell r="A196">
            <v>40256</v>
          </cell>
          <cell r="B196">
            <v>40256</v>
          </cell>
          <cell r="C196" t="str">
            <v>Past</v>
          </cell>
          <cell r="D196">
            <v>12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12</v>
          </cell>
          <cell r="Q196">
            <v>1.940742</v>
          </cell>
          <cell r="R196" t="e">
            <v>#N/A</v>
          </cell>
        </row>
        <row r="197">
          <cell r="A197">
            <v>40259</v>
          </cell>
          <cell r="B197">
            <v>40259</v>
          </cell>
          <cell r="C197" t="str">
            <v>Past</v>
          </cell>
          <cell r="D197">
            <v>12.07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12.07</v>
          </cell>
          <cell r="Q197">
            <v>2.8972189999999998</v>
          </cell>
          <cell r="R197" t="e">
            <v>#N/A</v>
          </cell>
        </row>
        <row r="198">
          <cell r="A198">
            <v>40260</v>
          </cell>
          <cell r="B198">
            <v>40260</v>
          </cell>
          <cell r="C198" t="str">
            <v>Past</v>
          </cell>
          <cell r="D198">
            <v>12.1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12.1</v>
          </cell>
          <cell r="Q198">
            <v>1.913257</v>
          </cell>
          <cell r="R198" t="e">
            <v>#N/A</v>
          </cell>
        </row>
        <row r="199">
          <cell r="A199">
            <v>40261</v>
          </cell>
          <cell r="B199">
            <v>40261</v>
          </cell>
          <cell r="C199" t="str">
            <v>Past</v>
          </cell>
          <cell r="D199">
            <v>11.93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11.93</v>
          </cell>
          <cell r="Q199">
            <v>1.8157200000000002</v>
          </cell>
          <cell r="R199" t="e">
            <v>#N/A</v>
          </cell>
        </row>
        <row r="200">
          <cell r="A200">
            <v>40262</v>
          </cell>
          <cell r="B200">
            <v>40262</v>
          </cell>
          <cell r="C200" t="str">
            <v>Past</v>
          </cell>
          <cell r="D200">
            <v>11.8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11.8</v>
          </cell>
          <cell r="Q200">
            <v>1.4980149999999999</v>
          </cell>
          <cell r="R200" t="e">
            <v>#N/A</v>
          </cell>
        </row>
        <row r="201">
          <cell r="A201">
            <v>40263</v>
          </cell>
          <cell r="B201">
            <v>40263</v>
          </cell>
          <cell r="C201" t="str">
            <v>Past</v>
          </cell>
          <cell r="D201">
            <v>12.2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12.2</v>
          </cell>
          <cell r="Q201">
            <v>3.5113669999999999</v>
          </cell>
          <cell r="R201" t="e">
            <v>#N/A</v>
          </cell>
        </row>
        <row r="202">
          <cell r="A202">
            <v>40266</v>
          </cell>
          <cell r="B202">
            <v>40266</v>
          </cell>
          <cell r="C202" t="str">
            <v>Past</v>
          </cell>
          <cell r="D202">
            <v>12.33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12.33</v>
          </cell>
          <cell r="Q202">
            <v>0.98394199999999998</v>
          </cell>
          <cell r="R202" t="e">
            <v>#N/A</v>
          </cell>
        </row>
        <row r="203">
          <cell r="A203">
            <v>40267</v>
          </cell>
          <cell r="B203">
            <v>40267</v>
          </cell>
          <cell r="C203" t="str">
            <v>Past</v>
          </cell>
          <cell r="D203">
            <v>12.39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12.39</v>
          </cell>
          <cell r="Q203">
            <v>1.0866149999999999</v>
          </cell>
          <cell r="R203" t="e">
            <v>#N/A</v>
          </cell>
        </row>
        <row r="204">
          <cell r="A204">
            <v>40268</v>
          </cell>
          <cell r="B204">
            <v>40268</v>
          </cell>
          <cell r="C204" t="str">
            <v>Past</v>
          </cell>
          <cell r="D204">
            <v>12.33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12.33</v>
          </cell>
          <cell r="Q204">
            <v>1.941349</v>
          </cell>
          <cell r="R204" t="e">
            <v>#N/A</v>
          </cell>
        </row>
        <row r="205">
          <cell r="A205">
            <v>40269</v>
          </cell>
          <cell r="B205">
            <v>40269</v>
          </cell>
          <cell r="C205" t="str">
            <v>Past</v>
          </cell>
          <cell r="D205">
            <v>12.37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12.37</v>
          </cell>
          <cell r="Q205">
            <v>1.3437249999999998</v>
          </cell>
          <cell r="R205" t="e">
            <v>#N/A</v>
          </cell>
        </row>
        <row r="206">
          <cell r="A206">
            <v>40273</v>
          </cell>
          <cell r="B206">
            <v>40273</v>
          </cell>
          <cell r="C206" t="str">
            <v>Past</v>
          </cell>
          <cell r="D206">
            <v>12.49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12.49</v>
          </cell>
          <cell r="Q206">
            <v>0.89013000000000009</v>
          </cell>
          <cell r="R206" t="e">
            <v>#N/A</v>
          </cell>
        </row>
        <row r="207">
          <cell r="A207">
            <v>40274</v>
          </cell>
          <cell r="B207">
            <v>40274</v>
          </cell>
          <cell r="C207" t="str">
            <v>Past</v>
          </cell>
          <cell r="D207">
            <v>12.58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12.58</v>
          </cell>
          <cell r="Q207">
            <v>1.018416</v>
          </cell>
          <cell r="R207" t="e">
            <v>#N/A</v>
          </cell>
        </row>
        <row r="208">
          <cell r="A208">
            <v>40275</v>
          </cell>
          <cell r="B208">
            <v>40275</v>
          </cell>
          <cell r="C208" t="str">
            <v>Past</v>
          </cell>
          <cell r="D208">
            <v>12.44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12.44</v>
          </cell>
          <cell r="Q208">
            <v>0.93972099999999992</v>
          </cell>
          <cell r="R208" t="e">
            <v>#N/A</v>
          </cell>
        </row>
        <row r="209">
          <cell r="A209">
            <v>40276</v>
          </cell>
          <cell r="B209">
            <v>40276</v>
          </cell>
          <cell r="C209" t="str">
            <v>Past</v>
          </cell>
          <cell r="D209">
            <v>12.3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12.3</v>
          </cell>
          <cell r="Q209">
            <v>0.7571500000000001</v>
          </cell>
          <cell r="R209" t="e">
            <v>#N/A</v>
          </cell>
        </row>
        <row r="210">
          <cell r="A210">
            <v>40277</v>
          </cell>
          <cell r="B210">
            <v>40277</v>
          </cell>
          <cell r="C210" t="str">
            <v>Past</v>
          </cell>
          <cell r="D210">
            <v>12.29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12.29</v>
          </cell>
          <cell r="Q210">
            <v>1.188437</v>
          </cell>
          <cell r="R210" t="e">
            <v>#N/A</v>
          </cell>
        </row>
        <row r="211">
          <cell r="A211">
            <v>40280</v>
          </cell>
          <cell r="B211">
            <v>40280</v>
          </cell>
          <cell r="C211" t="str">
            <v>Past</v>
          </cell>
          <cell r="D211">
            <v>12.45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12.45</v>
          </cell>
          <cell r="Q211">
            <v>1.376951</v>
          </cell>
          <cell r="R211" t="e">
            <v>#N/A</v>
          </cell>
        </row>
        <row r="212">
          <cell r="A212">
            <v>40281</v>
          </cell>
          <cell r="B212">
            <v>40281</v>
          </cell>
          <cell r="C212" t="str">
            <v>Past</v>
          </cell>
          <cell r="D212">
            <v>12.35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12.35</v>
          </cell>
          <cell r="Q212">
            <v>1.2989089999999999</v>
          </cell>
          <cell r="R212" t="e">
            <v>#N/A</v>
          </cell>
        </row>
        <row r="213">
          <cell r="A213">
            <v>40282</v>
          </cell>
          <cell r="B213">
            <v>40282</v>
          </cell>
          <cell r="C213" t="str">
            <v>Past</v>
          </cell>
          <cell r="D213">
            <v>12.52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12.52</v>
          </cell>
          <cell r="Q213">
            <v>2.1197759999999999</v>
          </cell>
          <cell r="R213" t="e">
            <v>#N/A</v>
          </cell>
        </row>
        <row r="214">
          <cell r="A214">
            <v>40283</v>
          </cell>
          <cell r="B214">
            <v>40283</v>
          </cell>
          <cell r="C214" t="str">
            <v>Past</v>
          </cell>
          <cell r="D214">
            <v>12.46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12.46</v>
          </cell>
          <cell r="Q214">
            <v>1.5679889999999999</v>
          </cell>
          <cell r="R214" t="e">
            <v>#N/A</v>
          </cell>
        </row>
        <row r="215">
          <cell r="A215">
            <v>40284</v>
          </cell>
          <cell r="B215">
            <v>40284</v>
          </cell>
          <cell r="C215" t="str">
            <v>Past</v>
          </cell>
          <cell r="D215">
            <v>12.26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12.26</v>
          </cell>
          <cell r="Q215">
            <v>1.6249600000000002</v>
          </cell>
          <cell r="R215" t="e">
            <v>#N/A</v>
          </cell>
        </row>
        <row r="216">
          <cell r="A216">
            <v>40287</v>
          </cell>
          <cell r="B216">
            <v>40287</v>
          </cell>
          <cell r="C216" t="str">
            <v>Past</v>
          </cell>
          <cell r="D216">
            <v>12.32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12.32</v>
          </cell>
          <cell r="Q216">
            <v>2.0003889999999998</v>
          </cell>
          <cell r="R216" t="e">
            <v>#N/A</v>
          </cell>
        </row>
        <row r="217">
          <cell r="A217">
            <v>40288</v>
          </cell>
          <cell r="B217">
            <v>40288</v>
          </cell>
          <cell r="C217" t="str">
            <v>Past</v>
          </cell>
          <cell r="D217">
            <v>12.52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12.52</v>
          </cell>
          <cell r="Q217">
            <v>1.9799049999999998</v>
          </cell>
          <cell r="R217" t="e">
            <v>#N/A</v>
          </cell>
        </row>
        <row r="218">
          <cell r="A218">
            <v>40289</v>
          </cell>
          <cell r="B218">
            <v>40289</v>
          </cell>
          <cell r="C218" t="str">
            <v>Past</v>
          </cell>
          <cell r="D218">
            <v>12.68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12.68</v>
          </cell>
          <cell r="Q218">
            <v>1.3910549999999999</v>
          </cell>
          <cell r="R218" t="e">
            <v>#N/A</v>
          </cell>
        </row>
        <row r="219">
          <cell r="A219">
            <v>40290</v>
          </cell>
          <cell r="B219">
            <v>40290</v>
          </cell>
          <cell r="C219" t="str">
            <v>Past</v>
          </cell>
          <cell r="D219">
            <v>12.67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12.67</v>
          </cell>
          <cell r="Q219">
            <v>1.328667</v>
          </cell>
          <cell r="R219" t="e">
            <v>#N/A</v>
          </cell>
        </row>
        <row r="220">
          <cell r="A220">
            <v>40291</v>
          </cell>
          <cell r="B220">
            <v>40291</v>
          </cell>
          <cell r="C220" t="str">
            <v>Past</v>
          </cell>
          <cell r="D220">
            <v>12.8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12.8</v>
          </cell>
          <cell r="Q220">
            <v>1.840479</v>
          </cell>
          <cell r="R220" t="e">
            <v>#N/A</v>
          </cell>
        </row>
        <row r="221">
          <cell r="A221">
            <v>40294</v>
          </cell>
          <cell r="B221">
            <v>40294</v>
          </cell>
          <cell r="C221" t="str">
            <v>Past</v>
          </cell>
          <cell r="D221">
            <v>12.83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12.83</v>
          </cell>
          <cell r="Q221">
            <v>1.8009769999999998</v>
          </cell>
          <cell r="R221" t="e">
            <v>#N/A</v>
          </cell>
        </row>
        <row r="222">
          <cell r="A222">
            <v>40295</v>
          </cell>
          <cell r="B222">
            <v>40295</v>
          </cell>
          <cell r="C222" t="str">
            <v>Past</v>
          </cell>
          <cell r="D222">
            <v>12.5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12.5</v>
          </cell>
          <cell r="Q222">
            <v>2.283982</v>
          </cell>
          <cell r="R222" t="e">
            <v>#N/A</v>
          </cell>
        </row>
        <row r="223">
          <cell r="A223">
            <v>40296</v>
          </cell>
          <cell r="B223">
            <v>40296</v>
          </cell>
          <cell r="C223" t="str">
            <v>Past</v>
          </cell>
          <cell r="D223">
            <v>12.57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12.57</v>
          </cell>
          <cell r="Q223">
            <v>1.881316</v>
          </cell>
          <cell r="R223" t="e">
            <v>#N/A</v>
          </cell>
        </row>
        <row r="224">
          <cell r="A224">
            <v>40297</v>
          </cell>
          <cell r="B224">
            <v>40297</v>
          </cell>
          <cell r="C224" t="str">
            <v>Past</v>
          </cell>
          <cell r="D224">
            <v>12.61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12.61</v>
          </cell>
          <cell r="Q224">
            <v>1.0299</v>
          </cell>
          <cell r="R224" t="e">
            <v>#N/A</v>
          </cell>
        </row>
        <row r="225">
          <cell r="A225">
            <v>40298</v>
          </cell>
          <cell r="B225">
            <v>40298</v>
          </cell>
          <cell r="C225" t="str">
            <v>Past</v>
          </cell>
          <cell r="D225">
            <v>12.49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12.49</v>
          </cell>
          <cell r="Q225">
            <v>1.550983</v>
          </cell>
          <cell r="R225" t="e">
            <v>#N/A</v>
          </cell>
        </row>
        <row r="226">
          <cell r="A226">
            <v>40301</v>
          </cell>
          <cell r="B226">
            <v>40301</v>
          </cell>
          <cell r="C226" t="str">
            <v>Past</v>
          </cell>
          <cell r="D226">
            <v>12.74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12.74</v>
          </cell>
          <cell r="Q226">
            <v>0.98091000000000006</v>
          </cell>
          <cell r="R226" t="e">
            <v>#N/A</v>
          </cell>
        </row>
        <row r="227">
          <cell r="A227">
            <v>40302</v>
          </cell>
          <cell r="B227">
            <v>40302</v>
          </cell>
          <cell r="C227" t="str">
            <v>Past</v>
          </cell>
          <cell r="D227">
            <v>12.55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12.55</v>
          </cell>
          <cell r="Q227">
            <v>2.0831219999999999</v>
          </cell>
          <cell r="R227" t="e">
            <v>#N/A</v>
          </cell>
        </row>
        <row r="228">
          <cell r="A228">
            <v>40303</v>
          </cell>
          <cell r="B228">
            <v>40303</v>
          </cell>
          <cell r="C228" t="str">
            <v>Past</v>
          </cell>
          <cell r="D228">
            <v>12.32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12.32</v>
          </cell>
          <cell r="Q228">
            <v>1.9299929999999998</v>
          </cell>
          <cell r="R228" t="e">
            <v>#N/A</v>
          </cell>
        </row>
        <row r="229">
          <cell r="A229">
            <v>40304</v>
          </cell>
          <cell r="B229">
            <v>40304</v>
          </cell>
          <cell r="C229" t="str">
            <v>Past</v>
          </cell>
          <cell r="D229">
            <v>11.84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11.84</v>
          </cell>
          <cell r="Q229">
            <v>3.275773</v>
          </cell>
          <cell r="R229" t="e">
            <v>#N/A</v>
          </cell>
        </row>
        <row r="230">
          <cell r="A230">
            <v>40305</v>
          </cell>
          <cell r="B230">
            <v>40305</v>
          </cell>
          <cell r="C230" t="str">
            <v>Past</v>
          </cell>
          <cell r="D230">
            <v>11.95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11.95</v>
          </cell>
          <cell r="Q230">
            <v>3.9817559999999999</v>
          </cell>
          <cell r="R230" t="e">
            <v>#N/A</v>
          </cell>
        </row>
        <row r="231">
          <cell r="A231">
            <v>40308</v>
          </cell>
          <cell r="B231">
            <v>40308</v>
          </cell>
          <cell r="C231" t="str">
            <v>Past</v>
          </cell>
          <cell r="D231">
            <v>12.42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12.42</v>
          </cell>
          <cell r="Q231">
            <v>1.6023179999999999</v>
          </cell>
          <cell r="R231" t="e">
            <v>#N/A</v>
          </cell>
        </row>
        <row r="232">
          <cell r="A232">
            <v>40309</v>
          </cell>
          <cell r="B232">
            <v>40309</v>
          </cell>
          <cell r="C232" t="str">
            <v>Past</v>
          </cell>
          <cell r="D232">
            <v>12.46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12.46</v>
          </cell>
          <cell r="Q232">
            <v>1.645672</v>
          </cell>
          <cell r="R232" t="e">
            <v>#N/A</v>
          </cell>
        </row>
        <row r="233">
          <cell r="A233">
            <v>40310</v>
          </cell>
          <cell r="B233">
            <v>40310</v>
          </cell>
          <cell r="C233" t="str">
            <v>Past</v>
          </cell>
          <cell r="D233">
            <v>12.74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12.74</v>
          </cell>
          <cell r="Q233">
            <v>1.823553</v>
          </cell>
          <cell r="R233" t="e">
            <v>#N/A</v>
          </cell>
        </row>
        <row r="234">
          <cell r="A234">
            <v>40311</v>
          </cell>
          <cell r="B234">
            <v>40311</v>
          </cell>
          <cell r="C234" t="str">
            <v>Past</v>
          </cell>
          <cell r="D234">
            <v>12.56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12.56</v>
          </cell>
          <cell r="Q234">
            <v>1.317496</v>
          </cell>
          <cell r="R234" t="e">
            <v>#N/A</v>
          </cell>
        </row>
        <row r="235">
          <cell r="A235">
            <v>40312</v>
          </cell>
          <cell r="B235">
            <v>40312</v>
          </cell>
          <cell r="C235" t="str">
            <v>Past</v>
          </cell>
          <cell r="D235">
            <v>12.41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12.41</v>
          </cell>
          <cell r="Q235">
            <v>1.7794029999999998</v>
          </cell>
          <cell r="R235" t="e">
            <v>#N/A</v>
          </cell>
        </row>
        <row r="236">
          <cell r="A236">
            <v>40315</v>
          </cell>
          <cell r="B236">
            <v>40315</v>
          </cell>
          <cell r="C236" t="str">
            <v>Past</v>
          </cell>
          <cell r="D236">
            <v>12.35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12.35</v>
          </cell>
          <cell r="Q236">
            <v>1.611421</v>
          </cell>
          <cell r="R236" t="e">
            <v>#N/A</v>
          </cell>
        </row>
        <row r="237">
          <cell r="A237">
            <v>40316</v>
          </cell>
          <cell r="B237">
            <v>40316</v>
          </cell>
          <cell r="C237" t="str">
            <v>Past</v>
          </cell>
          <cell r="D237">
            <v>12.25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12.25</v>
          </cell>
          <cell r="Q237">
            <v>1.4101409999999999</v>
          </cell>
          <cell r="R237" t="e">
            <v>#N/A</v>
          </cell>
        </row>
        <row r="238">
          <cell r="A238">
            <v>40317</v>
          </cell>
          <cell r="B238">
            <v>40317</v>
          </cell>
          <cell r="C238" t="str">
            <v>Past</v>
          </cell>
          <cell r="D238">
            <v>12.12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12.12</v>
          </cell>
          <cell r="Q238">
            <v>2.0616829999999999</v>
          </cell>
          <cell r="R238" t="e">
            <v>#N/A</v>
          </cell>
        </row>
        <row r="239">
          <cell r="A239">
            <v>40318</v>
          </cell>
          <cell r="B239">
            <v>40318</v>
          </cell>
          <cell r="C239" t="str">
            <v>Past</v>
          </cell>
          <cell r="D239">
            <v>11.77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11.77</v>
          </cell>
          <cell r="Q239">
            <v>2.752262</v>
          </cell>
          <cell r="R239" t="e">
            <v>#N/A</v>
          </cell>
        </row>
        <row r="240">
          <cell r="A240">
            <v>40319</v>
          </cell>
          <cell r="B240">
            <v>40319</v>
          </cell>
          <cell r="C240" t="str">
            <v>Past</v>
          </cell>
          <cell r="D240">
            <v>11.89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11.89</v>
          </cell>
          <cell r="Q240">
            <v>2.8777209999999998</v>
          </cell>
          <cell r="R240" t="e">
            <v>#N/A</v>
          </cell>
        </row>
        <row r="241">
          <cell r="A241">
            <v>40322</v>
          </cell>
          <cell r="B241">
            <v>40322</v>
          </cell>
          <cell r="C241" t="str">
            <v>Past</v>
          </cell>
          <cell r="D241">
            <v>11.81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11.81</v>
          </cell>
          <cell r="Q241">
            <v>2.0820590000000001</v>
          </cell>
          <cell r="R241" t="e">
            <v>#N/A</v>
          </cell>
        </row>
        <row r="242">
          <cell r="A242">
            <v>40323</v>
          </cell>
          <cell r="B242">
            <v>40323</v>
          </cell>
          <cell r="C242" t="str">
            <v>Past</v>
          </cell>
          <cell r="D242">
            <v>11.69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11.69</v>
          </cell>
          <cell r="Q242">
            <v>4.9853079999999999</v>
          </cell>
          <cell r="R242" t="e">
            <v>#N/A</v>
          </cell>
        </row>
        <row r="243">
          <cell r="A243">
            <v>40324</v>
          </cell>
          <cell r="B243">
            <v>40324</v>
          </cell>
          <cell r="C243" t="str">
            <v>Past</v>
          </cell>
          <cell r="D243">
            <v>11.78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11.78</v>
          </cell>
          <cell r="Q243">
            <v>3.5629729999999999</v>
          </cell>
          <cell r="R243" t="e">
            <v>#N/A</v>
          </cell>
        </row>
        <row r="244">
          <cell r="A244">
            <v>40325</v>
          </cell>
          <cell r="B244">
            <v>40325</v>
          </cell>
          <cell r="C244" t="str">
            <v>Past</v>
          </cell>
          <cell r="D244">
            <v>11.69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11.69</v>
          </cell>
          <cell r="Q244">
            <v>1.725136</v>
          </cell>
          <cell r="R244" t="e">
            <v>#N/A</v>
          </cell>
        </row>
        <row r="245">
          <cell r="A245">
            <v>40326</v>
          </cell>
          <cell r="B245">
            <v>40326</v>
          </cell>
          <cell r="C245" t="str">
            <v>Past</v>
          </cell>
          <cell r="D245">
            <v>11.79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11.79</v>
          </cell>
          <cell r="Q245">
            <v>2.8304469999999999</v>
          </cell>
          <cell r="R245" t="e">
            <v>#N/A</v>
          </cell>
        </row>
        <row r="246">
          <cell r="A246">
            <v>40330</v>
          </cell>
          <cell r="B246">
            <v>40330</v>
          </cell>
          <cell r="C246" t="str">
            <v>Past</v>
          </cell>
          <cell r="D246">
            <v>11.6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11.6</v>
          </cell>
          <cell r="Q246">
            <v>1.8102</v>
          </cell>
          <cell r="R246" t="e">
            <v>#N/A</v>
          </cell>
        </row>
        <row r="247">
          <cell r="A247">
            <v>40331</v>
          </cell>
          <cell r="B247">
            <v>40331</v>
          </cell>
          <cell r="C247" t="str">
            <v>Past</v>
          </cell>
          <cell r="D247">
            <v>11.87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11.87</v>
          </cell>
          <cell r="Q247">
            <v>1.2998000000000001</v>
          </cell>
          <cell r="R247" t="e">
            <v>#N/A</v>
          </cell>
        </row>
        <row r="248">
          <cell r="A248">
            <v>40332</v>
          </cell>
          <cell r="B248">
            <v>40332</v>
          </cell>
          <cell r="C248" t="str">
            <v>Past</v>
          </cell>
          <cell r="D248">
            <v>12.14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12.14</v>
          </cell>
          <cell r="Q248">
            <v>1.155041</v>
          </cell>
          <cell r="R248" t="e">
            <v>#N/A</v>
          </cell>
        </row>
        <row r="249">
          <cell r="A249">
            <v>40333</v>
          </cell>
          <cell r="B249">
            <v>40333</v>
          </cell>
          <cell r="C249" t="str">
            <v>Past</v>
          </cell>
          <cell r="D249">
            <v>11.7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11.7</v>
          </cell>
          <cell r="Q249">
            <v>2.746337</v>
          </cell>
          <cell r="R249" t="e">
            <v>#N/A</v>
          </cell>
        </row>
        <row r="250">
          <cell r="A250">
            <v>40336</v>
          </cell>
          <cell r="B250">
            <v>40336</v>
          </cell>
          <cell r="C250" t="str">
            <v>Past</v>
          </cell>
          <cell r="D250">
            <v>11.88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11.88</v>
          </cell>
          <cell r="Q250">
            <v>2.357313</v>
          </cell>
          <cell r="R250" t="e">
            <v>#N/A</v>
          </cell>
        </row>
        <row r="251">
          <cell r="A251">
            <v>40337</v>
          </cell>
          <cell r="B251">
            <v>40337</v>
          </cell>
          <cell r="C251" t="str">
            <v>Past</v>
          </cell>
          <cell r="D251">
            <v>11.96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11.96</v>
          </cell>
          <cell r="Q251">
            <v>2.3212519999999999</v>
          </cell>
          <cell r="R251" t="e">
            <v>#N/A</v>
          </cell>
        </row>
        <row r="252">
          <cell r="A252">
            <v>40338</v>
          </cell>
          <cell r="B252">
            <v>40338</v>
          </cell>
          <cell r="C252" t="str">
            <v>Past</v>
          </cell>
          <cell r="D252">
            <v>11.75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11.75</v>
          </cell>
          <cell r="Q252">
            <v>1.6222349999999999</v>
          </cell>
          <cell r="R252" t="e">
            <v>#N/A</v>
          </cell>
        </row>
        <row r="253">
          <cell r="A253">
            <v>40339</v>
          </cell>
          <cell r="B253">
            <v>40339</v>
          </cell>
          <cell r="C253" t="str">
            <v>Past</v>
          </cell>
          <cell r="D253">
            <v>12.06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12.06</v>
          </cell>
          <cell r="Q253">
            <v>1.7997719999999999</v>
          </cell>
          <cell r="R253" t="e">
            <v>#N/A</v>
          </cell>
        </row>
        <row r="254">
          <cell r="A254">
            <v>40340</v>
          </cell>
          <cell r="B254">
            <v>40340</v>
          </cell>
          <cell r="C254" t="str">
            <v>Past</v>
          </cell>
          <cell r="D254">
            <v>12.06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12.06</v>
          </cell>
          <cell r="Q254">
            <v>1.7262029999999999</v>
          </cell>
          <cell r="R254" t="e">
            <v>#N/A</v>
          </cell>
        </row>
        <row r="255">
          <cell r="A255">
            <v>40343</v>
          </cell>
          <cell r="B255">
            <v>40343</v>
          </cell>
          <cell r="C255" t="str">
            <v>Past</v>
          </cell>
          <cell r="D255">
            <v>12.21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12.21</v>
          </cell>
          <cell r="Q255">
            <v>2.7275359999999997</v>
          </cell>
          <cell r="R255" t="e">
            <v>#N/A</v>
          </cell>
        </row>
        <row r="256">
          <cell r="A256">
            <v>40344</v>
          </cell>
          <cell r="B256">
            <v>40344</v>
          </cell>
          <cell r="C256" t="str">
            <v>Past</v>
          </cell>
          <cell r="D256">
            <v>12.52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12.52</v>
          </cell>
          <cell r="Q256">
            <v>3.219265</v>
          </cell>
          <cell r="R256" t="e">
            <v>#N/A</v>
          </cell>
        </row>
        <row r="257">
          <cell r="A257">
            <v>40345</v>
          </cell>
          <cell r="B257">
            <v>40345</v>
          </cell>
          <cell r="C257" t="str">
            <v>Past</v>
          </cell>
          <cell r="D257">
            <v>12.6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12.6</v>
          </cell>
          <cell r="Q257">
            <v>2.083361</v>
          </cell>
          <cell r="R257" t="e">
            <v>#N/A</v>
          </cell>
        </row>
        <row r="258">
          <cell r="A258">
            <v>40346</v>
          </cell>
          <cell r="B258">
            <v>40346</v>
          </cell>
          <cell r="C258" t="str">
            <v>Past</v>
          </cell>
          <cell r="D258">
            <v>12.72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12.72</v>
          </cell>
          <cell r="Q258">
            <v>2.4469629999999998</v>
          </cell>
          <cell r="R258" t="e">
            <v>#N/A</v>
          </cell>
        </row>
        <row r="259">
          <cell r="A259">
            <v>40347</v>
          </cell>
          <cell r="B259">
            <v>40347</v>
          </cell>
          <cell r="C259" t="str">
            <v>Past</v>
          </cell>
          <cell r="D259">
            <v>12.59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12.59</v>
          </cell>
          <cell r="Q259">
            <v>1.9597</v>
          </cell>
          <cell r="R259" t="e">
            <v>#N/A</v>
          </cell>
        </row>
        <row r="260">
          <cell r="A260">
            <v>40350</v>
          </cell>
          <cell r="B260">
            <v>40350</v>
          </cell>
          <cell r="C260" t="str">
            <v>Past</v>
          </cell>
          <cell r="D260">
            <v>12.49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12.49</v>
          </cell>
          <cell r="Q260">
            <v>3.2103129999999998</v>
          </cell>
          <cell r="R260" t="e">
            <v>#N/A</v>
          </cell>
        </row>
        <row r="261">
          <cell r="A261">
            <v>40351</v>
          </cell>
          <cell r="B261">
            <v>40351</v>
          </cell>
          <cell r="C261" t="str">
            <v>Past</v>
          </cell>
          <cell r="D261">
            <v>12.19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12.19</v>
          </cell>
          <cell r="Q261">
            <v>1.522295</v>
          </cell>
          <cell r="R261" t="e">
            <v>#N/A</v>
          </cell>
        </row>
        <row r="262">
          <cell r="A262">
            <v>40352</v>
          </cell>
          <cell r="B262">
            <v>40352</v>
          </cell>
          <cell r="C262" t="str">
            <v>Past</v>
          </cell>
          <cell r="D262">
            <v>12.02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12.02</v>
          </cell>
          <cell r="Q262">
            <v>0.87350099999999997</v>
          </cell>
          <cell r="R262" t="e">
            <v>#N/A</v>
          </cell>
        </row>
        <row r="263">
          <cell r="A263">
            <v>40353</v>
          </cell>
          <cell r="B263">
            <v>40353</v>
          </cell>
          <cell r="C263" t="str">
            <v>Past</v>
          </cell>
          <cell r="D263">
            <v>11.96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11.96</v>
          </cell>
          <cell r="Q263">
            <v>2.462377</v>
          </cell>
          <cell r="R263" t="e">
            <v>#N/A</v>
          </cell>
        </row>
        <row r="264">
          <cell r="A264">
            <v>40354</v>
          </cell>
          <cell r="B264">
            <v>40354</v>
          </cell>
          <cell r="C264" t="str">
            <v>Past</v>
          </cell>
          <cell r="D264">
            <v>12.07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12.07</v>
          </cell>
          <cell r="Q264">
            <v>3.9080569999999999</v>
          </cell>
          <cell r="R264" t="e">
            <v>#N/A</v>
          </cell>
        </row>
        <row r="265">
          <cell r="A265">
            <v>40357</v>
          </cell>
          <cell r="B265">
            <v>40357</v>
          </cell>
          <cell r="C265" t="str">
            <v>Past</v>
          </cell>
          <cell r="D265">
            <v>12.13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12.13</v>
          </cell>
          <cell r="Q265">
            <v>1.9079279999999998</v>
          </cell>
          <cell r="R265" t="e">
            <v>#N/A</v>
          </cell>
        </row>
        <row r="266">
          <cell r="A266">
            <v>40358</v>
          </cell>
          <cell r="B266">
            <v>40358</v>
          </cell>
          <cell r="C266" t="str">
            <v>Past</v>
          </cell>
          <cell r="D266">
            <v>11.93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11.93</v>
          </cell>
          <cell r="Q266">
            <v>2.6454580000000001</v>
          </cell>
          <cell r="R266" t="e">
            <v>#N/A</v>
          </cell>
        </row>
        <row r="267">
          <cell r="A267">
            <v>40359</v>
          </cell>
          <cell r="B267">
            <v>40359</v>
          </cell>
          <cell r="C267" t="str">
            <v>Past</v>
          </cell>
          <cell r="D267">
            <v>11.81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11.81</v>
          </cell>
          <cell r="Q267">
            <v>3.2041879999999998</v>
          </cell>
          <cell r="R267" t="e">
            <v>#N/A</v>
          </cell>
        </row>
        <row r="268">
          <cell r="A268">
            <v>40360</v>
          </cell>
          <cell r="B268">
            <v>40360</v>
          </cell>
          <cell r="C268" t="str">
            <v>Past</v>
          </cell>
          <cell r="D268">
            <v>11.75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11.75</v>
          </cell>
          <cell r="Q268">
            <v>2.2558889999999998</v>
          </cell>
          <cell r="R268" t="e">
            <v>#N/A</v>
          </cell>
        </row>
        <row r="269">
          <cell r="A269">
            <v>40361</v>
          </cell>
          <cell r="B269">
            <v>40361</v>
          </cell>
          <cell r="C269" t="str">
            <v>Past</v>
          </cell>
          <cell r="D269">
            <v>11.79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11.79</v>
          </cell>
          <cell r="Q269">
            <v>1.5568379999999999</v>
          </cell>
          <cell r="R269" t="e">
            <v>#N/A</v>
          </cell>
        </row>
        <row r="270">
          <cell r="A270">
            <v>40365</v>
          </cell>
          <cell r="B270">
            <v>40365</v>
          </cell>
          <cell r="C270" t="str">
            <v>Past</v>
          </cell>
          <cell r="D270">
            <v>11.95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11.95</v>
          </cell>
          <cell r="Q270">
            <v>2.0747359999999997</v>
          </cell>
          <cell r="R270" t="e">
            <v>#N/A</v>
          </cell>
        </row>
        <row r="271">
          <cell r="A271">
            <v>40366</v>
          </cell>
          <cell r="B271">
            <v>40366</v>
          </cell>
          <cell r="C271" t="str">
            <v>Past</v>
          </cell>
          <cell r="D271">
            <v>12.3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12.3</v>
          </cell>
          <cell r="Q271">
            <v>1.5029669999999999</v>
          </cell>
          <cell r="R271" t="e">
            <v>#N/A</v>
          </cell>
        </row>
        <row r="272">
          <cell r="A272">
            <v>40367</v>
          </cell>
          <cell r="B272">
            <v>40367</v>
          </cell>
          <cell r="C272" t="str">
            <v>Past</v>
          </cell>
          <cell r="D272">
            <v>12.26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12.26</v>
          </cell>
          <cell r="Q272">
            <v>1.6987000000000001</v>
          </cell>
          <cell r="R272" t="e">
            <v>#N/A</v>
          </cell>
        </row>
        <row r="273">
          <cell r="A273">
            <v>40368</v>
          </cell>
          <cell r="B273">
            <v>40368</v>
          </cell>
          <cell r="C273" t="str">
            <v>Past</v>
          </cell>
          <cell r="D273">
            <v>12.6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12.6</v>
          </cell>
          <cell r="Q273">
            <v>2.9425400000000002</v>
          </cell>
          <cell r="R273" t="e">
            <v>#N/A</v>
          </cell>
        </row>
        <row r="274">
          <cell r="A274">
            <v>40371</v>
          </cell>
          <cell r="B274">
            <v>40371</v>
          </cell>
          <cell r="C274" t="str">
            <v>Past</v>
          </cell>
          <cell r="D274">
            <v>12.68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12.68</v>
          </cell>
          <cell r="Q274">
            <v>1.863105</v>
          </cell>
          <cell r="R274" t="e">
            <v>#N/A</v>
          </cell>
        </row>
        <row r="275">
          <cell r="A275">
            <v>40372</v>
          </cell>
          <cell r="B275">
            <v>40372</v>
          </cell>
          <cell r="C275" t="str">
            <v>Past</v>
          </cell>
          <cell r="D275">
            <v>12.68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12.68</v>
          </cell>
          <cell r="Q275">
            <v>1.8854229999999998</v>
          </cell>
          <cell r="R275" t="e">
            <v>#N/A</v>
          </cell>
        </row>
        <row r="276">
          <cell r="A276">
            <v>40373</v>
          </cell>
          <cell r="B276">
            <v>40373</v>
          </cell>
          <cell r="C276" t="str">
            <v>Past</v>
          </cell>
          <cell r="D276">
            <v>12.76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12.76</v>
          </cell>
          <cell r="Q276">
            <v>3.8541569999999998</v>
          </cell>
          <cell r="R276" t="e">
            <v>#N/A</v>
          </cell>
        </row>
        <row r="277">
          <cell r="A277">
            <v>40374</v>
          </cell>
          <cell r="B277">
            <v>40374</v>
          </cell>
          <cell r="C277" t="str">
            <v>Past</v>
          </cell>
          <cell r="D277">
            <v>12.77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12.77</v>
          </cell>
          <cell r="Q277">
            <v>1.5362</v>
          </cell>
          <cell r="R277" t="e">
            <v>#N/A</v>
          </cell>
        </row>
        <row r="278">
          <cell r="A278">
            <v>40375</v>
          </cell>
          <cell r="B278">
            <v>40375</v>
          </cell>
          <cell r="C278" t="str">
            <v>Past</v>
          </cell>
          <cell r="D278">
            <v>12.39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12.39</v>
          </cell>
          <cell r="Q278">
            <v>2.187497</v>
          </cell>
          <cell r="R278" t="e">
            <v>#N/A</v>
          </cell>
        </row>
        <row r="279">
          <cell r="A279">
            <v>40378</v>
          </cell>
          <cell r="B279">
            <v>40378</v>
          </cell>
          <cell r="C279" t="str">
            <v>Past</v>
          </cell>
          <cell r="D279">
            <v>12.57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12.57</v>
          </cell>
          <cell r="Q279">
            <v>1.995854</v>
          </cell>
          <cell r="R279" t="e">
            <v>#N/A</v>
          </cell>
        </row>
        <row r="280">
          <cell r="A280">
            <v>40379</v>
          </cell>
          <cell r="B280">
            <v>40379</v>
          </cell>
          <cell r="C280" t="str">
            <v>Past</v>
          </cell>
          <cell r="D280">
            <v>12.63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12.63</v>
          </cell>
          <cell r="Q280">
            <v>2.4046590000000001</v>
          </cell>
          <cell r="R280" t="e">
            <v>#N/A</v>
          </cell>
        </row>
        <row r="281">
          <cell r="A281">
            <v>40380</v>
          </cell>
          <cell r="B281">
            <v>40380</v>
          </cell>
          <cell r="C281" t="str">
            <v>Past</v>
          </cell>
          <cell r="D281">
            <v>12.55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12.55</v>
          </cell>
          <cell r="Q281">
            <v>3.4714669999999996</v>
          </cell>
          <cell r="R281" t="e">
            <v>#N/A</v>
          </cell>
        </row>
        <row r="282">
          <cell r="A282">
            <v>40381</v>
          </cell>
          <cell r="B282">
            <v>40381</v>
          </cell>
          <cell r="C282" t="str">
            <v>Past</v>
          </cell>
          <cell r="D282">
            <v>12.78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12.78</v>
          </cell>
          <cell r="Q282">
            <v>1.318586</v>
          </cell>
          <cell r="R282" t="e">
            <v>#N/A</v>
          </cell>
        </row>
        <row r="283">
          <cell r="A283">
            <v>40382</v>
          </cell>
          <cell r="B283">
            <v>40382</v>
          </cell>
          <cell r="C283" t="str">
            <v>Past</v>
          </cell>
          <cell r="D283">
            <v>12.82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12.82</v>
          </cell>
          <cell r="Q283">
            <v>1.328279</v>
          </cell>
          <cell r="R283" t="e">
            <v>#N/A</v>
          </cell>
        </row>
        <row r="284">
          <cell r="A284">
            <v>40385</v>
          </cell>
          <cell r="B284">
            <v>40385</v>
          </cell>
          <cell r="C284" t="str">
            <v>Past</v>
          </cell>
          <cell r="D284">
            <v>12.88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12.88</v>
          </cell>
          <cell r="Q284">
            <v>1.9803439999999999</v>
          </cell>
          <cell r="R284" t="e">
            <v>#N/A</v>
          </cell>
        </row>
        <row r="285">
          <cell r="A285">
            <v>40386</v>
          </cell>
          <cell r="B285">
            <v>40386</v>
          </cell>
          <cell r="C285" t="str">
            <v>Past</v>
          </cell>
          <cell r="D285">
            <v>13.12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13.12</v>
          </cell>
          <cell r="Q285">
            <v>2.9478309999999999</v>
          </cell>
          <cell r="R285" t="e">
            <v>#N/A</v>
          </cell>
        </row>
        <row r="286">
          <cell r="A286">
            <v>40387</v>
          </cell>
          <cell r="B286">
            <v>40387</v>
          </cell>
          <cell r="C286" t="str">
            <v>Past</v>
          </cell>
          <cell r="D286">
            <v>12.93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12.93</v>
          </cell>
          <cell r="Q286">
            <v>1.091621</v>
          </cell>
          <cell r="R286" t="e">
            <v>#N/A</v>
          </cell>
        </row>
        <row r="287">
          <cell r="A287">
            <v>40388</v>
          </cell>
          <cell r="B287">
            <v>40388</v>
          </cell>
          <cell r="C287" t="str">
            <v>Past</v>
          </cell>
          <cell r="D287">
            <v>12.73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12.73</v>
          </cell>
          <cell r="Q287">
            <v>1.718626</v>
          </cell>
          <cell r="R287" t="e">
            <v>#N/A</v>
          </cell>
        </row>
        <row r="288">
          <cell r="A288">
            <v>40389</v>
          </cell>
          <cell r="B288">
            <v>40389</v>
          </cell>
          <cell r="C288" t="str">
            <v>Past</v>
          </cell>
          <cell r="D288">
            <v>12.7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12.7</v>
          </cell>
          <cell r="Q288">
            <v>1.846115</v>
          </cell>
          <cell r="R288" t="e">
            <v>#N/A</v>
          </cell>
        </row>
        <row r="289">
          <cell r="A289">
            <v>40392</v>
          </cell>
          <cell r="B289">
            <v>40392</v>
          </cell>
          <cell r="C289" t="str">
            <v>Past</v>
          </cell>
          <cell r="D289">
            <v>12.82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12.82</v>
          </cell>
          <cell r="Q289">
            <v>1.8807369999999999</v>
          </cell>
          <cell r="R289" t="e">
            <v>#N/A</v>
          </cell>
        </row>
        <row r="290">
          <cell r="A290">
            <v>40393</v>
          </cell>
          <cell r="B290">
            <v>40393</v>
          </cell>
          <cell r="C290" t="str">
            <v>Past</v>
          </cell>
          <cell r="D290">
            <v>12.77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12.77</v>
          </cell>
          <cell r="Q290">
            <v>1.263906</v>
          </cell>
          <cell r="R290" t="e">
            <v>#N/A</v>
          </cell>
        </row>
        <row r="291">
          <cell r="A291">
            <v>40394</v>
          </cell>
          <cell r="B291">
            <v>40394</v>
          </cell>
          <cell r="C291" t="str">
            <v>Past</v>
          </cell>
          <cell r="D291">
            <v>12.78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12.78</v>
          </cell>
          <cell r="Q291">
            <v>1.3239029999999998</v>
          </cell>
          <cell r="R291" t="e">
            <v>#N/A</v>
          </cell>
        </row>
        <row r="292">
          <cell r="A292">
            <v>40395</v>
          </cell>
          <cell r="B292">
            <v>40395</v>
          </cell>
          <cell r="C292" t="str">
            <v>Past</v>
          </cell>
          <cell r="D292">
            <v>12.9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12.9</v>
          </cell>
          <cell r="Q292">
            <v>0.96239399999999997</v>
          </cell>
          <cell r="R292" t="e">
            <v>#N/A</v>
          </cell>
        </row>
        <row r="293">
          <cell r="A293">
            <v>40396</v>
          </cell>
          <cell r="B293">
            <v>40396</v>
          </cell>
          <cell r="C293" t="str">
            <v>Past</v>
          </cell>
          <cell r="D293">
            <v>12.86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12.86</v>
          </cell>
          <cell r="Q293">
            <v>1.220923</v>
          </cell>
          <cell r="R293" t="e">
            <v>#N/A</v>
          </cell>
        </row>
        <row r="294">
          <cell r="A294">
            <v>40399</v>
          </cell>
          <cell r="B294">
            <v>40399</v>
          </cell>
          <cell r="C294" t="str">
            <v>Past</v>
          </cell>
          <cell r="D294">
            <v>12.99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12.99</v>
          </cell>
          <cell r="Q294">
            <v>1.9647569999999999</v>
          </cell>
          <cell r="R294" t="e">
            <v>#N/A</v>
          </cell>
        </row>
        <row r="295">
          <cell r="A295">
            <v>40400</v>
          </cell>
          <cell r="B295">
            <v>40400</v>
          </cell>
          <cell r="C295" t="str">
            <v>Past</v>
          </cell>
          <cell r="D295">
            <v>12.96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12.96</v>
          </cell>
          <cell r="Q295">
            <v>1.34331</v>
          </cell>
          <cell r="R295" t="e">
            <v>#N/A</v>
          </cell>
        </row>
        <row r="296">
          <cell r="A296">
            <v>40401</v>
          </cell>
          <cell r="B296">
            <v>40401</v>
          </cell>
          <cell r="C296" t="str">
            <v>Past</v>
          </cell>
          <cell r="D296">
            <v>12.69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12.69</v>
          </cell>
          <cell r="Q296">
            <v>1.5584</v>
          </cell>
          <cell r="R296" t="e">
            <v>#N/A</v>
          </cell>
        </row>
        <row r="297">
          <cell r="A297">
            <v>40402</v>
          </cell>
          <cell r="B297">
            <v>40402</v>
          </cell>
          <cell r="C297" t="str">
            <v>Past</v>
          </cell>
          <cell r="D297">
            <v>12.75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12.75</v>
          </cell>
          <cell r="Q297">
            <v>2.0656810000000001</v>
          </cell>
          <cell r="R297" t="e">
            <v>#N/A</v>
          </cell>
        </row>
        <row r="298">
          <cell r="A298">
            <v>40403</v>
          </cell>
          <cell r="B298">
            <v>40403</v>
          </cell>
          <cell r="C298" t="str">
            <v>Past</v>
          </cell>
          <cell r="D298">
            <v>12.82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12.82</v>
          </cell>
          <cell r="Q298">
            <v>0.93745000000000012</v>
          </cell>
          <cell r="R298" t="e">
            <v>#N/A</v>
          </cell>
        </row>
        <row r="299">
          <cell r="A299">
            <v>40406</v>
          </cell>
          <cell r="B299">
            <v>40406</v>
          </cell>
          <cell r="C299" t="str">
            <v>Past</v>
          </cell>
          <cell r="D299">
            <v>12.82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12.82</v>
          </cell>
          <cell r="Q299">
            <v>0.783667</v>
          </cell>
          <cell r="R299" t="e">
            <v>#N/A</v>
          </cell>
        </row>
        <row r="300">
          <cell r="A300">
            <v>40407</v>
          </cell>
          <cell r="B300">
            <v>40407</v>
          </cell>
          <cell r="C300" t="str">
            <v>Past</v>
          </cell>
          <cell r="D300">
            <v>12.95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12.95</v>
          </cell>
          <cell r="Q300">
            <v>0.81975599999999993</v>
          </cell>
          <cell r="R300" t="e">
            <v>#N/A</v>
          </cell>
        </row>
        <row r="301">
          <cell r="A301">
            <v>40408</v>
          </cell>
          <cell r="B301">
            <v>40408</v>
          </cell>
          <cell r="C301" t="str">
            <v>Past</v>
          </cell>
          <cell r="D301">
            <v>12.84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12.84</v>
          </cell>
          <cell r="Q301">
            <v>1.089143</v>
          </cell>
          <cell r="R301" t="e">
            <v>#N/A</v>
          </cell>
        </row>
        <row r="302">
          <cell r="A302">
            <v>40409</v>
          </cell>
          <cell r="B302">
            <v>40409</v>
          </cell>
          <cell r="C302" t="str">
            <v>Past</v>
          </cell>
          <cell r="D302">
            <v>12.6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12.6</v>
          </cell>
          <cell r="Q302">
            <v>0.71370099999999992</v>
          </cell>
          <cell r="R302" t="e">
            <v>#N/A</v>
          </cell>
        </row>
        <row r="303">
          <cell r="A303">
            <v>40410</v>
          </cell>
          <cell r="B303">
            <v>40410</v>
          </cell>
          <cell r="C303" t="str">
            <v>Past</v>
          </cell>
          <cell r="D303">
            <v>12.57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12.57</v>
          </cell>
          <cell r="Q303">
            <v>1.371812</v>
          </cell>
          <cell r="R303" t="e">
            <v>#N/A</v>
          </cell>
        </row>
        <row r="304">
          <cell r="A304">
            <v>40413</v>
          </cell>
          <cell r="B304">
            <v>40413</v>
          </cell>
          <cell r="C304" t="str">
            <v>Past</v>
          </cell>
          <cell r="D304">
            <v>12.56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12.56</v>
          </cell>
          <cell r="Q304">
            <v>1.7882069999999999</v>
          </cell>
          <cell r="R304" t="e">
            <v>#N/A</v>
          </cell>
        </row>
        <row r="305">
          <cell r="A305">
            <v>40414</v>
          </cell>
          <cell r="B305">
            <v>40414</v>
          </cell>
          <cell r="C305" t="str">
            <v>Past</v>
          </cell>
          <cell r="D305">
            <v>12.51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12.51</v>
          </cell>
          <cell r="Q305">
            <v>1.018284</v>
          </cell>
          <cell r="R305" t="e">
            <v>#N/A</v>
          </cell>
        </row>
        <row r="306">
          <cell r="A306">
            <v>40415</v>
          </cell>
          <cell r="B306">
            <v>40415</v>
          </cell>
          <cell r="C306" t="str">
            <v>Past</v>
          </cell>
          <cell r="D306">
            <v>12.51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12.51</v>
          </cell>
          <cell r="Q306">
            <v>1.948426</v>
          </cell>
          <cell r="R306" t="e">
            <v>#N/A</v>
          </cell>
        </row>
        <row r="307">
          <cell r="A307">
            <v>40416</v>
          </cell>
          <cell r="B307">
            <v>40416</v>
          </cell>
          <cell r="C307" t="str">
            <v>Past</v>
          </cell>
          <cell r="D307">
            <v>12.51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12.51</v>
          </cell>
          <cell r="Q307">
            <v>1.2078149999999999</v>
          </cell>
          <cell r="R307" t="e">
            <v>#N/A</v>
          </cell>
        </row>
        <row r="308">
          <cell r="A308">
            <v>40417</v>
          </cell>
          <cell r="B308">
            <v>40417</v>
          </cell>
          <cell r="C308" t="str">
            <v>Past</v>
          </cell>
          <cell r="D308">
            <v>12.8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12.8</v>
          </cell>
          <cell r="Q308">
            <v>2.2369500000000002</v>
          </cell>
          <cell r="R308" t="e">
            <v>#N/A</v>
          </cell>
        </row>
        <row r="309">
          <cell r="A309">
            <v>40420</v>
          </cell>
          <cell r="B309">
            <v>40420</v>
          </cell>
          <cell r="C309" t="str">
            <v>Past</v>
          </cell>
          <cell r="D309">
            <v>12.64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12.64</v>
          </cell>
          <cell r="Q309">
            <v>1.491317</v>
          </cell>
          <cell r="R309" t="e">
            <v>#N/A</v>
          </cell>
        </row>
        <row r="310">
          <cell r="A310">
            <v>40421</v>
          </cell>
          <cell r="B310">
            <v>40421</v>
          </cell>
          <cell r="C310" t="str">
            <v>Past</v>
          </cell>
          <cell r="D310">
            <v>12.8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12.8</v>
          </cell>
          <cell r="Q310">
            <v>1.946672</v>
          </cell>
          <cell r="R310" t="e">
            <v>#N/A</v>
          </cell>
        </row>
        <row r="311">
          <cell r="A311">
            <v>40422</v>
          </cell>
          <cell r="B311">
            <v>40422</v>
          </cell>
          <cell r="C311" t="str">
            <v>Past</v>
          </cell>
          <cell r="D311">
            <v>13.13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13.13</v>
          </cell>
          <cell r="Q311">
            <v>2.65388</v>
          </cell>
          <cell r="R311" t="e">
            <v>#N/A</v>
          </cell>
        </row>
        <row r="312">
          <cell r="A312">
            <v>40423</v>
          </cell>
          <cell r="B312">
            <v>40423</v>
          </cell>
          <cell r="C312" t="str">
            <v>Past</v>
          </cell>
          <cell r="D312">
            <v>13.07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13.07</v>
          </cell>
          <cell r="Q312">
            <v>3.9073409999999997</v>
          </cell>
          <cell r="R312" t="e">
            <v>#N/A</v>
          </cell>
        </row>
        <row r="313">
          <cell r="A313">
            <v>40424</v>
          </cell>
          <cell r="B313">
            <v>40424</v>
          </cell>
          <cell r="C313" t="str">
            <v>Past</v>
          </cell>
          <cell r="D313">
            <v>13.21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13.21</v>
          </cell>
          <cell r="Q313">
            <v>1.7133909999999999</v>
          </cell>
          <cell r="R313" t="e">
            <v>#N/A</v>
          </cell>
        </row>
        <row r="314">
          <cell r="A314">
            <v>40428</v>
          </cell>
          <cell r="B314">
            <v>40428</v>
          </cell>
          <cell r="C314" t="str">
            <v>Past</v>
          </cell>
          <cell r="D314">
            <v>13.13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13.13</v>
          </cell>
          <cell r="Q314">
            <v>1.388282</v>
          </cell>
          <cell r="R314" t="e">
            <v>#N/A</v>
          </cell>
        </row>
        <row r="315">
          <cell r="A315">
            <v>40429</v>
          </cell>
          <cell r="B315">
            <v>40429</v>
          </cell>
          <cell r="C315" t="str">
            <v>Past</v>
          </cell>
          <cell r="D315">
            <v>12.95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12.95</v>
          </cell>
          <cell r="Q315">
            <v>1.844096</v>
          </cell>
          <cell r="R315" t="e">
            <v>#N/A</v>
          </cell>
        </row>
        <row r="316">
          <cell r="A316">
            <v>40430</v>
          </cell>
          <cell r="B316">
            <v>40430</v>
          </cell>
          <cell r="C316" t="str">
            <v>Past</v>
          </cell>
          <cell r="D316">
            <v>13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13</v>
          </cell>
          <cell r="Q316">
            <v>2.1684220000000001</v>
          </cell>
          <cell r="R316" t="e">
            <v>#N/A</v>
          </cell>
        </row>
        <row r="317">
          <cell r="A317">
            <v>40431</v>
          </cell>
          <cell r="B317">
            <v>40431</v>
          </cell>
          <cell r="C317" t="str">
            <v>Past</v>
          </cell>
          <cell r="D317">
            <v>12.95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12.95</v>
          </cell>
          <cell r="Q317">
            <v>3.4128089999999998</v>
          </cell>
          <cell r="R317" t="e">
            <v>#N/A</v>
          </cell>
        </row>
        <row r="318">
          <cell r="A318">
            <v>40434</v>
          </cell>
          <cell r="B318">
            <v>40434</v>
          </cell>
          <cell r="C318" t="str">
            <v>Past</v>
          </cell>
          <cell r="D318">
            <v>13.13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13.13</v>
          </cell>
          <cell r="Q318">
            <v>1.9109800000000001</v>
          </cell>
          <cell r="R318" t="e">
            <v>#N/A</v>
          </cell>
        </row>
        <row r="319">
          <cell r="A319">
            <v>40435</v>
          </cell>
          <cell r="B319">
            <v>40435</v>
          </cell>
          <cell r="C319" t="str">
            <v>Past</v>
          </cell>
          <cell r="D319">
            <v>13.1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13.1</v>
          </cell>
          <cell r="Q319">
            <v>1.5091000000000001</v>
          </cell>
          <cell r="R319" t="e">
            <v>#N/A</v>
          </cell>
        </row>
        <row r="320">
          <cell r="A320">
            <v>40436</v>
          </cell>
          <cell r="B320">
            <v>40436</v>
          </cell>
          <cell r="C320" t="str">
            <v>Past</v>
          </cell>
          <cell r="D320">
            <v>12.92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12.92</v>
          </cell>
          <cell r="Q320">
            <v>2.0562860000000001</v>
          </cell>
          <cell r="R320" t="e">
            <v>#N/A</v>
          </cell>
        </row>
        <row r="321">
          <cell r="A321">
            <v>40437</v>
          </cell>
          <cell r="B321">
            <v>40437</v>
          </cell>
          <cell r="C321" t="str">
            <v>Past</v>
          </cell>
          <cell r="D321">
            <v>12.71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12.71</v>
          </cell>
          <cell r="Q321">
            <v>1.4083539999999999</v>
          </cell>
          <cell r="R321" t="e">
            <v>#N/A</v>
          </cell>
        </row>
        <row r="322">
          <cell r="A322">
            <v>40438</v>
          </cell>
          <cell r="B322">
            <v>40438</v>
          </cell>
          <cell r="C322" t="str">
            <v>Past</v>
          </cell>
          <cell r="D322">
            <v>12.68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12.68</v>
          </cell>
          <cell r="Q322">
            <v>1.7802609999999999</v>
          </cell>
          <cell r="R322" t="e">
            <v>#N/A</v>
          </cell>
        </row>
        <row r="323">
          <cell r="A323">
            <v>40441</v>
          </cell>
          <cell r="B323">
            <v>40441</v>
          </cell>
          <cell r="C323" t="str">
            <v>Past</v>
          </cell>
          <cell r="D323">
            <v>12.91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12.91</v>
          </cell>
          <cell r="Q323">
            <v>1.297507</v>
          </cell>
          <cell r="R323" t="e">
            <v>#N/A</v>
          </cell>
        </row>
        <row r="324">
          <cell r="A324">
            <v>40442</v>
          </cell>
          <cell r="B324">
            <v>40442</v>
          </cell>
          <cell r="C324" t="str">
            <v>Past</v>
          </cell>
          <cell r="D324">
            <v>12.81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12.81</v>
          </cell>
          <cell r="Q324">
            <v>1.4411429999999998</v>
          </cell>
          <cell r="R324" t="e">
            <v>#N/A</v>
          </cell>
        </row>
        <row r="325">
          <cell r="A325">
            <v>40443</v>
          </cell>
          <cell r="B325">
            <v>40443</v>
          </cell>
          <cell r="C325" t="str">
            <v>Past</v>
          </cell>
          <cell r="D325">
            <v>12.88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12.88</v>
          </cell>
          <cell r="Q325">
            <v>0.79303000000000001</v>
          </cell>
          <cell r="R325" t="e">
            <v>#N/A</v>
          </cell>
        </row>
        <row r="326">
          <cell r="A326">
            <v>40444</v>
          </cell>
          <cell r="B326">
            <v>40444</v>
          </cell>
          <cell r="C326" t="str">
            <v>Past</v>
          </cell>
          <cell r="D326">
            <v>12.95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12.95</v>
          </cell>
          <cell r="Q326">
            <v>1.457676</v>
          </cell>
          <cell r="R326" t="e">
            <v>#N/A</v>
          </cell>
        </row>
        <row r="327">
          <cell r="A327">
            <v>40445</v>
          </cell>
          <cell r="B327">
            <v>40445</v>
          </cell>
          <cell r="C327" t="str">
            <v>Past</v>
          </cell>
          <cell r="D327">
            <v>13.16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13.16</v>
          </cell>
          <cell r="Q327">
            <v>0.86191600000000002</v>
          </cell>
          <cell r="R327" t="e">
            <v>#N/A</v>
          </cell>
        </row>
        <row r="328">
          <cell r="A328">
            <v>40448</v>
          </cell>
          <cell r="B328">
            <v>40448</v>
          </cell>
          <cell r="C328" t="str">
            <v>Past</v>
          </cell>
          <cell r="D328">
            <v>13.18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13.18</v>
          </cell>
          <cell r="Q328">
            <v>1.1820059999999999</v>
          </cell>
          <cell r="R328" t="e">
            <v>#N/A</v>
          </cell>
        </row>
        <row r="329">
          <cell r="A329">
            <v>40449</v>
          </cell>
          <cell r="B329">
            <v>40449</v>
          </cell>
          <cell r="C329" t="str">
            <v>Past</v>
          </cell>
          <cell r="D329">
            <v>13.02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13.02</v>
          </cell>
          <cell r="Q329">
            <v>2.1931620000000001</v>
          </cell>
          <cell r="R329" t="e">
            <v>#N/A</v>
          </cell>
        </row>
        <row r="330">
          <cell r="A330">
            <v>40450</v>
          </cell>
          <cell r="B330">
            <v>40450</v>
          </cell>
          <cell r="C330" t="str">
            <v>Past</v>
          </cell>
          <cell r="D330">
            <v>12.99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12.99</v>
          </cell>
          <cell r="Q330">
            <v>1.350544</v>
          </cell>
          <cell r="R330" t="e">
            <v>#N/A</v>
          </cell>
        </row>
        <row r="331">
          <cell r="A331">
            <v>40451</v>
          </cell>
          <cell r="B331">
            <v>40451</v>
          </cell>
          <cell r="C331" t="str">
            <v>Past</v>
          </cell>
          <cell r="D331">
            <v>13.15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13.15</v>
          </cell>
          <cell r="Q331">
            <v>1.4850939999999999</v>
          </cell>
          <cell r="R331" t="e">
            <v>#N/A</v>
          </cell>
        </row>
        <row r="332">
          <cell r="A332">
            <v>40452</v>
          </cell>
          <cell r="B332">
            <v>40452</v>
          </cell>
          <cell r="C332" t="str">
            <v>Past</v>
          </cell>
          <cell r="D332">
            <v>13.13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13.13</v>
          </cell>
          <cell r="Q332">
            <v>1.921621</v>
          </cell>
          <cell r="R332" t="e">
            <v>#N/A</v>
          </cell>
        </row>
        <row r="333">
          <cell r="A333">
            <v>40455</v>
          </cell>
          <cell r="B333">
            <v>40455</v>
          </cell>
          <cell r="C333" t="str">
            <v>Past</v>
          </cell>
          <cell r="D333">
            <v>12.94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12.94</v>
          </cell>
          <cell r="Q333">
            <v>1.977595</v>
          </cell>
          <cell r="R333" t="e">
            <v>#N/A</v>
          </cell>
        </row>
        <row r="334">
          <cell r="A334">
            <v>40456</v>
          </cell>
          <cell r="B334">
            <v>40456</v>
          </cell>
          <cell r="C334" t="str">
            <v>Past</v>
          </cell>
          <cell r="D334">
            <v>12.94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12.94</v>
          </cell>
          <cell r="Q334">
            <v>2.0961650000000001</v>
          </cell>
          <cell r="R334" t="e">
            <v>#N/A</v>
          </cell>
        </row>
        <row r="335">
          <cell r="A335">
            <v>40457</v>
          </cell>
          <cell r="B335">
            <v>40457</v>
          </cell>
          <cell r="C335" t="str">
            <v>Past</v>
          </cell>
          <cell r="D335">
            <v>12.87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12.87</v>
          </cell>
          <cell r="Q335">
            <v>1.6934449999999999</v>
          </cell>
          <cell r="R335" t="e">
            <v>#N/A</v>
          </cell>
        </row>
        <row r="336">
          <cell r="A336">
            <v>40458</v>
          </cell>
          <cell r="B336">
            <v>40458</v>
          </cell>
          <cell r="C336" t="str">
            <v>Past</v>
          </cell>
          <cell r="D336">
            <v>12.95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12.95</v>
          </cell>
          <cell r="Q336">
            <v>1.0372839999999999</v>
          </cell>
          <cell r="R336" t="e">
            <v>#N/A</v>
          </cell>
        </row>
        <row r="337">
          <cell r="A337">
            <v>40459</v>
          </cell>
          <cell r="B337">
            <v>40459</v>
          </cell>
          <cell r="C337" t="str">
            <v>Past</v>
          </cell>
          <cell r="D337">
            <v>13.07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13.07</v>
          </cell>
          <cell r="Q337">
            <v>1.3130230000000001</v>
          </cell>
          <cell r="R337" t="e">
            <v>#N/A</v>
          </cell>
        </row>
        <row r="338">
          <cell r="A338">
            <v>40462</v>
          </cell>
          <cell r="B338">
            <v>40462</v>
          </cell>
          <cell r="C338" t="str">
            <v>Past</v>
          </cell>
          <cell r="D338">
            <v>12.99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12.99</v>
          </cell>
          <cell r="Q338">
            <v>2.0637059999999998</v>
          </cell>
          <cell r="R338" t="e">
            <v>#N/A</v>
          </cell>
        </row>
        <row r="339">
          <cell r="A339">
            <v>40463</v>
          </cell>
          <cell r="B339">
            <v>40463</v>
          </cell>
          <cell r="C339" t="str">
            <v>Past</v>
          </cell>
          <cell r="D339">
            <v>13.06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13.06</v>
          </cell>
          <cell r="Q339">
            <v>1.4325909999999999</v>
          </cell>
          <cell r="R339" t="e">
            <v>#N/A</v>
          </cell>
        </row>
        <row r="340">
          <cell r="A340">
            <v>40464</v>
          </cell>
          <cell r="B340">
            <v>40464</v>
          </cell>
          <cell r="C340" t="str">
            <v>Past</v>
          </cell>
          <cell r="D340">
            <v>13.01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13.01</v>
          </cell>
          <cell r="Q340">
            <v>1.2016229999999999</v>
          </cell>
          <cell r="R340" t="e">
            <v>#N/A</v>
          </cell>
        </row>
        <row r="341">
          <cell r="A341">
            <v>40465</v>
          </cell>
          <cell r="B341">
            <v>40465</v>
          </cell>
          <cell r="C341" t="str">
            <v>Past</v>
          </cell>
          <cell r="D341">
            <v>13.09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13.09</v>
          </cell>
          <cell r="Q341">
            <v>0.89577699999999993</v>
          </cell>
          <cell r="R341" t="e">
            <v>#N/A</v>
          </cell>
        </row>
        <row r="342">
          <cell r="A342">
            <v>40466</v>
          </cell>
          <cell r="B342">
            <v>40466</v>
          </cell>
          <cell r="C342" t="str">
            <v>Past</v>
          </cell>
          <cell r="D342">
            <v>13.16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13.16</v>
          </cell>
          <cell r="Q342">
            <v>1.373721</v>
          </cell>
          <cell r="R342" t="e">
            <v>#N/A</v>
          </cell>
        </row>
        <row r="343">
          <cell r="A343">
            <v>40469</v>
          </cell>
          <cell r="B343">
            <v>40469</v>
          </cell>
          <cell r="C343" t="str">
            <v>Past</v>
          </cell>
          <cell r="D343">
            <v>13.25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13.25</v>
          </cell>
          <cell r="Q343">
            <v>0.72126899999999994</v>
          </cell>
          <cell r="R343" t="e">
            <v>#N/A</v>
          </cell>
        </row>
        <row r="344">
          <cell r="A344">
            <v>40470</v>
          </cell>
          <cell r="B344">
            <v>40470</v>
          </cell>
          <cell r="C344" t="str">
            <v>Past</v>
          </cell>
          <cell r="D344">
            <v>13.14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13.14</v>
          </cell>
          <cell r="Q344">
            <v>3.069394</v>
          </cell>
          <cell r="R344" t="e">
            <v>#N/A</v>
          </cell>
        </row>
        <row r="345">
          <cell r="A345">
            <v>40471</v>
          </cell>
          <cell r="B345">
            <v>40471</v>
          </cell>
          <cell r="C345" t="str">
            <v>Past</v>
          </cell>
          <cell r="D345">
            <v>13.19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13.19</v>
          </cell>
          <cell r="Q345">
            <v>1.592768</v>
          </cell>
          <cell r="R345" t="e">
            <v>#N/A</v>
          </cell>
        </row>
        <row r="346">
          <cell r="A346">
            <v>40472</v>
          </cell>
          <cell r="B346">
            <v>40472</v>
          </cell>
          <cell r="C346" t="str">
            <v>Past</v>
          </cell>
          <cell r="D346">
            <v>13.17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13.17</v>
          </cell>
          <cell r="Q346">
            <v>2.0111460000000001</v>
          </cell>
          <cell r="R346" t="e">
            <v>#N/A</v>
          </cell>
        </row>
        <row r="347">
          <cell r="A347">
            <v>40473</v>
          </cell>
          <cell r="B347">
            <v>40473</v>
          </cell>
          <cell r="C347" t="str">
            <v>Past</v>
          </cell>
          <cell r="D347">
            <v>13.08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13.08</v>
          </cell>
          <cell r="Q347">
            <v>3.1426209999999997</v>
          </cell>
          <cell r="R347" t="e">
            <v>#N/A</v>
          </cell>
        </row>
        <row r="348">
          <cell r="A348">
            <v>40476</v>
          </cell>
          <cell r="B348">
            <v>40476</v>
          </cell>
          <cell r="C348" t="str">
            <v>Past</v>
          </cell>
          <cell r="D348">
            <v>12.99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12.99</v>
          </cell>
          <cell r="Q348">
            <v>2.530951</v>
          </cell>
          <cell r="R348" t="e">
            <v>#N/A</v>
          </cell>
        </row>
        <row r="349">
          <cell r="A349">
            <v>40477</v>
          </cell>
          <cell r="B349">
            <v>40477</v>
          </cell>
          <cell r="C349" t="str">
            <v>Past</v>
          </cell>
          <cell r="D349">
            <v>13.5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13.5</v>
          </cell>
          <cell r="Q349">
            <v>5.4561000000000002</v>
          </cell>
          <cell r="R349" t="e">
            <v>#N/A</v>
          </cell>
        </row>
        <row r="350">
          <cell r="A350">
            <v>40478</v>
          </cell>
          <cell r="B350">
            <v>40478</v>
          </cell>
          <cell r="C350" t="str">
            <v>Past</v>
          </cell>
          <cell r="D350">
            <v>13.56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13.56</v>
          </cell>
          <cell r="Q350">
            <v>2.7789239999999999</v>
          </cell>
          <cell r="R350" t="e">
            <v>#N/A</v>
          </cell>
        </row>
        <row r="351">
          <cell r="A351">
            <v>40479</v>
          </cell>
          <cell r="B351">
            <v>40479</v>
          </cell>
          <cell r="C351" t="str">
            <v>Past</v>
          </cell>
          <cell r="D351">
            <v>13.61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13.61</v>
          </cell>
          <cell r="Q351">
            <v>2.4458409999999997</v>
          </cell>
          <cell r="R351" t="e">
            <v>#N/A</v>
          </cell>
        </row>
        <row r="352">
          <cell r="A352">
            <v>40480</v>
          </cell>
          <cell r="B352">
            <v>40480</v>
          </cell>
          <cell r="C352" t="str">
            <v>Past</v>
          </cell>
          <cell r="D352">
            <v>13.67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13.67</v>
          </cell>
          <cell r="Q352">
            <v>1.4752000000000001</v>
          </cell>
          <cell r="R352" t="e">
            <v>#N/A</v>
          </cell>
        </row>
        <row r="353">
          <cell r="A353">
            <v>40483</v>
          </cell>
          <cell r="B353">
            <v>40483</v>
          </cell>
          <cell r="C353" t="str">
            <v>Past</v>
          </cell>
          <cell r="D353">
            <v>13.68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13.68</v>
          </cell>
          <cell r="Q353">
            <v>1.9509209999999999</v>
          </cell>
          <cell r="R353" t="e">
            <v>#N/A</v>
          </cell>
        </row>
        <row r="354">
          <cell r="A354">
            <v>40484</v>
          </cell>
          <cell r="B354">
            <v>40484</v>
          </cell>
          <cell r="C354" t="str">
            <v>Past</v>
          </cell>
          <cell r="D354">
            <v>13.83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13.83</v>
          </cell>
          <cell r="Q354">
            <v>1.22519</v>
          </cell>
          <cell r="R354" t="e">
            <v>#N/A</v>
          </cell>
        </row>
        <row r="355">
          <cell r="A355">
            <v>40485</v>
          </cell>
          <cell r="B355">
            <v>40485</v>
          </cell>
          <cell r="C355" t="str">
            <v>Past</v>
          </cell>
          <cell r="D355">
            <v>13.83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13.83</v>
          </cell>
          <cell r="Q355">
            <v>1.352117</v>
          </cell>
          <cell r="R355" t="e">
            <v>#N/A</v>
          </cell>
        </row>
        <row r="356">
          <cell r="A356">
            <v>40486</v>
          </cell>
          <cell r="B356">
            <v>40486</v>
          </cell>
          <cell r="C356" t="str">
            <v>Past</v>
          </cell>
          <cell r="D356">
            <v>14.01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14.01</v>
          </cell>
          <cell r="Q356">
            <v>1.294834</v>
          </cell>
          <cell r="R356" t="e">
            <v>#N/A</v>
          </cell>
        </row>
        <row r="357">
          <cell r="A357">
            <v>40487</v>
          </cell>
          <cell r="B357">
            <v>40487</v>
          </cell>
          <cell r="C357" t="str">
            <v>Past</v>
          </cell>
          <cell r="D357">
            <v>14.08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14.08</v>
          </cell>
          <cell r="Q357">
            <v>1.4330669999999999</v>
          </cell>
          <cell r="R357" t="e">
            <v>#N/A</v>
          </cell>
        </row>
        <row r="358">
          <cell r="A358">
            <v>40490</v>
          </cell>
          <cell r="B358">
            <v>40490</v>
          </cell>
          <cell r="C358" t="str">
            <v>Past</v>
          </cell>
          <cell r="D358">
            <v>14.04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14.04</v>
          </cell>
          <cell r="Q358">
            <v>1.399796</v>
          </cell>
          <cell r="R358" t="e">
            <v>#N/A</v>
          </cell>
        </row>
        <row r="359">
          <cell r="A359">
            <v>40491</v>
          </cell>
          <cell r="B359">
            <v>40491</v>
          </cell>
          <cell r="C359" t="str">
            <v>Past</v>
          </cell>
          <cell r="D359">
            <v>13.95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13.95</v>
          </cell>
          <cell r="Q359">
            <v>1.2766789999999999</v>
          </cell>
          <cell r="R359" t="e">
            <v>#N/A</v>
          </cell>
        </row>
        <row r="360">
          <cell r="A360">
            <v>40492</v>
          </cell>
          <cell r="B360">
            <v>40492</v>
          </cell>
          <cell r="C360" t="str">
            <v>Past</v>
          </cell>
          <cell r="D360">
            <v>13.85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13.85</v>
          </cell>
          <cell r="Q360">
            <v>1.4169559999999999</v>
          </cell>
          <cell r="R360" t="e">
            <v>#N/A</v>
          </cell>
        </row>
        <row r="361">
          <cell r="A361">
            <v>40493</v>
          </cell>
          <cell r="B361">
            <v>40493</v>
          </cell>
          <cell r="C361" t="str">
            <v>Past</v>
          </cell>
          <cell r="D361">
            <v>13.81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13.81</v>
          </cell>
          <cell r="Q361">
            <v>1.0204959999999998</v>
          </cell>
          <cell r="R361" t="e">
            <v>#N/A</v>
          </cell>
        </row>
        <row r="362">
          <cell r="A362">
            <v>40494</v>
          </cell>
          <cell r="B362">
            <v>40494</v>
          </cell>
          <cell r="C362" t="str">
            <v>Past</v>
          </cell>
          <cell r="D362">
            <v>13.78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13.78</v>
          </cell>
          <cell r="Q362">
            <v>2.466567</v>
          </cell>
          <cell r="R362" t="e">
            <v>#N/A</v>
          </cell>
        </row>
        <row r="363">
          <cell r="A363">
            <v>40497</v>
          </cell>
          <cell r="B363">
            <v>40497</v>
          </cell>
          <cell r="C363" t="str">
            <v>Past</v>
          </cell>
          <cell r="D363">
            <v>13.86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13.86</v>
          </cell>
          <cell r="Q363">
            <v>1.445506</v>
          </cell>
          <cell r="R363" t="e">
            <v>#N/A</v>
          </cell>
        </row>
        <row r="364">
          <cell r="A364">
            <v>40498</v>
          </cell>
          <cell r="B364">
            <v>40498</v>
          </cell>
          <cell r="C364" t="str">
            <v>Past</v>
          </cell>
          <cell r="D364">
            <v>13.58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13.58</v>
          </cell>
          <cell r="Q364">
            <v>2.116126</v>
          </cell>
          <cell r="R364" t="e">
            <v>#N/A</v>
          </cell>
        </row>
        <row r="365">
          <cell r="A365">
            <v>40499</v>
          </cell>
          <cell r="B365">
            <v>40499</v>
          </cell>
          <cell r="C365" t="str">
            <v>Past</v>
          </cell>
          <cell r="D365">
            <v>13.57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13.57</v>
          </cell>
          <cell r="Q365">
            <v>1.1772229999999999</v>
          </cell>
          <cell r="R365" t="e">
            <v>#N/A</v>
          </cell>
        </row>
        <row r="366">
          <cell r="A366">
            <v>40500</v>
          </cell>
          <cell r="B366">
            <v>40500</v>
          </cell>
          <cell r="C366" t="str">
            <v>Past</v>
          </cell>
          <cell r="D366">
            <v>13.69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13.69</v>
          </cell>
          <cell r="Q366">
            <v>0.73825699999999994</v>
          </cell>
          <cell r="R366" t="e">
            <v>#N/A</v>
          </cell>
        </row>
        <row r="367">
          <cell r="A367">
            <v>40501</v>
          </cell>
          <cell r="B367">
            <v>40501</v>
          </cell>
          <cell r="C367" t="str">
            <v>Past</v>
          </cell>
          <cell r="D367">
            <v>13.71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13.71</v>
          </cell>
          <cell r="Q367">
            <v>0.69165399999999999</v>
          </cell>
          <cell r="R367" t="e">
            <v>#N/A</v>
          </cell>
        </row>
        <row r="368">
          <cell r="A368">
            <v>40504</v>
          </cell>
          <cell r="B368">
            <v>40504</v>
          </cell>
          <cell r="C368" t="str">
            <v>Past</v>
          </cell>
          <cell r="D368">
            <v>13.9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13.9</v>
          </cell>
          <cell r="Q368">
            <v>1.7465309999999998</v>
          </cell>
          <cell r="R368" t="e">
            <v>#N/A</v>
          </cell>
        </row>
        <row r="369">
          <cell r="A369">
            <v>40505</v>
          </cell>
          <cell r="B369">
            <v>40505</v>
          </cell>
          <cell r="C369" t="str">
            <v>Past</v>
          </cell>
          <cell r="D369">
            <v>13.77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13.77</v>
          </cell>
          <cell r="Q369">
            <v>1.594803</v>
          </cell>
          <cell r="R369" t="e">
            <v>#N/A</v>
          </cell>
        </row>
        <row r="370">
          <cell r="A370">
            <v>40506</v>
          </cell>
          <cell r="B370">
            <v>40506</v>
          </cell>
          <cell r="C370" t="str">
            <v>Past</v>
          </cell>
          <cell r="D370">
            <v>13.92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13.92</v>
          </cell>
          <cell r="Q370">
            <v>1.474548</v>
          </cell>
          <cell r="R370" t="e">
            <v>#N/A</v>
          </cell>
        </row>
        <row r="371">
          <cell r="A371">
            <v>40508</v>
          </cell>
          <cell r="B371">
            <v>40508</v>
          </cell>
          <cell r="C371" t="str">
            <v>Past</v>
          </cell>
          <cell r="D371">
            <v>13.83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13.83</v>
          </cell>
          <cell r="Q371">
            <v>0.74225599999999992</v>
          </cell>
          <cell r="R371" t="e">
            <v>#N/A</v>
          </cell>
        </row>
        <row r="372">
          <cell r="A372">
            <v>40511</v>
          </cell>
          <cell r="B372">
            <v>40511</v>
          </cell>
          <cell r="C372" t="str">
            <v>Past</v>
          </cell>
          <cell r="D372">
            <v>13.7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13.7</v>
          </cell>
          <cell r="Q372">
            <v>1.363807</v>
          </cell>
          <cell r="R372" t="e">
            <v>#N/A</v>
          </cell>
        </row>
        <row r="373">
          <cell r="A373">
            <v>40512</v>
          </cell>
          <cell r="B373">
            <v>40512</v>
          </cell>
          <cell r="C373" t="str">
            <v>Past</v>
          </cell>
          <cell r="D373">
            <v>13.69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13.69</v>
          </cell>
          <cell r="Q373">
            <v>1.213838</v>
          </cell>
          <cell r="R373" t="e">
            <v>#N/A</v>
          </cell>
        </row>
        <row r="374">
          <cell r="A374">
            <v>40513</v>
          </cell>
          <cell r="B374">
            <v>40513</v>
          </cell>
          <cell r="C374" t="str">
            <v>Past</v>
          </cell>
          <cell r="D374">
            <v>13.89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13.89</v>
          </cell>
          <cell r="Q374">
            <v>1.3721729999999999</v>
          </cell>
          <cell r="R374" t="e">
            <v>#N/A</v>
          </cell>
        </row>
        <row r="375">
          <cell r="A375">
            <v>40514</v>
          </cell>
          <cell r="B375">
            <v>40514</v>
          </cell>
          <cell r="C375" t="str">
            <v>Past</v>
          </cell>
          <cell r="D375">
            <v>13.94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13.94</v>
          </cell>
          <cell r="Q375">
            <v>1.5730659999999999</v>
          </cell>
          <cell r="R375" t="e">
            <v>#N/A</v>
          </cell>
        </row>
        <row r="376">
          <cell r="A376">
            <v>40515</v>
          </cell>
          <cell r="B376">
            <v>40515</v>
          </cell>
          <cell r="C376" t="str">
            <v>Past</v>
          </cell>
          <cell r="D376">
            <v>13.92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13.92</v>
          </cell>
          <cell r="Q376">
            <v>1.3870339999999999</v>
          </cell>
          <cell r="R376" t="e">
            <v>#N/A</v>
          </cell>
        </row>
        <row r="377">
          <cell r="A377">
            <v>40518</v>
          </cell>
          <cell r="B377">
            <v>40518</v>
          </cell>
          <cell r="C377" t="str">
            <v>Past</v>
          </cell>
          <cell r="D377">
            <v>13.9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13.9</v>
          </cell>
          <cell r="Q377">
            <v>0.99063099999999993</v>
          </cell>
          <cell r="R377" t="e">
            <v>#N/A</v>
          </cell>
        </row>
        <row r="378">
          <cell r="A378">
            <v>40519</v>
          </cell>
          <cell r="B378">
            <v>40519</v>
          </cell>
          <cell r="C378" t="str">
            <v>Past</v>
          </cell>
          <cell r="D378">
            <v>13.85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13.85</v>
          </cell>
          <cell r="Q378">
            <v>1.4670259999999999</v>
          </cell>
          <cell r="R378" t="e">
            <v>#N/A</v>
          </cell>
        </row>
        <row r="379">
          <cell r="A379">
            <v>40520</v>
          </cell>
          <cell r="B379">
            <v>40520</v>
          </cell>
          <cell r="C379" t="str">
            <v>Past</v>
          </cell>
          <cell r="D379">
            <v>13.68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13.68</v>
          </cell>
          <cell r="Q379">
            <v>1.306387</v>
          </cell>
          <cell r="R379" t="e">
            <v>#N/A</v>
          </cell>
        </row>
        <row r="380">
          <cell r="A380">
            <v>40521</v>
          </cell>
          <cell r="B380">
            <v>40521</v>
          </cell>
          <cell r="C380" t="str">
            <v>Past</v>
          </cell>
          <cell r="D380">
            <v>13.76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13.76</v>
          </cell>
          <cell r="Q380">
            <v>1.0436049999999999</v>
          </cell>
          <cell r="R380" t="e">
            <v>#N/A</v>
          </cell>
        </row>
        <row r="381">
          <cell r="A381">
            <v>40522</v>
          </cell>
          <cell r="B381">
            <v>40522</v>
          </cell>
          <cell r="C381" t="str">
            <v>Past</v>
          </cell>
          <cell r="D381">
            <v>13.85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13.85</v>
          </cell>
          <cell r="Q381">
            <v>0.75632599999999994</v>
          </cell>
          <cell r="R381" t="e">
            <v>#N/A</v>
          </cell>
        </row>
        <row r="382">
          <cell r="A382">
            <v>40525</v>
          </cell>
          <cell r="B382">
            <v>40525</v>
          </cell>
          <cell r="C382" t="str">
            <v>Past</v>
          </cell>
          <cell r="D382">
            <v>13.92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13.92</v>
          </cell>
          <cell r="Q382">
            <v>1.0436159999999999</v>
          </cell>
          <cell r="R382" t="e">
            <v>#N/A</v>
          </cell>
        </row>
        <row r="383">
          <cell r="A383">
            <v>40526</v>
          </cell>
          <cell r="B383">
            <v>40526</v>
          </cell>
          <cell r="C383" t="str">
            <v>Past</v>
          </cell>
          <cell r="D383">
            <v>13.99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13.99</v>
          </cell>
          <cell r="Q383">
            <v>1.1892600000000002</v>
          </cell>
          <cell r="R383" t="e">
            <v>#N/A</v>
          </cell>
        </row>
        <row r="384">
          <cell r="A384">
            <v>40527</v>
          </cell>
          <cell r="B384">
            <v>40527</v>
          </cell>
          <cell r="C384" t="str">
            <v>Past</v>
          </cell>
          <cell r="D384">
            <v>13.75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13.75</v>
          </cell>
          <cell r="Q384">
            <v>1.3205</v>
          </cell>
          <cell r="R384" t="e">
            <v>#N/A</v>
          </cell>
        </row>
        <row r="385">
          <cell r="A385">
            <v>40528</v>
          </cell>
          <cell r="B385">
            <v>40528</v>
          </cell>
          <cell r="C385" t="str">
            <v>Past</v>
          </cell>
          <cell r="D385">
            <v>14.08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14.08</v>
          </cell>
          <cell r="Q385">
            <v>1.730621</v>
          </cell>
          <cell r="R385" t="e">
            <v>#N/A</v>
          </cell>
        </row>
        <row r="386">
          <cell r="A386">
            <v>40529</v>
          </cell>
          <cell r="B386">
            <v>40529</v>
          </cell>
          <cell r="C386" t="str">
            <v>Past</v>
          </cell>
          <cell r="D386">
            <v>14.28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14.28</v>
          </cell>
          <cell r="Q386">
            <v>2.4079000000000002</v>
          </cell>
          <cell r="R386" t="e">
            <v>#N/A</v>
          </cell>
        </row>
        <row r="387">
          <cell r="A387">
            <v>40532</v>
          </cell>
          <cell r="B387">
            <v>40532</v>
          </cell>
          <cell r="C387" t="str">
            <v>Past</v>
          </cell>
          <cell r="D387">
            <v>14.29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14.29</v>
          </cell>
          <cell r="Q387">
            <v>1.9979749999999998</v>
          </cell>
          <cell r="R387" t="e">
            <v>#N/A</v>
          </cell>
        </row>
        <row r="388">
          <cell r="A388">
            <v>40533</v>
          </cell>
          <cell r="B388">
            <v>40533</v>
          </cell>
          <cell r="C388" t="str">
            <v>Past</v>
          </cell>
          <cell r="D388">
            <v>14.25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14.25</v>
          </cell>
          <cell r="Q388">
            <v>1.2516749999999999</v>
          </cell>
          <cell r="R388" t="e">
            <v>#N/A</v>
          </cell>
        </row>
        <row r="389">
          <cell r="A389">
            <v>40534</v>
          </cell>
          <cell r="B389">
            <v>40534</v>
          </cell>
          <cell r="C389" t="str">
            <v>Past</v>
          </cell>
          <cell r="D389">
            <v>14.28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14.28</v>
          </cell>
          <cell r="Q389">
            <v>0.79402699999999993</v>
          </cell>
          <cell r="R389" t="e">
            <v>#N/A</v>
          </cell>
        </row>
        <row r="390">
          <cell r="A390">
            <v>40535</v>
          </cell>
          <cell r="B390">
            <v>40535</v>
          </cell>
          <cell r="C390" t="str">
            <v>Past</v>
          </cell>
          <cell r="D390">
            <v>14.18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14.18</v>
          </cell>
          <cell r="Q390">
            <v>0.76441799999999993</v>
          </cell>
          <cell r="R390" t="e">
            <v>#N/A</v>
          </cell>
        </row>
        <row r="391">
          <cell r="A391">
            <v>40539</v>
          </cell>
          <cell r="B391">
            <v>40539</v>
          </cell>
          <cell r="C391" t="str">
            <v>Past</v>
          </cell>
          <cell r="D391">
            <v>14.08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14.08</v>
          </cell>
          <cell r="Q391">
            <v>0.87445699999999993</v>
          </cell>
          <cell r="R391" t="e">
            <v>#N/A</v>
          </cell>
        </row>
        <row r="392">
          <cell r="A392">
            <v>40540</v>
          </cell>
          <cell r="B392">
            <v>40540</v>
          </cell>
          <cell r="C392" t="str">
            <v>Past</v>
          </cell>
          <cell r="D392">
            <v>14.11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14.11</v>
          </cell>
          <cell r="Q392">
            <v>0.879606</v>
          </cell>
          <cell r="R392" t="e">
            <v>#N/A</v>
          </cell>
        </row>
        <row r="393">
          <cell r="A393">
            <v>40541</v>
          </cell>
          <cell r="B393">
            <v>40541</v>
          </cell>
          <cell r="C393" t="str">
            <v>Past</v>
          </cell>
          <cell r="D393">
            <v>14.03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14.03</v>
          </cell>
          <cell r="Q393">
            <v>0.75955799999999996</v>
          </cell>
          <cell r="R393" t="e">
            <v>#N/A</v>
          </cell>
        </row>
        <row r="394">
          <cell r="A394">
            <v>40542</v>
          </cell>
          <cell r="B394">
            <v>40542</v>
          </cell>
          <cell r="C394" t="str">
            <v>Past</v>
          </cell>
          <cell r="D394">
            <v>14.07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14.07</v>
          </cell>
          <cell r="Q394">
            <v>0.94450699999999999</v>
          </cell>
          <cell r="R394" t="e">
            <v>#N/A</v>
          </cell>
        </row>
        <row r="395">
          <cell r="A395">
            <v>40543</v>
          </cell>
          <cell r="B395">
            <v>40543</v>
          </cell>
          <cell r="C395" t="str">
            <v>Past</v>
          </cell>
          <cell r="D395">
            <v>14.05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14.05</v>
          </cell>
          <cell r="Q395">
            <v>1.224086</v>
          </cell>
          <cell r="R395" t="e">
            <v>#N/A</v>
          </cell>
        </row>
        <row r="396">
          <cell r="A396">
            <v>40546</v>
          </cell>
          <cell r="B396">
            <v>40546</v>
          </cell>
          <cell r="C396" t="str">
            <v>Past</v>
          </cell>
          <cell r="D396">
            <v>14.06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14.06</v>
          </cell>
          <cell r="Q396">
            <v>1.7396849999999999</v>
          </cell>
          <cell r="R396" t="e">
            <v>#N/A</v>
          </cell>
        </row>
        <row r="397">
          <cell r="A397">
            <v>40547</v>
          </cell>
          <cell r="B397">
            <v>40547</v>
          </cell>
          <cell r="C397" t="str">
            <v>Past</v>
          </cell>
          <cell r="D397">
            <v>14.08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14.08</v>
          </cell>
          <cell r="Q397">
            <v>2.190725</v>
          </cell>
          <cell r="R397" t="e">
            <v>#N/A</v>
          </cell>
        </row>
        <row r="398">
          <cell r="A398">
            <v>40548</v>
          </cell>
          <cell r="B398">
            <v>40548</v>
          </cell>
          <cell r="C398" t="str">
            <v>Past</v>
          </cell>
          <cell r="D398">
            <v>13.93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13.93</v>
          </cell>
          <cell r="Q398">
            <v>1.9877959999999999</v>
          </cell>
          <cell r="R398" t="e">
            <v>#N/A</v>
          </cell>
        </row>
        <row r="399">
          <cell r="A399">
            <v>40549</v>
          </cell>
          <cell r="B399">
            <v>40549</v>
          </cell>
          <cell r="C399" t="str">
            <v>Past</v>
          </cell>
          <cell r="D399">
            <v>14.11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14.11</v>
          </cell>
          <cell r="Q399">
            <v>1.7270289999999999</v>
          </cell>
          <cell r="R399" t="e">
            <v>#N/A</v>
          </cell>
        </row>
        <row r="400">
          <cell r="A400">
            <v>40550</v>
          </cell>
          <cell r="B400">
            <v>40550</v>
          </cell>
          <cell r="C400" t="str">
            <v>Past</v>
          </cell>
          <cell r="D400">
            <v>14.37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14.37</v>
          </cell>
          <cell r="Q400">
            <v>3.0117249999999998</v>
          </cell>
          <cell r="R400" t="e">
            <v>#N/A</v>
          </cell>
        </row>
        <row r="401">
          <cell r="A401">
            <v>40553</v>
          </cell>
          <cell r="B401">
            <v>40553</v>
          </cell>
          <cell r="C401" t="str">
            <v>Past</v>
          </cell>
          <cell r="D401">
            <v>14.61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14.61</v>
          </cell>
          <cell r="Q401">
            <v>4.0006430000000002</v>
          </cell>
          <cell r="R401" t="e">
            <v>#N/A</v>
          </cell>
        </row>
        <row r="402">
          <cell r="A402">
            <v>40554</v>
          </cell>
          <cell r="B402">
            <v>40554</v>
          </cell>
          <cell r="C402" t="str">
            <v>Past</v>
          </cell>
          <cell r="D402">
            <v>14.51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14.51</v>
          </cell>
          <cell r="Q402">
            <v>4.0806439999999995</v>
          </cell>
          <cell r="R402" t="e">
            <v>#N/A</v>
          </cell>
        </row>
        <row r="403">
          <cell r="A403">
            <v>40555</v>
          </cell>
          <cell r="B403">
            <v>40555</v>
          </cell>
          <cell r="C403" t="str">
            <v>Past</v>
          </cell>
          <cell r="D403">
            <v>14.43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14.43</v>
          </cell>
          <cell r="Q403">
            <v>2.0791939999999998</v>
          </cell>
          <cell r="R403" t="e">
            <v>#N/A</v>
          </cell>
        </row>
        <row r="404">
          <cell r="A404">
            <v>40556</v>
          </cell>
          <cell r="B404">
            <v>40556</v>
          </cell>
          <cell r="C404" t="str">
            <v>Past</v>
          </cell>
          <cell r="D404">
            <v>14.36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14.36</v>
          </cell>
          <cell r="Q404">
            <v>1.522567</v>
          </cell>
          <cell r="R404" t="e">
            <v>#N/A</v>
          </cell>
        </row>
        <row r="405">
          <cell r="A405">
            <v>40557</v>
          </cell>
          <cell r="B405">
            <v>40557</v>
          </cell>
          <cell r="C405" t="str">
            <v>Past</v>
          </cell>
          <cell r="D405">
            <v>14.27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14.27</v>
          </cell>
          <cell r="Q405">
            <v>2.7702709999999997</v>
          </cell>
          <cell r="R405" t="e">
            <v>#N/A</v>
          </cell>
        </row>
        <row r="406">
          <cell r="A406">
            <v>40561</v>
          </cell>
          <cell r="B406">
            <v>40561</v>
          </cell>
          <cell r="C406" t="str">
            <v>Past</v>
          </cell>
          <cell r="D406">
            <v>14.38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14.38</v>
          </cell>
          <cell r="Q406">
            <v>2.0298439999999998</v>
          </cell>
          <cell r="R406" t="e">
            <v>#N/A</v>
          </cell>
        </row>
        <row r="407">
          <cell r="A407">
            <v>40562</v>
          </cell>
          <cell r="B407">
            <v>40562</v>
          </cell>
          <cell r="C407" t="str">
            <v>Past</v>
          </cell>
          <cell r="D407">
            <v>14.21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14.21</v>
          </cell>
          <cell r="Q407">
            <v>3.6351309999999999</v>
          </cell>
          <cell r="R407" t="e">
            <v>#N/A</v>
          </cell>
        </row>
        <row r="408">
          <cell r="A408">
            <v>40563</v>
          </cell>
          <cell r="B408">
            <v>40563</v>
          </cell>
          <cell r="C408" t="str">
            <v>Past</v>
          </cell>
          <cell r="D408">
            <v>14.19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14.19</v>
          </cell>
          <cell r="Q408">
            <v>3.5365069999999998</v>
          </cell>
          <cell r="R408" t="e">
            <v>#N/A</v>
          </cell>
        </row>
        <row r="409">
          <cell r="A409">
            <v>40564</v>
          </cell>
          <cell r="B409">
            <v>40564</v>
          </cell>
          <cell r="C409" t="str">
            <v>Past</v>
          </cell>
          <cell r="D409">
            <v>14.25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14.25</v>
          </cell>
          <cell r="Q409">
            <v>2.2865470000000001</v>
          </cell>
          <cell r="R409" t="e">
            <v>#N/A</v>
          </cell>
        </row>
        <row r="410">
          <cell r="A410">
            <v>40567</v>
          </cell>
          <cell r="B410">
            <v>40567</v>
          </cell>
          <cell r="C410" t="str">
            <v>Past</v>
          </cell>
          <cell r="D410">
            <v>14.49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14.49</v>
          </cell>
          <cell r="Q410">
            <v>2.6884429999999999</v>
          </cell>
          <cell r="R410" t="e">
            <v>#N/A</v>
          </cell>
        </row>
        <row r="411">
          <cell r="A411">
            <v>40568</v>
          </cell>
          <cell r="B411">
            <v>40568</v>
          </cell>
          <cell r="C411" t="str">
            <v>Past</v>
          </cell>
          <cell r="D411">
            <v>14.43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14.43</v>
          </cell>
          <cell r="Q411">
            <v>2.0426500000000001</v>
          </cell>
          <cell r="R411" t="e">
            <v>#N/A</v>
          </cell>
        </row>
        <row r="412">
          <cell r="A412">
            <v>40569</v>
          </cell>
          <cell r="B412">
            <v>40569</v>
          </cell>
          <cell r="C412" t="str">
            <v>Past</v>
          </cell>
          <cell r="D412">
            <v>14.39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14.39</v>
          </cell>
          <cell r="Q412">
            <v>1.254094</v>
          </cell>
          <cell r="R412" t="e">
            <v>#N/A</v>
          </cell>
        </row>
        <row r="413">
          <cell r="A413">
            <v>40570</v>
          </cell>
          <cell r="B413">
            <v>40570</v>
          </cell>
          <cell r="C413" t="str">
            <v>Past</v>
          </cell>
          <cell r="D413">
            <v>14.54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14.54</v>
          </cell>
          <cell r="Q413">
            <v>2.1760169999999999</v>
          </cell>
          <cell r="R413" t="e">
            <v>#N/A</v>
          </cell>
        </row>
        <row r="414">
          <cell r="A414">
            <v>40571</v>
          </cell>
          <cell r="B414">
            <v>40571</v>
          </cell>
          <cell r="C414" t="str">
            <v>Past</v>
          </cell>
          <cell r="D414">
            <v>14.37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14.37</v>
          </cell>
          <cell r="Q414">
            <v>1.1273309999999999</v>
          </cell>
          <cell r="R414" t="e">
            <v>#N/A</v>
          </cell>
        </row>
        <row r="415">
          <cell r="A415">
            <v>40574</v>
          </cell>
          <cell r="B415">
            <v>40574</v>
          </cell>
          <cell r="C415" t="str">
            <v>Past</v>
          </cell>
          <cell r="D415">
            <v>14.37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14.37</v>
          </cell>
          <cell r="Q415">
            <v>2.4396409999999999</v>
          </cell>
          <cell r="R415" t="e">
            <v>#N/A</v>
          </cell>
        </row>
        <row r="416">
          <cell r="A416">
            <v>40575</v>
          </cell>
          <cell r="B416">
            <v>40575</v>
          </cell>
          <cell r="C416" t="str">
            <v>Past</v>
          </cell>
          <cell r="D416">
            <v>14.65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14.65</v>
          </cell>
          <cell r="Q416">
            <v>1.3703000000000001</v>
          </cell>
          <cell r="R416" t="e">
            <v>#N/A</v>
          </cell>
        </row>
        <row r="417">
          <cell r="A417">
            <v>40576</v>
          </cell>
          <cell r="B417">
            <v>40576</v>
          </cell>
          <cell r="C417" t="str">
            <v>Past</v>
          </cell>
          <cell r="D417">
            <v>14.55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14.55</v>
          </cell>
          <cell r="Q417">
            <v>0.97767199999999999</v>
          </cell>
          <cell r="R417" t="e">
            <v>#N/A</v>
          </cell>
        </row>
        <row r="418">
          <cell r="A418">
            <v>40577</v>
          </cell>
          <cell r="B418">
            <v>40577</v>
          </cell>
          <cell r="C418" t="str">
            <v>Past</v>
          </cell>
          <cell r="D418">
            <v>14.55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14.55</v>
          </cell>
          <cell r="Q418">
            <v>1.0440859999999998</v>
          </cell>
          <cell r="R418" t="e">
            <v>#N/A</v>
          </cell>
        </row>
        <row r="419">
          <cell r="A419">
            <v>40578</v>
          </cell>
          <cell r="B419">
            <v>40578</v>
          </cell>
          <cell r="C419" t="str">
            <v>Past</v>
          </cell>
          <cell r="D419">
            <v>14.47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14.47</v>
          </cell>
          <cell r="Q419">
            <v>0.59531299999999998</v>
          </cell>
          <cell r="R419" t="e">
            <v>#N/A</v>
          </cell>
        </row>
        <row r="420">
          <cell r="A420">
            <v>40581</v>
          </cell>
          <cell r="B420">
            <v>40581</v>
          </cell>
          <cell r="C420" t="str">
            <v>Past</v>
          </cell>
          <cell r="D420">
            <v>14.54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14.54</v>
          </cell>
          <cell r="Q420">
            <v>0.78476099999999993</v>
          </cell>
          <cell r="R420" t="e">
            <v>#N/A</v>
          </cell>
        </row>
        <row r="421">
          <cell r="A421">
            <v>40582</v>
          </cell>
          <cell r="B421">
            <v>40582</v>
          </cell>
          <cell r="C421" t="str">
            <v>Past</v>
          </cell>
          <cell r="D421">
            <v>14.53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14.53</v>
          </cell>
          <cell r="Q421">
            <v>1.0100449999999999</v>
          </cell>
          <cell r="R421" t="e">
            <v>#N/A</v>
          </cell>
        </row>
        <row r="422">
          <cell r="A422">
            <v>40583</v>
          </cell>
          <cell r="B422">
            <v>40583</v>
          </cell>
          <cell r="C422" t="str">
            <v>Past</v>
          </cell>
          <cell r="D422">
            <v>14.51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14.51</v>
          </cell>
          <cell r="Q422">
            <v>1.1109639999999998</v>
          </cell>
          <cell r="R422" t="e">
            <v>#N/A</v>
          </cell>
        </row>
        <row r="423">
          <cell r="A423">
            <v>40584</v>
          </cell>
          <cell r="B423">
            <v>40584</v>
          </cell>
          <cell r="C423" t="str">
            <v>Past</v>
          </cell>
          <cell r="D423">
            <v>14.61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14.61</v>
          </cell>
          <cell r="Q423">
            <v>1.1675180000000001</v>
          </cell>
          <cell r="R423" t="e">
            <v>#N/A</v>
          </cell>
        </row>
        <row r="424">
          <cell r="A424">
            <v>40585</v>
          </cell>
          <cell r="B424">
            <v>40585</v>
          </cell>
          <cell r="C424" t="str">
            <v>Past</v>
          </cell>
          <cell r="D424">
            <v>14.59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14.59</v>
          </cell>
          <cell r="Q424">
            <v>1.118268</v>
          </cell>
          <cell r="R424" t="e">
            <v>#N/A</v>
          </cell>
        </row>
        <row r="425">
          <cell r="A425">
            <v>40588</v>
          </cell>
          <cell r="B425">
            <v>40588</v>
          </cell>
          <cell r="C425" t="str">
            <v>Past</v>
          </cell>
          <cell r="D425">
            <v>14.58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14.58</v>
          </cell>
          <cell r="Q425">
            <v>1.7586619999999999</v>
          </cell>
          <cell r="R425" t="e">
            <v>#N/A</v>
          </cell>
        </row>
        <row r="426">
          <cell r="A426">
            <v>40589</v>
          </cell>
          <cell r="B426">
            <v>40589</v>
          </cell>
          <cell r="C426" t="str">
            <v>Past</v>
          </cell>
          <cell r="D426">
            <v>14.68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14.68</v>
          </cell>
          <cell r="Q426">
            <v>1.2413719999999999</v>
          </cell>
          <cell r="R426" t="e">
            <v>#N/A</v>
          </cell>
        </row>
        <row r="427">
          <cell r="A427">
            <v>40590</v>
          </cell>
          <cell r="B427">
            <v>40590</v>
          </cell>
          <cell r="C427" t="str">
            <v>Past</v>
          </cell>
          <cell r="D427">
            <v>14.74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14.74</v>
          </cell>
          <cell r="Q427">
            <v>1.006011</v>
          </cell>
          <cell r="R427" t="e">
            <v>#N/A</v>
          </cell>
        </row>
        <row r="428">
          <cell r="A428">
            <v>40591</v>
          </cell>
          <cell r="B428">
            <v>40591</v>
          </cell>
          <cell r="C428" t="str">
            <v>Past</v>
          </cell>
          <cell r="D428">
            <v>14.78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14.78</v>
          </cell>
          <cell r="Q428">
            <v>1.5522549999999999</v>
          </cell>
          <cell r="R428" t="e">
            <v>#N/A</v>
          </cell>
        </row>
        <row r="429">
          <cell r="A429">
            <v>40592</v>
          </cell>
          <cell r="B429">
            <v>40592</v>
          </cell>
          <cell r="C429" t="str">
            <v>Past</v>
          </cell>
          <cell r="D429">
            <v>14.92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14.92</v>
          </cell>
          <cell r="Q429">
            <v>3.2853879999999998</v>
          </cell>
          <cell r="R429" t="e">
            <v>#N/A</v>
          </cell>
        </row>
        <row r="430">
          <cell r="A430">
            <v>40596</v>
          </cell>
          <cell r="B430">
            <v>40596</v>
          </cell>
          <cell r="C430" t="str">
            <v>Past</v>
          </cell>
          <cell r="D430">
            <v>14.86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14.86</v>
          </cell>
          <cell r="Q430">
            <v>1.7888649999999999</v>
          </cell>
          <cell r="R430" t="e">
            <v>#N/A</v>
          </cell>
        </row>
        <row r="431">
          <cell r="A431">
            <v>40597</v>
          </cell>
          <cell r="B431">
            <v>40597</v>
          </cell>
          <cell r="C431" t="str">
            <v>Past</v>
          </cell>
          <cell r="D431">
            <v>14.69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14.69</v>
          </cell>
          <cell r="Q431">
            <v>1.544481</v>
          </cell>
          <cell r="R431" t="e">
            <v>#N/A</v>
          </cell>
        </row>
        <row r="432">
          <cell r="A432">
            <v>40598</v>
          </cell>
          <cell r="B432">
            <v>40598</v>
          </cell>
          <cell r="C432" t="str">
            <v>Past</v>
          </cell>
          <cell r="D432">
            <v>14.56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14.56</v>
          </cell>
          <cell r="Q432">
            <v>1.3997700000000002</v>
          </cell>
          <cell r="R432" t="e">
            <v>#N/A</v>
          </cell>
        </row>
        <row r="433">
          <cell r="A433">
            <v>40599</v>
          </cell>
          <cell r="B433">
            <v>40599</v>
          </cell>
          <cell r="C433" t="str">
            <v>Past</v>
          </cell>
          <cell r="D433">
            <v>14.63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14.63</v>
          </cell>
          <cell r="Q433">
            <v>1.2756859999999999</v>
          </cell>
          <cell r="R433" t="e">
            <v>#N/A</v>
          </cell>
        </row>
        <row r="434">
          <cell r="A434">
            <v>40602</v>
          </cell>
          <cell r="B434">
            <v>40602</v>
          </cell>
          <cell r="C434" t="str">
            <v>Past</v>
          </cell>
          <cell r="D434">
            <v>14.69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14.69</v>
          </cell>
          <cell r="Q434">
            <v>1.8974500000000001</v>
          </cell>
          <cell r="R434" t="e">
            <v>#N/A</v>
          </cell>
        </row>
        <row r="435">
          <cell r="A435">
            <v>40603</v>
          </cell>
          <cell r="B435">
            <v>40603</v>
          </cell>
          <cell r="C435" t="str">
            <v>Past</v>
          </cell>
          <cell r="D435">
            <v>14.55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14.55</v>
          </cell>
          <cell r="Q435">
            <v>1.179567</v>
          </cell>
          <cell r="R435" t="e">
            <v>#N/A</v>
          </cell>
        </row>
        <row r="436">
          <cell r="A436">
            <v>40604</v>
          </cell>
          <cell r="B436">
            <v>40604</v>
          </cell>
          <cell r="C436" t="str">
            <v>Past</v>
          </cell>
          <cell r="D436">
            <v>14.64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14.64</v>
          </cell>
          <cell r="Q436">
            <v>1.235517</v>
          </cell>
          <cell r="R436" t="e">
            <v>#N/A</v>
          </cell>
        </row>
        <row r="437">
          <cell r="A437">
            <v>40605</v>
          </cell>
          <cell r="B437">
            <v>40605</v>
          </cell>
          <cell r="C437" t="str">
            <v>Past</v>
          </cell>
          <cell r="D437">
            <v>14.83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14.83</v>
          </cell>
          <cell r="Q437">
            <v>1.411872</v>
          </cell>
          <cell r="R437" t="e">
            <v>#N/A</v>
          </cell>
        </row>
        <row r="438">
          <cell r="A438">
            <v>40606</v>
          </cell>
          <cell r="B438">
            <v>40606</v>
          </cell>
          <cell r="C438" t="str">
            <v>Past</v>
          </cell>
          <cell r="D438">
            <v>14.68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14.68</v>
          </cell>
          <cell r="Q438">
            <v>0.85889299999999991</v>
          </cell>
          <cell r="R438" t="e">
            <v>#N/A</v>
          </cell>
        </row>
        <row r="439">
          <cell r="A439">
            <v>40609</v>
          </cell>
          <cell r="B439">
            <v>40609</v>
          </cell>
          <cell r="C439" t="str">
            <v>Past</v>
          </cell>
          <cell r="D439">
            <v>14.7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14.7</v>
          </cell>
          <cell r="Q439">
            <v>1.3134239999999999</v>
          </cell>
          <cell r="R439" t="e">
            <v>#N/A</v>
          </cell>
        </row>
        <row r="440">
          <cell r="A440">
            <v>40610</v>
          </cell>
          <cell r="B440">
            <v>40610</v>
          </cell>
          <cell r="C440" t="str">
            <v>Past</v>
          </cell>
          <cell r="D440">
            <v>14.88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14.88</v>
          </cell>
          <cell r="Q440">
            <v>1.3189700000000002</v>
          </cell>
          <cell r="R440" t="e">
            <v>#N/A</v>
          </cell>
        </row>
        <row r="441">
          <cell r="A441">
            <v>40611</v>
          </cell>
          <cell r="B441">
            <v>40611</v>
          </cell>
          <cell r="C441" t="str">
            <v>Past</v>
          </cell>
          <cell r="D441">
            <v>14.91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14.91</v>
          </cell>
          <cell r="Q441">
            <v>1.1770129999999999</v>
          </cell>
          <cell r="R441" t="e">
            <v>#N/A</v>
          </cell>
        </row>
        <row r="442">
          <cell r="A442">
            <v>40612</v>
          </cell>
          <cell r="B442">
            <v>40612</v>
          </cell>
          <cell r="C442" t="str">
            <v>Past</v>
          </cell>
          <cell r="D442">
            <v>14.67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14.67</v>
          </cell>
          <cell r="Q442">
            <v>2.195319</v>
          </cell>
          <cell r="R442" t="e">
            <v>#N/A</v>
          </cell>
        </row>
        <row r="443">
          <cell r="A443">
            <v>40613</v>
          </cell>
          <cell r="B443">
            <v>40613</v>
          </cell>
          <cell r="C443" t="str">
            <v>Past</v>
          </cell>
          <cell r="D443">
            <v>14.83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14.83</v>
          </cell>
          <cell r="Q443">
            <v>2.5068239999999999</v>
          </cell>
          <cell r="R443" t="e">
            <v>#N/A</v>
          </cell>
        </row>
        <row r="444">
          <cell r="A444">
            <v>40616</v>
          </cell>
          <cell r="B444">
            <v>40616</v>
          </cell>
          <cell r="C444" t="str">
            <v>Past</v>
          </cell>
          <cell r="D444">
            <v>14.83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14.83</v>
          </cell>
          <cell r="Q444">
            <v>1.7697939999999999</v>
          </cell>
          <cell r="R444" t="e">
            <v>#N/A</v>
          </cell>
        </row>
        <row r="445">
          <cell r="A445">
            <v>40617</v>
          </cell>
          <cell r="B445">
            <v>40617</v>
          </cell>
          <cell r="C445" t="str">
            <v>Past</v>
          </cell>
          <cell r="D445">
            <v>14.54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14.54</v>
          </cell>
          <cell r="Q445">
            <v>1.7034609999999999</v>
          </cell>
          <cell r="R445" t="e">
            <v>#N/A</v>
          </cell>
        </row>
        <row r="446">
          <cell r="A446">
            <v>40618</v>
          </cell>
          <cell r="B446">
            <v>40618</v>
          </cell>
          <cell r="C446" t="str">
            <v>Past</v>
          </cell>
          <cell r="D446">
            <v>14.31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14.31</v>
          </cell>
          <cell r="Q446">
            <v>2.262054</v>
          </cell>
          <cell r="R446" t="e">
            <v>#N/A</v>
          </cell>
        </row>
        <row r="447">
          <cell r="A447">
            <v>40619</v>
          </cell>
          <cell r="B447">
            <v>40619</v>
          </cell>
          <cell r="C447" t="str">
            <v>Past</v>
          </cell>
          <cell r="D447">
            <v>14.33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14.33</v>
          </cell>
          <cell r="Q447">
            <v>1.7244809999999999</v>
          </cell>
          <cell r="R447" t="e">
            <v>#N/A</v>
          </cell>
        </row>
        <row r="448">
          <cell r="A448">
            <v>40620</v>
          </cell>
          <cell r="B448">
            <v>40620</v>
          </cell>
          <cell r="C448" t="str">
            <v>Past</v>
          </cell>
          <cell r="D448">
            <v>14.35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14.35</v>
          </cell>
          <cell r="Q448">
            <v>1.5717639999999999</v>
          </cell>
          <cell r="R448" t="e">
            <v>#N/A</v>
          </cell>
        </row>
        <row r="449">
          <cell r="A449">
            <v>40623</v>
          </cell>
          <cell r="B449">
            <v>40623</v>
          </cell>
          <cell r="C449" t="str">
            <v>Past</v>
          </cell>
          <cell r="D449">
            <v>14.68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14.68</v>
          </cell>
          <cell r="Q449">
            <v>1.8070109999999999</v>
          </cell>
          <cell r="R449" t="e">
            <v>#N/A</v>
          </cell>
        </row>
        <row r="450">
          <cell r="A450">
            <v>40624</v>
          </cell>
          <cell r="B450">
            <v>40624</v>
          </cell>
          <cell r="C450" t="str">
            <v>Past</v>
          </cell>
          <cell r="D450">
            <v>14.54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14.54</v>
          </cell>
          <cell r="Q450">
            <v>1.435576</v>
          </cell>
          <cell r="R450" t="e">
            <v>#N/A</v>
          </cell>
        </row>
        <row r="451">
          <cell r="A451">
            <v>40625</v>
          </cell>
          <cell r="B451">
            <v>40625</v>
          </cell>
          <cell r="C451" t="str">
            <v>Past</v>
          </cell>
          <cell r="D451">
            <v>14.49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14.49</v>
          </cell>
          <cell r="Q451">
            <v>1.24529</v>
          </cell>
          <cell r="R451" t="e">
            <v>#N/A</v>
          </cell>
        </row>
        <row r="452">
          <cell r="A452">
            <v>40626</v>
          </cell>
          <cell r="B452">
            <v>40626</v>
          </cell>
          <cell r="C452" t="str">
            <v>Past</v>
          </cell>
          <cell r="D452">
            <v>14.5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14.5</v>
          </cell>
          <cell r="Q452">
            <v>1.491544</v>
          </cell>
          <cell r="R452" t="e">
            <v>#N/A</v>
          </cell>
        </row>
        <row r="453">
          <cell r="A453">
            <v>40627</v>
          </cell>
          <cell r="B453">
            <v>40627</v>
          </cell>
          <cell r="C453" t="str">
            <v>Past</v>
          </cell>
          <cell r="D453">
            <v>14.58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14.58</v>
          </cell>
          <cell r="Q453">
            <v>1.252939</v>
          </cell>
          <cell r="R453" t="e">
            <v>#N/A</v>
          </cell>
        </row>
        <row r="454">
          <cell r="A454">
            <v>40630</v>
          </cell>
          <cell r="B454">
            <v>40630</v>
          </cell>
          <cell r="C454" t="str">
            <v>Past</v>
          </cell>
          <cell r="D454">
            <v>14.53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14.53</v>
          </cell>
          <cell r="Q454">
            <v>1.033458</v>
          </cell>
          <cell r="R454" t="e">
            <v>#N/A</v>
          </cell>
        </row>
        <row r="455">
          <cell r="A455">
            <v>40631</v>
          </cell>
          <cell r="B455">
            <v>40631</v>
          </cell>
          <cell r="C455" t="str">
            <v>Past</v>
          </cell>
          <cell r="D455">
            <v>14.7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14.7</v>
          </cell>
          <cell r="Q455">
            <v>1.3141769999999999</v>
          </cell>
          <cell r="R455" t="e">
            <v>#N/A</v>
          </cell>
        </row>
        <row r="456">
          <cell r="A456">
            <v>40632</v>
          </cell>
          <cell r="B456">
            <v>40632</v>
          </cell>
          <cell r="C456" t="str">
            <v>Past</v>
          </cell>
          <cell r="D456">
            <v>14.89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14.89</v>
          </cell>
          <cell r="Q456">
            <v>1.3115600000000001</v>
          </cell>
          <cell r="R456" t="e">
            <v>#N/A</v>
          </cell>
        </row>
        <row r="457">
          <cell r="A457">
            <v>40633</v>
          </cell>
          <cell r="B457">
            <v>40633</v>
          </cell>
          <cell r="C457" t="str">
            <v>Past</v>
          </cell>
          <cell r="D457">
            <v>14.89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14.89</v>
          </cell>
          <cell r="Q457">
            <v>0.96714199999999995</v>
          </cell>
          <cell r="R457" t="e">
            <v>#N/A</v>
          </cell>
        </row>
        <row r="458">
          <cell r="A458">
            <v>40634</v>
          </cell>
          <cell r="B458">
            <v>40634</v>
          </cell>
          <cell r="C458" t="str">
            <v>Past</v>
          </cell>
          <cell r="D458">
            <v>15.03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15.03</v>
          </cell>
          <cell r="Q458">
            <v>1.0310729999999999</v>
          </cell>
          <cell r="R458" t="e">
            <v>#N/A</v>
          </cell>
        </row>
        <row r="459">
          <cell r="A459">
            <v>40637</v>
          </cell>
          <cell r="B459">
            <v>40637</v>
          </cell>
          <cell r="C459" t="str">
            <v>Past</v>
          </cell>
          <cell r="D459">
            <v>15.07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15.07</v>
          </cell>
          <cell r="Q459">
            <v>1.8920779999999999</v>
          </cell>
          <cell r="R459" t="e">
            <v>#N/A</v>
          </cell>
        </row>
        <row r="460">
          <cell r="A460">
            <v>40638</v>
          </cell>
          <cell r="B460">
            <v>40638</v>
          </cell>
          <cell r="C460" t="str">
            <v>Past</v>
          </cell>
          <cell r="D460">
            <v>15.08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15.08</v>
          </cell>
          <cell r="Q460">
            <v>1.070727</v>
          </cell>
          <cell r="R460" t="e">
            <v>#N/A</v>
          </cell>
        </row>
        <row r="461">
          <cell r="A461">
            <v>40639</v>
          </cell>
          <cell r="B461">
            <v>40639</v>
          </cell>
          <cell r="C461" t="str">
            <v>Past</v>
          </cell>
          <cell r="D461">
            <v>15.22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15.22</v>
          </cell>
          <cell r="Q461">
            <v>2.4883349999999997</v>
          </cell>
          <cell r="R461" t="e">
            <v>#N/A</v>
          </cell>
        </row>
        <row r="462">
          <cell r="A462">
            <v>40640</v>
          </cell>
          <cell r="B462">
            <v>40640</v>
          </cell>
          <cell r="C462" t="str">
            <v>Past</v>
          </cell>
          <cell r="D462">
            <v>15.03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15.03</v>
          </cell>
          <cell r="Q462">
            <v>1.381759</v>
          </cell>
          <cell r="R462" t="e">
            <v>#N/A</v>
          </cell>
        </row>
        <row r="463">
          <cell r="A463">
            <v>40641</v>
          </cell>
          <cell r="B463">
            <v>40641</v>
          </cell>
          <cell r="C463" t="str">
            <v>Past</v>
          </cell>
          <cell r="D463">
            <v>15.03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15.03</v>
          </cell>
          <cell r="Q463">
            <v>1.7781319999999998</v>
          </cell>
          <cell r="R463" t="e">
            <v>#N/A</v>
          </cell>
        </row>
        <row r="464">
          <cell r="A464">
            <v>40644</v>
          </cell>
          <cell r="B464">
            <v>40644</v>
          </cell>
          <cell r="C464" t="str">
            <v>Past</v>
          </cell>
          <cell r="D464">
            <v>14.74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14.74</v>
          </cell>
          <cell r="Q464">
            <v>1.324306</v>
          </cell>
          <cell r="R464" t="e">
            <v>#N/A</v>
          </cell>
        </row>
        <row r="465">
          <cell r="A465">
            <v>40645</v>
          </cell>
          <cell r="B465">
            <v>40645</v>
          </cell>
          <cell r="C465" t="str">
            <v>Past</v>
          </cell>
          <cell r="D465">
            <v>14.64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14.64</v>
          </cell>
          <cell r="Q465">
            <v>0.74409799999999993</v>
          </cell>
          <cell r="R465" t="e">
            <v>#N/A</v>
          </cell>
        </row>
        <row r="466">
          <cell r="A466">
            <v>40646</v>
          </cell>
          <cell r="B466">
            <v>40646</v>
          </cell>
          <cell r="C466" t="str">
            <v>Past</v>
          </cell>
          <cell r="D466">
            <v>14.68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14.68</v>
          </cell>
          <cell r="Q466">
            <v>0.85418099999999997</v>
          </cell>
          <cell r="R466" t="e">
            <v>#N/A</v>
          </cell>
        </row>
        <row r="467">
          <cell r="A467">
            <v>40647</v>
          </cell>
          <cell r="B467">
            <v>40647</v>
          </cell>
          <cell r="C467" t="str">
            <v>Past</v>
          </cell>
          <cell r="D467">
            <v>14.78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14.78</v>
          </cell>
          <cell r="Q467">
            <v>0.80073699999999992</v>
          </cell>
          <cell r="R467" t="e">
            <v>#N/A</v>
          </cell>
        </row>
        <row r="468">
          <cell r="A468">
            <v>40648</v>
          </cell>
          <cell r="B468">
            <v>40648</v>
          </cell>
          <cell r="C468" t="str">
            <v>Past</v>
          </cell>
          <cell r="D468">
            <v>14.87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14.87</v>
          </cell>
          <cell r="Q468">
            <v>0.85800100000000001</v>
          </cell>
          <cell r="R468" t="e">
            <v>#N/A</v>
          </cell>
        </row>
        <row r="469">
          <cell r="A469">
            <v>40651</v>
          </cell>
          <cell r="B469">
            <v>40651</v>
          </cell>
          <cell r="C469" t="str">
            <v>Past</v>
          </cell>
          <cell r="D469">
            <v>14.66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14.66</v>
          </cell>
          <cell r="Q469">
            <v>1.6471739999999999</v>
          </cell>
          <cell r="R469" t="e">
            <v>#N/A</v>
          </cell>
        </row>
        <row r="470">
          <cell r="A470">
            <v>40652</v>
          </cell>
          <cell r="B470">
            <v>40652</v>
          </cell>
          <cell r="C470" t="str">
            <v>Past</v>
          </cell>
          <cell r="D470">
            <v>14.67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14.67</v>
          </cell>
          <cell r="Q470">
            <v>0.76988299999999998</v>
          </cell>
          <cell r="R470" t="e">
            <v>#N/A</v>
          </cell>
        </row>
        <row r="471">
          <cell r="A471">
            <v>40653</v>
          </cell>
          <cell r="B471">
            <v>40653</v>
          </cell>
          <cell r="C471" t="str">
            <v>Past</v>
          </cell>
          <cell r="D471">
            <v>14.87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14.87</v>
          </cell>
          <cell r="Q471">
            <v>1.3099069999999999</v>
          </cell>
          <cell r="R471" t="e">
            <v>#N/A</v>
          </cell>
        </row>
        <row r="472">
          <cell r="A472">
            <v>40654</v>
          </cell>
          <cell r="B472">
            <v>40654</v>
          </cell>
          <cell r="C472" t="str">
            <v>Past</v>
          </cell>
          <cell r="D472">
            <v>14.9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14.9</v>
          </cell>
          <cell r="Q472">
            <v>0.91618899999999992</v>
          </cell>
          <cell r="R472" t="e">
            <v>#N/A</v>
          </cell>
        </row>
        <row r="473">
          <cell r="A473">
            <v>40658</v>
          </cell>
          <cell r="B473">
            <v>40658</v>
          </cell>
          <cell r="C473" t="str">
            <v>Past</v>
          </cell>
          <cell r="D473">
            <v>14.89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14.89</v>
          </cell>
          <cell r="Q473">
            <v>0.50272499999999998</v>
          </cell>
          <cell r="R473" t="e">
            <v>#N/A</v>
          </cell>
        </row>
        <row r="474">
          <cell r="A474">
            <v>40659</v>
          </cell>
          <cell r="B474">
            <v>40659</v>
          </cell>
          <cell r="C474" t="str">
            <v>Past</v>
          </cell>
          <cell r="D474">
            <v>14.99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14.99</v>
          </cell>
          <cell r="Q474">
            <v>1.0861239999999999</v>
          </cell>
          <cell r="R474" t="e">
            <v>#N/A</v>
          </cell>
        </row>
        <row r="475">
          <cell r="A475">
            <v>40660</v>
          </cell>
          <cell r="B475">
            <v>40660</v>
          </cell>
          <cell r="C475" t="str">
            <v>Past</v>
          </cell>
          <cell r="D475">
            <v>15.02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15.02</v>
          </cell>
          <cell r="Q475">
            <v>1.3666639999999999</v>
          </cell>
          <cell r="R475" t="e">
            <v>#N/A</v>
          </cell>
        </row>
        <row r="476">
          <cell r="A476">
            <v>40661</v>
          </cell>
          <cell r="B476">
            <v>40661</v>
          </cell>
          <cell r="C476" t="str">
            <v>Past</v>
          </cell>
          <cell r="D476">
            <v>15.13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15.13</v>
          </cell>
          <cell r="Q476">
            <v>3.1455869999999999</v>
          </cell>
          <cell r="R476" t="e">
            <v>#N/A</v>
          </cell>
        </row>
        <row r="477">
          <cell r="A477">
            <v>40662</v>
          </cell>
          <cell r="B477">
            <v>40662</v>
          </cell>
          <cell r="C477" t="str">
            <v>Past</v>
          </cell>
          <cell r="D477">
            <v>15.19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15.19</v>
          </cell>
          <cell r="Q477">
            <v>1.173627</v>
          </cell>
          <cell r="R477" t="e">
            <v>#N/A</v>
          </cell>
        </row>
        <row r="478">
          <cell r="A478">
            <v>40665</v>
          </cell>
          <cell r="B478">
            <v>40665</v>
          </cell>
          <cell r="C478" t="str">
            <v>Past</v>
          </cell>
          <cell r="D478">
            <v>15.23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15.23</v>
          </cell>
          <cell r="Q478">
            <v>1.4589559999999999</v>
          </cell>
          <cell r="R478" t="e">
            <v>#N/A</v>
          </cell>
        </row>
        <row r="479">
          <cell r="A479">
            <v>40666</v>
          </cell>
          <cell r="B479">
            <v>40666</v>
          </cell>
          <cell r="C479" t="str">
            <v>Past</v>
          </cell>
          <cell r="D479">
            <v>15.35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15.35</v>
          </cell>
          <cell r="Q479">
            <v>1.2028179999999999</v>
          </cell>
          <cell r="R479" t="e">
            <v>#N/A</v>
          </cell>
        </row>
        <row r="480">
          <cell r="A480">
            <v>40667</v>
          </cell>
          <cell r="B480">
            <v>40667</v>
          </cell>
          <cell r="C480" t="str">
            <v>Past</v>
          </cell>
          <cell r="D480">
            <v>15.35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15.35</v>
          </cell>
          <cell r="Q480">
            <v>1.497406</v>
          </cell>
          <cell r="R480" t="e">
            <v>#N/A</v>
          </cell>
        </row>
        <row r="481">
          <cell r="A481">
            <v>40668</v>
          </cell>
          <cell r="B481">
            <v>40668</v>
          </cell>
          <cell r="C481" t="str">
            <v>Past</v>
          </cell>
          <cell r="D481">
            <v>15.32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15.32</v>
          </cell>
          <cell r="Q481">
            <v>1.251004</v>
          </cell>
          <cell r="R481" t="e">
            <v>#N/A</v>
          </cell>
        </row>
        <row r="482">
          <cell r="A482">
            <v>40669</v>
          </cell>
          <cell r="B482">
            <v>40669</v>
          </cell>
          <cell r="C482" t="str">
            <v>Past</v>
          </cell>
          <cell r="D482">
            <v>15.45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15.45</v>
          </cell>
          <cell r="Q482">
            <v>1.1364030000000001</v>
          </cell>
          <cell r="R482" t="e">
            <v>#N/A</v>
          </cell>
        </row>
        <row r="483">
          <cell r="A483">
            <v>40672</v>
          </cell>
          <cell r="B483">
            <v>40672</v>
          </cell>
          <cell r="C483" t="str">
            <v>Past</v>
          </cell>
          <cell r="D483">
            <v>15.47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15.47</v>
          </cell>
          <cell r="Q483">
            <v>0.66692499999999999</v>
          </cell>
          <cell r="R483" t="e">
            <v>#N/A</v>
          </cell>
        </row>
        <row r="484">
          <cell r="A484">
            <v>40673</v>
          </cell>
          <cell r="B484">
            <v>40673</v>
          </cell>
          <cell r="C484" t="str">
            <v>Past</v>
          </cell>
          <cell r="D484">
            <v>15.73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15.73</v>
          </cell>
          <cell r="Q484">
            <v>1.8866289999999999</v>
          </cell>
          <cell r="R484" t="e">
            <v>#N/A</v>
          </cell>
        </row>
        <row r="485">
          <cell r="A485">
            <v>40674</v>
          </cell>
          <cell r="B485">
            <v>40674</v>
          </cell>
          <cell r="C485" t="str">
            <v>Past</v>
          </cell>
          <cell r="D485">
            <v>15.7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15.7</v>
          </cell>
          <cell r="Q485">
            <v>1.11927</v>
          </cell>
          <cell r="R485" t="e">
            <v>#N/A</v>
          </cell>
        </row>
        <row r="486">
          <cell r="A486">
            <v>40675</v>
          </cell>
          <cell r="B486">
            <v>40675</v>
          </cell>
          <cell r="C486" t="str">
            <v>Past</v>
          </cell>
          <cell r="D486">
            <v>15.84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15.84</v>
          </cell>
          <cell r="Q486">
            <v>1.401851</v>
          </cell>
          <cell r="R486" t="e">
            <v>#N/A</v>
          </cell>
        </row>
        <row r="487">
          <cell r="A487">
            <v>40676</v>
          </cell>
          <cell r="B487">
            <v>40676</v>
          </cell>
          <cell r="C487" t="str">
            <v>Past</v>
          </cell>
          <cell r="D487">
            <v>15.73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15.73</v>
          </cell>
          <cell r="Q487">
            <v>1.107809</v>
          </cell>
          <cell r="R487" t="e">
            <v>#N/A</v>
          </cell>
        </row>
        <row r="488">
          <cell r="A488">
            <v>40679</v>
          </cell>
          <cell r="B488">
            <v>40679</v>
          </cell>
          <cell r="C488" t="str">
            <v>Past</v>
          </cell>
          <cell r="D488">
            <v>15.68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15.68</v>
          </cell>
          <cell r="Q488">
            <v>0.97081499999999998</v>
          </cell>
          <cell r="R488" t="e">
            <v>#N/A</v>
          </cell>
        </row>
        <row r="489">
          <cell r="A489">
            <v>40680</v>
          </cell>
          <cell r="B489">
            <v>40680</v>
          </cell>
          <cell r="C489" t="str">
            <v>Past</v>
          </cell>
          <cell r="D489">
            <v>15.7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15.7</v>
          </cell>
          <cell r="Q489">
            <v>1.0844129999999998</v>
          </cell>
          <cell r="R489" t="e">
            <v>#N/A</v>
          </cell>
        </row>
        <row r="490">
          <cell r="A490">
            <v>40681</v>
          </cell>
          <cell r="B490">
            <v>40681</v>
          </cell>
          <cell r="C490" t="str">
            <v>Past</v>
          </cell>
          <cell r="D490">
            <v>15.74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15.74</v>
          </cell>
          <cell r="Q490">
            <v>1.2470839999999999</v>
          </cell>
          <cell r="R490" t="e">
            <v>#N/A</v>
          </cell>
        </row>
        <row r="491">
          <cell r="A491">
            <v>40682</v>
          </cell>
          <cell r="B491">
            <v>40682</v>
          </cell>
          <cell r="C491" t="str">
            <v>Past</v>
          </cell>
          <cell r="D491">
            <v>15.83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15.83</v>
          </cell>
          <cell r="Q491">
            <v>1.4872179999999999</v>
          </cell>
          <cell r="R491" t="e">
            <v>#N/A</v>
          </cell>
        </row>
        <row r="492">
          <cell r="A492">
            <v>40683</v>
          </cell>
          <cell r="B492">
            <v>40683</v>
          </cell>
          <cell r="C492" t="str">
            <v>Past</v>
          </cell>
          <cell r="D492">
            <v>15.89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15.89</v>
          </cell>
          <cell r="Q492">
            <v>1.526613</v>
          </cell>
          <cell r="R492" t="e">
            <v>#N/A</v>
          </cell>
        </row>
        <row r="493">
          <cell r="A493">
            <v>40686</v>
          </cell>
          <cell r="B493">
            <v>40686</v>
          </cell>
          <cell r="C493" t="str">
            <v>Past</v>
          </cell>
          <cell r="D493">
            <v>15.58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15.58</v>
          </cell>
          <cell r="Q493">
            <v>0.90938699999999995</v>
          </cell>
          <cell r="R493" t="e">
            <v>#N/A</v>
          </cell>
        </row>
        <row r="494">
          <cell r="A494">
            <v>40687</v>
          </cell>
          <cell r="B494">
            <v>40687</v>
          </cell>
          <cell r="C494" t="str">
            <v>Past</v>
          </cell>
          <cell r="D494">
            <v>15.45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15.45</v>
          </cell>
          <cell r="Q494">
            <v>1.10145</v>
          </cell>
          <cell r="R494" t="e">
            <v>#N/A</v>
          </cell>
        </row>
        <row r="495">
          <cell r="A495">
            <v>40688</v>
          </cell>
          <cell r="B495">
            <v>40688</v>
          </cell>
          <cell r="C495" t="str">
            <v>Past</v>
          </cell>
          <cell r="D495">
            <v>15.44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15.44</v>
          </cell>
          <cell r="Q495">
            <v>0.66003800000000001</v>
          </cell>
          <cell r="R495" t="e">
            <v>#N/A</v>
          </cell>
        </row>
        <row r="496">
          <cell r="A496">
            <v>40689</v>
          </cell>
          <cell r="B496">
            <v>40689</v>
          </cell>
          <cell r="C496" t="str">
            <v>Past</v>
          </cell>
          <cell r="D496">
            <v>15.54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15.54</v>
          </cell>
          <cell r="Q496">
            <v>1.0232129999999999</v>
          </cell>
          <cell r="R496" t="e">
            <v>#N/A</v>
          </cell>
        </row>
        <row r="497">
          <cell r="A497">
            <v>40690</v>
          </cell>
          <cell r="B497">
            <v>40690</v>
          </cell>
          <cell r="C497" t="str">
            <v>Past</v>
          </cell>
          <cell r="D497">
            <v>15.54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15.54</v>
          </cell>
          <cell r="Q497">
            <v>0.67053600000000002</v>
          </cell>
          <cell r="R497" t="e">
            <v>#N/A</v>
          </cell>
        </row>
        <row r="498">
          <cell r="A498">
            <v>40694</v>
          </cell>
          <cell r="B498">
            <v>40694</v>
          </cell>
          <cell r="C498" t="str">
            <v>Past</v>
          </cell>
          <cell r="D498">
            <v>15.77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15.77</v>
          </cell>
          <cell r="Q498">
            <v>1.214715</v>
          </cell>
          <cell r="R498" t="e">
            <v>#N/A</v>
          </cell>
        </row>
        <row r="499">
          <cell r="A499">
            <v>40695</v>
          </cell>
          <cell r="B499">
            <v>40695</v>
          </cell>
          <cell r="C499" t="str">
            <v>Past</v>
          </cell>
          <cell r="D499">
            <v>15.54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15.54</v>
          </cell>
          <cell r="Q499">
            <v>1.767245</v>
          </cell>
          <cell r="R499" t="e">
            <v>#N/A</v>
          </cell>
        </row>
        <row r="500">
          <cell r="A500">
            <v>40696</v>
          </cell>
          <cell r="B500">
            <v>40696</v>
          </cell>
          <cell r="C500" t="str">
            <v>Past</v>
          </cell>
          <cell r="D500">
            <v>15.48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15.48</v>
          </cell>
          <cell r="Q500">
            <v>1.4389000000000001</v>
          </cell>
          <cell r="R500" t="e">
            <v>#N/A</v>
          </cell>
        </row>
        <row r="501">
          <cell r="A501">
            <v>40697</v>
          </cell>
          <cell r="B501">
            <v>40697</v>
          </cell>
          <cell r="C501" t="str">
            <v>Past</v>
          </cell>
          <cell r="D501">
            <v>15.21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15.21</v>
          </cell>
          <cell r="Q501">
            <v>1.2053719999999999</v>
          </cell>
          <cell r="R501" t="e">
            <v>#N/A</v>
          </cell>
        </row>
        <row r="502">
          <cell r="A502">
            <v>40700</v>
          </cell>
          <cell r="B502">
            <v>40700</v>
          </cell>
          <cell r="C502" t="str">
            <v>Past</v>
          </cell>
          <cell r="D502">
            <v>15.03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15.03</v>
          </cell>
          <cell r="Q502">
            <v>1.5388409999999999</v>
          </cell>
          <cell r="R502" t="e">
            <v>#N/A</v>
          </cell>
        </row>
        <row r="503">
          <cell r="A503">
            <v>40701</v>
          </cell>
          <cell r="B503">
            <v>40701</v>
          </cell>
          <cell r="C503" t="str">
            <v>Past</v>
          </cell>
          <cell r="D503">
            <v>15.2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15.2</v>
          </cell>
          <cell r="Q503">
            <v>3.3628109999999998</v>
          </cell>
          <cell r="R503" t="e">
            <v>#N/A</v>
          </cell>
        </row>
        <row r="504">
          <cell r="A504">
            <v>40702</v>
          </cell>
          <cell r="B504">
            <v>40702</v>
          </cell>
          <cell r="C504" t="str">
            <v>Past</v>
          </cell>
          <cell r="D504">
            <v>15.55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15.55</v>
          </cell>
          <cell r="Q504">
            <v>3.4263000000000003</v>
          </cell>
          <cell r="R504" t="e">
            <v>#N/A</v>
          </cell>
        </row>
        <row r="505">
          <cell r="A505">
            <v>40703</v>
          </cell>
          <cell r="B505">
            <v>40703</v>
          </cell>
          <cell r="C505" t="str">
            <v>Past</v>
          </cell>
          <cell r="D505">
            <v>15.38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15.38</v>
          </cell>
          <cell r="Q505">
            <v>4.3216890000000001</v>
          </cell>
          <cell r="R505" t="e">
            <v>#N/A</v>
          </cell>
        </row>
        <row r="506">
          <cell r="A506">
            <v>40704</v>
          </cell>
          <cell r="B506">
            <v>40704</v>
          </cell>
          <cell r="C506" t="str">
            <v>Past</v>
          </cell>
          <cell r="D506">
            <v>15.69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15.69</v>
          </cell>
          <cell r="Q506">
            <v>4.2505619999999995</v>
          </cell>
          <cell r="R506" t="e">
            <v>#N/A</v>
          </cell>
        </row>
        <row r="507">
          <cell r="A507">
            <v>40707</v>
          </cell>
          <cell r="B507">
            <v>40707</v>
          </cell>
          <cell r="C507" t="str">
            <v>Past</v>
          </cell>
          <cell r="D507">
            <v>15.65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15.65</v>
          </cell>
          <cell r="Q507">
            <v>4.1095300000000003</v>
          </cell>
          <cell r="R507" t="e">
            <v>#N/A</v>
          </cell>
        </row>
        <row r="508">
          <cell r="A508">
            <v>40708</v>
          </cell>
          <cell r="B508">
            <v>40708</v>
          </cell>
          <cell r="C508" t="str">
            <v>Past</v>
          </cell>
          <cell r="D508">
            <v>15.54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15.54</v>
          </cell>
          <cell r="Q508">
            <v>4.4835189999999994</v>
          </cell>
          <cell r="R508" t="e">
            <v>#N/A</v>
          </cell>
        </row>
        <row r="509">
          <cell r="A509">
            <v>40709</v>
          </cell>
          <cell r="B509">
            <v>40709</v>
          </cell>
          <cell r="C509" t="str">
            <v>Past</v>
          </cell>
          <cell r="D509">
            <v>15.37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15.37</v>
          </cell>
          <cell r="Q509">
            <v>2.9629879999999997</v>
          </cell>
          <cell r="R509" t="e">
            <v>#N/A</v>
          </cell>
        </row>
        <row r="510">
          <cell r="A510">
            <v>40710</v>
          </cell>
          <cell r="B510">
            <v>40710</v>
          </cell>
          <cell r="C510" t="str">
            <v>Past</v>
          </cell>
          <cell r="D510">
            <v>15.4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15.4</v>
          </cell>
          <cell r="Q510">
            <v>2.338606</v>
          </cell>
          <cell r="R510" t="e">
            <v>#N/A</v>
          </cell>
        </row>
        <row r="511">
          <cell r="A511">
            <v>40711</v>
          </cell>
          <cell r="B511">
            <v>40711</v>
          </cell>
          <cell r="C511" t="str">
            <v>Past</v>
          </cell>
          <cell r="D511">
            <v>15.45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15.45</v>
          </cell>
          <cell r="Q511">
            <v>2.8604409999999998</v>
          </cell>
          <cell r="R511" t="e">
            <v>#N/A</v>
          </cell>
        </row>
        <row r="512">
          <cell r="A512">
            <v>40714</v>
          </cell>
          <cell r="B512">
            <v>40714</v>
          </cell>
          <cell r="C512" t="str">
            <v>Past</v>
          </cell>
          <cell r="D512">
            <v>15.4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15.4</v>
          </cell>
          <cell r="Q512">
            <v>3.7483</v>
          </cell>
          <cell r="R512" t="e">
            <v>#N/A</v>
          </cell>
        </row>
        <row r="513">
          <cell r="A513">
            <v>40715</v>
          </cell>
          <cell r="B513">
            <v>40715</v>
          </cell>
          <cell r="C513" t="str">
            <v>Past</v>
          </cell>
          <cell r="D513">
            <v>15.5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15.5</v>
          </cell>
          <cell r="Q513">
            <v>4.0320909999999994</v>
          </cell>
          <cell r="R513" t="e">
            <v>#N/A</v>
          </cell>
        </row>
        <row r="514">
          <cell r="A514">
            <v>40716</v>
          </cell>
          <cell r="B514">
            <v>40716</v>
          </cell>
          <cell r="C514" t="str">
            <v>Past</v>
          </cell>
          <cell r="D514">
            <v>15.32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15.32</v>
          </cell>
          <cell r="Q514">
            <v>2.2638000000000003</v>
          </cell>
          <cell r="R514" t="e">
            <v>#N/A</v>
          </cell>
        </row>
        <row r="515">
          <cell r="A515">
            <v>40717</v>
          </cell>
          <cell r="B515">
            <v>40717</v>
          </cell>
          <cell r="C515" t="str">
            <v>Past</v>
          </cell>
          <cell r="D515">
            <v>15.1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15.1</v>
          </cell>
          <cell r="Q515">
            <v>3.6845919999999999</v>
          </cell>
          <cell r="R515" t="e">
            <v>#N/A</v>
          </cell>
        </row>
        <row r="516">
          <cell r="A516">
            <v>40718</v>
          </cell>
          <cell r="B516">
            <v>40718</v>
          </cell>
          <cell r="C516" t="str">
            <v>Past</v>
          </cell>
          <cell r="D516">
            <v>15.1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15.1</v>
          </cell>
          <cell r="Q516">
            <v>2.8938419999999998</v>
          </cell>
          <cell r="R516" t="e">
            <v>#N/A</v>
          </cell>
        </row>
        <row r="517">
          <cell r="A517">
            <v>40721</v>
          </cell>
          <cell r="B517">
            <v>40721</v>
          </cell>
          <cell r="C517" t="str">
            <v>Past</v>
          </cell>
          <cell r="D517">
            <v>15.23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15.23</v>
          </cell>
          <cell r="Q517">
            <v>1.7149000000000001</v>
          </cell>
          <cell r="R517" t="e">
            <v>#N/A</v>
          </cell>
        </row>
        <row r="518">
          <cell r="A518">
            <v>40722</v>
          </cell>
          <cell r="B518">
            <v>40722</v>
          </cell>
          <cell r="C518" t="str">
            <v>Past</v>
          </cell>
          <cell r="D518">
            <v>15.24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15.24</v>
          </cell>
          <cell r="Q518">
            <v>2.6037949999999999</v>
          </cell>
          <cell r="R518" t="e">
            <v>#N/A</v>
          </cell>
        </row>
        <row r="519">
          <cell r="A519">
            <v>40723</v>
          </cell>
          <cell r="B519">
            <v>40723</v>
          </cell>
          <cell r="C519" t="str">
            <v>Past</v>
          </cell>
          <cell r="D519">
            <v>15.31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15.31</v>
          </cell>
          <cell r="Q519">
            <v>2.3394059999999999</v>
          </cell>
          <cell r="R519" t="e">
            <v>#N/A</v>
          </cell>
        </row>
        <row r="520">
          <cell r="A520">
            <v>40724</v>
          </cell>
          <cell r="B520">
            <v>40724</v>
          </cell>
          <cell r="C520" t="str">
            <v>Past</v>
          </cell>
          <cell r="D520">
            <v>15.35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15.35</v>
          </cell>
          <cell r="Q520">
            <v>2.2514089999999998</v>
          </cell>
          <cell r="R520" t="e">
            <v>#N/A</v>
          </cell>
        </row>
        <row r="521">
          <cell r="A521">
            <v>40725</v>
          </cell>
          <cell r="B521">
            <v>40725</v>
          </cell>
          <cell r="C521" t="str">
            <v>Past</v>
          </cell>
          <cell r="D521">
            <v>15.59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15.59</v>
          </cell>
          <cell r="Q521">
            <v>1.3990500000000001</v>
          </cell>
          <cell r="R521" t="e">
            <v>#N/A</v>
          </cell>
        </row>
        <row r="522">
          <cell r="A522">
            <v>40729</v>
          </cell>
          <cell r="B522">
            <v>40729</v>
          </cell>
          <cell r="C522" t="str">
            <v>Past</v>
          </cell>
          <cell r="D522">
            <v>15.55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15.55</v>
          </cell>
          <cell r="Q522">
            <v>1.5489000000000002</v>
          </cell>
          <cell r="R522" t="e">
            <v>#N/A</v>
          </cell>
        </row>
        <row r="523">
          <cell r="A523">
            <v>40730</v>
          </cell>
          <cell r="B523">
            <v>40730</v>
          </cell>
          <cell r="C523" t="str">
            <v>Past</v>
          </cell>
          <cell r="D523">
            <v>15.59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15.59</v>
          </cell>
          <cell r="Q523">
            <v>1.2207249999999998</v>
          </cell>
          <cell r="R523" t="e">
            <v>#N/A</v>
          </cell>
        </row>
        <row r="524">
          <cell r="A524">
            <v>40731</v>
          </cell>
          <cell r="B524">
            <v>40731</v>
          </cell>
          <cell r="C524" t="str">
            <v>Past</v>
          </cell>
          <cell r="D524">
            <v>15.61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15.61</v>
          </cell>
          <cell r="Q524">
            <v>1.3784529999999999</v>
          </cell>
          <cell r="R524" t="e">
            <v>#N/A</v>
          </cell>
        </row>
        <row r="525">
          <cell r="A525">
            <v>40732</v>
          </cell>
          <cell r="B525">
            <v>40732</v>
          </cell>
          <cell r="C525" t="str">
            <v>Past</v>
          </cell>
          <cell r="D525">
            <v>15.51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15.51</v>
          </cell>
          <cell r="Q525">
            <v>1.8003829999999998</v>
          </cell>
          <cell r="R525" t="e">
            <v>#N/A</v>
          </cell>
        </row>
        <row r="526">
          <cell r="A526">
            <v>40735</v>
          </cell>
          <cell r="B526">
            <v>40735</v>
          </cell>
          <cell r="C526" t="str">
            <v>Past</v>
          </cell>
          <cell r="D526">
            <v>15.24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15.24</v>
          </cell>
          <cell r="Q526">
            <v>1.3767149999999999</v>
          </cell>
          <cell r="R526" t="e">
            <v>#N/A</v>
          </cell>
        </row>
        <row r="527">
          <cell r="A527">
            <v>40736</v>
          </cell>
          <cell r="B527">
            <v>40736</v>
          </cell>
          <cell r="C527" t="str">
            <v>Past</v>
          </cell>
          <cell r="D527">
            <v>15.29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15.29</v>
          </cell>
          <cell r="Q527">
            <v>1.7635969999999999</v>
          </cell>
          <cell r="R527" t="e">
            <v>#N/A</v>
          </cell>
        </row>
        <row r="528">
          <cell r="A528">
            <v>40737</v>
          </cell>
          <cell r="B528">
            <v>40737</v>
          </cell>
          <cell r="C528" t="str">
            <v>Past</v>
          </cell>
          <cell r="D528">
            <v>15.3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15.3</v>
          </cell>
          <cell r="Q528">
            <v>1.718731</v>
          </cell>
          <cell r="R528" t="e">
            <v>#N/A</v>
          </cell>
        </row>
        <row r="529">
          <cell r="A529">
            <v>40738</v>
          </cell>
          <cell r="B529">
            <v>40738</v>
          </cell>
          <cell r="C529" t="str">
            <v>Past</v>
          </cell>
          <cell r="D529">
            <v>15.16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15.16</v>
          </cell>
          <cell r="Q529">
            <v>1.5739669999999999</v>
          </cell>
          <cell r="R529" t="e">
            <v>#N/A</v>
          </cell>
        </row>
        <row r="530">
          <cell r="A530">
            <v>40739</v>
          </cell>
          <cell r="B530">
            <v>40739</v>
          </cell>
          <cell r="C530" t="str">
            <v>Past</v>
          </cell>
          <cell r="D530">
            <v>15.22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15.22</v>
          </cell>
          <cell r="Q530">
            <v>1.518662</v>
          </cell>
          <cell r="R530" t="e">
            <v>#N/A</v>
          </cell>
        </row>
        <row r="531">
          <cell r="A531">
            <v>40742</v>
          </cell>
          <cell r="B531">
            <v>40742</v>
          </cell>
          <cell r="C531" t="str">
            <v>Past</v>
          </cell>
          <cell r="D531">
            <v>15.08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15.08</v>
          </cell>
          <cell r="Q531">
            <v>1.8748959999999999</v>
          </cell>
          <cell r="R531" t="e">
            <v>#N/A</v>
          </cell>
        </row>
        <row r="532">
          <cell r="A532">
            <v>40743</v>
          </cell>
          <cell r="B532">
            <v>40743</v>
          </cell>
          <cell r="C532" t="str">
            <v>Past</v>
          </cell>
          <cell r="D532">
            <v>15.12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15.12</v>
          </cell>
          <cell r="Q532">
            <v>1.273741</v>
          </cell>
          <cell r="R532" t="e">
            <v>#N/A</v>
          </cell>
        </row>
        <row r="533">
          <cell r="A533">
            <v>40744</v>
          </cell>
          <cell r="B533">
            <v>40744</v>
          </cell>
          <cell r="C533" t="str">
            <v>Past</v>
          </cell>
          <cell r="D533">
            <v>15.34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15.34</v>
          </cell>
          <cell r="Q533">
            <v>1.0193000000000001</v>
          </cell>
          <cell r="R533" t="e">
            <v>#N/A</v>
          </cell>
        </row>
        <row r="534">
          <cell r="A534">
            <v>40745</v>
          </cell>
          <cell r="B534">
            <v>40745</v>
          </cell>
          <cell r="C534" t="str">
            <v>Past</v>
          </cell>
          <cell r="D534">
            <v>15.47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15.47</v>
          </cell>
          <cell r="Q534">
            <v>1.356128</v>
          </cell>
          <cell r="R534" t="e">
            <v>#N/A</v>
          </cell>
        </row>
        <row r="535">
          <cell r="A535">
            <v>40746</v>
          </cell>
          <cell r="B535">
            <v>40746</v>
          </cell>
          <cell r="C535" t="str">
            <v>Past</v>
          </cell>
          <cell r="D535">
            <v>15.27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15.27</v>
          </cell>
          <cell r="Q535">
            <v>1.5000300000000002</v>
          </cell>
          <cell r="R535" t="e">
            <v>#N/A</v>
          </cell>
        </row>
        <row r="536">
          <cell r="A536">
            <v>40749</v>
          </cell>
          <cell r="B536">
            <v>40749</v>
          </cell>
          <cell r="C536" t="str">
            <v>Past</v>
          </cell>
          <cell r="D536">
            <v>15.17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15.17</v>
          </cell>
          <cell r="Q536">
            <v>1.7525819999999999</v>
          </cell>
          <cell r="R536" t="e">
            <v>#N/A</v>
          </cell>
        </row>
        <row r="537">
          <cell r="A537">
            <v>40750</v>
          </cell>
          <cell r="B537">
            <v>40750</v>
          </cell>
          <cell r="C537" t="str">
            <v>Past</v>
          </cell>
          <cell r="D537">
            <v>15.11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15.11</v>
          </cell>
          <cell r="Q537">
            <v>0.94330799999999992</v>
          </cell>
          <cell r="R537" t="e">
            <v>#N/A</v>
          </cell>
        </row>
        <row r="538">
          <cell r="A538">
            <v>40751</v>
          </cell>
          <cell r="B538">
            <v>40751</v>
          </cell>
          <cell r="C538" t="str">
            <v>Past</v>
          </cell>
          <cell r="D538">
            <v>15.08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15.08</v>
          </cell>
          <cell r="Q538">
            <v>1.8040179999999999</v>
          </cell>
          <cell r="R538" t="e">
            <v>#N/A</v>
          </cell>
        </row>
        <row r="539">
          <cell r="A539">
            <v>40752</v>
          </cell>
          <cell r="B539">
            <v>40752</v>
          </cell>
          <cell r="C539" t="str">
            <v>Past</v>
          </cell>
          <cell r="D539">
            <v>15.01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15.01</v>
          </cell>
          <cell r="Q539">
            <v>1.6958300000000002</v>
          </cell>
          <cell r="R539" t="e">
            <v>#N/A</v>
          </cell>
        </row>
        <row r="540">
          <cell r="A540">
            <v>40753</v>
          </cell>
          <cell r="B540">
            <v>40753</v>
          </cell>
          <cell r="C540" t="str">
            <v>Past</v>
          </cell>
          <cell r="D540">
            <v>14.84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14.84</v>
          </cell>
          <cell r="Q540">
            <v>2.0042</v>
          </cell>
          <cell r="R540" t="e">
            <v>#N/A</v>
          </cell>
        </row>
        <row r="541">
          <cell r="A541">
            <v>40756</v>
          </cell>
          <cell r="B541">
            <v>40756</v>
          </cell>
          <cell r="C541" t="str">
            <v>Past</v>
          </cell>
          <cell r="D541">
            <v>14.55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14.55</v>
          </cell>
          <cell r="Q541">
            <v>5.4451649999999994</v>
          </cell>
          <cell r="R541" t="e">
            <v>#N/A</v>
          </cell>
        </row>
        <row r="542">
          <cell r="A542">
            <v>40757</v>
          </cell>
          <cell r="B542">
            <v>40757</v>
          </cell>
          <cell r="C542" t="str">
            <v>Past</v>
          </cell>
          <cell r="D542">
            <v>14.24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14.24</v>
          </cell>
          <cell r="Q542">
            <v>4.5422519999999995</v>
          </cell>
          <cell r="R542" t="e">
            <v>#N/A</v>
          </cell>
        </row>
        <row r="543">
          <cell r="A543">
            <v>40758</v>
          </cell>
          <cell r="B543">
            <v>40758</v>
          </cell>
          <cell r="C543" t="str">
            <v>Past</v>
          </cell>
          <cell r="D543">
            <v>14.26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14.26</v>
          </cell>
          <cell r="Q543">
            <v>3.8783000000000003</v>
          </cell>
          <cell r="R543" t="e">
            <v>#N/A</v>
          </cell>
        </row>
        <row r="544">
          <cell r="A544">
            <v>40759</v>
          </cell>
          <cell r="B544">
            <v>40759</v>
          </cell>
          <cell r="C544" t="str">
            <v>Past</v>
          </cell>
          <cell r="D544">
            <v>13.68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13.68</v>
          </cell>
          <cell r="Q544">
            <v>3.3178739999999998</v>
          </cell>
          <cell r="R544" t="e">
            <v>#N/A</v>
          </cell>
        </row>
        <row r="545">
          <cell r="A545">
            <v>40760</v>
          </cell>
          <cell r="B545">
            <v>40760</v>
          </cell>
          <cell r="C545" t="str">
            <v>Past</v>
          </cell>
          <cell r="D545">
            <v>13.43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13.43</v>
          </cell>
          <cell r="Q545">
            <v>10.9306</v>
          </cell>
          <cell r="R545" t="e">
            <v>#N/A</v>
          </cell>
        </row>
        <row r="546">
          <cell r="A546">
            <v>40763</v>
          </cell>
          <cell r="B546">
            <v>40763</v>
          </cell>
          <cell r="C546" t="str">
            <v>Past</v>
          </cell>
          <cell r="D546">
            <v>12.48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12.48</v>
          </cell>
          <cell r="Q546">
            <v>5.4664239999999999</v>
          </cell>
          <cell r="R546" t="e">
            <v>#N/A</v>
          </cell>
        </row>
        <row r="547">
          <cell r="A547">
            <v>40764</v>
          </cell>
          <cell r="B547">
            <v>40764</v>
          </cell>
          <cell r="C547" t="str">
            <v>Past</v>
          </cell>
          <cell r="D547">
            <v>13.03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13.03</v>
          </cell>
          <cell r="Q547">
            <v>10.383920000000002</v>
          </cell>
          <cell r="R547" t="e">
            <v>#N/A</v>
          </cell>
        </row>
        <row r="548">
          <cell r="A548">
            <v>40765</v>
          </cell>
          <cell r="B548">
            <v>40765</v>
          </cell>
          <cell r="C548" t="str">
            <v>Past</v>
          </cell>
          <cell r="D548">
            <v>12.99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12.99</v>
          </cell>
          <cell r="Q548">
            <v>6.6745519999999994</v>
          </cell>
          <cell r="R548" t="e">
            <v>#N/A</v>
          </cell>
        </row>
        <row r="549">
          <cell r="A549">
            <v>40766</v>
          </cell>
          <cell r="B549">
            <v>40766</v>
          </cell>
          <cell r="C549" t="str">
            <v>Past</v>
          </cell>
          <cell r="D549">
            <v>13.8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13.8</v>
          </cell>
          <cell r="Q549">
            <v>5.9046940000000001</v>
          </cell>
          <cell r="R549" t="e">
            <v>#N/A</v>
          </cell>
        </row>
        <row r="550">
          <cell r="A550">
            <v>40767</v>
          </cell>
          <cell r="B550">
            <v>40767</v>
          </cell>
          <cell r="C550" t="str">
            <v>Past</v>
          </cell>
          <cell r="D550">
            <v>13.74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13.74</v>
          </cell>
          <cell r="Q550">
            <v>3.7796319999999999</v>
          </cell>
          <cell r="R550" t="e">
            <v>#N/A</v>
          </cell>
        </row>
        <row r="551">
          <cell r="A551">
            <v>40770</v>
          </cell>
          <cell r="B551">
            <v>40770</v>
          </cell>
          <cell r="C551" t="str">
            <v>Past</v>
          </cell>
          <cell r="D551">
            <v>14.3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14.3</v>
          </cell>
          <cell r="Q551">
            <v>3.0225</v>
          </cell>
          <cell r="R551" t="e">
            <v>#N/A</v>
          </cell>
        </row>
        <row r="552">
          <cell r="A552">
            <v>40771</v>
          </cell>
          <cell r="B552">
            <v>40771</v>
          </cell>
          <cell r="C552" t="str">
            <v>Past</v>
          </cell>
          <cell r="D552">
            <v>14.63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14.63</v>
          </cell>
          <cell r="Q552">
            <v>11.01886</v>
          </cell>
          <cell r="R552" t="e">
            <v>#N/A</v>
          </cell>
        </row>
        <row r="553">
          <cell r="A553">
            <v>40772</v>
          </cell>
          <cell r="B553">
            <v>40772</v>
          </cell>
          <cell r="C553" t="str">
            <v>Past</v>
          </cell>
          <cell r="D553">
            <v>14.49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14.49</v>
          </cell>
          <cell r="Q553">
            <v>3.505992</v>
          </cell>
          <cell r="R553" t="e">
            <v>#N/A</v>
          </cell>
        </row>
        <row r="554">
          <cell r="A554">
            <v>40773</v>
          </cell>
          <cell r="B554">
            <v>40773</v>
          </cell>
          <cell r="C554" t="str">
            <v>Past</v>
          </cell>
          <cell r="D554">
            <v>14.3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14.3</v>
          </cell>
          <cell r="Q554">
            <v>4.7268319999999999</v>
          </cell>
          <cell r="R554" t="e">
            <v>#N/A</v>
          </cell>
        </row>
        <row r="555">
          <cell r="A555">
            <v>40774</v>
          </cell>
          <cell r="B555">
            <v>40774</v>
          </cell>
          <cell r="C555" t="str">
            <v>Past</v>
          </cell>
          <cell r="D555">
            <v>14.46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14.46</v>
          </cell>
          <cell r="Q555">
            <v>7.8624469999999995</v>
          </cell>
          <cell r="R555" t="e">
            <v>#N/A</v>
          </cell>
        </row>
        <row r="556">
          <cell r="A556">
            <v>40777</v>
          </cell>
          <cell r="B556">
            <v>40777</v>
          </cell>
          <cell r="C556" t="str">
            <v>Past</v>
          </cell>
          <cell r="D556">
            <v>14.22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14.22</v>
          </cell>
          <cell r="Q556">
            <v>3.313774</v>
          </cell>
          <cell r="R556" t="e">
            <v>#N/A</v>
          </cell>
        </row>
        <row r="557">
          <cell r="A557">
            <v>40778</v>
          </cell>
          <cell r="B557">
            <v>40778</v>
          </cell>
          <cell r="C557" t="str">
            <v>Past</v>
          </cell>
          <cell r="D557">
            <v>14.34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14.34</v>
          </cell>
          <cell r="Q557">
            <v>5.3917320000000002</v>
          </cell>
          <cell r="R557" t="e">
            <v>#N/A</v>
          </cell>
        </row>
        <row r="558">
          <cell r="A558">
            <v>40779</v>
          </cell>
          <cell r="B558">
            <v>40779</v>
          </cell>
          <cell r="C558" t="str">
            <v>Past</v>
          </cell>
          <cell r="D558">
            <v>14.6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0</v>
          </cell>
          <cell r="P558">
            <v>14.6</v>
          </cell>
          <cell r="Q558">
            <v>2.3300529999999999</v>
          </cell>
          <cell r="R558" t="e">
            <v>#N/A</v>
          </cell>
        </row>
        <row r="559">
          <cell r="A559">
            <v>40780</v>
          </cell>
          <cell r="B559">
            <v>40780</v>
          </cell>
          <cell r="C559" t="str">
            <v>Current</v>
          </cell>
          <cell r="D559">
            <v>14.35</v>
          </cell>
          <cell r="E559">
            <v>14.35</v>
          </cell>
          <cell r="F559">
            <v>14.35</v>
          </cell>
          <cell r="G559">
            <v>14.35</v>
          </cell>
          <cell r="H559">
            <v>14.35</v>
          </cell>
          <cell r="I559">
            <v>14.35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>
            <v>55.094300000000004</v>
          </cell>
          <cell r="P559">
            <v>14.35</v>
          </cell>
          <cell r="Q559">
            <v>2.5751249999999999</v>
          </cell>
          <cell r="R559" t="e">
            <v>#N/A</v>
          </cell>
        </row>
        <row r="560">
          <cell r="A560">
            <v>40781</v>
          </cell>
          <cell r="B560">
            <v>40781</v>
          </cell>
          <cell r="C560" t="str">
            <v>Future</v>
          </cell>
          <cell r="D560" t="e">
            <v>#N/A</v>
          </cell>
          <cell r="E560">
            <v>14.294594594594594</v>
          </cell>
          <cell r="F560">
            <v>14.362162162162162</v>
          </cell>
          <cell r="G560">
            <v>14.348648648648648</v>
          </cell>
          <cell r="H560">
            <v>14.348648648648648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14.52</v>
          </cell>
          <cell r="Q560">
            <v>0</v>
          </cell>
          <cell r="R560" t="e">
            <v>#N/A</v>
          </cell>
        </row>
        <row r="561">
          <cell r="A561">
            <v>40784</v>
          </cell>
          <cell r="B561">
            <v>40784</v>
          </cell>
          <cell r="C561" t="str">
            <v>Future</v>
          </cell>
          <cell r="D561" t="e">
            <v>#N/A</v>
          </cell>
          <cell r="E561">
            <v>14.239189189189188</v>
          </cell>
          <cell r="F561">
            <v>14.374324324324325</v>
          </cell>
          <cell r="G561">
            <v>14.347297297297297</v>
          </cell>
          <cell r="H561">
            <v>14.347297297297297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14.52</v>
          </cell>
          <cell r="Q561" t="str">
            <v/>
          </cell>
          <cell r="R561" t="e">
            <v>#N/A</v>
          </cell>
        </row>
        <row r="562">
          <cell r="A562">
            <v>40785</v>
          </cell>
          <cell r="B562">
            <v>40785</v>
          </cell>
          <cell r="C562" t="str">
            <v>Future</v>
          </cell>
          <cell r="D562" t="e">
            <v>#N/A</v>
          </cell>
          <cell r="E562">
            <v>14.183783783783783</v>
          </cell>
          <cell r="F562">
            <v>14.386486486486488</v>
          </cell>
          <cell r="G562">
            <v>14.345945945945946</v>
          </cell>
          <cell r="H562">
            <v>14.345945945945946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14.52</v>
          </cell>
          <cell r="Q562" t="str">
            <v/>
          </cell>
          <cell r="R562" t="e">
            <v>#N/A</v>
          </cell>
        </row>
        <row r="563">
          <cell r="A563">
            <v>40786</v>
          </cell>
          <cell r="B563">
            <v>40786</v>
          </cell>
          <cell r="C563" t="str">
            <v>Future</v>
          </cell>
          <cell r="D563" t="e">
            <v>#N/A</v>
          </cell>
          <cell r="E563">
            <v>14.128378378378377</v>
          </cell>
          <cell r="F563">
            <v>14.398648648648651</v>
          </cell>
          <cell r="G563">
            <v>14.344594594594595</v>
          </cell>
          <cell r="H563">
            <v>14.344594594594595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14.52</v>
          </cell>
          <cell r="Q563" t="str">
            <v/>
          </cell>
          <cell r="R563" t="e">
            <v>#N/A</v>
          </cell>
        </row>
        <row r="564">
          <cell r="A564">
            <v>40787</v>
          </cell>
          <cell r="B564">
            <v>40787</v>
          </cell>
          <cell r="C564" t="str">
            <v>Future</v>
          </cell>
          <cell r="D564" t="e">
            <v>#N/A</v>
          </cell>
          <cell r="E564">
            <v>14.072972972972972</v>
          </cell>
          <cell r="F564">
            <v>14.410810810810814</v>
          </cell>
          <cell r="G564">
            <v>14.343243243243244</v>
          </cell>
          <cell r="H564">
            <v>14.343243243243244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14.52</v>
          </cell>
          <cell r="Q564" t="str">
            <v/>
          </cell>
          <cell r="R564" t="e">
            <v>#N/A</v>
          </cell>
        </row>
        <row r="565">
          <cell r="A565">
            <v>40788</v>
          </cell>
          <cell r="B565">
            <v>40788</v>
          </cell>
          <cell r="C565" t="str">
            <v>Future</v>
          </cell>
          <cell r="D565" t="e">
            <v>#N/A</v>
          </cell>
          <cell r="E565">
            <v>14.017567567567566</v>
          </cell>
          <cell r="F565">
            <v>14.422972972972977</v>
          </cell>
          <cell r="G565">
            <v>14.341891891891892</v>
          </cell>
          <cell r="H565">
            <v>14.341891891891892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14.52</v>
          </cell>
          <cell r="Q565" t="str">
            <v/>
          </cell>
          <cell r="R565" t="e">
            <v>#N/A</v>
          </cell>
        </row>
        <row r="566">
          <cell r="A566">
            <v>40792</v>
          </cell>
          <cell r="B566">
            <v>40792</v>
          </cell>
          <cell r="C566" t="str">
            <v>Future</v>
          </cell>
          <cell r="D566" t="e">
            <v>#N/A</v>
          </cell>
          <cell r="E566">
            <v>13.96216216216216</v>
          </cell>
          <cell r="F566">
            <v>14.435135135135139</v>
          </cell>
          <cell r="G566">
            <v>14.340540540540541</v>
          </cell>
          <cell r="H566">
            <v>14.340540540540541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14.52</v>
          </cell>
          <cell r="Q566" t="str">
            <v/>
          </cell>
          <cell r="R566" t="e">
            <v>#N/A</v>
          </cell>
        </row>
        <row r="567">
          <cell r="A567">
            <v>40793</v>
          </cell>
          <cell r="B567">
            <v>40793</v>
          </cell>
          <cell r="C567" t="str">
            <v>Future</v>
          </cell>
          <cell r="D567" t="e">
            <v>#N/A</v>
          </cell>
          <cell r="E567">
            <v>13.906756756756755</v>
          </cell>
          <cell r="F567">
            <v>14.447297297297302</v>
          </cell>
          <cell r="G567">
            <v>14.33918918918919</v>
          </cell>
          <cell r="H567">
            <v>14.33918918918919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14.52</v>
          </cell>
          <cell r="Q567" t="str">
            <v/>
          </cell>
          <cell r="R567" t="e">
            <v>#N/A</v>
          </cell>
        </row>
        <row r="568">
          <cell r="A568">
            <v>40794</v>
          </cell>
          <cell r="B568">
            <v>40794</v>
          </cell>
          <cell r="C568" t="str">
            <v>Future</v>
          </cell>
          <cell r="D568" t="e">
            <v>#N/A</v>
          </cell>
          <cell r="E568">
            <v>13.851351351351349</v>
          </cell>
          <cell r="F568">
            <v>14.459459459459465</v>
          </cell>
          <cell r="G568">
            <v>14.337837837837839</v>
          </cell>
          <cell r="H568">
            <v>14.337837837837839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14.52</v>
          </cell>
          <cell r="Q568" t="str">
            <v/>
          </cell>
          <cell r="R568" t="e">
            <v>#N/A</v>
          </cell>
        </row>
        <row r="569">
          <cell r="A569">
            <v>40795</v>
          </cell>
          <cell r="B569">
            <v>40795</v>
          </cell>
          <cell r="C569" t="str">
            <v>Future</v>
          </cell>
          <cell r="D569" t="e">
            <v>#N/A</v>
          </cell>
          <cell r="E569">
            <v>13.795945945945943</v>
          </cell>
          <cell r="F569">
            <v>14.471621621621628</v>
          </cell>
          <cell r="G569">
            <v>14.336486486486487</v>
          </cell>
          <cell r="H569">
            <v>14.336486486486487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14.52</v>
          </cell>
          <cell r="Q569" t="str">
            <v/>
          </cell>
          <cell r="R569" t="e">
            <v>#N/A</v>
          </cell>
        </row>
        <row r="570">
          <cell r="A570">
            <v>40798</v>
          </cell>
          <cell r="B570">
            <v>40798</v>
          </cell>
          <cell r="C570" t="str">
            <v>Future</v>
          </cell>
          <cell r="D570" t="e">
            <v>#N/A</v>
          </cell>
          <cell r="E570">
            <v>13.740540540540538</v>
          </cell>
          <cell r="F570">
            <v>14.483783783783791</v>
          </cell>
          <cell r="G570">
            <v>14.335135135135136</v>
          </cell>
          <cell r="H570">
            <v>14.335135135135136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14.52</v>
          </cell>
          <cell r="Q570" t="str">
            <v/>
          </cell>
          <cell r="R570" t="e">
            <v>#N/A</v>
          </cell>
        </row>
        <row r="571">
          <cell r="A571">
            <v>40799</v>
          </cell>
          <cell r="B571">
            <v>40799</v>
          </cell>
          <cell r="C571" t="str">
            <v>Future</v>
          </cell>
          <cell r="D571" t="e">
            <v>#N/A</v>
          </cell>
          <cell r="E571">
            <v>13.685135135135132</v>
          </cell>
          <cell r="F571">
            <v>14.495945945945953</v>
          </cell>
          <cell r="G571">
            <v>14.333783783783785</v>
          </cell>
          <cell r="H571">
            <v>14.333783783783785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14.52</v>
          </cell>
          <cell r="Q571" t="str">
            <v/>
          </cell>
          <cell r="R571" t="e">
            <v>#N/A</v>
          </cell>
        </row>
        <row r="572">
          <cell r="A572">
            <v>40800</v>
          </cell>
          <cell r="B572">
            <v>40800</v>
          </cell>
          <cell r="C572" t="str">
            <v>Future</v>
          </cell>
          <cell r="D572" t="e">
            <v>#N/A</v>
          </cell>
          <cell r="E572">
            <v>13.629729729729727</v>
          </cell>
          <cell r="F572">
            <v>14.508108108108116</v>
          </cell>
          <cell r="G572">
            <v>14.332432432432434</v>
          </cell>
          <cell r="H572">
            <v>14.332432432432434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14.52</v>
          </cell>
          <cell r="Q572" t="str">
            <v/>
          </cell>
          <cell r="R572" t="e">
            <v>#N/A</v>
          </cell>
        </row>
        <row r="573">
          <cell r="A573">
            <v>40801</v>
          </cell>
          <cell r="B573">
            <v>40801</v>
          </cell>
          <cell r="C573" t="str">
            <v>Future</v>
          </cell>
          <cell r="D573" t="e">
            <v>#N/A</v>
          </cell>
          <cell r="E573">
            <v>13.574324324324321</v>
          </cell>
          <cell r="F573">
            <v>14.520270270270279</v>
          </cell>
          <cell r="G573">
            <v>14.331081081081082</v>
          </cell>
          <cell r="H573">
            <v>14.331081081081082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14.52</v>
          </cell>
          <cell r="Q573" t="str">
            <v/>
          </cell>
          <cell r="R573" t="e">
            <v>#N/A</v>
          </cell>
        </row>
        <row r="574">
          <cell r="A574">
            <v>40802</v>
          </cell>
          <cell r="B574">
            <v>40802</v>
          </cell>
          <cell r="C574" t="str">
            <v>Future</v>
          </cell>
          <cell r="D574" t="e">
            <v>#N/A</v>
          </cell>
          <cell r="E574">
            <v>13.518918918918915</v>
          </cell>
          <cell r="F574">
            <v>14.532432432432442</v>
          </cell>
          <cell r="G574">
            <v>14.329729729729731</v>
          </cell>
          <cell r="H574">
            <v>14.329729729729731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14.52</v>
          </cell>
          <cell r="Q574" t="str">
            <v/>
          </cell>
          <cell r="R574" t="e">
            <v>#N/A</v>
          </cell>
        </row>
        <row r="575">
          <cell r="A575">
            <v>40805</v>
          </cell>
          <cell r="B575">
            <v>40805</v>
          </cell>
          <cell r="C575" t="str">
            <v>Future</v>
          </cell>
          <cell r="D575" t="e">
            <v>#N/A</v>
          </cell>
          <cell r="E575">
            <v>13.46351351351351</v>
          </cell>
          <cell r="F575">
            <v>14.544594594594605</v>
          </cell>
          <cell r="G575">
            <v>14.32837837837838</v>
          </cell>
          <cell r="H575">
            <v>14.32837837837838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14.52</v>
          </cell>
          <cell r="Q575" t="str">
            <v/>
          </cell>
          <cell r="R575" t="e">
            <v>#N/A</v>
          </cell>
        </row>
        <row r="576">
          <cell r="A576">
            <v>40806</v>
          </cell>
          <cell r="B576">
            <v>40806</v>
          </cell>
          <cell r="C576" t="str">
            <v>Future</v>
          </cell>
          <cell r="D576" t="e">
            <v>#N/A</v>
          </cell>
          <cell r="E576">
            <v>13.408108108108104</v>
          </cell>
          <cell r="F576">
            <v>14.556756756756768</v>
          </cell>
          <cell r="G576">
            <v>14.327027027027029</v>
          </cell>
          <cell r="H576">
            <v>14.327027027027029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14.52</v>
          </cell>
          <cell r="Q576" t="str">
            <v/>
          </cell>
          <cell r="R576" t="e">
            <v>#N/A</v>
          </cell>
        </row>
        <row r="577">
          <cell r="A577">
            <v>40807</v>
          </cell>
          <cell r="B577">
            <v>40807</v>
          </cell>
          <cell r="C577" t="str">
            <v>Future</v>
          </cell>
          <cell r="D577" t="e">
            <v>#N/A</v>
          </cell>
          <cell r="E577">
            <v>13.352702702702699</v>
          </cell>
          <cell r="F577">
            <v>14.56891891891893</v>
          </cell>
          <cell r="G577">
            <v>14.325675675675678</v>
          </cell>
          <cell r="H577">
            <v>14.325675675675678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14.52</v>
          </cell>
          <cell r="Q577" t="str">
            <v/>
          </cell>
          <cell r="R577" t="e">
            <v>#N/A</v>
          </cell>
        </row>
        <row r="578">
          <cell r="A578">
            <v>40808</v>
          </cell>
          <cell r="B578">
            <v>40808</v>
          </cell>
          <cell r="C578" t="str">
            <v>Future</v>
          </cell>
          <cell r="D578" t="e">
            <v>#N/A</v>
          </cell>
          <cell r="E578">
            <v>13.297297297297293</v>
          </cell>
          <cell r="F578">
            <v>14.581081081081093</v>
          </cell>
          <cell r="G578">
            <v>14.324324324324326</v>
          </cell>
          <cell r="H578">
            <v>14.324324324324326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14.52</v>
          </cell>
          <cell r="Q578" t="str">
            <v/>
          </cell>
          <cell r="R578" t="e">
            <v>#N/A</v>
          </cell>
        </row>
        <row r="579">
          <cell r="A579">
            <v>40809</v>
          </cell>
          <cell r="B579">
            <v>40809</v>
          </cell>
          <cell r="C579" t="str">
            <v>Future</v>
          </cell>
          <cell r="D579" t="e">
            <v>#N/A</v>
          </cell>
          <cell r="E579">
            <v>13.241891891891887</v>
          </cell>
          <cell r="F579">
            <v>14.593243243243256</v>
          </cell>
          <cell r="G579">
            <v>14.322972972972975</v>
          </cell>
          <cell r="H579">
            <v>14.322972972972975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14.52</v>
          </cell>
          <cell r="Q579" t="str">
            <v/>
          </cell>
          <cell r="R579" t="e">
            <v>#N/A</v>
          </cell>
        </row>
        <row r="580">
          <cell r="A580">
            <v>40812</v>
          </cell>
          <cell r="B580">
            <v>40812</v>
          </cell>
          <cell r="C580" t="str">
            <v>Future</v>
          </cell>
          <cell r="D580" t="e">
            <v>#N/A</v>
          </cell>
          <cell r="E580">
            <v>13.186486486486482</v>
          </cell>
          <cell r="F580">
            <v>14.605405405405419</v>
          </cell>
          <cell r="G580">
            <v>14.321621621621624</v>
          </cell>
          <cell r="H580">
            <v>14.321621621621624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14.52</v>
          </cell>
          <cell r="Q580" t="str">
            <v/>
          </cell>
          <cell r="R580" t="e">
            <v>#N/A</v>
          </cell>
        </row>
        <row r="581">
          <cell r="A581">
            <v>40813</v>
          </cell>
          <cell r="B581">
            <v>40813</v>
          </cell>
          <cell r="C581" t="str">
            <v>Future</v>
          </cell>
          <cell r="D581" t="e">
            <v>#N/A</v>
          </cell>
          <cell r="E581">
            <v>13.131081081081076</v>
          </cell>
          <cell r="F581">
            <v>14.617567567567582</v>
          </cell>
          <cell r="G581">
            <v>14.320270270270273</v>
          </cell>
          <cell r="H581">
            <v>14.320270270270273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14.52</v>
          </cell>
          <cell r="Q581" t="str">
            <v/>
          </cell>
          <cell r="R581" t="e">
            <v>#N/A</v>
          </cell>
        </row>
        <row r="582">
          <cell r="A582">
            <v>40814</v>
          </cell>
          <cell r="B582">
            <v>40814</v>
          </cell>
          <cell r="C582" t="str">
            <v>Future</v>
          </cell>
          <cell r="D582" t="e">
            <v>#N/A</v>
          </cell>
          <cell r="E582">
            <v>13.07567567567567</v>
          </cell>
          <cell r="F582">
            <v>14.629729729729744</v>
          </cell>
          <cell r="G582">
            <v>14.318918918918921</v>
          </cell>
          <cell r="H582">
            <v>14.318918918918921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14.52</v>
          </cell>
          <cell r="Q582" t="str">
            <v/>
          </cell>
          <cell r="R582" t="e">
            <v>#N/A</v>
          </cell>
        </row>
        <row r="583">
          <cell r="A583">
            <v>40815</v>
          </cell>
          <cell r="B583">
            <v>40815</v>
          </cell>
          <cell r="C583" t="str">
            <v>Future</v>
          </cell>
          <cell r="D583" t="e">
            <v>#N/A</v>
          </cell>
          <cell r="E583">
            <v>13.020270270270265</v>
          </cell>
          <cell r="F583">
            <v>14.641891891891907</v>
          </cell>
          <cell r="G583">
            <v>14.31756756756757</v>
          </cell>
          <cell r="H583">
            <v>14.31756756756757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14.52</v>
          </cell>
          <cell r="Q583" t="str">
            <v/>
          </cell>
          <cell r="R583" t="e">
            <v>#N/A</v>
          </cell>
        </row>
        <row r="584">
          <cell r="A584">
            <v>40816</v>
          </cell>
          <cell r="B584">
            <v>40816</v>
          </cell>
          <cell r="C584" t="str">
            <v>Future</v>
          </cell>
          <cell r="D584" t="e">
            <v>#N/A</v>
          </cell>
          <cell r="E584">
            <v>12.964864864864859</v>
          </cell>
          <cell r="F584">
            <v>14.65405405405407</v>
          </cell>
          <cell r="G584">
            <v>14.316216216216219</v>
          </cell>
          <cell r="H584">
            <v>14.316216216216219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14.52</v>
          </cell>
          <cell r="Q584" t="str">
            <v/>
          </cell>
          <cell r="R584" t="e">
            <v>#N/A</v>
          </cell>
        </row>
        <row r="585">
          <cell r="A585">
            <v>40819</v>
          </cell>
          <cell r="B585">
            <v>40819</v>
          </cell>
          <cell r="C585" t="str">
            <v>Future</v>
          </cell>
          <cell r="D585" t="e">
            <v>#N/A</v>
          </cell>
          <cell r="E585">
            <v>12.909459459459454</v>
          </cell>
          <cell r="F585">
            <v>14.666216216216233</v>
          </cell>
          <cell r="G585">
            <v>14.314864864864868</v>
          </cell>
          <cell r="H585">
            <v>14.314864864864868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14.52</v>
          </cell>
          <cell r="Q585" t="str">
            <v/>
          </cell>
          <cell r="R585" t="e">
            <v>#N/A</v>
          </cell>
        </row>
        <row r="586">
          <cell r="A586">
            <v>40820</v>
          </cell>
          <cell r="B586">
            <v>40820</v>
          </cell>
          <cell r="C586" t="str">
            <v>Future</v>
          </cell>
          <cell r="D586" t="e">
            <v>#N/A</v>
          </cell>
          <cell r="E586">
            <v>12.854054054054048</v>
          </cell>
          <cell r="F586">
            <v>14.678378378378396</v>
          </cell>
          <cell r="G586">
            <v>14.313513513513517</v>
          </cell>
          <cell r="H586">
            <v>14.313513513513517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14.52</v>
          </cell>
          <cell r="Q586" t="str">
            <v/>
          </cell>
          <cell r="R586" t="e">
            <v>#N/A</v>
          </cell>
        </row>
        <row r="587">
          <cell r="A587">
            <v>40821</v>
          </cell>
          <cell r="B587">
            <v>40821</v>
          </cell>
          <cell r="C587" t="str">
            <v>Future</v>
          </cell>
          <cell r="D587" t="e">
            <v>#N/A</v>
          </cell>
          <cell r="E587">
            <v>12.798648648648642</v>
          </cell>
          <cell r="F587">
            <v>14.690540540540558</v>
          </cell>
          <cell r="G587">
            <v>14.312162162162165</v>
          </cell>
          <cell r="H587">
            <v>14.312162162162165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14.52</v>
          </cell>
          <cell r="Q587" t="str">
            <v/>
          </cell>
          <cell r="R587" t="e">
            <v>#N/A</v>
          </cell>
        </row>
        <row r="588">
          <cell r="A588">
            <v>40822</v>
          </cell>
          <cell r="B588">
            <v>40822</v>
          </cell>
          <cell r="C588" t="str">
            <v>Future</v>
          </cell>
          <cell r="D588" t="e">
            <v>#N/A</v>
          </cell>
          <cell r="E588">
            <v>12.743243243243237</v>
          </cell>
          <cell r="F588">
            <v>14.702702702702721</v>
          </cell>
          <cell r="G588">
            <v>14.310810810810814</v>
          </cell>
          <cell r="H588">
            <v>14.310810810810814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14.52</v>
          </cell>
          <cell r="Q588" t="str">
            <v/>
          </cell>
          <cell r="R588" t="e">
            <v>#N/A</v>
          </cell>
        </row>
        <row r="589">
          <cell r="A589">
            <v>40823</v>
          </cell>
          <cell r="B589">
            <v>40823</v>
          </cell>
          <cell r="C589" t="str">
            <v>Future</v>
          </cell>
          <cell r="D589" t="e">
            <v>#N/A</v>
          </cell>
          <cell r="E589">
            <v>12.687837837837831</v>
          </cell>
          <cell r="F589">
            <v>14.714864864864884</v>
          </cell>
          <cell r="G589">
            <v>14.309459459459463</v>
          </cell>
          <cell r="H589">
            <v>14.309459459459463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14.52</v>
          </cell>
          <cell r="Q589" t="str">
            <v/>
          </cell>
          <cell r="R589" t="e">
            <v>#N/A</v>
          </cell>
        </row>
        <row r="590">
          <cell r="A590">
            <v>40826</v>
          </cell>
          <cell r="B590">
            <v>40826</v>
          </cell>
          <cell r="C590" t="str">
            <v>Future</v>
          </cell>
          <cell r="D590" t="e">
            <v>#N/A</v>
          </cell>
          <cell r="E590">
            <v>12.632432432432426</v>
          </cell>
          <cell r="F590">
            <v>14.727027027027047</v>
          </cell>
          <cell r="G590">
            <v>14.308108108108112</v>
          </cell>
          <cell r="H590">
            <v>14.308108108108112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14.52</v>
          </cell>
          <cell r="Q590" t="str">
            <v/>
          </cell>
          <cell r="R590" t="e">
            <v>#N/A</v>
          </cell>
        </row>
        <row r="591">
          <cell r="A591">
            <v>40827</v>
          </cell>
          <cell r="B591">
            <v>40827</v>
          </cell>
          <cell r="C591" t="str">
            <v>Future</v>
          </cell>
          <cell r="D591" t="e">
            <v>#N/A</v>
          </cell>
          <cell r="E591">
            <v>12.57702702702702</v>
          </cell>
          <cell r="F591">
            <v>14.73918918918921</v>
          </cell>
          <cell r="G591">
            <v>14.30675675675676</v>
          </cell>
          <cell r="H591">
            <v>14.30675675675676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14.52</v>
          </cell>
          <cell r="Q591" t="str">
            <v/>
          </cell>
          <cell r="R591" t="e">
            <v>#N/A</v>
          </cell>
        </row>
        <row r="592">
          <cell r="A592">
            <v>40828</v>
          </cell>
          <cell r="B592">
            <v>40828</v>
          </cell>
          <cell r="C592" t="str">
            <v>Future</v>
          </cell>
          <cell r="D592" t="e">
            <v>#N/A</v>
          </cell>
          <cell r="E592">
            <v>12.521621621621614</v>
          </cell>
          <cell r="F592">
            <v>14.751351351351373</v>
          </cell>
          <cell r="G592">
            <v>14.305405405405409</v>
          </cell>
          <cell r="H592">
            <v>14.305405405405409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14.52</v>
          </cell>
          <cell r="Q592" t="str">
            <v/>
          </cell>
          <cell r="R592" t="e">
            <v>#N/A</v>
          </cell>
        </row>
        <row r="593">
          <cell r="A593">
            <v>40829</v>
          </cell>
          <cell r="B593">
            <v>40829</v>
          </cell>
          <cell r="C593" t="str">
            <v>Future</v>
          </cell>
          <cell r="D593" t="e">
            <v>#N/A</v>
          </cell>
          <cell r="E593">
            <v>12.466216216216209</v>
          </cell>
          <cell r="F593">
            <v>14.763513513513535</v>
          </cell>
          <cell r="G593">
            <v>14.304054054054058</v>
          </cell>
          <cell r="H593">
            <v>14.304054054054058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14.52</v>
          </cell>
          <cell r="Q593" t="str">
            <v/>
          </cell>
          <cell r="R593" t="e">
            <v>#N/A</v>
          </cell>
        </row>
        <row r="594">
          <cell r="A594">
            <v>40830</v>
          </cell>
          <cell r="B594">
            <v>40830</v>
          </cell>
          <cell r="C594" t="str">
            <v>Future</v>
          </cell>
          <cell r="D594" t="e">
            <v>#N/A</v>
          </cell>
          <cell r="E594">
            <v>12.410810810810803</v>
          </cell>
          <cell r="F594">
            <v>14.775675675675698</v>
          </cell>
          <cell r="G594">
            <v>14.302702702702707</v>
          </cell>
          <cell r="H594">
            <v>14.302702702702707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14.52</v>
          </cell>
          <cell r="Q594" t="str">
            <v/>
          </cell>
          <cell r="R594" t="e">
            <v>#N/A</v>
          </cell>
        </row>
        <row r="595">
          <cell r="A595">
            <v>40833</v>
          </cell>
          <cell r="B595">
            <v>40833</v>
          </cell>
          <cell r="C595" t="str">
            <v>Future</v>
          </cell>
          <cell r="D595" t="e">
            <v>#N/A</v>
          </cell>
          <cell r="E595">
            <v>12.355405405405397</v>
          </cell>
          <cell r="F595">
            <v>14.787837837837861</v>
          </cell>
          <cell r="G595">
            <v>14.301351351351355</v>
          </cell>
          <cell r="H595">
            <v>14.301351351351355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14.52</v>
          </cell>
          <cell r="Q595" t="str">
            <v/>
          </cell>
          <cell r="R595" t="e">
            <v>#N/A</v>
          </cell>
        </row>
        <row r="596">
          <cell r="A596">
            <v>40834</v>
          </cell>
          <cell r="B596">
            <v>40834</v>
          </cell>
          <cell r="C596" t="str">
            <v>Future</v>
          </cell>
          <cell r="D596" t="e">
            <v>#N/A</v>
          </cell>
          <cell r="E596">
            <v>12.299999999999992</v>
          </cell>
          <cell r="F596">
            <v>14.800000000000024</v>
          </cell>
          <cell r="G596">
            <v>14.300000000000004</v>
          </cell>
          <cell r="H596">
            <v>14.300000000000004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14.52</v>
          </cell>
          <cell r="Q596" t="str">
            <v/>
          </cell>
          <cell r="R596" t="e">
            <v>#N/A</v>
          </cell>
        </row>
        <row r="597">
          <cell r="A597">
            <v>40835</v>
          </cell>
          <cell r="B597">
            <v>40835</v>
          </cell>
          <cell r="C597" t="str">
            <v>Future</v>
          </cell>
          <cell r="D597" t="e">
            <v>#N/A</v>
          </cell>
          <cell r="E597">
            <v>12.244594594594586</v>
          </cell>
          <cell r="F597">
            <v>14.812162162162187</v>
          </cell>
          <cell r="G597">
            <v>14.298648648648653</v>
          </cell>
          <cell r="H597">
            <v>14.298648648648653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14.52</v>
          </cell>
          <cell r="Q597" t="str">
            <v/>
          </cell>
          <cell r="R597" t="e">
            <v>#N/A</v>
          </cell>
        </row>
        <row r="598">
          <cell r="A598">
            <v>40836</v>
          </cell>
          <cell r="B598">
            <v>40836</v>
          </cell>
          <cell r="C598" t="str">
            <v>Future</v>
          </cell>
          <cell r="D598" t="e">
            <v>#N/A</v>
          </cell>
          <cell r="E598">
            <v>12.189189189189181</v>
          </cell>
          <cell r="F598">
            <v>14.824324324324349</v>
          </cell>
          <cell r="G598">
            <v>14.297297297297302</v>
          </cell>
          <cell r="H598">
            <v>14.297297297297302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14.52</v>
          </cell>
          <cell r="Q598" t="str">
            <v/>
          </cell>
          <cell r="R598" t="e">
            <v>#N/A</v>
          </cell>
        </row>
        <row r="599">
          <cell r="A599">
            <v>40837</v>
          </cell>
          <cell r="B599">
            <v>40837</v>
          </cell>
          <cell r="C599" t="str">
            <v>Future</v>
          </cell>
          <cell r="D599" t="e">
            <v>#N/A</v>
          </cell>
          <cell r="E599">
            <v>12.133783783783775</v>
          </cell>
          <cell r="F599">
            <v>14.836486486486512</v>
          </cell>
          <cell r="G599">
            <v>14.295945945945951</v>
          </cell>
          <cell r="H599">
            <v>14.295945945945951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14.52</v>
          </cell>
          <cell r="Q599" t="str">
            <v/>
          </cell>
          <cell r="R599" t="e">
            <v>#N/A</v>
          </cell>
        </row>
        <row r="600">
          <cell r="A600">
            <v>40840</v>
          </cell>
          <cell r="B600">
            <v>40840</v>
          </cell>
          <cell r="C600" t="str">
            <v>Future</v>
          </cell>
          <cell r="D600" t="e">
            <v>#N/A</v>
          </cell>
          <cell r="E600">
            <v>12.078378378378369</v>
          </cell>
          <cell r="F600">
            <v>14.848648648648675</v>
          </cell>
          <cell r="G600">
            <v>14.294594594594599</v>
          </cell>
          <cell r="H600">
            <v>14.294594594594599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14.52</v>
          </cell>
          <cell r="Q600" t="str">
            <v/>
          </cell>
          <cell r="R600" t="e">
            <v>#N/A</v>
          </cell>
        </row>
        <row r="601">
          <cell r="A601">
            <v>40841</v>
          </cell>
          <cell r="B601">
            <v>40841</v>
          </cell>
          <cell r="C601" t="str">
            <v>Future</v>
          </cell>
          <cell r="D601" t="e">
            <v>#N/A</v>
          </cell>
          <cell r="E601">
            <v>12.022972972972964</v>
          </cell>
          <cell r="F601">
            <v>14.860810810810838</v>
          </cell>
          <cell r="G601">
            <v>14.293243243243248</v>
          </cell>
          <cell r="H601">
            <v>14.293243243243248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14.52</v>
          </cell>
          <cell r="Q601" t="str">
            <v/>
          </cell>
          <cell r="R601" t="e">
            <v>#N/A</v>
          </cell>
        </row>
        <row r="602">
          <cell r="A602">
            <v>40842</v>
          </cell>
          <cell r="B602">
            <v>40842</v>
          </cell>
          <cell r="C602" t="str">
            <v>Future</v>
          </cell>
          <cell r="D602" t="e">
            <v>#N/A</v>
          </cell>
          <cell r="E602">
            <v>11.967567567567558</v>
          </cell>
          <cell r="F602">
            <v>14.872972972973001</v>
          </cell>
          <cell r="G602">
            <v>14.291891891891897</v>
          </cell>
          <cell r="H602">
            <v>14.291891891891897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14.52</v>
          </cell>
          <cell r="Q602" t="str">
            <v/>
          </cell>
          <cell r="R602" t="e">
            <v>#N/A</v>
          </cell>
        </row>
        <row r="603">
          <cell r="A603">
            <v>40843</v>
          </cell>
          <cell r="B603">
            <v>40843</v>
          </cell>
          <cell r="C603" t="str">
            <v>Future</v>
          </cell>
          <cell r="D603" t="e">
            <v>#N/A</v>
          </cell>
          <cell r="E603">
            <v>11.912162162162153</v>
          </cell>
          <cell r="F603">
            <v>14.885135135135164</v>
          </cell>
          <cell r="G603">
            <v>14.290540540540546</v>
          </cell>
          <cell r="H603">
            <v>14.290540540540546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14.52</v>
          </cell>
          <cell r="Q603" t="str">
            <v/>
          </cell>
          <cell r="R603" t="e">
            <v>#N/A</v>
          </cell>
        </row>
        <row r="604">
          <cell r="A604">
            <v>40844</v>
          </cell>
          <cell r="B604">
            <v>40844</v>
          </cell>
          <cell r="C604" t="str">
            <v>Future</v>
          </cell>
          <cell r="D604" t="e">
            <v>#N/A</v>
          </cell>
          <cell r="E604">
            <v>11.856756756756747</v>
          </cell>
          <cell r="F604">
            <v>14.897297297297326</v>
          </cell>
          <cell r="G604">
            <v>14.289189189189194</v>
          </cell>
          <cell r="H604">
            <v>14.289189189189194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14.52</v>
          </cell>
          <cell r="Q604" t="str">
            <v/>
          </cell>
          <cell r="R604" t="e">
            <v>#N/A</v>
          </cell>
        </row>
        <row r="605">
          <cell r="A605">
            <v>40847</v>
          </cell>
          <cell r="B605">
            <v>40847</v>
          </cell>
          <cell r="C605" t="str">
            <v>Future</v>
          </cell>
          <cell r="D605" t="e">
            <v>#N/A</v>
          </cell>
          <cell r="E605">
            <v>11.801351351351341</v>
          </cell>
          <cell r="F605">
            <v>14.909459459459489</v>
          </cell>
          <cell r="G605">
            <v>14.287837837837843</v>
          </cell>
          <cell r="H605">
            <v>14.287837837837843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14.52</v>
          </cell>
          <cell r="Q605" t="str">
            <v/>
          </cell>
          <cell r="R605" t="e">
            <v>#N/A</v>
          </cell>
        </row>
        <row r="606">
          <cell r="A606">
            <v>40848</v>
          </cell>
          <cell r="B606">
            <v>40848</v>
          </cell>
          <cell r="C606" t="str">
            <v>Future</v>
          </cell>
          <cell r="D606" t="e">
            <v>#N/A</v>
          </cell>
          <cell r="E606">
            <v>11.745945945945936</v>
          </cell>
          <cell r="F606">
            <v>14.921621621621652</v>
          </cell>
          <cell r="G606">
            <v>14.286486486486492</v>
          </cell>
          <cell r="H606">
            <v>14.286486486486492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14.52</v>
          </cell>
          <cell r="Q606" t="str">
            <v/>
          </cell>
          <cell r="R606" t="e">
            <v>#N/A</v>
          </cell>
        </row>
        <row r="607">
          <cell r="A607">
            <v>40849</v>
          </cell>
          <cell r="B607">
            <v>40849</v>
          </cell>
          <cell r="C607" t="str">
            <v>Future</v>
          </cell>
          <cell r="D607" t="e">
            <v>#N/A</v>
          </cell>
          <cell r="E607">
            <v>11.69054054054053</v>
          </cell>
          <cell r="F607">
            <v>14.933783783783815</v>
          </cell>
          <cell r="G607">
            <v>14.285135135135141</v>
          </cell>
          <cell r="H607">
            <v>14.285135135135141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14.52</v>
          </cell>
          <cell r="Q607" t="str">
            <v/>
          </cell>
          <cell r="R607" t="e">
            <v>#N/A</v>
          </cell>
        </row>
        <row r="608">
          <cell r="A608">
            <v>40850</v>
          </cell>
          <cell r="B608">
            <v>40850</v>
          </cell>
          <cell r="C608" t="str">
            <v>Future</v>
          </cell>
          <cell r="D608" t="e">
            <v>#N/A</v>
          </cell>
          <cell r="E608">
            <v>11.635135135135124</v>
          </cell>
          <cell r="F608">
            <v>14.945945945945978</v>
          </cell>
          <cell r="G608">
            <v>14.28378378378379</v>
          </cell>
          <cell r="H608">
            <v>14.28378378378379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14.52</v>
          </cell>
          <cell r="Q608" t="str">
            <v/>
          </cell>
          <cell r="R608" t="e">
            <v>#N/A</v>
          </cell>
        </row>
        <row r="609">
          <cell r="A609">
            <v>40851</v>
          </cell>
          <cell r="B609">
            <v>40851</v>
          </cell>
          <cell r="C609" t="str">
            <v>Future</v>
          </cell>
          <cell r="D609" t="e">
            <v>#N/A</v>
          </cell>
          <cell r="E609">
            <v>11.579729729729719</v>
          </cell>
          <cell r="F609">
            <v>14.95810810810814</v>
          </cell>
          <cell r="G609">
            <v>14.282432432432438</v>
          </cell>
          <cell r="H609">
            <v>14.282432432432438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14.52</v>
          </cell>
          <cell r="Q609" t="str">
            <v/>
          </cell>
          <cell r="R609" t="e">
            <v>#N/A</v>
          </cell>
        </row>
        <row r="610">
          <cell r="A610">
            <v>40854</v>
          </cell>
          <cell r="B610">
            <v>40854</v>
          </cell>
          <cell r="C610" t="str">
            <v>Future</v>
          </cell>
          <cell r="D610" t="e">
            <v>#N/A</v>
          </cell>
          <cell r="E610">
            <v>11.524324324324313</v>
          </cell>
          <cell r="F610">
            <v>14.970270270270303</v>
          </cell>
          <cell r="G610">
            <v>14.281081081081087</v>
          </cell>
          <cell r="H610">
            <v>14.281081081081087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14.52</v>
          </cell>
          <cell r="Q610" t="str">
            <v/>
          </cell>
          <cell r="R610" t="e">
            <v>#N/A</v>
          </cell>
        </row>
        <row r="611">
          <cell r="A611">
            <v>40855</v>
          </cell>
          <cell r="B611">
            <v>40855</v>
          </cell>
          <cell r="C611" t="str">
            <v>Future</v>
          </cell>
          <cell r="D611" t="e">
            <v>#N/A</v>
          </cell>
          <cell r="E611">
            <v>11.468918918918908</v>
          </cell>
          <cell r="F611">
            <v>14.982432432432466</v>
          </cell>
          <cell r="G611">
            <v>14.279729729729736</v>
          </cell>
          <cell r="H611">
            <v>14.279729729729736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14.52</v>
          </cell>
          <cell r="Q611" t="str">
            <v/>
          </cell>
          <cell r="R611" t="e">
            <v>#N/A</v>
          </cell>
        </row>
        <row r="612">
          <cell r="A612">
            <v>40856</v>
          </cell>
          <cell r="B612">
            <v>40856</v>
          </cell>
          <cell r="C612" t="str">
            <v>Future</v>
          </cell>
          <cell r="D612" t="e">
            <v>#N/A</v>
          </cell>
          <cell r="E612">
            <v>11.413513513513502</v>
          </cell>
          <cell r="F612">
            <v>14.994594594594629</v>
          </cell>
          <cell r="G612">
            <v>14.278378378378385</v>
          </cell>
          <cell r="H612">
            <v>14.278378378378385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14.52</v>
          </cell>
          <cell r="Q612" t="str">
            <v/>
          </cell>
          <cell r="R612" t="e">
            <v>#N/A</v>
          </cell>
        </row>
        <row r="613">
          <cell r="A613">
            <v>40857</v>
          </cell>
          <cell r="B613">
            <v>40857</v>
          </cell>
          <cell r="C613" t="str">
            <v>Future</v>
          </cell>
          <cell r="D613" t="e">
            <v>#N/A</v>
          </cell>
          <cell r="E613">
            <v>11.358108108108096</v>
          </cell>
          <cell r="F613">
            <v>15.006756756756792</v>
          </cell>
          <cell r="G613">
            <v>14.277027027027033</v>
          </cell>
          <cell r="H613">
            <v>14.277027027027033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14.52</v>
          </cell>
          <cell r="Q613" t="str">
            <v/>
          </cell>
          <cell r="R613" t="e">
            <v>#N/A</v>
          </cell>
        </row>
        <row r="614">
          <cell r="A614">
            <v>40858</v>
          </cell>
          <cell r="B614">
            <v>40858</v>
          </cell>
          <cell r="C614" t="str">
            <v>Future</v>
          </cell>
          <cell r="D614" t="e">
            <v>#N/A</v>
          </cell>
          <cell r="E614">
            <v>11.302702702702691</v>
          </cell>
          <cell r="F614">
            <v>15.018918918918954</v>
          </cell>
          <cell r="G614">
            <v>14.275675675675682</v>
          </cell>
          <cell r="H614">
            <v>14.275675675675682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14.52</v>
          </cell>
          <cell r="Q614" t="str">
            <v/>
          </cell>
          <cell r="R614" t="e">
            <v>#N/A</v>
          </cell>
        </row>
        <row r="615">
          <cell r="A615">
            <v>40861</v>
          </cell>
          <cell r="B615">
            <v>40861</v>
          </cell>
          <cell r="C615" t="str">
            <v>Future</v>
          </cell>
          <cell r="D615" t="e">
            <v>#N/A</v>
          </cell>
          <cell r="E615">
            <v>11.247297297297285</v>
          </cell>
          <cell r="F615">
            <v>15.031081081081117</v>
          </cell>
          <cell r="G615">
            <v>14.274324324324331</v>
          </cell>
          <cell r="H615">
            <v>14.274324324324331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14.52</v>
          </cell>
          <cell r="Q615" t="str">
            <v/>
          </cell>
          <cell r="R615" t="e">
            <v>#N/A</v>
          </cell>
        </row>
        <row r="616">
          <cell r="A616">
            <v>40862</v>
          </cell>
          <cell r="B616">
            <v>40862</v>
          </cell>
          <cell r="C616" t="str">
            <v>Future</v>
          </cell>
          <cell r="D616" t="e">
            <v>#N/A</v>
          </cell>
          <cell r="E616">
            <v>11.191891891891879</v>
          </cell>
          <cell r="F616">
            <v>15.04324324324328</v>
          </cell>
          <cell r="G616">
            <v>14.27297297297298</v>
          </cell>
          <cell r="H616">
            <v>14.27297297297298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14.52</v>
          </cell>
          <cell r="Q616" t="str">
            <v/>
          </cell>
          <cell r="R616" t="e">
            <v>#N/A</v>
          </cell>
        </row>
        <row r="617">
          <cell r="A617">
            <v>40863</v>
          </cell>
          <cell r="B617">
            <v>40863</v>
          </cell>
          <cell r="C617" t="str">
            <v>Future</v>
          </cell>
          <cell r="D617" t="e">
            <v>#N/A</v>
          </cell>
          <cell r="E617">
            <v>11.136486486486474</v>
          </cell>
          <cell r="F617">
            <v>15.055405405405443</v>
          </cell>
          <cell r="G617">
            <v>14.271621621621629</v>
          </cell>
          <cell r="H617">
            <v>14.271621621621629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14.52</v>
          </cell>
          <cell r="Q617" t="str">
            <v/>
          </cell>
          <cell r="R617" t="e">
            <v>#N/A</v>
          </cell>
        </row>
        <row r="618">
          <cell r="A618">
            <v>40864</v>
          </cell>
          <cell r="B618">
            <v>40864</v>
          </cell>
          <cell r="C618" t="str">
            <v>Future</v>
          </cell>
          <cell r="D618" t="e">
            <v>#N/A</v>
          </cell>
          <cell r="E618">
            <v>11.081081081081068</v>
          </cell>
          <cell r="F618">
            <v>15.067567567567606</v>
          </cell>
          <cell r="G618">
            <v>14.270270270270277</v>
          </cell>
          <cell r="H618">
            <v>14.270270270270277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14.52</v>
          </cell>
          <cell r="Q618" t="str">
            <v/>
          </cell>
          <cell r="R618" t="e">
            <v>#N/A</v>
          </cell>
        </row>
        <row r="619">
          <cell r="A619">
            <v>40865</v>
          </cell>
          <cell r="B619">
            <v>40865</v>
          </cell>
          <cell r="C619" t="str">
            <v>Future</v>
          </cell>
          <cell r="D619" t="e">
            <v>#N/A</v>
          </cell>
          <cell r="E619">
            <v>11.025675675675663</v>
          </cell>
          <cell r="F619">
            <v>15.079729729729769</v>
          </cell>
          <cell r="G619">
            <v>14.268918918918926</v>
          </cell>
          <cell r="H619">
            <v>14.268918918918926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14.52</v>
          </cell>
          <cell r="Q619" t="str">
            <v/>
          </cell>
          <cell r="R619" t="e">
            <v>#N/A</v>
          </cell>
        </row>
        <row r="620">
          <cell r="A620">
            <v>40868</v>
          </cell>
          <cell r="B620">
            <v>40868</v>
          </cell>
          <cell r="C620" t="str">
            <v>Future</v>
          </cell>
          <cell r="D620" t="e">
            <v>#N/A</v>
          </cell>
          <cell r="E620">
            <v>10.970270270270257</v>
          </cell>
          <cell r="F620">
            <v>15.091891891891931</v>
          </cell>
          <cell r="G620">
            <v>14.267567567567575</v>
          </cell>
          <cell r="H620">
            <v>14.267567567567575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14.52</v>
          </cell>
          <cell r="Q620" t="str">
            <v/>
          </cell>
          <cell r="R620" t="e">
            <v>#N/A</v>
          </cell>
        </row>
        <row r="621">
          <cell r="A621">
            <v>40869</v>
          </cell>
          <cell r="B621">
            <v>40869</v>
          </cell>
          <cell r="C621" t="str">
            <v>Future</v>
          </cell>
          <cell r="D621" t="e">
            <v>#N/A</v>
          </cell>
          <cell r="E621">
            <v>10.914864864864851</v>
          </cell>
          <cell r="F621">
            <v>15.104054054054094</v>
          </cell>
          <cell r="G621">
            <v>14.266216216216224</v>
          </cell>
          <cell r="H621">
            <v>14.266216216216224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14.52</v>
          </cell>
          <cell r="Q621" t="str">
            <v/>
          </cell>
          <cell r="R621" t="e">
            <v>#N/A</v>
          </cell>
        </row>
        <row r="622">
          <cell r="A622">
            <v>40870</v>
          </cell>
          <cell r="B622">
            <v>40870</v>
          </cell>
          <cell r="C622" t="str">
            <v>Future</v>
          </cell>
          <cell r="D622" t="e">
            <v>#N/A</v>
          </cell>
          <cell r="E622">
            <v>10.859459459459446</v>
          </cell>
          <cell r="F622">
            <v>15.116216216216257</v>
          </cell>
          <cell r="G622">
            <v>14.264864864864872</v>
          </cell>
          <cell r="H622">
            <v>14.264864864864872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14.52</v>
          </cell>
          <cell r="Q622" t="str">
            <v/>
          </cell>
          <cell r="R622" t="e">
            <v>#N/A</v>
          </cell>
        </row>
        <row r="623">
          <cell r="A623">
            <v>40872</v>
          </cell>
          <cell r="B623">
            <v>40872</v>
          </cell>
          <cell r="C623" t="str">
            <v>Future</v>
          </cell>
          <cell r="D623" t="e">
            <v>#N/A</v>
          </cell>
          <cell r="E623">
            <v>10.80405405405404</v>
          </cell>
          <cell r="F623">
            <v>15.12837837837842</v>
          </cell>
          <cell r="G623">
            <v>14.263513513513521</v>
          </cell>
          <cell r="H623">
            <v>14.263513513513521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14.52</v>
          </cell>
          <cell r="Q623" t="str">
            <v/>
          </cell>
          <cell r="R623" t="e">
            <v>#N/A</v>
          </cell>
        </row>
        <row r="624">
          <cell r="A624">
            <v>40875</v>
          </cell>
          <cell r="B624">
            <v>40875</v>
          </cell>
          <cell r="C624" t="str">
            <v>Future</v>
          </cell>
          <cell r="D624" t="e">
            <v>#N/A</v>
          </cell>
          <cell r="E624">
            <v>10.748648648648635</v>
          </cell>
          <cell r="F624">
            <v>15.140540540540583</v>
          </cell>
          <cell r="G624">
            <v>14.26216216216217</v>
          </cell>
          <cell r="H624">
            <v>14.26216216216217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14.52</v>
          </cell>
          <cell r="Q624" t="str">
            <v/>
          </cell>
          <cell r="R624" t="e">
            <v>#N/A</v>
          </cell>
        </row>
        <row r="625">
          <cell r="A625">
            <v>40876</v>
          </cell>
          <cell r="B625">
            <v>40876</v>
          </cell>
          <cell r="C625" t="str">
            <v>Future</v>
          </cell>
          <cell r="D625" t="e">
            <v>#N/A</v>
          </cell>
          <cell r="E625">
            <v>10.693243243243229</v>
          </cell>
          <cell r="F625">
            <v>15.152702702702745</v>
          </cell>
          <cell r="G625">
            <v>14.260810810810819</v>
          </cell>
          <cell r="H625">
            <v>14.260810810810819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14.52</v>
          </cell>
          <cell r="Q625" t="str">
            <v/>
          </cell>
          <cell r="R625" t="e">
            <v>#N/A</v>
          </cell>
        </row>
        <row r="626">
          <cell r="A626">
            <v>40877</v>
          </cell>
          <cell r="B626">
            <v>40877</v>
          </cell>
          <cell r="C626" t="str">
            <v>Future</v>
          </cell>
          <cell r="D626" t="e">
            <v>#N/A</v>
          </cell>
          <cell r="E626">
            <v>10.637837837837823</v>
          </cell>
          <cell r="F626">
            <v>15.164864864864908</v>
          </cell>
          <cell r="G626">
            <v>14.259459459459467</v>
          </cell>
          <cell r="H626">
            <v>14.259459459459467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14.52</v>
          </cell>
          <cell r="Q626" t="str">
            <v/>
          </cell>
          <cell r="R626" t="e">
            <v>#N/A</v>
          </cell>
        </row>
        <row r="627">
          <cell r="A627">
            <v>40878</v>
          </cell>
          <cell r="B627">
            <v>40878</v>
          </cell>
          <cell r="C627" t="str">
            <v>Future</v>
          </cell>
          <cell r="D627" t="e">
            <v>#N/A</v>
          </cell>
          <cell r="E627">
            <v>10.582432432432418</v>
          </cell>
          <cell r="F627">
            <v>15.177027027027071</v>
          </cell>
          <cell r="G627">
            <v>14.258108108108116</v>
          </cell>
          <cell r="H627">
            <v>14.258108108108116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14.52</v>
          </cell>
          <cell r="Q627" t="str">
            <v/>
          </cell>
          <cell r="R627" t="e">
            <v>#N/A</v>
          </cell>
        </row>
        <row r="628">
          <cell r="A628">
            <v>40879</v>
          </cell>
          <cell r="B628">
            <v>40879</v>
          </cell>
          <cell r="C628" t="str">
            <v>Future</v>
          </cell>
          <cell r="D628" t="e">
            <v>#N/A</v>
          </cell>
          <cell r="E628">
            <v>10.527027027027012</v>
          </cell>
          <cell r="F628">
            <v>15.189189189189234</v>
          </cell>
          <cell r="G628">
            <v>14.256756756756765</v>
          </cell>
          <cell r="H628">
            <v>14.256756756756765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14.52</v>
          </cell>
          <cell r="Q628" t="str">
            <v/>
          </cell>
          <cell r="R628" t="e">
            <v>#N/A</v>
          </cell>
        </row>
        <row r="629">
          <cell r="A629">
            <v>40882</v>
          </cell>
          <cell r="B629">
            <v>40882</v>
          </cell>
          <cell r="C629" t="str">
            <v>Future</v>
          </cell>
          <cell r="D629" t="e">
            <v>#N/A</v>
          </cell>
          <cell r="E629">
            <v>10.471621621621606</v>
          </cell>
          <cell r="F629">
            <v>15.201351351351397</v>
          </cell>
          <cell r="G629">
            <v>14.255405405405414</v>
          </cell>
          <cell r="H629">
            <v>14.255405405405414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14.52</v>
          </cell>
          <cell r="Q629" t="str">
            <v/>
          </cell>
          <cell r="R629" t="e">
            <v>#N/A</v>
          </cell>
        </row>
        <row r="630">
          <cell r="A630">
            <v>40883</v>
          </cell>
          <cell r="B630">
            <v>40883</v>
          </cell>
          <cell r="C630" t="str">
            <v>Future</v>
          </cell>
          <cell r="D630" t="e">
            <v>#N/A</v>
          </cell>
          <cell r="E630">
            <v>10.416216216216201</v>
          </cell>
          <cell r="F630">
            <v>15.21351351351356</v>
          </cell>
          <cell r="G630">
            <v>14.254054054054063</v>
          </cell>
          <cell r="H630">
            <v>14.254054054054063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14.52</v>
          </cell>
          <cell r="Q630" t="str">
            <v/>
          </cell>
          <cell r="R630" t="e">
            <v>#N/A</v>
          </cell>
        </row>
        <row r="631">
          <cell r="A631">
            <v>40884</v>
          </cell>
          <cell r="B631">
            <v>40884</v>
          </cell>
          <cell r="C631" t="str">
            <v>Future</v>
          </cell>
          <cell r="D631" t="e">
            <v>#N/A</v>
          </cell>
          <cell r="E631">
            <v>10.360810810810795</v>
          </cell>
          <cell r="F631">
            <v>15.225675675675722</v>
          </cell>
          <cell r="G631">
            <v>14.252702702702711</v>
          </cell>
          <cell r="H631">
            <v>14.252702702702711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14.52</v>
          </cell>
          <cell r="Q631" t="str">
            <v/>
          </cell>
          <cell r="R631" t="e">
            <v>#N/A</v>
          </cell>
        </row>
        <row r="632">
          <cell r="A632">
            <v>40885</v>
          </cell>
          <cell r="B632">
            <v>40885</v>
          </cell>
          <cell r="C632" t="str">
            <v>Future</v>
          </cell>
          <cell r="D632" t="e">
            <v>#N/A</v>
          </cell>
          <cell r="E632">
            <v>10.30540540540539</v>
          </cell>
          <cell r="F632">
            <v>15.237837837837885</v>
          </cell>
          <cell r="G632">
            <v>14.25135135135136</v>
          </cell>
          <cell r="H632">
            <v>14.25135135135136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14.52</v>
          </cell>
          <cell r="Q632" t="str">
            <v/>
          </cell>
          <cell r="R632" t="e">
            <v>#N/A</v>
          </cell>
        </row>
        <row r="633">
          <cell r="A633">
            <v>40886</v>
          </cell>
          <cell r="B633">
            <v>40886</v>
          </cell>
          <cell r="C633" t="str">
            <v>Future</v>
          </cell>
          <cell r="D633" t="e">
            <v>#N/A</v>
          </cell>
          <cell r="E633">
            <v>10.249999999999984</v>
          </cell>
          <cell r="F633">
            <v>15.250000000000048</v>
          </cell>
          <cell r="G633">
            <v>14.250000000000009</v>
          </cell>
          <cell r="H633">
            <v>14.250000000000009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14.52</v>
          </cell>
          <cell r="Q633" t="str">
            <v/>
          </cell>
          <cell r="R633" t="e">
            <v>#N/A</v>
          </cell>
        </row>
        <row r="634">
          <cell r="A634">
            <v>40889</v>
          </cell>
          <cell r="B634">
            <v>40889</v>
          </cell>
          <cell r="C634" t="str">
            <v>Future</v>
          </cell>
          <cell r="D634" t="e">
            <v>#N/A</v>
          </cell>
          <cell r="E634">
            <v>10.194594594594578</v>
          </cell>
          <cell r="F634">
            <v>15.262162162162211</v>
          </cell>
          <cell r="G634">
            <v>14.248648648648658</v>
          </cell>
          <cell r="H634">
            <v>14.248648648648658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14.52</v>
          </cell>
          <cell r="Q634" t="str">
            <v/>
          </cell>
          <cell r="R634" t="e">
            <v>#N/A</v>
          </cell>
        </row>
        <row r="635">
          <cell r="A635">
            <v>40890</v>
          </cell>
          <cell r="B635">
            <v>40890</v>
          </cell>
          <cell r="C635" t="str">
            <v>Future</v>
          </cell>
          <cell r="D635" t="e">
            <v>#N/A</v>
          </cell>
          <cell r="E635">
            <v>10.139189189189173</v>
          </cell>
          <cell r="F635">
            <v>15.274324324324374</v>
          </cell>
          <cell r="G635">
            <v>14.247297297297306</v>
          </cell>
          <cell r="H635">
            <v>14.247297297297306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14.52</v>
          </cell>
          <cell r="Q635" t="str">
            <v/>
          </cell>
          <cell r="R635" t="e">
            <v>#N/A</v>
          </cell>
        </row>
        <row r="636">
          <cell r="A636">
            <v>40891</v>
          </cell>
          <cell r="B636">
            <v>40891</v>
          </cell>
          <cell r="C636" t="str">
            <v>Future</v>
          </cell>
          <cell r="D636" t="e">
            <v>#N/A</v>
          </cell>
          <cell r="E636">
            <v>10.083783783783767</v>
          </cell>
          <cell r="F636">
            <v>15.286486486486536</v>
          </cell>
          <cell r="G636">
            <v>14.245945945945955</v>
          </cell>
          <cell r="H636">
            <v>14.245945945945955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14.52</v>
          </cell>
          <cell r="Q636" t="str">
            <v/>
          </cell>
          <cell r="R636" t="e">
            <v>#N/A</v>
          </cell>
        </row>
        <row r="637">
          <cell r="A637">
            <v>40892</v>
          </cell>
          <cell r="B637">
            <v>40892</v>
          </cell>
          <cell r="C637" t="str">
            <v>Future</v>
          </cell>
          <cell r="D637" t="e">
            <v>#N/A</v>
          </cell>
          <cell r="E637">
            <v>10.028378378378362</v>
          </cell>
          <cell r="F637">
            <v>15.298648648648699</v>
          </cell>
          <cell r="G637">
            <v>14.244594594594604</v>
          </cell>
          <cell r="H637">
            <v>14.244594594594604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14.52</v>
          </cell>
          <cell r="Q637" t="str">
            <v/>
          </cell>
          <cell r="R637" t="e">
            <v>#N/A</v>
          </cell>
        </row>
        <row r="638">
          <cell r="A638">
            <v>40893</v>
          </cell>
          <cell r="B638">
            <v>40893</v>
          </cell>
          <cell r="C638" t="str">
            <v>Future</v>
          </cell>
          <cell r="D638" t="e">
            <v>#N/A</v>
          </cell>
          <cell r="E638">
            <v>9.9729729729729559</v>
          </cell>
          <cell r="F638">
            <v>15.310810810810862</v>
          </cell>
          <cell r="G638">
            <v>14.243243243243253</v>
          </cell>
          <cell r="H638">
            <v>14.243243243243253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14.52</v>
          </cell>
          <cell r="Q638" t="str">
            <v/>
          </cell>
          <cell r="R638" t="e">
            <v>#N/A</v>
          </cell>
        </row>
        <row r="639">
          <cell r="A639">
            <v>40896</v>
          </cell>
          <cell r="B639">
            <v>40896</v>
          </cell>
          <cell r="C639" t="str">
            <v>Future</v>
          </cell>
          <cell r="D639" t="e">
            <v>#N/A</v>
          </cell>
          <cell r="E639">
            <v>9.9175675675675503</v>
          </cell>
          <cell r="F639">
            <v>15.322972972973025</v>
          </cell>
          <cell r="G639">
            <v>14.241891891891902</v>
          </cell>
          <cell r="H639">
            <v>14.241891891891902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14.52</v>
          </cell>
          <cell r="Q639" t="str">
            <v/>
          </cell>
          <cell r="R639" t="e">
            <v>#N/A</v>
          </cell>
        </row>
        <row r="640">
          <cell r="A640">
            <v>40897</v>
          </cell>
          <cell r="B640">
            <v>40897</v>
          </cell>
          <cell r="C640" t="str">
            <v>Future</v>
          </cell>
          <cell r="D640" t="e">
            <v>#N/A</v>
          </cell>
          <cell r="E640">
            <v>9.8621621621621447</v>
          </cell>
          <cell r="F640">
            <v>15.335135135135188</v>
          </cell>
          <cell r="G640">
            <v>14.24054054054055</v>
          </cell>
          <cell r="H640">
            <v>14.24054054054055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14.52</v>
          </cell>
          <cell r="Q640" t="str">
            <v/>
          </cell>
          <cell r="R640" t="e">
            <v>#N/A</v>
          </cell>
        </row>
        <row r="641">
          <cell r="A641">
            <v>40898</v>
          </cell>
          <cell r="B641">
            <v>40898</v>
          </cell>
          <cell r="C641" t="str">
            <v>Future</v>
          </cell>
          <cell r="D641" t="e">
            <v>#N/A</v>
          </cell>
          <cell r="E641">
            <v>9.8067567567567391</v>
          </cell>
          <cell r="F641">
            <v>15.34729729729735</v>
          </cell>
          <cell r="G641">
            <v>14.239189189189199</v>
          </cell>
          <cell r="H641">
            <v>14.239189189189199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14.52</v>
          </cell>
          <cell r="Q641" t="str">
            <v/>
          </cell>
          <cell r="R641" t="e">
            <v>#N/A</v>
          </cell>
        </row>
        <row r="642">
          <cell r="A642">
            <v>40899</v>
          </cell>
          <cell r="B642">
            <v>40899</v>
          </cell>
          <cell r="C642" t="str">
            <v>Future</v>
          </cell>
          <cell r="D642" t="e">
            <v>#N/A</v>
          </cell>
          <cell r="E642">
            <v>9.7513513513513335</v>
          </cell>
          <cell r="F642">
            <v>15.359459459459513</v>
          </cell>
          <cell r="G642">
            <v>14.237837837837848</v>
          </cell>
          <cell r="H642">
            <v>14.237837837837848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14.52</v>
          </cell>
          <cell r="Q642" t="str">
            <v/>
          </cell>
          <cell r="R642" t="e">
            <v>#N/A</v>
          </cell>
        </row>
        <row r="643">
          <cell r="A643">
            <v>40900</v>
          </cell>
          <cell r="B643">
            <v>40900</v>
          </cell>
          <cell r="C643" t="str">
            <v>Future</v>
          </cell>
          <cell r="D643" t="e">
            <v>#N/A</v>
          </cell>
          <cell r="E643">
            <v>9.6959459459459278</v>
          </cell>
          <cell r="F643">
            <v>15.371621621621676</v>
          </cell>
          <cell r="G643">
            <v>14.236486486486497</v>
          </cell>
          <cell r="H643">
            <v>14.236486486486497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14.52</v>
          </cell>
          <cell r="Q643" t="str">
            <v/>
          </cell>
          <cell r="R643" t="e">
            <v>#N/A</v>
          </cell>
        </row>
        <row r="644">
          <cell r="A644">
            <v>40904</v>
          </cell>
          <cell r="B644">
            <v>40904</v>
          </cell>
          <cell r="C644" t="str">
            <v>Future</v>
          </cell>
          <cell r="D644" t="e">
            <v>#N/A</v>
          </cell>
          <cell r="E644">
            <v>9.6405405405405222</v>
          </cell>
          <cell r="F644">
            <v>15.383783783783839</v>
          </cell>
          <cell r="G644">
            <v>14.235135135135145</v>
          </cell>
          <cell r="H644">
            <v>14.235135135135145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14.52</v>
          </cell>
          <cell r="Q644" t="str">
            <v/>
          </cell>
          <cell r="R644" t="e">
            <v>#N/A</v>
          </cell>
        </row>
        <row r="645">
          <cell r="A645">
            <v>40905</v>
          </cell>
          <cell r="B645">
            <v>40905</v>
          </cell>
          <cell r="C645" t="str">
            <v>Future</v>
          </cell>
          <cell r="D645" t="e">
            <v>#N/A</v>
          </cell>
          <cell r="E645">
            <v>9.5851351351351166</v>
          </cell>
          <cell r="F645">
            <v>15.395945945946002</v>
          </cell>
          <cell r="G645">
            <v>14.233783783783794</v>
          </cell>
          <cell r="H645">
            <v>14.233783783783794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14.52</v>
          </cell>
          <cell r="Q645" t="str">
            <v/>
          </cell>
          <cell r="R645" t="e">
            <v>#N/A</v>
          </cell>
        </row>
        <row r="646">
          <cell r="A646">
            <v>40906</v>
          </cell>
          <cell r="B646">
            <v>40906</v>
          </cell>
          <cell r="C646" t="str">
            <v>Future</v>
          </cell>
          <cell r="D646" t="e">
            <v>#N/A</v>
          </cell>
          <cell r="E646">
            <v>9.529729729729711</v>
          </cell>
          <cell r="F646">
            <v>15.408108108108165</v>
          </cell>
          <cell r="G646">
            <v>14.232432432432443</v>
          </cell>
          <cell r="H646">
            <v>14.232432432432443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14.52</v>
          </cell>
          <cell r="Q646" t="str">
            <v/>
          </cell>
          <cell r="R646" t="e">
            <v>#N/A</v>
          </cell>
        </row>
        <row r="647">
          <cell r="A647">
            <v>40907</v>
          </cell>
          <cell r="B647">
            <v>40907</v>
          </cell>
          <cell r="C647" t="str">
            <v>Future</v>
          </cell>
          <cell r="D647" t="e">
            <v>#N/A</v>
          </cell>
          <cell r="E647">
            <v>9.4743243243243054</v>
          </cell>
          <cell r="F647">
            <v>15.420270270270327</v>
          </cell>
          <cell r="G647">
            <v>14.231081081081092</v>
          </cell>
          <cell r="H647">
            <v>14.231081081081092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14.52</v>
          </cell>
          <cell r="Q647" t="str">
            <v/>
          </cell>
          <cell r="R647" t="e">
            <v>#N/A</v>
          </cell>
        </row>
        <row r="648">
          <cell r="A648">
            <v>40910</v>
          </cell>
          <cell r="B648">
            <v>40910</v>
          </cell>
          <cell r="C648" t="str">
            <v>Future</v>
          </cell>
          <cell r="D648" t="e">
            <v>#N/A</v>
          </cell>
          <cell r="E648">
            <v>9.4189189189188998</v>
          </cell>
          <cell r="F648">
            <v>15.43243243243249</v>
          </cell>
          <cell r="G648">
            <v>14.22972972972974</v>
          </cell>
          <cell r="H648">
            <v>14.22972972972974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14.52</v>
          </cell>
          <cell r="Q648" t="str">
            <v/>
          </cell>
          <cell r="R648" t="e">
            <v>#N/A</v>
          </cell>
        </row>
        <row r="649">
          <cell r="A649">
            <v>40911</v>
          </cell>
          <cell r="B649">
            <v>40911</v>
          </cell>
          <cell r="C649" t="str">
            <v>Future</v>
          </cell>
          <cell r="D649" t="e">
            <v>#N/A</v>
          </cell>
          <cell r="E649">
            <v>9.3635135135134941</v>
          </cell>
          <cell r="F649">
            <v>15.444594594594653</v>
          </cell>
          <cell r="G649">
            <v>14.228378378378389</v>
          </cell>
          <cell r="H649">
            <v>14.228378378378389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14.52</v>
          </cell>
          <cell r="Q649" t="str">
            <v/>
          </cell>
          <cell r="R649" t="e">
            <v>#N/A</v>
          </cell>
        </row>
        <row r="650">
          <cell r="A650">
            <v>40912</v>
          </cell>
          <cell r="B650">
            <v>40912</v>
          </cell>
          <cell r="C650" t="str">
            <v>Future</v>
          </cell>
          <cell r="D650" t="e">
            <v>#N/A</v>
          </cell>
          <cell r="E650">
            <v>9.3081081081080885</v>
          </cell>
          <cell r="F650">
            <v>15.456756756756816</v>
          </cell>
          <cell r="G650">
            <v>14.227027027027038</v>
          </cell>
          <cell r="H650">
            <v>14.227027027027038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14.52</v>
          </cell>
          <cell r="Q650" t="str">
            <v/>
          </cell>
          <cell r="R650" t="e">
            <v>#N/A</v>
          </cell>
        </row>
        <row r="651">
          <cell r="A651">
            <v>40913</v>
          </cell>
          <cell r="B651">
            <v>40913</v>
          </cell>
          <cell r="C651" t="str">
            <v>Future</v>
          </cell>
          <cell r="D651" t="e">
            <v>#N/A</v>
          </cell>
          <cell r="E651">
            <v>9.2527027027026829</v>
          </cell>
          <cell r="F651">
            <v>15.468918918918979</v>
          </cell>
          <cell r="G651">
            <v>14.225675675675687</v>
          </cell>
          <cell r="H651">
            <v>14.225675675675687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14.52</v>
          </cell>
          <cell r="Q651" t="str">
            <v/>
          </cell>
          <cell r="R651" t="e">
            <v>#N/A</v>
          </cell>
        </row>
        <row r="652">
          <cell r="A652">
            <v>40914</v>
          </cell>
          <cell r="B652">
            <v>40914</v>
          </cell>
          <cell r="C652" t="str">
            <v>Future</v>
          </cell>
          <cell r="D652" t="e">
            <v>#N/A</v>
          </cell>
          <cell r="E652">
            <v>9.1972972972972773</v>
          </cell>
          <cell r="F652">
            <v>15.481081081081141</v>
          </cell>
          <cell r="G652">
            <v>14.224324324324336</v>
          </cell>
          <cell r="H652">
            <v>14.224324324324336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14.52</v>
          </cell>
          <cell r="Q652" t="str">
            <v/>
          </cell>
          <cell r="R652" t="e">
            <v>#N/A</v>
          </cell>
        </row>
        <row r="653">
          <cell r="A653">
            <v>40917</v>
          </cell>
          <cell r="B653">
            <v>40917</v>
          </cell>
          <cell r="C653" t="str">
            <v>Future</v>
          </cell>
          <cell r="D653" t="e">
            <v>#N/A</v>
          </cell>
          <cell r="E653">
            <v>9.1418918918918717</v>
          </cell>
          <cell r="F653">
            <v>15.493243243243304</v>
          </cell>
          <cell r="G653">
            <v>14.222972972972984</v>
          </cell>
          <cell r="H653">
            <v>14.222972972972984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14.52</v>
          </cell>
          <cell r="Q653" t="str">
            <v/>
          </cell>
          <cell r="R653" t="e">
            <v>#N/A</v>
          </cell>
        </row>
        <row r="654">
          <cell r="A654">
            <v>40918</v>
          </cell>
          <cell r="B654">
            <v>40918</v>
          </cell>
          <cell r="C654" t="str">
            <v>Future</v>
          </cell>
          <cell r="D654" t="e">
            <v>#N/A</v>
          </cell>
          <cell r="E654">
            <v>9.0864864864864661</v>
          </cell>
          <cell r="F654">
            <v>15.505405405405467</v>
          </cell>
          <cell r="G654">
            <v>14.221621621621633</v>
          </cell>
          <cell r="H654">
            <v>14.221621621621633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14.52</v>
          </cell>
          <cell r="Q654" t="str">
            <v/>
          </cell>
          <cell r="R654" t="e">
            <v>#N/A</v>
          </cell>
        </row>
        <row r="655">
          <cell r="A655">
            <v>40919</v>
          </cell>
          <cell r="B655">
            <v>40919</v>
          </cell>
          <cell r="C655" t="str">
            <v>Future</v>
          </cell>
          <cell r="D655" t="e">
            <v>#N/A</v>
          </cell>
          <cell r="E655">
            <v>9.0310810810810604</v>
          </cell>
          <cell r="F655">
            <v>15.51756756756763</v>
          </cell>
          <cell r="G655">
            <v>14.220270270270282</v>
          </cell>
          <cell r="H655">
            <v>14.220270270270282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14.52</v>
          </cell>
          <cell r="Q655" t="str">
            <v/>
          </cell>
          <cell r="R655" t="e">
            <v>#N/A</v>
          </cell>
        </row>
        <row r="656">
          <cell r="A656">
            <v>40920</v>
          </cell>
          <cell r="B656">
            <v>40920</v>
          </cell>
          <cell r="C656" t="str">
            <v>Future</v>
          </cell>
          <cell r="D656" t="e">
            <v>#N/A</v>
          </cell>
          <cell r="E656">
            <v>8.9756756756756548</v>
          </cell>
          <cell r="F656">
            <v>15.529729729729793</v>
          </cell>
          <cell r="G656">
            <v>14.218918918918931</v>
          </cell>
          <cell r="H656">
            <v>14.218918918918931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14.52</v>
          </cell>
          <cell r="Q656" t="str">
            <v/>
          </cell>
          <cell r="R656" t="e">
            <v>#N/A</v>
          </cell>
        </row>
        <row r="657">
          <cell r="A657">
            <v>40921</v>
          </cell>
          <cell r="B657">
            <v>40921</v>
          </cell>
          <cell r="C657" t="str">
            <v>Future</v>
          </cell>
          <cell r="D657" t="e">
            <v>#N/A</v>
          </cell>
          <cell r="E657">
            <v>8.9202702702702492</v>
          </cell>
          <cell r="F657">
            <v>15.541891891891956</v>
          </cell>
          <cell r="G657">
            <v>14.217567567567579</v>
          </cell>
          <cell r="H657">
            <v>14.217567567567579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14.52</v>
          </cell>
          <cell r="Q657" t="str">
            <v/>
          </cell>
          <cell r="R657" t="e">
            <v>#N/A</v>
          </cell>
        </row>
        <row r="658">
          <cell r="A658">
            <v>40924</v>
          </cell>
          <cell r="B658">
            <v>40924</v>
          </cell>
          <cell r="C658" t="str">
            <v>Future</v>
          </cell>
          <cell r="D658" t="e">
            <v>#N/A</v>
          </cell>
          <cell r="E658">
            <v>8.8648648648648436</v>
          </cell>
          <cell r="F658">
            <v>15.554054054054118</v>
          </cell>
          <cell r="G658">
            <v>14.216216216216228</v>
          </cell>
          <cell r="H658">
            <v>14.216216216216228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14.52</v>
          </cell>
          <cell r="Q658" t="str">
            <v/>
          </cell>
          <cell r="R658" t="e">
            <v>#N/A</v>
          </cell>
        </row>
        <row r="659">
          <cell r="A659">
            <v>40925</v>
          </cell>
          <cell r="B659">
            <v>40925</v>
          </cell>
          <cell r="C659" t="str">
            <v>Future</v>
          </cell>
          <cell r="D659" t="e">
            <v>#N/A</v>
          </cell>
          <cell r="E659">
            <v>8.809459459459438</v>
          </cell>
          <cell r="F659">
            <v>15.566216216216281</v>
          </cell>
          <cell r="G659">
            <v>14.214864864864877</v>
          </cell>
          <cell r="H659">
            <v>14.214864864864877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14.52</v>
          </cell>
          <cell r="Q659" t="str">
            <v/>
          </cell>
          <cell r="R659" t="e">
            <v>#N/A</v>
          </cell>
        </row>
        <row r="660">
          <cell r="A660">
            <v>40926</v>
          </cell>
          <cell r="B660">
            <v>40926</v>
          </cell>
          <cell r="C660" t="str">
            <v>Future</v>
          </cell>
          <cell r="D660" t="e">
            <v>#N/A</v>
          </cell>
          <cell r="E660">
            <v>8.7540540540540324</v>
          </cell>
          <cell r="F660">
            <v>15.578378378378444</v>
          </cell>
          <cell r="G660">
            <v>14.213513513513526</v>
          </cell>
          <cell r="H660">
            <v>14.213513513513526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14.52</v>
          </cell>
          <cell r="Q660" t="str">
            <v/>
          </cell>
          <cell r="R660" t="e">
            <v>#N/A</v>
          </cell>
        </row>
        <row r="661">
          <cell r="A661">
            <v>40927</v>
          </cell>
          <cell r="B661">
            <v>40927</v>
          </cell>
          <cell r="C661" t="str">
            <v>Future</v>
          </cell>
          <cell r="D661" t="e">
            <v>#N/A</v>
          </cell>
          <cell r="E661">
            <v>8.6986486486486267</v>
          </cell>
          <cell r="F661">
            <v>15.590540540540607</v>
          </cell>
          <cell r="G661">
            <v>14.212162162162175</v>
          </cell>
          <cell r="H661">
            <v>14.212162162162175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14.52</v>
          </cell>
          <cell r="Q661" t="str">
            <v/>
          </cell>
          <cell r="R661" t="e">
            <v>#N/A</v>
          </cell>
        </row>
        <row r="662">
          <cell r="A662">
            <v>40928</v>
          </cell>
          <cell r="B662">
            <v>40928</v>
          </cell>
          <cell r="C662" t="str">
            <v>Future</v>
          </cell>
          <cell r="D662" t="e">
            <v>#N/A</v>
          </cell>
          <cell r="E662">
            <v>8.6432432432432211</v>
          </cell>
          <cell r="F662">
            <v>15.60270270270277</v>
          </cell>
          <cell r="G662">
            <v>14.210810810810823</v>
          </cell>
          <cell r="H662">
            <v>14.210810810810823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14.52</v>
          </cell>
          <cell r="Q662" t="str">
            <v/>
          </cell>
          <cell r="R662" t="e">
            <v>#N/A</v>
          </cell>
        </row>
        <row r="663">
          <cell r="A663">
            <v>40931</v>
          </cell>
          <cell r="B663">
            <v>40931</v>
          </cell>
          <cell r="C663" t="str">
            <v>Future</v>
          </cell>
          <cell r="D663" t="e">
            <v>#N/A</v>
          </cell>
          <cell r="E663">
            <v>8.5878378378378155</v>
          </cell>
          <cell r="F663">
            <v>15.614864864864932</v>
          </cell>
          <cell r="G663">
            <v>14.209459459459472</v>
          </cell>
          <cell r="H663">
            <v>14.209459459459472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14.52</v>
          </cell>
          <cell r="Q663" t="str">
            <v/>
          </cell>
          <cell r="R663" t="e">
            <v>#N/A</v>
          </cell>
        </row>
        <row r="664">
          <cell r="A664">
            <v>40932</v>
          </cell>
          <cell r="B664">
            <v>40932</v>
          </cell>
          <cell r="C664" t="str">
            <v>Future</v>
          </cell>
          <cell r="D664" t="e">
            <v>#N/A</v>
          </cell>
          <cell r="E664">
            <v>8.5324324324324099</v>
          </cell>
          <cell r="F664">
            <v>15.627027027027095</v>
          </cell>
          <cell r="G664">
            <v>14.208108108108121</v>
          </cell>
          <cell r="H664">
            <v>14.208108108108121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14.52</v>
          </cell>
          <cell r="Q664" t="str">
            <v/>
          </cell>
          <cell r="R664" t="e">
            <v>#N/A</v>
          </cell>
        </row>
        <row r="665">
          <cell r="A665">
            <v>40933</v>
          </cell>
          <cell r="B665">
            <v>40933</v>
          </cell>
          <cell r="C665" t="str">
            <v>Future</v>
          </cell>
          <cell r="D665" t="e">
            <v>#N/A</v>
          </cell>
          <cell r="E665">
            <v>8.4770270270270043</v>
          </cell>
          <cell r="F665">
            <v>15.639189189189258</v>
          </cell>
          <cell r="G665">
            <v>14.20675675675677</v>
          </cell>
          <cell r="H665">
            <v>14.20675675675677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14.52</v>
          </cell>
          <cell r="Q665" t="str">
            <v/>
          </cell>
          <cell r="R665" t="e">
            <v>#N/A</v>
          </cell>
        </row>
        <row r="666">
          <cell r="A666">
            <v>40934</v>
          </cell>
          <cell r="B666">
            <v>40934</v>
          </cell>
          <cell r="C666" t="str">
            <v>Future</v>
          </cell>
          <cell r="D666" t="e">
            <v>#N/A</v>
          </cell>
          <cell r="E666">
            <v>8.4216216216215987</v>
          </cell>
          <cell r="F666">
            <v>15.651351351351421</v>
          </cell>
          <cell r="G666">
            <v>14.205405405405418</v>
          </cell>
          <cell r="H666">
            <v>14.205405405405418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14.52</v>
          </cell>
          <cell r="Q666" t="str">
            <v/>
          </cell>
          <cell r="R666" t="e">
            <v>#N/A</v>
          </cell>
        </row>
        <row r="667">
          <cell r="A667">
            <v>40935</v>
          </cell>
          <cell r="B667">
            <v>40935</v>
          </cell>
          <cell r="C667" t="str">
            <v>Future</v>
          </cell>
          <cell r="D667" t="e">
            <v>#N/A</v>
          </cell>
          <cell r="E667">
            <v>8.366216216216193</v>
          </cell>
          <cell r="F667">
            <v>15.663513513513584</v>
          </cell>
          <cell r="G667">
            <v>14.204054054054067</v>
          </cell>
          <cell r="H667">
            <v>14.204054054054067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14.52</v>
          </cell>
          <cell r="Q667" t="str">
            <v/>
          </cell>
          <cell r="R667" t="e">
            <v>#N/A</v>
          </cell>
        </row>
        <row r="668">
          <cell r="A668">
            <v>40938</v>
          </cell>
          <cell r="B668">
            <v>40938</v>
          </cell>
          <cell r="C668" t="str">
            <v>Future</v>
          </cell>
          <cell r="D668" t="e">
            <v>#N/A</v>
          </cell>
          <cell r="E668">
            <v>8.3108108108107874</v>
          </cell>
          <cell r="F668">
            <v>15.675675675675746</v>
          </cell>
          <cell r="G668">
            <v>14.202702702702716</v>
          </cell>
          <cell r="H668">
            <v>14.202702702702716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14.52</v>
          </cell>
          <cell r="Q668" t="str">
            <v/>
          </cell>
          <cell r="R668" t="e">
            <v>#N/A</v>
          </cell>
        </row>
        <row r="669">
          <cell r="A669">
            <v>40939</v>
          </cell>
          <cell r="B669">
            <v>40939</v>
          </cell>
          <cell r="C669" t="str">
            <v>Future</v>
          </cell>
          <cell r="D669" t="e">
            <v>#N/A</v>
          </cell>
          <cell r="E669">
            <v>8.2554054054053818</v>
          </cell>
          <cell r="F669">
            <v>15.687837837837909</v>
          </cell>
          <cell r="G669">
            <v>14.201351351351365</v>
          </cell>
          <cell r="H669">
            <v>14.201351351351365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14.52</v>
          </cell>
          <cell r="Q669" t="str">
            <v/>
          </cell>
          <cell r="R669" t="e">
            <v>#N/A</v>
          </cell>
        </row>
        <row r="670">
          <cell r="A670">
            <v>40940</v>
          </cell>
          <cell r="B670">
            <v>40940</v>
          </cell>
          <cell r="C670" t="str">
            <v>Future</v>
          </cell>
          <cell r="D670" t="e">
            <v>#N/A</v>
          </cell>
          <cell r="E670">
            <v>8.1999999999999762</v>
          </cell>
          <cell r="F670">
            <v>15.700000000000072</v>
          </cell>
          <cell r="G670">
            <v>14.200000000000014</v>
          </cell>
          <cell r="H670">
            <v>14.200000000000014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14.52</v>
          </cell>
          <cell r="Q670" t="str">
            <v/>
          </cell>
          <cell r="R670" t="e">
            <v>#N/A</v>
          </cell>
        </row>
        <row r="671">
          <cell r="A671">
            <v>40941</v>
          </cell>
          <cell r="B671">
            <v>40941</v>
          </cell>
          <cell r="C671" t="str">
            <v>Future</v>
          </cell>
          <cell r="D671" t="e">
            <v>#N/A</v>
          </cell>
          <cell r="E671">
            <v>8.1445945945945706</v>
          </cell>
          <cell r="F671">
            <v>15.712162162162235</v>
          </cell>
          <cell r="G671">
            <v>14.198648648648662</v>
          </cell>
          <cell r="H671">
            <v>14.198648648648662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14.52</v>
          </cell>
          <cell r="Q671" t="str">
            <v/>
          </cell>
          <cell r="R671" t="e">
            <v>#N/A</v>
          </cell>
        </row>
        <row r="672">
          <cell r="A672">
            <v>40942</v>
          </cell>
          <cell r="B672">
            <v>40942</v>
          </cell>
          <cell r="C672" t="str">
            <v>Future</v>
          </cell>
          <cell r="D672" t="e">
            <v>#N/A</v>
          </cell>
          <cell r="E672">
            <v>8.089189189189165</v>
          </cell>
          <cell r="F672">
            <v>15.724324324324398</v>
          </cell>
          <cell r="G672">
            <v>14.197297297297311</v>
          </cell>
          <cell r="H672">
            <v>14.197297297297311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14.52</v>
          </cell>
          <cell r="Q672" t="str">
            <v/>
          </cell>
          <cell r="R672" t="e">
            <v>#N/A</v>
          </cell>
        </row>
        <row r="673">
          <cell r="A673">
            <v>40945</v>
          </cell>
          <cell r="B673">
            <v>40945</v>
          </cell>
          <cell r="C673" t="str">
            <v>Future</v>
          </cell>
          <cell r="D673" t="e">
            <v>#N/A</v>
          </cell>
          <cell r="E673">
            <v>8.0337837837837593</v>
          </cell>
          <cell r="F673">
            <v>15.736486486486561</v>
          </cell>
          <cell r="G673">
            <v>14.19594594594596</v>
          </cell>
          <cell r="H673">
            <v>14.19594594594596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14.52</v>
          </cell>
          <cell r="Q673" t="str">
            <v/>
          </cell>
          <cell r="R673" t="e">
            <v>#N/A</v>
          </cell>
        </row>
        <row r="674">
          <cell r="A674">
            <v>40946</v>
          </cell>
          <cell r="B674">
            <v>40946</v>
          </cell>
          <cell r="C674" t="str">
            <v>Future</v>
          </cell>
          <cell r="D674" t="e">
            <v>#N/A</v>
          </cell>
          <cell r="E674">
            <v>7.9783783783783537</v>
          </cell>
          <cell r="F674">
            <v>15.748648648648723</v>
          </cell>
          <cell r="G674">
            <v>14.194594594594609</v>
          </cell>
          <cell r="H674">
            <v>14.194594594594609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14.52</v>
          </cell>
          <cell r="Q674" t="str">
            <v/>
          </cell>
          <cell r="R674" t="e">
            <v>#N/A</v>
          </cell>
        </row>
        <row r="675">
          <cell r="A675">
            <v>40947</v>
          </cell>
          <cell r="B675">
            <v>40947</v>
          </cell>
          <cell r="C675" t="str">
            <v>Future</v>
          </cell>
          <cell r="D675" t="e">
            <v>#N/A</v>
          </cell>
          <cell r="E675">
            <v>7.9229729729729481</v>
          </cell>
          <cell r="F675">
            <v>15.760810810810886</v>
          </cell>
          <cell r="G675">
            <v>14.193243243243257</v>
          </cell>
          <cell r="H675">
            <v>14.193243243243257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14.52</v>
          </cell>
          <cell r="Q675" t="str">
            <v/>
          </cell>
          <cell r="R675" t="e">
            <v>#N/A</v>
          </cell>
        </row>
        <row r="676">
          <cell r="A676">
            <v>40948</v>
          </cell>
          <cell r="B676">
            <v>40948</v>
          </cell>
          <cell r="C676" t="str">
            <v>Future</v>
          </cell>
          <cell r="D676" t="e">
            <v>#N/A</v>
          </cell>
          <cell r="E676">
            <v>7.8675675675675425</v>
          </cell>
          <cell r="F676">
            <v>15.772972972973049</v>
          </cell>
          <cell r="G676">
            <v>14.191891891891906</v>
          </cell>
          <cell r="H676">
            <v>14.191891891891906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14.52</v>
          </cell>
          <cell r="Q676" t="str">
            <v/>
          </cell>
          <cell r="R676" t="e">
            <v>#N/A</v>
          </cell>
        </row>
        <row r="677">
          <cell r="A677">
            <v>40949</v>
          </cell>
          <cell r="B677">
            <v>40949</v>
          </cell>
          <cell r="C677" t="str">
            <v>Future</v>
          </cell>
          <cell r="D677" t="e">
            <v>#N/A</v>
          </cell>
          <cell r="E677">
            <v>7.8121621621621369</v>
          </cell>
          <cell r="F677">
            <v>15.785135135135212</v>
          </cell>
          <cell r="G677">
            <v>14.190540540540555</v>
          </cell>
          <cell r="H677">
            <v>14.190540540540555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14.52</v>
          </cell>
          <cell r="Q677" t="str">
            <v/>
          </cell>
          <cell r="R677" t="e">
            <v>#N/A</v>
          </cell>
        </row>
        <row r="678">
          <cell r="A678">
            <v>40952</v>
          </cell>
          <cell r="B678">
            <v>40952</v>
          </cell>
          <cell r="C678" t="str">
            <v>Future</v>
          </cell>
          <cell r="D678" t="e">
            <v>#N/A</v>
          </cell>
          <cell r="E678">
            <v>7.7567567567567313</v>
          </cell>
          <cell r="F678">
            <v>15.797297297297375</v>
          </cell>
          <cell r="G678">
            <v>14.189189189189204</v>
          </cell>
          <cell r="H678">
            <v>14.189189189189204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14.52</v>
          </cell>
          <cell r="Q678" t="str">
            <v/>
          </cell>
          <cell r="R678" t="e">
            <v>#N/A</v>
          </cell>
        </row>
        <row r="679">
          <cell r="A679">
            <v>40953</v>
          </cell>
          <cell r="B679">
            <v>40953</v>
          </cell>
          <cell r="C679" t="str">
            <v>Future</v>
          </cell>
          <cell r="D679" t="e">
            <v>#N/A</v>
          </cell>
          <cell r="E679">
            <v>7.7013513513513256</v>
          </cell>
          <cell r="F679">
            <v>15.809459459459537</v>
          </cell>
          <cell r="G679">
            <v>14.187837837837852</v>
          </cell>
          <cell r="H679">
            <v>14.187837837837852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14.52</v>
          </cell>
          <cell r="Q679" t="str">
            <v/>
          </cell>
          <cell r="R679" t="e">
            <v>#N/A</v>
          </cell>
        </row>
        <row r="680">
          <cell r="A680">
            <v>40954</v>
          </cell>
          <cell r="B680">
            <v>40954</v>
          </cell>
          <cell r="C680" t="str">
            <v>Future</v>
          </cell>
          <cell r="D680" t="e">
            <v>#N/A</v>
          </cell>
          <cell r="E680">
            <v>7.64594594594592</v>
          </cell>
          <cell r="F680">
            <v>15.8216216216217</v>
          </cell>
          <cell r="G680">
            <v>14.186486486486501</v>
          </cell>
          <cell r="H680">
            <v>14.186486486486501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14.52</v>
          </cell>
          <cell r="Q680" t="str">
            <v/>
          </cell>
          <cell r="R680" t="e">
            <v>#N/A</v>
          </cell>
        </row>
        <row r="681">
          <cell r="A681">
            <v>40955</v>
          </cell>
          <cell r="B681">
            <v>40955</v>
          </cell>
          <cell r="C681" t="str">
            <v>Future</v>
          </cell>
          <cell r="D681" t="e">
            <v>#N/A</v>
          </cell>
          <cell r="E681">
            <v>7.5905405405405144</v>
          </cell>
          <cell r="F681">
            <v>15.833783783783863</v>
          </cell>
          <cell r="G681">
            <v>14.18513513513515</v>
          </cell>
          <cell r="H681">
            <v>14.18513513513515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14.52</v>
          </cell>
          <cell r="Q681" t="str">
            <v/>
          </cell>
          <cell r="R681" t="e">
            <v>#N/A</v>
          </cell>
        </row>
        <row r="682">
          <cell r="A682">
            <v>40956</v>
          </cell>
          <cell r="B682">
            <v>40956</v>
          </cell>
          <cell r="C682" t="str">
            <v>Future</v>
          </cell>
          <cell r="D682" t="e">
            <v>#N/A</v>
          </cell>
          <cell r="E682">
            <v>7.5351351351351088</v>
          </cell>
          <cell r="F682">
            <v>15.845945945946026</v>
          </cell>
          <cell r="G682">
            <v>14.183783783783799</v>
          </cell>
          <cell r="H682">
            <v>14.183783783783799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14.52</v>
          </cell>
          <cell r="Q682" t="str">
            <v/>
          </cell>
          <cell r="R682" t="e">
            <v>#N/A</v>
          </cell>
        </row>
        <row r="683">
          <cell r="A683">
            <v>40959</v>
          </cell>
          <cell r="B683">
            <v>40959</v>
          </cell>
          <cell r="C683" t="str">
            <v>Future</v>
          </cell>
          <cell r="D683" t="e">
            <v>#N/A</v>
          </cell>
          <cell r="E683">
            <v>7.4797297297297032</v>
          </cell>
          <cell r="F683">
            <v>15.858108108108189</v>
          </cell>
          <cell r="G683">
            <v>14.182432432432448</v>
          </cell>
          <cell r="H683">
            <v>14.182432432432448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14.52</v>
          </cell>
          <cell r="Q683" t="str">
            <v/>
          </cell>
          <cell r="R683" t="e">
            <v>#N/A</v>
          </cell>
        </row>
        <row r="684">
          <cell r="A684">
            <v>40960</v>
          </cell>
          <cell r="B684">
            <v>40960</v>
          </cell>
          <cell r="C684" t="str">
            <v>Future</v>
          </cell>
          <cell r="D684" t="e">
            <v>#N/A</v>
          </cell>
          <cell r="E684">
            <v>7.4243243243242976</v>
          </cell>
          <cell r="F684">
            <v>15.870270270270352</v>
          </cell>
          <cell r="G684">
            <v>14.181081081081096</v>
          </cell>
          <cell r="H684">
            <v>14.181081081081096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14.52</v>
          </cell>
          <cell r="Q684" t="str">
            <v/>
          </cell>
          <cell r="R684" t="e">
            <v>#N/A</v>
          </cell>
        </row>
        <row r="685">
          <cell r="A685">
            <v>40961</v>
          </cell>
          <cell r="B685">
            <v>40961</v>
          </cell>
          <cell r="C685" t="str">
            <v>Future</v>
          </cell>
          <cell r="D685" t="e">
            <v>#N/A</v>
          </cell>
          <cell r="E685">
            <v>7.3689189189188919</v>
          </cell>
          <cell r="F685">
            <v>15.882432432432514</v>
          </cell>
          <cell r="G685">
            <v>14.179729729729745</v>
          </cell>
          <cell r="H685">
            <v>14.179729729729745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14.52</v>
          </cell>
          <cell r="Q685" t="str">
            <v/>
          </cell>
          <cell r="R685" t="e">
            <v>#N/A</v>
          </cell>
        </row>
        <row r="686">
          <cell r="A686">
            <v>40962</v>
          </cell>
          <cell r="B686">
            <v>40962</v>
          </cell>
          <cell r="C686" t="str">
            <v>Future</v>
          </cell>
          <cell r="D686" t="e">
            <v>#N/A</v>
          </cell>
          <cell r="E686">
            <v>7.3135135135134863</v>
          </cell>
          <cell r="F686">
            <v>15.894594594594677</v>
          </cell>
          <cell r="G686">
            <v>14.178378378378394</v>
          </cell>
          <cell r="H686">
            <v>14.178378378378394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14.52</v>
          </cell>
          <cell r="Q686" t="str">
            <v/>
          </cell>
          <cell r="R686" t="e">
            <v>#N/A</v>
          </cell>
        </row>
        <row r="687">
          <cell r="A687">
            <v>40963</v>
          </cell>
          <cell r="B687">
            <v>40963</v>
          </cell>
          <cell r="C687" t="str">
            <v>Future</v>
          </cell>
          <cell r="D687" t="e">
            <v>#N/A</v>
          </cell>
          <cell r="E687">
            <v>7.2581081081080807</v>
          </cell>
          <cell r="F687">
            <v>15.90675675675684</v>
          </cell>
          <cell r="G687">
            <v>14.177027027027043</v>
          </cell>
          <cell r="H687">
            <v>14.177027027027043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14.52</v>
          </cell>
          <cell r="Q687" t="str">
            <v/>
          </cell>
          <cell r="R687" t="e">
            <v>#N/A</v>
          </cell>
        </row>
        <row r="688">
          <cell r="A688">
            <v>40966</v>
          </cell>
          <cell r="B688">
            <v>40966</v>
          </cell>
          <cell r="C688" t="str">
            <v>Future</v>
          </cell>
          <cell r="D688" t="e">
            <v>#N/A</v>
          </cell>
          <cell r="E688">
            <v>7.2027027027026751</v>
          </cell>
          <cell r="F688">
            <v>15.918918918919003</v>
          </cell>
          <cell r="G688">
            <v>14.175675675675691</v>
          </cell>
          <cell r="H688">
            <v>14.175675675675691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14.52</v>
          </cell>
          <cell r="Q688" t="str">
            <v/>
          </cell>
          <cell r="R688" t="e">
            <v>#N/A</v>
          </cell>
        </row>
        <row r="689">
          <cell r="A689">
            <v>40967</v>
          </cell>
          <cell r="B689">
            <v>40967</v>
          </cell>
          <cell r="C689" t="str">
            <v>Future</v>
          </cell>
          <cell r="D689" t="e">
            <v>#N/A</v>
          </cell>
          <cell r="E689">
            <v>7.1472972972972695</v>
          </cell>
          <cell r="F689">
            <v>15.931081081081166</v>
          </cell>
          <cell r="G689">
            <v>14.17432432432434</v>
          </cell>
          <cell r="H689">
            <v>14.17432432432434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14.52</v>
          </cell>
          <cell r="Q689" t="str">
            <v/>
          </cell>
          <cell r="R689" t="e">
            <v>#N/A</v>
          </cell>
        </row>
        <row r="690">
          <cell r="A690">
            <v>40968</v>
          </cell>
          <cell r="B690">
            <v>40968</v>
          </cell>
          <cell r="C690" t="str">
            <v>Future</v>
          </cell>
          <cell r="D690" t="e">
            <v>#N/A</v>
          </cell>
          <cell r="E690">
            <v>7.0918918918918639</v>
          </cell>
          <cell r="F690">
            <v>15.943243243243328</v>
          </cell>
          <cell r="G690">
            <v>14.172972972972989</v>
          </cell>
          <cell r="H690">
            <v>14.172972972972989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14.52</v>
          </cell>
          <cell r="Q690" t="str">
            <v/>
          </cell>
          <cell r="R690" t="e">
            <v>#N/A</v>
          </cell>
        </row>
        <row r="691">
          <cell r="A691">
            <v>40969</v>
          </cell>
          <cell r="B691">
            <v>40969</v>
          </cell>
          <cell r="C691" t="str">
            <v>Future</v>
          </cell>
          <cell r="D691" t="e">
            <v>#N/A</v>
          </cell>
          <cell r="E691">
            <v>7.0364864864864582</v>
          </cell>
          <cell r="F691">
            <v>15.955405405405491</v>
          </cell>
          <cell r="G691">
            <v>14.171621621621638</v>
          </cell>
          <cell r="H691">
            <v>14.171621621621638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14.52</v>
          </cell>
          <cell r="Q691" t="str">
            <v/>
          </cell>
          <cell r="R691" t="e">
            <v>#N/A</v>
          </cell>
        </row>
        <row r="692">
          <cell r="A692">
            <v>40970</v>
          </cell>
          <cell r="B692">
            <v>40970</v>
          </cell>
          <cell r="C692" t="str">
            <v>Future</v>
          </cell>
          <cell r="D692" t="e">
            <v>#N/A</v>
          </cell>
          <cell r="E692">
            <v>6.9810810810810526</v>
          </cell>
          <cell r="F692">
            <v>15.967567567567654</v>
          </cell>
          <cell r="G692">
            <v>14.170270270270287</v>
          </cell>
          <cell r="H692">
            <v>14.170270270270287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14.52</v>
          </cell>
          <cell r="Q692" t="str">
            <v/>
          </cell>
          <cell r="R692" t="e">
            <v>#N/A</v>
          </cell>
        </row>
        <row r="693">
          <cell r="A693">
            <v>40973</v>
          </cell>
          <cell r="B693">
            <v>40973</v>
          </cell>
          <cell r="C693" t="str">
            <v>Future</v>
          </cell>
          <cell r="D693" t="e">
            <v>#N/A</v>
          </cell>
          <cell r="E693">
            <v>6.925675675675647</v>
          </cell>
          <cell r="F693">
            <v>15.979729729729817</v>
          </cell>
          <cell r="G693">
            <v>14.168918918918935</v>
          </cell>
          <cell r="H693">
            <v>14.168918918918935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14.52</v>
          </cell>
          <cell r="Q693" t="str">
            <v/>
          </cell>
          <cell r="R693" t="e">
            <v>#N/A</v>
          </cell>
        </row>
        <row r="694">
          <cell r="A694">
            <v>40974</v>
          </cell>
          <cell r="B694">
            <v>40974</v>
          </cell>
          <cell r="C694" t="str">
            <v>Future</v>
          </cell>
          <cell r="D694" t="e">
            <v>#N/A</v>
          </cell>
          <cell r="E694">
            <v>6.8702702702702414</v>
          </cell>
          <cell r="F694">
            <v>15.99189189189198</v>
          </cell>
          <cell r="G694">
            <v>14.167567567567584</v>
          </cell>
          <cell r="H694">
            <v>14.167567567567584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14.52</v>
          </cell>
          <cell r="Q694" t="str">
            <v/>
          </cell>
          <cell r="R694" t="e">
            <v>#N/A</v>
          </cell>
        </row>
        <row r="695">
          <cell r="A695">
            <v>40975</v>
          </cell>
          <cell r="B695">
            <v>40975</v>
          </cell>
          <cell r="C695" t="str">
            <v>Future</v>
          </cell>
          <cell r="D695" t="e">
            <v>#N/A</v>
          </cell>
          <cell r="E695">
            <v>6.8148648648648358</v>
          </cell>
          <cell r="F695">
            <v>16.004054054054141</v>
          </cell>
          <cell r="G695">
            <v>14.166216216216233</v>
          </cell>
          <cell r="H695">
            <v>14.166216216216233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14.52</v>
          </cell>
          <cell r="Q695" t="str">
            <v/>
          </cell>
          <cell r="R695" t="e">
            <v>#N/A</v>
          </cell>
        </row>
        <row r="696">
          <cell r="A696">
            <v>40976</v>
          </cell>
          <cell r="B696">
            <v>40976</v>
          </cell>
          <cell r="C696" t="str">
            <v>Future</v>
          </cell>
          <cell r="D696" t="e">
            <v>#N/A</v>
          </cell>
          <cell r="E696">
            <v>6.7594594594594302</v>
          </cell>
          <cell r="F696">
            <v>16.016216216216304</v>
          </cell>
          <cell r="G696">
            <v>14.164864864864882</v>
          </cell>
          <cell r="H696">
            <v>14.164864864864882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14.52</v>
          </cell>
          <cell r="Q696" t="str">
            <v/>
          </cell>
          <cell r="R696" t="e">
            <v>#N/A</v>
          </cell>
        </row>
        <row r="697">
          <cell r="A697">
            <v>40977</v>
          </cell>
          <cell r="B697">
            <v>40977</v>
          </cell>
          <cell r="C697" t="str">
            <v>Future</v>
          </cell>
          <cell r="D697" t="e">
            <v>#N/A</v>
          </cell>
          <cell r="E697">
            <v>6.7040540540540245</v>
          </cell>
          <cell r="F697">
            <v>16.028378378378466</v>
          </cell>
          <cell r="G697">
            <v>14.16351351351353</v>
          </cell>
          <cell r="H697">
            <v>14.16351351351353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14.52</v>
          </cell>
          <cell r="Q697" t="str">
            <v/>
          </cell>
          <cell r="R697" t="e">
            <v>#N/A</v>
          </cell>
        </row>
        <row r="698">
          <cell r="A698">
            <v>40980</v>
          </cell>
          <cell r="B698">
            <v>40980</v>
          </cell>
          <cell r="C698" t="str">
            <v>Future</v>
          </cell>
          <cell r="D698" t="e">
            <v>#N/A</v>
          </cell>
          <cell r="E698">
            <v>6.6486486486486189</v>
          </cell>
          <cell r="F698">
            <v>16.040540540540629</v>
          </cell>
          <cell r="G698">
            <v>14.162162162162179</v>
          </cell>
          <cell r="H698">
            <v>14.162162162162179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14.52</v>
          </cell>
          <cell r="Q698" t="str">
            <v/>
          </cell>
          <cell r="R698" t="e">
            <v>#N/A</v>
          </cell>
        </row>
        <row r="699">
          <cell r="A699">
            <v>40981</v>
          </cell>
          <cell r="B699">
            <v>40981</v>
          </cell>
          <cell r="C699" t="str">
            <v>Future</v>
          </cell>
          <cell r="D699" t="e">
            <v>#N/A</v>
          </cell>
          <cell r="E699">
            <v>6.5932432432432133</v>
          </cell>
          <cell r="F699">
            <v>16.052702702702792</v>
          </cell>
          <cell r="G699">
            <v>14.160810810810828</v>
          </cell>
          <cell r="H699">
            <v>14.160810810810828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14.52</v>
          </cell>
          <cell r="Q699" t="str">
            <v/>
          </cell>
          <cell r="R699" t="e">
            <v>#N/A</v>
          </cell>
        </row>
        <row r="700">
          <cell r="A700">
            <v>40982</v>
          </cell>
          <cell r="B700">
            <v>40982</v>
          </cell>
          <cell r="C700" t="str">
            <v>Future</v>
          </cell>
          <cell r="D700" t="e">
            <v>#N/A</v>
          </cell>
          <cell r="E700">
            <v>6.5378378378378077</v>
          </cell>
          <cell r="F700">
            <v>16.064864864864955</v>
          </cell>
          <cell r="G700">
            <v>14.159459459459477</v>
          </cell>
          <cell r="H700">
            <v>14.159459459459477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14.52</v>
          </cell>
          <cell r="Q700" t="str">
            <v/>
          </cell>
          <cell r="R700" t="e">
            <v>#N/A</v>
          </cell>
        </row>
        <row r="701">
          <cell r="A701">
            <v>40983</v>
          </cell>
          <cell r="B701">
            <v>40983</v>
          </cell>
          <cell r="C701" t="str">
            <v>Future</v>
          </cell>
          <cell r="D701" t="e">
            <v>#N/A</v>
          </cell>
          <cell r="E701">
            <v>6.4824324324324021</v>
          </cell>
          <cell r="F701">
            <v>16.077027027027118</v>
          </cell>
          <cell r="G701">
            <v>14.158108108108125</v>
          </cell>
          <cell r="H701">
            <v>14.158108108108125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14.52</v>
          </cell>
          <cell r="Q701" t="str">
            <v/>
          </cell>
          <cell r="R701" t="e">
            <v>#N/A</v>
          </cell>
        </row>
        <row r="702">
          <cell r="A702">
            <v>40984</v>
          </cell>
          <cell r="B702">
            <v>40984</v>
          </cell>
          <cell r="C702" t="str">
            <v>Future</v>
          </cell>
          <cell r="D702" t="e">
            <v>#N/A</v>
          </cell>
          <cell r="E702">
            <v>6.4270270270269965</v>
          </cell>
          <cell r="F702">
            <v>16.08918918918928</v>
          </cell>
          <cell r="G702">
            <v>14.156756756756774</v>
          </cell>
          <cell r="H702">
            <v>14.156756756756774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14.52</v>
          </cell>
          <cell r="Q702" t="str">
            <v/>
          </cell>
          <cell r="R702" t="e">
            <v>#N/A</v>
          </cell>
        </row>
        <row r="703">
          <cell r="A703">
            <v>40987</v>
          </cell>
          <cell r="B703">
            <v>40987</v>
          </cell>
          <cell r="C703" t="str">
            <v>Future</v>
          </cell>
          <cell r="D703" t="e">
            <v>#N/A</v>
          </cell>
          <cell r="E703">
            <v>6.3716216216215908</v>
          </cell>
          <cell r="F703">
            <v>16.101351351351443</v>
          </cell>
          <cell r="G703">
            <v>14.155405405405423</v>
          </cell>
          <cell r="H703">
            <v>14.155405405405423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14.52</v>
          </cell>
          <cell r="Q703" t="str">
            <v/>
          </cell>
          <cell r="R703" t="e">
            <v>#N/A</v>
          </cell>
        </row>
        <row r="704">
          <cell r="A704">
            <v>40988</v>
          </cell>
          <cell r="B704">
            <v>40988</v>
          </cell>
          <cell r="C704" t="str">
            <v>Future</v>
          </cell>
          <cell r="D704" t="e">
            <v>#N/A</v>
          </cell>
          <cell r="E704">
            <v>6.3162162162161852</v>
          </cell>
          <cell r="F704">
            <v>16.113513513513606</v>
          </cell>
          <cell r="G704">
            <v>14.154054054054072</v>
          </cell>
          <cell r="H704">
            <v>14.154054054054072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14.52</v>
          </cell>
          <cell r="Q704" t="str">
            <v/>
          </cell>
          <cell r="R704" t="e">
            <v>#N/A</v>
          </cell>
        </row>
        <row r="705">
          <cell r="A705">
            <v>40989</v>
          </cell>
          <cell r="B705">
            <v>40989</v>
          </cell>
          <cell r="C705" t="str">
            <v>Future</v>
          </cell>
          <cell r="D705" t="e">
            <v>#N/A</v>
          </cell>
          <cell r="E705">
            <v>6.2608108108107796</v>
          </cell>
          <cell r="F705">
            <v>16.125675675675769</v>
          </cell>
          <cell r="G705">
            <v>14.152702702702721</v>
          </cell>
          <cell r="H705">
            <v>14.152702702702721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14.52</v>
          </cell>
          <cell r="Q705" t="str">
            <v/>
          </cell>
          <cell r="R705" t="e">
            <v>#N/A</v>
          </cell>
        </row>
        <row r="706">
          <cell r="A706">
            <v>40990</v>
          </cell>
          <cell r="B706">
            <v>40990</v>
          </cell>
          <cell r="C706" t="str">
            <v>Future</v>
          </cell>
          <cell r="D706" t="e">
            <v>#N/A</v>
          </cell>
          <cell r="E706">
            <v>6.205405405405374</v>
          </cell>
          <cell r="F706">
            <v>16.137837837837932</v>
          </cell>
          <cell r="G706">
            <v>14.151351351351369</v>
          </cell>
          <cell r="H706">
            <v>14.151351351351369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14.52</v>
          </cell>
          <cell r="Q706" t="str">
            <v/>
          </cell>
          <cell r="R706" t="e">
            <v>#N/A</v>
          </cell>
        </row>
        <row r="707">
          <cell r="A707">
            <v>40991</v>
          </cell>
          <cell r="B707">
            <v>40991</v>
          </cell>
          <cell r="C707" t="str">
            <v>Future</v>
          </cell>
          <cell r="D707" t="e">
            <v>#N/A</v>
          </cell>
          <cell r="E707">
            <v>6.1499999999999684</v>
          </cell>
          <cell r="F707">
            <v>16.150000000000095</v>
          </cell>
          <cell r="G707">
            <v>14.150000000000018</v>
          </cell>
          <cell r="H707">
            <v>14.150000000000018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14.52</v>
          </cell>
          <cell r="Q707" t="str">
            <v/>
          </cell>
          <cell r="R707" t="e">
            <v>#N/A</v>
          </cell>
        </row>
        <row r="708">
          <cell r="A708">
            <v>40994</v>
          </cell>
          <cell r="B708">
            <v>40994</v>
          </cell>
          <cell r="C708" t="str">
            <v>Future</v>
          </cell>
          <cell r="D708" t="e">
            <v>#N/A</v>
          </cell>
          <cell r="E708">
            <v>6.0945945945945628</v>
          </cell>
          <cell r="F708">
            <v>16.162162162162257</v>
          </cell>
          <cell r="G708">
            <v>14.148648648648667</v>
          </cell>
          <cell r="H708">
            <v>14.148648648648667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14.52</v>
          </cell>
          <cell r="Q708" t="str">
            <v/>
          </cell>
          <cell r="R708" t="e">
            <v>#N/A</v>
          </cell>
        </row>
        <row r="709">
          <cell r="A709">
            <v>40995</v>
          </cell>
          <cell r="B709">
            <v>40995</v>
          </cell>
          <cell r="C709" t="str">
            <v>Future</v>
          </cell>
          <cell r="D709" t="e">
            <v>#N/A</v>
          </cell>
          <cell r="E709">
            <v>6.0391891891891571</v>
          </cell>
          <cell r="F709">
            <v>16.17432432432442</v>
          </cell>
          <cell r="G709">
            <v>14.147297297297316</v>
          </cell>
          <cell r="H709">
            <v>14.147297297297316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14.52</v>
          </cell>
          <cell r="Q709" t="str">
            <v/>
          </cell>
          <cell r="R709" t="e">
            <v>#N/A</v>
          </cell>
        </row>
        <row r="710">
          <cell r="A710">
            <v>40996</v>
          </cell>
          <cell r="B710">
            <v>40996</v>
          </cell>
          <cell r="C710" t="str">
            <v>Future</v>
          </cell>
          <cell r="D710" t="e">
            <v>#N/A</v>
          </cell>
          <cell r="E710">
            <v>5.9837837837837515</v>
          </cell>
          <cell r="F710">
            <v>16.186486486486583</v>
          </cell>
          <cell r="G710">
            <v>14.145945945945964</v>
          </cell>
          <cell r="H710">
            <v>14.145945945945964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14.52</v>
          </cell>
          <cell r="Q710" t="str">
            <v/>
          </cell>
          <cell r="R710" t="e">
            <v>#N/A</v>
          </cell>
        </row>
        <row r="711">
          <cell r="A711">
            <v>40997</v>
          </cell>
          <cell r="B711">
            <v>40997</v>
          </cell>
          <cell r="C711" t="str">
            <v>Future</v>
          </cell>
          <cell r="D711" t="e">
            <v>#N/A</v>
          </cell>
          <cell r="E711">
            <v>5.9283783783783459</v>
          </cell>
          <cell r="F711">
            <v>16.198648648648746</v>
          </cell>
          <cell r="G711">
            <v>14.144594594594613</v>
          </cell>
          <cell r="H711">
            <v>14.144594594594613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14.52</v>
          </cell>
          <cell r="Q711" t="str">
            <v/>
          </cell>
          <cell r="R711" t="e">
            <v>#N/A</v>
          </cell>
        </row>
        <row r="712">
          <cell r="A712">
            <v>40998</v>
          </cell>
          <cell r="B712">
            <v>40998</v>
          </cell>
          <cell r="C712" t="str">
            <v>Future</v>
          </cell>
          <cell r="D712" t="e">
            <v>#N/A</v>
          </cell>
          <cell r="E712">
            <v>5.8729729729729403</v>
          </cell>
          <cell r="F712">
            <v>16.210810810810909</v>
          </cell>
          <cell r="G712">
            <v>14.143243243243262</v>
          </cell>
          <cell r="H712">
            <v>14.143243243243262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14.52</v>
          </cell>
          <cell r="Q712" t="str">
            <v/>
          </cell>
          <cell r="R712" t="e">
            <v>#N/A</v>
          </cell>
        </row>
        <row r="713">
          <cell r="A713">
            <v>41001</v>
          </cell>
          <cell r="B713">
            <v>41001</v>
          </cell>
          <cell r="C713" t="str">
            <v>Future</v>
          </cell>
          <cell r="D713" t="e">
            <v>#N/A</v>
          </cell>
          <cell r="E713">
            <v>5.8175675675675347</v>
          </cell>
          <cell r="F713">
            <v>16.222972972973071</v>
          </cell>
          <cell r="G713">
            <v>14.141891891891911</v>
          </cell>
          <cell r="H713">
            <v>14.141891891891911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14.52</v>
          </cell>
          <cell r="Q713" t="str">
            <v/>
          </cell>
          <cell r="R713" t="e">
            <v>#N/A</v>
          </cell>
        </row>
        <row r="714">
          <cell r="A714">
            <v>41002</v>
          </cell>
          <cell r="B714">
            <v>41002</v>
          </cell>
          <cell r="C714" t="str">
            <v>Future</v>
          </cell>
          <cell r="D714" t="e">
            <v>#N/A</v>
          </cell>
          <cell r="E714">
            <v>5.7621621621621291</v>
          </cell>
          <cell r="F714">
            <v>16.235135135135234</v>
          </cell>
          <cell r="G714">
            <v>14.14054054054056</v>
          </cell>
          <cell r="H714">
            <v>14.14054054054056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14.52</v>
          </cell>
          <cell r="Q714" t="str">
            <v/>
          </cell>
          <cell r="R714" t="e">
            <v>#N/A</v>
          </cell>
        </row>
        <row r="715">
          <cell r="A715">
            <v>41003</v>
          </cell>
          <cell r="B715">
            <v>41003</v>
          </cell>
          <cell r="C715" t="str">
            <v>Future</v>
          </cell>
          <cell r="D715" t="e">
            <v>#N/A</v>
          </cell>
          <cell r="E715">
            <v>5.7067567567567234</v>
          </cell>
          <cell r="F715">
            <v>16.247297297297397</v>
          </cell>
          <cell r="G715">
            <v>14.139189189189208</v>
          </cell>
          <cell r="H715">
            <v>14.139189189189208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14.52</v>
          </cell>
          <cell r="Q715" t="str">
            <v/>
          </cell>
          <cell r="R715" t="e">
            <v>#N/A</v>
          </cell>
        </row>
        <row r="716">
          <cell r="A716">
            <v>41004</v>
          </cell>
          <cell r="B716">
            <v>41004</v>
          </cell>
          <cell r="C716" t="str">
            <v>Future</v>
          </cell>
          <cell r="D716" t="e">
            <v>#N/A</v>
          </cell>
          <cell r="E716">
            <v>5.6513513513513178</v>
          </cell>
          <cell r="F716">
            <v>16.25945945945956</v>
          </cell>
          <cell r="G716">
            <v>14.137837837837857</v>
          </cell>
          <cell r="H716">
            <v>14.137837837837857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14.52</v>
          </cell>
          <cell r="Q716" t="str">
            <v/>
          </cell>
          <cell r="R716" t="e">
            <v>#N/A</v>
          </cell>
        </row>
        <row r="717">
          <cell r="A717">
            <v>41005</v>
          </cell>
          <cell r="B717">
            <v>41005</v>
          </cell>
          <cell r="C717" t="str">
            <v>Future</v>
          </cell>
          <cell r="D717" t="e">
            <v>#N/A</v>
          </cell>
          <cell r="E717">
            <v>5.5959459459459122</v>
          </cell>
          <cell r="F717">
            <v>16.271621621621723</v>
          </cell>
          <cell r="G717">
            <v>14.136486486486506</v>
          </cell>
          <cell r="H717">
            <v>14.136486486486506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14.52</v>
          </cell>
          <cell r="Q717" t="str">
            <v/>
          </cell>
          <cell r="R717" t="e">
            <v>#N/A</v>
          </cell>
        </row>
        <row r="718">
          <cell r="A718">
            <v>41008</v>
          </cell>
          <cell r="B718">
            <v>41008</v>
          </cell>
          <cell r="C718" t="str">
            <v>Future</v>
          </cell>
          <cell r="D718" t="e">
            <v>#N/A</v>
          </cell>
          <cell r="E718">
            <v>5.5405405405405066</v>
          </cell>
          <cell r="F718">
            <v>16.283783783783885</v>
          </cell>
          <cell r="G718">
            <v>14.135135135135155</v>
          </cell>
          <cell r="H718">
            <v>14.135135135135155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14.52</v>
          </cell>
          <cell r="Q718" t="str">
            <v/>
          </cell>
          <cell r="R718" t="e">
            <v>#N/A</v>
          </cell>
        </row>
        <row r="719">
          <cell r="A719">
            <v>41009</v>
          </cell>
          <cell r="B719">
            <v>41009</v>
          </cell>
          <cell r="C719" t="str">
            <v>Future</v>
          </cell>
          <cell r="D719" t="e">
            <v>#N/A</v>
          </cell>
          <cell r="E719">
            <v>5.485135135135101</v>
          </cell>
          <cell r="F719">
            <v>16.295945945946048</v>
          </cell>
          <cell r="G719">
            <v>14.133783783783803</v>
          </cell>
          <cell r="H719">
            <v>14.133783783783803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14.52</v>
          </cell>
          <cell r="Q719" t="str">
            <v/>
          </cell>
          <cell r="R719" t="e">
            <v>#N/A</v>
          </cell>
        </row>
        <row r="720">
          <cell r="A720">
            <v>41010</v>
          </cell>
          <cell r="B720">
            <v>41010</v>
          </cell>
          <cell r="C720" t="str">
            <v>Future</v>
          </cell>
          <cell r="D720" t="e">
            <v>#N/A</v>
          </cell>
          <cell r="E720">
            <v>5.4297297297296954</v>
          </cell>
          <cell r="F720">
            <v>16.308108108108211</v>
          </cell>
          <cell r="G720">
            <v>14.132432432432452</v>
          </cell>
          <cell r="H720">
            <v>14.132432432432452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14.52</v>
          </cell>
          <cell r="Q720" t="str">
            <v/>
          </cell>
          <cell r="R720" t="e">
            <v>#N/A</v>
          </cell>
        </row>
        <row r="721">
          <cell r="A721">
            <v>41011</v>
          </cell>
          <cell r="B721">
            <v>41011</v>
          </cell>
          <cell r="C721" t="str">
            <v>Future</v>
          </cell>
          <cell r="D721" t="e">
            <v>#N/A</v>
          </cell>
          <cell r="E721">
            <v>5.3743243243242897</v>
          </cell>
          <cell r="F721">
            <v>16.320270270270374</v>
          </cell>
          <cell r="G721">
            <v>14.131081081081101</v>
          </cell>
          <cell r="H721">
            <v>14.131081081081101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14.52</v>
          </cell>
          <cell r="Q721" t="str">
            <v/>
          </cell>
          <cell r="R721" t="e">
            <v>#N/A</v>
          </cell>
        </row>
        <row r="722">
          <cell r="A722">
            <v>41012</v>
          </cell>
          <cell r="B722">
            <v>41012</v>
          </cell>
          <cell r="C722" t="str">
            <v>Future</v>
          </cell>
          <cell r="D722" t="e">
            <v>#N/A</v>
          </cell>
          <cell r="E722">
            <v>5.3189189189188841</v>
          </cell>
          <cell r="F722">
            <v>16.332432432432537</v>
          </cell>
          <cell r="G722">
            <v>14.12972972972975</v>
          </cell>
          <cell r="H722">
            <v>14.12972972972975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14.52</v>
          </cell>
          <cell r="Q722" t="str">
            <v/>
          </cell>
          <cell r="R722" t="e">
            <v>#N/A</v>
          </cell>
        </row>
        <row r="723">
          <cell r="A723">
            <v>41015</v>
          </cell>
          <cell r="B723">
            <v>41015</v>
          </cell>
          <cell r="C723" t="str">
            <v>Future</v>
          </cell>
          <cell r="D723" t="e">
            <v>#N/A</v>
          </cell>
          <cell r="E723">
            <v>5.2635135135134785</v>
          </cell>
          <cell r="F723">
            <v>16.3445945945947</v>
          </cell>
          <cell r="G723">
            <v>14.128378378378398</v>
          </cell>
          <cell r="H723">
            <v>14.128378378378398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14.52</v>
          </cell>
          <cell r="Q723" t="str">
            <v/>
          </cell>
          <cell r="R723" t="e">
            <v>#N/A</v>
          </cell>
        </row>
        <row r="724">
          <cell r="A724">
            <v>41016</v>
          </cell>
          <cell r="B724">
            <v>41016</v>
          </cell>
          <cell r="C724" t="str">
            <v>Future</v>
          </cell>
          <cell r="D724" t="e">
            <v>#N/A</v>
          </cell>
          <cell r="E724">
            <v>5.2081081081080729</v>
          </cell>
          <cell r="F724">
            <v>16.356756756756862</v>
          </cell>
          <cell r="G724">
            <v>14.127027027027047</v>
          </cell>
          <cell r="H724">
            <v>14.127027027027047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14.52</v>
          </cell>
          <cell r="Q724" t="str">
            <v/>
          </cell>
          <cell r="R724" t="e">
            <v>#N/A</v>
          </cell>
        </row>
        <row r="725">
          <cell r="A725">
            <v>41017</v>
          </cell>
          <cell r="B725">
            <v>41017</v>
          </cell>
          <cell r="C725" t="str">
            <v>Future</v>
          </cell>
          <cell r="D725" t="e">
            <v>#N/A</v>
          </cell>
          <cell r="E725">
            <v>5.1527027027026673</v>
          </cell>
          <cell r="F725">
            <v>16.368918918919025</v>
          </cell>
          <cell r="G725">
            <v>14.125675675675696</v>
          </cell>
          <cell r="H725">
            <v>14.125675675675696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14.52</v>
          </cell>
          <cell r="Q725" t="str">
            <v/>
          </cell>
          <cell r="R725" t="e">
            <v>#N/A</v>
          </cell>
        </row>
        <row r="726">
          <cell r="A726">
            <v>41018</v>
          </cell>
          <cell r="B726">
            <v>41018</v>
          </cell>
          <cell r="C726" t="str">
            <v>Future</v>
          </cell>
          <cell r="D726" t="e">
            <v>#N/A</v>
          </cell>
          <cell r="E726">
            <v>5.0972972972972617</v>
          </cell>
          <cell r="F726">
            <v>16.381081081081188</v>
          </cell>
          <cell r="G726">
            <v>14.124324324324345</v>
          </cell>
          <cell r="H726">
            <v>14.124324324324345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14.52</v>
          </cell>
          <cell r="Q726" t="str">
            <v/>
          </cell>
          <cell r="R726" t="e">
            <v>#N/A</v>
          </cell>
        </row>
        <row r="727">
          <cell r="A727">
            <v>41019</v>
          </cell>
          <cell r="B727">
            <v>41019</v>
          </cell>
          <cell r="C727" t="str">
            <v>Future</v>
          </cell>
          <cell r="D727" t="e">
            <v>#N/A</v>
          </cell>
          <cell r="E727">
            <v>5.041891891891856</v>
          </cell>
          <cell r="F727">
            <v>16.393243243243351</v>
          </cell>
          <cell r="G727">
            <v>14.122972972972994</v>
          </cell>
          <cell r="H727">
            <v>14.122972972972994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14.52</v>
          </cell>
          <cell r="Q727" t="str">
            <v/>
          </cell>
          <cell r="R727" t="e">
            <v>#N/A</v>
          </cell>
        </row>
        <row r="728">
          <cell r="A728">
            <v>41022</v>
          </cell>
          <cell r="B728">
            <v>41022</v>
          </cell>
          <cell r="C728" t="str">
            <v>Future</v>
          </cell>
          <cell r="D728" t="e">
            <v>#N/A</v>
          </cell>
          <cell r="E728">
            <v>4.9864864864864504</v>
          </cell>
          <cell r="F728">
            <v>16.405405405405514</v>
          </cell>
          <cell r="G728">
            <v>14.121621621621642</v>
          </cell>
          <cell r="H728">
            <v>14.121621621621642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14.52</v>
          </cell>
          <cell r="Q728" t="str">
            <v/>
          </cell>
          <cell r="R728" t="e">
            <v>#N/A</v>
          </cell>
        </row>
        <row r="729">
          <cell r="A729">
            <v>41023</v>
          </cell>
          <cell r="B729">
            <v>41023</v>
          </cell>
          <cell r="C729" t="str">
            <v>Future</v>
          </cell>
          <cell r="D729" t="e">
            <v>#N/A</v>
          </cell>
          <cell r="E729">
            <v>4.9310810810810448</v>
          </cell>
          <cell r="F729">
            <v>16.417567567567676</v>
          </cell>
          <cell r="G729">
            <v>14.120270270270291</v>
          </cell>
          <cell r="H729">
            <v>14.120270270270291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14.52</v>
          </cell>
          <cell r="Q729" t="str">
            <v/>
          </cell>
          <cell r="R729" t="e">
            <v>#N/A</v>
          </cell>
        </row>
        <row r="730">
          <cell r="A730">
            <v>41024</v>
          </cell>
          <cell r="B730">
            <v>41024</v>
          </cell>
          <cell r="C730" t="str">
            <v>Future</v>
          </cell>
          <cell r="D730" t="e">
            <v>#N/A</v>
          </cell>
          <cell r="E730">
            <v>4.8756756756756392</v>
          </cell>
          <cell r="F730">
            <v>16.429729729729839</v>
          </cell>
          <cell r="G730">
            <v>14.11891891891894</v>
          </cell>
          <cell r="H730">
            <v>14.11891891891894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14.52</v>
          </cell>
          <cell r="Q730" t="str">
            <v/>
          </cell>
          <cell r="R730" t="e">
            <v>#N/A</v>
          </cell>
        </row>
        <row r="731">
          <cell r="A731">
            <v>41025</v>
          </cell>
          <cell r="B731">
            <v>41025</v>
          </cell>
          <cell r="C731" t="str">
            <v>Future</v>
          </cell>
          <cell r="D731" t="e">
            <v>#N/A</v>
          </cell>
          <cell r="E731">
            <v>4.8202702702702336</v>
          </cell>
          <cell r="F731">
            <v>16.441891891892002</v>
          </cell>
          <cell r="G731">
            <v>14.117567567567589</v>
          </cell>
          <cell r="H731">
            <v>14.117567567567589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14.52</v>
          </cell>
          <cell r="Q731" t="str">
            <v/>
          </cell>
          <cell r="R731" t="e">
            <v>#N/A</v>
          </cell>
        </row>
        <row r="732">
          <cell r="A732">
            <v>41026</v>
          </cell>
          <cell r="B732">
            <v>41026</v>
          </cell>
          <cell r="C732" t="str">
            <v>Future</v>
          </cell>
          <cell r="D732" t="e">
            <v>#N/A</v>
          </cell>
          <cell r="E732">
            <v>4.764864864864828</v>
          </cell>
          <cell r="F732">
            <v>16.454054054054165</v>
          </cell>
          <cell r="G732">
            <v>14.116216216216237</v>
          </cell>
          <cell r="H732">
            <v>14.116216216216237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14.52</v>
          </cell>
          <cell r="Q732" t="str">
            <v/>
          </cell>
          <cell r="R732" t="e">
            <v>#N/A</v>
          </cell>
        </row>
        <row r="733">
          <cell r="A733">
            <v>41029</v>
          </cell>
          <cell r="B733">
            <v>41029</v>
          </cell>
          <cell r="C733" t="str">
            <v>Future</v>
          </cell>
          <cell r="D733" t="e">
            <v>#N/A</v>
          </cell>
          <cell r="E733">
            <v>4.7094594594594223</v>
          </cell>
          <cell r="F733">
            <v>16.466216216216328</v>
          </cell>
          <cell r="G733">
            <v>14.114864864864886</v>
          </cell>
          <cell r="H733">
            <v>14.114864864864886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14.52</v>
          </cell>
          <cell r="Q733" t="str">
            <v/>
          </cell>
          <cell r="R733" t="e">
            <v>#N/A</v>
          </cell>
        </row>
        <row r="734">
          <cell r="A734">
            <v>41030</v>
          </cell>
          <cell r="B734">
            <v>41030</v>
          </cell>
          <cell r="C734" t="str">
            <v>Future</v>
          </cell>
          <cell r="D734" t="e">
            <v>#N/A</v>
          </cell>
          <cell r="E734">
            <v>4.6540540540540167</v>
          </cell>
          <cell r="F734">
            <v>16.478378378378491</v>
          </cell>
          <cell r="G734">
            <v>14.113513513513535</v>
          </cell>
          <cell r="H734">
            <v>14.113513513513535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14.52</v>
          </cell>
          <cell r="Q734" t="str">
            <v/>
          </cell>
          <cell r="R734" t="e">
            <v>#N/A</v>
          </cell>
        </row>
        <row r="735">
          <cell r="A735">
            <v>41031</v>
          </cell>
          <cell r="B735">
            <v>41031</v>
          </cell>
          <cell r="C735" t="str">
            <v>Future</v>
          </cell>
          <cell r="D735" t="e">
            <v>#N/A</v>
          </cell>
          <cell r="E735">
            <v>4.5986486486486111</v>
          </cell>
          <cell r="F735">
            <v>16.490540540540653</v>
          </cell>
          <cell r="G735">
            <v>14.112162162162184</v>
          </cell>
          <cell r="H735">
            <v>14.112162162162184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14.52</v>
          </cell>
          <cell r="Q735" t="str">
            <v/>
          </cell>
          <cell r="R735" t="e">
            <v>#N/A</v>
          </cell>
        </row>
        <row r="736">
          <cell r="A736">
            <v>41032</v>
          </cell>
          <cell r="B736">
            <v>41032</v>
          </cell>
          <cell r="C736" t="str">
            <v>Future</v>
          </cell>
          <cell r="D736" t="e">
            <v>#N/A</v>
          </cell>
          <cell r="E736">
            <v>4.5432432432432055</v>
          </cell>
          <cell r="F736">
            <v>16.502702702702816</v>
          </cell>
          <cell r="G736">
            <v>14.110810810810833</v>
          </cell>
          <cell r="H736">
            <v>14.110810810810833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14.52</v>
          </cell>
          <cell r="Q736" t="str">
            <v/>
          </cell>
          <cell r="R736" t="e">
            <v>#N/A</v>
          </cell>
        </row>
        <row r="737">
          <cell r="A737">
            <v>41033</v>
          </cell>
          <cell r="B737">
            <v>41033</v>
          </cell>
          <cell r="C737" t="str">
            <v>Future</v>
          </cell>
          <cell r="D737" t="e">
            <v>#N/A</v>
          </cell>
          <cell r="E737">
            <v>4.4878378378377999</v>
          </cell>
          <cell r="F737">
            <v>16.514864864864979</v>
          </cell>
          <cell r="G737">
            <v>14.109459459459481</v>
          </cell>
          <cell r="H737">
            <v>14.109459459459481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14.52</v>
          </cell>
          <cell r="Q737" t="str">
            <v/>
          </cell>
          <cell r="R737" t="e">
            <v>#N/A</v>
          </cell>
        </row>
        <row r="738">
          <cell r="A738">
            <v>41036</v>
          </cell>
          <cell r="B738">
            <v>41036</v>
          </cell>
          <cell r="C738" t="str">
            <v>Future</v>
          </cell>
          <cell r="D738" t="e">
            <v>#N/A</v>
          </cell>
          <cell r="E738">
            <v>4.4324324324323943</v>
          </cell>
          <cell r="F738">
            <v>16.527027027027142</v>
          </cell>
          <cell r="G738">
            <v>14.10810810810813</v>
          </cell>
          <cell r="H738">
            <v>14.10810810810813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14.52</v>
          </cell>
          <cell r="Q738" t="str">
            <v/>
          </cell>
          <cell r="R738" t="e">
            <v>#N/A</v>
          </cell>
        </row>
        <row r="739">
          <cell r="A739">
            <v>41037</v>
          </cell>
          <cell r="B739">
            <v>41037</v>
          </cell>
          <cell r="C739" t="str">
            <v>Future</v>
          </cell>
          <cell r="D739" t="e">
            <v>#N/A</v>
          </cell>
          <cell r="E739">
            <v>4.3770270270269886</v>
          </cell>
          <cell r="F739">
            <v>16.539189189189305</v>
          </cell>
          <cell r="G739">
            <v>14.106756756756779</v>
          </cell>
          <cell r="H739">
            <v>14.106756756756779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14.52</v>
          </cell>
          <cell r="Q739" t="str">
            <v/>
          </cell>
          <cell r="R739" t="e">
            <v>#N/A</v>
          </cell>
        </row>
        <row r="740">
          <cell r="A740">
            <v>41038</v>
          </cell>
          <cell r="B740">
            <v>41038</v>
          </cell>
          <cell r="C740" t="str">
            <v>Future</v>
          </cell>
          <cell r="D740" t="e">
            <v>#N/A</v>
          </cell>
          <cell r="E740">
            <v>4.321621621621583</v>
          </cell>
          <cell r="F740">
            <v>16.551351351351467</v>
          </cell>
          <cell r="G740">
            <v>14.105405405405428</v>
          </cell>
          <cell r="H740">
            <v>14.105405405405428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14.52</v>
          </cell>
          <cell r="Q740" t="str">
            <v/>
          </cell>
          <cell r="R740" t="e">
            <v>#N/A</v>
          </cell>
        </row>
        <row r="741">
          <cell r="A741">
            <v>41039</v>
          </cell>
          <cell r="B741">
            <v>41039</v>
          </cell>
          <cell r="C741" t="str">
            <v>Future</v>
          </cell>
          <cell r="D741" t="e">
            <v>#N/A</v>
          </cell>
          <cell r="E741">
            <v>4.2662162162161774</v>
          </cell>
          <cell r="F741">
            <v>16.56351351351363</v>
          </cell>
          <cell r="G741">
            <v>14.104054054054076</v>
          </cell>
          <cell r="H741">
            <v>14.104054054054076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14.52</v>
          </cell>
          <cell r="Q741" t="str">
            <v/>
          </cell>
          <cell r="R741" t="e">
            <v>#N/A</v>
          </cell>
        </row>
        <row r="742">
          <cell r="A742">
            <v>41040</v>
          </cell>
          <cell r="B742">
            <v>41040</v>
          </cell>
          <cell r="C742" t="str">
            <v>Future</v>
          </cell>
          <cell r="D742" t="e">
            <v>#N/A</v>
          </cell>
          <cell r="E742">
            <v>4.2108108108107718</v>
          </cell>
          <cell r="F742">
            <v>16.575675675675793</v>
          </cell>
          <cell r="G742">
            <v>14.102702702702725</v>
          </cell>
          <cell r="H742">
            <v>14.102702702702725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14.52</v>
          </cell>
          <cell r="Q742" t="str">
            <v/>
          </cell>
          <cell r="R742" t="e">
            <v>#N/A</v>
          </cell>
        </row>
        <row r="743">
          <cell r="A743">
            <v>41043</v>
          </cell>
          <cell r="B743">
            <v>41043</v>
          </cell>
          <cell r="C743" t="str">
            <v>Future</v>
          </cell>
          <cell r="D743" t="e">
            <v>#N/A</v>
          </cell>
          <cell r="E743">
            <v>4.1554054054053662</v>
          </cell>
          <cell r="F743">
            <v>16.587837837837956</v>
          </cell>
          <cell r="G743">
            <v>14.101351351351374</v>
          </cell>
          <cell r="H743">
            <v>14.101351351351374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14.52</v>
          </cell>
          <cell r="Q743" t="str">
            <v/>
          </cell>
          <cell r="R743" t="e">
            <v>#N/A</v>
          </cell>
        </row>
        <row r="744">
          <cell r="A744">
            <v>41044</v>
          </cell>
          <cell r="B744">
            <v>41044</v>
          </cell>
          <cell r="C744" t="str">
            <v>Future</v>
          </cell>
          <cell r="D744" t="e">
            <v>#N/A</v>
          </cell>
          <cell r="E744">
            <v>4.0999999999999606</v>
          </cell>
          <cell r="F744">
            <v>16.600000000000119</v>
          </cell>
          <cell r="G744">
            <v>14.100000000000023</v>
          </cell>
          <cell r="H744">
            <v>14.100000000000023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14.52</v>
          </cell>
          <cell r="Q744" t="str">
            <v/>
          </cell>
          <cell r="R744" t="e">
            <v>#N/A</v>
          </cell>
        </row>
        <row r="745">
          <cell r="A745">
            <v>41045</v>
          </cell>
          <cell r="B745">
            <v>41045</v>
          </cell>
          <cell r="C745" t="str">
            <v>Future</v>
          </cell>
          <cell r="D745" t="e">
            <v>#N/A</v>
          </cell>
          <cell r="E745">
            <v>4.0445945945945549</v>
          </cell>
          <cell r="F745">
            <v>16.612162162162281</v>
          </cell>
          <cell r="G745">
            <v>14.098648648648672</v>
          </cell>
          <cell r="H745">
            <v>14.098648648648672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14.52</v>
          </cell>
          <cell r="Q745" t="str">
            <v/>
          </cell>
          <cell r="R745" t="e">
            <v>#N/A</v>
          </cell>
        </row>
        <row r="746">
          <cell r="A746">
            <v>41046</v>
          </cell>
          <cell r="B746">
            <v>41046</v>
          </cell>
          <cell r="C746" t="str">
            <v>Future</v>
          </cell>
          <cell r="D746" t="e">
            <v>#N/A</v>
          </cell>
          <cell r="E746">
            <v>3.9891891891891493</v>
          </cell>
          <cell r="F746">
            <v>16.624324324324444</v>
          </cell>
          <cell r="G746">
            <v>14.09729729729732</v>
          </cell>
          <cell r="H746">
            <v>14.09729729729732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14.52</v>
          </cell>
          <cell r="Q746" t="str">
            <v/>
          </cell>
          <cell r="R746" t="e">
            <v>#N/A</v>
          </cell>
        </row>
        <row r="747">
          <cell r="A747">
            <v>41047</v>
          </cell>
          <cell r="B747">
            <v>41047</v>
          </cell>
          <cell r="C747" t="str">
            <v>Future</v>
          </cell>
          <cell r="D747" t="e">
            <v>#N/A</v>
          </cell>
          <cell r="E747">
            <v>3.9337837837837437</v>
          </cell>
          <cell r="F747">
            <v>16.636486486486607</v>
          </cell>
          <cell r="G747">
            <v>14.095945945945969</v>
          </cell>
          <cell r="H747">
            <v>14.095945945945969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14.52</v>
          </cell>
          <cell r="Q747" t="str">
            <v/>
          </cell>
          <cell r="R747" t="e">
            <v>#N/A</v>
          </cell>
        </row>
        <row r="748">
          <cell r="A748">
            <v>41050</v>
          </cell>
          <cell r="B748">
            <v>41050</v>
          </cell>
          <cell r="C748" t="str">
            <v>Future</v>
          </cell>
          <cell r="D748" t="e">
            <v>#N/A</v>
          </cell>
          <cell r="E748">
            <v>3.8783783783783381</v>
          </cell>
          <cell r="F748">
            <v>16.64864864864877</v>
          </cell>
          <cell r="G748">
            <v>14.094594594594618</v>
          </cell>
          <cell r="H748">
            <v>14.094594594594618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14.52</v>
          </cell>
          <cell r="Q748" t="str">
            <v/>
          </cell>
          <cell r="R748" t="e">
            <v>#N/A</v>
          </cell>
        </row>
        <row r="749">
          <cell r="A749">
            <v>41051</v>
          </cell>
          <cell r="B749">
            <v>41051</v>
          </cell>
          <cell r="C749" t="str">
            <v>Future</v>
          </cell>
          <cell r="D749" t="e">
            <v>#N/A</v>
          </cell>
          <cell r="E749">
            <v>3.8229729729729325</v>
          </cell>
          <cell r="F749">
            <v>16.660810810810933</v>
          </cell>
          <cell r="G749">
            <v>14.093243243243267</v>
          </cell>
          <cell r="H749">
            <v>14.093243243243267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14.52</v>
          </cell>
          <cell r="Q749" t="str">
            <v/>
          </cell>
          <cell r="R749" t="e">
            <v>#N/A</v>
          </cell>
        </row>
        <row r="750">
          <cell r="A750">
            <v>41052</v>
          </cell>
          <cell r="B750">
            <v>41052</v>
          </cell>
          <cell r="C750" t="str">
            <v>Future</v>
          </cell>
          <cell r="D750" t="e">
            <v>#N/A</v>
          </cell>
          <cell r="E750">
            <v>3.7675675675675269</v>
          </cell>
          <cell r="F750">
            <v>16.672972972973096</v>
          </cell>
          <cell r="G750">
            <v>14.091891891891915</v>
          </cell>
          <cell r="H750">
            <v>14.091891891891915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14.52</v>
          </cell>
          <cell r="Q750" t="str">
            <v/>
          </cell>
          <cell r="R750" t="e">
            <v>#N/A</v>
          </cell>
        </row>
        <row r="751">
          <cell r="A751">
            <v>41053</v>
          </cell>
          <cell r="B751">
            <v>41053</v>
          </cell>
          <cell r="C751" t="str">
            <v>Future</v>
          </cell>
          <cell r="D751" t="e">
            <v>#N/A</v>
          </cell>
          <cell r="E751">
            <v>3.7121621621621212</v>
          </cell>
          <cell r="F751">
            <v>16.685135135135258</v>
          </cell>
          <cell r="G751">
            <v>14.090540540540564</v>
          </cell>
          <cell r="H751">
            <v>14.090540540540564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14.52</v>
          </cell>
          <cell r="Q751" t="str">
            <v/>
          </cell>
          <cell r="R751" t="e">
            <v>#N/A</v>
          </cell>
        </row>
        <row r="752">
          <cell r="A752">
            <v>41054</v>
          </cell>
          <cell r="B752">
            <v>41054</v>
          </cell>
          <cell r="C752" t="str">
            <v>Future</v>
          </cell>
          <cell r="D752" t="e">
            <v>#N/A</v>
          </cell>
          <cell r="E752">
            <v>3.6567567567567156</v>
          </cell>
          <cell r="F752">
            <v>16.697297297297421</v>
          </cell>
          <cell r="G752">
            <v>14.089189189189213</v>
          </cell>
          <cell r="H752">
            <v>14.089189189189213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14.52</v>
          </cell>
          <cell r="Q752" t="str">
            <v/>
          </cell>
          <cell r="R752" t="e">
            <v>#N/A</v>
          </cell>
        </row>
        <row r="753">
          <cell r="A753">
            <v>41057</v>
          </cell>
          <cell r="B753">
            <v>41057</v>
          </cell>
          <cell r="C753" t="str">
            <v>Future</v>
          </cell>
          <cell r="D753" t="e">
            <v>#N/A</v>
          </cell>
          <cell r="E753">
            <v>3.60135135135131</v>
          </cell>
          <cell r="F753">
            <v>16.709459459459584</v>
          </cell>
          <cell r="G753">
            <v>14.087837837837862</v>
          </cell>
          <cell r="H753">
            <v>14.087837837837862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14.52</v>
          </cell>
          <cell r="Q753" t="str">
            <v/>
          </cell>
          <cell r="R753" t="e">
            <v>#N/A</v>
          </cell>
        </row>
        <row r="754">
          <cell r="A754">
            <v>41058</v>
          </cell>
          <cell r="B754">
            <v>41058</v>
          </cell>
          <cell r="C754" t="str">
            <v>Future</v>
          </cell>
          <cell r="D754" t="e">
            <v>#N/A</v>
          </cell>
          <cell r="E754">
            <v>3.5459459459459044</v>
          </cell>
          <cell r="F754">
            <v>16.721621621621747</v>
          </cell>
          <cell r="G754">
            <v>14.08648648648651</v>
          </cell>
          <cell r="H754">
            <v>14.08648648648651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14.52</v>
          </cell>
          <cell r="Q754" t="str">
            <v/>
          </cell>
          <cell r="R754" t="e">
            <v>#N/A</v>
          </cell>
        </row>
        <row r="755">
          <cell r="A755">
            <v>41059</v>
          </cell>
          <cell r="B755">
            <v>41059</v>
          </cell>
          <cell r="C755" t="str">
            <v>Future</v>
          </cell>
          <cell r="D755" t="e">
            <v>#N/A</v>
          </cell>
          <cell r="E755">
            <v>3.4905405405404988</v>
          </cell>
          <cell r="F755">
            <v>16.73378378378391</v>
          </cell>
          <cell r="G755">
            <v>14.085135135135159</v>
          </cell>
          <cell r="H755">
            <v>14.085135135135159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14.52</v>
          </cell>
          <cell r="Q755" t="str">
            <v/>
          </cell>
          <cell r="R755" t="e">
            <v>#N/A</v>
          </cell>
        </row>
        <row r="756">
          <cell r="A756">
            <v>41060</v>
          </cell>
          <cell r="B756">
            <v>41060</v>
          </cell>
          <cell r="C756" t="str">
            <v>Future</v>
          </cell>
          <cell r="D756" t="e">
            <v>#N/A</v>
          </cell>
          <cell r="E756">
            <v>3.4351351351350932</v>
          </cell>
          <cell r="F756">
            <v>16.745945945946072</v>
          </cell>
          <cell r="G756">
            <v>14.083783783783808</v>
          </cell>
          <cell r="H756">
            <v>14.083783783783808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14.52</v>
          </cell>
          <cell r="Q756" t="str">
            <v/>
          </cell>
          <cell r="R756" t="e">
            <v>#N/A</v>
          </cell>
        </row>
        <row r="757">
          <cell r="A757">
            <v>41061</v>
          </cell>
          <cell r="B757">
            <v>41061</v>
          </cell>
          <cell r="C757" t="str">
            <v>Future</v>
          </cell>
          <cell r="D757" t="e">
            <v>#N/A</v>
          </cell>
          <cell r="E757">
            <v>3.3797297297296875</v>
          </cell>
          <cell r="F757">
            <v>16.758108108108235</v>
          </cell>
          <cell r="G757">
            <v>14.082432432432457</v>
          </cell>
          <cell r="H757">
            <v>14.082432432432457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14.52</v>
          </cell>
          <cell r="Q757" t="str">
            <v/>
          </cell>
          <cell r="R757" t="e">
            <v>#N/A</v>
          </cell>
        </row>
        <row r="758">
          <cell r="A758">
            <v>41064</v>
          </cell>
          <cell r="B758">
            <v>41064</v>
          </cell>
          <cell r="C758" t="str">
            <v>Future</v>
          </cell>
          <cell r="D758" t="e">
            <v>#N/A</v>
          </cell>
          <cell r="E758">
            <v>3.3243243243242819</v>
          </cell>
          <cell r="F758">
            <v>16.770270270270398</v>
          </cell>
          <cell r="G758">
            <v>14.081081081081106</v>
          </cell>
          <cell r="H758">
            <v>14.081081081081106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14.52</v>
          </cell>
          <cell r="Q758" t="str">
            <v/>
          </cell>
          <cell r="R758" t="e">
            <v>#N/A</v>
          </cell>
        </row>
        <row r="759">
          <cell r="A759">
            <v>41065</v>
          </cell>
          <cell r="B759">
            <v>41065</v>
          </cell>
          <cell r="C759" t="str">
            <v>Future</v>
          </cell>
          <cell r="D759" t="e">
            <v>#N/A</v>
          </cell>
          <cell r="E759">
            <v>3.2689189189188763</v>
          </cell>
          <cell r="F759">
            <v>16.782432432432561</v>
          </cell>
          <cell r="G759">
            <v>14.079729729729754</v>
          </cell>
          <cell r="H759">
            <v>14.079729729729754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14.52</v>
          </cell>
          <cell r="Q759" t="str">
            <v/>
          </cell>
          <cell r="R759" t="e">
            <v>#N/A</v>
          </cell>
        </row>
        <row r="760">
          <cell r="A760">
            <v>41066</v>
          </cell>
          <cell r="B760">
            <v>41066</v>
          </cell>
          <cell r="C760" t="str">
            <v>Future</v>
          </cell>
          <cell r="D760" t="e">
            <v>#N/A</v>
          </cell>
          <cell r="E760">
            <v>3.2135135135134707</v>
          </cell>
          <cell r="F760">
            <v>16.794594594594724</v>
          </cell>
          <cell r="G760">
            <v>14.078378378378403</v>
          </cell>
          <cell r="H760">
            <v>14.078378378378403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14.52</v>
          </cell>
          <cell r="Q760" t="str">
            <v/>
          </cell>
          <cell r="R760" t="e">
            <v>#N/A</v>
          </cell>
        </row>
        <row r="761">
          <cell r="A761">
            <v>41067</v>
          </cell>
          <cell r="B761">
            <v>41067</v>
          </cell>
          <cell r="C761" t="str">
            <v>Future</v>
          </cell>
          <cell r="D761" t="e">
            <v>#N/A</v>
          </cell>
          <cell r="E761">
            <v>3.1581081081080651</v>
          </cell>
          <cell r="F761">
            <v>16.806756756756887</v>
          </cell>
          <cell r="G761">
            <v>14.077027027027052</v>
          </cell>
          <cell r="H761">
            <v>14.077027027027052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14.52</v>
          </cell>
          <cell r="Q761" t="str">
            <v/>
          </cell>
          <cell r="R761" t="e">
            <v>#N/A</v>
          </cell>
        </row>
        <row r="762">
          <cell r="A762">
            <v>41068</v>
          </cell>
          <cell r="B762">
            <v>41068</v>
          </cell>
          <cell r="C762" t="str">
            <v>Future</v>
          </cell>
          <cell r="D762" t="e">
            <v>#N/A</v>
          </cell>
          <cell r="E762">
            <v>3.1027027027026595</v>
          </cell>
          <cell r="F762">
            <v>16.818918918919049</v>
          </cell>
          <cell r="G762">
            <v>14.075675675675701</v>
          </cell>
          <cell r="H762">
            <v>14.075675675675701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14.52</v>
          </cell>
          <cell r="Q762" t="str">
            <v/>
          </cell>
          <cell r="R762" t="e">
            <v>#N/A</v>
          </cell>
        </row>
        <row r="763">
          <cell r="A763">
            <v>41071</v>
          </cell>
          <cell r="B763">
            <v>41071</v>
          </cell>
          <cell r="C763" t="str">
            <v>Future</v>
          </cell>
          <cell r="D763" t="e">
            <v>#N/A</v>
          </cell>
          <cell r="E763">
            <v>3.0472972972972538</v>
          </cell>
          <cell r="F763">
            <v>16.831081081081212</v>
          </cell>
          <cell r="G763">
            <v>14.074324324324349</v>
          </cell>
          <cell r="H763">
            <v>14.074324324324349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14.52</v>
          </cell>
          <cell r="Q763" t="str">
            <v/>
          </cell>
          <cell r="R763" t="e">
            <v>#N/A</v>
          </cell>
        </row>
        <row r="764">
          <cell r="A764">
            <v>41072</v>
          </cell>
          <cell r="B764">
            <v>41072</v>
          </cell>
          <cell r="C764" t="str">
            <v>Future</v>
          </cell>
          <cell r="D764" t="e">
            <v>#N/A</v>
          </cell>
          <cell r="E764">
            <v>2.9918918918918482</v>
          </cell>
          <cell r="F764">
            <v>16.843243243243375</v>
          </cell>
          <cell r="G764">
            <v>14.072972972972998</v>
          </cell>
          <cell r="H764">
            <v>14.072972972972998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14.52</v>
          </cell>
          <cell r="Q764" t="str">
            <v/>
          </cell>
          <cell r="R764" t="e">
            <v>#N/A</v>
          </cell>
        </row>
        <row r="765">
          <cell r="A765">
            <v>41073</v>
          </cell>
          <cell r="B765">
            <v>41073</v>
          </cell>
          <cell r="C765" t="str">
            <v>Future</v>
          </cell>
          <cell r="D765" t="e">
            <v>#N/A</v>
          </cell>
          <cell r="E765">
            <v>2.9364864864864426</v>
          </cell>
          <cell r="F765">
            <v>16.855405405405538</v>
          </cell>
          <cell r="G765">
            <v>14.071621621621647</v>
          </cell>
          <cell r="H765">
            <v>14.071621621621647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14.52</v>
          </cell>
          <cell r="Q765" t="str">
            <v/>
          </cell>
          <cell r="R765" t="e">
            <v>#N/A</v>
          </cell>
        </row>
        <row r="766">
          <cell r="A766">
            <v>41074</v>
          </cell>
          <cell r="B766">
            <v>41074</v>
          </cell>
          <cell r="C766" t="str">
            <v>Future</v>
          </cell>
          <cell r="D766" t="e">
            <v>#N/A</v>
          </cell>
          <cell r="E766">
            <v>2.881081081081037</v>
          </cell>
          <cell r="F766">
            <v>16.867567567567701</v>
          </cell>
          <cell r="G766">
            <v>14.070270270270296</v>
          </cell>
          <cell r="H766">
            <v>14.070270270270296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14.52</v>
          </cell>
          <cell r="Q766" t="str">
            <v/>
          </cell>
          <cell r="R766" t="e">
            <v>#N/A</v>
          </cell>
        </row>
        <row r="767">
          <cell r="A767">
            <v>41075</v>
          </cell>
          <cell r="B767">
            <v>41075</v>
          </cell>
          <cell r="C767" t="str">
            <v>Future</v>
          </cell>
          <cell r="D767" t="e">
            <v>#N/A</v>
          </cell>
          <cell r="E767">
            <v>2.8256756756756314</v>
          </cell>
          <cell r="F767">
            <v>16.879729729729863</v>
          </cell>
          <cell r="G767">
            <v>14.068918918918945</v>
          </cell>
          <cell r="H767">
            <v>14.068918918918945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14.52</v>
          </cell>
          <cell r="Q767" t="str">
            <v/>
          </cell>
          <cell r="R767" t="e">
            <v>#N/A</v>
          </cell>
        </row>
        <row r="768">
          <cell r="A768">
            <v>41078</v>
          </cell>
          <cell r="B768">
            <v>41078</v>
          </cell>
          <cell r="C768" t="str">
            <v>Future</v>
          </cell>
          <cell r="D768" t="e">
            <v>#N/A</v>
          </cell>
          <cell r="E768">
            <v>2.7702702702702258</v>
          </cell>
          <cell r="F768">
            <v>16.891891891892026</v>
          </cell>
          <cell r="G768">
            <v>14.067567567567593</v>
          </cell>
          <cell r="H768">
            <v>14.067567567567593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14.52</v>
          </cell>
          <cell r="Q768" t="str">
            <v/>
          </cell>
          <cell r="R768" t="e">
            <v>#N/A</v>
          </cell>
        </row>
        <row r="769">
          <cell r="A769">
            <v>41079</v>
          </cell>
          <cell r="B769">
            <v>41079</v>
          </cell>
          <cell r="C769" t="str">
            <v>Future</v>
          </cell>
          <cell r="D769" t="e">
            <v>#N/A</v>
          </cell>
          <cell r="E769">
            <v>2.7148648648648201</v>
          </cell>
          <cell r="F769">
            <v>16.904054054054189</v>
          </cell>
          <cell r="G769">
            <v>14.066216216216242</v>
          </cell>
          <cell r="H769">
            <v>14.066216216216242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14.52</v>
          </cell>
          <cell r="Q769" t="str">
            <v/>
          </cell>
          <cell r="R769" t="e">
            <v>#N/A</v>
          </cell>
        </row>
        <row r="770">
          <cell r="A770">
            <v>41080</v>
          </cell>
          <cell r="B770">
            <v>41080</v>
          </cell>
          <cell r="C770" t="str">
            <v>Future</v>
          </cell>
          <cell r="D770" t="e">
            <v>#N/A</v>
          </cell>
          <cell r="E770">
            <v>2.6594594594594145</v>
          </cell>
          <cell r="F770">
            <v>16.916216216216352</v>
          </cell>
          <cell r="G770">
            <v>14.064864864864891</v>
          </cell>
          <cell r="H770">
            <v>14.064864864864891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14.52</v>
          </cell>
          <cell r="Q770" t="str">
            <v/>
          </cell>
          <cell r="R770" t="e">
            <v>#N/A</v>
          </cell>
        </row>
        <row r="771">
          <cell r="A771">
            <v>41081</v>
          </cell>
          <cell r="B771">
            <v>41081</v>
          </cell>
          <cell r="C771" t="str">
            <v>Future</v>
          </cell>
          <cell r="D771" t="e">
            <v>#N/A</v>
          </cell>
          <cell r="E771">
            <v>2.6040540540540089</v>
          </cell>
          <cell r="F771">
            <v>16.928378378378515</v>
          </cell>
          <cell r="G771">
            <v>14.06351351351354</v>
          </cell>
          <cell r="H771">
            <v>14.06351351351354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14.52</v>
          </cell>
          <cell r="Q771" t="str">
            <v/>
          </cell>
          <cell r="R771" t="e">
            <v>#N/A</v>
          </cell>
        </row>
        <row r="772">
          <cell r="A772">
            <v>41082</v>
          </cell>
          <cell r="B772">
            <v>41082</v>
          </cell>
          <cell r="C772" t="str">
            <v>Future</v>
          </cell>
          <cell r="D772" t="e">
            <v>#N/A</v>
          </cell>
          <cell r="E772">
            <v>2.5486486486486033</v>
          </cell>
          <cell r="F772">
            <v>16.940540540540677</v>
          </cell>
          <cell r="G772">
            <v>14.062162162162188</v>
          </cell>
          <cell r="H772">
            <v>14.062162162162188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14.52</v>
          </cell>
          <cell r="Q772" t="str">
            <v/>
          </cell>
          <cell r="R772" t="e">
            <v>#N/A</v>
          </cell>
        </row>
        <row r="773">
          <cell r="A773">
            <v>41085</v>
          </cell>
          <cell r="B773">
            <v>41085</v>
          </cell>
          <cell r="C773" t="str">
            <v>Future</v>
          </cell>
          <cell r="D773" t="e">
            <v>#N/A</v>
          </cell>
          <cell r="E773">
            <v>2.4932432432431977</v>
          </cell>
          <cell r="F773">
            <v>16.95270270270284</v>
          </cell>
          <cell r="G773">
            <v>14.060810810810837</v>
          </cell>
          <cell r="H773">
            <v>14.060810810810837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14.52</v>
          </cell>
          <cell r="Q773" t="str">
            <v/>
          </cell>
          <cell r="R773" t="e">
            <v>#N/A</v>
          </cell>
        </row>
        <row r="774">
          <cell r="A774">
            <v>41086</v>
          </cell>
          <cell r="B774">
            <v>41086</v>
          </cell>
          <cell r="C774" t="str">
            <v>Future</v>
          </cell>
          <cell r="D774" t="e">
            <v>#N/A</v>
          </cell>
          <cell r="E774">
            <v>2.4378378378377921</v>
          </cell>
          <cell r="F774">
            <v>16.964864864865003</v>
          </cell>
          <cell r="G774">
            <v>14.059459459459486</v>
          </cell>
          <cell r="H774">
            <v>14.059459459459486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14.52</v>
          </cell>
          <cell r="Q774" t="str">
            <v/>
          </cell>
          <cell r="R774" t="e">
            <v>#N/A</v>
          </cell>
        </row>
        <row r="775">
          <cell r="A775">
            <v>41087</v>
          </cell>
          <cell r="B775">
            <v>41087</v>
          </cell>
          <cell r="C775" t="str">
            <v>Future</v>
          </cell>
          <cell r="D775" t="e">
            <v>#N/A</v>
          </cell>
          <cell r="E775">
            <v>2.3824324324323864</v>
          </cell>
          <cell r="F775">
            <v>16.977027027027166</v>
          </cell>
          <cell r="G775">
            <v>14.058108108108135</v>
          </cell>
          <cell r="H775">
            <v>14.058108108108135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14.52</v>
          </cell>
          <cell r="Q775" t="str">
            <v/>
          </cell>
          <cell r="R775" t="e">
            <v>#N/A</v>
          </cell>
        </row>
        <row r="776">
          <cell r="A776">
            <v>41088</v>
          </cell>
          <cell r="B776">
            <v>41088</v>
          </cell>
          <cell r="C776" t="str">
            <v>Future</v>
          </cell>
          <cell r="D776" t="e">
            <v>#N/A</v>
          </cell>
          <cell r="E776">
            <v>2.3270270270269808</v>
          </cell>
          <cell r="F776">
            <v>16.989189189189329</v>
          </cell>
          <cell r="G776">
            <v>14.056756756756783</v>
          </cell>
          <cell r="H776">
            <v>14.056756756756783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14.52</v>
          </cell>
          <cell r="Q776" t="str">
            <v/>
          </cell>
          <cell r="R776" t="e">
            <v>#N/A</v>
          </cell>
        </row>
        <row r="777">
          <cell r="A777">
            <v>41089</v>
          </cell>
          <cell r="B777">
            <v>41089</v>
          </cell>
          <cell r="C777" t="str">
            <v>Future</v>
          </cell>
          <cell r="D777" t="e">
            <v>#N/A</v>
          </cell>
          <cell r="E777">
            <v>2.2716216216215752</v>
          </cell>
          <cell r="F777">
            <v>17.001351351351492</v>
          </cell>
          <cell r="G777">
            <v>14.055405405405432</v>
          </cell>
          <cell r="H777">
            <v>14.055405405405432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14.52</v>
          </cell>
          <cell r="Q777" t="str">
            <v/>
          </cell>
          <cell r="R777" t="e">
            <v>#N/A</v>
          </cell>
        </row>
        <row r="778">
          <cell r="A778">
            <v>41092</v>
          </cell>
          <cell r="B778">
            <v>41092</v>
          </cell>
          <cell r="C778" t="str">
            <v>Future</v>
          </cell>
          <cell r="D778" t="e">
            <v>#N/A</v>
          </cell>
          <cell r="E778">
            <v>2.2162162162161696</v>
          </cell>
          <cell r="F778">
            <v>17.013513513513654</v>
          </cell>
          <cell r="G778">
            <v>14.054054054054081</v>
          </cell>
          <cell r="H778">
            <v>14.054054054054081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14.52</v>
          </cell>
          <cell r="Q778" t="str">
            <v/>
          </cell>
          <cell r="R778" t="e">
            <v>#N/A</v>
          </cell>
        </row>
        <row r="779">
          <cell r="A779">
            <v>41093</v>
          </cell>
          <cell r="B779">
            <v>41093</v>
          </cell>
          <cell r="C779" t="str">
            <v>Future</v>
          </cell>
          <cell r="D779" t="e">
            <v>#N/A</v>
          </cell>
          <cell r="E779">
            <v>2.160810810810764</v>
          </cell>
          <cell r="F779">
            <v>17.025675675675817</v>
          </cell>
          <cell r="G779">
            <v>14.05270270270273</v>
          </cell>
          <cell r="H779">
            <v>14.05270270270273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14.52</v>
          </cell>
          <cell r="Q779" t="str">
            <v/>
          </cell>
          <cell r="R779" t="e">
            <v>#N/A</v>
          </cell>
        </row>
        <row r="780">
          <cell r="A780">
            <v>41094</v>
          </cell>
          <cell r="B780">
            <v>41094</v>
          </cell>
          <cell r="C780" t="str">
            <v>Future</v>
          </cell>
          <cell r="D780" t="e">
            <v>#N/A</v>
          </cell>
          <cell r="E780">
            <v>2.1054054054053584</v>
          </cell>
          <cell r="F780">
            <v>17.03783783783798</v>
          </cell>
          <cell r="G780">
            <v>14.051351351351379</v>
          </cell>
          <cell r="H780">
            <v>14.051351351351379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14.52</v>
          </cell>
          <cell r="Q780" t="str">
            <v/>
          </cell>
          <cell r="R780" t="e">
            <v>#N/A</v>
          </cell>
        </row>
        <row r="781">
          <cell r="A781">
            <v>41095</v>
          </cell>
          <cell r="B781">
            <v>41095</v>
          </cell>
          <cell r="C781" t="str">
            <v>Future</v>
          </cell>
          <cell r="D781" t="e">
            <v>#N/A</v>
          </cell>
          <cell r="E781">
            <v>2.0499999999999527</v>
          </cell>
          <cell r="F781">
            <v>17.050000000000143</v>
          </cell>
          <cell r="G781">
            <v>14.050000000000027</v>
          </cell>
          <cell r="H781">
            <v>14.050000000000027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14.52</v>
          </cell>
          <cell r="Q781" t="str">
            <v/>
          </cell>
          <cell r="R781" t="e">
            <v>#N/A</v>
          </cell>
        </row>
        <row r="782">
          <cell r="A782">
            <v>41096</v>
          </cell>
          <cell r="B782">
            <v>41096</v>
          </cell>
          <cell r="C782" t="str">
            <v>Future</v>
          </cell>
          <cell r="D782" t="e">
            <v>#N/A</v>
          </cell>
          <cell r="E782">
            <v>1.9945945945945474</v>
          </cell>
          <cell r="F782">
            <v>17.062162162162306</v>
          </cell>
          <cell r="G782">
            <v>14.048648648648676</v>
          </cell>
          <cell r="H782">
            <v>14.048648648648676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14.52</v>
          </cell>
          <cell r="Q782" t="str">
            <v/>
          </cell>
          <cell r="R782" t="e">
            <v>#N/A</v>
          </cell>
        </row>
        <row r="783">
          <cell r="A783">
            <v>41099</v>
          </cell>
          <cell r="B783">
            <v>41099</v>
          </cell>
          <cell r="C783" t="str">
            <v>Future</v>
          </cell>
          <cell r="D783" t="e">
            <v>#N/A</v>
          </cell>
          <cell r="E783">
            <v>1.939189189189142</v>
          </cell>
          <cell r="F783">
            <v>17.074324324324468</v>
          </cell>
          <cell r="G783">
            <v>14.047297297297325</v>
          </cell>
          <cell r="H783">
            <v>14.047297297297325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14.52</v>
          </cell>
          <cell r="Q783" t="str">
            <v/>
          </cell>
          <cell r="R783" t="e">
            <v>#N/A</v>
          </cell>
        </row>
        <row r="784">
          <cell r="A784">
            <v>41100</v>
          </cell>
          <cell r="B784">
            <v>41100</v>
          </cell>
          <cell r="C784" t="str">
            <v>Future</v>
          </cell>
          <cell r="D784" t="e">
            <v>#N/A</v>
          </cell>
          <cell r="E784">
            <v>1.8837837837837366</v>
          </cell>
          <cell r="F784">
            <v>17.086486486486631</v>
          </cell>
          <cell r="G784">
            <v>14.045945945945974</v>
          </cell>
          <cell r="H784">
            <v>14.045945945945974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14.52</v>
          </cell>
          <cell r="Q784" t="str">
            <v/>
          </cell>
          <cell r="R784" t="e">
            <v>#N/A</v>
          </cell>
        </row>
        <row r="785">
          <cell r="A785">
            <v>41101</v>
          </cell>
          <cell r="B785">
            <v>41101</v>
          </cell>
          <cell r="C785" t="str">
            <v>Future</v>
          </cell>
          <cell r="D785" t="e">
            <v>#N/A</v>
          </cell>
          <cell r="E785">
            <v>1.8283783783783312</v>
          </cell>
          <cell r="F785">
            <v>17.098648648648794</v>
          </cell>
          <cell r="G785">
            <v>14.044594594594622</v>
          </cell>
          <cell r="H785">
            <v>14.044594594594622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14.52</v>
          </cell>
          <cell r="Q785" t="str">
            <v/>
          </cell>
          <cell r="R785" t="e">
            <v>#N/A</v>
          </cell>
        </row>
        <row r="786">
          <cell r="A786">
            <v>41102</v>
          </cell>
          <cell r="B786">
            <v>41102</v>
          </cell>
          <cell r="C786" t="str">
            <v>Future</v>
          </cell>
          <cell r="D786" t="e">
            <v>#N/A</v>
          </cell>
          <cell r="E786">
            <v>1.7729729729729258</v>
          </cell>
          <cell r="F786">
            <v>17.110810810810957</v>
          </cell>
          <cell r="G786">
            <v>14.043243243243271</v>
          </cell>
          <cell r="H786">
            <v>14.043243243243271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14.52</v>
          </cell>
          <cell r="Q786" t="str">
            <v/>
          </cell>
          <cell r="R786" t="e">
            <v>#N/A</v>
          </cell>
        </row>
        <row r="787">
          <cell r="A787">
            <v>41103</v>
          </cell>
          <cell r="B787">
            <v>41103</v>
          </cell>
          <cell r="C787" t="str">
            <v>Future</v>
          </cell>
          <cell r="D787" t="e">
            <v>#N/A</v>
          </cell>
          <cell r="E787">
            <v>1.7175675675675204</v>
          </cell>
          <cell r="F787">
            <v>17.12297297297312</v>
          </cell>
          <cell r="G787">
            <v>14.04189189189192</v>
          </cell>
          <cell r="H787">
            <v>14.04189189189192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14.52</v>
          </cell>
          <cell r="Q787" t="str">
            <v/>
          </cell>
          <cell r="R787" t="e">
            <v>#N/A</v>
          </cell>
        </row>
        <row r="788">
          <cell r="A788">
            <v>41106</v>
          </cell>
          <cell r="B788">
            <v>41106</v>
          </cell>
          <cell r="C788" t="str">
            <v>Future</v>
          </cell>
          <cell r="D788" t="e">
            <v>#N/A</v>
          </cell>
          <cell r="E788">
            <v>1.662162162162115</v>
          </cell>
          <cell r="F788">
            <v>17.135135135135283</v>
          </cell>
          <cell r="G788">
            <v>14.040540540540569</v>
          </cell>
          <cell r="H788">
            <v>14.040540540540569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14.52</v>
          </cell>
          <cell r="Q788" t="str">
            <v/>
          </cell>
          <cell r="R788" t="e">
            <v>#N/A</v>
          </cell>
        </row>
        <row r="789">
          <cell r="A789">
            <v>41107</v>
          </cell>
          <cell r="B789">
            <v>41107</v>
          </cell>
          <cell r="C789" t="str">
            <v>Future</v>
          </cell>
          <cell r="D789" t="e">
            <v>#N/A</v>
          </cell>
          <cell r="E789">
            <v>1.6067567567567096</v>
          </cell>
          <cell r="F789">
            <v>17.147297297297445</v>
          </cell>
          <cell r="G789">
            <v>14.039189189189218</v>
          </cell>
          <cell r="H789">
            <v>14.039189189189218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14.52</v>
          </cell>
          <cell r="Q789" t="str">
            <v/>
          </cell>
          <cell r="R789" t="e">
            <v>#N/A</v>
          </cell>
        </row>
        <row r="790">
          <cell r="A790">
            <v>41108</v>
          </cell>
          <cell r="B790">
            <v>41108</v>
          </cell>
          <cell r="C790" t="str">
            <v>Future</v>
          </cell>
          <cell r="D790" t="e">
            <v>#N/A</v>
          </cell>
          <cell r="E790">
            <v>1.5513513513513042</v>
          </cell>
          <cell r="F790">
            <v>17.159459459459608</v>
          </cell>
          <cell r="G790">
            <v>14.037837837837866</v>
          </cell>
          <cell r="H790">
            <v>14.037837837837866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14.52</v>
          </cell>
          <cell r="Q790" t="str">
            <v/>
          </cell>
          <cell r="R790" t="e">
            <v>#N/A</v>
          </cell>
        </row>
        <row r="791">
          <cell r="A791">
            <v>41109</v>
          </cell>
          <cell r="B791">
            <v>41109</v>
          </cell>
          <cell r="C791" t="str">
            <v>Future</v>
          </cell>
          <cell r="D791" t="e">
            <v>#N/A</v>
          </cell>
          <cell r="E791">
            <v>1.4959459459458988</v>
          </cell>
          <cell r="F791">
            <v>17.171621621621771</v>
          </cell>
          <cell r="G791">
            <v>14.036486486486515</v>
          </cell>
          <cell r="H791">
            <v>14.036486486486515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14.52</v>
          </cell>
          <cell r="Q791" t="str">
            <v/>
          </cell>
          <cell r="R791" t="e">
            <v>#N/A</v>
          </cell>
        </row>
        <row r="792">
          <cell r="A792">
            <v>41110</v>
          </cell>
          <cell r="B792">
            <v>41110</v>
          </cell>
          <cell r="C792" t="str">
            <v>Future</v>
          </cell>
          <cell r="D792" t="e">
            <v>#N/A</v>
          </cell>
          <cell r="E792">
            <v>1.4405405405404934</v>
          </cell>
          <cell r="F792">
            <v>17.183783783783934</v>
          </cell>
          <cell r="G792">
            <v>14.035135135135164</v>
          </cell>
          <cell r="H792">
            <v>14.035135135135164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14.52</v>
          </cell>
          <cell r="Q792" t="str">
            <v/>
          </cell>
          <cell r="R792" t="e">
            <v>#N/A</v>
          </cell>
        </row>
        <row r="793">
          <cell r="A793">
            <v>41113</v>
          </cell>
          <cell r="B793">
            <v>41113</v>
          </cell>
          <cell r="C793" t="str">
            <v>Future</v>
          </cell>
          <cell r="D793" t="e">
            <v>#N/A</v>
          </cell>
          <cell r="E793">
            <v>1.385135135135088</v>
          </cell>
          <cell r="F793">
            <v>17.195945945946097</v>
          </cell>
          <cell r="G793">
            <v>14.033783783783813</v>
          </cell>
          <cell r="H793">
            <v>14.033783783783813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14.52</v>
          </cell>
          <cell r="Q793" t="str">
            <v/>
          </cell>
          <cell r="R793" t="e">
            <v>#N/A</v>
          </cell>
        </row>
        <row r="794">
          <cell r="A794">
            <v>41114</v>
          </cell>
          <cell r="B794">
            <v>41114</v>
          </cell>
          <cell r="C794" t="str">
            <v>Future</v>
          </cell>
          <cell r="D794" t="e">
            <v>#N/A</v>
          </cell>
          <cell r="E794">
            <v>1.3297297297296826</v>
          </cell>
          <cell r="F794">
            <v>17.208108108108259</v>
          </cell>
          <cell r="G794">
            <v>14.032432432432461</v>
          </cell>
          <cell r="H794">
            <v>14.032432432432461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14.52</v>
          </cell>
          <cell r="Q794" t="str">
            <v/>
          </cell>
          <cell r="R794" t="e">
            <v>#N/A</v>
          </cell>
        </row>
        <row r="795">
          <cell r="A795">
            <v>41115</v>
          </cell>
          <cell r="B795">
            <v>41115</v>
          </cell>
          <cell r="C795" t="str">
            <v>Future</v>
          </cell>
          <cell r="D795" t="e">
            <v>#N/A</v>
          </cell>
          <cell r="E795">
            <v>1.2743243243242772</v>
          </cell>
          <cell r="F795">
            <v>17.220270270270422</v>
          </cell>
          <cell r="G795">
            <v>14.03108108108111</v>
          </cell>
          <cell r="H795">
            <v>14.03108108108111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14.52</v>
          </cell>
          <cell r="Q795" t="str">
            <v/>
          </cell>
          <cell r="R795" t="e">
            <v>#N/A</v>
          </cell>
        </row>
        <row r="796">
          <cell r="A796">
            <v>41116</v>
          </cell>
          <cell r="B796">
            <v>41116</v>
          </cell>
          <cell r="C796" t="str">
            <v>Future</v>
          </cell>
          <cell r="D796" t="e">
            <v>#N/A</v>
          </cell>
          <cell r="E796">
            <v>1.2189189189188718</v>
          </cell>
          <cell r="F796">
            <v>17.232432432432585</v>
          </cell>
          <cell r="G796">
            <v>14.029729729729759</v>
          </cell>
          <cell r="H796">
            <v>14.029729729729759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14.52</v>
          </cell>
          <cell r="Q796" t="str">
            <v/>
          </cell>
          <cell r="R796" t="e">
            <v>#N/A</v>
          </cell>
        </row>
        <row r="797">
          <cell r="A797">
            <v>41117</v>
          </cell>
          <cell r="B797">
            <v>41117</v>
          </cell>
          <cell r="C797" t="str">
            <v>Future</v>
          </cell>
          <cell r="D797" t="e">
            <v>#N/A</v>
          </cell>
          <cell r="E797">
            <v>1.1635135135134664</v>
          </cell>
          <cell r="F797">
            <v>17.244594594594748</v>
          </cell>
          <cell r="G797">
            <v>14.028378378378408</v>
          </cell>
          <cell r="H797">
            <v>14.028378378378408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14.52</v>
          </cell>
          <cell r="Q797" t="str">
            <v/>
          </cell>
          <cell r="R797" t="e">
            <v>#N/A</v>
          </cell>
        </row>
        <row r="798">
          <cell r="A798">
            <v>41120</v>
          </cell>
          <cell r="B798">
            <v>41120</v>
          </cell>
          <cell r="C798" t="str">
            <v>Future</v>
          </cell>
          <cell r="D798" t="e">
            <v>#N/A</v>
          </cell>
          <cell r="E798">
            <v>1.108108108108061</v>
          </cell>
          <cell r="F798">
            <v>17.256756756756911</v>
          </cell>
          <cell r="G798">
            <v>14.027027027027057</v>
          </cell>
          <cell r="H798">
            <v>14.027027027027057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14.52</v>
          </cell>
          <cell r="Q798" t="str">
            <v/>
          </cell>
          <cell r="R798" t="e">
            <v>#N/A</v>
          </cell>
        </row>
        <row r="799">
          <cell r="A799">
            <v>41121</v>
          </cell>
          <cell r="B799">
            <v>41121</v>
          </cell>
          <cell r="C799" t="str">
            <v>Future</v>
          </cell>
          <cell r="D799" t="e">
            <v>#N/A</v>
          </cell>
          <cell r="E799">
            <v>1.0527027027026556</v>
          </cell>
          <cell r="F799">
            <v>17.268918918919073</v>
          </cell>
          <cell r="G799">
            <v>14.025675675675705</v>
          </cell>
          <cell r="H799">
            <v>14.025675675675705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14.52</v>
          </cell>
          <cell r="Q799" t="str">
            <v/>
          </cell>
          <cell r="R799" t="e">
            <v>#N/A</v>
          </cell>
        </row>
        <row r="800">
          <cell r="A800">
            <v>41122</v>
          </cell>
          <cell r="B800">
            <v>41122</v>
          </cell>
          <cell r="C800" t="str">
            <v>Future</v>
          </cell>
          <cell r="D800" t="e">
            <v>#N/A</v>
          </cell>
          <cell r="E800">
            <v>0.99729729729725025</v>
          </cell>
          <cell r="F800">
            <v>17.281081081081236</v>
          </cell>
          <cell r="G800">
            <v>14.024324324324354</v>
          </cell>
          <cell r="H800">
            <v>14.024324324324354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14.52</v>
          </cell>
          <cell r="Q800" t="str">
            <v/>
          </cell>
          <cell r="R800" t="e">
            <v>#N/A</v>
          </cell>
        </row>
        <row r="801">
          <cell r="A801">
            <v>41123</v>
          </cell>
          <cell r="B801">
            <v>41123</v>
          </cell>
          <cell r="C801" t="str">
            <v>Future</v>
          </cell>
          <cell r="D801" t="e">
            <v>#N/A</v>
          </cell>
          <cell r="E801">
            <v>0.94189189189184486</v>
          </cell>
          <cell r="F801">
            <v>17.293243243243399</v>
          </cell>
          <cell r="G801">
            <v>14.022972972973003</v>
          </cell>
          <cell r="H801">
            <v>14.022972972973003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14.52</v>
          </cell>
          <cell r="Q801" t="str">
            <v/>
          </cell>
          <cell r="R801" t="e">
            <v>#N/A</v>
          </cell>
        </row>
        <row r="802">
          <cell r="A802">
            <v>41124</v>
          </cell>
          <cell r="B802">
            <v>41124</v>
          </cell>
          <cell r="C802" t="str">
            <v>Future</v>
          </cell>
          <cell r="D802" t="e">
            <v>#N/A</v>
          </cell>
          <cell r="E802">
            <v>0.88648648648643946</v>
          </cell>
          <cell r="F802">
            <v>17.305405405405562</v>
          </cell>
          <cell r="G802">
            <v>14.021621621621652</v>
          </cell>
          <cell r="H802">
            <v>14.021621621621652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14.52</v>
          </cell>
          <cell r="Q802" t="str">
            <v/>
          </cell>
          <cell r="R802" t="e">
            <v>#N/A</v>
          </cell>
        </row>
        <row r="803">
          <cell r="A803">
            <v>41127</v>
          </cell>
          <cell r="B803">
            <v>41127</v>
          </cell>
          <cell r="C803" t="str">
            <v>Future</v>
          </cell>
          <cell r="D803" t="e">
            <v>#N/A</v>
          </cell>
          <cell r="E803">
            <v>0.83108108108103407</v>
          </cell>
          <cell r="F803">
            <v>17.317567567567725</v>
          </cell>
          <cell r="G803">
            <v>14.0202702702703</v>
          </cell>
          <cell r="H803">
            <v>14.0202702702703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14.52</v>
          </cell>
          <cell r="Q803" t="str">
            <v/>
          </cell>
          <cell r="R803" t="e">
            <v>#N/A</v>
          </cell>
        </row>
        <row r="804">
          <cell r="A804">
            <v>41128</v>
          </cell>
          <cell r="B804">
            <v>41128</v>
          </cell>
          <cell r="C804" t="str">
            <v>Future</v>
          </cell>
          <cell r="D804" t="e">
            <v>#N/A</v>
          </cell>
          <cell r="E804">
            <v>0.77567567567562867</v>
          </cell>
          <cell r="F804">
            <v>17.329729729729888</v>
          </cell>
          <cell r="G804">
            <v>14.018918918918949</v>
          </cell>
          <cell r="H804">
            <v>14.018918918918949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14.52</v>
          </cell>
          <cell r="Q804" t="str">
            <v/>
          </cell>
          <cell r="R804" t="e">
            <v>#N/A</v>
          </cell>
        </row>
        <row r="805">
          <cell r="A805">
            <v>41129</v>
          </cell>
          <cell r="B805">
            <v>41129</v>
          </cell>
          <cell r="C805" t="str">
            <v>Future</v>
          </cell>
          <cell r="D805" t="e">
            <v>#N/A</v>
          </cell>
          <cell r="E805">
            <v>0.72027027027022328</v>
          </cell>
          <cell r="F805">
            <v>17.34189189189205</v>
          </cell>
          <cell r="G805">
            <v>14.017567567567598</v>
          </cell>
          <cell r="H805">
            <v>14.017567567567598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14.52</v>
          </cell>
          <cell r="Q805" t="str">
            <v/>
          </cell>
          <cell r="R805" t="e">
            <v>#N/A</v>
          </cell>
        </row>
        <row r="806">
          <cell r="A806">
            <v>41130</v>
          </cell>
          <cell r="B806">
            <v>41130</v>
          </cell>
          <cell r="C806" t="str">
            <v>Future</v>
          </cell>
          <cell r="D806" t="e">
            <v>#N/A</v>
          </cell>
          <cell r="E806">
            <v>0.66486486486481788</v>
          </cell>
          <cell r="F806">
            <v>17.354054054054213</v>
          </cell>
          <cell r="G806">
            <v>14.016216216216247</v>
          </cell>
          <cell r="H806">
            <v>14.016216216216247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14.52</v>
          </cell>
          <cell r="Q806" t="str">
            <v/>
          </cell>
          <cell r="R806" t="e">
            <v>#N/A</v>
          </cell>
        </row>
        <row r="807">
          <cell r="A807">
            <v>41131</v>
          </cell>
          <cell r="B807">
            <v>41131</v>
          </cell>
          <cell r="C807" t="str">
            <v>Future</v>
          </cell>
          <cell r="D807" t="e">
            <v>#N/A</v>
          </cell>
          <cell r="E807">
            <v>0.60945945945941249</v>
          </cell>
          <cell r="F807">
            <v>17.366216216216376</v>
          </cell>
          <cell r="G807">
            <v>14.014864864864895</v>
          </cell>
          <cell r="H807">
            <v>14.014864864864895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14.52</v>
          </cell>
          <cell r="Q807" t="str">
            <v/>
          </cell>
          <cell r="R807" t="e">
            <v>#N/A</v>
          </cell>
        </row>
        <row r="808">
          <cell r="A808">
            <v>41134</v>
          </cell>
          <cell r="B808">
            <v>41134</v>
          </cell>
          <cell r="C808" t="str">
            <v>Future</v>
          </cell>
          <cell r="D808" t="e">
            <v>#N/A</v>
          </cell>
          <cell r="E808">
            <v>0.55405405405400709</v>
          </cell>
          <cell r="F808">
            <v>17.378378378378539</v>
          </cell>
          <cell r="G808">
            <v>14.013513513513544</v>
          </cell>
          <cell r="H808">
            <v>14.013513513513544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14.52</v>
          </cell>
          <cell r="Q808" t="str">
            <v/>
          </cell>
          <cell r="R808" t="e">
            <v>#N/A</v>
          </cell>
        </row>
        <row r="809">
          <cell r="A809">
            <v>41135</v>
          </cell>
          <cell r="B809">
            <v>41135</v>
          </cell>
          <cell r="C809" t="str">
            <v>Future</v>
          </cell>
          <cell r="D809" t="e">
            <v>#N/A</v>
          </cell>
          <cell r="E809">
            <v>0.4986486486486017</v>
          </cell>
          <cell r="F809">
            <v>17.390540540540702</v>
          </cell>
          <cell r="G809">
            <v>14.012162162162193</v>
          </cell>
          <cell r="H809">
            <v>14.012162162162193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14.52</v>
          </cell>
          <cell r="Q809" t="str">
            <v/>
          </cell>
          <cell r="R809" t="e">
            <v>#N/A</v>
          </cell>
        </row>
        <row r="810">
          <cell r="A810">
            <v>41136</v>
          </cell>
          <cell r="B810">
            <v>41136</v>
          </cell>
          <cell r="C810" t="str">
            <v>Future</v>
          </cell>
          <cell r="D810" t="e">
            <v>#N/A</v>
          </cell>
          <cell r="E810">
            <v>0.44324324324319631</v>
          </cell>
          <cell r="F810">
            <v>17.402702702702864</v>
          </cell>
          <cell r="G810">
            <v>14.010810810810842</v>
          </cell>
          <cell r="H810">
            <v>14.010810810810842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14.52</v>
          </cell>
          <cell r="Q810" t="str">
            <v/>
          </cell>
          <cell r="R810" t="e">
            <v>#N/A</v>
          </cell>
        </row>
        <row r="811">
          <cell r="A811">
            <v>41137</v>
          </cell>
          <cell r="B811">
            <v>41137</v>
          </cell>
          <cell r="C811" t="str">
            <v>Future</v>
          </cell>
          <cell r="D811" t="e">
            <v>#N/A</v>
          </cell>
          <cell r="E811">
            <v>0.38783783783779091</v>
          </cell>
          <cell r="F811">
            <v>17.414864864865027</v>
          </cell>
          <cell r="G811">
            <v>14.009459459459491</v>
          </cell>
          <cell r="H811">
            <v>14.009459459459491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14.52</v>
          </cell>
          <cell r="Q811" t="str">
            <v/>
          </cell>
          <cell r="R811" t="e">
            <v>#N/A</v>
          </cell>
        </row>
        <row r="812">
          <cell r="A812">
            <v>41138</v>
          </cell>
          <cell r="B812">
            <v>41138</v>
          </cell>
          <cell r="C812" t="str">
            <v>Future</v>
          </cell>
          <cell r="D812" t="e">
            <v>#N/A</v>
          </cell>
          <cell r="E812">
            <v>0.33243243243238552</v>
          </cell>
          <cell r="F812">
            <v>17.42702702702719</v>
          </cell>
          <cell r="G812">
            <v>14.008108108108139</v>
          </cell>
          <cell r="H812">
            <v>14.008108108108139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14.52</v>
          </cell>
          <cell r="Q812" t="str">
            <v/>
          </cell>
          <cell r="R812" t="e">
            <v>#N/A</v>
          </cell>
        </row>
        <row r="813">
          <cell r="A813">
            <v>41141</v>
          </cell>
          <cell r="B813">
            <v>41141</v>
          </cell>
          <cell r="C813" t="str">
            <v>Future</v>
          </cell>
          <cell r="D813" t="e">
            <v>#N/A</v>
          </cell>
          <cell r="E813">
            <v>0.27702702702698012</v>
          </cell>
          <cell r="F813">
            <v>17.439189189189353</v>
          </cell>
          <cell r="G813">
            <v>14.006756756756788</v>
          </cell>
          <cell r="H813">
            <v>14.006756756756788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14.52</v>
          </cell>
          <cell r="Q813" t="str">
            <v/>
          </cell>
          <cell r="R813" t="e">
            <v>#N/A</v>
          </cell>
        </row>
        <row r="814">
          <cell r="A814">
            <v>41142</v>
          </cell>
          <cell r="B814">
            <v>41142</v>
          </cell>
          <cell r="C814" t="str">
            <v>Future</v>
          </cell>
          <cell r="D814" t="e">
            <v>#N/A</v>
          </cell>
          <cell r="E814">
            <v>0.22162162162157473</v>
          </cell>
          <cell r="F814">
            <v>17.451351351351516</v>
          </cell>
          <cell r="G814">
            <v>14.005405405405437</v>
          </cell>
          <cell r="H814">
            <v>14.005405405405437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14.52</v>
          </cell>
          <cell r="Q814" t="str">
            <v/>
          </cell>
          <cell r="R814" t="e">
            <v>#N/A</v>
          </cell>
        </row>
        <row r="815">
          <cell r="A815">
            <v>41143</v>
          </cell>
          <cell r="B815">
            <v>41143</v>
          </cell>
          <cell r="C815" t="str">
            <v>Future</v>
          </cell>
          <cell r="D815" t="e">
            <v>#N/A</v>
          </cell>
          <cell r="E815">
            <v>0.16621621621616933</v>
          </cell>
          <cell r="F815">
            <v>17.463513513513679</v>
          </cell>
          <cell r="G815">
            <v>14.004054054054086</v>
          </cell>
          <cell r="H815">
            <v>14.004054054054086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14.52</v>
          </cell>
          <cell r="Q815" t="str">
            <v/>
          </cell>
          <cell r="R815" t="e">
            <v>#N/A</v>
          </cell>
        </row>
        <row r="816">
          <cell r="A816">
            <v>41144</v>
          </cell>
          <cell r="B816">
            <v>41144</v>
          </cell>
          <cell r="C816" t="str">
            <v>Future</v>
          </cell>
          <cell r="D816" t="e">
            <v>#N/A</v>
          </cell>
          <cell r="E816">
            <v>0.11081081081076394</v>
          </cell>
          <cell r="F816">
            <v>17.475675675675841</v>
          </cell>
          <cell r="G816">
            <v>14.002702702702734</v>
          </cell>
          <cell r="H816">
            <v>14.002702702702734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14.52</v>
          </cell>
          <cell r="Q816" t="str">
            <v/>
          </cell>
          <cell r="R816" t="e">
            <v>#N/A</v>
          </cell>
        </row>
        <row r="817">
          <cell r="A817">
            <v>41145</v>
          </cell>
          <cell r="B817">
            <v>41145</v>
          </cell>
          <cell r="C817" t="str">
            <v>Future</v>
          </cell>
          <cell r="D817" t="e">
            <v>#N/A</v>
          </cell>
          <cell r="E817">
            <v>5.5405405405358536E-2</v>
          </cell>
          <cell r="F817">
            <v>17.487837837838004</v>
          </cell>
          <cell r="G817">
            <v>14.001351351351383</v>
          </cell>
          <cell r="H817">
            <v>14.001351351351383</v>
          </cell>
          <cell r="I817" t="e">
            <v>#N/A</v>
          </cell>
          <cell r="J817" t="e">
            <v>#N/A</v>
          </cell>
          <cell r="K817">
            <v>17.5</v>
          </cell>
          <cell r="L817">
            <v>14</v>
          </cell>
          <cell r="M817" t="e">
            <v>#N/A</v>
          </cell>
          <cell r="N817">
            <v>16.5</v>
          </cell>
          <cell r="O817" t="e">
            <v>#N/A</v>
          </cell>
          <cell r="P817">
            <v>14.52</v>
          </cell>
          <cell r="Q817" t="str">
            <v/>
          </cell>
          <cell r="R817">
            <v>16.5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-4.686528942698942E-14</v>
          </cell>
          <cell r="F818">
            <v>17.500000000000167</v>
          </cell>
          <cell r="G818">
            <v>14.000000000000032</v>
          </cell>
          <cell r="H818">
            <v>14.000000000000032</v>
          </cell>
          <cell r="I818" t="e">
            <v>#N/A</v>
          </cell>
          <cell r="J818" t="e">
            <v>#N/A</v>
          </cell>
          <cell r="K818">
            <v>17.5</v>
          </cell>
          <cell r="L818">
            <v>14</v>
          </cell>
          <cell r="M818" t="e">
            <v>#N/A</v>
          </cell>
          <cell r="N818">
            <v>16.5</v>
          </cell>
          <cell r="O818" t="e">
            <v>#N/A</v>
          </cell>
          <cell r="P818" t="str">
            <v/>
          </cell>
          <cell r="Q818" t="str">
            <v/>
          </cell>
          <cell r="R818">
            <v>16.5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-5.5405405405452267E-2</v>
          </cell>
          <cell r="F819">
            <v>17.51216216216233</v>
          </cell>
          <cell r="G819">
            <v>13.998648648648681</v>
          </cell>
          <cell r="H819">
            <v>13.998648648648681</v>
          </cell>
          <cell r="I819" t="e">
            <v>#N/A</v>
          </cell>
          <cell r="J819" t="e">
            <v>#N/A</v>
          </cell>
          <cell r="K819">
            <v>17.5</v>
          </cell>
          <cell r="L819">
            <v>14</v>
          </cell>
          <cell r="M819" t="e">
            <v>#N/A</v>
          </cell>
          <cell r="N819">
            <v>16.5</v>
          </cell>
          <cell r="O819" t="e">
            <v>#N/A</v>
          </cell>
          <cell r="P819" t="str">
            <v/>
          </cell>
          <cell r="Q819" t="str">
            <v/>
          </cell>
          <cell r="R819">
            <v>16.5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-0.11081081081085767</v>
          </cell>
          <cell r="F820">
            <v>17.524324324324493</v>
          </cell>
          <cell r="G820">
            <v>13.99729729729733</v>
          </cell>
          <cell r="H820">
            <v>13.99729729729733</v>
          </cell>
          <cell r="I820" t="e">
            <v>#N/A</v>
          </cell>
          <cell r="J820" t="e">
            <v>#N/A</v>
          </cell>
          <cell r="K820">
            <v>17.5</v>
          </cell>
          <cell r="L820">
            <v>14</v>
          </cell>
          <cell r="M820" t="e">
            <v>#N/A</v>
          </cell>
          <cell r="N820">
            <v>16.5</v>
          </cell>
          <cell r="O820" t="e">
            <v>#N/A</v>
          </cell>
          <cell r="P820" t="str">
            <v/>
          </cell>
          <cell r="Q820" t="str">
            <v/>
          </cell>
          <cell r="R820">
            <v>16.5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-0.16621621621626306</v>
          </cell>
          <cell r="F821">
            <v>17.536486486486655</v>
          </cell>
          <cell r="G821">
            <v>13.995945945945978</v>
          </cell>
          <cell r="H821">
            <v>13.995945945945978</v>
          </cell>
          <cell r="I821" t="e">
            <v>#N/A</v>
          </cell>
          <cell r="J821" t="e">
            <v>#N/A</v>
          </cell>
          <cell r="K821">
            <v>17.5</v>
          </cell>
          <cell r="L821">
            <v>14</v>
          </cell>
          <cell r="M821" t="e">
            <v>#N/A</v>
          </cell>
          <cell r="N821">
            <v>16.5</v>
          </cell>
          <cell r="O821" t="e">
            <v>#N/A</v>
          </cell>
          <cell r="P821" t="str">
            <v/>
          </cell>
          <cell r="Q821" t="str">
            <v/>
          </cell>
          <cell r="R821">
            <v>16.5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-0.22162162162166846</v>
          </cell>
          <cell r="F822">
            <v>17.548648648648818</v>
          </cell>
          <cell r="G822">
            <v>13.994594594594627</v>
          </cell>
          <cell r="H822">
            <v>13.994594594594627</v>
          </cell>
          <cell r="I822" t="e">
            <v>#N/A</v>
          </cell>
          <cell r="J822" t="e">
            <v>#N/A</v>
          </cell>
          <cell r="K822">
            <v>17.5</v>
          </cell>
          <cell r="L822">
            <v>14</v>
          </cell>
          <cell r="M822" t="e">
            <v>#N/A</v>
          </cell>
          <cell r="N822">
            <v>16.5</v>
          </cell>
          <cell r="O822" t="e">
            <v>#N/A</v>
          </cell>
          <cell r="P822" t="str">
            <v/>
          </cell>
          <cell r="Q822" t="str">
            <v/>
          </cell>
          <cell r="R822">
            <v>16.5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-0.27702702702707388</v>
          </cell>
          <cell r="F823">
            <v>17.560810810810981</v>
          </cell>
          <cell r="G823">
            <v>13.993243243243276</v>
          </cell>
          <cell r="H823">
            <v>13.993243243243276</v>
          </cell>
          <cell r="I823" t="e">
            <v>#N/A</v>
          </cell>
          <cell r="J823" t="e">
            <v>#N/A</v>
          </cell>
          <cell r="K823">
            <v>17.5</v>
          </cell>
          <cell r="L823">
            <v>14</v>
          </cell>
          <cell r="M823" t="e">
            <v>#N/A</v>
          </cell>
          <cell r="N823">
            <v>16.5</v>
          </cell>
          <cell r="O823" t="e">
            <v>#N/A</v>
          </cell>
          <cell r="P823" t="str">
            <v/>
          </cell>
          <cell r="Q823" t="str">
            <v/>
          </cell>
          <cell r="R823">
            <v>16.5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-0.33243243243247927</v>
          </cell>
          <cell r="F824">
            <v>17.572972972973144</v>
          </cell>
          <cell r="G824">
            <v>13.991891891891925</v>
          </cell>
          <cell r="H824">
            <v>13.991891891891925</v>
          </cell>
          <cell r="I824" t="e">
            <v>#N/A</v>
          </cell>
          <cell r="J824" t="e">
            <v>#N/A</v>
          </cell>
          <cell r="K824">
            <v>17.5</v>
          </cell>
          <cell r="L824">
            <v>14</v>
          </cell>
          <cell r="M824" t="e">
            <v>#N/A</v>
          </cell>
          <cell r="N824">
            <v>16.5</v>
          </cell>
          <cell r="O824" t="e">
            <v>#N/A</v>
          </cell>
          <cell r="P824" t="str">
            <v/>
          </cell>
          <cell r="Q824" t="str">
            <v/>
          </cell>
          <cell r="R824">
            <v>16.5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-0.38783783783788467</v>
          </cell>
          <cell r="F825">
            <v>17.585135135135307</v>
          </cell>
          <cell r="G825">
            <v>13.990540540540573</v>
          </cell>
          <cell r="H825">
            <v>13.990540540540573</v>
          </cell>
          <cell r="I825" t="e">
            <v>#N/A</v>
          </cell>
          <cell r="J825" t="e">
            <v>#N/A</v>
          </cell>
          <cell r="K825">
            <v>17.5</v>
          </cell>
          <cell r="L825">
            <v>14</v>
          </cell>
          <cell r="M825" t="e">
            <v>#N/A</v>
          </cell>
          <cell r="N825">
            <v>16.5</v>
          </cell>
          <cell r="O825" t="e">
            <v>#N/A</v>
          </cell>
          <cell r="P825" t="str">
            <v/>
          </cell>
          <cell r="Q825" t="str">
            <v/>
          </cell>
          <cell r="R825">
            <v>16.5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-0.44324324324329006</v>
          </cell>
          <cell r="F826">
            <v>17.597297297297469</v>
          </cell>
          <cell r="G826">
            <v>13.989189189189222</v>
          </cell>
          <cell r="H826">
            <v>13.989189189189222</v>
          </cell>
          <cell r="I826" t="e">
            <v>#N/A</v>
          </cell>
          <cell r="J826" t="e">
            <v>#N/A</v>
          </cell>
          <cell r="K826">
            <v>17.5</v>
          </cell>
          <cell r="L826">
            <v>14</v>
          </cell>
          <cell r="M826" t="e">
            <v>#N/A</v>
          </cell>
          <cell r="N826">
            <v>16.5</v>
          </cell>
          <cell r="O826" t="e">
            <v>#N/A</v>
          </cell>
          <cell r="P826" t="str">
            <v/>
          </cell>
          <cell r="Q826" t="str">
            <v/>
          </cell>
          <cell r="R826">
            <v>16.5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-0.49864864864869546</v>
          </cell>
          <cell r="F827">
            <v>17.609459459459632</v>
          </cell>
          <cell r="G827">
            <v>13.987837837837871</v>
          </cell>
          <cell r="H827">
            <v>13.987837837837871</v>
          </cell>
          <cell r="I827" t="e">
            <v>#N/A</v>
          </cell>
          <cell r="J827" t="e">
            <v>#N/A</v>
          </cell>
          <cell r="K827">
            <v>17.5</v>
          </cell>
          <cell r="L827">
            <v>14</v>
          </cell>
          <cell r="M827" t="e">
            <v>#N/A</v>
          </cell>
          <cell r="N827">
            <v>16.5</v>
          </cell>
          <cell r="O827" t="e">
            <v>#N/A</v>
          </cell>
          <cell r="P827" t="str">
            <v/>
          </cell>
          <cell r="Q827" t="str">
            <v/>
          </cell>
          <cell r="R827">
            <v>16.5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-0.55405405405410091</v>
          </cell>
          <cell r="F828">
            <v>17.621621621621795</v>
          </cell>
          <cell r="G828">
            <v>13.98648648648652</v>
          </cell>
          <cell r="H828">
            <v>13.98648648648652</v>
          </cell>
          <cell r="I828" t="e">
            <v>#N/A</v>
          </cell>
          <cell r="J828" t="e">
            <v>#N/A</v>
          </cell>
          <cell r="K828">
            <v>17.5</v>
          </cell>
          <cell r="L828">
            <v>14</v>
          </cell>
          <cell r="M828" t="e">
            <v>#N/A</v>
          </cell>
          <cell r="N828">
            <v>16.5</v>
          </cell>
          <cell r="O828" t="e">
            <v>#N/A</v>
          </cell>
          <cell r="P828" t="str">
            <v/>
          </cell>
          <cell r="Q828" t="str">
            <v/>
          </cell>
          <cell r="R828">
            <v>16.5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-0.6094594594595063</v>
          </cell>
          <cell r="F829">
            <v>17.633783783783958</v>
          </cell>
          <cell r="G829">
            <v>13.985135135135168</v>
          </cell>
          <cell r="H829">
            <v>13.985135135135168</v>
          </cell>
          <cell r="I829" t="e">
            <v>#N/A</v>
          </cell>
          <cell r="J829" t="e">
            <v>#N/A</v>
          </cell>
          <cell r="K829">
            <v>17.5</v>
          </cell>
          <cell r="L829">
            <v>14</v>
          </cell>
          <cell r="M829" t="e">
            <v>#N/A</v>
          </cell>
          <cell r="N829">
            <v>16.5</v>
          </cell>
          <cell r="O829" t="e">
            <v>#N/A</v>
          </cell>
          <cell r="P829" t="str">
            <v/>
          </cell>
          <cell r="Q829" t="str">
            <v/>
          </cell>
          <cell r="R829">
            <v>16.5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-0.6648648648649117</v>
          </cell>
          <cell r="F830">
            <v>17.645945945946121</v>
          </cell>
          <cell r="G830">
            <v>13.983783783783817</v>
          </cell>
          <cell r="H830">
            <v>13.983783783783817</v>
          </cell>
          <cell r="I830" t="e">
            <v>#N/A</v>
          </cell>
          <cell r="J830" t="e">
            <v>#N/A</v>
          </cell>
          <cell r="K830">
            <v>17.5</v>
          </cell>
          <cell r="L830">
            <v>14</v>
          </cell>
          <cell r="M830" t="e">
            <v>#N/A</v>
          </cell>
          <cell r="N830">
            <v>16.5</v>
          </cell>
          <cell r="O830" t="e">
            <v>#N/A</v>
          </cell>
          <cell r="P830" t="str">
            <v/>
          </cell>
          <cell r="Q830" t="str">
            <v/>
          </cell>
          <cell r="R830">
            <v>16.5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-0.72027027027031709</v>
          </cell>
          <cell r="F831">
            <v>17.658108108108284</v>
          </cell>
          <cell r="G831">
            <v>13.982432432432466</v>
          </cell>
          <cell r="H831">
            <v>13.982432432432466</v>
          </cell>
          <cell r="I831" t="e">
            <v>#N/A</v>
          </cell>
          <cell r="J831" t="e">
            <v>#N/A</v>
          </cell>
          <cell r="K831">
            <v>17.5</v>
          </cell>
          <cell r="L831">
            <v>14</v>
          </cell>
          <cell r="M831" t="e">
            <v>#N/A</v>
          </cell>
          <cell r="N831">
            <v>16.5</v>
          </cell>
          <cell r="O831" t="e">
            <v>#N/A</v>
          </cell>
          <cell r="P831" t="str">
            <v/>
          </cell>
          <cell r="Q831" t="str">
            <v/>
          </cell>
          <cell r="R831">
            <v>16.5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-0.77567567567572249</v>
          </cell>
          <cell r="F832">
            <v>17.670270270270446</v>
          </cell>
          <cell r="G832">
            <v>13.981081081081115</v>
          </cell>
          <cell r="H832">
            <v>13.981081081081115</v>
          </cell>
          <cell r="I832" t="e">
            <v>#N/A</v>
          </cell>
          <cell r="J832" t="e">
            <v>#N/A</v>
          </cell>
          <cell r="K832">
            <v>17.5</v>
          </cell>
          <cell r="L832">
            <v>14</v>
          </cell>
          <cell r="M832" t="e">
            <v>#N/A</v>
          </cell>
          <cell r="N832">
            <v>16.5</v>
          </cell>
          <cell r="O832" t="e">
            <v>#N/A</v>
          </cell>
          <cell r="P832" t="str">
            <v/>
          </cell>
          <cell r="Q832" t="str">
            <v/>
          </cell>
          <cell r="R832">
            <v>16.5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-0.83108108108112788</v>
          </cell>
          <cell r="F833">
            <v>17.682432432432609</v>
          </cell>
          <cell r="G833">
            <v>13.979729729729764</v>
          </cell>
          <cell r="H833">
            <v>13.979729729729764</v>
          </cell>
          <cell r="I833" t="e">
            <v>#N/A</v>
          </cell>
          <cell r="J833" t="e">
            <v>#N/A</v>
          </cell>
          <cell r="K833">
            <v>17.5</v>
          </cell>
          <cell r="L833">
            <v>14</v>
          </cell>
          <cell r="M833" t="e">
            <v>#N/A</v>
          </cell>
          <cell r="N833">
            <v>16.5</v>
          </cell>
          <cell r="O833" t="e">
            <v>#N/A</v>
          </cell>
          <cell r="P833" t="str">
            <v/>
          </cell>
          <cell r="Q833" t="str">
            <v/>
          </cell>
          <cell r="R833">
            <v>16.5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-0.88648648648653328</v>
          </cell>
          <cell r="F834">
            <v>17.694594594594772</v>
          </cell>
          <cell r="G834">
            <v>13.978378378378412</v>
          </cell>
          <cell r="H834">
            <v>13.978378378378412</v>
          </cell>
          <cell r="I834" t="e">
            <v>#N/A</v>
          </cell>
          <cell r="J834" t="e">
            <v>#N/A</v>
          </cell>
          <cell r="K834">
            <v>17.5</v>
          </cell>
          <cell r="L834">
            <v>14</v>
          </cell>
          <cell r="M834" t="e">
            <v>#N/A</v>
          </cell>
          <cell r="N834">
            <v>16.5</v>
          </cell>
          <cell r="O834" t="e">
            <v>#N/A</v>
          </cell>
          <cell r="P834" t="str">
            <v/>
          </cell>
          <cell r="Q834" t="str">
            <v/>
          </cell>
          <cell r="R834">
            <v>16.5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-0.94189189189193867</v>
          </cell>
          <cell r="F835">
            <v>17.706756756756935</v>
          </cell>
          <cell r="G835">
            <v>13.977027027027061</v>
          </cell>
          <cell r="H835">
            <v>13.977027027027061</v>
          </cell>
          <cell r="I835" t="e">
            <v>#N/A</v>
          </cell>
          <cell r="J835" t="e">
            <v>#N/A</v>
          </cell>
          <cell r="K835">
            <v>17.5</v>
          </cell>
          <cell r="L835">
            <v>14</v>
          </cell>
          <cell r="M835" t="e">
            <v>#N/A</v>
          </cell>
          <cell r="N835">
            <v>16.5</v>
          </cell>
          <cell r="O835" t="e">
            <v>#N/A</v>
          </cell>
          <cell r="P835" t="str">
            <v/>
          </cell>
          <cell r="Q835" t="str">
            <v/>
          </cell>
          <cell r="R835">
            <v>16.5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-0.99729729729734407</v>
          </cell>
          <cell r="F836">
            <v>17.718918918919098</v>
          </cell>
          <cell r="G836">
            <v>13.97567567567571</v>
          </cell>
          <cell r="H836">
            <v>13.97567567567571</v>
          </cell>
          <cell r="I836" t="e">
            <v>#N/A</v>
          </cell>
          <cell r="J836" t="e">
            <v>#N/A</v>
          </cell>
          <cell r="K836">
            <v>17.5</v>
          </cell>
          <cell r="L836">
            <v>14</v>
          </cell>
          <cell r="M836" t="e">
            <v>#N/A</v>
          </cell>
          <cell r="N836">
            <v>16.5</v>
          </cell>
          <cell r="O836" t="e">
            <v>#N/A</v>
          </cell>
          <cell r="P836" t="str">
            <v/>
          </cell>
          <cell r="Q836" t="str">
            <v/>
          </cell>
          <cell r="R836">
            <v>16.5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-1.0527027027027496</v>
          </cell>
          <cell r="F837">
            <v>17.73108108108126</v>
          </cell>
          <cell r="G837">
            <v>13.974324324324359</v>
          </cell>
          <cell r="H837">
            <v>13.974324324324359</v>
          </cell>
          <cell r="I837" t="e">
            <v>#N/A</v>
          </cell>
          <cell r="J837" t="e">
            <v>#N/A</v>
          </cell>
          <cell r="K837">
            <v>17.5</v>
          </cell>
          <cell r="L837">
            <v>14</v>
          </cell>
          <cell r="M837" t="e">
            <v>#N/A</v>
          </cell>
          <cell r="N837">
            <v>16.5</v>
          </cell>
          <cell r="O837" t="e">
            <v>#N/A</v>
          </cell>
          <cell r="P837" t="str">
            <v/>
          </cell>
          <cell r="Q837" t="str">
            <v/>
          </cell>
          <cell r="R837">
            <v>16.5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-1.108108108108155</v>
          </cell>
          <cell r="F838">
            <v>17.743243243243423</v>
          </cell>
          <cell r="G838">
            <v>13.972972972973007</v>
          </cell>
          <cell r="H838">
            <v>13.972972972973007</v>
          </cell>
          <cell r="I838" t="e">
            <v>#N/A</v>
          </cell>
          <cell r="J838" t="e">
            <v>#N/A</v>
          </cell>
          <cell r="K838">
            <v>17.5</v>
          </cell>
          <cell r="L838">
            <v>14</v>
          </cell>
          <cell r="M838" t="e">
            <v>#N/A</v>
          </cell>
          <cell r="N838">
            <v>16.5</v>
          </cell>
          <cell r="O838" t="e">
            <v>#N/A</v>
          </cell>
          <cell r="P838" t="str">
            <v/>
          </cell>
          <cell r="Q838" t="str">
            <v/>
          </cell>
          <cell r="R838">
            <v>16.5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-1.1635135135135604</v>
          </cell>
          <cell r="F839">
            <v>17.755405405405586</v>
          </cell>
          <cell r="G839">
            <v>13.971621621621656</v>
          </cell>
          <cell r="H839">
            <v>13.971621621621656</v>
          </cell>
          <cell r="I839" t="e">
            <v>#N/A</v>
          </cell>
          <cell r="J839" t="e">
            <v>#N/A</v>
          </cell>
          <cell r="K839">
            <v>17.5</v>
          </cell>
          <cell r="L839">
            <v>14</v>
          </cell>
          <cell r="M839" t="e">
            <v>#N/A</v>
          </cell>
          <cell r="N839">
            <v>16.5</v>
          </cell>
          <cell r="O839" t="e">
            <v>#N/A</v>
          </cell>
          <cell r="P839" t="str">
            <v/>
          </cell>
          <cell r="Q839" t="str">
            <v/>
          </cell>
          <cell r="R839">
            <v>16.5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-1.2189189189189658</v>
          </cell>
          <cell r="F840">
            <v>17.767567567567749</v>
          </cell>
          <cell r="G840">
            <v>13.970270270270305</v>
          </cell>
          <cell r="H840">
            <v>13.970270270270305</v>
          </cell>
          <cell r="I840" t="e">
            <v>#N/A</v>
          </cell>
          <cell r="J840" t="e">
            <v>#N/A</v>
          </cell>
          <cell r="K840">
            <v>17.5</v>
          </cell>
          <cell r="L840">
            <v>14</v>
          </cell>
          <cell r="M840" t="e">
            <v>#N/A</v>
          </cell>
          <cell r="N840">
            <v>16.5</v>
          </cell>
          <cell r="O840" t="e">
            <v>#N/A</v>
          </cell>
          <cell r="P840" t="str">
            <v/>
          </cell>
          <cell r="Q840" t="str">
            <v/>
          </cell>
          <cell r="R840">
            <v>16.5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-1.2743243243243711</v>
          </cell>
          <cell r="F841">
            <v>17.779729729729912</v>
          </cell>
          <cell r="G841">
            <v>13.968918918918954</v>
          </cell>
          <cell r="H841">
            <v>13.968918918918954</v>
          </cell>
          <cell r="I841" t="e">
            <v>#N/A</v>
          </cell>
          <cell r="J841" t="e">
            <v>#N/A</v>
          </cell>
          <cell r="K841">
            <v>17.5</v>
          </cell>
          <cell r="L841">
            <v>14</v>
          </cell>
          <cell r="M841" t="e">
            <v>#N/A</v>
          </cell>
          <cell r="N841">
            <v>16.5</v>
          </cell>
          <cell r="O841" t="e">
            <v>#N/A</v>
          </cell>
          <cell r="P841" t="str">
            <v/>
          </cell>
          <cell r="Q841" t="str">
            <v/>
          </cell>
          <cell r="R841">
            <v>16.5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-1.3297297297297765</v>
          </cell>
          <cell r="F842">
            <v>17.791891891892075</v>
          </cell>
          <cell r="G842">
            <v>13.967567567567603</v>
          </cell>
          <cell r="H842">
            <v>13.967567567567603</v>
          </cell>
          <cell r="I842" t="e">
            <v>#N/A</v>
          </cell>
          <cell r="J842" t="e">
            <v>#N/A</v>
          </cell>
          <cell r="K842">
            <v>17.5</v>
          </cell>
          <cell r="L842">
            <v>14</v>
          </cell>
          <cell r="M842" t="e">
            <v>#N/A</v>
          </cell>
          <cell r="N842">
            <v>16.5</v>
          </cell>
          <cell r="O842" t="e">
            <v>#N/A</v>
          </cell>
          <cell r="P842" t="str">
            <v/>
          </cell>
          <cell r="Q842" t="str">
            <v/>
          </cell>
          <cell r="R842">
            <v>16.5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-1.3851351351351819</v>
          </cell>
          <cell r="F843">
            <v>17.804054054054237</v>
          </cell>
          <cell r="G843">
            <v>13.966216216216251</v>
          </cell>
          <cell r="H843">
            <v>13.966216216216251</v>
          </cell>
          <cell r="I843" t="e">
            <v>#N/A</v>
          </cell>
          <cell r="J843" t="e">
            <v>#N/A</v>
          </cell>
          <cell r="K843">
            <v>17.5</v>
          </cell>
          <cell r="L843">
            <v>14</v>
          </cell>
          <cell r="M843" t="e">
            <v>#N/A</v>
          </cell>
          <cell r="N843">
            <v>16.5</v>
          </cell>
          <cell r="O843" t="e">
            <v>#N/A</v>
          </cell>
          <cell r="P843" t="str">
            <v/>
          </cell>
          <cell r="Q843" t="str">
            <v/>
          </cell>
          <cell r="R843">
            <v>16.5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-1.4405405405405873</v>
          </cell>
          <cell r="F844">
            <v>17.8162162162164</v>
          </cell>
          <cell r="G844">
            <v>13.9648648648649</v>
          </cell>
          <cell r="H844">
            <v>13.9648648648649</v>
          </cell>
          <cell r="I844" t="e">
            <v>#N/A</v>
          </cell>
          <cell r="J844" t="e">
            <v>#N/A</v>
          </cell>
          <cell r="K844">
            <v>17.5</v>
          </cell>
          <cell r="L844">
            <v>14</v>
          </cell>
          <cell r="M844" t="e">
            <v>#N/A</v>
          </cell>
          <cell r="N844">
            <v>16.5</v>
          </cell>
          <cell r="O844" t="e">
            <v>#N/A</v>
          </cell>
          <cell r="P844" t="str">
            <v/>
          </cell>
          <cell r="Q844" t="str">
            <v/>
          </cell>
          <cell r="R844">
            <v>16.5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-1.4959459459459927</v>
          </cell>
          <cell r="F845">
            <v>17.828378378378563</v>
          </cell>
          <cell r="G845">
            <v>13.963513513513549</v>
          </cell>
          <cell r="H845">
            <v>13.963513513513549</v>
          </cell>
          <cell r="I845" t="e">
            <v>#N/A</v>
          </cell>
          <cell r="J845" t="e">
            <v>#N/A</v>
          </cell>
          <cell r="K845">
            <v>17.5</v>
          </cell>
          <cell r="L845">
            <v>14</v>
          </cell>
          <cell r="M845" t="e">
            <v>#N/A</v>
          </cell>
          <cell r="N845">
            <v>16.5</v>
          </cell>
          <cell r="O845" t="e">
            <v>#N/A</v>
          </cell>
          <cell r="P845" t="str">
            <v/>
          </cell>
          <cell r="Q845" t="str">
            <v/>
          </cell>
          <cell r="R845">
            <v>16.5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-1.5513513513513981</v>
          </cell>
          <cell r="F846">
            <v>17.840540540540726</v>
          </cell>
          <cell r="G846">
            <v>13.962162162162198</v>
          </cell>
          <cell r="H846">
            <v>13.962162162162198</v>
          </cell>
          <cell r="I846" t="e">
            <v>#N/A</v>
          </cell>
          <cell r="J846" t="e">
            <v>#N/A</v>
          </cell>
          <cell r="K846">
            <v>17.5</v>
          </cell>
          <cell r="L846">
            <v>14</v>
          </cell>
          <cell r="M846" t="e">
            <v>#N/A</v>
          </cell>
          <cell r="N846">
            <v>16.5</v>
          </cell>
          <cell r="O846" t="e">
            <v>#N/A</v>
          </cell>
          <cell r="P846" t="str">
            <v/>
          </cell>
          <cell r="Q846" t="str">
            <v/>
          </cell>
          <cell r="R846">
            <v>16.5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-1.6067567567568035</v>
          </cell>
          <cell r="F847">
            <v>17.852702702702889</v>
          </cell>
          <cell r="G847">
            <v>13.960810810810846</v>
          </cell>
          <cell r="H847">
            <v>13.960810810810846</v>
          </cell>
          <cell r="I847" t="e">
            <v>#N/A</v>
          </cell>
          <cell r="J847" t="e">
            <v>#N/A</v>
          </cell>
          <cell r="K847">
            <v>17.5</v>
          </cell>
          <cell r="L847">
            <v>14</v>
          </cell>
          <cell r="M847" t="e">
            <v>#N/A</v>
          </cell>
          <cell r="N847">
            <v>16.5</v>
          </cell>
          <cell r="O847" t="e">
            <v>#N/A</v>
          </cell>
          <cell r="P847" t="str">
            <v/>
          </cell>
          <cell r="Q847" t="str">
            <v/>
          </cell>
          <cell r="R847">
            <v>16.5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-1.6621621621622089</v>
          </cell>
          <cell r="F848">
            <v>17.864864864865051</v>
          </cell>
          <cell r="G848">
            <v>13.959459459459495</v>
          </cell>
          <cell r="H848">
            <v>13.959459459459495</v>
          </cell>
          <cell r="I848" t="e">
            <v>#N/A</v>
          </cell>
          <cell r="J848" t="e">
            <v>#N/A</v>
          </cell>
          <cell r="K848">
            <v>17.5</v>
          </cell>
          <cell r="L848">
            <v>14</v>
          </cell>
          <cell r="M848" t="e">
            <v>#N/A</v>
          </cell>
          <cell r="N848">
            <v>16.5</v>
          </cell>
          <cell r="O848" t="e">
            <v>#N/A</v>
          </cell>
          <cell r="P848" t="str">
            <v/>
          </cell>
          <cell r="Q848" t="str">
            <v/>
          </cell>
          <cell r="R848">
            <v>16.5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-1.7175675675676143</v>
          </cell>
          <cell r="F849">
            <v>17.877027027027214</v>
          </cell>
          <cell r="G849">
            <v>13.958108108108144</v>
          </cell>
          <cell r="H849">
            <v>13.958108108108144</v>
          </cell>
          <cell r="I849" t="e">
            <v>#N/A</v>
          </cell>
          <cell r="J849" t="e">
            <v>#N/A</v>
          </cell>
          <cell r="K849">
            <v>17.5</v>
          </cell>
          <cell r="L849">
            <v>14</v>
          </cell>
          <cell r="M849" t="e">
            <v>#N/A</v>
          </cell>
          <cell r="N849">
            <v>16.5</v>
          </cell>
          <cell r="O849" t="e">
            <v>#N/A</v>
          </cell>
          <cell r="P849" t="str">
            <v/>
          </cell>
          <cell r="Q849" t="str">
            <v/>
          </cell>
          <cell r="R849">
            <v>16.5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-1.7729729729730197</v>
          </cell>
          <cell r="F850">
            <v>17.889189189189377</v>
          </cell>
          <cell r="G850">
            <v>13.956756756756793</v>
          </cell>
          <cell r="H850">
            <v>13.956756756756793</v>
          </cell>
          <cell r="I850" t="e">
            <v>#N/A</v>
          </cell>
          <cell r="J850" t="e">
            <v>#N/A</v>
          </cell>
          <cell r="K850">
            <v>17.5</v>
          </cell>
          <cell r="L850">
            <v>14</v>
          </cell>
          <cell r="M850" t="e">
            <v>#N/A</v>
          </cell>
          <cell r="N850">
            <v>16.5</v>
          </cell>
          <cell r="O850" t="e">
            <v>#N/A</v>
          </cell>
          <cell r="P850" t="str">
            <v/>
          </cell>
          <cell r="Q850" t="str">
            <v/>
          </cell>
          <cell r="R850">
            <v>16.5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-1.8283783783784251</v>
          </cell>
          <cell r="F851">
            <v>17.90135135135154</v>
          </cell>
          <cell r="G851">
            <v>13.955405405405441</v>
          </cell>
          <cell r="H851">
            <v>13.955405405405441</v>
          </cell>
          <cell r="I851" t="e">
            <v>#N/A</v>
          </cell>
          <cell r="J851" t="e">
            <v>#N/A</v>
          </cell>
          <cell r="K851">
            <v>17.5</v>
          </cell>
          <cell r="L851">
            <v>14</v>
          </cell>
          <cell r="M851" t="e">
            <v>#N/A</v>
          </cell>
          <cell r="N851">
            <v>16.5</v>
          </cell>
          <cell r="O851" t="e">
            <v>#N/A</v>
          </cell>
          <cell r="P851" t="str">
            <v/>
          </cell>
          <cell r="Q851" t="str">
            <v/>
          </cell>
          <cell r="R851">
            <v>16.5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-1.8837837837838305</v>
          </cell>
          <cell r="F852">
            <v>17.913513513513703</v>
          </cell>
          <cell r="G852">
            <v>13.95405405405409</v>
          </cell>
          <cell r="H852">
            <v>13.95405405405409</v>
          </cell>
          <cell r="I852" t="e">
            <v>#N/A</v>
          </cell>
          <cell r="J852" t="e">
            <v>#N/A</v>
          </cell>
          <cell r="K852">
            <v>17.5</v>
          </cell>
          <cell r="L852">
            <v>14</v>
          </cell>
          <cell r="M852" t="e">
            <v>#N/A</v>
          </cell>
          <cell r="N852">
            <v>16.5</v>
          </cell>
          <cell r="O852" t="e">
            <v>#N/A</v>
          </cell>
          <cell r="P852" t="str">
            <v/>
          </cell>
          <cell r="Q852" t="str">
            <v/>
          </cell>
          <cell r="R852">
            <v>16.5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-1.9391891891892359</v>
          </cell>
          <cell r="F853">
            <v>17.925675675675866</v>
          </cell>
          <cell r="G853">
            <v>13.952702702702739</v>
          </cell>
          <cell r="H853">
            <v>13.952702702702739</v>
          </cell>
          <cell r="I853" t="e">
            <v>#N/A</v>
          </cell>
          <cell r="J853" t="e">
            <v>#N/A</v>
          </cell>
          <cell r="K853">
            <v>17.5</v>
          </cell>
          <cell r="L853">
            <v>14</v>
          </cell>
          <cell r="M853" t="e">
            <v>#N/A</v>
          </cell>
          <cell r="N853">
            <v>16.5</v>
          </cell>
          <cell r="O853" t="e">
            <v>#N/A</v>
          </cell>
          <cell r="P853" t="str">
            <v/>
          </cell>
          <cell r="Q853" t="str">
            <v/>
          </cell>
          <cell r="R853">
            <v>16.5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-1.9945945945946413</v>
          </cell>
          <cell r="F854">
            <v>17.937837837838028</v>
          </cell>
          <cell r="G854">
            <v>13.951351351351388</v>
          </cell>
          <cell r="H854">
            <v>13.951351351351388</v>
          </cell>
          <cell r="I854" t="e">
            <v>#N/A</v>
          </cell>
          <cell r="J854" t="e">
            <v>#N/A</v>
          </cell>
          <cell r="K854">
            <v>17.5</v>
          </cell>
          <cell r="L854">
            <v>14</v>
          </cell>
          <cell r="M854" t="e">
            <v>#N/A</v>
          </cell>
          <cell r="N854">
            <v>16.5</v>
          </cell>
          <cell r="O854" t="e">
            <v>#N/A</v>
          </cell>
          <cell r="P854" t="str">
            <v/>
          </cell>
          <cell r="Q854" t="str">
            <v/>
          </cell>
          <cell r="R854">
            <v>16.5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-2.0500000000000469</v>
          </cell>
          <cell r="F855">
            <v>17.950000000000191</v>
          </cell>
          <cell r="G855">
            <v>13.950000000000037</v>
          </cell>
          <cell r="H855">
            <v>13.950000000000037</v>
          </cell>
          <cell r="I855" t="e">
            <v>#N/A</v>
          </cell>
          <cell r="J855" t="e">
            <v>#N/A</v>
          </cell>
          <cell r="K855">
            <v>17.5</v>
          </cell>
          <cell r="L855">
            <v>14</v>
          </cell>
          <cell r="M855" t="e">
            <v>#N/A</v>
          </cell>
          <cell r="N855">
            <v>16.5</v>
          </cell>
          <cell r="O855" t="e">
            <v>#N/A</v>
          </cell>
          <cell r="P855" t="str">
            <v/>
          </cell>
          <cell r="Q855" t="str">
            <v/>
          </cell>
          <cell r="R855">
            <v>16.5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-2.1054054054054525</v>
          </cell>
          <cell r="F856">
            <v>17.962162162162354</v>
          </cell>
          <cell r="G856">
            <v>13.948648648648685</v>
          </cell>
          <cell r="H856">
            <v>13.948648648648685</v>
          </cell>
          <cell r="I856" t="e">
            <v>#N/A</v>
          </cell>
          <cell r="J856" t="e">
            <v>#N/A</v>
          </cell>
          <cell r="K856">
            <v>17.5</v>
          </cell>
          <cell r="L856">
            <v>14</v>
          </cell>
          <cell r="M856" t="e">
            <v>#N/A</v>
          </cell>
          <cell r="N856">
            <v>16.5</v>
          </cell>
          <cell r="O856" t="e">
            <v>#N/A</v>
          </cell>
          <cell r="P856" t="str">
            <v/>
          </cell>
          <cell r="Q856" t="str">
            <v/>
          </cell>
          <cell r="R856">
            <v>16.5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-2.1608108108108581</v>
          </cell>
          <cell r="F857">
            <v>17.974324324324517</v>
          </cell>
          <cell r="G857">
            <v>13.947297297297334</v>
          </cell>
          <cell r="H857">
            <v>13.947297297297334</v>
          </cell>
          <cell r="I857" t="e">
            <v>#N/A</v>
          </cell>
          <cell r="J857" t="e">
            <v>#N/A</v>
          </cell>
          <cell r="K857">
            <v>17.5</v>
          </cell>
          <cell r="L857">
            <v>14</v>
          </cell>
          <cell r="M857" t="e">
            <v>#N/A</v>
          </cell>
          <cell r="N857">
            <v>16.5</v>
          </cell>
          <cell r="O857" t="e">
            <v>#N/A</v>
          </cell>
          <cell r="P857" t="str">
            <v/>
          </cell>
          <cell r="Q857" t="str">
            <v/>
          </cell>
          <cell r="R857">
            <v>16.5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-2.2162162162162637</v>
          </cell>
          <cell r="F858">
            <v>17.98648648648668</v>
          </cell>
          <cell r="G858">
            <v>13.945945945945983</v>
          </cell>
          <cell r="H858">
            <v>13.945945945945983</v>
          </cell>
          <cell r="I858" t="e">
            <v>#N/A</v>
          </cell>
          <cell r="J858" t="e">
            <v>#N/A</v>
          </cell>
          <cell r="K858">
            <v>17.5</v>
          </cell>
          <cell r="L858">
            <v>14</v>
          </cell>
          <cell r="M858" t="e">
            <v>#N/A</v>
          </cell>
          <cell r="N858">
            <v>16.5</v>
          </cell>
          <cell r="O858" t="e">
            <v>#N/A</v>
          </cell>
          <cell r="P858" t="str">
            <v/>
          </cell>
          <cell r="Q858" t="str">
            <v/>
          </cell>
          <cell r="R858">
            <v>16.5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-2.2716216216216694</v>
          </cell>
          <cell r="F859">
            <v>17.998648648648842</v>
          </cell>
          <cell r="G859">
            <v>13.944594594594632</v>
          </cell>
          <cell r="H859">
            <v>13.944594594594632</v>
          </cell>
          <cell r="I859" t="e">
            <v>#N/A</v>
          </cell>
          <cell r="J859" t="e">
            <v>#N/A</v>
          </cell>
          <cell r="K859">
            <v>17.5</v>
          </cell>
          <cell r="L859">
            <v>14</v>
          </cell>
          <cell r="M859" t="e">
            <v>#N/A</v>
          </cell>
          <cell r="N859">
            <v>16.5</v>
          </cell>
          <cell r="O859" t="e">
            <v>#N/A</v>
          </cell>
          <cell r="P859" t="str">
            <v/>
          </cell>
          <cell r="Q859" t="str">
            <v/>
          </cell>
          <cell r="R859">
            <v>16.5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-2.327027027027075</v>
          </cell>
          <cell r="F860">
            <v>18.010810810811005</v>
          </cell>
          <cell r="G860">
            <v>13.94324324324328</v>
          </cell>
          <cell r="H860">
            <v>13.94324324324328</v>
          </cell>
          <cell r="I860" t="e">
            <v>#N/A</v>
          </cell>
          <cell r="J860" t="e">
            <v>#N/A</v>
          </cell>
          <cell r="K860">
            <v>17.5</v>
          </cell>
          <cell r="L860">
            <v>14</v>
          </cell>
          <cell r="M860" t="e">
            <v>#N/A</v>
          </cell>
          <cell r="N860">
            <v>16.5</v>
          </cell>
          <cell r="O860" t="e">
            <v>#N/A</v>
          </cell>
          <cell r="P860" t="str">
            <v/>
          </cell>
          <cell r="Q860" t="str">
            <v/>
          </cell>
          <cell r="R860">
            <v>16.5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-2.3824324324324806</v>
          </cell>
          <cell r="F861">
            <v>18.022972972973168</v>
          </cell>
          <cell r="G861">
            <v>13.941891891891929</v>
          </cell>
          <cell r="H861">
            <v>13.941891891891929</v>
          </cell>
          <cell r="I861" t="e">
            <v>#N/A</v>
          </cell>
          <cell r="J861" t="e">
            <v>#N/A</v>
          </cell>
          <cell r="K861">
            <v>17.5</v>
          </cell>
          <cell r="L861">
            <v>14</v>
          </cell>
          <cell r="M861" t="e">
            <v>#N/A</v>
          </cell>
          <cell r="N861">
            <v>16.5</v>
          </cell>
          <cell r="O861" t="e">
            <v>#N/A</v>
          </cell>
          <cell r="P861" t="str">
            <v/>
          </cell>
          <cell r="Q861" t="str">
            <v/>
          </cell>
          <cell r="R861">
            <v>16.5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-2.4378378378378862</v>
          </cell>
          <cell r="F862">
            <v>18.035135135135331</v>
          </cell>
          <cell r="G862">
            <v>13.940540540540578</v>
          </cell>
          <cell r="H862">
            <v>13.940540540540578</v>
          </cell>
          <cell r="I862" t="e">
            <v>#N/A</v>
          </cell>
          <cell r="J862" t="e">
            <v>#N/A</v>
          </cell>
          <cell r="K862">
            <v>17.5</v>
          </cell>
          <cell r="L862">
            <v>14</v>
          </cell>
          <cell r="M862" t="e">
            <v>#N/A</v>
          </cell>
          <cell r="N862">
            <v>16.5</v>
          </cell>
          <cell r="O862" t="e">
            <v>#N/A</v>
          </cell>
          <cell r="P862" t="str">
            <v/>
          </cell>
          <cell r="Q862" t="str">
            <v/>
          </cell>
          <cell r="R862">
            <v>16.5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-2.4932432432432918</v>
          </cell>
          <cell r="F863">
            <v>18.047297297297494</v>
          </cell>
          <cell r="G863">
            <v>13.939189189189227</v>
          </cell>
          <cell r="H863">
            <v>13.939189189189227</v>
          </cell>
          <cell r="I863" t="e">
            <v>#N/A</v>
          </cell>
          <cell r="J863" t="e">
            <v>#N/A</v>
          </cell>
          <cell r="K863">
            <v>17.5</v>
          </cell>
          <cell r="L863">
            <v>14</v>
          </cell>
          <cell r="M863" t="e">
            <v>#N/A</v>
          </cell>
          <cell r="N863">
            <v>16.5</v>
          </cell>
          <cell r="O863" t="e">
            <v>#N/A</v>
          </cell>
          <cell r="P863" t="str">
            <v/>
          </cell>
          <cell r="Q863" t="str">
            <v/>
          </cell>
          <cell r="R863">
            <v>16.5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-2.5486486486486974</v>
          </cell>
          <cell r="F864">
            <v>18.059459459459656</v>
          </cell>
          <cell r="G864">
            <v>13.937837837837876</v>
          </cell>
          <cell r="H864">
            <v>13.937837837837876</v>
          </cell>
          <cell r="I864" t="e">
            <v>#N/A</v>
          </cell>
          <cell r="J864" t="e">
            <v>#N/A</v>
          </cell>
          <cell r="K864">
            <v>17.5</v>
          </cell>
          <cell r="L864">
            <v>14</v>
          </cell>
          <cell r="M864" t="e">
            <v>#N/A</v>
          </cell>
          <cell r="N864">
            <v>16.5</v>
          </cell>
          <cell r="O864" t="e">
            <v>#N/A</v>
          </cell>
          <cell r="P864" t="str">
            <v/>
          </cell>
          <cell r="Q864" t="str">
            <v/>
          </cell>
          <cell r="R864">
            <v>16.5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-2.6040540540541031</v>
          </cell>
          <cell r="F865">
            <v>18.071621621621819</v>
          </cell>
          <cell r="G865">
            <v>13.936486486486524</v>
          </cell>
          <cell r="H865">
            <v>13.936486486486524</v>
          </cell>
          <cell r="I865" t="e">
            <v>#N/A</v>
          </cell>
          <cell r="J865" t="e">
            <v>#N/A</v>
          </cell>
          <cell r="K865">
            <v>17.5</v>
          </cell>
          <cell r="L865">
            <v>14</v>
          </cell>
          <cell r="M865" t="e">
            <v>#N/A</v>
          </cell>
          <cell r="N865">
            <v>16.5</v>
          </cell>
          <cell r="O865" t="e">
            <v>#N/A</v>
          </cell>
          <cell r="P865" t="str">
            <v/>
          </cell>
          <cell r="Q865" t="str">
            <v/>
          </cell>
          <cell r="R865">
            <v>16.5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-2.6594594594595087</v>
          </cell>
          <cell r="F866">
            <v>18.083783783783982</v>
          </cell>
          <cell r="G866">
            <v>13.935135135135173</v>
          </cell>
          <cell r="H866">
            <v>13.935135135135173</v>
          </cell>
          <cell r="I866" t="e">
            <v>#N/A</v>
          </cell>
          <cell r="J866" t="e">
            <v>#N/A</v>
          </cell>
          <cell r="K866">
            <v>17.5</v>
          </cell>
          <cell r="L866">
            <v>14</v>
          </cell>
          <cell r="M866" t="e">
            <v>#N/A</v>
          </cell>
          <cell r="N866">
            <v>16.5</v>
          </cell>
          <cell r="O866" t="e">
            <v>#N/A</v>
          </cell>
          <cell r="P866" t="str">
            <v/>
          </cell>
          <cell r="Q866" t="str">
            <v/>
          </cell>
          <cell r="R866">
            <v>16.5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-2.7148648648649143</v>
          </cell>
          <cell r="F867">
            <v>18.095945945946145</v>
          </cell>
          <cell r="G867">
            <v>13.933783783783822</v>
          </cell>
          <cell r="H867">
            <v>13.933783783783822</v>
          </cell>
          <cell r="I867" t="e">
            <v>#N/A</v>
          </cell>
          <cell r="J867" t="e">
            <v>#N/A</v>
          </cell>
          <cell r="K867">
            <v>17.5</v>
          </cell>
          <cell r="L867">
            <v>14</v>
          </cell>
          <cell r="M867" t="e">
            <v>#N/A</v>
          </cell>
          <cell r="N867">
            <v>16.5</v>
          </cell>
          <cell r="O867" t="e">
            <v>#N/A</v>
          </cell>
          <cell r="P867" t="str">
            <v/>
          </cell>
          <cell r="Q867" t="str">
            <v/>
          </cell>
          <cell r="R867">
            <v>16.5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-2.7702702702703199</v>
          </cell>
          <cell r="F868">
            <v>18.108108108108308</v>
          </cell>
          <cell r="G868">
            <v>13.932432432432471</v>
          </cell>
          <cell r="H868">
            <v>13.932432432432471</v>
          </cell>
          <cell r="I868" t="e">
            <v>#N/A</v>
          </cell>
          <cell r="J868" t="e">
            <v>#N/A</v>
          </cell>
          <cell r="K868">
            <v>17.5</v>
          </cell>
          <cell r="L868">
            <v>14</v>
          </cell>
          <cell r="M868" t="e">
            <v>#N/A</v>
          </cell>
          <cell r="N868">
            <v>16.5</v>
          </cell>
          <cell r="O868" t="e">
            <v>#N/A</v>
          </cell>
          <cell r="P868" t="str">
            <v/>
          </cell>
          <cell r="Q868" t="str">
            <v/>
          </cell>
          <cell r="R868">
            <v>16.5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-2.8256756756757255</v>
          </cell>
          <cell r="F869">
            <v>18.120270270270471</v>
          </cell>
          <cell r="G869">
            <v>13.931081081081119</v>
          </cell>
          <cell r="H869">
            <v>13.931081081081119</v>
          </cell>
          <cell r="I869" t="e">
            <v>#N/A</v>
          </cell>
          <cell r="J869" t="e">
            <v>#N/A</v>
          </cell>
          <cell r="K869">
            <v>17.5</v>
          </cell>
          <cell r="L869">
            <v>14</v>
          </cell>
          <cell r="M869" t="e">
            <v>#N/A</v>
          </cell>
          <cell r="N869">
            <v>16.5</v>
          </cell>
          <cell r="O869" t="e">
            <v>#N/A</v>
          </cell>
          <cell r="P869" t="str">
            <v/>
          </cell>
          <cell r="Q869" t="str">
            <v/>
          </cell>
          <cell r="R869">
            <v>16.5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-2.8810810810811311</v>
          </cell>
          <cell r="F870">
            <v>18.132432432432633</v>
          </cell>
          <cell r="G870">
            <v>13.929729729729768</v>
          </cell>
          <cell r="H870">
            <v>13.929729729729768</v>
          </cell>
          <cell r="I870" t="e">
            <v>#N/A</v>
          </cell>
          <cell r="J870" t="e">
            <v>#N/A</v>
          </cell>
          <cell r="K870">
            <v>17.5</v>
          </cell>
          <cell r="L870">
            <v>14</v>
          </cell>
          <cell r="M870" t="e">
            <v>#N/A</v>
          </cell>
          <cell r="N870">
            <v>16.5</v>
          </cell>
          <cell r="O870" t="e">
            <v>#N/A</v>
          </cell>
          <cell r="P870" t="str">
            <v/>
          </cell>
          <cell r="Q870" t="str">
            <v/>
          </cell>
          <cell r="R870">
            <v>16.5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-2.9364864864865368</v>
          </cell>
          <cell r="F871">
            <v>18.144594594594796</v>
          </cell>
          <cell r="G871">
            <v>13.928378378378417</v>
          </cell>
          <cell r="H871">
            <v>13.928378378378417</v>
          </cell>
          <cell r="I871" t="e">
            <v>#N/A</v>
          </cell>
          <cell r="J871" t="e">
            <v>#N/A</v>
          </cell>
          <cell r="K871">
            <v>17.5</v>
          </cell>
          <cell r="L871">
            <v>14</v>
          </cell>
          <cell r="M871" t="e">
            <v>#N/A</v>
          </cell>
          <cell r="N871">
            <v>16.5</v>
          </cell>
          <cell r="O871" t="e">
            <v>#N/A</v>
          </cell>
          <cell r="P871" t="str">
            <v/>
          </cell>
          <cell r="Q871" t="str">
            <v/>
          </cell>
          <cell r="R871">
            <v>16.5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-2.9918918918919424</v>
          </cell>
          <cell r="F872">
            <v>18.156756756756959</v>
          </cell>
          <cell r="G872">
            <v>13.927027027027066</v>
          </cell>
          <cell r="H872">
            <v>13.927027027027066</v>
          </cell>
          <cell r="I872" t="e">
            <v>#N/A</v>
          </cell>
          <cell r="J872" t="e">
            <v>#N/A</v>
          </cell>
          <cell r="K872">
            <v>17.5</v>
          </cell>
          <cell r="L872">
            <v>14</v>
          </cell>
          <cell r="M872" t="e">
            <v>#N/A</v>
          </cell>
          <cell r="N872">
            <v>16.5</v>
          </cell>
          <cell r="O872" t="e">
            <v>#N/A</v>
          </cell>
          <cell r="P872" t="str">
            <v/>
          </cell>
          <cell r="Q872" t="str">
            <v/>
          </cell>
          <cell r="R872">
            <v>16.5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-3.047297297297348</v>
          </cell>
          <cell r="F873">
            <v>18.168918918919122</v>
          </cell>
          <cell r="G873">
            <v>13.925675675675715</v>
          </cell>
          <cell r="H873">
            <v>13.925675675675715</v>
          </cell>
          <cell r="I873" t="e">
            <v>#N/A</v>
          </cell>
          <cell r="J873" t="e">
            <v>#N/A</v>
          </cell>
          <cell r="K873">
            <v>17.5</v>
          </cell>
          <cell r="L873">
            <v>14</v>
          </cell>
          <cell r="M873" t="e">
            <v>#N/A</v>
          </cell>
          <cell r="N873">
            <v>16.5</v>
          </cell>
          <cell r="O873" t="e">
            <v>#N/A</v>
          </cell>
          <cell r="P873" t="str">
            <v/>
          </cell>
          <cell r="Q873" t="str">
            <v/>
          </cell>
          <cell r="R873">
            <v>16.5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-3.1027027027027536</v>
          </cell>
          <cell r="F874">
            <v>18.181081081081285</v>
          </cell>
          <cell r="G874">
            <v>13.924324324324363</v>
          </cell>
          <cell r="H874">
            <v>13.924324324324363</v>
          </cell>
          <cell r="I874" t="e">
            <v>#N/A</v>
          </cell>
          <cell r="J874" t="e">
            <v>#N/A</v>
          </cell>
          <cell r="K874">
            <v>17.5</v>
          </cell>
          <cell r="L874">
            <v>14</v>
          </cell>
          <cell r="M874" t="e">
            <v>#N/A</v>
          </cell>
          <cell r="N874">
            <v>16.5</v>
          </cell>
          <cell r="O874" t="e">
            <v>#N/A</v>
          </cell>
          <cell r="P874" t="str">
            <v/>
          </cell>
          <cell r="Q874" t="str">
            <v/>
          </cell>
          <cell r="R874">
            <v>16.5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-3.1581081081081592</v>
          </cell>
          <cell r="F875">
            <v>18.193243243243447</v>
          </cell>
          <cell r="G875">
            <v>13.922972972973012</v>
          </cell>
          <cell r="H875">
            <v>13.922972972973012</v>
          </cell>
          <cell r="I875" t="e">
            <v>#N/A</v>
          </cell>
          <cell r="J875" t="e">
            <v>#N/A</v>
          </cell>
          <cell r="K875">
            <v>17.5</v>
          </cell>
          <cell r="L875">
            <v>14</v>
          </cell>
          <cell r="M875" t="e">
            <v>#N/A</v>
          </cell>
          <cell r="N875">
            <v>16.5</v>
          </cell>
          <cell r="O875" t="e">
            <v>#N/A</v>
          </cell>
          <cell r="P875" t="str">
            <v/>
          </cell>
          <cell r="Q875" t="str">
            <v/>
          </cell>
          <cell r="R875">
            <v>16.5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-3.2135135135135648</v>
          </cell>
          <cell r="F876">
            <v>18.20540540540561</v>
          </cell>
          <cell r="G876">
            <v>13.921621621621661</v>
          </cell>
          <cell r="H876">
            <v>13.921621621621661</v>
          </cell>
          <cell r="I876" t="e">
            <v>#N/A</v>
          </cell>
          <cell r="J876" t="e">
            <v>#N/A</v>
          </cell>
          <cell r="K876">
            <v>17.5</v>
          </cell>
          <cell r="L876">
            <v>14</v>
          </cell>
          <cell r="M876" t="e">
            <v>#N/A</v>
          </cell>
          <cell r="N876">
            <v>16.5</v>
          </cell>
          <cell r="O876" t="e">
            <v>#N/A</v>
          </cell>
          <cell r="P876" t="str">
            <v/>
          </cell>
          <cell r="Q876" t="str">
            <v/>
          </cell>
          <cell r="R876">
            <v>16.5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-3.2689189189189705</v>
          </cell>
          <cell r="F877">
            <v>18.217567567567773</v>
          </cell>
          <cell r="G877">
            <v>13.92027027027031</v>
          </cell>
          <cell r="H877">
            <v>13.92027027027031</v>
          </cell>
          <cell r="I877" t="e">
            <v>#N/A</v>
          </cell>
          <cell r="J877" t="e">
            <v>#N/A</v>
          </cell>
          <cell r="K877">
            <v>17.5</v>
          </cell>
          <cell r="L877">
            <v>14</v>
          </cell>
          <cell r="M877" t="e">
            <v>#N/A</v>
          </cell>
          <cell r="N877">
            <v>16.5</v>
          </cell>
          <cell r="O877" t="e">
            <v>#N/A</v>
          </cell>
          <cell r="P877" t="str">
            <v/>
          </cell>
          <cell r="Q877" t="str">
            <v/>
          </cell>
          <cell r="R877">
            <v>16.5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-3.3243243243243761</v>
          </cell>
          <cell r="F878">
            <v>18.229729729729936</v>
          </cell>
          <cell r="G878">
            <v>13.918918918918958</v>
          </cell>
          <cell r="H878">
            <v>13.918918918918958</v>
          </cell>
          <cell r="I878" t="e">
            <v>#N/A</v>
          </cell>
          <cell r="J878" t="e">
            <v>#N/A</v>
          </cell>
          <cell r="K878">
            <v>17.5</v>
          </cell>
          <cell r="L878">
            <v>14</v>
          </cell>
          <cell r="M878" t="e">
            <v>#N/A</v>
          </cell>
          <cell r="N878">
            <v>16.5</v>
          </cell>
          <cell r="O878" t="e">
            <v>#N/A</v>
          </cell>
          <cell r="P878" t="str">
            <v/>
          </cell>
          <cell r="Q878" t="str">
            <v/>
          </cell>
          <cell r="R878">
            <v>16.5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-3.3797297297297817</v>
          </cell>
          <cell r="F879">
            <v>18.241891891892099</v>
          </cell>
          <cell r="G879">
            <v>13.917567567567607</v>
          </cell>
          <cell r="H879">
            <v>13.917567567567607</v>
          </cell>
          <cell r="I879" t="e">
            <v>#N/A</v>
          </cell>
          <cell r="J879" t="e">
            <v>#N/A</v>
          </cell>
          <cell r="K879">
            <v>17.5</v>
          </cell>
          <cell r="L879">
            <v>14</v>
          </cell>
          <cell r="M879" t="e">
            <v>#N/A</v>
          </cell>
          <cell r="N879">
            <v>16.5</v>
          </cell>
          <cell r="O879" t="e">
            <v>#N/A</v>
          </cell>
          <cell r="P879" t="str">
            <v/>
          </cell>
          <cell r="Q879" t="str">
            <v/>
          </cell>
          <cell r="R879">
            <v>16.5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-3.4351351351351873</v>
          </cell>
          <cell r="F880">
            <v>18.254054054054262</v>
          </cell>
          <cell r="G880">
            <v>13.916216216216256</v>
          </cell>
          <cell r="H880">
            <v>13.916216216216256</v>
          </cell>
          <cell r="I880" t="e">
            <v>#N/A</v>
          </cell>
          <cell r="J880" t="e">
            <v>#N/A</v>
          </cell>
          <cell r="K880">
            <v>17.5</v>
          </cell>
          <cell r="L880">
            <v>14</v>
          </cell>
          <cell r="M880" t="e">
            <v>#N/A</v>
          </cell>
          <cell r="N880">
            <v>16.5</v>
          </cell>
          <cell r="O880" t="e">
            <v>#N/A</v>
          </cell>
          <cell r="P880" t="str">
            <v/>
          </cell>
          <cell r="Q880" t="str">
            <v/>
          </cell>
          <cell r="R880">
            <v>16.5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-3.4905405405405929</v>
          </cell>
          <cell r="F881">
            <v>18.266216216216424</v>
          </cell>
          <cell r="G881">
            <v>13.914864864864905</v>
          </cell>
          <cell r="H881">
            <v>13.914864864864905</v>
          </cell>
          <cell r="I881" t="e">
            <v>#N/A</v>
          </cell>
          <cell r="J881" t="e">
            <v>#N/A</v>
          </cell>
          <cell r="K881">
            <v>17.5</v>
          </cell>
          <cell r="L881">
            <v>14</v>
          </cell>
          <cell r="M881" t="e">
            <v>#N/A</v>
          </cell>
          <cell r="N881">
            <v>16.5</v>
          </cell>
          <cell r="O881" t="e">
            <v>#N/A</v>
          </cell>
          <cell r="P881" t="str">
            <v/>
          </cell>
          <cell r="Q881" t="str">
            <v/>
          </cell>
          <cell r="R881">
            <v>16.5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-3.5459459459459985</v>
          </cell>
          <cell r="F882">
            <v>18.278378378378587</v>
          </cell>
          <cell r="G882">
            <v>13.913513513513553</v>
          </cell>
          <cell r="H882">
            <v>13.913513513513553</v>
          </cell>
          <cell r="I882" t="e">
            <v>#N/A</v>
          </cell>
          <cell r="J882" t="e">
            <v>#N/A</v>
          </cell>
          <cell r="K882">
            <v>17.5</v>
          </cell>
          <cell r="L882">
            <v>14</v>
          </cell>
          <cell r="M882" t="e">
            <v>#N/A</v>
          </cell>
          <cell r="N882">
            <v>16.5</v>
          </cell>
          <cell r="O882" t="e">
            <v>#N/A</v>
          </cell>
          <cell r="P882" t="str">
            <v/>
          </cell>
          <cell r="Q882" t="str">
            <v/>
          </cell>
          <cell r="R882">
            <v>16.5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-3.6013513513514042</v>
          </cell>
          <cell r="F883">
            <v>18.29054054054075</v>
          </cell>
          <cell r="G883">
            <v>13.912162162162202</v>
          </cell>
          <cell r="H883">
            <v>13.912162162162202</v>
          </cell>
          <cell r="I883" t="e">
            <v>#N/A</v>
          </cell>
          <cell r="J883" t="e">
            <v>#N/A</v>
          </cell>
          <cell r="K883">
            <v>17.5</v>
          </cell>
          <cell r="L883">
            <v>14</v>
          </cell>
          <cell r="M883" t="e">
            <v>#N/A</v>
          </cell>
          <cell r="N883">
            <v>16.5</v>
          </cell>
          <cell r="O883" t="e">
            <v>#N/A</v>
          </cell>
          <cell r="P883" t="str">
            <v/>
          </cell>
          <cell r="Q883" t="str">
            <v/>
          </cell>
          <cell r="R883">
            <v>16.5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-3.6567567567568098</v>
          </cell>
          <cell r="F884">
            <v>18.302702702702913</v>
          </cell>
          <cell r="G884">
            <v>13.910810810810851</v>
          </cell>
          <cell r="H884">
            <v>13.910810810810851</v>
          </cell>
          <cell r="I884" t="e">
            <v>#N/A</v>
          </cell>
          <cell r="J884" t="e">
            <v>#N/A</v>
          </cell>
          <cell r="K884">
            <v>17.5</v>
          </cell>
          <cell r="L884">
            <v>14</v>
          </cell>
          <cell r="M884" t="e">
            <v>#N/A</v>
          </cell>
          <cell r="N884">
            <v>16.5</v>
          </cell>
          <cell r="O884" t="e">
            <v>#N/A</v>
          </cell>
          <cell r="P884" t="str">
            <v/>
          </cell>
          <cell r="Q884" t="str">
            <v/>
          </cell>
          <cell r="R884">
            <v>16.5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-3.7121621621622154</v>
          </cell>
          <cell r="F885">
            <v>18.314864864865076</v>
          </cell>
          <cell r="G885">
            <v>13.9094594594595</v>
          </cell>
          <cell r="H885">
            <v>13.9094594594595</v>
          </cell>
          <cell r="I885" t="e">
            <v>#N/A</v>
          </cell>
          <cell r="J885" t="e">
            <v>#N/A</v>
          </cell>
          <cell r="K885">
            <v>17.5</v>
          </cell>
          <cell r="L885">
            <v>14</v>
          </cell>
          <cell r="M885" t="e">
            <v>#N/A</v>
          </cell>
          <cell r="N885">
            <v>16.5</v>
          </cell>
          <cell r="O885" t="e">
            <v>#N/A</v>
          </cell>
          <cell r="P885" t="str">
            <v/>
          </cell>
          <cell r="Q885" t="str">
            <v/>
          </cell>
          <cell r="R885">
            <v>16.5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-3.767567567567621</v>
          </cell>
          <cell r="F886">
            <v>18.327027027027238</v>
          </cell>
          <cell r="G886">
            <v>13.908108108108149</v>
          </cell>
          <cell r="H886">
            <v>13.908108108108149</v>
          </cell>
          <cell r="I886" t="e">
            <v>#N/A</v>
          </cell>
          <cell r="J886" t="e">
            <v>#N/A</v>
          </cell>
          <cell r="K886">
            <v>17.5</v>
          </cell>
          <cell r="L886">
            <v>14</v>
          </cell>
          <cell r="M886" t="e">
            <v>#N/A</v>
          </cell>
          <cell r="N886">
            <v>16.5</v>
          </cell>
          <cell r="O886" t="e">
            <v>#N/A</v>
          </cell>
          <cell r="P886" t="str">
            <v/>
          </cell>
          <cell r="Q886" t="str">
            <v/>
          </cell>
          <cell r="R886">
            <v>16.5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-3.8229729729730266</v>
          </cell>
          <cell r="F887">
            <v>18.339189189189401</v>
          </cell>
          <cell r="G887">
            <v>13.906756756756797</v>
          </cell>
          <cell r="H887">
            <v>13.906756756756797</v>
          </cell>
          <cell r="I887" t="e">
            <v>#N/A</v>
          </cell>
          <cell r="J887" t="e">
            <v>#N/A</v>
          </cell>
          <cell r="K887">
            <v>17.5</v>
          </cell>
          <cell r="L887">
            <v>14</v>
          </cell>
          <cell r="M887" t="e">
            <v>#N/A</v>
          </cell>
          <cell r="N887">
            <v>16.5</v>
          </cell>
          <cell r="O887" t="e">
            <v>#N/A</v>
          </cell>
          <cell r="P887" t="str">
            <v/>
          </cell>
          <cell r="Q887" t="str">
            <v/>
          </cell>
          <cell r="R887">
            <v>16.5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-3.8783783783784322</v>
          </cell>
          <cell r="F888">
            <v>18.351351351351564</v>
          </cell>
          <cell r="G888">
            <v>13.905405405405446</v>
          </cell>
          <cell r="H888">
            <v>13.905405405405446</v>
          </cell>
          <cell r="I888" t="e">
            <v>#N/A</v>
          </cell>
          <cell r="J888" t="e">
            <v>#N/A</v>
          </cell>
          <cell r="K888">
            <v>17.5</v>
          </cell>
          <cell r="L888">
            <v>14</v>
          </cell>
          <cell r="M888" t="e">
            <v>#N/A</v>
          </cell>
          <cell r="N888">
            <v>16.5</v>
          </cell>
          <cell r="O888" t="e">
            <v>#N/A</v>
          </cell>
          <cell r="P888" t="str">
            <v/>
          </cell>
          <cell r="Q888" t="str">
            <v/>
          </cell>
          <cell r="R888">
            <v>16.5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-3.9337837837838379</v>
          </cell>
          <cell r="F889">
            <v>18.363513513513727</v>
          </cell>
          <cell r="G889">
            <v>13.904054054054095</v>
          </cell>
          <cell r="H889">
            <v>13.904054054054095</v>
          </cell>
          <cell r="I889" t="e">
            <v>#N/A</v>
          </cell>
          <cell r="J889" t="e">
            <v>#N/A</v>
          </cell>
          <cell r="K889">
            <v>17.5</v>
          </cell>
          <cell r="L889">
            <v>14</v>
          </cell>
          <cell r="M889" t="e">
            <v>#N/A</v>
          </cell>
          <cell r="N889">
            <v>16.5</v>
          </cell>
          <cell r="O889" t="e">
            <v>#N/A</v>
          </cell>
          <cell r="P889" t="str">
            <v/>
          </cell>
          <cell r="Q889" t="str">
            <v/>
          </cell>
          <cell r="R889">
            <v>16.5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-3.9891891891892435</v>
          </cell>
          <cell r="F890">
            <v>18.37567567567589</v>
          </cell>
          <cell r="G890">
            <v>13.902702702702744</v>
          </cell>
          <cell r="H890">
            <v>13.902702702702744</v>
          </cell>
          <cell r="I890" t="e">
            <v>#N/A</v>
          </cell>
          <cell r="J890" t="e">
            <v>#N/A</v>
          </cell>
          <cell r="K890">
            <v>17.5</v>
          </cell>
          <cell r="L890">
            <v>14</v>
          </cell>
          <cell r="M890" t="e">
            <v>#N/A</v>
          </cell>
          <cell r="N890">
            <v>16.5</v>
          </cell>
          <cell r="O890" t="e">
            <v>#N/A</v>
          </cell>
          <cell r="P890" t="str">
            <v/>
          </cell>
          <cell r="Q890" t="str">
            <v/>
          </cell>
          <cell r="R890">
            <v>16.5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-4.0445945945946491</v>
          </cell>
          <cell r="F891">
            <v>18.387837837838052</v>
          </cell>
          <cell r="G891">
            <v>13.901351351351392</v>
          </cell>
          <cell r="H891">
            <v>13.901351351351392</v>
          </cell>
          <cell r="I891" t="e">
            <v>#N/A</v>
          </cell>
          <cell r="J891" t="e">
            <v>#N/A</v>
          </cell>
          <cell r="K891">
            <v>17.5</v>
          </cell>
          <cell r="L891">
            <v>14</v>
          </cell>
          <cell r="M891" t="e">
            <v>#N/A</v>
          </cell>
          <cell r="N891">
            <v>16.5</v>
          </cell>
          <cell r="O891" t="e">
            <v>#N/A</v>
          </cell>
          <cell r="P891" t="str">
            <v/>
          </cell>
          <cell r="Q891" t="str">
            <v/>
          </cell>
          <cell r="R891">
            <v>16.5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-4.1000000000000547</v>
          </cell>
          <cell r="F892">
            <v>18.400000000000215</v>
          </cell>
          <cell r="G892">
            <v>13.900000000000041</v>
          </cell>
          <cell r="H892">
            <v>13.900000000000041</v>
          </cell>
          <cell r="I892" t="e">
            <v>#N/A</v>
          </cell>
          <cell r="J892" t="e">
            <v>#N/A</v>
          </cell>
          <cell r="K892">
            <v>17.5</v>
          </cell>
          <cell r="L892">
            <v>14</v>
          </cell>
          <cell r="M892" t="e">
            <v>#N/A</v>
          </cell>
          <cell r="N892">
            <v>16.5</v>
          </cell>
          <cell r="O892" t="e">
            <v>#N/A</v>
          </cell>
          <cell r="P892" t="str">
            <v/>
          </cell>
          <cell r="Q892" t="str">
            <v/>
          </cell>
          <cell r="R892">
            <v>16.5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-4.1554054054054603</v>
          </cell>
          <cell r="F893">
            <v>18.412162162162378</v>
          </cell>
          <cell r="G893">
            <v>13.89864864864869</v>
          </cell>
          <cell r="H893">
            <v>13.89864864864869</v>
          </cell>
          <cell r="I893" t="e">
            <v>#N/A</v>
          </cell>
          <cell r="J893" t="e">
            <v>#N/A</v>
          </cell>
          <cell r="K893">
            <v>17.5</v>
          </cell>
          <cell r="L893">
            <v>14</v>
          </cell>
          <cell r="M893" t="e">
            <v>#N/A</v>
          </cell>
          <cell r="N893">
            <v>16.5</v>
          </cell>
          <cell r="O893" t="e">
            <v>#N/A</v>
          </cell>
          <cell r="P893" t="str">
            <v/>
          </cell>
          <cell r="Q893" t="str">
            <v/>
          </cell>
          <cell r="R893">
            <v>16.5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-4.2108108108108659</v>
          </cell>
          <cell r="F894">
            <v>18.424324324324541</v>
          </cell>
          <cell r="G894">
            <v>13.897297297297339</v>
          </cell>
          <cell r="H894">
            <v>13.897297297297339</v>
          </cell>
          <cell r="I894" t="e">
            <v>#N/A</v>
          </cell>
          <cell r="J894" t="e">
            <v>#N/A</v>
          </cell>
          <cell r="K894">
            <v>17.5</v>
          </cell>
          <cell r="L894">
            <v>14</v>
          </cell>
          <cell r="M894" t="e">
            <v>#N/A</v>
          </cell>
          <cell r="N894">
            <v>16.5</v>
          </cell>
          <cell r="O894" t="e">
            <v>#N/A</v>
          </cell>
          <cell r="P894" t="str">
            <v/>
          </cell>
          <cell r="Q894" t="str">
            <v/>
          </cell>
          <cell r="R894">
            <v>16.5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-4.2662162162162716</v>
          </cell>
          <cell r="F895">
            <v>18.436486486486704</v>
          </cell>
          <cell r="G895">
            <v>13.895945945945988</v>
          </cell>
          <cell r="H895">
            <v>13.895945945945988</v>
          </cell>
          <cell r="I895" t="e">
            <v>#N/A</v>
          </cell>
          <cell r="J895" t="e">
            <v>#N/A</v>
          </cell>
          <cell r="K895">
            <v>17.5</v>
          </cell>
          <cell r="L895">
            <v>14</v>
          </cell>
          <cell r="M895" t="e">
            <v>#N/A</v>
          </cell>
          <cell r="N895">
            <v>16.5</v>
          </cell>
          <cell r="O895" t="e">
            <v>#N/A</v>
          </cell>
          <cell r="P895" t="str">
            <v/>
          </cell>
          <cell r="Q895" t="str">
            <v/>
          </cell>
          <cell r="R895">
            <v>16.5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-4.3216216216216772</v>
          </cell>
          <cell r="F896">
            <v>18.448648648648867</v>
          </cell>
          <cell r="G896">
            <v>13.894594594594636</v>
          </cell>
          <cell r="H896">
            <v>13.894594594594636</v>
          </cell>
          <cell r="I896" t="e">
            <v>#N/A</v>
          </cell>
          <cell r="J896" t="e">
            <v>#N/A</v>
          </cell>
          <cell r="K896">
            <v>17.5</v>
          </cell>
          <cell r="L896">
            <v>14</v>
          </cell>
          <cell r="M896" t="e">
            <v>#N/A</v>
          </cell>
          <cell r="N896">
            <v>16.5</v>
          </cell>
          <cell r="O896" t="e">
            <v>#N/A</v>
          </cell>
          <cell r="P896" t="str">
            <v/>
          </cell>
          <cell r="Q896" t="str">
            <v/>
          </cell>
          <cell r="R896">
            <v>16.5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-4.3770270270270828</v>
          </cell>
          <cell r="F897">
            <v>18.460810810811029</v>
          </cell>
          <cell r="G897">
            <v>13.893243243243285</v>
          </cell>
          <cell r="H897">
            <v>13.893243243243285</v>
          </cell>
          <cell r="I897" t="e">
            <v>#N/A</v>
          </cell>
          <cell r="J897" t="e">
            <v>#N/A</v>
          </cell>
          <cell r="K897">
            <v>17.5</v>
          </cell>
          <cell r="L897">
            <v>14</v>
          </cell>
          <cell r="M897" t="e">
            <v>#N/A</v>
          </cell>
          <cell r="N897">
            <v>16.5</v>
          </cell>
          <cell r="O897" t="e">
            <v>#N/A</v>
          </cell>
          <cell r="P897" t="str">
            <v/>
          </cell>
          <cell r="Q897" t="str">
            <v/>
          </cell>
          <cell r="R897">
            <v>16.5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-4.4324324324324884</v>
          </cell>
          <cell r="F898">
            <v>18.472972972973192</v>
          </cell>
          <cell r="G898">
            <v>13.891891891891934</v>
          </cell>
          <cell r="H898">
            <v>13.891891891891934</v>
          </cell>
          <cell r="I898" t="e">
            <v>#N/A</v>
          </cell>
          <cell r="J898" t="e">
            <v>#N/A</v>
          </cell>
          <cell r="K898">
            <v>17.5</v>
          </cell>
          <cell r="L898">
            <v>14</v>
          </cell>
          <cell r="M898" t="e">
            <v>#N/A</v>
          </cell>
          <cell r="N898">
            <v>16.5</v>
          </cell>
          <cell r="O898" t="e">
            <v>#N/A</v>
          </cell>
          <cell r="P898" t="str">
            <v/>
          </cell>
          <cell r="Q898" t="str">
            <v/>
          </cell>
          <cell r="R898">
            <v>16.5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-4.487837837837894</v>
          </cell>
          <cell r="F899">
            <v>18.485135135135355</v>
          </cell>
          <cell r="G899">
            <v>13.890540540540583</v>
          </cell>
          <cell r="H899">
            <v>13.890540540540583</v>
          </cell>
          <cell r="I899" t="e">
            <v>#N/A</v>
          </cell>
          <cell r="J899" t="e">
            <v>#N/A</v>
          </cell>
          <cell r="K899">
            <v>17.5</v>
          </cell>
          <cell r="L899">
            <v>14</v>
          </cell>
          <cell r="M899" t="e">
            <v>#N/A</v>
          </cell>
          <cell r="N899">
            <v>16.5</v>
          </cell>
          <cell r="O899" t="e">
            <v>#N/A</v>
          </cell>
          <cell r="P899" t="str">
            <v/>
          </cell>
          <cell r="Q899" t="str">
            <v/>
          </cell>
          <cell r="R899">
            <v>16.5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-4.5432432432432996</v>
          </cell>
          <cell r="F900">
            <v>18.497297297297518</v>
          </cell>
          <cell r="G900">
            <v>13.889189189189231</v>
          </cell>
          <cell r="H900">
            <v>13.889189189189231</v>
          </cell>
          <cell r="I900" t="e">
            <v>#N/A</v>
          </cell>
          <cell r="J900" t="e">
            <v>#N/A</v>
          </cell>
          <cell r="K900">
            <v>17.5</v>
          </cell>
          <cell r="L900">
            <v>14</v>
          </cell>
          <cell r="M900" t="e">
            <v>#N/A</v>
          </cell>
          <cell r="N900">
            <v>16.5</v>
          </cell>
          <cell r="O900" t="e">
            <v>#N/A</v>
          </cell>
          <cell r="P900" t="str">
            <v/>
          </cell>
          <cell r="Q900" t="str">
            <v/>
          </cell>
          <cell r="R900">
            <v>16.5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-4.5986486486487053</v>
          </cell>
          <cell r="F901">
            <v>18.509459459459681</v>
          </cell>
          <cell r="G901">
            <v>13.88783783783788</v>
          </cell>
          <cell r="H901">
            <v>13.88783783783788</v>
          </cell>
          <cell r="I901" t="e">
            <v>#N/A</v>
          </cell>
          <cell r="J901" t="e">
            <v>#N/A</v>
          </cell>
          <cell r="K901">
            <v>17.5</v>
          </cell>
          <cell r="L901">
            <v>14</v>
          </cell>
          <cell r="M901" t="e">
            <v>#N/A</v>
          </cell>
          <cell r="N901">
            <v>16.5</v>
          </cell>
          <cell r="O901" t="e">
            <v>#N/A</v>
          </cell>
          <cell r="P901" t="str">
            <v/>
          </cell>
          <cell r="Q901" t="str">
            <v/>
          </cell>
          <cell r="R901">
            <v>16.5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-4.6540540540541109</v>
          </cell>
          <cell r="F902">
            <v>18.521621621621843</v>
          </cell>
          <cell r="G902">
            <v>13.886486486486529</v>
          </cell>
          <cell r="H902">
            <v>13.886486486486529</v>
          </cell>
          <cell r="I902" t="e">
            <v>#N/A</v>
          </cell>
          <cell r="J902" t="e">
            <v>#N/A</v>
          </cell>
          <cell r="K902">
            <v>17.5</v>
          </cell>
          <cell r="L902">
            <v>14</v>
          </cell>
          <cell r="M902" t="e">
            <v>#N/A</v>
          </cell>
          <cell r="N902">
            <v>16.5</v>
          </cell>
          <cell r="O902" t="e">
            <v>#N/A</v>
          </cell>
          <cell r="P902" t="str">
            <v/>
          </cell>
          <cell r="Q902" t="str">
            <v/>
          </cell>
          <cell r="R902">
            <v>16.5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-4.7094594594595165</v>
          </cell>
          <cell r="F903">
            <v>18.533783783784006</v>
          </cell>
          <cell r="G903">
            <v>13.885135135135178</v>
          </cell>
          <cell r="H903">
            <v>13.885135135135178</v>
          </cell>
          <cell r="I903" t="e">
            <v>#N/A</v>
          </cell>
          <cell r="J903" t="e">
            <v>#N/A</v>
          </cell>
          <cell r="K903">
            <v>17.5</v>
          </cell>
          <cell r="L903">
            <v>14</v>
          </cell>
          <cell r="M903" t="e">
            <v>#N/A</v>
          </cell>
          <cell r="N903">
            <v>16.5</v>
          </cell>
          <cell r="O903" t="e">
            <v>#N/A</v>
          </cell>
          <cell r="P903" t="str">
            <v/>
          </cell>
          <cell r="Q903" t="str">
            <v/>
          </cell>
          <cell r="R903">
            <v>16.5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-4.7648648648649221</v>
          </cell>
          <cell r="F904">
            <v>18.545945945946169</v>
          </cell>
          <cell r="G904">
            <v>13.883783783783826</v>
          </cell>
          <cell r="H904">
            <v>13.883783783783826</v>
          </cell>
          <cell r="I904" t="e">
            <v>#N/A</v>
          </cell>
          <cell r="J904" t="e">
            <v>#N/A</v>
          </cell>
          <cell r="K904">
            <v>17.5</v>
          </cell>
          <cell r="L904">
            <v>14</v>
          </cell>
          <cell r="M904" t="e">
            <v>#N/A</v>
          </cell>
          <cell r="N904">
            <v>16.5</v>
          </cell>
          <cell r="O904" t="e">
            <v>#N/A</v>
          </cell>
          <cell r="P904" t="str">
            <v/>
          </cell>
          <cell r="Q904" t="str">
            <v/>
          </cell>
          <cell r="R904">
            <v>16.5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-4.8202702702703277</v>
          </cell>
          <cell r="F905">
            <v>18.558108108108332</v>
          </cell>
          <cell r="G905">
            <v>13.882432432432475</v>
          </cell>
          <cell r="H905">
            <v>13.882432432432475</v>
          </cell>
          <cell r="I905" t="e">
            <v>#N/A</v>
          </cell>
          <cell r="J905" t="e">
            <v>#N/A</v>
          </cell>
          <cell r="K905">
            <v>17.5</v>
          </cell>
          <cell r="L905">
            <v>14</v>
          </cell>
          <cell r="M905" t="e">
            <v>#N/A</v>
          </cell>
          <cell r="N905">
            <v>16.5</v>
          </cell>
          <cell r="O905" t="e">
            <v>#N/A</v>
          </cell>
          <cell r="P905" t="str">
            <v/>
          </cell>
          <cell r="Q905" t="str">
            <v/>
          </cell>
          <cell r="R905">
            <v>16.5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-4.8756756756757333</v>
          </cell>
          <cell r="F906">
            <v>18.570270270270495</v>
          </cell>
          <cell r="G906">
            <v>13.881081081081124</v>
          </cell>
          <cell r="H906">
            <v>13.881081081081124</v>
          </cell>
          <cell r="I906" t="e">
            <v>#N/A</v>
          </cell>
          <cell r="J906" t="e">
            <v>#N/A</v>
          </cell>
          <cell r="K906">
            <v>17.5</v>
          </cell>
          <cell r="L906">
            <v>14</v>
          </cell>
          <cell r="M906" t="e">
            <v>#N/A</v>
          </cell>
          <cell r="N906">
            <v>16.5</v>
          </cell>
          <cell r="O906" t="e">
            <v>#N/A</v>
          </cell>
          <cell r="P906" t="str">
            <v/>
          </cell>
          <cell r="Q906" t="str">
            <v/>
          </cell>
          <cell r="R906">
            <v>16.5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-4.931081081081139</v>
          </cell>
          <cell r="F907">
            <v>18.582432432432658</v>
          </cell>
          <cell r="G907">
            <v>13.879729729729773</v>
          </cell>
          <cell r="H907">
            <v>13.879729729729773</v>
          </cell>
          <cell r="I907" t="e">
            <v>#N/A</v>
          </cell>
          <cell r="J907" t="e">
            <v>#N/A</v>
          </cell>
          <cell r="K907">
            <v>17.5</v>
          </cell>
          <cell r="L907">
            <v>14</v>
          </cell>
          <cell r="M907" t="e">
            <v>#N/A</v>
          </cell>
          <cell r="N907">
            <v>16.5</v>
          </cell>
          <cell r="O907" t="e">
            <v>#N/A</v>
          </cell>
          <cell r="P907" t="str">
            <v/>
          </cell>
          <cell r="Q907" t="str">
            <v/>
          </cell>
          <cell r="R907">
            <v>16.5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-4.9864864864865446</v>
          </cell>
          <cell r="F908">
            <v>18.59459459459482</v>
          </cell>
          <cell r="G908">
            <v>13.878378378378422</v>
          </cell>
          <cell r="H908">
            <v>13.878378378378422</v>
          </cell>
          <cell r="I908" t="e">
            <v>#N/A</v>
          </cell>
          <cell r="J908" t="e">
            <v>#N/A</v>
          </cell>
          <cell r="K908">
            <v>17.5</v>
          </cell>
          <cell r="L908">
            <v>14</v>
          </cell>
          <cell r="M908" t="e">
            <v>#N/A</v>
          </cell>
          <cell r="N908">
            <v>16.5</v>
          </cell>
          <cell r="O908" t="e">
            <v>#N/A</v>
          </cell>
          <cell r="P908" t="str">
            <v/>
          </cell>
          <cell r="Q908" t="str">
            <v/>
          </cell>
          <cell r="R908">
            <v>16.5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-5.0418918918919502</v>
          </cell>
          <cell r="F909">
            <v>18.606756756756983</v>
          </cell>
          <cell r="G909">
            <v>13.87702702702707</v>
          </cell>
          <cell r="H909">
            <v>13.87702702702707</v>
          </cell>
          <cell r="I909" t="e">
            <v>#N/A</v>
          </cell>
          <cell r="J909" t="e">
            <v>#N/A</v>
          </cell>
          <cell r="K909">
            <v>17.5</v>
          </cell>
          <cell r="L909">
            <v>14</v>
          </cell>
          <cell r="M909" t="e">
            <v>#N/A</v>
          </cell>
          <cell r="N909">
            <v>16.5</v>
          </cell>
          <cell r="O909" t="e">
            <v>#N/A</v>
          </cell>
          <cell r="P909" t="str">
            <v/>
          </cell>
          <cell r="Q909" t="str">
            <v/>
          </cell>
          <cell r="R909">
            <v>16.5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-5.0972972972973558</v>
          </cell>
          <cell r="F910">
            <v>18.618918918919146</v>
          </cell>
          <cell r="G910">
            <v>13.875675675675719</v>
          </cell>
          <cell r="H910">
            <v>13.875675675675719</v>
          </cell>
          <cell r="I910" t="e">
            <v>#N/A</v>
          </cell>
          <cell r="J910" t="e">
            <v>#N/A</v>
          </cell>
          <cell r="K910">
            <v>17.5</v>
          </cell>
          <cell r="L910">
            <v>14</v>
          </cell>
          <cell r="M910" t="e">
            <v>#N/A</v>
          </cell>
          <cell r="N910">
            <v>16.5</v>
          </cell>
          <cell r="O910" t="e">
            <v>#N/A</v>
          </cell>
          <cell r="P910" t="str">
            <v/>
          </cell>
          <cell r="Q910" t="str">
            <v/>
          </cell>
          <cell r="R910">
            <v>16.5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-5.1527027027027614</v>
          </cell>
          <cell r="F911">
            <v>18.631081081081309</v>
          </cell>
          <cell r="G911">
            <v>13.874324324324368</v>
          </cell>
          <cell r="H911">
            <v>13.874324324324368</v>
          </cell>
          <cell r="I911" t="e">
            <v>#N/A</v>
          </cell>
          <cell r="J911" t="e">
            <v>#N/A</v>
          </cell>
          <cell r="K911">
            <v>17.5</v>
          </cell>
          <cell r="L911">
            <v>14</v>
          </cell>
          <cell r="M911" t="e">
            <v>#N/A</v>
          </cell>
          <cell r="N911">
            <v>16.5</v>
          </cell>
          <cell r="O911" t="e">
            <v>#N/A</v>
          </cell>
          <cell r="P911" t="str">
            <v/>
          </cell>
          <cell r="Q911" t="str">
            <v/>
          </cell>
          <cell r="R911">
            <v>16.5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-5.208108108108167</v>
          </cell>
          <cell r="F912">
            <v>18.643243243243472</v>
          </cell>
          <cell r="G912">
            <v>13.872972972973017</v>
          </cell>
          <cell r="H912">
            <v>13.872972972973017</v>
          </cell>
          <cell r="I912" t="e">
            <v>#N/A</v>
          </cell>
          <cell r="J912" t="e">
            <v>#N/A</v>
          </cell>
          <cell r="K912">
            <v>17.5</v>
          </cell>
          <cell r="L912">
            <v>14</v>
          </cell>
          <cell r="M912" t="e">
            <v>#N/A</v>
          </cell>
          <cell r="N912">
            <v>16.5</v>
          </cell>
          <cell r="O912" t="e">
            <v>#N/A</v>
          </cell>
          <cell r="P912" t="str">
            <v/>
          </cell>
          <cell r="Q912" t="str">
            <v/>
          </cell>
          <cell r="R912">
            <v>16.5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-5.2635135135135727</v>
          </cell>
          <cell r="F913">
            <v>18.655405405405634</v>
          </cell>
          <cell r="G913">
            <v>13.871621621621665</v>
          </cell>
          <cell r="H913">
            <v>13.871621621621665</v>
          </cell>
          <cell r="I913" t="e">
            <v>#N/A</v>
          </cell>
          <cell r="J913" t="e">
            <v>#N/A</v>
          </cell>
          <cell r="K913">
            <v>17.5</v>
          </cell>
          <cell r="L913">
            <v>14</v>
          </cell>
          <cell r="M913" t="e">
            <v>#N/A</v>
          </cell>
          <cell r="N913">
            <v>16.5</v>
          </cell>
          <cell r="O913" t="e">
            <v>#N/A</v>
          </cell>
          <cell r="P913" t="str">
            <v/>
          </cell>
          <cell r="Q913" t="str">
            <v/>
          </cell>
          <cell r="R913">
            <v>16.5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-5.3189189189189783</v>
          </cell>
          <cell r="F914">
            <v>18.667567567567797</v>
          </cell>
          <cell r="G914">
            <v>13.870270270270314</v>
          </cell>
          <cell r="H914">
            <v>13.870270270270314</v>
          </cell>
          <cell r="I914" t="e">
            <v>#N/A</v>
          </cell>
          <cell r="J914" t="e">
            <v>#N/A</v>
          </cell>
          <cell r="K914">
            <v>17.5</v>
          </cell>
          <cell r="L914">
            <v>14</v>
          </cell>
          <cell r="M914" t="e">
            <v>#N/A</v>
          </cell>
          <cell r="N914">
            <v>16.5</v>
          </cell>
          <cell r="O914" t="e">
            <v>#N/A</v>
          </cell>
          <cell r="P914" t="str">
            <v/>
          </cell>
          <cell r="Q914" t="str">
            <v/>
          </cell>
          <cell r="R914">
            <v>16.5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-5.3743243243243839</v>
          </cell>
          <cell r="F915">
            <v>18.67972972972996</v>
          </cell>
          <cell r="G915">
            <v>13.868918918918963</v>
          </cell>
          <cell r="H915">
            <v>13.868918918918963</v>
          </cell>
          <cell r="I915" t="e">
            <v>#N/A</v>
          </cell>
          <cell r="J915" t="e">
            <v>#N/A</v>
          </cell>
          <cell r="K915">
            <v>17.5</v>
          </cell>
          <cell r="L915">
            <v>14</v>
          </cell>
          <cell r="M915" t="e">
            <v>#N/A</v>
          </cell>
          <cell r="N915">
            <v>16.5</v>
          </cell>
          <cell r="O915" t="e">
            <v>#N/A</v>
          </cell>
          <cell r="P915" t="str">
            <v/>
          </cell>
          <cell r="Q915" t="str">
            <v/>
          </cell>
          <cell r="R915">
            <v>16.5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-5.4297297297297895</v>
          </cell>
          <cell r="F916">
            <v>18.691891891892123</v>
          </cell>
          <cell r="G916">
            <v>13.867567567567612</v>
          </cell>
          <cell r="H916">
            <v>13.867567567567612</v>
          </cell>
          <cell r="I916" t="e">
            <v>#N/A</v>
          </cell>
          <cell r="J916" t="e">
            <v>#N/A</v>
          </cell>
          <cell r="K916">
            <v>17.5</v>
          </cell>
          <cell r="L916">
            <v>14</v>
          </cell>
          <cell r="M916" t="e">
            <v>#N/A</v>
          </cell>
          <cell r="N916">
            <v>16.5</v>
          </cell>
          <cell r="O916" t="e">
            <v>#N/A</v>
          </cell>
          <cell r="P916" t="str">
            <v/>
          </cell>
          <cell r="Q916" t="str">
            <v/>
          </cell>
          <cell r="R916">
            <v>16.5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-5.4851351351351951</v>
          </cell>
          <cell r="F917">
            <v>18.704054054054286</v>
          </cell>
          <cell r="G917">
            <v>13.866216216216261</v>
          </cell>
          <cell r="H917">
            <v>13.866216216216261</v>
          </cell>
          <cell r="I917" t="e">
            <v>#N/A</v>
          </cell>
          <cell r="J917" t="e">
            <v>#N/A</v>
          </cell>
          <cell r="K917">
            <v>17.5</v>
          </cell>
          <cell r="L917">
            <v>14</v>
          </cell>
          <cell r="M917" t="e">
            <v>#N/A</v>
          </cell>
          <cell r="N917">
            <v>16.5</v>
          </cell>
          <cell r="O917" t="e">
            <v>#N/A</v>
          </cell>
          <cell r="P917" t="str">
            <v/>
          </cell>
          <cell r="Q917" t="str">
            <v/>
          </cell>
          <cell r="R917">
            <v>16.5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-5.5405405405406007</v>
          </cell>
          <cell r="F918">
            <v>18.716216216216448</v>
          </cell>
          <cell r="G918">
            <v>13.864864864864909</v>
          </cell>
          <cell r="H918">
            <v>13.864864864864909</v>
          </cell>
          <cell r="I918" t="e">
            <v>#N/A</v>
          </cell>
          <cell r="J918" t="e">
            <v>#N/A</v>
          </cell>
          <cell r="K918">
            <v>17.5</v>
          </cell>
          <cell r="L918">
            <v>14</v>
          </cell>
          <cell r="M918" t="e">
            <v>#N/A</v>
          </cell>
          <cell r="N918">
            <v>16.5</v>
          </cell>
          <cell r="O918" t="e">
            <v>#N/A</v>
          </cell>
          <cell r="P918" t="str">
            <v/>
          </cell>
          <cell r="Q918" t="str">
            <v/>
          </cell>
          <cell r="R918">
            <v>16.5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-5.5959459459460064</v>
          </cell>
          <cell r="F919">
            <v>18.728378378378611</v>
          </cell>
          <cell r="G919">
            <v>13.863513513513558</v>
          </cell>
          <cell r="H919">
            <v>13.863513513513558</v>
          </cell>
          <cell r="I919" t="e">
            <v>#N/A</v>
          </cell>
          <cell r="J919" t="e">
            <v>#N/A</v>
          </cell>
          <cell r="K919">
            <v>17.5</v>
          </cell>
          <cell r="L919">
            <v>14</v>
          </cell>
          <cell r="M919" t="e">
            <v>#N/A</v>
          </cell>
          <cell r="N919">
            <v>16.5</v>
          </cell>
          <cell r="O919" t="e">
            <v>#N/A</v>
          </cell>
          <cell r="P919" t="str">
            <v/>
          </cell>
          <cell r="Q919" t="str">
            <v/>
          </cell>
          <cell r="R919">
            <v>16.5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-5.651351351351412</v>
          </cell>
          <cell r="F920">
            <v>18.740540540540774</v>
          </cell>
          <cell r="G920">
            <v>13.862162162162207</v>
          </cell>
          <cell r="H920">
            <v>13.862162162162207</v>
          </cell>
          <cell r="I920" t="e">
            <v>#N/A</v>
          </cell>
          <cell r="J920" t="e">
            <v>#N/A</v>
          </cell>
          <cell r="K920">
            <v>17.5</v>
          </cell>
          <cell r="L920">
            <v>14</v>
          </cell>
          <cell r="M920" t="e">
            <v>#N/A</v>
          </cell>
          <cell r="N920">
            <v>16.5</v>
          </cell>
          <cell r="O920" t="e">
            <v>#N/A</v>
          </cell>
          <cell r="P920" t="str">
            <v/>
          </cell>
          <cell r="Q920" t="str">
            <v/>
          </cell>
          <cell r="R920">
            <v>16.5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-5.7067567567568176</v>
          </cell>
          <cell r="F921">
            <v>18.752702702702937</v>
          </cell>
          <cell r="G921">
            <v>13.860810810810856</v>
          </cell>
          <cell r="H921">
            <v>13.860810810810856</v>
          </cell>
          <cell r="I921" t="e">
            <v>#N/A</v>
          </cell>
          <cell r="J921" t="e">
            <v>#N/A</v>
          </cell>
          <cell r="K921">
            <v>17.5</v>
          </cell>
          <cell r="L921">
            <v>14</v>
          </cell>
          <cell r="M921" t="e">
            <v>#N/A</v>
          </cell>
          <cell r="N921">
            <v>16.5</v>
          </cell>
          <cell r="O921" t="e">
            <v>#N/A</v>
          </cell>
          <cell r="P921" t="str">
            <v/>
          </cell>
          <cell r="Q921" t="str">
            <v/>
          </cell>
          <cell r="R921">
            <v>16.5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-5.7621621621622232</v>
          </cell>
          <cell r="F922">
            <v>18.7648648648651</v>
          </cell>
          <cell r="G922">
            <v>13.859459459459504</v>
          </cell>
          <cell r="H922">
            <v>13.859459459459504</v>
          </cell>
          <cell r="I922" t="e">
            <v>#N/A</v>
          </cell>
          <cell r="J922" t="e">
            <v>#N/A</v>
          </cell>
          <cell r="K922">
            <v>17.5</v>
          </cell>
          <cell r="L922">
            <v>14</v>
          </cell>
          <cell r="M922" t="e">
            <v>#N/A</v>
          </cell>
          <cell r="N922">
            <v>16.5</v>
          </cell>
          <cell r="O922" t="e">
            <v>#N/A</v>
          </cell>
          <cell r="P922" t="str">
            <v/>
          </cell>
          <cell r="Q922" t="str">
            <v/>
          </cell>
          <cell r="R922">
            <v>16.5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-5.8175675675676288</v>
          </cell>
          <cell r="F923">
            <v>18.777027027027263</v>
          </cell>
          <cell r="G923">
            <v>13.858108108108153</v>
          </cell>
          <cell r="H923">
            <v>13.858108108108153</v>
          </cell>
          <cell r="I923" t="e">
            <v>#N/A</v>
          </cell>
          <cell r="J923" t="e">
            <v>#N/A</v>
          </cell>
          <cell r="K923">
            <v>17.5</v>
          </cell>
          <cell r="L923">
            <v>14</v>
          </cell>
          <cell r="M923" t="e">
            <v>#N/A</v>
          </cell>
          <cell r="N923">
            <v>16.5</v>
          </cell>
          <cell r="O923" t="e">
            <v>#N/A</v>
          </cell>
          <cell r="P923" t="str">
            <v/>
          </cell>
          <cell r="Q923" t="str">
            <v/>
          </cell>
          <cell r="R923">
            <v>16.5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-5.8729729729730344</v>
          </cell>
          <cell r="F924">
            <v>18.789189189189425</v>
          </cell>
          <cell r="G924">
            <v>13.856756756756802</v>
          </cell>
          <cell r="H924">
            <v>13.856756756756802</v>
          </cell>
          <cell r="I924" t="e">
            <v>#N/A</v>
          </cell>
          <cell r="J924" t="e">
            <v>#N/A</v>
          </cell>
          <cell r="K924">
            <v>17.5</v>
          </cell>
          <cell r="L924">
            <v>14</v>
          </cell>
          <cell r="M924" t="e">
            <v>#N/A</v>
          </cell>
          <cell r="N924">
            <v>16.5</v>
          </cell>
          <cell r="O924" t="e">
            <v>#N/A</v>
          </cell>
          <cell r="P924" t="str">
            <v/>
          </cell>
          <cell r="Q924" t="str">
            <v/>
          </cell>
          <cell r="R924">
            <v>16.5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-5.9283783783784401</v>
          </cell>
          <cell r="F925">
            <v>18.801351351351588</v>
          </cell>
          <cell r="G925">
            <v>13.855405405405451</v>
          </cell>
          <cell r="H925">
            <v>13.855405405405451</v>
          </cell>
          <cell r="I925" t="e">
            <v>#N/A</v>
          </cell>
          <cell r="J925" t="e">
            <v>#N/A</v>
          </cell>
          <cell r="K925">
            <v>17.5</v>
          </cell>
          <cell r="L925">
            <v>14</v>
          </cell>
          <cell r="M925" t="e">
            <v>#N/A</v>
          </cell>
          <cell r="N925">
            <v>16.5</v>
          </cell>
          <cell r="O925" t="e">
            <v>#N/A</v>
          </cell>
          <cell r="P925" t="str">
            <v/>
          </cell>
          <cell r="Q925" t="str">
            <v/>
          </cell>
          <cell r="R925">
            <v>16.5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-5.9837837837838457</v>
          </cell>
          <cell r="F926">
            <v>18.813513513513751</v>
          </cell>
          <cell r="G926">
            <v>13.8540540540541</v>
          </cell>
          <cell r="H926">
            <v>13.8540540540541</v>
          </cell>
          <cell r="I926" t="e">
            <v>#N/A</v>
          </cell>
          <cell r="J926" t="e">
            <v>#N/A</v>
          </cell>
          <cell r="K926">
            <v>17.5</v>
          </cell>
          <cell r="L926">
            <v>14</v>
          </cell>
          <cell r="M926" t="e">
            <v>#N/A</v>
          </cell>
          <cell r="N926">
            <v>16.5</v>
          </cell>
          <cell r="O926" t="e">
            <v>#N/A</v>
          </cell>
          <cell r="P926" t="str">
            <v/>
          </cell>
          <cell r="Q926" t="str">
            <v/>
          </cell>
          <cell r="R926">
            <v>16.5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-6.0391891891892513</v>
          </cell>
          <cell r="F927">
            <v>18.825675675675914</v>
          </cell>
          <cell r="G927">
            <v>13.852702702702748</v>
          </cell>
          <cell r="H927">
            <v>13.852702702702748</v>
          </cell>
          <cell r="I927" t="e">
            <v>#N/A</v>
          </cell>
          <cell r="J927" t="e">
            <v>#N/A</v>
          </cell>
          <cell r="K927">
            <v>17.5</v>
          </cell>
          <cell r="L927">
            <v>14</v>
          </cell>
          <cell r="M927" t="e">
            <v>#N/A</v>
          </cell>
          <cell r="N927">
            <v>16.5</v>
          </cell>
          <cell r="O927" t="e">
            <v>#N/A</v>
          </cell>
          <cell r="P927" t="str">
            <v/>
          </cell>
          <cell r="Q927" t="str">
            <v/>
          </cell>
          <cell r="R927">
            <v>16.5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-6.0945945945946569</v>
          </cell>
          <cell r="F928">
            <v>18.837837837838077</v>
          </cell>
          <cell r="G928">
            <v>13.851351351351397</v>
          </cell>
          <cell r="H928">
            <v>13.851351351351397</v>
          </cell>
          <cell r="I928" t="e">
            <v>#N/A</v>
          </cell>
          <cell r="J928" t="e">
            <v>#N/A</v>
          </cell>
          <cell r="K928">
            <v>17.5</v>
          </cell>
          <cell r="L928">
            <v>14</v>
          </cell>
          <cell r="M928" t="e">
            <v>#N/A</v>
          </cell>
          <cell r="N928">
            <v>16.5</v>
          </cell>
          <cell r="O928" t="e">
            <v>#N/A</v>
          </cell>
          <cell r="P928" t="str">
            <v/>
          </cell>
          <cell r="Q928" t="str">
            <v/>
          </cell>
          <cell r="R928">
            <v>16.5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-6.1500000000000625</v>
          </cell>
          <cell r="F929">
            <v>18.850000000000239</v>
          </cell>
          <cell r="G929">
            <v>13.850000000000046</v>
          </cell>
          <cell r="H929">
            <v>13.850000000000046</v>
          </cell>
          <cell r="I929" t="e">
            <v>#N/A</v>
          </cell>
          <cell r="J929" t="e">
            <v>#N/A</v>
          </cell>
          <cell r="K929">
            <v>17.5</v>
          </cell>
          <cell r="L929">
            <v>14</v>
          </cell>
          <cell r="M929" t="e">
            <v>#N/A</v>
          </cell>
          <cell r="N929">
            <v>16.5</v>
          </cell>
          <cell r="O929" t="e">
            <v>#N/A</v>
          </cell>
          <cell r="P929" t="str">
            <v/>
          </cell>
          <cell r="Q929" t="str">
            <v/>
          </cell>
          <cell r="R929">
            <v>16.5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-6.2054054054054681</v>
          </cell>
          <cell r="F930">
            <v>18.862162162162402</v>
          </cell>
          <cell r="G930">
            <v>13.848648648648695</v>
          </cell>
          <cell r="H930">
            <v>13.848648648648695</v>
          </cell>
          <cell r="I930" t="e">
            <v>#N/A</v>
          </cell>
          <cell r="J930" t="e">
            <v>#N/A</v>
          </cell>
          <cell r="K930">
            <v>17.5</v>
          </cell>
          <cell r="L930">
            <v>14</v>
          </cell>
          <cell r="M930" t="e">
            <v>#N/A</v>
          </cell>
          <cell r="N930">
            <v>16.5</v>
          </cell>
          <cell r="O930" t="e">
            <v>#N/A</v>
          </cell>
          <cell r="P930" t="str">
            <v/>
          </cell>
          <cell r="Q930" t="str">
            <v/>
          </cell>
          <cell r="R930">
            <v>16.5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-6.2608108108108738</v>
          </cell>
          <cell r="F931">
            <v>18.874324324324565</v>
          </cell>
          <cell r="G931">
            <v>13.847297297297343</v>
          </cell>
          <cell r="H931">
            <v>13.847297297297343</v>
          </cell>
          <cell r="I931" t="e">
            <v>#N/A</v>
          </cell>
          <cell r="J931" t="e">
            <v>#N/A</v>
          </cell>
          <cell r="K931">
            <v>17.5</v>
          </cell>
          <cell r="L931">
            <v>14</v>
          </cell>
          <cell r="M931" t="e">
            <v>#N/A</v>
          </cell>
          <cell r="N931">
            <v>16.5</v>
          </cell>
          <cell r="O931" t="e">
            <v>#N/A</v>
          </cell>
          <cell r="P931" t="str">
            <v/>
          </cell>
          <cell r="Q931" t="str">
            <v/>
          </cell>
          <cell r="R931">
            <v>16.5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-6.3162162162162794</v>
          </cell>
          <cell r="F932">
            <v>18.886486486486728</v>
          </cell>
          <cell r="G932">
            <v>13.845945945945992</v>
          </cell>
          <cell r="H932">
            <v>13.845945945945992</v>
          </cell>
          <cell r="I932" t="e">
            <v>#N/A</v>
          </cell>
          <cell r="J932" t="e">
            <v>#N/A</v>
          </cell>
          <cell r="K932">
            <v>17.5</v>
          </cell>
          <cell r="L932">
            <v>14</v>
          </cell>
          <cell r="M932" t="e">
            <v>#N/A</v>
          </cell>
          <cell r="N932">
            <v>16.5</v>
          </cell>
          <cell r="O932" t="e">
            <v>#N/A</v>
          </cell>
          <cell r="P932" t="str">
            <v/>
          </cell>
          <cell r="Q932" t="str">
            <v/>
          </cell>
          <cell r="R932">
            <v>16.5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-6.371621621621685</v>
          </cell>
          <cell r="F933">
            <v>18.898648648648891</v>
          </cell>
          <cell r="G933">
            <v>13.844594594594641</v>
          </cell>
          <cell r="H933">
            <v>13.844594594594641</v>
          </cell>
          <cell r="I933" t="e">
            <v>#N/A</v>
          </cell>
          <cell r="J933" t="e">
            <v>#N/A</v>
          </cell>
          <cell r="K933">
            <v>17.5</v>
          </cell>
          <cell r="L933">
            <v>14</v>
          </cell>
          <cell r="M933" t="e">
            <v>#N/A</v>
          </cell>
          <cell r="N933">
            <v>16.5</v>
          </cell>
          <cell r="O933" t="e">
            <v>#N/A</v>
          </cell>
          <cell r="P933" t="str">
            <v/>
          </cell>
          <cell r="Q933" t="str">
            <v/>
          </cell>
          <cell r="R933">
            <v>16.5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-6.4270270270270906</v>
          </cell>
          <cell r="F934">
            <v>18.910810810811054</v>
          </cell>
          <cell r="G934">
            <v>13.84324324324329</v>
          </cell>
          <cell r="H934">
            <v>13.84324324324329</v>
          </cell>
          <cell r="I934" t="e">
            <v>#N/A</v>
          </cell>
          <cell r="J934" t="e">
            <v>#N/A</v>
          </cell>
          <cell r="K934">
            <v>17.5</v>
          </cell>
          <cell r="L934">
            <v>14</v>
          </cell>
          <cell r="M934" t="e">
            <v>#N/A</v>
          </cell>
          <cell r="N934">
            <v>16.5</v>
          </cell>
          <cell r="O934" t="e">
            <v>#N/A</v>
          </cell>
          <cell r="P934" t="str">
            <v/>
          </cell>
          <cell r="Q934" t="str">
            <v/>
          </cell>
          <cell r="R934">
            <v>16.5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-6.4824324324324962</v>
          </cell>
          <cell r="F935">
            <v>18.922972972973216</v>
          </cell>
          <cell r="G935">
            <v>13.841891891891938</v>
          </cell>
          <cell r="H935">
            <v>13.841891891891938</v>
          </cell>
          <cell r="I935" t="e">
            <v>#N/A</v>
          </cell>
          <cell r="J935" t="e">
            <v>#N/A</v>
          </cell>
          <cell r="K935">
            <v>17.5</v>
          </cell>
          <cell r="L935">
            <v>14</v>
          </cell>
          <cell r="M935" t="e">
            <v>#N/A</v>
          </cell>
          <cell r="N935">
            <v>16.5</v>
          </cell>
          <cell r="O935" t="e">
            <v>#N/A</v>
          </cell>
          <cell r="P935" t="str">
            <v/>
          </cell>
          <cell r="Q935" t="str">
            <v/>
          </cell>
          <cell r="R935">
            <v>16.5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-6.5378378378379018</v>
          </cell>
          <cell r="F936">
            <v>18.935135135135379</v>
          </cell>
          <cell r="G936">
            <v>13.840540540540587</v>
          </cell>
          <cell r="H936">
            <v>13.840540540540587</v>
          </cell>
          <cell r="I936" t="e">
            <v>#N/A</v>
          </cell>
          <cell r="J936" t="e">
            <v>#N/A</v>
          </cell>
          <cell r="K936">
            <v>17.5</v>
          </cell>
          <cell r="L936">
            <v>14</v>
          </cell>
          <cell r="M936" t="e">
            <v>#N/A</v>
          </cell>
          <cell r="N936">
            <v>16.5</v>
          </cell>
          <cell r="O936" t="e">
            <v>#N/A</v>
          </cell>
          <cell r="P936" t="str">
            <v/>
          </cell>
          <cell r="Q936" t="str">
            <v/>
          </cell>
          <cell r="R936">
            <v>16.5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-6.5932432432433075</v>
          </cell>
          <cell r="F937">
            <v>18.947297297297542</v>
          </cell>
          <cell r="G937">
            <v>13.839189189189236</v>
          </cell>
          <cell r="H937">
            <v>13.839189189189236</v>
          </cell>
          <cell r="I937" t="e">
            <v>#N/A</v>
          </cell>
          <cell r="J937" t="e">
            <v>#N/A</v>
          </cell>
          <cell r="K937">
            <v>17.5</v>
          </cell>
          <cell r="L937">
            <v>14</v>
          </cell>
          <cell r="M937" t="e">
            <v>#N/A</v>
          </cell>
          <cell r="N937">
            <v>16.5</v>
          </cell>
          <cell r="O937" t="e">
            <v>#N/A</v>
          </cell>
          <cell r="P937" t="str">
            <v/>
          </cell>
          <cell r="Q937" t="str">
            <v/>
          </cell>
          <cell r="R937">
            <v>16.5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-6.6486486486487131</v>
          </cell>
          <cell r="F938">
            <v>18.959459459459705</v>
          </cell>
          <cell r="G938">
            <v>13.837837837837885</v>
          </cell>
          <cell r="H938">
            <v>13.837837837837885</v>
          </cell>
          <cell r="I938" t="e">
            <v>#N/A</v>
          </cell>
          <cell r="J938" t="e">
            <v>#N/A</v>
          </cell>
          <cell r="K938">
            <v>17.5</v>
          </cell>
          <cell r="L938">
            <v>14</v>
          </cell>
          <cell r="M938" t="e">
            <v>#N/A</v>
          </cell>
          <cell r="N938">
            <v>16.5</v>
          </cell>
          <cell r="O938" t="e">
            <v>#N/A</v>
          </cell>
          <cell r="P938" t="str">
            <v/>
          </cell>
          <cell r="Q938" t="str">
            <v/>
          </cell>
          <cell r="R938">
            <v>16.5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-6.7040540540541187</v>
          </cell>
          <cell r="F939">
            <v>18.971621621621868</v>
          </cell>
          <cell r="G939">
            <v>13.836486486486534</v>
          </cell>
          <cell r="H939">
            <v>13.836486486486534</v>
          </cell>
          <cell r="I939" t="e">
            <v>#N/A</v>
          </cell>
          <cell r="J939" t="e">
            <v>#N/A</v>
          </cell>
          <cell r="K939">
            <v>17.5</v>
          </cell>
          <cell r="L939">
            <v>14</v>
          </cell>
          <cell r="M939" t="e">
            <v>#N/A</v>
          </cell>
          <cell r="N939">
            <v>16.5</v>
          </cell>
          <cell r="O939" t="e">
            <v>#N/A</v>
          </cell>
          <cell r="P939" t="str">
            <v/>
          </cell>
          <cell r="Q939" t="str">
            <v/>
          </cell>
          <cell r="R939">
            <v>16.5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-6.7594594594595243</v>
          </cell>
          <cell r="F940">
            <v>18.98378378378403</v>
          </cell>
          <cell r="G940">
            <v>13.835135135135182</v>
          </cell>
          <cell r="H940">
            <v>13.835135135135182</v>
          </cell>
          <cell r="I940" t="e">
            <v>#N/A</v>
          </cell>
          <cell r="J940" t="e">
            <v>#N/A</v>
          </cell>
          <cell r="K940">
            <v>17.5</v>
          </cell>
          <cell r="L940">
            <v>14</v>
          </cell>
          <cell r="M940" t="e">
            <v>#N/A</v>
          </cell>
          <cell r="N940">
            <v>16.5</v>
          </cell>
          <cell r="O940" t="e">
            <v>#N/A</v>
          </cell>
          <cell r="P940" t="str">
            <v/>
          </cell>
          <cell r="Q940" t="str">
            <v/>
          </cell>
          <cell r="R940">
            <v>16.5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-6.8148648648649299</v>
          </cell>
          <cell r="F941">
            <v>18.995945945946193</v>
          </cell>
          <cell r="G941">
            <v>13.833783783783831</v>
          </cell>
          <cell r="H941">
            <v>13.833783783783831</v>
          </cell>
          <cell r="I941" t="e">
            <v>#N/A</v>
          </cell>
          <cell r="J941" t="e">
            <v>#N/A</v>
          </cell>
          <cell r="K941">
            <v>17.5</v>
          </cell>
          <cell r="L941">
            <v>14</v>
          </cell>
          <cell r="M941" t="e">
            <v>#N/A</v>
          </cell>
          <cell r="N941">
            <v>16.5</v>
          </cell>
          <cell r="O941" t="e">
            <v>#N/A</v>
          </cell>
          <cell r="P941" t="str">
            <v/>
          </cell>
          <cell r="Q941" t="str">
            <v/>
          </cell>
          <cell r="R941">
            <v>16.5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-6.8702702702703355</v>
          </cell>
          <cell r="F942">
            <v>19.008108108108356</v>
          </cell>
          <cell r="G942">
            <v>13.83243243243248</v>
          </cell>
          <cell r="H942">
            <v>13.83243243243248</v>
          </cell>
          <cell r="I942" t="e">
            <v>#N/A</v>
          </cell>
          <cell r="J942" t="e">
            <v>#N/A</v>
          </cell>
          <cell r="K942">
            <v>17.5</v>
          </cell>
          <cell r="L942">
            <v>14</v>
          </cell>
          <cell r="M942" t="e">
            <v>#N/A</v>
          </cell>
          <cell r="N942">
            <v>16.5</v>
          </cell>
          <cell r="O942" t="e">
            <v>#N/A</v>
          </cell>
          <cell r="P942" t="str">
            <v/>
          </cell>
          <cell r="Q942" t="str">
            <v/>
          </cell>
          <cell r="R942">
            <v>16.5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-6.9256756756757412</v>
          </cell>
          <cell r="F943">
            <v>19.020270270270519</v>
          </cell>
          <cell r="G943">
            <v>13.831081081081129</v>
          </cell>
          <cell r="H943">
            <v>13.831081081081129</v>
          </cell>
          <cell r="I943" t="e">
            <v>#N/A</v>
          </cell>
          <cell r="J943" t="e">
            <v>#N/A</v>
          </cell>
          <cell r="K943">
            <v>17.5</v>
          </cell>
          <cell r="L943">
            <v>14</v>
          </cell>
          <cell r="M943" t="e">
            <v>#N/A</v>
          </cell>
          <cell r="N943">
            <v>16.5</v>
          </cell>
          <cell r="O943" t="e">
            <v>#N/A</v>
          </cell>
          <cell r="P943" t="str">
            <v/>
          </cell>
          <cell r="Q943" t="str">
            <v/>
          </cell>
          <cell r="R943">
            <v>16.5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-6.9810810810811468</v>
          </cell>
          <cell r="F944">
            <v>19.032432432432682</v>
          </cell>
          <cell r="G944">
            <v>13.829729729729777</v>
          </cell>
          <cell r="H944">
            <v>13.829729729729777</v>
          </cell>
          <cell r="I944" t="e">
            <v>#N/A</v>
          </cell>
          <cell r="J944" t="e">
            <v>#N/A</v>
          </cell>
          <cell r="K944">
            <v>17.5</v>
          </cell>
          <cell r="L944">
            <v>14</v>
          </cell>
          <cell r="M944" t="e">
            <v>#N/A</v>
          </cell>
          <cell r="N944">
            <v>16.5</v>
          </cell>
          <cell r="O944" t="e">
            <v>#N/A</v>
          </cell>
          <cell r="P944" t="str">
            <v/>
          </cell>
          <cell r="Q944" t="str">
            <v/>
          </cell>
          <cell r="R944">
            <v>16.5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-7.0364864864865524</v>
          </cell>
          <cell r="F945">
            <v>19.044594594594844</v>
          </cell>
          <cell r="G945">
            <v>13.828378378378426</v>
          </cell>
          <cell r="H945">
            <v>13.828378378378426</v>
          </cell>
          <cell r="I945" t="e">
            <v>#N/A</v>
          </cell>
          <cell r="J945" t="e">
            <v>#N/A</v>
          </cell>
          <cell r="K945">
            <v>17.5</v>
          </cell>
          <cell r="L945">
            <v>14</v>
          </cell>
          <cell r="M945" t="e">
            <v>#N/A</v>
          </cell>
          <cell r="N945">
            <v>16.5</v>
          </cell>
          <cell r="O945" t="e">
            <v>#N/A</v>
          </cell>
          <cell r="P945" t="str">
            <v/>
          </cell>
          <cell r="Q945" t="str">
            <v/>
          </cell>
          <cell r="R945">
            <v>16.5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-7.091891891891958</v>
          </cell>
          <cell r="F946">
            <v>19.056756756757007</v>
          </cell>
          <cell r="G946">
            <v>13.827027027027075</v>
          </cell>
          <cell r="H946">
            <v>13.827027027027075</v>
          </cell>
          <cell r="I946" t="e">
            <v>#N/A</v>
          </cell>
          <cell r="J946" t="e">
            <v>#N/A</v>
          </cell>
          <cell r="K946">
            <v>17.5</v>
          </cell>
          <cell r="L946">
            <v>14</v>
          </cell>
          <cell r="M946" t="e">
            <v>#N/A</v>
          </cell>
          <cell r="N946">
            <v>16.5</v>
          </cell>
          <cell r="O946" t="e">
            <v>#N/A</v>
          </cell>
          <cell r="P946" t="str">
            <v/>
          </cell>
          <cell r="Q946" t="str">
            <v/>
          </cell>
          <cell r="R946">
            <v>16.5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-7.1472972972973636</v>
          </cell>
          <cell r="F947">
            <v>19.06891891891917</v>
          </cell>
          <cell r="G947">
            <v>13.825675675675724</v>
          </cell>
          <cell r="H947">
            <v>13.825675675675724</v>
          </cell>
          <cell r="I947" t="e">
            <v>#N/A</v>
          </cell>
          <cell r="J947" t="e">
            <v>#N/A</v>
          </cell>
          <cell r="K947">
            <v>17.5</v>
          </cell>
          <cell r="L947">
            <v>14</v>
          </cell>
          <cell r="M947" t="e">
            <v>#N/A</v>
          </cell>
          <cell r="N947">
            <v>16.5</v>
          </cell>
          <cell r="O947" t="e">
            <v>#N/A</v>
          </cell>
          <cell r="P947" t="str">
            <v/>
          </cell>
          <cell r="Q947" t="str">
            <v/>
          </cell>
          <cell r="R947">
            <v>16.5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-7.2027027027027692</v>
          </cell>
          <cell r="F948">
            <v>19.081081081081333</v>
          </cell>
          <cell r="G948">
            <v>13.824324324324373</v>
          </cell>
          <cell r="H948">
            <v>13.824324324324373</v>
          </cell>
          <cell r="I948" t="e">
            <v>#N/A</v>
          </cell>
          <cell r="J948" t="e">
            <v>#N/A</v>
          </cell>
          <cell r="K948">
            <v>17.5</v>
          </cell>
          <cell r="L948">
            <v>14</v>
          </cell>
          <cell r="M948" t="e">
            <v>#N/A</v>
          </cell>
          <cell r="N948">
            <v>16.5</v>
          </cell>
          <cell r="O948" t="e">
            <v>#N/A</v>
          </cell>
          <cell r="P948" t="str">
            <v/>
          </cell>
          <cell r="Q948" t="str">
            <v/>
          </cell>
          <cell r="R948">
            <v>16.5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-7.2581081081081749</v>
          </cell>
          <cell r="F949">
            <v>19.093243243243496</v>
          </cell>
          <cell r="G949">
            <v>13.822972972973021</v>
          </cell>
          <cell r="H949">
            <v>13.822972972973021</v>
          </cell>
          <cell r="I949" t="e">
            <v>#N/A</v>
          </cell>
          <cell r="J949" t="e">
            <v>#N/A</v>
          </cell>
          <cell r="K949">
            <v>17.5</v>
          </cell>
          <cell r="L949">
            <v>14</v>
          </cell>
          <cell r="M949" t="e">
            <v>#N/A</v>
          </cell>
          <cell r="N949">
            <v>16.5</v>
          </cell>
          <cell r="O949" t="e">
            <v>#N/A</v>
          </cell>
          <cell r="P949" t="str">
            <v/>
          </cell>
          <cell r="Q949" t="str">
            <v/>
          </cell>
          <cell r="R949">
            <v>16.5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-7.3135135135135805</v>
          </cell>
          <cell r="F950">
            <v>19.105405405405659</v>
          </cell>
          <cell r="G950">
            <v>13.82162162162167</v>
          </cell>
          <cell r="H950">
            <v>13.82162162162167</v>
          </cell>
          <cell r="I950" t="e">
            <v>#N/A</v>
          </cell>
          <cell r="J950" t="e">
            <v>#N/A</v>
          </cell>
          <cell r="K950">
            <v>17.5</v>
          </cell>
          <cell r="L950">
            <v>14</v>
          </cell>
          <cell r="M950" t="e">
            <v>#N/A</v>
          </cell>
          <cell r="N950">
            <v>16.5</v>
          </cell>
          <cell r="O950" t="e">
            <v>#N/A</v>
          </cell>
          <cell r="P950" t="str">
            <v/>
          </cell>
          <cell r="Q950" t="str">
            <v/>
          </cell>
          <cell r="R950">
            <v>16.5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-7.3689189189189861</v>
          </cell>
          <cell r="F951">
            <v>19.117567567567821</v>
          </cell>
          <cell r="G951">
            <v>13.820270270270319</v>
          </cell>
          <cell r="H951">
            <v>13.820270270270319</v>
          </cell>
          <cell r="I951" t="e">
            <v>#N/A</v>
          </cell>
          <cell r="J951" t="e">
            <v>#N/A</v>
          </cell>
          <cell r="K951">
            <v>17.5</v>
          </cell>
          <cell r="L951">
            <v>14</v>
          </cell>
          <cell r="M951" t="e">
            <v>#N/A</v>
          </cell>
          <cell r="N951">
            <v>16.5</v>
          </cell>
          <cell r="O951" t="e">
            <v>#N/A</v>
          </cell>
          <cell r="P951" t="str">
            <v/>
          </cell>
          <cell r="Q951" t="str">
            <v/>
          </cell>
          <cell r="R951">
            <v>16.5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-7.4243243243243917</v>
          </cell>
          <cell r="F952">
            <v>19.129729729729984</v>
          </cell>
          <cell r="G952">
            <v>13.818918918918968</v>
          </cell>
          <cell r="H952">
            <v>13.818918918918968</v>
          </cell>
          <cell r="I952" t="e">
            <v>#N/A</v>
          </cell>
          <cell r="J952" t="e">
            <v>#N/A</v>
          </cell>
          <cell r="K952">
            <v>17.5</v>
          </cell>
          <cell r="L952">
            <v>14</v>
          </cell>
          <cell r="M952" t="e">
            <v>#N/A</v>
          </cell>
          <cell r="N952">
            <v>16.5</v>
          </cell>
          <cell r="O952" t="e">
            <v>#N/A</v>
          </cell>
          <cell r="P952" t="str">
            <v/>
          </cell>
          <cell r="Q952" t="str">
            <v/>
          </cell>
          <cell r="R952">
            <v>16.5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-7.4797297297297973</v>
          </cell>
          <cell r="F953">
            <v>19.141891891892147</v>
          </cell>
          <cell r="G953">
            <v>13.817567567567616</v>
          </cell>
          <cell r="H953">
            <v>13.817567567567616</v>
          </cell>
          <cell r="I953" t="e">
            <v>#N/A</v>
          </cell>
          <cell r="J953" t="e">
            <v>#N/A</v>
          </cell>
          <cell r="K953">
            <v>17.5</v>
          </cell>
          <cell r="L953">
            <v>14</v>
          </cell>
          <cell r="M953" t="e">
            <v>#N/A</v>
          </cell>
          <cell r="N953">
            <v>16.5</v>
          </cell>
          <cell r="O953" t="e">
            <v>#N/A</v>
          </cell>
          <cell r="P953" t="str">
            <v/>
          </cell>
          <cell r="Q953" t="str">
            <v/>
          </cell>
          <cell r="R953">
            <v>16.5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-7.5351351351352029</v>
          </cell>
          <cell r="F954">
            <v>19.15405405405431</v>
          </cell>
          <cell r="G954">
            <v>13.816216216216265</v>
          </cell>
          <cell r="H954">
            <v>13.816216216216265</v>
          </cell>
          <cell r="I954" t="e">
            <v>#N/A</v>
          </cell>
          <cell r="J954" t="e">
            <v>#N/A</v>
          </cell>
          <cell r="K954">
            <v>17.5</v>
          </cell>
          <cell r="L954">
            <v>14</v>
          </cell>
          <cell r="M954" t="e">
            <v>#N/A</v>
          </cell>
          <cell r="N954">
            <v>16.5</v>
          </cell>
          <cell r="O954" t="e">
            <v>#N/A</v>
          </cell>
          <cell r="P954" t="str">
            <v/>
          </cell>
          <cell r="Q954" t="str">
            <v/>
          </cell>
          <cell r="R954">
            <v>16.5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-7.5905405405406086</v>
          </cell>
          <cell r="F955">
            <v>19.166216216216473</v>
          </cell>
          <cell r="G955">
            <v>13.814864864864914</v>
          </cell>
          <cell r="H955">
            <v>13.814864864864914</v>
          </cell>
          <cell r="I955" t="e">
            <v>#N/A</v>
          </cell>
          <cell r="J955" t="e">
            <v>#N/A</v>
          </cell>
          <cell r="K955">
            <v>17.5</v>
          </cell>
          <cell r="L955">
            <v>14</v>
          </cell>
          <cell r="M955" t="e">
            <v>#N/A</v>
          </cell>
          <cell r="N955">
            <v>16.5</v>
          </cell>
          <cell r="O955" t="e">
            <v>#N/A</v>
          </cell>
          <cell r="P955" t="str">
            <v/>
          </cell>
          <cell r="Q955" t="str">
            <v/>
          </cell>
          <cell r="R955">
            <v>16.5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-7.6459459459460142</v>
          </cell>
          <cell r="F956">
            <v>19.178378378378635</v>
          </cell>
          <cell r="G956">
            <v>13.813513513513563</v>
          </cell>
          <cell r="H956">
            <v>13.813513513513563</v>
          </cell>
          <cell r="I956" t="e">
            <v>#N/A</v>
          </cell>
          <cell r="J956" t="e">
            <v>#N/A</v>
          </cell>
          <cell r="K956">
            <v>17.5</v>
          </cell>
          <cell r="L956">
            <v>14</v>
          </cell>
          <cell r="M956" t="e">
            <v>#N/A</v>
          </cell>
          <cell r="N956">
            <v>16.5</v>
          </cell>
          <cell r="O956" t="e">
            <v>#N/A</v>
          </cell>
          <cell r="P956" t="str">
            <v/>
          </cell>
          <cell r="Q956" t="str">
            <v/>
          </cell>
          <cell r="R956">
            <v>16.5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-7.7013513513514198</v>
          </cell>
          <cell r="F957">
            <v>19.190540540540798</v>
          </cell>
          <cell r="G957">
            <v>13.812162162162211</v>
          </cell>
          <cell r="H957">
            <v>13.812162162162211</v>
          </cell>
          <cell r="I957" t="e">
            <v>#N/A</v>
          </cell>
          <cell r="J957" t="e">
            <v>#N/A</v>
          </cell>
          <cell r="K957">
            <v>17.5</v>
          </cell>
          <cell r="L957">
            <v>14</v>
          </cell>
          <cell r="M957" t="e">
            <v>#N/A</v>
          </cell>
          <cell r="N957">
            <v>16.5</v>
          </cell>
          <cell r="O957" t="e">
            <v>#N/A</v>
          </cell>
          <cell r="P957" t="str">
            <v/>
          </cell>
          <cell r="Q957" t="str">
            <v/>
          </cell>
          <cell r="R957">
            <v>16.5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-7.7567567567568254</v>
          </cell>
          <cell r="F958">
            <v>19.202702702702961</v>
          </cell>
          <cell r="G958">
            <v>13.81081081081086</v>
          </cell>
          <cell r="H958">
            <v>13.81081081081086</v>
          </cell>
          <cell r="I958" t="e">
            <v>#N/A</v>
          </cell>
          <cell r="J958" t="e">
            <v>#N/A</v>
          </cell>
          <cell r="K958">
            <v>17.5</v>
          </cell>
          <cell r="L958">
            <v>14</v>
          </cell>
          <cell r="M958" t="e">
            <v>#N/A</v>
          </cell>
          <cell r="N958">
            <v>16.5</v>
          </cell>
          <cell r="O958" t="e">
            <v>#N/A</v>
          </cell>
          <cell r="P958" t="str">
            <v/>
          </cell>
          <cell r="Q958" t="str">
            <v/>
          </cell>
          <cell r="R958">
            <v>16.5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-7.812162162162231</v>
          </cell>
          <cell r="F959">
            <v>19.214864864865124</v>
          </cell>
          <cell r="G959">
            <v>13.809459459459509</v>
          </cell>
          <cell r="H959">
            <v>13.809459459459509</v>
          </cell>
          <cell r="I959" t="e">
            <v>#N/A</v>
          </cell>
          <cell r="J959" t="e">
            <v>#N/A</v>
          </cell>
          <cell r="K959">
            <v>17.5</v>
          </cell>
          <cell r="L959">
            <v>14</v>
          </cell>
          <cell r="M959" t="e">
            <v>#N/A</v>
          </cell>
          <cell r="N959">
            <v>16.5</v>
          </cell>
          <cell r="O959" t="e">
            <v>#N/A</v>
          </cell>
          <cell r="P959" t="str">
            <v/>
          </cell>
          <cell r="Q959" t="str">
            <v/>
          </cell>
          <cell r="R959">
            <v>16.5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-7.8675675675676366</v>
          </cell>
          <cell r="F960">
            <v>19.227027027027287</v>
          </cell>
          <cell r="G960">
            <v>13.808108108108158</v>
          </cell>
          <cell r="H960">
            <v>13.808108108108158</v>
          </cell>
          <cell r="I960" t="e">
            <v>#N/A</v>
          </cell>
          <cell r="J960" t="e">
            <v>#N/A</v>
          </cell>
          <cell r="K960">
            <v>17.5</v>
          </cell>
          <cell r="L960">
            <v>14</v>
          </cell>
          <cell r="M960" t="e">
            <v>#N/A</v>
          </cell>
          <cell r="N960">
            <v>16.5</v>
          </cell>
          <cell r="O960" t="e">
            <v>#N/A</v>
          </cell>
          <cell r="P960" t="str">
            <v/>
          </cell>
          <cell r="Q960" t="str">
            <v/>
          </cell>
          <cell r="R960">
            <v>16.5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-7.9229729729730423</v>
          </cell>
          <cell r="F961">
            <v>19.23918918918945</v>
          </cell>
          <cell r="G961">
            <v>13.806756756756807</v>
          </cell>
          <cell r="H961">
            <v>13.806756756756807</v>
          </cell>
          <cell r="I961" t="e">
            <v>#N/A</v>
          </cell>
          <cell r="J961" t="e">
            <v>#N/A</v>
          </cell>
          <cell r="K961">
            <v>17.5</v>
          </cell>
          <cell r="L961">
            <v>14</v>
          </cell>
          <cell r="M961" t="e">
            <v>#N/A</v>
          </cell>
          <cell r="N961">
            <v>16.5</v>
          </cell>
          <cell r="O961" t="e">
            <v>#N/A</v>
          </cell>
          <cell r="P961" t="str">
            <v/>
          </cell>
          <cell r="Q961" t="str">
            <v/>
          </cell>
          <cell r="R961">
            <v>16.5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-7.9783783783784479</v>
          </cell>
          <cell r="F962">
            <v>19.251351351351612</v>
          </cell>
          <cell r="G962">
            <v>13.805405405405455</v>
          </cell>
          <cell r="H962">
            <v>13.805405405405455</v>
          </cell>
          <cell r="I962" t="e">
            <v>#N/A</v>
          </cell>
          <cell r="J962" t="e">
            <v>#N/A</v>
          </cell>
          <cell r="K962">
            <v>17.5</v>
          </cell>
          <cell r="L962">
            <v>14</v>
          </cell>
          <cell r="M962" t="e">
            <v>#N/A</v>
          </cell>
          <cell r="N962">
            <v>16.5</v>
          </cell>
          <cell r="O962" t="e">
            <v>#N/A</v>
          </cell>
          <cell r="P962" t="str">
            <v/>
          </cell>
          <cell r="Q962" t="str">
            <v/>
          </cell>
          <cell r="R962">
            <v>16.5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-8.0337837837838535</v>
          </cell>
          <cell r="F963">
            <v>19.263513513513775</v>
          </cell>
          <cell r="G963">
            <v>13.804054054054104</v>
          </cell>
          <cell r="H963">
            <v>13.804054054054104</v>
          </cell>
          <cell r="I963" t="e">
            <v>#N/A</v>
          </cell>
          <cell r="J963" t="e">
            <v>#N/A</v>
          </cell>
          <cell r="K963">
            <v>17.5</v>
          </cell>
          <cell r="L963">
            <v>14</v>
          </cell>
          <cell r="M963" t="e">
            <v>#N/A</v>
          </cell>
          <cell r="N963">
            <v>16.5</v>
          </cell>
          <cell r="O963" t="e">
            <v>#N/A</v>
          </cell>
          <cell r="P963" t="str">
            <v/>
          </cell>
          <cell r="Q963" t="str">
            <v/>
          </cell>
          <cell r="R963">
            <v>16.5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-8.0891891891892591</v>
          </cell>
          <cell r="F964">
            <v>19.275675675675938</v>
          </cell>
          <cell r="G964">
            <v>13.802702702702753</v>
          </cell>
          <cell r="H964">
            <v>13.802702702702753</v>
          </cell>
          <cell r="I964" t="e">
            <v>#N/A</v>
          </cell>
          <cell r="J964" t="e">
            <v>#N/A</v>
          </cell>
          <cell r="K964">
            <v>17.5</v>
          </cell>
          <cell r="L964">
            <v>14</v>
          </cell>
          <cell r="M964" t="e">
            <v>#N/A</v>
          </cell>
          <cell r="N964">
            <v>16.5</v>
          </cell>
          <cell r="O964" t="e">
            <v>#N/A</v>
          </cell>
          <cell r="P964" t="str">
            <v/>
          </cell>
          <cell r="Q964" t="str">
            <v/>
          </cell>
          <cell r="R964">
            <v>16.5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-8.1445945945946647</v>
          </cell>
          <cell r="F965">
            <v>19.287837837838101</v>
          </cell>
          <cell r="G965">
            <v>13.801351351351402</v>
          </cell>
          <cell r="H965">
            <v>13.801351351351402</v>
          </cell>
          <cell r="I965" t="e">
            <v>#N/A</v>
          </cell>
          <cell r="J965" t="e">
            <v>#N/A</v>
          </cell>
          <cell r="K965">
            <v>17.5</v>
          </cell>
          <cell r="L965">
            <v>14</v>
          </cell>
          <cell r="M965" t="e">
            <v>#N/A</v>
          </cell>
          <cell r="N965">
            <v>16.5</v>
          </cell>
          <cell r="O965" t="e">
            <v>#N/A</v>
          </cell>
          <cell r="P965" t="str">
            <v/>
          </cell>
          <cell r="Q965" t="str">
            <v/>
          </cell>
          <cell r="R965">
            <v>16.5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-8.2000000000000703</v>
          </cell>
          <cell r="F966">
            <v>19.300000000000264</v>
          </cell>
          <cell r="G966">
            <v>13.80000000000005</v>
          </cell>
          <cell r="H966">
            <v>13.80000000000005</v>
          </cell>
          <cell r="I966" t="e">
            <v>#N/A</v>
          </cell>
          <cell r="J966" t="e">
            <v>#N/A</v>
          </cell>
          <cell r="K966">
            <v>17.5</v>
          </cell>
          <cell r="L966">
            <v>14</v>
          </cell>
          <cell r="M966" t="e">
            <v>#N/A</v>
          </cell>
          <cell r="N966">
            <v>16.5</v>
          </cell>
          <cell r="O966" t="e">
            <v>#N/A</v>
          </cell>
          <cell r="P966" t="str">
            <v/>
          </cell>
          <cell r="Q966" t="str">
            <v/>
          </cell>
          <cell r="R966">
            <v>16.5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-8.255405405405476</v>
          </cell>
          <cell r="F967">
            <v>19.312162162162426</v>
          </cell>
          <cell r="G967">
            <v>13.798648648648699</v>
          </cell>
          <cell r="H967">
            <v>13.798648648648699</v>
          </cell>
          <cell r="I967" t="e">
            <v>#N/A</v>
          </cell>
          <cell r="J967" t="e">
            <v>#N/A</v>
          </cell>
          <cell r="K967">
            <v>17.5</v>
          </cell>
          <cell r="L967">
            <v>14</v>
          </cell>
          <cell r="M967" t="e">
            <v>#N/A</v>
          </cell>
          <cell r="N967">
            <v>16.5</v>
          </cell>
          <cell r="O967" t="e">
            <v>#N/A</v>
          </cell>
          <cell r="P967" t="str">
            <v/>
          </cell>
          <cell r="Q967" t="str">
            <v/>
          </cell>
          <cell r="R967">
            <v>16.5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-8.3108108108108816</v>
          </cell>
          <cell r="F968">
            <v>19.324324324324589</v>
          </cell>
          <cell r="G968">
            <v>13.797297297297348</v>
          </cell>
          <cell r="H968">
            <v>13.797297297297348</v>
          </cell>
          <cell r="I968" t="e">
            <v>#N/A</v>
          </cell>
          <cell r="J968" t="e">
            <v>#N/A</v>
          </cell>
          <cell r="K968">
            <v>17.5</v>
          </cell>
          <cell r="L968">
            <v>14</v>
          </cell>
          <cell r="M968" t="e">
            <v>#N/A</v>
          </cell>
          <cell r="N968">
            <v>16.5</v>
          </cell>
          <cell r="O968" t="e">
            <v>#N/A</v>
          </cell>
          <cell r="P968" t="str">
            <v/>
          </cell>
          <cell r="Q968" t="str">
            <v/>
          </cell>
          <cell r="R968">
            <v>16.5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-8.3662162162162872</v>
          </cell>
          <cell r="F969">
            <v>19.336486486486752</v>
          </cell>
          <cell r="G969">
            <v>13.795945945945997</v>
          </cell>
          <cell r="H969">
            <v>13.795945945945997</v>
          </cell>
          <cell r="I969" t="e">
            <v>#N/A</v>
          </cell>
          <cell r="J969" t="e">
            <v>#N/A</v>
          </cell>
          <cell r="K969">
            <v>17.5</v>
          </cell>
          <cell r="L969">
            <v>14</v>
          </cell>
          <cell r="M969" t="e">
            <v>#N/A</v>
          </cell>
          <cell r="N969">
            <v>16.5</v>
          </cell>
          <cell r="O969" t="e">
            <v>#N/A</v>
          </cell>
          <cell r="P969" t="str">
            <v/>
          </cell>
          <cell r="Q969" t="str">
            <v/>
          </cell>
          <cell r="R969">
            <v>16.5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-8.4216216216216928</v>
          </cell>
          <cell r="F970">
            <v>19.348648648648915</v>
          </cell>
          <cell r="G970">
            <v>13.794594594594646</v>
          </cell>
          <cell r="H970">
            <v>13.794594594594646</v>
          </cell>
          <cell r="I970" t="e">
            <v>#N/A</v>
          </cell>
          <cell r="J970" t="e">
            <v>#N/A</v>
          </cell>
          <cell r="K970">
            <v>17.5</v>
          </cell>
          <cell r="L970">
            <v>14</v>
          </cell>
          <cell r="M970" t="e">
            <v>#N/A</v>
          </cell>
          <cell r="N970">
            <v>16.5</v>
          </cell>
          <cell r="O970" t="e">
            <v>#N/A</v>
          </cell>
          <cell r="P970" t="str">
            <v/>
          </cell>
          <cell r="Q970" t="str">
            <v/>
          </cell>
          <cell r="R970">
            <v>16.5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-8.4770270270270984</v>
          </cell>
          <cell r="F971">
            <v>19.360810810811078</v>
          </cell>
          <cell r="G971">
            <v>13.793243243243294</v>
          </cell>
          <cell r="H971">
            <v>13.793243243243294</v>
          </cell>
          <cell r="I971" t="e">
            <v>#N/A</v>
          </cell>
          <cell r="J971" t="e">
            <v>#N/A</v>
          </cell>
          <cell r="K971">
            <v>17.5</v>
          </cell>
          <cell r="L971">
            <v>14</v>
          </cell>
          <cell r="M971" t="e">
            <v>#N/A</v>
          </cell>
          <cell r="N971">
            <v>16.5</v>
          </cell>
          <cell r="O971" t="e">
            <v>#N/A</v>
          </cell>
          <cell r="P971" t="str">
            <v/>
          </cell>
          <cell r="Q971" t="str">
            <v/>
          </cell>
          <cell r="R971">
            <v>16.5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-8.532432432432504</v>
          </cell>
          <cell r="F972">
            <v>19.372972972973241</v>
          </cell>
          <cell r="G972">
            <v>13.791891891891943</v>
          </cell>
          <cell r="H972">
            <v>13.791891891891943</v>
          </cell>
          <cell r="I972" t="e">
            <v>#N/A</v>
          </cell>
          <cell r="J972" t="e">
            <v>#N/A</v>
          </cell>
          <cell r="K972">
            <v>17.5</v>
          </cell>
          <cell r="L972">
            <v>14</v>
          </cell>
          <cell r="M972" t="e">
            <v>#N/A</v>
          </cell>
          <cell r="N972">
            <v>16.5</v>
          </cell>
          <cell r="O972" t="e">
            <v>#N/A</v>
          </cell>
          <cell r="P972" t="str">
            <v/>
          </cell>
          <cell r="Q972" t="str">
            <v/>
          </cell>
          <cell r="R972">
            <v>16.5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-8.5878378378379097</v>
          </cell>
          <cell r="F973">
            <v>19.385135135135403</v>
          </cell>
          <cell r="G973">
            <v>13.790540540540592</v>
          </cell>
          <cell r="H973">
            <v>13.790540540540592</v>
          </cell>
          <cell r="I973" t="e">
            <v>#N/A</v>
          </cell>
          <cell r="J973" t="e">
            <v>#N/A</v>
          </cell>
          <cell r="K973">
            <v>17.5</v>
          </cell>
          <cell r="L973">
            <v>14</v>
          </cell>
          <cell r="M973" t="e">
            <v>#N/A</v>
          </cell>
          <cell r="N973">
            <v>16.5</v>
          </cell>
          <cell r="O973" t="e">
            <v>#N/A</v>
          </cell>
          <cell r="P973" t="str">
            <v/>
          </cell>
          <cell r="Q973" t="str">
            <v/>
          </cell>
          <cell r="R973">
            <v>16.5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-8.6432432432433153</v>
          </cell>
          <cell r="F974">
            <v>19.397297297297566</v>
          </cell>
          <cell r="G974">
            <v>13.789189189189241</v>
          </cell>
          <cell r="H974">
            <v>13.789189189189241</v>
          </cell>
          <cell r="I974" t="e">
            <v>#N/A</v>
          </cell>
          <cell r="J974" t="e">
            <v>#N/A</v>
          </cell>
          <cell r="K974">
            <v>17.5</v>
          </cell>
          <cell r="L974">
            <v>14</v>
          </cell>
          <cell r="M974" t="e">
            <v>#N/A</v>
          </cell>
          <cell r="N974">
            <v>16.5</v>
          </cell>
          <cell r="O974" t="e">
            <v>#N/A</v>
          </cell>
          <cell r="P974" t="str">
            <v/>
          </cell>
          <cell r="Q974" t="str">
            <v/>
          </cell>
          <cell r="R974">
            <v>16.5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-8.6986486486487209</v>
          </cell>
          <cell r="F975">
            <v>19.409459459459729</v>
          </cell>
          <cell r="G975">
            <v>13.787837837837889</v>
          </cell>
          <cell r="H975">
            <v>13.787837837837889</v>
          </cell>
          <cell r="I975" t="e">
            <v>#N/A</v>
          </cell>
          <cell r="J975" t="e">
            <v>#N/A</v>
          </cell>
          <cell r="K975">
            <v>17.5</v>
          </cell>
          <cell r="L975">
            <v>14</v>
          </cell>
          <cell r="M975" t="e">
            <v>#N/A</v>
          </cell>
          <cell r="N975">
            <v>16.5</v>
          </cell>
          <cell r="O975" t="e">
            <v>#N/A</v>
          </cell>
          <cell r="P975" t="str">
            <v/>
          </cell>
          <cell r="Q975" t="str">
            <v/>
          </cell>
          <cell r="R975">
            <v>16.5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-8.7540540540541265</v>
          </cell>
          <cell r="F976">
            <v>19.421621621621892</v>
          </cell>
          <cell r="G976">
            <v>13.786486486486538</v>
          </cell>
          <cell r="H976">
            <v>13.786486486486538</v>
          </cell>
          <cell r="I976" t="e">
            <v>#N/A</v>
          </cell>
          <cell r="J976" t="e">
            <v>#N/A</v>
          </cell>
          <cell r="K976">
            <v>17.5</v>
          </cell>
          <cell r="L976">
            <v>14</v>
          </cell>
          <cell r="M976" t="e">
            <v>#N/A</v>
          </cell>
          <cell r="N976">
            <v>16.5</v>
          </cell>
          <cell r="O976" t="e">
            <v>#N/A</v>
          </cell>
          <cell r="P976" t="str">
            <v/>
          </cell>
          <cell r="Q976" t="str">
            <v/>
          </cell>
          <cell r="R976">
            <v>16.5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-8.8094594594595321</v>
          </cell>
          <cell r="F977">
            <v>19.433783783784055</v>
          </cell>
          <cell r="G977">
            <v>13.785135135135187</v>
          </cell>
          <cell r="H977">
            <v>13.785135135135187</v>
          </cell>
          <cell r="I977" t="e">
            <v>#N/A</v>
          </cell>
          <cell r="J977" t="e">
            <v>#N/A</v>
          </cell>
          <cell r="K977">
            <v>17.5</v>
          </cell>
          <cell r="L977">
            <v>14</v>
          </cell>
          <cell r="M977" t="e">
            <v>#N/A</v>
          </cell>
          <cell r="N977">
            <v>16.5</v>
          </cell>
          <cell r="O977" t="e">
            <v>#N/A</v>
          </cell>
          <cell r="P977" t="str">
            <v/>
          </cell>
          <cell r="Q977" t="str">
            <v/>
          </cell>
          <cell r="R977">
            <v>16.5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-8.8648648648649377</v>
          </cell>
          <cell r="F978">
            <v>19.445945945946217</v>
          </cell>
          <cell r="G978">
            <v>13.783783783783836</v>
          </cell>
          <cell r="H978">
            <v>13.783783783783836</v>
          </cell>
          <cell r="I978" t="e">
            <v>#N/A</v>
          </cell>
          <cell r="J978" t="e">
            <v>#N/A</v>
          </cell>
          <cell r="K978">
            <v>17.5</v>
          </cell>
          <cell r="L978">
            <v>14</v>
          </cell>
          <cell r="M978" t="e">
            <v>#N/A</v>
          </cell>
          <cell r="N978">
            <v>16.5</v>
          </cell>
          <cell r="O978" t="e">
            <v>#N/A</v>
          </cell>
          <cell r="P978" t="str">
            <v/>
          </cell>
          <cell r="Q978" t="str">
            <v/>
          </cell>
          <cell r="R978">
            <v>16.5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-8.9202702702703434</v>
          </cell>
          <cell r="F979">
            <v>19.45810810810838</v>
          </cell>
          <cell r="G979">
            <v>13.782432432432485</v>
          </cell>
          <cell r="H979">
            <v>13.782432432432485</v>
          </cell>
          <cell r="I979" t="e">
            <v>#N/A</v>
          </cell>
          <cell r="J979" t="e">
            <v>#N/A</v>
          </cell>
          <cell r="K979">
            <v>17.5</v>
          </cell>
          <cell r="L979">
            <v>14</v>
          </cell>
          <cell r="M979" t="e">
            <v>#N/A</v>
          </cell>
          <cell r="N979">
            <v>16.5</v>
          </cell>
          <cell r="O979" t="e">
            <v>#N/A</v>
          </cell>
          <cell r="P979" t="str">
            <v/>
          </cell>
          <cell r="Q979" t="str">
            <v/>
          </cell>
          <cell r="R979">
            <v>16.5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-8.975675675675749</v>
          </cell>
          <cell r="F980">
            <v>19.470270270270543</v>
          </cell>
          <cell r="G980">
            <v>13.781081081081133</v>
          </cell>
          <cell r="H980">
            <v>13.781081081081133</v>
          </cell>
          <cell r="I980" t="e">
            <v>#N/A</v>
          </cell>
          <cell r="J980" t="e">
            <v>#N/A</v>
          </cell>
          <cell r="K980">
            <v>17.5</v>
          </cell>
          <cell r="L980">
            <v>14</v>
          </cell>
          <cell r="M980" t="e">
            <v>#N/A</v>
          </cell>
          <cell r="N980">
            <v>16.5</v>
          </cell>
          <cell r="O980" t="e">
            <v>#N/A</v>
          </cell>
          <cell r="P980" t="str">
            <v/>
          </cell>
          <cell r="Q980" t="str">
            <v/>
          </cell>
          <cell r="R980">
            <v>16.5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-9.0310810810811546</v>
          </cell>
          <cell r="F981">
            <v>19.482432432432706</v>
          </cell>
          <cell r="G981">
            <v>13.779729729729782</v>
          </cell>
          <cell r="H981">
            <v>13.779729729729782</v>
          </cell>
          <cell r="I981" t="e">
            <v>#N/A</v>
          </cell>
          <cell r="J981" t="e">
            <v>#N/A</v>
          </cell>
          <cell r="K981">
            <v>17.5</v>
          </cell>
          <cell r="L981">
            <v>14</v>
          </cell>
          <cell r="M981" t="e">
            <v>#N/A</v>
          </cell>
          <cell r="N981">
            <v>16.5</v>
          </cell>
          <cell r="O981" t="e">
            <v>#N/A</v>
          </cell>
          <cell r="P981" t="str">
            <v/>
          </cell>
          <cell r="Q981" t="str">
            <v/>
          </cell>
          <cell r="R981">
            <v>16.5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-9.0864864864865602</v>
          </cell>
          <cell r="F982">
            <v>19.494594594594869</v>
          </cell>
          <cell r="G982">
            <v>13.778378378378431</v>
          </cell>
          <cell r="H982">
            <v>13.778378378378431</v>
          </cell>
          <cell r="I982" t="e">
            <v>#N/A</v>
          </cell>
          <cell r="J982" t="e">
            <v>#N/A</v>
          </cell>
          <cell r="K982">
            <v>17.5</v>
          </cell>
          <cell r="L982">
            <v>14</v>
          </cell>
          <cell r="M982" t="e">
            <v>#N/A</v>
          </cell>
          <cell r="N982">
            <v>16.5</v>
          </cell>
          <cell r="O982" t="e">
            <v>#N/A</v>
          </cell>
          <cell r="P982" t="str">
            <v/>
          </cell>
          <cell r="Q982" t="str">
            <v/>
          </cell>
          <cell r="R982">
            <v>16.5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-9.1418918918919658</v>
          </cell>
          <cell r="F983">
            <v>19.506756756757031</v>
          </cell>
          <cell r="G983">
            <v>13.77702702702708</v>
          </cell>
          <cell r="H983">
            <v>13.77702702702708</v>
          </cell>
          <cell r="I983" t="e">
            <v>#N/A</v>
          </cell>
          <cell r="J983" t="e">
            <v>#N/A</v>
          </cell>
          <cell r="K983">
            <v>17.5</v>
          </cell>
          <cell r="L983">
            <v>14</v>
          </cell>
          <cell r="M983" t="e">
            <v>#N/A</v>
          </cell>
          <cell r="N983">
            <v>16.5</v>
          </cell>
          <cell r="O983" t="e">
            <v>#N/A</v>
          </cell>
          <cell r="P983" t="str">
            <v/>
          </cell>
          <cell r="Q983" t="str">
            <v/>
          </cell>
          <cell r="R983">
            <v>16.5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-9.1972972972973714</v>
          </cell>
          <cell r="F984">
            <v>19.518918918919194</v>
          </cell>
          <cell r="G984">
            <v>13.775675675675728</v>
          </cell>
          <cell r="H984">
            <v>13.775675675675728</v>
          </cell>
          <cell r="I984" t="e">
            <v>#N/A</v>
          </cell>
          <cell r="J984" t="e">
            <v>#N/A</v>
          </cell>
          <cell r="K984">
            <v>17.5</v>
          </cell>
          <cell r="L984">
            <v>14</v>
          </cell>
          <cell r="M984" t="e">
            <v>#N/A</v>
          </cell>
          <cell r="N984">
            <v>16.5</v>
          </cell>
          <cell r="O984" t="e">
            <v>#N/A</v>
          </cell>
          <cell r="P984" t="str">
            <v/>
          </cell>
          <cell r="Q984" t="str">
            <v/>
          </cell>
          <cell r="R984">
            <v>16.5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-9.2527027027027771</v>
          </cell>
          <cell r="F985">
            <v>19.531081081081357</v>
          </cell>
          <cell r="G985">
            <v>13.774324324324377</v>
          </cell>
          <cell r="H985">
            <v>13.774324324324377</v>
          </cell>
          <cell r="I985" t="e">
            <v>#N/A</v>
          </cell>
          <cell r="J985" t="e">
            <v>#N/A</v>
          </cell>
          <cell r="K985">
            <v>17.5</v>
          </cell>
          <cell r="L985">
            <v>14</v>
          </cell>
          <cell r="M985" t="e">
            <v>#N/A</v>
          </cell>
          <cell r="N985">
            <v>16.5</v>
          </cell>
          <cell r="O985" t="e">
            <v>#N/A</v>
          </cell>
          <cell r="P985" t="str">
            <v/>
          </cell>
          <cell r="Q985" t="str">
            <v/>
          </cell>
          <cell r="R985">
            <v>16.5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-9.3081081081081827</v>
          </cell>
          <cell r="F986">
            <v>19.54324324324352</v>
          </cell>
          <cell r="G986">
            <v>13.772972972973026</v>
          </cell>
          <cell r="H986">
            <v>13.772972972973026</v>
          </cell>
          <cell r="I986" t="e">
            <v>#N/A</v>
          </cell>
          <cell r="J986" t="e">
            <v>#N/A</v>
          </cell>
          <cell r="K986">
            <v>17.5</v>
          </cell>
          <cell r="L986">
            <v>14</v>
          </cell>
          <cell r="M986" t="e">
            <v>#N/A</v>
          </cell>
          <cell r="N986">
            <v>16.5</v>
          </cell>
          <cell r="O986" t="e">
            <v>#N/A</v>
          </cell>
          <cell r="P986" t="str">
            <v/>
          </cell>
          <cell r="Q986" t="str">
            <v/>
          </cell>
          <cell r="R986">
            <v>16.5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-9.3635135135135883</v>
          </cell>
          <cell r="F987">
            <v>19.555405405405683</v>
          </cell>
          <cell r="G987">
            <v>13.771621621621675</v>
          </cell>
          <cell r="H987">
            <v>13.771621621621675</v>
          </cell>
          <cell r="I987" t="e">
            <v>#N/A</v>
          </cell>
          <cell r="J987" t="e">
            <v>#N/A</v>
          </cell>
          <cell r="K987">
            <v>17.5</v>
          </cell>
          <cell r="L987">
            <v>14</v>
          </cell>
          <cell r="M987" t="e">
            <v>#N/A</v>
          </cell>
          <cell r="N987">
            <v>16.5</v>
          </cell>
          <cell r="O987" t="e">
            <v>#N/A</v>
          </cell>
          <cell r="P987" t="str">
            <v/>
          </cell>
          <cell r="Q987" t="str">
            <v/>
          </cell>
          <cell r="R987">
            <v>16.5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-9.4189189189189939</v>
          </cell>
          <cell r="F988">
            <v>19.567567567567846</v>
          </cell>
          <cell r="G988">
            <v>13.770270270270323</v>
          </cell>
          <cell r="H988">
            <v>13.770270270270323</v>
          </cell>
          <cell r="I988" t="e">
            <v>#N/A</v>
          </cell>
          <cell r="J988" t="e">
            <v>#N/A</v>
          </cell>
          <cell r="K988">
            <v>17.5</v>
          </cell>
          <cell r="L988">
            <v>14</v>
          </cell>
          <cell r="M988" t="e">
            <v>#N/A</v>
          </cell>
          <cell r="N988">
            <v>16.5</v>
          </cell>
          <cell r="O988" t="e">
            <v>#N/A</v>
          </cell>
          <cell r="P988" t="str">
            <v/>
          </cell>
          <cell r="Q988" t="str">
            <v/>
          </cell>
          <cell r="R988">
            <v>16.5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-9.4743243243243995</v>
          </cell>
          <cell r="F989">
            <v>19.579729729730008</v>
          </cell>
          <cell r="G989">
            <v>13.768918918918972</v>
          </cell>
          <cell r="H989">
            <v>13.768918918918972</v>
          </cell>
          <cell r="I989" t="e">
            <v>#N/A</v>
          </cell>
          <cell r="J989" t="e">
            <v>#N/A</v>
          </cell>
          <cell r="K989">
            <v>17.5</v>
          </cell>
          <cell r="L989">
            <v>14</v>
          </cell>
          <cell r="M989" t="e">
            <v>#N/A</v>
          </cell>
          <cell r="N989">
            <v>16.5</v>
          </cell>
          <cell r="O989" t="e">
            <v>#N/A</v>
          </cell>
          <cell r="P989" t="str">
            <v/>
          </cell>
          <cell r="Q989" t="str">
            <v/>
          </cell>
          <cell r="R989">
            <v>16.5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-9.5297297297298051</v>
          </cell>
          <cell r="F990">
            <v>19.591891891892171</v>
          </cell>
          <cell r="G990">
            <v>13.767567567567621</v>
          </cell>
          <cell r="H990">
            <v>13.767567567567621</v>
          </cell>
          <cell r="I990" t="e">
            <v>#N/A</v>
          </cell>
          <cell r="J990" t="e">
            <v>#N/A</v>
          </cell>
          <cell r="K990">
            <v>17.5</v>
          </cell>
          <cell r="L990">
            <v>14</v>
          </cell>
          <cell r="M990" t="e">
            <v>#N/A</v>
          </cell>
          <cell r="N990">
            <v>16.5</v>
          </cell>
          <cell r="O990" t="e">
            <v>#N/A</v>
          </cell>
          <cell r="P990" t="str">
            <v/>
          </cell>
          <cell r="Q990" t="str">
            <v/>
          </cell>
          <cell r="R990">
            <v>16.5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-9.5851351351352108</v>
          </cell>
          <cell r="F991">
            <v>19.604054054054334</v>
          </cell>
          <cell r="G991">
            <v>13.76621621621627</v>
          </cell>
          <cell r="H991">
            <v>13.76621621621627</v>
          </cell>
          <cell r="I991" t="e">
            <v>#N/A</v>
          </cell>
          <cell r="J991" t="e">
            <v>#N/A</v>
          </cell>
          <cell r="K991">
            <v>17.5</v>
          </cell>
          <cell r="L991">
            <v>14</v>
          </cell>
          <cell r="M991" t="e">
            <v>#N/A</v>
          </cell>
          <cell r="N991">
            <v>16.5</v>
          </cell>
          <cell r="O991" t="e">
            <v>#N/A</v>
          </cell>
          <cell r="P991" t="str">
            <v/>
          </cell>
          <cell r="Q991" t="str">
            <v/>
          </cell>
          <cell r="R991">
            <v>16.5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-9.6405405405406164</v>
          </cell>
          <cell r="F992">
            <v>19.616216216216497</v>
          </cell>
          <cell r="G992">
            <v>13.764864864864919</v>
          </cell>
          <cell r="H992">
            <v>13.764864864864919</v>
          </cell>
          <cell r="I992" t="e">
            <v>#N/A</v>
          </cell>
          <cell r="J992" t="e">
            <v>#N/A</v>
          </cell>
          <cell r="K992">
            <v>17.5</v>
          </cell>
          <cell r="L992">
            <v>14</v>
          </cell>
          <cell r="M992" t="e">
            <v>#N/A</v>
          </cell>
          <cell r="N992">
            <v>16.5</v>
          </cell>
          <cell r="O992" t="e">
            <v>#N/A</v>
          </cell>
          <cell r="P992" t="str">
            <v/>
          </cell>
          <cell r="Q992" t="str">
            <v/>
          </cell>
          <cell r="R992">
            <v>16.5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-9.695945945946022</v>
          </cell>
          <cell r="F993">
            <v>19.62837837837866</v>
          </cell>
          <cell r="G993">
            <v>13.763513513513567</v>
          </cell>
          <cell r="H993">
            <v>13.763513513513567</v>
          </cell>
          <cell r="I993" t="e">
            <v>#N/A</v>
          </cell>
          <cell r="J993" t="e">
            <v>#N/A</v>
          </cell>
          <cell r="K993">
            <v>17.5</v>
          </cell>
          <cell r="L993">
            <v>14</v>
          </cell>
          <cell r="M993" t="e">
            <v>#N/A</v>
          </cell>
          <cell r="N993">
            <v>16.5</v>
          </cell>
          <cell r="O993" t="e">
            <v>#N/A</v>
          </cell>
          <cell r="P993" t="str">
            <v/>
          </cell>
          <cell r="Q993" t="str">
            <v/>
          </cell>
          <cell r="R993">
            <v>16.5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-9.7513513513514276</v>
          </cell>
          <cell r="F994">
            <v>19.640540540540822</v>
          </cell>
          <cell r="G994">
            <v>13.762162162162216</v>
          </cell>
          <cell r="H994">
            <v>13.762162162162216</v>
          </cell>
          <cell r="I994" t="e">
            <v>#N/A</v>
          </cell>
          <cell r="J994" t="e">
            <v>#N/A</v>
          </cell>
          <cell r="K994">
            <v>17.5</v>
          </cell>
          <cell r="L994">
            <v>14</v>
          </cell>
          <cell r="M994" t="e">
            <v>#N/A</v>
          </cell>
          <cell r="N994">
            <v>16.5</v>
          </cell>
          <cell r="O994" t="e">
            <v>#N/A</v>
          </cell>
          <cell r="P994" t="str">
            <v/>
          </cell>
          <cell r="Q994" t="str">
            <v/>
          </cell>
          <cell r="R994">
            <v>16.5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-9.8067567567568332</v>
          </cell>
          <cell r="F995">
            <v>19.652702702702985</v>
          </cell>
          <cell r="G995">
            <v>13.760810810810865</v>
          </cell>
          <cell r="H995">
            <v>13.760810810810865</v>
          </cell>
          <cell r="I995" t="e">
            <v>#N/A</v>
          </cell>
          <cell r="J995" t="e">
            <v>#N/A</v>
          </cell>
          <cell r="K995">
            <v>17.5</v>
          </cell>
          <cell r="L995">
            <v>14</v>
          </cell>
          <cell r="M995" t="e">
            <v>#N/A</v>
          </cell>
          <cell r="N995">
            <v>16.5</v>
          </cell>
          <cell r="O995" t="e">
            <v>#N/A</v>
          </cell>
          <cell r="P995" t="str">
            <v/>
          </cell>
          <cell r="Q995" t="str">
            <v/>
          </cell>
          <cell r="R995">
            <v>16.5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-9.8621621621622388</v>
          </cell>
          <cell r="F996">
            <v>19.664864864865148</v>
          </cell>
          <cell r="G996">
            <v>13.759459459459514</v>
          </cell>
          <cell r="H996">
            <v>13.759459459459514</v>
          </cell>
          <cell r="I996" t="e">
            <v>#N/A</v>
          </cell>
          <cell r="J996" t="e">
            <v>#N/A</v>
          </cell>
          <cell r="K996">
            <v>17.5</v>
          </cell>
          <cell r="L996">
            <v>14</v>
          </cell>
          <cell r="M996" t="e">
            <v>#N/A</v>
          </cell>
          <cell r="N996">
            <v>16.5</v>
          </cell>
          <cell r="O996" t="e">
            <v>#N/A</v>
          </cell>
          <cell r="P996" t="str">
            <v/>
          </cell>
          <cell r="Q996" t="str">
            <v/>
          </cell>
          <cell r="R996">
            <v>16.5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-9.9175675675676445</v>
          </cell>
          <cell r="F997">
            <v>19.677027027027311</v>
          </cell>
          <cell r="G997">
            <v>13.758108108108162</v>
          </cell>
          <cell r="H997">
            <v>13.758108108108162</v>
          </cell>
          <cell r="I997" t="e">
            <v>#N/A</v>
          </cell>
          <cell r="J997" t="e">
            <v>#N/A</v>
          </cell>
          <cell r="K997">
            <v>17.5</v>
          </cell>
          <cell r="L997">
            <v>14</v>
          </cell>
          <cell r="M997" t="e">
            <v>#N/A</v>
          </cell>
          <cell r="N997">
            <v>16.5</v>
          </cell>
          <cell r="O997" t="e">
            <v>#N/A</v>
          </cell>
          <cell r="P997" t="str">
            <v/>
          </cell>
          <cell r="Q997" t="str">
            <v/>
          </cell>
          <cell r="R997">
            <v>16.5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-9.9729729729730501</v>
          </cell>
          <cell r="F998">
            <v>19.689189189189474</v>
          </cell>
          <cell r="G998">
            <v>13.756756756756811</v>
          </cell>
          <cell r="H998">
            <v>13.756756756756811</v>
          </cell>
          <cell r="I998" t="e">
            <v>#N/A</v>
          </cell>
          <cell r="J998" t="e">
            <v>#N/A</v>
          </cell>
          <cell r="K998">
            <v>17.5</v>
          </cell>
          <cell r="L998">
            <v>14</v>
          </cell>
          <cell r="M998" t="e">
            <v>#N/A</v>
          </cell>
          <cell r="N998">
            <v>16.5</v>
          </cell>
          <cell r="O998" t="e">
            <v>#N/A</v>
          </cell>
          <cell r="P998" t="str">
            <v/>
          </cell>
          <cell r="Q998" t="str">
            <v/>
          </cell>
          <cell r="R998">
            <v>16.5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-10.028378378378456</v>
          </cell>
          <cell r="F999">
            <v>19.701351351351637</v>
          </cell>
          <cell r="G999">
            <v>13.75540540540546</v>
          </cell>
          <cell r="H999">
            <v>13.75540540540546</v>
          </cell>
          <cell r="I999" t="e">
            <v>#N/A</v>
          </cell>
          <cell r="J999" t="e">
            <v>#N/A</v>
          </cell>
          <cell r="K999">
            <v>17.5</v>
          </cell>
          <cell r="L999">
            <v>14</v>
          </cell>
          <cell r="M999" t="e">
            <v>#N/A</v>
          </cell>
          <cell r="N999">
            <v>16.5</v>
          </cell>
          <cell r="O999" t="e">
            <v>#N/A</v>
          </cell>
          <cell r="P999" t="str">
            <v/>
          </cell>
          <cell r="Q999" t="str">
            <v/>
          </cell>
          <cell r="R999">
            <v>16.5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-10.083783783783861</v>
          </cell>
          <cell r="F1000">
            <v>19.713513513513799</v>
          </cell>
          <cell r="G1000">
            <v>13.754054054054109</v>
          </cell>
          <cell r="H1000">
            <v>13.754054054054109</v>
          </cell>
          <cell r="I1000" t="e">
            <v>#N/A</v>
          </cell>
          <cell r="J1000" t="e">
            <v>#N/A</v>
          </cell>
          <cell r="K1000">
            <v>17.5</v>
          </cell>
          <cell r="L1000">
            <v>14</v>
          </cell>
          <cell r="M1000" t="e">
            <v>#N/A</v>
          </cell>
          <cell r="N1000">
            <v>16.5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16.5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-10.139189189189267</v>
          </cell>
          <cell r="F1001">
            <v>19.725675675675962</v>
          </cell>
          <cell r="G1001">
            <v>13.752702702702758</v>
          </cell>
          <cell r="H1001">
            <v>13.752702702702758</v>
          </cell>
          <cell r="I1001" t="e">
            <v>#N/A</v>
          </cell>
          <cell r="J1001" t="e">
            <v>#N/A</v>
          </cell>
          <cell r="K1001">
            <v>17.5</v>
          </cell>
          <cell r="L1001">
            <v>14</v>
          </cell>
          <cell r="M1001" t="e">
            <v>#N/A</v>
          </cell>
          <cell r="N1001">
            <v>16.5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16.5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-10.194594594594673</v>
          </cell>
          <cell r="F1002">
            <v>19.737837837838125</v>
          </cell>
          <cell r="G1002">
            <v>13.751351351351406</v>
          </cell>
          <cell r="H1002">
            <v>13.751351351351406</v>
          </cell>
          <cell r="I1002" t="e">
            <v>#N/A</v>
          </cell>
          <cell r="J1002" t="e">
            <v>#N/A</v>
          </cell>
          <cell r="K1002">
            <v>17.5</v>
          </cell>
          <cell r="L1002">
            <v>14</v>
          </cell>
          <cell r="M1002" t="e">
            <v>#N/A</v>
          </cell>
          <cell r="N1002">
            <v>16.5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16.5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-10.250000000000078</v>
          </cell>
          <cell r="F1003">
            <v>19.750000000000288</v>
          </cell>
          <cell r="G1003">
            <v>13.750000000000055</v>
          </cell>
          <cell r="H1003">
            <v>13.750000000000055</v>
          </cell>
          <cell r="I1003" t="e">
            <v>#N/A</v>
          </cell>
          <cell r="J1003" t="e">
            <v>#N/A</v>
          </cell>
          <cell r="K1003">
            <v>17.5</v>
          </cell>
          <cell r="L1003">
            <v>14</v>
          </cell>
          <cell r="M1003" t="e">
            <v>#N/A</v>
          </cell>
          <cell r="N1003">
            <v>16.5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16.5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-10.305405405405484</v>
          </cell>
          <cell r="F1004">
            <v>19.762162162162451</v>
          </cell>
          <cell r="G1004">
            <v>13.748648648648704</v>
          </cell>
          <cell r="H1004">
            <v>13.748648648648704</v>
          </cell>
          <cell r="I1004" t="e">
            <v>#N/A</v>
          </cell>
          <cell r="J1004" t="e">
            <v>#N/A</v>
          </cell>
          <cell r="K1004">
            <v>17.5</v>
          </cell>
          <cell r="L1004">
            <v>14</v>
          </cell>
          <cell r="M1004" t="e">
            <v>#N/A</v>
          </cell>
          <cell r="N1004">
            <v>16.5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16.5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-10.360810810810889</v>
          </cell>
          <cell r="F1005">
            <v>19.774324324324613</v>
          </cell>
          <cell r="G1005">
            <v>13.747297297297353</v>
          </cell>
          <cell r="H1005">
            <v>13.747297297297353</v>
          </cell>
          <cell r="I1005" t="e">
            <v>#N/A</v>
          </cell>
          <cell r="J1005" t="e">
            <v>#N/A</v>
          </cell>
          <cell r="K1005">
            <v>17.5</v>
          </cell>
          <cell r="L1005">
            <v>14</v>
          </cell>
          <cell r="M1005" t="e">
            <v>#N/A</v>
          </cell>
          <cell r="N1005">
            <v>16.5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16.5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-10.416216216216295</v>
          </cell>
          <cell r="F1006">
            <v>19.786486486486776</v>
          </cell>
          <cell r="G1006">
            <v>13.745945945946001</v>
          </cell>
          <cell r="H1006">
            <v>13.745945945946001</v>
          </cell>
          <cell r="I1006" t="e">
            <v>#N/A</v>
          </cell>
          <cell r="J1006" t="e">
            <v>#N/A</v>
          </cell>
          <cell r="K1006">
            <v>17.5</v>
          </cell>
          <cell r="L1006">
            <v>14</v>
          </cell>
          <cell r="M1006" t="e">
            <v>#N/A</v>
          </cell>
          <cell r="N1006">
            <v>16.5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16.5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-10.471621621621701</v>
          </cell>
          <cell r="F1007">
            <v>19.798648648648939</v>
          </cell>
          <cell r="G1007">
            <v>13.74459459459465</v>
          </cell>
          <cell r="H1007">
            <v>13.74459459459465</v>
          </cell>
          <cell r="I1007" t="e">
            <v>#N/A</v>
          </cell>
          <cell r="J1007" t="e">
            <v>#N/A</v>
          </cell>
          <cell r="K1007">
            <v>17.5</v>
          </cell>
          <cell r="L1007">
            <v>14</v>
          </cell>
          <cell r="M1007" t="e">
            <v>#N/A</v>
          </cell>
          <cell r="N1007">
            <v>16.5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16.5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-10.527027027027106</v>
          </cell>
          <cell r="F1008">
            <v>19.810810810811102</v>
          </cell>
          <cell r="G1008">
            <v>13.743243243243299</v>
          </cell>
          <cell r="H1008">
            <v>13.743243243243299</v>
          </cell>
          <cell r="I1008" t="e">
            <v>#N/A</v>
          </cell>
          <cell r="J1008" t="e">
            <v>#N/A</v>
          </cell>
          <cell r="K1008">
            <v>17.5</v>
          </cell>
          <cell r="L1008">
            <v>14</v>
          </cell>
          <cell r="M1008" t="e">
            <v>#N/A</v>
          </cell>
          <cell r="N1008">
            <v>16.5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16.5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-10.582432432432512</v>
          </cell>
          <cell r="F1009">
            <v>19.822972972973265</v>
          </cell>
          <cell r="G1009">
            <v>13.741891891891948</v>
          </cell>
          <cell r="H1009">
            <v>13.741891891891948</v>
          </cell>
          <cell r="I1009" t="e">
            <v>#N/A</v>
          </cell>
          <cell r="J1009" t="e">
            <v>#N/A</v>
          </cell>
          <cell r="K1009">
            <v>17.5</v>
          </cell>
          <cell r="L1009">
            <v>14</v>
          </cell>
          <cell r="M1009" t="e">
            <v>#N/A</v>
          </cell>
          <cell r="N1009">
            <v>16.5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16.5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-10.637837837837917</v>
          </cell>
          <cell r="F1010">
            <v>19.835135135135427</v>
          </cell>
          <cell r="G1010">
            <v>13.740540540540596</v>
          </cell>
          <cell r="H1010">
            <v>13.740540540540596</v>
          </cell>
          <cell r="I1010" t="e">
            <v>#N/A</v>
          </cell>
          <cell r="J1010" t="e">
            <v>#N/A</v>
          </cell>
          <cell r="K1010">
            <v>17.5</v>
          </cell>
          <cell r="L1010">
            <v>14</v>
          </cell>
          <cell r="M1010" t="e">
            <v>#N/A</v>
          </cell>
          <cell r="N1010">
            <v>16.5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16.5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-10.693243243243323</v>
          </cell>
          <cell r="F1011">
            <v>19.84729729729759</v>
          </cell>
          <cell r="G1011">
            <v>13.739189189189245</v>
          </cell>
          <cell r="H1011">
            <v>13.739189189189245</v>
          </cell>
          <cell r="I1011" t="e">
            <v>#N/A</v>
          </cell>
          <cell r="J1011" t="e">
            <v>#N/A</v>
          </cell>
          <cell r="K1011">
            <v>17.5</v>
          </cell>
          <cell r="L1011">
            <v>14</v>
          </cell>
          <cell r="M1011" t="e">
            <v>#N/A</v>
          </cell>
          <cell r="N1011">
            <v>16.5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16.5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-10.748648648648729</v>
          </cell>
          <cell r="F1012">
            <v>19.859459459459753</v>
          </cell>
          <cell r="G1012">
            <v>13.737837837837894</v>
          </cell>
          <cell r="H1012">
            <v>13.737837837837894</v>
          </cell>
          <cell r="I1012" t="e">
            <v>#N/A</v>
          </cell>
          <cell r="J1012" t="e">
            <v>#N/A</v>
          </cell>
          <cell r="K1012">
            <v>17.5</v>
          </cell>
          <cell r="L1012">
            <v>14</v>
          </cell>
          <cell r="M1012" t="e">
            <v>#N/A</v>
          </cell>
          <cell r="N1012">
            <v>16.5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16.5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-10.804054054054134</v>
          </cell>
          <cell r="F1013">
            <v>19.871621621621916</v>
          </cell>
          <cell r="G1013">
            <v>13.736486486486543</v>
          </cell>
          <cell r="H1013">
            <v>13.736486486486543</v>
          </cell>
          <cell r="I1013" t="e">
            <v>#N/A</v>
          </cell>
          <cell r="J1013" t="e">
            <v>#N/A</v>
          </cell>
          <cell r="K1013">
            <v>17.5</v>
          </cell>
          <cell r="L1013">
            <v>14</v>
          </cell>
          <cell r="M1013" t="e">
            <v>#N/A</v>
          </cell>
          <cell r="N1013">
            <v>16.5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16.5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-10.85945945945954</v>
          </cell>
          <cell r="F1014">
            <v>19.883783783784079</v>
          </cell>
          <cell r="G1014">
            <v>13.735135135135192</v>
          </cell>
          <cell r="H1014">
            <v>13.735135135135192</v>
          </cell>
          <cell r="I1014" t="e">
            <v>#N/A</v>
          </cell>
          <cell r="J1014" t="e">
            <v>#N/A</v>
          </cell>
          <cell r="K1014">
            <v>17.5</v>
          </cell>
          <cell r="L1014">
            <v>14</v>
          </cell>
          <cell r="M1014" t="e">
            <v>#N/A</v>
          </cell>
          <cell r="N1014">
            <v>16.5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16.5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-10.914864864864946</v>
          </cell>
          <cell r="F1015">
            <v>19.895945945946242</v>
          </cell>
          <cell r="G1015">
            <v>13.73378378378384</v>
          </cell>
          <cell r="H1015">
            <v>13.73378378378384</v>
          </cell>
          <cell r="I1015" t="e">
            <v>#N/A</v>
          </cell>
          <cell r="J1015" t="e">
            <v>#N/A</v>
          </cell>
          <cell r="K1015">
            <v>17.5</v>
          </cell>
          <cell r="L1015">
            <v>14</v>
          </cell>
          <cell r="M1015" t="e">
            <v>#N/A</v>
          </cell>
          <cell r="N1015">
            <v>16.5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16.5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-10.970270270270351</v>
          </cell>
          <cell r="F1016">
            <v>19.908108108108404</v>
          </cell>
          <cell r="G1016">
            <v>13.732432432432489</v>
          </cell>
          <cell r="H1016">
            <v>13.732432432432489</v>
          </cell>
          <cell r="I1016" t="e">
            <v>#N/A</v>
          </cell>
          <cell r="J1016" t="e">
            <v>#N/A</v>
          </cell>
          <cell r="K1016">
            <v>17.5</v>
          </cell>
          <cell r="L1016">
            <v>14</v>
          </cell>
          <cell r="M1016" t="e">
            <v>#N/A</v>
          </cell>
          <cell r="N1016">
            <v>16.5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16.5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-11.025675675675757</v>
          </cell>
          <cell r="F1017">
            <v>19.920270270270567</v>
          </cell>
          <cell r="G1017">
            <v>13.731081081081138</v>
          </cell>
          <cell r="H1017">
            <v>13.731081081081138</v>
          </cell>
          <cell r="I1017" t="e">
            <v>#N/A</v>
          </cell>
          <cell r="J1017" t="e">
            <v>#N/A</v>
          </cell>
          <cell r="K1017">
            <v>17.5</v>
          </cell>
          <cell r="L1017">
            <v>14</v>
          </cell>
          <cell r="M1017" t="e">
            <v>#N/A</v>
          </cell>
          <cell r="N1017">
            <v>16.5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16.5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-11.081081081081162</v>
          </cell>
          <cell r="F1018">
            <v>19.93243243243273</v>
          </cell>
          <cell r="G1018">
            <v>13.729729729729787</v>
          </cell>
          <cell r="H1018">
            <v>13.729729729729787</v>
          </cell>
          <cell r="I1018" t="e">
            <v>#N/A</v>
          </cell>
          <cell r="J1018" t="e">
            <v>#N/A</v>
          </cell>
          <cell r="K1018">
            <v>17.5</v>
          </cell>
          <cell r="L1018">
            <v>14</v>
          </cell>
          <cell r="M1018" t="e">
            <v>#N/A</v>
          </cell>
          <cell r="N1018">
            <v>16.5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16.5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-11.136486486486568</v>
          </cell>
          <cell r="F1019">
            <v>19.944594594594893</v>
          </cell>
          <cell r="G1019">
            <v>13.728378378378435</v>
          </cell>
          <cell r="H1019">
            <v>13.728378378378435</v>
          </cell>
          <cell r="I1019" t="e">
            <v>#N/A</v>
          </cell>
          <cell r="J1019" t="e">
            <v>#N/A</v>
          </cell>
          <cell r="K1019">
            <v>17.5</v>
          </cell>
          <cell r="L1019">
            <v>14</v>
          </cell>
          <cell r="M1019" t="e">
            <v>#N/A</v>
          </cell>
          <cell r="N1019">
            <v>16.5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16.5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-11.191891891891974</v>
          </cell>
          <cell r="F1020">
            <v>19.956756756757056</v>
          </cell>
          <cell r="G1020">
            <v>13.727027027027084</v>
          </cell>
          <cell r="H1020">
            <v>13.727027027027084</v>
          </cell>
          <cell r="I1020" t="e">
            <v>#N/A</v>
          </cell>
          <cell r="J1020" t="e">
            <v>#N/A</v>
          </cell>
          <cell r="K1020">
            <v>17.5</v>
          </cell>
          <cell r="L1020">
            <v>14</v>
          </cell>
          <cell r="M1020" t="e">
            <v>#N/A</v>
          </cell>
          <cell r="N1020">
            <v>16.5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16.5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-11.247297297297379</v>
          </cell>
          <cell r="F1021">
            <v>19.968918918919218</v>
          </cell>
          <cell r="G1021">
            <v>13.725675675675733</v>
          </cell>
          <cell r="H1021">
            <v>13.725675675675733</v>
          </cell>
          <cell r="I1021" t="e">
            <v>#N/A</v>
          </cell>
          <cell r="J1021" t="e">
            <v>#N/A</v>
          </cell>
          <cell r="K1021">
            <v>17.5</v>
          </cell>
          <cell r="L1021">
            <v>14</v>
          </cell>
          <cell r="M1021" t="e">
            <v>#N/A</v>
          </cell>
          <cell r="N1021">
            <v>16.5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16.5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-11.302702702702785</v>
          </cell>
          <cell r="F1022">
            <v>19.981081081081381</v>
          </cell>
          <cell r="G1022">
            <v>13.724324324324382</v>
          </cell>
          <cell r="H1022">
            <v>13.724324324324382</v>
          </cell>
          <cell r="I1022" t="e">
            <v>#N/A</v>
          </cell>
          <cell r="J1022" t="e">
            <v>#N/A</v>
          </cell>
          <cell r="K1022">
            <v>17.5</v>
          </cell>
          <cell r="L1022">
            <v>14</v>
          </cell>
          <cell r="M1022" t="e">
            <v>#N/A</v>
          </cell>
          <cell r="N1022">
            <v>16.5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16.5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-11.35810810810819</v>
          </cell>
          <cell r="F1023">
            <v>19.993243243243544</v>
          </cell>
          <cell r="G1023">
            <v>13.722972972973031</v>
          </cell>
          <cell r="H1023">
            <v>13.722972972973031</v>
          </cell>
          <cell r="I1023" t="e">
            <v>#N/A</v>
          </cell>
          <cell r="J1023" t="e">
            <v>#N/A</v>
          </cell>
          <cell r="K1023">
            <v>17.5</v>
          </cell>
          <cell r="L1023">
            <v>14</v>
          </cell>
          <cell r="M1023" t="e">
            <v>#N/A</v>
          </cell>
          <cell r="N1023">
            <v>16.5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16.5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-11.413513513513596</v>
          </cell>
          <cell r="F1024">
            <v>20.005405405405707</v>
          </cell>
          <cell r="G1024">
            <v>13.721621621621679</v>
          </cell>
          <cell r="H1024">
            <v>13.721621621621679</v>
          </cell>
          <cell r="I1024" t="e">
            <v>#N/A</v>
          </cell>
          <cell r="J1024" t="e">
            <v>#N/A</v>
          </cell>
          <cell r="K1024">
            <v>17.5</v>
          </cell>
          <cell r="L1024">
            <v>14</v>
          </cell>
          <cell r="M1024" t="e">
            <v>#N/A</v>
          </cell>
          <cell r="N1024">
            <v>16.5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16.5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-11.468918918919002</v>
          </cell>
          <cell r="F1025">
            <v>20.01756756756787</v>
          </cell>
          <cell r="G1025">
            <v>13.720270270270328</v>
          </cell>
          <cell r="H1025">
            <v>13.720270270270328</v>
          </cell>
          <cell r="I1025" t="e">
            <v>#N/A</v>
          </cell>
          <cell r="J1025" t="e">
            <v>#N/A</v>
          </cell>
          <cell r="K1025">
            <v>17.5</v>
          </cell>
          <cell r="L1025">
            <v>14</v>
          </cell>
          <cell r="M1025" t="e">
            <v>#N/A</v>
          </cell>
          <cell r="N1025">
            <v>16.5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16.5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-11.524324324324407</v>
          </cell>
          <cell r="F1026">
            <v>20.029729729730033</v>
          </cell>
          <cell r="G1026">
            <v>13.718918918918977</v>
          </cell>
          <cell r="H1026">
            <v>13.718918918918977</v>
          </cell>
          <cell r="I1026" t="e">
            <v>#N/A</v>
          </cell>
          <cell r="J1026" t="e">
            <v>#N/A</v>
          </cell>
          <cell r="K1026">
            <v>17.5</v>
          </cell>
          <cell r="L1026">
            <v>14</v>
          </cell>
          <cell r="M1026" t="e">
            <v>#N/A</v>
          </cell>
          <cell r="N1026">
            <v>16.5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16.5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-11.579729729729813</v>
          </cell>
          <cell r="F1027">
            <v>20.041891891892195</v>
          </cell>
          <cell r="G1027">
            <v>13.717567567567626</v>
          </cell>
          <cell r="H1027">
            <v>13.717567567567626</v>
          </cell>
          <cell r="I1027" t="e">
            <v>#N/A</v>
          </cell>
          <cell r="J1027" t="e">
            <v>#N/A</v>
          </cell>
          <cell r="K1027">
            <v>17.5</v>
          </cell>
          <cell r="L1027">
            <v>14</v>
          </cell>
          <cell r="M1027" t="e">
            <v>#N/A</v>
          </cell>
          <cell r="N1027">
            <v>16.5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16.5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-11.635135135135219</v>
          </cell>
          <cell r="F1028">
            <v>20.054054054054358</v>
          </cell>
          <cell r="G1028">
            <v>13.716216216216274</v>
          </cell>
          <cell r="H1028">
            <v>13.716216216216274</v>
          </cell>
          <cell r="I1028" t="e">
            <v>#N/A</v>
          </cell>
          <cell r="J1028" t="e">
            <v>#N/A</v>
          </cell>
          <cell r="K1028">
            <v>17.5</v>
          </cell>
          <cell r="L1028">
            <v>14</v>
          </cell>
          <cell r="M1028" t="e">
            <v>#N/A</v>
          </cell>
          <cell r="N1028">
            <v>16.5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16.5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-11.690540540540624</v>
          </cell>
          <cell r="F1029">
            <v>20.066216216216521</v>
          </cell>
          <cell r="G1029">
            <v>13.714864864864923</v>
          </cell>
          <cell r="H1029">
            <v>13.714864864864923</v>
          </cell>
          <cell r="I1029" t="e">
            <v>#N/A</v>
          </cell>
          <cell r="J1029" t="e">
            <v>#N/A</v>
          </cell>
          <cell r="K1029">
            <v>17.5</v>
          </cell>
          <cell r="L1029">
            <v>14</v>
          </cell>
          <cell r="M1029" t="e">
            <v>#N/A</v>
          </cell>
          <cell r="N1029">
            <v>16.5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16.5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-11.74594594594603</v>
          </cell>
          <cell r="F1030">
            <v>20.078378378378684</v>
          </cell>
          <cell r="G1030">
            <v>13.713513513513572</v>
          </cell>
          <cell r="H1030">
            <v>13.713513513513572</v>
          </cell>
          <cell r="I1030" t="e">
            <v>#N/A</v>
          </cell>
          <cell r="J1030" t="e">
            <v>#N/A</v>
          </cell>
          <cell r="K1030">
            <v>17.5</v>
          </cell>
          <cell r="L1030">
            <v>14</v>
          </cell>
          <cell r="M1030" t="e">
            <v>#N/A</v>
          </cell>
          <cell r="N1030">
            <v>16.5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16.5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-11.801351351351435</v>
          </cell>
          <cell r="F1031">
            <v>20.090540540540847</v>
          </cell>
          <cell r="G1031">
            <v>13.712162162162221</v>
          </cell>
          <cell r="H1031">
            <v>13.712162162162221</v>
          </cell>
          <cell r="I1031" t="e">
            <v>#N/A</v>
          </cell>
          <cell r="J1031" t="e">
            <v>#N/A</v>
          </cell>
          <cell r="K1031">
            <v>17.5</v>
          </cell>
          <cell r="L1031">
            <v>14</v>
          </cell>
          <cell r="M1031" t="e">
            <v>#N/A</v>
          </cell>
          <cell r="N1031">
            <v>16.5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16.5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-11.856756756756841</v>
          </cell>
          <cell r="F1032">
            <v>20.102702702703009</v>
          </cell>
          <cell r="G1032">
            <v>13.710810810810869</v>
          </cell>
          <cell r="H1032">
            <v>13.710810810810869</v>
          </cell>
          <cell r="I1032" t="e">
            <v>#N/A</v>
          </cell>
          <cell r="J1032" t="e">
            <v>#N/A</v>
          </cell>
          <cell r="K1032">
            <v>17.5</v>
          </cell>
          <cell r="L1032">
            <v>14</v>
          </cell>
          <cell r="M1032" t="e">
            <v>#N/A</v>
          </cell>
          <cell r="N1032">
            <v>16.5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16.5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-11.912162162162247</v>
          </cell>
          <cell r="F1033">
            <v>20.114864864865172</v>
          </cell>
          <cell r="G1033">
            <v>13.709459459459518</v>
          </cell>
          <cell r="H1033">
            <v>13.709459459459518</v>
          </cell>
          <cell r="I1033" t="e">
            <v>#N/A</v>
          </cell>
          <cell r="J1033" t="e">
            <v>#N/A</v>
          </cell>
          <cell r="K1033">
            <v>17.5</v>
          </cell>
          <cell r="L1033">
            <v>14</v>
          </cell>
          <cell r="M1033" t="e">
            <v>#N/A</v>
          </cell>
          <cell r="N1033">
            <v>16.5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16.5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-11.967567567567652</v>
          </cell>
          <cell r="F1034">
            <v>20.127027027027335</v>
          </cell>
          <cell r="G1034">
            <v>13.708108108108167</v>
          </cell>
          <cell r="H1034">
            <v>13.708108108108167</v>
          </cell>
          <cell r="I1034" t="e">
            <v>#N/A</v>
          </cell>
          <cell r="J1034" t="e">
            <v>#N/A</v>
          </cell>
          <cell r="K1034">
            <v>17.5</v>
          </cell>
          <cell r="L1034">
            <v>14</v>
          </cell>
          <cell r="M1034" t="e">
            <v>#N/A</v>
          </cell>
          <cell r="N1034">
            <v>16.5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16.5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-12.022972972973058</v>
          </cell>
          <cell r="F1035">
            <v>20.139189189189498</v>
          </cell>
          <cell r="G1035">
            <v>13.706756756756816</v>
          </cell>
          <cell r="H1035">
            <v>13.706756756756816</v>
          </cell>
          <cell r="I1035" t="e">
            <v>#N/A</v>
          </cell>
          <cell r="J1035" t="e">
            <v>#N/A</v>
          </cell>
          <cell r="K1035">
            <v>17.5</v>
          </cell>
          <cell r="L1035">
            <v>14</v>
          </cell>
          <cell r="M1035" t="e">
            <v>#N/A</v>
          </cell>
          <cell r="N1035">
            <v>16.5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16.5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-12.078378378378464</v>
          </cell>
          <cell r="F1036">
            <v>20.151351351351661</v>
          </cell>
          <cell r="G1036">
            <v>13.705405405405465</v>
          </cell>
          <cell r="H1036">
            <v>13.705405405405465</v>
          </cell>
          <cell r="I1036" t="e">
            <v>#N/A</v>
          </cell>
          <cell r="J1036" t="e">
            <v>#N/A</v>
          </cell>
          <cell r="K1036">
            <v>17.5</v>
          </cell>
          <cell r="L1036">
            <v>14</v>
          </cell>
          <cell r="M1036" t="e">
            <v>#N/A</v>
          </cell>
          <cell r="N1036">
            <v>16.5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16.5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-12.133783783783869</v>
          </cell>
          <cell r="F1037">
            <v>20.163513513513823</v>
          </cell>
          <cell r="G1037">
            <v>13.704054054054113</v>
          </cell>
          <cell r="H1037">
            <v>13.704054054054113</v>
          </cell>
          <cell r="I1037" t="e">
            <v>#N/A</v>
          </cell>
          <cell r="J1037" t="e">
            <v>#N/A</v>
          </cell>
          <cell r="K1037">
            <v>17.5</v>
          </cell>
          <cell r="L1037">
            <v>14</v>
          </cell>
          <cell r="M1037" t="e">
            <v>#N/A</v>
          </cell>
          <cell r="N1037">
            <v>16.5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16.5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-12.189189189189275</v>
          </cell>
          <cell r="F1038">
            <v>20.175675675675986</v>
          </cell>
          <cell r="G1038">
            <v>13.702702702702762</v>
          </cell>
          <cell r="H1038">
            <v>13.702702702702762</v>
          </cell>
          <cell r="I1038" t="e">
            <v>#N/A</v>
          </cell>
          <cell r="J1038" t="e">
            <v>#N/A</v>
          </cell>
          <cell r="K1038">
            <v>17.5</v>
          </cell>
          <cell r="L1038">
            <v>14</v>
          </cell>
          <cell r="M1038" t="e">
            <v>#N/A</v>
          </cell>
          <cell r="N1038">
            <v>16.5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16.5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-12.24459459459468</v>
          </cell>
          <cell r="F1039">
            <v>20.187837837838149</v>
          </cell>
          <cell r="G1039">
            <v>13.701351351351411</v>
          </cell>
          <cell r="H1039">
            <v>13.701351351351411</v>
          </cell>
          <cell r="I1039" t="e">
            <v>#N/A</v>
          </cell>
          <cell r="J1039" t="e">
            <v>#N/A</v>
          </cell>
          <cell r="K1039">
            <v>17.5</v>
          </cell>
          <cell r="L1039">
            <v>14</v>
          </cell>
          <cell r="M1039" t="e">
            <v>#N/A</v>
          </cell>
          <cell r="N1039">
            <v>16.5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16.5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-12.300000000000086</v>
          </cell>
          <cell r="F1040">
            <v>20.200000000000312</v>
          </cell>
          <cell r="G1040">
            <v>13.70000000000006</v>
          </cell>
          <cell r="H1040">
            <v>13.70000000000006</v>
          </cell>
          <cell r="I1040" t="e">
            <v>#N/A</v>
          </cell>
          <cell r="J1040" t="e">
            <v>#N/A</v>
          </cell>
          <cell r="K1040">
            <v>17.5</v>
          </cell>
          <cell r="L1040">
            <v>14</v>
          </cell>
          <cell r="M1040" t="e">
            <v>#N/A</v>
          </cell>
          <cell r="N1040">
            <v>16.5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16.5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-12.355405405405492</v>
          </cell>
          <cell r="F1041">
            <v>20.212162162162475</v>
          </cell>
          <cell r="G1041">
            <v>13.698648648648708</v>
          </cell>
          <cell r="H1041">
            <v>13.698648648648708</v>
          </cell>
          <cell r="I1041" t="e">
            <v>#N/A</v>
          </cell>
          <cell r="J1041" t="e">
            <v>#N/A</v>
          </cell>
          <cell r="K1041">
            <v>17.5</v>
          </cell>
          <cell r="L1041">
            <v>14</v>
          </cell>
          <cell r="M1041" t="e">
            <v>#N/A</v>
          </cell>
          <cell r="N1041">
            <v>16.5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16.5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-12.410810810810897</v>
          </cell>
          <cell r="F1042">
            <v>20.224324324324638</v>
          </cell>
          <cell r="G1042">
            <v>13.697297297297357</v>
          </cell>
          <cell r="H1042">
            <v>13.697297297297357</v>
          </cell>
          <cell r="I1042" t="e">
            <v>#N/A</v>
          </cell>
          <cell r="J1042" t="e">
            <v>#N/A</v>
          </cell>
          <cell r="K1042">
            <v>17.5</v>
          </cell>
          <cell r="L1042">
            <v>14</v>
          </cell>
          <cell r="M1042" t="e">
            <v>#N/A</v>
          </cell>
          <cell r="N1042">
            <v>16.5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16.5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-12.466216216216303</v>
          </cell>
          <cell r="F1043">
            <v>20.2364864864868</v>
          </cell>
          <cell r="G1043">
            <v>13.695945945946006</v>
          </cell>
          <cell r="H1043">
            <v>13.695945945946006</v>
          </cell>
          <cell r="I1043" t="e">
            <v>#N/A</v>
          </cell>
          <cell r="J1043" t="e">
            <v>#N/A</v>
          </cell>
          <cell r="K1043">
            <v>17.5</v>
          </cell>
          <cell r="L1043">
            <v>14</v>
          </cell>
          <cell r="M1043" t="e">
            <v>#N/A</v>
          </cell>
          <cell r="N1043">
            <v>16.5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16.5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-12.521621621621708</v>
          </cell>
          <cell r="F1044">
            <v>20.248648648648963</v>
          </cell>
          <cell r="G1044">
            <v>13.694594594594655</v>
          </cell>
          <cell r="H1044">
            <v>13.694594594594655</v>
          </cell>
          <cell r="I1044" t="e">
            <v>#N/A</v>
          </cell>
          <cell r="J1044" t="e">
            <v>#N/A</v>
          </cell>
          <cell r="K1044">
            <v>17.5</v>
          </cell>
          <cell r="L1044">
            <v>14</v>
          </cell>
          <cell r="M1044" t="e">
            <v>#N/A</v>
          </cell>
          <cell r="N1044">
            <v>16.5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16.5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-12.577027027027114</v>
          </cell>
          <cell r="F1045">
            <v>20.260810810811126</v>
          </cell>
          <cell r="G1045">
            <v>13.693243243243304</v>
          </cell>
          <cell r="H1045">
            <v>13.693243243243304</v>
          </cell>
          <cell r="I1045" t="e">
            <v>#N/A</v>
          </cell>
          <cell r="J1045" t="e">
            <v>#N/A</v>
          </cell>
          <cell r="K1045">
            <v>17.5</v>
          </cell>
          <cell r="L1045">
            <v>14</v>
          </cell>
          <cell r="M1045" t="e">
            <v>#N/A</v>
          </cell>
          <cell r="N1045">
            <v>16.5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16.5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-12.63243243243252</v>
          </cell>
          <cell r="F1046">
            <v>20.272972972973289</v>
          </cell>
          <cell r="G1046">
            <v>13.691891891891952</v>
          </cell>
          <cell r="H1046">
            <v>13.691891891891952</v>
          </cell>
          <cell r="I1046" t="e">
            <v>#N/A</v>
          </cell>
          <cell r="J1046" t="e">
            <v>#N/A</v>
          </cell>
          <cell r="K1046">
            <v>17.5</v>
          </cell>
          <cell r="L1046">
            <v>14</v>
          </cell>
          <cell r="M1046" t="e">
            <v>#N/A</v>
          </cell>
          <cell r="N1046">
            <v>16.5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16.5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-12.687837837837925</v>
          </cell>
          <cell r="F1047">
            <v>20.285135135135452</v>
          </cell>
          <cell r="G1047">
            <v>13.690540540540601</v>
          </cell>
          <cell r="H1047">
            <v>13.690540540540601</v>
          </cell>
          <cell r="I1047" t="e">
            <v>#N/A</v>
          </cell>
          <cell r="J1047" t="e">
            <v>#N/A</v>
          </cell>
          <cell r="K1047">
            <v>17.5</v>
          </cell>
          <cell r="L1047">
            <v>14</v>
          </cell>
          <cell r="M1047" t="e">
            <v>#N/A</v>
          </cell>
          <cell r="N1047">
            <v>16.5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16.5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-12.743243243243331</v>
          </cell>
          <cell r="F1048">
            <v>20.297297297297614</v>
          </cell>
          <cell r="G1048">
            <v>13.68918918918925</v>
          </cell>
          <cell r="H1048">
            <v>13.68918918918925</v>
          </cell>
          <cell r="I1048" t="e">
            <v>#N/A</v>
          </cell>
          <cell r="J1048" t="e">
            <v>#N/A</v>
          </cell>
          <cell r="K1048">
            <v>17.5</v>
          </cell>
          <cell r="L1048">
            <v>14</v>
          </cell>
          <cell r="M1048" t="e">
            <v>#N/A</v>
          </cell>
          <cell r="N1048">
            <v>16.5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16.5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-12.798648648648737</v>
          </cell>
          <cell r="F1049">
            <v>20.309459459459777</v>
          </cell>
          <cell r="G1049">
            <v>13.687837837837899</v>
          </cell>
          <cell r="H1049">
            <v>13.687837837837899</v>
          </cell>
          <cell r="I1049" t="e">
            <v>#N/A</v>
          </cell>
          <cell r="J1049" t="e">
            <v>#N/A</v>
          </cell>
          <cell r="K1049">
            <v>17.5</v>
          </cell>
          <cell r="L1049">
            <v>14</v>
          </cell>
          <cell r="M1049" t="e">
            <v>#N/A</v>
          </cell>
          <cell r="N1049">
            <v>16.5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16.5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-12.854054054054142</v>
          </cell>
          <cell r="F1050">
            <v>20.32162162162194</v>
          </cell>
          <cell r="G1050">
            <v>13.686486486486547</v>
          </cell>
          <cell r="H1050">
            <v>13.686486486486547</v>
          </cell>
          <cell r="I1050" t="e">
            <v>#N/A</v>
          </cell>
          <cell r="J1050" t="e">
            <v>#N/A</v>
          </cell>
          <cell r="K1050">
            <v>17.5</v>
          </cell>
          <cell r="L1050">
            <v>14</v>
          </cell>
          <cell r="M1050" t="e">
            <v>#N/A</v>
          </cell>
          <cell r="N1050">
            <v>16.5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16.5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-12.909459459459548</v>
          </cell>
          <cell r="F1051">
            <v>20.333783783784103</v>
          </cell>
          <cell r="G1051">
            <v>13.685135135135196</v>
          </cell>
          <cell r="H1051">
            <v>13.685135135135196</v>
          </cell>
          <cell r="I1051" t="e">
            <v>#N/A</v>
          </cell>
          <cell r="J1051" t="e">
            <v>#N/A</v>
          </cell>
          <cell r="K1051">
            <v>17.5</v>
          </cell>
          <cell r="L1051">
            <v>14</v>
          </cell>
          <cell r="M1051" t="e">
            <v>#N/A</v>
          </cell>
          <cell r="N1051">
            <v>16.5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16.5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-12.964864864864953</v>
          </cell>
          <cell r="F1052">
            <v>20.345945945946266</v>
          </cell>
          <cell r="G1052">
            <v>13.683783783783845</v>
          </cell>
          <cell r="H1052">
            <v>13.683783783783845</v>
          </cell>
          <cell r="I1052" t="e">
            <v>#N/A</v>
          </cell>
          <cell r="J1052" t="e">
            <v>#N/A</v>
          </cell>
          <cell r="K1052">
            <v>17.5</v>
          </cell>
          <cell r="L1052">
            <v>14</v>
          </cell>
          <cell r="M1052" t="e">
            <v>#N/A</v>
          </cell>
          <cell r="N1052">
            <v>16.5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16.5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-13.020270270270359</v>
          </cell>
          <cell r="F1053">
            <v>20.358108108108429</v>
          </cell>
          <cell r="G1053">
            <v>13.682432432432494</v>
          </cell>
          <cell r="H1053">
            <v>13.682432432432494</v>
          </cell>
          <cell r="I1053" t="e">
            <v>#N/A</v>
          </cell>
          <cell r="J1053" t="e">
            <v>#N/A</v>
          </cell>
          <cell r="K1053">
            <v>17.5</v>
          </cell>
          <cell r="L1053">
            <v>14</v>
          </cell>
          <cell r="M1053" t="e">
            <v>#N/A</v>
          </cell>
          <cell r="N1053">
            <v>16.5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16.5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-13.075675675675765</v>
          </cell>
          <cell r="F1054">
            <v>20.370270270270591</v>
          </cell>
          <cell r="G1054">
            <v>13.681081081081143</v>
          </cell>
          <cell r="H1054">
            <v>13.681081081081143</v>
          </cell>
          <cell r="I1054" t="e">
            <v>#N/A</v>
          </cell>
          <cell r="J1054" t="e">
            <v>#N/A</v>
          </cell>
          <cell r="K1054">
            <v>17.5</v>
          </cell>
          <cell r="L1054">
            <v>14</v>
          </cell>
          <cell r="M1054" t="e">
            <v>#N/A</v>
          </cell>
          <cell r="N1054">
            <v>16.5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16.5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-13.13108108108117</v>
          </cell>
          <cell r="F1055">
            <v>20.382432432432754</v>
          </cell>
          <cell r="G1055">
            <v>13.679729729729791</v>
          </cell>
          <cell r="H1055">
            <v>13.679729729729791</v>
          </cell>
          <cell r="I1055" t="e">
            <v>#N/A</v>
          </cell>
          <cell r="J1055" t="e">
            <v>#N/A</v>
          </cell>
          <cell r="K1055">
            <v>17.5</v>
          </cell>
          <cell r="L1055">
            <v>14</v>
          </cell>
          <cell r="M1055" t="e">
            <v>#N/A</v>
          </cell>
          <cell r="N1055">
            <v>16.5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16.5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-13.186486486486576</v>
          </cell>
          <cell r="F1056">
            <v>20.394594594594917</v>
          </cell>
          <cell r="G1056">
            <v>13.67837837837844</v>
          </cell>
          <cell r="H1056">
            <v>13.67837837837844</v>
          </cell>
          <cell r="I1056" t="e">
            <v>#N/A</v>
          </cell>
          <cell r="J1056" t="e">
            <v>#N/A</v>
          </cell>
          <cell r="K1056">
            <v>17.5</v>
          </cell>
          <cell r="L1056">
            <v>14</v>
          </cell>
          <cell r="M1056" t="e">
            <v>#N/A</v>
          </cell>
          <cell r="N1056">
            <v>16.5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16.5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-13.241891891891981</v>
          </cell>
          <cell r="F1057">
            <v>20.40675675675708</v>
          </cell>
          <cell r="G1057">
            <v>13.677027027027089</v>
          </cell>
          <cell r="H1057">
            <v>13.677027027027089</v>
          </cell>
          <cell r="I1057" t="e">
            <v>#N/A</v>
          </cell>
          <cell r="J1057" t="e">
            <v>#N/A</v>
          </cell>
          <cell r="K1057">
            <v>17.5</v>
          </cell>
          <cell r="L1057">
            <v>14</v>
          </cell>
          <cell r="M1057" t="e">
            <v>#N/A</v>
          </cell>
          <cell r="N1057">
            <v>16.5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16.5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-13.297297297297387</v>
          </cell>
          <cell r="F1058">
            <v>20.418918918919243</v>
          </cell>
          <cell r="G1058">
            <v>13.675675675675738</v>
          </cell>
          <cell r="H1058">
            <v>13.675675675675738</v>
          </cell>
          <cell r="I1058" t="e">
            <v>#N/A</v>
          </cell>
          <cell r="J1058" t="e">
            <v>#N/A</v>
          </cell>
          <cell r="K1058">
            <v>17.5</v>
          </cell>
          <cell r="L1058">
            <v>14</v>
          </cell>
          <cell r="M1058" t="e">
            <v>#N/A</v>
          </cell>
          <cell r="N1058">
            <v>16.5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16.5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-13.352702702702793</v>
          </cell>
          <cell r="F1059">
            <v>20.431081081081405</v>
          </cell>
          <cell r="G1059">
            <v>13.674324324324386</v>
          </cell>
          <cell r="H1059">
            <v>13.674324324324386</v>
          </cell>
          <cell r="I1059" t="e">
            <v>#N/A</v>
          </cell>
          <cell r="J1059" t="e">
            <v>#N/A</v>
          </cell>
          <cell r="K1059">
            <v>17.5</v>
          </cell>
          <cell r="L1059">
            <v>14</v>
          </cell>
          <cell r="M1059" t="e">
            <v>#N/A</v>
          </cell>
          <cell r="N1059">
            <v>16.5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16.5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-13.408108108108198</v>
          </cell>
          <cell r="F1060">
            <v>20.443243243243568</v>
          </cell>
          <cell r="G1060">
            <v>13.672972972973035</v>
          </cell>
          <cell r="H1060">
            <v>13.672972972973035</v>
          </cell>
          <cell r="I1060" t="e">
            <v>#N/A</v>
          </cell>
          <cell r="J1060" t="e">
            <v>#N/A</v>
          </cell>
          <cell r="K1060">
            <v>17.5</v>
          </cell>
          <cell r="L1060">
            <v>14</v>
          </cell>
          <cell r="M1060" t="e">
            <v>#N/A</v>
          </cell>
          <cell r="N1060">
            <v>16.5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16.5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-13.463513513513604</v>
          </cell>
          <cell r="F1061">
            <v>20.455405405405731</v>
          </cell>
          <cell r="G1061">
            <v>13.671621621621684</v>
          </cell>
          <cell r="H1061">
            <v>13.671621621621684</v>
          </cell>
          <cell r="I1061" t="e">
            <v>#N/A</v>
          </cell>
          <cell r="J1061" t="e">
            <v>#N/A</v>
          </cell>
          <cell r="K1061">
            <v>17.5</v>
          </cell>
          <cell r="L1061">
            <v>14</v>
          </cell>
          <cell r="M1061" t="e">
            <v>#N/A</v>
          </cell>
          <cell r="N1061">
            <v>16.5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16.5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-13.51891891891901</v>
          </cell>
          <cell r="F1062">
            <v>20.467567567567894</v>
          </cell>
          <cell r="G1062">
            <v>13.670270270270333</v>
          </cell>
          <cell r="H1062">
            <v>13.670270270270333</v>
          </cell>
          <cell r="I1062" t="e">
            <v>#N/A</v>
          </cell>
          <cell r="J1062" t="e">
            <v>#N/A</v>
          </cell>
          <cell r="K1062">
            <v>17.5</v>
          </cell>
          <cell r="L1062">
            <v>14</v>
          </cell>
          <cell r="M1062" t="e">
            <v>#N/A</v>
          </cell>
          <cell r="N1062">
            <v>16.5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16.5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-13.574324324324415</v>
          </cell>
          <cell r="F1063">
            <v>20.479729729730057</v>
          </cell>
          <cell r="G1063">
            <v>13.668918918918981</v>
          </cell>
          <cell r="H1063">
            <v>13.668918918918981</v>
          </cell>
          <cell r="I1063" t="e">
            <v>#N/A</v>
          </cell>
          <cell r="J1063" t="e">
            <v>#N/A</v>
          </cell>
          <cell r="K1063">
            <v>17.5</v>
          </cell>
          <cell r="L1063">
            <v>14</v>
          </cell>
          <cell r="M1063" t="e">
            <v>#N/A</v>
          </cell>
          <cell r="N1063">
            <v>16.5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16.5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-13.629729729729821</v>
          </cell>
          <cell r="F1064">
            <v>20.491891891892219</v>
          </cell>
          <cell r="G1064">
            <v>13.66756756756763</v>
          </cell>
          <cell r="H1064">
            <v>13.66756756756763</v>
          </cell>
          <cell r="I1064" t="e">
            <v>#N/A</v>
          </cell>
          <cell r="J1064" t="e">
            <v>#N/A</v>
          </cell>
          <cell r="K1064">
            <v>17.5</v>
          </cell>
          <cell r="L1064">
            <v>14</v>
          </cell>
          <cell r="M1064" t="e">
            <v>#N/A</v>
          </cell>
          <cell r="N1064">
            <v>16.5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16.5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-13.685135135135226</v>
          </cell>
          <cell r="F1065">
            <v>20.504054054054382</v>
          </cell>
          <cell r="G1065">
            <v>13.666216216216279</v>
          </cell>
          <cell r="H1065">
            <v>13.666216216216279</v>
          </cell>
          <cell r="I1065" t="e">
            <v>#N/A</v>
          </cell>
          <cell r="J1065" t="e">
            <v>#N/A</v>
          </cell>
          <cell r="K1065">
            <v>17.5</v>
          </cell>
          <cell r="L1065">
            <v>14</v>
          </cell>
          <cell r="M1065" t="e">
            <v>#N/A</v>
          </cell>
          <cell r="N1065">
            <v>16.5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16.5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-13.740540540540632</v>
          </cell>
          <cell r="F1066">
            <v>20.516216216216545</v>
          </cell>
          <cell r="G1066">
            <v>13.664864864864928</v>
          </cell>
          <cell r="H1066">
            <v>13.664864864864928</v>
          </cell>
          <cell r="I1066" t="e">
            <v>#N/A</v>
          </cell>
          <cell r="J1066" t="e">
            <v>#N/A</v>
          </cell>
          <cell r="K1066">
            <v>17.5</v>
          </cell>
          <cell r="L1066">
            <v>14</v>
          </cell>
          <cell r="M1066" t="e">
            <v>#N/A</v>
          </cell>
          <cell r="N1066">
            <v>16.5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16.5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-13.795945945946038</v>
          </cell>
          <cell r="F1067">
            <v>20.528378378378708</v>
          </cell>
          <cell r="G1067">
            <v>13.663513513513577</v>
          </cell>
          <cell r="H1067">
            <v>13.663513513513577</v>
          </cell>
          <cell r="I1067" t="e">
            <v>#N/A</v>
          </cell>
          <cell r="J1067" t="e">
            <v>#N/A</v>
          </cell>
          <cell r="K1067">
            <v>17.5</v>
          </cell>
          <cell r="L1067">
            <v>14</v>
          </cell>
          <cell r="M1067" t="e">
            <v>#N/A</v>
          </cell>
          <cell r="N1067">
            <v>16.5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16.5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-13.851351351351443</v>
          </cell>
          <cell r="F1068">
            <v>20.540540540540871</v>
          </cell>
          <cell r="G1068">
            <v>13.662162162162225</v>
          </cell>
          <cell r="H1068">
            <v>13.662162162162225</v>
          </cell>
          <cell r="I1068" t="e">
            <v>#N/A</v>
          </cell>
          <cell r="J1068" t="e">
            <v>#N/A</v>
          </cell>
          <cell r="K1068">
            <v>17.5</v>
          </cell>
          <cell r="L1068">
            <v>14</v>
          </cell>
          <cell r="M1068" t="e">
            <v>#N/A</v>
          </cell>
          <cell r="N1068">
            <v>16.5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16.5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-13.906756756756849</v>
          </cell>
          <cell r="F1069">
            <v>20.552702702703034</v>
          </cell>
          <cell r="G1069">
            <v>13.660810810810874</v>
          </cell>
          <cell r="H1069">
            <v>13.660810810810874</v>
          </cell>
          <cell r="I1069" t="e">
            <v>#N/A</v>
          </cell>
          <cell r="J1069" t="e">
            <v>#N/A</v>
          </cell>
          <cell r="K1069">
            <v>17.5</v>
          </cell>
          <cell r="L1069">
            <v>14</v>
          </cell>
          <cell r="M1069" t="e">
            <v>#N/A</v>
          </cell>
          <cell r="N1069">
            <v>16.5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16.5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-13.962162162162254</v>
          </cell>
          <cell r="F1070">
            <v>20.564864864865196</v>
          </cell>
          <cell r="G1070">
            <v>13.659459459459523</v>
          </cell>
          <cell r="H1070">
            <v>13.659459459459523</v>
          </cell>
          <cell r="I1070" t="e">
            <v>#N/A</v>
          </cell>
          <cell r="J1070" t="e">
            <v>#N/A</v>
          </cell>
          <cell r="K1070">
            <v>17.5</v>
          </cell>
          <cell r="L1070">
            <v>14</v>
          </cell>
          <cell r="M1070" t="e">
            <v>#N/A</v>
          </cell>
          <cell r="N1070">
            <v>16.5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16.5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-14.01756756756766</v>
          </cell>
          <cell r="F1071">
            <v>20.577027027027359</v>
          </cell>
          <cell r="G1071">
            <v>13.658108108108172</v>
          </cell>
          <cell r="H1071">
            <v>13.658108108108172</v>
          </cell>
          <cell r="I1071" t="e">
            <v>#N/A</v>
          </cell>
          <cell r="J1071" t="e">
            <v>#N/A</v>
          </cell>
          <cell r="K1071">
            <v>17.5</v>
          </cell>
          <cell r="L1071">
            <v>14</v>
          </cell>
          <cell r="M1071" t="e">
            <v>#N/A</v>
          </cell>
          <cell r="N1071">
            <v>16.5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16.5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-14.072972972973066</v>
          </cell>
          <cell r="F1072">
            <v>20.589189189189522</v>
          </cell>
          <cell r="G1072">
            <v>13.65675675675682</v>
          </cell>
          <cell r="H1072">
            <v>13.65675675675682</v>
          </cell>
          <cell r="I1072" t="e">
            <v>#N/A</v>
          </cell>
          <cell r="J1072" t="e">
            <v>#N/A</v>
          </cell>
          <cell r="K1072">
            <v>17.5</v>
          </cell>
          <cell r="L1072">
            <v>14</v>
          </cell>
          <cell r="M1072" t="e">
            <v>#N/A</v>
          </cell>
          <cell r="N1072">
            <v>16.5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16.5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-14.128378378378471</v>
          </cell>
          <cell r="F1073">
            <v>20.601351351351685</v>
          </cell>
          <cell r="G1073">
            <v>13.655405405405469</v>
          </cell>
          <cell r="H1073">
            <v>13.655405405405469</v>
          </cell>
          <cell r="I1073" t="e">
            <v>#N/A</v>
          </cell>
          <cell r="J1073" t="e">
            <v>#N/A</v>
          </cell>
          <cell r="K1073">
            <v>17.5</v>
          </cell>
          <cell r="L1073">
            <v>14</v>
          </cell>
          <cell r="M1073" t="e">
            <v>#N/A</v>
          </cell>
          <cell r="N1073">
            <v>16.5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16.5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-14.183783783783877</v>
          </cell>
          <cell r="F1074">
            <v>20.613513513513848</v>
          </cell>
          <cell r="G1074">
            <v>13.654054054054118</v>
          </cell>
          <cell r="H1074">
            <v>13.654054054054118</v>
          </cell>
          <cell r="I1074" t="e">
            <v>#N/A</v>
          </cell>
          <cell r="J1074" t="e">
            <v>#N/A</v>
          </cell>
          <cell r="K1074">
            <v>17.5</v>
          </cell>
          <cell r="L1074">
            <v>14</v>
          </cell>
          <cell r="M1074" t="e">
            <v>#N/A</v>
          </cell>
          <cell r="N1074">
            <v>16.5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16.5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-14.239189189189283</v>
          </cell>
          <cell r="F1075">
            <v>20.62567567567601</v>
          </cell>
          <cell r="G1075">
            <v>13.652702702702767</v>
          </cell>
          <cell r="H1075">
            <v>13.652702702702767</v>
          </cell>
          <cell r="I1075" t="e">
            <v>#N/A</v>
          </cell>
          <cell r="J1075" t="e">
            <v>#N/A</v>
          </cell>
          <cell r="K1075">
            <v>17.5</v>
          </cell>
          <cell r="L1075">
            <v>14</v>
          </cell>
          <cell r="M1075" t="e">
            <v>#N/A</v>
          </cell>
          <cell r="N1075">
            <v>16.5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16.5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-14.294594594594688</v>
          </cell>
          <cell r="F1076">
            <v>20.637837837838173</v>
          </cell>
          <cell r="G1076">
            <v>13.651351351351416</v>
          </cell>
          <cell r="H1076">
            <v>13.651351351351416</v>
          </cell>
          <cell r="I1076" t="e">
            <v>#N/A</v>
          </cell>
          <cell r="J1076" t="e">
            <v>#N/A</v>
          </cell>
          <cell r="K1076">
            <v>17.5</v>
          </cell>
          <cell r="L1076">
            <v>14</v>
          </cell>
          <cell r="M1076" t="e">
            <v>#N/A</v>
          </cell>
          <cell r="N1076">
            <v>16.5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16.5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-14.350000000000094</v>
          </cell>
          <cell r="F1077">
            <v>20.650000000000336</v>
          </cell>
          <cell r="G1077">
            <v>13.650000000000064</v>
          </cell>
          <cell r="H1077">
            <v>13.650000000000064</v>
          </cell>
          <cell r="I1077" t="e">
            <v>#N/A</v>
          </cell>
          <cell r="J1077" t="e">
            <v>#N/A</v>
          </cell>
          <cell r="K1077">
            <v>17.5</v>
          </cell>
          <cell r="L1077">
            <v>14</v>
          </cell>
          <cell r="M1077" t="e">
            <v>#N/A</v>
          </cell>
          <cell r="N1077">
            <v>16.5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16.5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-14.405405405405499</v>
          </cell>
          <cell r="F1078">
            <v>20.662162162162499</v>
          </cell>
          <cell r="G1078">
            <v>13.648648648648713</v>
          </cell>
          <cell r="H1078">
            <v>13.648648648648713</v>
          </cell>
          <cell r="I1078" t="e">
            <v>#N/A</v>
          </cell>
          <cell r="J1078" t="e">
            <v>#N/A</v>
          </cell>
          <cell r="K1078">
            <v>17.5</v>
          </cell>
          <cell r="L1078">
            <v>14</v>
          </cell>
          <cell r="M1078" t="e">
            <v>#N/A</v>
          </cell>
          <cell r="N1078">
            <v>16.5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16.5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-14.460810810810905</v>
          </cell>
          <cell r="F1079">
            <v>20.674324324324662</v>
          </cell>
          <cell r="G1079">
            <v>13.647297297297362</v>
          </cell>
          <cell r="H1079">
            <v>13.647297297297362</v>
          </cell>
          <cell r="I1079" t="e">
            <v>#N/A</v>
          </cell>
          <cell r="J1079" t="e">
            <v>#N/A</v>
          </cell>
          <cell r="K1079">
            <v>17.5</v>
          </cell>
          <cell r="L1079">
            <v>14</v>
          </cell>
          <cell r="M1079" t="e">
            <v>#N/A</v>
          </cell>
          <cell r="N1079">
            <v>16.5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16.5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-14.516216216216311</v>
          </cell>
          <cell r="F1080">
            <v>20.686486486486825</v>
          </cell>
          <cell r="G1080">
            <v>13.645945945946011</v>
          </cell>
          <cell r="H1080">
            <v>13.645945945946011</v>
          </cell>
          <cell r="I1080" t="e">
            <v>#N/A</v>
          </cell>
          <cell r="J1080" t="e">
            <v>#N/A</v>
          </cell>
          <cell r="K1080">
            <v>17.5</v>
          </cell>
          <cell r="L1080">
            <v>14</v>
          </cell>
          <cell r="M1080" t="e">
            <v>#N/A</v>
          </cell>
          <cell r="N1080">
            <v>16.5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16.5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-14.571621621621716</v>
          </cell>
          <cell r="F1081">
            <v>20.698648648648987</v>
          </cell>
          <cell r="G1081">
            <v>13.644594594594659</v>
          </cell>
          <cell r="H1081">
            <v>13.644594594594659</v>
          </cell>
          <cell r="I1081" t="e">
            <v>#N/A</v>
          </cell>
          <cell r="J1081" t="e">
            <v>#N/A</v>
          </cell>
          <cell r="K1081">
            <v>17.5</v>
          </cell>
          <cell r="L1081">
            <v>14</v>
          </cell>
          <cell r="M1081" t="e">
            <v>#N/A</v>
          </cell>
          <cell r="N1081">
            <v>16.5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16.5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-14.627027027027122</v>
          </cell>
          <cell r="F1082">
            <v>20.71081081081115</v>
          </cell>
          <cell r="G1082">
            <v>13.643243243243308</v>
          </cell>
          <cell r="H1082">
            <v>13.643243243243308</v>
          </cell>
          <cell r="I1082" t="e">
            <v>#N/A</v>
          </cell>
          <cell r="J1082" t="e">
            <v>#N/A</v>
          </cell>
          <cell r="K1082">
            <v>17.5</v>
          </cell>
          <cell r="L1082">
            <v>14</v>
          </cell>
          <cell r="M1082" t="e">
            <v>#N/A</v>
          </cell>
          <cell r="N1082">
            <v>16.5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16.5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-14.682432432432527</v>
          </cell>
          <cell r="F1083">
            <v>20.722972972973313</v>
          </cell>
          <cell r="G1083">
            <v>13.641891891891957</v>
          </cell>
          <cell r="H1083">
            <v>13.641891891891957</v>
          </cell>
          <cell r="I1083" t="e">
            <v>#N/A</v>
          </cell>
          <cell r="J1083" t="e">
            <v>#N/A</v>
          </cell>
          <cell r="K1083">
            <v>17.5</v>
          </cell>
          <cell r="L1083">
            <v>14</v>
          </cell>
          <cell r="M1083" t="e">
            <v>#N/A</v>
          </cell>
          <cell r="N1083">
            <v>16.5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16.5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-14.737837837837933</v>
          </cell>
          <cell r="F1084">
            <v>20.735135135135476</v>
          </cell>
          <cell r="G1084">
            <v>13.640540540540606</v>
          </cell>
          <cell r="H1084">
            <v>13.640540540540606</v>
          </cell>
          <cell r="I1084" t="e">
            <v>#N/A</v>
          </cell>
          <cell r="J1084" t="e">
            <v>#N/A</v>
          </cell>
          <cell r="K1084">
            <v>17.5</v>
          </cell>
          <cell r="L1084">
            <v>14</v>
          </cell>
          <cell r="M1084" t="e">
            <v>#N/A</v>
          </cell>
          <cell r="N1084">
            <v>16.5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16.5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-14.793243243243339</v>
          </cell>
          <cell r="F1085">
            <v>20.747297297297639</v>
          </cell>
          <cell r="G1085">
            <v>13.639189189189254</v>
          </cell>
          <cell r="H1085">
            <v>13.639189189189254</v>
          </cell>
          <cell r="I1085" t="e">
            <v>#N/A</v>
          </cell>
          <cell r="J1085" t="e">
            <v>#N/A</v>
          </cell>
          <cell r="K1085">
            <v>17.5</v>
          </cell>
          <cell r="L1085">
            <v>14</v>
          </cell>
          <cell r="M1085" t="e">
            <v>#N/A</v>
          </cell>
          <cell r="N1085">
            <v>16.5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16.5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-14.848648648648744</v>
          </cell>
          <cell r="F1086">
            <v>20.759459459459801</v>
          </cell>
          <cell r="G1086">
            <v>13.637837837837903</v>
          </cell>
          <cell r="H1086">
            <v>13.637837837837903</v>
          </cell>
          <cell r="I1086" t="e">
            <v>#N/A</v>
          </cell>
          <cell r="J1086" t="e">
            <v>#N/A</v>
          </cell>
          <cell r="K1086">
            <v>17.5</v>
          </cell>
          <cell r="L1086">
            <v>14</v>
          </cell>
          <cell r="M1086" t="e">
            <v>#N/A</v>
          </cell>
          <cell r="N1086">
            <v>16.5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16.5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-14.90405405405415</v>
          </cell>
          <cell r="F1087">
            <v>20.771621621621964</v>
          </cell>
          <cell r="G1087">
            <v>13.636486486486552</v>
          </cell>
          <cell r="H1087">
            <v>13.636486486486552</v>
          </cell>
          <cell r="I1087" t="e">
            <v>#N/A</v>
          </cell>
          <cell r="J1087" t="e">
            <v>#N/A</v>
          </cell>
          <cell r="K1087">
            <v>17.5</v>
          </cell>
          <cell r="L1087">
            <v>14</v>
          </cell>
          <cell r="M1087" t="e">
            <v>#N/A</v>
          </cell>
          <cell r="N1087">
            <v>16.5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16.5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-14.959459459459556</v>
          </cell>
          <cell r="F1088">
            <v>20.783783783784127</v>
          </cell>
          <cell r="G1088">
            <v>13.635135135135201</v>
          </cell>
          <cell r="H1088">
            <v>13.635135135135201</v>
          </cell>
          <cell r="I1088" t="e">
            <v>#N/A</v>
          </cell>
          <cell r="J1088" t="e">
            <v>#N/A</v>
          </cell>
          <cell r="K1088">
            <v>17.5</v>
          </cell>
          <cell r="L1088">
            <v>14</v>
          </cell>
          <cell r="M1088" t="e">
            <v>#N/A</v>
          </cell>
          <cell r="N1088">
            <v>16.5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16.5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-15.014864864864961</v>
          </cell>
          <cell r="F1089">
            <v>20.79594594594629</v>
          </cell>
          <cell r="G1089">
            <v>13.63378378378385</v>
          </cell>
          <cell r="H1089">
            <v>13.63378378378385</v>
          </cell>
          <cell r="I1089" t="e">
            <v>#N/A</v>
          </cell>
          <cell r="J1089" t="e">
            <v>#N/A</v>
          </cell>
          <cell r="K1089">
            <v>17.5</v>
          </cell>
          <cell r="L1089">
            <v>14</v>
          </cell>
          <cell r="M1089" t="e">
            <v>#N/A</v>
          </cell>
          <cell r="N1089">
            <v>16.5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16.5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-15.070270270270367</v>
          </cell>
          <cell r="F1090">
            <v>20.808108108108453</v>
          </cell>
          <cell r="G1090">
            <v>13.632432432432498</v>
          </cell>
          <cell r="H1090">
            <v>13.632432432432498</v>
          </cell>
          <cell r="I1090" t="e">
            <v>#N/A</v>
          </cell>
          <cell r="J1090" t="e">
            <v>#N/A</v>
          </cell>
          <cell r="K1090">
            <v>17.5</v>
          </cell>
          <cell r="L1090">
            <v>14</v>
          </cell>
          <cell r="M1090" t="e">
            <v>#N/A</v>
          </cell>
          <cell r="N1090">
            <v>16.5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16.5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-15.125675675675772</v>
          </cell>
          <cell r="F1091">
            <v>20.820270270270615</v>
          </cell>
          <cell r="G1091">
            <v>13.631081081081147</v>
          </cell>
          <cell r="H1091">
            <v>13.631081081081147</v>
          </cell>
          <cell r="I1091" t="e">
            <v>#N/A</v>
          </cell>
          <cell r="J1091" t="e">
            <v>#N/A</v>
          </cell>
          <cell r="K1091">
            <v>17.5</v>
          </cell>
          <cell r="L1091">
            <v>14</v>
          </cell>
          <cell r="M1091" t="e">
            <v>#N/A</v>
          </cell>
          <cell r="N1091">
            <v>16.5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16.5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-15.181081081081178</v>
          </cell>
          <cell r="F1092">
            <v>20.832432432432778</v>
          </cell>
          <cell r="G1092">
            <v>13.629729729729796</v>
          </cell>
          <cell r="H1092">
            <v>13.629729729729796</v>
          </cell>
          <cell r="I1092" t="e">
            <v>#N/A</v>
          </cell>
          <cell r="J1092" t="e">
            <v>#N/A</v>
          </cell>
          <cell r="K1092">
            <v>17.5</v>
          </cell>
          <cell r="L1092">
            <v>14</v>
          </cell>
          <cell r="M1092" t="e">
            <v>#N/A</v>
          </cell>
          <cell r="N1092">
            <v>16.5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16.5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-15.236486486486584</v>
          </cell>
          <cell r="F1093">
            <v>20.844594594594941</v>
          </cell>
          <cell r="G1093">
            <v>13.628378378378445</v>
          </cell>
          <cell r="H1093">
            <v>13.628378378378445</v>
          </cell>
          <cell r="I1093" t="e">
            <v>#N/A</v>
          </cell>
          <cell r="J1093" t="e">
            <v>#N/A</v>
          </cell>
          <cell r="K1093">
            <v>17.5</v>
          </cell>
          <cell r="L1093">
            <v>14</v>
          </cell>
          <cell r="M1093" t="e">
            <v>#N/A</v>
          </cell>
          <cell r="N1093">
            <v>16.5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16.5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-15.291891891891989</v>
          </cell>
          <cell r="F1094">
            <v>20.856756756757104</v>
          </cell>
          <cell r="G1094">
            <v>13.627027027027093</v>
          </cell>
          <cell r="H1094">
            <v>13.627027027027093</v>
          </cell>
          <cell r="I1094" t="e">
            <v>#N/A</v>
          </cell>
          <cell r="J1094" t="e">
            <v>#N/A</v>
          </cell>
          <cell r="K1094">
            <v>17.5</v>
          </cell>
          <cell r="L1094">
            <v>14</v>
          </cell>
          <cell r="M1094" t="e">
            <v>#N/A</v>
          </cell>
          <cell r="N1094">
            <v>16.5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16.5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-15.347297297297395</v>
          </cell>
          <cell r="F1095">
            <v>20.868918918919267</v>
          </cell>
          <cell r="G1095">
            <v>13.625675675675742</v>
          </cell>
          <cell r="H1095">
            <v>13.625675675675742</v>
          </cell>
          <cell r="I1095" t="e">
            <v>#N/A</v>
          </cell>
          <cell r="J1095" t="e">
            <v>#N/A</v>
          </cell>
          <cell r="K1095">
            <v>17.5</v>
          </cell>
          <cell r="L1095">
            <v>14</v>
          </cell>
          <cell r="M1095" t="e">
            <v>#N/A</v>
          </cell>
          <cell r="N1095">
            <v>16.5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16.5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-15.402702702702801</v>
          </cell>
          <cell r="F1096">
            <v>20.88108108108143</v>
          </cell>
          <cell r="G1096">
            <v>13.624324324324391</v>
          </cell>
          <cell r="H1096">
            <v>13.624324324324391</v>
          </cell>
          <cell r="I1096" t="e">
            <v>#N/A</v>
          </cell>
          <cell r="J1096" t="e">
            <v>#N/A</v>
          </cell>
          <cell r="K1096">
            <v>17.5</v>
          </cell>
          <cell r="L1096">
            <v>14</v>
          </cell>
          <cell r="M1096" t="e">
            <v>#N/A</v>
          </cell>
          <cell r="N1096">
            <v>16.5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16.5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-15.458108108108206</v>
          </cell>
          <cell r="F1097">
            <v>20.893243243243592</v>
          </cell>
          <cell r="G1097">
            <v>13.62297297297304</v>
          </cell>
          <cell r="H1097">
            <v>13.62297297297304</v>
          </cell>
          <cell r="I1097" t="e">
            <v>#N/A</v>
          </cell>
          <cell r="J1097" t="e">
            <v>#N/A</v>
          </cell>
          <cell r="K1097">
            <v>17.5</v>
          </cell>
          <cell r="L1097">
            <v>14</v>
          </cell>
          <cell r="M1097" t="e">
            <v>#N/A</v>
          </cell>
          <cell r="N1097">
            <v>16.5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16.5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-15.513513513513612</v>
          </cell>
          <cell r="F1098">
            <v>20.905405405405755</v>
          </cell>
          <cell r="G1098">
            <v>13.621621621621689</v>
          </cell>
          <cell r="H1098">
            <v>13.621621621621689</v>
          </cell>
          <cell r="I1098" t="e">
            <v>#N/A</v>
          </cell>
          <cell r="J1098" t="e">
            <v>#N/A</v>
          </cell>
          <cell r="K1098">
            <v>17.5</v>
          </cell>
          <cell r="L1098">
            <v>14</v>
          </cell>
          <cell r="M1098" t="e">
            <v>#N/A</v>
          </cell>
          <cell r="N1098">
            <v>16.5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16.5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-15.568918918919017</v>
          </cell>
          <cell r="F1099">
            <v>20.917567567567918</v>
          </cell>
          <cell r="G1099">
            <v>13.620270270270337</v>
          </cell>
          <cell r="H1099">
            <v>13.620270270270337</v>
          </cell>
          <cell r="I1099" t="e">
            <v>#N/A</v>
          </cell>
          <cell r="J1099" t="e">
            <v>#N/A</v>
          </cell>
          <cell r="K1099">
            <v>17.5</v>
          </cell>
          <cell r="L1099">
            <v>14</v>
          </cell>
          <cell r="M1099" t="e">
            <v>#N/A</v>
          </cell>
          <cell r="N1099">
            <v>16.5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16.5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-15.624324324324423</v>
          </cell>
          <cell r="F1100">
            <v>20.929729729730081</v>
          </cell>
          <cell r="G1100">
            <v>13.618918918918986</v>
          </cell>
          <cell r="H1100">
            <v>13.618918918918986</v>
          </cell>
          <cell r="I1100" t="e">
            <v>#N/A</v>
          </cell>
          <cell r="J1100" t="e">
            <v>#N/A</v>
          </cell>
          <cell r="K1100">
            <v>17.5</v>
          </cell>
          <cell r="L1100">
            <v>14</v>
          </cell>
          <cell r="M1100" t="e">
            <v>#N/A</v>
          </cell>
          <cell r="N1100">
            <v>16.5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16.5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-15.679729729729829</v>
          </cell>
          <cell r="F1101">
            <v>20.941891891892244</v>
          </cell>
          <cell r="G1101">
            <v>13.617567567567635</v>
          </cell>
          <cell r="H1101">
            <v>13.617567567567635</v>
          </cell>
          <cell r="I1101" t="e">
            <v>#N/A</v>
          </cell>
          <cell r="J1101" t="e">
            <v>#N/A</v>
          </cell>
          <cell r="K1101">
            <v>17.5</v>
          </cell>
          <cell r="L1101">
            <v>14</v>
          </cell>
          <cell r="M1101" t="e">
            <v>#N/A</v>
          </cell>
          <cell r="N1101">
            <v>16.5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16.5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-15.735135135135234</v>
          </cell>
          <cell r="F1102">
            <v>20.954054054054406</v>
          </cell>
          <cell r="G1102">
            <v>13.616216216216284</v>
          </cell>
          <cell r="H1102">
            <v>13.616216216216284</v>
          </cell>
          <cell r="I1102" t="e">
            <v>#N/A</v>
          </cell>
          <cell r="J1102" t="e">
            <v>#N/A</v>
          </cell>
          <cell r="K1102">
            <v>17.5</v>
          </cell>
          <cell r="L1102">
            <v>14</v>
          </cell>
          <cell r="M1102" t="e">
            <v>#N/A</v>
          </cell>
          <cell r="N1102">
            <v>16.5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16.5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-15.79054054054064</v>
          </cell>
          <cell r="F1103">
            <v>20.966216216216569</v>
          </cell>
          <cell r="G1103">
            <v>13.614864864864932</v>
          </cell>
          <cell r="H1103">
            <v>13.614864864864932</v>
          </cell>
          <cell r="I1103" t="e">
            <v>#N/A</v>
          </cell>
          <cell r="J1103" t="e">
            <v>#N/A</v>
          </cell>
          <cell r="K1103">
            <v>17.5</v>
          </cell>
          <cell r="L1103">
            <v>14</v>
          </cell>
          <cell r="M1103" t="e">
            <v>#N/A</v>
          </cell>
          <cell r="N1103">
            <v>16.5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16.5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-15.845945945946045</v>
          </cell>
          <cell r="F1104">
            <v>20.978378378378732</v>
          </cell>
          <cell r="G1104">
            <v>13.613513513513581</v>
          </cell>
          <cell r="H1104">
            <v>13.613513513513581</v>
          </cell>
          <cell r="I1104" t="e">
            <v>#N/A</v>
          </cell>
          <cell r="J1104" t="e">
            <v>#N/A</v>
          </cell>
          <cell r="K1104">
            <v>17.5</v>
          </cell>
          <cell r="L1104">
            <v>14</v>
          </cell>
          <cell r="M1104" t="e">
            <v>#N/A</v>
          </cell>
          <cell r="N1104">
            <v>16.5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16.5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-15.901351351351451</v>
          </cell>
          <cell r="F1105">
            <v>20.990540540540895</v>
          </cell>
          <cell r="G1105">
            <v>13.61216216216223</v>
          </cell>
          <cell r="H1105">
            <v>13.61216216216223</v>
          </cell>
          <cell r="I1105" t="e">
            <v>#N/A</v>
          </cell>
          <cell r="J1105" t="e">
            <v>#N/A</v>
          </cell>
          <cell r="K1105">
            <v>17.5</v>
          </cell>
          <cell r="L1105">
            <v>14</v>
          </cell>
          <cell r="M1105" t="e">
            <v>#N/A</v>
          </cell>
          <cell r="N1105">
            <v>16.5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16.5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-15.956756756756857</v>
          </cell>
          <cell r="F1106">
            <v>21.002702702703058</v>
          </cell>
          <cell r="G1106">
            <v>13.610810810810879</v>
          </cell>
          <cell r="H1106">
            <v>13.610810810810879</v>
          </cell>
          <cell r="I1106" t="e">
            <v>#N/A</v>
          </cell>
          <cell r="J1106" t="e">
            <v>#N/A</v>
          </cell>
          <cell r="K1106">
            <v>17.5</v>
          </cell>
          <cell r="L1106">
            <v>14</v>
          </cell>
          <cell r="M1106" t="e">
            <v>#N/A</v>
          </cell>
          <cell r="N1106">
            <v>16.5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16.5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-16.012162162162262</v>
          </cell>
          <cell r="F1107">
            <v>21.014864864865221</v>
          </cell>
          <cell r="G1107">
            <v>13.609459459459528</v>
          </cell>
          <cell r="H1107">
            <v>13.609459459459528</v>
          </cell>
          <cell r="I1107" t="e">
            <v>#N/A</v>
          </cell>
          <cell r="J1107" t="e">
            <v>#N/A</v>
          </cell>
          <cell r="K1107">
            <v>17.5</v>
          </cell>
          <cell r="L1107">
            <v>14</v>
          </cell>
          <cell r="M1107" t="e">
            <v>#N/A</v>
          </cell>
          <cell r="N1107">
            <v>16.5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16.5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-16.067567567567668</v>
          </cell>
          <cell r="F1108">
            <v>21.027027027027383</v>
          </cell>
          <cell r="G1108">
            <v>13.608108108108176</v>
          </cell>
          <cell r="H1108">
            <v>13.608108108108176</v>
          </cell>
          <cell r="I1108" t="e">
            <v>#N/A</v>
          </cell>
          <cell r="J1108" t="e">
            <v>#N/A</v>
          </cell>
          <cell r="K1108">
            <v>17.5</v>
          </cell>
          <cell r="L1108">
            <v>14</v>
          </cell>
          <cell r="M1108" t="e">
            <v>#N/A</v>
          </cell>
          <cell r="N1108">
            <v>16.5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16.5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-16.122972972973074</v>
          </cell>
          <cell r="F1109">
            <v>21.039189189189546</v>
          </cell>
          <cell r="G1109">
            <v>13.606756756756825</v>
          </cell>
          <cell r="H1109">
            <v>13.606756756756825</v>
          </cell>
          <cell r="I1109" t="e">
            <v>#N/A</v>
          </cell>
          <cell r="J1109" t="e">
            <v>#N/A</v>
          </cell>
          <cell r="K1109">
            <v>17.5</v>
          </cell>
          <cell r="L1109">
            <v>14</v>
          </cell>
          <cell r="M1109" t="e">
            <v>#N/A</v>
          </cell>
          <cell r="N1109">
            <v>16.5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16.5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-16.178378378378479</v>
          </cell>
          <cell r="F1110">
            <v>21.051351351351709</v>
          </cell>
          <cell r="G1110">
            <v>13.605405405405474</v>
          </cell>
          <cell r="H1110">
            <v>13.605405405405474</v>
          </cell>
          <cell r="I1110" t="e">
            <v>#N/A</v>
          </cell>
          <cell r="J1110" t="e">
            <v>#N/A</v>
          </cell>
          <cell r="K1110">
            <v>17.5</v>
          </cell>
          <cell r="L1110">
            <v>14</v>
          </cell>
          <cell r="M1110" t="e">
            <v>#N/A</v>
          </cell>
          <cell r="N1110">
            <v>16.5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16.5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-16.233783783783885</v>
          </cell>
          <cell r="F1111">
            <v>21.063513513513872</v>
          </cell>
          <cell r="G1111">
            <v>13.604054054054123</v>
          </cell>
          <cell r="H1111">
            <v>13.604054054054123</v>
          </cell>
          <cell r="I1111" t="e">
            <v>#N/A</v>
          </cell>
          <cell r="J1111" t="e">
            <v>#N/A</v>
          </cell>
          <cell r="K1111">
            <v>17.5</v>
          </cell>
          <cell r="L1111">
            <v>14</v>
          </cell>
          <cell r="M1111" t="e">
            <v>#N/A</v>
          </cell>
          <cell r="N1111">
            <v>16.5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16.5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-16.28918918918929</v>
          </cell>
          <cell r="F1112">
            <v>21.075675675676035</v>
          </cell>
          <cell r="G1112">
            <v>13.602702702702771</v>
          </cell>
          <cell r="H1112">
            <v>13.602702702702771</v>
          </cell>
          <cell r="I1112" t="e">
            <v>#N/A</v>
          </cell>
          <cell r="J1112" t="e">
            <v>#N/A</v>
          </cell>
          <cell r="K1112">
            <v>17.5</v>
          </cell>
          <cell r="L1112">
            <v>14</v>
          </cell>
          <cell r="M1112" t="e">
            <v>#N/A</v>
          </cell>
          <cell r="N1112">
            <v>16.5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16.5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-16.344594594594696</v>
          </cell>
          <cell r="F1113">
            <v>21.087837837838197</v>
          </cell>
          <cell r="G1113">
            <v>13.60135135135142</v>
          </cell>
          <cell r="H1113">
            <v>13.60135135135142</v>
          </cell>
          <cell r="I1113" t="e">
            <v>#N/A</v>
          </cell>
          <cell r="J1113" t="e">
            <v>#N/A</v>
          </cell>
          <cell r="K1113">
            <v>17.5</v>
          </cell>
          <cell r="L1113">
            <v>14</v>
          </cell>
          <cell r="M1113" t="e">
            <v>#N/A</v>
          </cell>
          <cell r="N1113">
            <v>16.5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16.5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-16.400000000000102</v>
          </cell>
          <cell r="F1114">
            <v>21.10000000000036</v>
          </cell>
          <cell r="G1114">
            <v>13.600000000000069</v>
          </cell>
          <cell r="H1114">
            <v>13.600000000000069</v>
          </cell>
          <cell r="I1114" t="e">
            <v>#N/A</v>
          </cell>
          <cell r="J1114" t="e">
            <v>#N/A</v>
          </cell>
          <cell r="K1114">
            <v>17.5</v>
          </cell>
          <cell r="L1114">
            <v>14</v>
          </cell>
          <cell r="M1114" t="e">
            <v>#N/A</v>
          </cell>
          <cell r="N1114">
            <v>16.5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16.5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-16.455405405405507</v>
          </cell>
          <cell r="F1115">
            <v>21.112162162162523</v>
          </cell>
          <cell r="G1115">
            <v>13.598648648648718</v>
          </cell>
          <cell r="H1115">
            <v>13.598648648648718</v>
          </cell>
          <cell r="I1115" t="e">
            <v>#N/A</v>
          </cell>
          <cell r="J1115" t="e">
            <v>#N/A</v>
          </cell>
          <cell r="K1115">
            <v>17.5</v>
          </cell>
          <cell r="L1115">
            <v>14</v>
          </cell>
          <cell r="M1115" t="e">
            <v>#N/A</v>
          </cell>
          <cell r="N1115">
            <v>16.5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16.5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-16.510810810810913</v>
          </cell>
          <cell r="F1116">
            <v>21.124324324324686</v>
          </cell>
          <cell r="G1116">
            <v>13.597297297297366</v>
          </cell>
          <cell r="H1116">
            <v>13.597297297297366</v>
          </cell>
          <cell r="I1116" t="e">
            <v>#N/A</v>
          </cell>
          <cell r="J1116" t="e">
            <v>#N/A</v>
          </cell>
          <cell r="K1116">
            <v>17.5</v>
          </cell>
          <cell r="L1116">
            <v>14</v>
          </cell>
          <cell r="M1116" t="e">
            <v>#N/A</v>
          </cell>
          <cell r="N1116">
            <v>16.5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16.5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-16.566216216216318</v>
          </cell>
          <cell r="F1117">
            <v>21.136486486486849</v>
          </cell>
          <cell r="G1117">
            <v>13.595945945946015</v>
          </cell>
          <cell r="H1117">
            <v>13.595945945946015</v>
          </cell>
          <cell r="I1117" t="e">
            <v>#N/A</v>
          </cell>
          <cell r="J1117" t="e">
            <v>#N/A</v>
          </cell>
          <cell r="K1117">
            <v>17.5</v>
          </cell>
          <cell r="L1117">
            <v>14</v>
          </cell>
          <cell r="M1117" t="e">
            <v>#N/A</v>
          </cell>
          <cell r="N1117">
            <v>16.5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16.5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-16.621621621621724</v>
          </cell>
          <cell r="F1118">
            <v>21.148648648649012</v>
          </cell>
          <cell r="G1118">
            <v>13.594594594594664</v>
          </cell>
          <cell r="H1118">
            <v>13.594594594594664</v>
          </cell>
          <cell r="I1118" t="e">
            <v>#N/A</v>
          </cell>
          <cell r="J1118" t="e">
            <v>#N/A</v>
          </cell>
          <cell r="K1118">
            <v>17.5</v>
          </cell>
          <cell r="L1118">
            <v>14</v>
          </cell>
          <cell r="M1118" t="e">
            <v>#N/A</v>
          </cell>
          <cell r="N1118">
            <v>16.5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16.5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-16.67702702702713</v>
          </cell>
          <cell r="F1119">
            <v>21.160810810811174</v>
          </cell>
          <cell r="G1119">
            <v>13.593243243243313</v>
          </cell>
          <cell r="H1119">
            <v>13.593243243243313</v>
          </cell>
          <cell r="I1119" t="e">
            <v>#N/A</v>
          </cell>
          <cell r="J1119" t="e">
            <v>#N/A</v>
          </cell>
          <cell r="K1119">
            <v>17.5</v>
          </cell>
          <cell r="L1119">
            <v>14</v>
          </cell>
          <cell r="M1119" t="e">
            <v>#N/A</v>
          </cell>
          <cell r="N1119">
            <v>16.5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16.5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-16.732432432432535</v>
          </cell>
          <cell r="F1120">
            <v>21.172972972973337</v>
          </cell>
          <cell r="G1120">
            <v>13.591891891891962</v>
          </cell>
          <cell r="H1120">
            <v>13.591891891891962</v>
          </cell>
          <cell r="I1120" t="e">
            <v>#N/A</v>
          </cell>
          <cell r="J1120" t="e">
            <v>#N/A</v>
          </cell>
          <cell r="K1120">
            <v>17.5</v>
          </cell>
          <cell r="L1120">
            <v>14</v>
          </cell>
          <cell r="M1120" t="e">
            <v>#N/A</v>
          </cell>
          <cell r="N1120">
            <v>16.5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16.5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-16.787837837837941</v>
          </cell>
          <cell r="F1121">
            <v>21.1851351351355</v>
          </cell>
          <cell r="G1121">
            <v>13.59054054054061</v>
          </cell>
          <cell r="H1121">
            <v>13.59054054054061</v>
          </cell>
          <cell r="I1121" t="e">
            <v>#N/A</v>
          </cell>
          <cell r="J1121" t="e">
            <v>#N/A</v>
          </cell>
          <cell r="K1121">
            <v>17.5</v>
          </cell>
          <cell r="L1121">
            <v>14</v>
          </cell>
          <cell r="M1121" t="e">
            <v>#N/A</v>
          </cell>
          <cell r="N1121">
            <v>16.5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16.5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-16.843243243243347</v>
          </cell>
          <cell r="F1122">
            <v>21.197297297297663</v>
          </cell>
          <cell r="G1122">
            <v>13.589189189189259</v>
          </cell>
          <cell r="H1122">
            <v>13.589189189189259</v>
          </cell>
          <cell r="I1122" t="e">
            <v>#N/A</v>
          </cell>
          <cell r="J1122" t="e">
            <v>#N/A</v>
          </cell>
          <cell r="K1122">
            <v>17.5</v>
          </cell>
          <cell r="L1122">
            <v>14</v>
          </cell>
          <cell r="M1122" t="e">
            <v>#N/A</v>
          </cell>
          <cell r="N1122">
            <v>16.5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16.5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-16.898648648648752</v>
          </cell>
          <cell r="F1123">
            <v>21.209459459459826</v>
          </cell>
          <cell r="G1123">
            <v>13.587837837837908</v>
          </cell>
          <cell r="H1123">
            <v>13.587837837837908</v>
          </cell>
          <cell r="I1123" t="e">
            <v>#N/A</v>
          </cell>
          <cell r="J1123" t="e">
            <v>#N/A</v>
          </cell>
          <cell r="K1123">
            <v>17.5</v>
          </cell>
          <cell r="L1123">
            <v>14</v>
          </cell>
          <cell r="M1123" t="e">
            <v>#N/A</v>
          </cell>
          <cell r="N1123">
            <v>16.5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16.5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-16.954054054054158</v>
          </cell>
          <cell r="F1124">
            <v>21.221621621621988</v>
          </cell>
          <cell r="G1124">
            <v>13.586486486486557</v>
          </cell>
          <cell r="H1124">
            <v>13.586486486486557</v>
          </cell>
          <cell r="I1124" t="e">
            <v>#N/A</v>
          </cell>
          <cell r="J1124" t="e">
            <v>#N/A</v>
          </cell>
          <cell r="K1124">
            <v>17.5</v>
          </cell>
          <cell r="L1124">
            <v>14</v>
          </cell>
          <cell r="M1124" t="e">
            <v>#N/A</v>
          </cell>
          <cell r="N1124">
            <v>16.5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16.5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-17.009459459459563</v>
          </cell>
          <cell r="F1125">
            <v>21.233783783784151</v>
          </cell>
          <cell r="G1125">
            <v>13.585135135135205</v>
          </cell>
          <cell r="H1125">
            <v>13.585135135135205</v>
          </cell>
          <cell r="I1125" t="e">
            <v>#N/A</v>
          </cell>
          <cell r="J1125" t="e">
            <v>#N/A</v>
          </cell>
          <cell r="K1125">
            <v>17.5</v>
          </cell>
          <cell r="L1125">
            <v>14</v>
          </cell>
          <cell r="M1125" t="e">
            <v>#N/A</v>
          </cell>
          <cell r="N1125">
            <v>16.5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16.5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-17.064864864864969</v>
          </cell>
          <cell r="F1126">
            <v>21.245945945946314</v>
          </cell>
          <cell r="G1126">
            <v>13.583783783783854</v>
          </cell>
          <cell r="H1126">
            <v>13.583783783783854</v>
          </cell>
          <cell r="I1126" t="e">
            <v>#N/A</v>
          </cell>
          <cell r="J1126" t="e">
            <v>#N/A</v>
          </cell>
          <cell r="K1126">
            <v>17.5</v>
          </cell>
          <cell r="L1126">
            <v>14</v>
          </cell>
          <cell r="M1126" t="e">
            <v>#N/A</v>
          </cell>
          <cell r="N1126">
            <v>16.5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16.5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-17.120270270270375</v>
          </cell>
          <cell r="F1127">
            <v>21.258108108108477</v>
          </cell>
          <cell r="G1127">
            <v>13.582432432432503</v>
          </cell>
          <cell r="H1127">
            <v>13.582432432432503</v>
          </cell>
          <cell r="I1127" t="e">
            <v>#N/A</v>
          </cell>
          <cell r="J1127" t="e">
            <v>#N/A</v>
          </cell>
          <cell r="K1127">
            <v>17.5</v>
          </cell>
          <cell r="L1127">
            <v>14</v>
          </cell>
          <cell r="M1127" t="e">
            <v>#N/A</v>
          </cell>
          <cell r="N1127">
            <v>16.5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16.5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-17.17567567567578</v>
          </cell>
          <cell r="F1128">
            <v>21.27027027027064</v>
          </cell>
          <cell r="G1128">
            <v>13.581081081081152</v>
          </cell>
          <cell r="H1128">
            <v>13.581081081081152</v>
          </cell>
          <cell r="I1128" t="e">
            <v>#N/A</v>
          </cell>
          <cell r="J1128" t="e">
            <v>#N/A</v>
          </cell>
          <cell r="K1128">
            <v>17.5</v>
          </cell>
          <cell r="L1128">
            <v>14</v>
          </cell>
          <cell r="M1128" t="e">
            <v>#N/A</v>
          </cell>
          <cell r="N1128">
            <v>16.5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16.5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-17.231081081081186</v>
          </cell>
          <cell r="F1129">
            <v>21.282432432432802</v>
          </cell>
          <cell r="G1129">
            <v>13.579729729729801</v>
          </cell>
          <cell r="H1129">
            <v>13.579729729729801</v>
          </cell>
          <cell r="I1129" t="e">
            <v>#N/A</v>
          </cell>
          <cell r="J1129" t="e">
            <v>#N/A</v>
          </cell>
          <cell r="K1129">
            <v>17.5</v>
          </cell>
          <cell r="L1129">
            <v>14</v>
          </cell>
          <cell r="M1129" t="e">
            <v>#N/A</v>
          </cell>
          <cell r="N1129">
            <v>16.5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16.5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-17.286486486486591</v>
          </cell>
          <cell r="F1130">
            <v>21.294594594594965</v>
          </cell>
          <cell r="G1130">
            <v>13.578378378378449</v>
          </cell>
          <cell r="H1130">
            <v>13.578378378378449</v>
          </cell>
          <cell r="I1130" t="e">
            <v>#N/A</v>
          </cell>
          <cell r="J1130" t="e">
            <v>#N/A</v>
          </cell>
          <cell r="K1130">
            <v>17.5</v>
          </cell>
          <cell r="L1130">
            <v>14</v>
          </cell>
          <cell r="M1130" t="e">
            <v>#N/A</v>
          </cell>
          <cell r="N1130">
            <v>16.5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16.5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-17.341891891891997</v>
          </cell>
          <cell r="F1131">
            <v>21.306756756757128</v>
          </cell>
          <cell r="G1131">
            <v>13.577027027027098</v>
          </cell>
          <cell r="H1131">
            <v>13.577027027027098</v>
          </cell>
          <cell r="I1131" t="e">
            <v>#N/A</v>
          </cell>
          <cell r="J1131" t="e">
            <v>#N/A</v>
          </cell>
          <cell r="K1131">
            <v>17.5</v>
          </cell>
          <cell r="L1131">
            <v>14</v>
          </cell>
          <cell r="M1131" t="e">
            <v>#N/A</v>
          </cell>
          <cell r="N1131">
            <v>16.5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16.5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-17.397297297297403</v>
          </cell>
          <cell r="F1132">
            <v>21.318918918919291</v>
          </cell>
          <cell r="G1132">
            <v>13.575675675675747</v>
          </cell>
          <cell r="H1132">
            <v>13.575675675675747</v>
          </cell>
          <cell r="I1132" t="e">
            <v>#N/A</v>
          </cell>
          <cell r="J1132" t="e">
            <v>#N/A</v>
          </cell>
          <cell r="K1132">
            <v>17.5</v>
          </cell>
          <cell r="L1132">
            <v>14</v>
          </cell>
          <cell r="M1132" t="e">
            <v>#N/A</v>
          </cell>
          <cell r="N1132">
            <v>16.5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16.5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-17.452702702702808</v>
          </cell>
          <cell r="F1133">
            <v>21.331081081081454</v>
          </cell>
          <cell r="G1133">
            <v>13.574324324324396</v>
          </cell>
          <cell r="H1133">
            <v>13.574324324324396</v>
          </cell>
          <cell r="I1133" t="e">
            <v>#N/A</v>
          </cell>
          <cell r="J1133" t="e">
            <v>#N/A</v>
          </cell>
          <cell r="K1133">
            <v>17.5</v>
          </cell>
          <cell r="L1133">
            <v>14</v>
          </cell>
          <cell r="M1133" t="e">
            <v>#N/A</v>
          </cell>
          <cell r="N1133">
            <v>16.5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16.5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-17.508108108108214</v>
          </cell>
          <cell r="F1134">
            <v>21.343243243243617</v>
          </cell>
          <cell r="G1134">
            <v>13.572972972973044</v>
          </cell>
          <cell r="H1134">
            <v>13.572972972973044</v>
          </cell>
          <cell r="I1134" t="e">
            <v>#N/A</v>
          </cell>
          <cell r="J1134" t="e">
            <v>#N/A</v>
          </cell>
          <cell r="K1134">
            <v>17.5</v>
          </cell>
          <cell r="L1134">
            <v>14</v>
          </cell>
          <cell r="M1134" t="e">
            <v>#N/A</v>
          </cell>
          <cell r="N1134">
            <v>16.5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16.5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-17.56351351351362</v>
          </cell>
          <cell r="F1135">
            <v>21.355405405405779</v>
          </cell>
          <cell r="G1135">
            <v>13.571621621621693</v>
          </cell>
          <cell r="H1135">
            <v>13.571621621621693</v>
          </cell>
          <cell r="I1135" t="e">
            <v>#N/A</v>
          </cell>
          <cell r="J1135" t="e">
            <v>#N/A</v>
          </cell>
          <cell r="K1135">
            <v>17.5</v>
          </cell>
          <cell r="L1135">
            <v>14</v>
          </cell>
          <cell r="M1135" t="e">
            <v>#N/A</v>
          </cell>
          <cell r="N1135">
            <v>16.5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16.5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-17.618918918919025</v>
          </cell>
          <cell r="F1136">
            <v>21.367567567567942</v>
          </cell>
          <cell r="G1136">
            <v>13.570270270270342</v>
          </cell>
          <cell r="H1136">
            <v>13.570270270270342</v>
          </cell>
          <cell r="I1136" t="e">
            <v>#N/A</v>
          </cell>
          <cell r="J1136" t="e">
            <v>#N/A</v>
          </cell>
          <cell r="K1136">
            <v>17.5</v>
          </cell>
          <cell r="L1136">
            <v>14</v>
          </cell>
          <cell r="M1136" t="e">
            <v>#N/A</v>
          </cell>
          <cell r="N1136">
            <v>16.5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16.5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-17.674324324324431</v>
          </cell>
          <cell r="F1137">
            <v>21.379729729730105</v>
          </cell>
          <cell r="G1137">
            <v>13.568918918918991</v>
          </cell>
          <cell r="H1137">
            <v>13.568918918918991</v>
          </cell>
          <cell r="I1137" t="e">
            <v>#N/A</v>
          </cell>
          <cell r="J1137" t="e">
            <v>#N/A</v>
          </cell>
          <cell r="K1137">
            <v>17.5</v>
          </cell>
          <cell r="L1137">
            <v>14</v>
          </cell>
          <cell r="M1137" t="e">
            <v>#N/A</v>
          </cell>
          <cell r="N1137">
            <v>16.5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16.5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-17.729729729729836</v>
          </cell>
          <cell r="F1138">
            <v>21.391891891892268</v>
          </cell>
          <cell r="G1138">
            <v>13.567567567567639</v>
          </cell>
          <cell r="H1138">
            <v>13.567567567567639</v>
          </cell>
          <cell r="I1138" t="e">
            <v>#N/A</v>
          </cell>
          <cell r="J1138" t="e">
            <v>#N/A</v>
          </cell>
          <cell r="K1138">
            <v>17.5</v>
          </cell>
          <cell r="L1138">
            <v>14</v>
          </cell>
          <cell r="M1138" t="e">
            <v>#N/A</v>
          </cell>
          <cell r="N1138">
            <v>16.5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16.5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-17.785135135135242</v>
          </cell>
          <cell r="F1139">
            <v>21.404054054054431</v>
          </cell>
          <cell r="G1139">
            <v>13.566216216216288</v>
          </cell>
          <cell r="H1139">
            <v>13.566216216216288</v>
          </cell>
          <cell r="I1139" t="e">
            <v>#N/A</v>
          </cell>
          <cell r="J1139" t="e">
            <v>#N/A</v>
          </cell>
          <cell r="K1139">
            <v>17.5</v>
          </cell>
          <cell r="L1139">
            <v>14</v>
          </cell>
          <cell r="M1139" t="e">
            <v>#N/A</v>
          </cell>
          <cell r="N1139">
            <v>16.5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16.5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-17.840540540540648</v>
          </cell>
          <cell r="F1140">
            <v>21.416216216216593</v>
          </cell>
          <cell r="G1140">
            <v>13.564864864864937</v>
          </cell>
          <cell r="H1140">
            <v>13.564864864864937</v>
          </cell>
          <cell r="I1140" t="e">
            <v>#N/A</v>
          </cell>
          <cell r="J1140" t="e">
            <v>#N/A</v>
          </cell>
          <cell r="K1140">
            <v>17.5</v>
          </cell>
          <cell r="L1140">
            <v>14</v>
          </cell>
          <cell r="M1140" t="e">
            <v>#N/A</v>
          </cell>
          <cell r="N1140">
            <v>16.5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16.5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-17.895945945946053</v>
          </cell>
          <cell r="F1141">
            <v>21.428378378378756</v>
          </cell>
          <cell r="G1141">
            <v>13.563513513513586</v>
          </cell>
          <cell r="H1141">
            <v>13.563513513513586</v>
          </cell>
          <cell r="I1141" t="e">
            <v>#N/A</v>
          </cell>
          <cell r="J1141" t="e">
            <v>#N/A</v>
          </cell>
          <cell r="K1141">
            <v>17.5</v>
          </cell>
          <cell r="L1141">
            <v>14</v>
          </cell>
          <cell r="M1141" t="e">
            <v>#N/A</v>
          </cell>
          <cell r="N1141">
            <v>16.5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16.5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-17.951351351351459</v>
          </cell>
          <cell r="F1142">
            <v>21.440540540540919</v>
          </cell>
          <cell r="G1142">
            <v>13.562162162162235</v>
          </cell>
          <cell r="H1142">
            <v>13.562162162162235</v>
          </cell>
          <cell r="I1142" t="e">
            <v>#N/A</v>
          </cell>
          <cell r="J1142" t="e">
            <v>#N/A</v>
          </cell>
          <cell r="K1142">
            <v>17.5</v>
          </cell>
          <cell r="L1142">
            <v>14</v>
          </cell>
          <cell r="M1142" t="e">
            <v>#N/A</v>
          </cell>
          <cell r="N1142">
            <v>16.5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16.5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-18.006756756756864</v>
          </cell>
          <cell r="F1143">
            <v>21.452702702703082</v>
          </cell>
          <cell r="G1143">
            <v>13.560810810810883</v>
          </cell>
          <cell r="H1143">
            <v>13.560810810810883</v>
          </cell>
          <cell r="I1143" t="e">
            <v>#N/A</v>
          </cell>
          <cell r="J1143" t="e">
            <v>#N/A</v>
          </cell>
          <cell r="K1143">
            <v>17.5</v>
          </cell>
          <cell r="L1143">
            <v>14</v>
          </cell>
          <cell r="M1143" t="e">
            <v>#N/A</v>
          </cell>
          <cell r="N1143">
            <v>16.5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16.5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-18.06216216216227</v>
          </cell>
          <cell r="F1144">
            <v>21.464864864865245</v>
          </cell>
          <cell r="G1144">
            <v>13.559459459459532</v>
          </cell>
          <cell r="H1144">
            <v>13.559459459459532</v>
          </cell>
          <cell r="I1144" t="e">
            <v>#N/A</v>
          </cell>
          <cell r="J1144" t="e">
            <v>#N/A</v>
          </cell>
          <cell r="K1144">
            <v>17.5</v>
          </cell>
          <cell r="L1144">
            <v>14</v>
          </cell>
          <cell r="M1144" t="e">
            <v>#N/A</v>
          </cell>
          <cell r="N1144">
            <v>16.5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16.5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-18.117567567567676</v>
          </cell>
          <cell r="F1145">
            <v>21.477027027027408</v>
          </cell>
          <cell r="G1145">
            <v>13.558108108108181</v>
          </cell>
          <cell r="H1145">
            <v>13.558108108108181</v>
          </cell>
          <cell r="I1145" t="e">
            <v>#N/A</v>
          </cell>
          <cell r="J1145" t="e">
            <v>#N/A</v>
          </cell>
          <cell r="K1145">
            <v>17.5</v>
          </cell>
          <cell r="L1145">
            <v>14</v>
          </cell>
          <cell r="M1145" t="e">
            <v>#N/A</v>
          </cell>
          <cell r="N1145">
            <v>16.5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16.5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-18.172972972973081</v>
          </cell>
          <cell r="F1146">
            <v>21.48918918918957</v>
          </cell>
          <cell r="G1146">
            <v>13.55675675675683</v>
          </cell>
          <cell r="H1146">
            <v>13.55675675675683</v>
          </cell>
          <cell r="I1146" t="e">
            <v>#N/A</v>
          </cell>
          <cell r="J1146" t="e">
            <v>#N/A</v>
          </cell>
          <cell r="K1146">
            <v>17.5</v>
          </cell>
          <cell r="L1146">
            <v>14</v>
          </cell>
          <cell r="M1146" t="e">
            <v>#N/A</v>
          </cell>
          <cell r="N1146">
            <v>16.5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16.5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-18.228378378378487</v>
          </cell>
          <cell r="F1147">
            <v>21.501351351351733</v>
          </cell>
          <cell r="G1147">
            <v>13.555405405405478</v>
          </cell>
          <cell r="H1147">
            <v>13.555405405405478</v>
          </cell>
          <cell r="I1147" t="e">
            <v>#N/A</v>
          </cell>
          <cell r="J1147" t="e">
            <v>#N/A</v>
          </cell>
          <cell r="K1147">
            <v>17.5</v>
          </cell>
          <cell r="L1147">
            <v>14</v>
          </cell>
          <cell r="M1147" t="e">
            <v>#N/A</v>
          </cell>
          <cell r="N1147">
            <v>16.5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16.5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-18.283783783783893</v>
          </cell>
          <cell r="F1148">
            <v>21.513513513513896</v>
          </cell>
          <cell r="G1148">
            <v>13.554054054054127</v>
          </cell>
          <cell r="H1148">
            <v>13.554054054054127</v>
          </cell>
          <cell r="I1148" t="e">
            <v>#N/A</v>
          </cell>
          <cell r="J1148" t="e">
            <v>#N/A</v>
          </cell>
          <cell r="K1148">
            <v>17.5</v>
          </cell>
          <cell r="L1148">
            <v>14</v>
          </cell>
          <cell r="M1148" t="e">
            <v>#N/A</v>
          </cell>
          <cell r="N1148">
            <v>16.5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16.5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-18.339189189189298</v>
          </cell>
          <cell r="F1149">
            <v>21.525675675676059</v>
          </cell>
          <cell r="G1149">
            <v>13.552702702702776</v>
          </cell>
          <cell r="H1149">
            <v>13.552702702702776</v>
          </cell>
          <cell r="I1149" t="e">
            <v>#N/A</v>
          </cell>
          <cell r="J1149" t="e">
            <v>#N/A</v>
          </cell>
          <cell r="K1149">
            <v>17.5</v>
          </cell>
          <cell r="L1149">
            <v>14</v>
          </cell>
          <cell r="M1149" t="e">
            <v>#N/A</v>
          </cell>
          <cell r="N1149">
            <v>16.5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16.5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-18.394594594594704</v>
          </cell>
          <cell r="F1150">
            <v>21.537837837838222</v>
          </cell>
          <cell r="G1150">
            <v>13.551351351351425</v>
          </cell>
          <cell r="H1150">
            <v>13.551351351351425</v>
          </cell>
          <cell r="I1150" t="e">
            <v>#N/A</v>
          </cell>
          <cell r="J1150" t="e">
            <v>#N/A</v>
          </cell>
          <cell r="K1150">
            <v>17.5</v>
          </cell>
          <cell r="L1150">
            <v>14</v>
          </cell>
          <cell r="M1150" t="e">
            <v>#N/A</v>
          </cell>
          <cell r="N1150">
            <v>16.5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16.5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-18.450000000000109</v>
          </cell>
          <cell r="F1151">
            <v>21.550000000000384</v>
          </cell>
          <cell r="G1151">
            <v>13.550000000000074</v>
          </cell>
          <cell r="H1151">
            <v>13.550000000000074</v>
          </cell>
          <cell r="I1151" t="e">
            <v>#N/A</v>
          </cell>
          <cell r="J1151" t="e">
            <v>#N/A</v>
          </cell>
          <cell r="K1151">
            <v>17.5</v>
          </cell>
          <cell r="L1151">
            <v>14</v>
          </cell>
          <cell r="M1151" t="e">
            <v>#N/A</v>
          </cell>
          <cell r="N1151">
            <v>16.5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16.5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-18.505405405405515</v>
          </cell>
          <cell r="F1152">
            <v>21.562162162162547</v>
          </cell>
          <cell r="G1152">
            <v>13.548648648648722</v>
          </cell>
          <cell r="H1152">
            <v>13.548648648648722</v>
          </cell>
          <cell r="I1152" t="e">
            <v>#N/A</v>
          </cell>
          <cell r="J1152" t="e">
            <v>#N/A</v>
          </cell>
          <cell r="K1152">
            <v>17.5</v>
          </cell>
          <cell r="L1152">
            <v>14</v>
          </cell>
          <cell r="M1152" t="e">
            <v>#N/A</v>
          </cell>
          <cell r="N1152">
            <v>16.5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16.5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-18.560810810810921</v>
          </cell>
          <cell r="F1153">
            <v>21.57432432432471</v>
          </cell>
          <cell r="G1153">
            <v>13.547297297297371</v>
          </cell>
          <cell r="H1153">
            <v>13.547297297297371</v>
          </cell>
          <cell r="I1153" t="e">
            <v>#N/A</v>
          </cell>
          <cell r="J1153" t="e">
            <v>#N/A</v>
          </cell>
          <cell r="K1153">
            <v>17.5</v>
          </cell>
          <cell r="L1153">
            <v>14</v>
          </cell>
          <cell r="M1153" t="e">
            <v>#N/A</v>
          </cell>
          <cell r="N1153">
            <v>16.5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16.5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-18.616216216216326</v>
          </cell>
          <cell r="F1154">
            <v>21.586486486486873</v>
          </cell>
          <cell r="G1154">
            <v>13.54594594594602</v>
          </cell>
          <cell r="H1154">
            <v>13.54594594594602</v>
          </cell>
          <cell r="I1154" t="e">
            <v>#N/A</v>
          </cell>
          <cell r="J1154" t="e">
            <v>#N/A</v>
          </cell>
          <cell r="K1154">
            <v>17.5</v>
          </cell>
          <cell r="L1154">
            <v>14</v>
          </cell>
          <cell r="M1154" t="e">
            <v>#N/A</v>
          </cell>
          <cell r="N1154">
            <v>16.5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16.5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-18.671621621621732</v>
          </cell>
          <cell r="F1155">
            <v>21.598648648649036</v>
          </cell>
          <cell r="G1155">
            <v>13.544594594594669</v>
          </cell>
          <cell r="H1155">
            <v>13.544594594594669</v>
          </cell>
          <cell r="I1155" t="e">
            <v>#N/A</v>
          </cell>
          <cell r="J1155" t="e">
            <v>#N/A</v>
          </cell>
          <cell r="K1155">
            <v>17.5</v>
          </cell>
          <cell r="L1155">
            <v>14</v>
          </cell>
          <cell r="M1155" t="e">
            <v>#N/A</v>
          </cell>
          <cell r="N1155">
            <v>16.5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16.5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-18.727027027027138</v>
          </cell>
          <cell r="F1156">
            <v>21.610810810811198</v>
          </cell>
          <cell r="G1156">
            <v>13.543243243243317</v>
          </cell>
          <cell r="H1156">
            <v>13.543243243243317</v>
          </cell>
          <cell r="I1156" t="e">
            <v>#N/A</v>
          </cell>
          <cell r="J1156" t="e">
            <v>#N/A</v>
          </cell>
          <cell r="K1156">
            <v>17.5</v>
          </cell>
          <cell r="L1156">
            <v>14</v>
          </cell>
          <cell r="M1156" t="e">
            <v>#N/A</v>
          </cell>
          <cell r="N1156">
            <v>16.5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16.5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-18.782432432432543</v>
          </cell>
          <cell r="F1157">
            <v>21.622972972973361</v>
          </cell>
          <cell r="G1157">
            <v>13.541891891891966</v>
          </cell>
          <cell r="H1157">
            <v>13.541891891891966</v>
          </cell>
          <cell r="I1157" t="e">
            <v>#N/A</v>
          </cell>
          <cell r="J1157" t="e">
            <v>#N/A</v>
          </cell>
          <cell r="K1157">
            <v>17.5</v>
          </cell>
          <cell r="L1157">
            <v>14</v>
          </cell>
          <cell r="M1157" t="e">
            <v>#N/A</v>
          </cell>
          <cell r="N1157">
            <v>16.5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16.5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-18.837837837837949</v>
          </cell>
          <cell r="F1158">
            <v>21.635135135135524</v>
          </cell>
          <cell r="G1158">
            <v>13.540540540540615</v>
          </cell>
          <cell r="H1158">
            <v>13.540540540540615</v>
          </cell>
          <cell r="I1158" t="e">
            <v>#N/A</v>
          </cell>
          <cell r="J1158" t="e">
            <v>#N/A</v>
          </cell>
          <cell r="K1158">
            <v>17.5</v>
          </cell>
          <cell r="L1158">
            <v>14</v>
          </cell>
          <cell r="M1158" t="e">
            <v>#N/A</v>
          </cell>
          <cell r="N1158">
            <v>16.5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16.5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-18.893243243243354</v>
          </cell>
          <cell r="F1159">
            <v>21.647297297297687</v>
          </cell>
          <cell r="G1159">
            <v>13.539189189189264</v>
          </cell>
          <cell r="H1159">
            <v>13.539189189189264</v>
          </cell>
          <cell r="I1159" t="e">
            <v>#N/A</v>
          </cell>
          <cell r="J1159" t="e">
            <v>#N/A</v>
          </cell>
          <cell r="K1159">
            <v>17.5</v>
          </cell>
          <cell r="L1159">
            <v>14</v>
          </cell>
          <cell r="M1159" t="e">
            <v>#N/A</v>
          </cell>
          <cell r="N1159">
            <v>16.5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16.5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-18.94864864864876</v>
          </cell>
          <cell r="F1160">
            <v>21.65945945945985</v>
          </cell>
          <cell r="G1160">
            <v>13.537837837837913</v>
          </cell>
          <cell r="H1160">
            <v>13.537837837837913</v>
          </cell>
          <cell r="I1160" t="e">
            <v>#N/A</v>
          </cell>
          <cell r="J1160" t="e">
            <v>#N/A</v>
          </cell>
          <cell r="K1160">
            <v>17.5</v>
          </cell>
          <cell r="L1160">
            <v>14</v>
          </cell>
          <cell r="M1160" t="e">
            <v>#N/A</v>
          </cell>
          <cell r="N1160">
            <v>16.5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16.5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-19.004054054054166</v>
          </cell>
          <cell r="F1161">
            <v>21.671621621622013</v>
          </cell>
          <cell r="G1161">
            <v>13.536486486486561</v>
          </cell>
          <cell r="H1161">
            <v>13.536486486486561</v>
          </cell>
          <cell r="I1161" t="e">
            <v>#N/A</v>
          </cell>
          <cell r="J1161" t="e">
            <v>#N/A</v>
          </cell>
          <cell r="K1161">
            <v>17.5</v>
          </cell>
          <cell r="L1161">
            <v>14</v>
          </cell>
          <cell r="M1161" t="e">
            <v>#N/A</v>
          </cell>
          <cell r="N1161">
            <v>16.5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16.5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-19.059459459459571</v>
          </cell>
          <cell r="F1162">
            <v>21.683783783784175</v>
          </cell>
          <cell r="G1162">
            <v>13.53513513513521</v>
          </cell>
          <cell r="H1162">
            <v>13.53513513513521</v>
          </cell>
          <cell r="I1162" t="e">
            <v>#N/A</v>
          </cell>
          <cell r="J1162" t="e">
            <v>#N/A</v>
          </cell>
          <cell r="K1162">
            <v>17.5</v>
          </cell>
          <cell r="L1162">
            <v>14</v>
          </cell>
          <cell r="M1162" t="e">
            <v>#N/A</v>
          </cell>
          <cell r="N1162">
            <v>16.5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16.5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-19.114864864864977</v>
          </cell>
          <cell r="F1163">
            <v>21.695945945946338</v>
          </cell>
          <cell r="G1163">
            <v>13.533783783783859</v>
          </cell>
          <cell r="H1163">
            <v>13.533783783783859</v>
          </cell>
          <cell r="I1163" t="e">
            <v>#N/A</v>
          </cell>
          <cell r="J1163" t="e">
            <v>#N/A</v>
          </cell>
          <cell r="K1163">
            <v>17.5</v>
          </cell>
          <cell r="L1163">
            <v>14</v>
          </cell>
          <cell r="M1163" t="e">
            <v>#N/A</v>
          </cell>
          <cell r="N1163">
            <v>16.5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16.5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-19.170270270270382</v>
          </cell>
          <cell r="F1164">
            <v>21.708108108108501</v>
          </cell>
          <cell r="G1164">
            <v>13.532432432432508</v>
          </cell>
          <cell r="H1164">
            <v>13.532432432432508</v>
          </cell>
          <cell r="I1164" t="e">
            <v>#N/A</v>
          </cell>
          <cell r="J1164" t="e">
            <v>#N/A</v>
          </cell>
          <cell r="K1164">
            <v>17.5</v>
          </cell>
          <cell r="L1164">
            <v>14</v>
          </cell>
          <cell r="M1164" t="e">
            <v>#N/A</v>
          </cell>
          <cell r="N1164">
            <v>16.5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16.5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-19.225675675675788</v>
          </cell>
          <cell r="F1165">
            <v>21.720270270270664</v>
          </cell>
          <cell r="G1165">
            <v>13.531081081081156</v>
          </cell>
          <cell r="H1165">
            <v>13.531081081081156</v>
          </cell>
          <cell r="I1165" t="e">
            <v>#N/A</v>
          </cell>
          <cell r="J1165" t="e">
            <v>#N/A</v>
          </cell>
          <cell r="K1165">
            <v>17.5</v>
          </cell>
          <cell r="L1165">
            <v>14</v>
          </cell>
          <cell r="M1165" t="e">
            <v>#N/A</v>
          </cell>
          <cell r="N1165">
            <v>16.5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16.5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-19.281081081081194</v>
          </cell>
          <cell r="F1166">
            <v>21.732432432432827</v>
          </cell>
          <cell r="G1166">
            <v>13.529729729729805</v>
          </cell>
          <cell r="H1166">
            <v>13.529729729729805</v>
          </cell>
          <cell r="I1166" t="e">
            <v>#N/A</v>
          </cell>
          <cell r="J1166" t="e">
            <v>#N/A</v>
          </cell>
          <cell r="K1166">
            <v>17.5</v>
          </cell>
          <cell r="L1166">
            <v>14</v>
          </cell>
          <cell r="M1166" t="e">
            <v>#N/A</v>
          </cell>
          <cell r="N1166">
            <v>16.5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16.5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-19.336486486486599</v>
          </cell>
          <cell r="F1167">
            <v>21.744594594594989</v>
          </cell>
          <cell r="G1167">
            <v>13.528378378378454</v>
          </cell>
          <cell r="H1167">
            <v>13.528378378378454</v>
          </cell>
          <cell r="I1167" t="e">
            <v>#N/A</v>
          </cell>
          <cell r="J1167" t="e">
            <v>#N/A</v>
          </cell>
          <cell r="K1167">
            <v>17.5</v>
          </cell>
          <cell r="L1167">
            <v>14</v>
          </cell>
          <cell r="M1167" t="e">
            <v>#N/A</v>
          </cell>
          <cell r="N1167">
            <v>16.5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16.5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-19.391891891892005</v>
          </cell>
          <cell r="F1168">
            <v>21.756756756757152</v>
          </cell>
          <cell r="G1168">
            <v>13.527027027027103</v>
          </cell>
          <cell r="H1168">
            <v>13.527027027027103</v>
          </cell>
          <cell r="I1168" t="e">
            <v>#N/A</v>
          </cell>
          <cell r="J1168" t="e">
            <v>#N/A</v>
          </cell>
          <cell r="K1168">
            <v>17.5</v>
          </cell>
          <cell r="L1168">
            <v>14</v>
          </cell>
          <cell r="M1168" t="e">
            <v>#N/A</v>
          </cell>
          <cell r="N1168">
            <v>16.5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16.5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-19.447297297297411</v>
          </cell>
          <cell r="F1169">
            <v>21.768918918919315</v>
          </cell>
          <cell r="G1169">
            <v>13.525675675675751</v>
          </cell>
          <cell r="H1169">
            <v>13.525675675675751</v>
          </cell>
          <cell r="I1169" t="e">
            <v>#N/A</v>
          </cell>
          <cell r="J1169" t="e">
            <v>#N/A</v>
          </cell>
          <cell r="K1169">
            <v>17.5</v>
          </cell>
          <cell r="L1169">
            <v>14</v>
          </cell>
          <cell r="M1169" t="e">
            <v>#N/A</v>
          </cell>
          <cell r="N1169">
            <v>16.5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16.5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-19.502702702702816</v>
          </cell>
          <cell r="F1170">
            <v>21.781081081081478</v>
          </cell>
          <cell r="G1170">
            <v>13.5243243243244</v>
          </cell>
          <cell r="H1170">
            <v>13.5243243243244</v>
          </cell>
          <cell r="I1170" t="e">
            <v>#N/A</v>
          </cell>
          <cell r="J1170" t="e">
            <v>#N/A</v>
          </cell>
          <cell r="K1170">
            <v>17.5</v>
          </cell>
          <cell r="L1170">
            <v>14</v>
          </cell>
          <cell r="M1170" t="e">
            <v>#N/A</v>
          </cell>
          <cell r="N1170">
            <v>16.5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16.5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-19.558108108108222</v>
          </cell>
          <cell r="F1171">
            <v>21.793243243243641</v>
          </cell>
          <cell r="G1171">
            <v>13.522972972973049</v>
          </cell>
          <cell r="H1171">
            <v>13.522972972973049</v>
          </cell>
          <cell r="I1171" t="e">
            <v>#N/A</v>
          </cell>
          <cell r="J1171" t="e">
            <v>#N/A</v>
          </cell>
          <cell r="K1171">
            <v>17.5</v>
          </cell>
          <cell r="L1171">
            <v>14</v>
          </cell>
          <cell r="M1171" t="e">
            <v>#N/A</v>
          </cell>
          <cell r="N1171">
            <v>16.5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16.5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-19.613513513513627</v>
          </cell>
          <cell r="F1172">
            <v>21.805405405405804</v>
          </cell>
          <cell r="G1172">
            <v>13.521621621621698</v>
          </cell>
          <cell r="H1172">
            <v>13.521621621621698</v>
          </cell>
          <cell r="I1172" t="e">
            <v>#N/A</v>
          </cell>
          <cell r="J1172" t="e">
            <v>#N/A</v>
          </cell>
          <cell r="K1172">
            <v>17.5</v>
          </cell>
          <cell r="L1172">
            <v>14</v>
          </cell>
          <cell r="M1172" t="e">
            <v>#N/A</v>
          </cell>
          <cell r="N1172">
            <v>16.5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16.5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-19.668918918919033</v>
          </cell>
          <cell r="F1173">
            <v>21.817567567567966</v>
          </cell>
          <cell r="G1173">
            <v>13.520270270270347</v>
          </cell>
          <cell r="H1173">
            <v>13.520270270270347</v>
          </cell>
          <cell r="I1173" t="e">
            <v>#N/A</v>
          </cell>
          <cell r="J1173" t="e">
            <v>#N/A</v>
          </cell>
          <cell r="K1173">
            <v>17.5</v>
          </cell>
          <cell r="L1173">
            <v>14</v>
          </cell>
          <cell r="M1173" t="e">
            <v>#N/A</v>
          </cell>
          <cell r="N1173">
            <v>16.5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16.5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-19.724324324324439</v>
          </cell>
          <cell r="F1174">
            <v>21.829729729730129</v>
          </cell>
          <cell r="G1174">
            <v>13.518918918918995</v>
          </cell>
          <cell r="H1174">
            <v>13.518918918918995</v>
          </cell>
          <cell r="I1174" t="e">
            <v>#N/A</v>
          </cell>
          <cell r="J1174" t="e">
            <v>#N/A</v>
          </cell>
          <cell r="K1174">
            <v>17.5</v>
          </cell>
          <cell r="L1174">
            <v>14</v>
          </cell>
          <cell r="M1174" t="e">
            <v>#N/A</v>
          </cell>
          <cell r="N1174">
            <v>16.5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16.5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-19.779729729729844</v>
          </cell>
          <cell r="F1175">
            <v>21.841891891892292</v>
          </cell>
          <cell r="G1175">
            <v>13.517567567567644</v>
          </cell>
          <cell r="H1175">
            <v>13.517567567567644</v>
          </cell>
          <cell r="I1175" t="e">
            <v>#N/A</v>
          </cell>
          <cell r="J1175" t="e">
            <v>#N/A</v>
          </cell>
          <cell r="K1175">
            <v>17.5</v>
          </cell>
          <cell r="L1175">
            <v>14</v>
          </cell>
          <cell r="M1175" t="e">
            <v>#N/A</v>
          </cell>
          <cell r="N1175">
            <v>16.5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16.5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-19.83513513513525</v>
          </cell>
          <cell r="F1176">
            <v>21.854054054054455</v>
          </cell>
          <cell r="G1176">
            <v>13.516216216216293</v>
          </cell>
          <cell r="H1176">
            <v>13.516216216216293</v>
          </cell>
          <cell r="I1176" t="e">
            <v>#N/A</v>
          </cell>
          <cell r="J1176" t="e">
            <v>#N/A</v>
          </cell>
          <cell r="K1176">
            <v>17.5</v>
          </cell>
          <cell r="L1176">
            <v>14</v>
          </cell>
          <cell r="M1176" t="e">
            <v>#N/A</v>
          </cell>
          <cell r="N1176">
            <v>16.5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16.5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-19.890540540540655</v>
          </cell>
          <cell r="F1177">
            <v>21.866216216216618</v>
          </cell>
          <cell r="G1177">
            <v>13.514864864864942</v>
          </cell>
          <cell r="H1177">
            <v>13.514864864864942</v>
          </cell>
          <cell r="I1177" t="e">
            <v>#N/A</v>
          </cell>
          <cell r="J1177" t="e">
            <v>#N/A</v>
          </cell>
          <cell r="K1177">
            <v>17.5</v>
          </cell>
          <cell r="L1177">
            <v>14</v>
          </cell>
          <cell r="M1177" t="e">
            <v>#N/A</v>
          </cell>
          <cell r="N1177">
            <v>16.5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16.5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-19.945945945946061</v>
          </cell>
          <cell r="F1178">
            <v>21.87837837837878</v>
          </cell>
          <cell r="G1178">
            <v>13.51351351351359</v>
          </cell>
          <cell r="H1178">
            <v>13.51351351351359</v>
          </cell>
          <cell r="I1178" t="e">
            <v>#N/A</v>
          </cell>
          <cell r="J1178" t="e">
            <v>#N/A</v>
          </cell>
          <cell r="K1178">
            <v>17.5</v>
          </cell>
          <cell r="L1178">
            <v>14</v>
          </cell>
          <cell r="M1178" t="e">
            <v>#N/A</v>
          </cell>
          <cell r="N1178">
            <v>16.5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16.5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-20.001351351351467</v>
          </cell>
          <cell r="F1179">
            <v>21.890540540540943</v>
          </cell>
          <cell r="G1179">
            <v>13.512162162162239</v>
          </cell>
          <cell r="H1179">
            <v>13.512162162162239</v>
          </cell>
          <cell r="I1179" t="e">
            <v>#N/A</v>
          </cell>
          <cell r="J1179" t="e">
            <v>#N/A</v>
          </cell>
          <cell r="K1179">
            <v>17.5</v>
          </cell>
          <cell r="L1179">
            <v>14</v>
          </cell>
          <cell r="M1179" t="e">
            <v>#N/A</v>
          </cell>
          <cell r="N1179">
            <v>16.5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16.5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-20.056756756756872</v>
          </cell>
          <cell r="F1180">
            <v>21.902702702703106</v>
          </cell>
          <cell r="G1180">
            <v>13.510810810810888</v>
          </cell>
          <cell r="H1180">
            <v>13.510810810810888</v>
          </cell>
          <cell r="I1180" t="e">
            <v>#N/A</v>
          </cell>
          <cell r="J1180" t="e">
            <v>#N/A</v>
          </cell>
          <cell r="K1180">
            <v>17.5</v>
          </cell>
          <cell r="L1180">
            <v>14</v>
          </cell>
          <cell r="M1180" t="e">
            <v>#N/A</v>
          </cell>
          <cell r="N1180">
            <v>16.5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16.5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-20.112162162162278</v>
          </cell>
          <cell r="F1181">
            <v>21.914864864865269</v>
          </cell>
          <cell r="G1181">
            <v>13.509459459459537</v>
          </cell>
          <cell r="H1181">
            <v>13.509459459459537</v>
          </cell>
          <cell r="I1181" t="e">
            <v>#N/A</v>
          </cell>
          <cell r="J1181" t="e">
            <v>#N/A</v>
          </cell>
          <cell r="K1181">
            <v>17.5</v>
          </cell>
          <cell r="L1181">
            <v>14</v>
          </cell>
          <cell r="M1181" t="e">
            <v>#N/A</v>
          </cell>
          <cell r="N1181">
            <v>16.5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16.5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-20.167567567567684</v>
          </cell>
          <cell r="F1182">
            <v>21.927027027027432</v>
          </cell>
          <cell r="G1182">
            <v>13.508108108108186</v>
          </cell>
          <cell r="H1182">
            <v>13.508108108108186</v>
          </cell>
          <cell r="I1182" t="e">
            <v>#N/A</v>
          </cell>
          <cell r="J1182" t="e">
            <v>#N/A</v>
          </cell>
          <cell r="K1182">
            <v>17.5</v>
          </cell>
          <cell r="L1182">
            <v>14</v>
          </cell>
          <cell r="M1182" t="e">
            <v>#N/A</v>
          </cell>
          <cell r="N1182">
            <v>16.5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16.5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-20.222972972973089</v>
          </cell>
          <cell r="F1183">
            <v>21.939189189189594</v>
          </cell>
          <cell r="G1183">
            <v>13.506756756756834</v>
          </cell>
          <cell r="H1183">
            <v>13.506756756756834</v>
          </cell>
          <cell r="I1183" t="e">
            <v>#N/A</v>
          </cell>
          <cell r="J1183" t="e">
            <v>#N/A</v>
          </cell>
          <cell r="K1183">
            <v>17.5</v>
          </cell>
          <cell r="L1183">
            <v>14</v>
          </cell>
          <cell r="M1183" t="e">
            <v>#N/A</v>
          </cell>
          <cell r="N1183">
            <v>16.5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16.5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-20.278378378378495</v>
          </cell>
          <cell r="F1184">
            <v>21.951351351351757</v>
          </cell>
          <cell r="G1184">
            <v>13.505405405405483</v>
          </cell>
          <cell r="H1184">
            <v>13.505405405405483</v>
          </cell>
          <cell r="I1184" t="e">
            <v>#N/A</v>
          </cell>
          <cell r="J1184" t="e">
            <v>#N/A</v>
          </cell>
          <cell r="K1184">
            <v>17.5</v>
          </cell>
          <cell r="L1184">
            <v>14</v>
          </cell>
          <cell r="M1184" t="e">
            <v>#N/A</v>
          </cell>
          <cell r="N1184">
            <v>16.5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16.5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-20.3337837837839</v>
          </cell>
          <cell r="F1185">
            <v>21.96351351351392</v>
          </cell>
          <cell r="G1185">
            <v>13.504054054054132</v>
          </cell>
          <cell r="H1185">
            <v>13.504054054054132</v>
          </cell>
          <cell r="I1185" t="e">
            <v>#N/A</v>
          </cell>
          <cell r="J1185" t="e">
            <v>#N/A</v>
          </cell>
          <cell r="K1185">
            <v>17.5</v>
          </cell>
          <cell r="L1185">
            <v>14</v>
          </cell>
          <cell r="M1185" t="e">
            <v>#N/A</v>
          </cell>
          <cell r="N1185">
            <v>16.5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16.5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-20.389189189189306</v>
          </cell>
          <cell r="F1186">
            <v>21.975675675676083</v>
          </cell>
          <cell r="G1186">
            <v>13.502702702702781</v>
          </cell>
          <cell r="H1186">
            <v>13.502702702702781</v>
          </cell>
          <cell r="I1186" t="e">
            <v>#N/A</v>
          </cell>
          <cell r="J1186" t="e">
            <v>#N/A</v>
          </cell>
          <cell r="K1186">
            <v>17.5</v>
          </cell>
          <cell r="L1186">
            <v>14</v>
          </cell>
          <cell r="M1186" t="e">
            <v>#N/A</v>
          </cell>
          <cell r="N1186">
            <v>16.5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16.5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-20.444594594594712</v>
          </cell>
          <cell r="F1187">
            <v>21.987837837838246</v>
          </cell>
          <cell r="G1187">
            <v>13.501351351351429</v>
          </cell>
          <cell r="H1187">
            <v>13.501351351351429</v>
          </cell>
          <cell r="I1187" t="e">
            <v>#N/A</v>
          </cell>
          <cell r="J1187" t="e">
            <v>#N/A</v>
          </cell>
          <cell r="K1187">
            <v>17.5</v>
          </cell>
          <cell r="L1187">
            <v>14</v>
          </cell>
          <cell r="M1187" t="e">
            <v>#N/A</v>
          </cell>
          <cell r="N1187">
            <v>16.5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16.5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-20.500000000000117</v>
          </cell>
          <cell r="F1188">
            <v>22.000000000000409</v>
          </cell>
          <cell r="G1188">
            <v>13.500000000000078</v>
          </cell>
          <cell r="H1188">
            <v>13.500000000000078</v>
          </cell>
          <cell r="I1188" t="e">
            <v>#N/A</v>
          </cell>
          <cell r="J1188" t="e">
            <v>#N/A</v>
          </cell>
          <cell r="K1188">
            <v>17.5</v>
          </cell>
          <cell r="L1188">
            <v>14</v>
          </cell>
          <cell r="M1188" t="e">
            <v>#N/A</v>
          </cell>
          <cell r="N1188">
            <v>16.5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16.5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-20.555405405405523</v>
          </cell>
          <cell r="F1189">
            <v>22.012162162162571</v>
          </cell>
          <cell r="G1189">
            <v>13.498648648648727</v>
          </cell>
          <cell r="H1189">
            <v>13.498648648648727</v>
          </cell>
          <cell r="I1189" t="e">
            <v>#N/A</v>
          </cell>
          <cell r="J1189" t="e">
            <v>#N/A</v>
          </cell>
          <cell r="K1189">
            <v>17.5</v>
          </cell>
          <cell r="L1189">
            <v>14</v>
          </cell>
          <cell r="M1189" t="e">
            <v>#N/A</v>
          </cell>
          <cell r="N1189">
            <v>16.5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16.5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-20.610810810810928</v>
          </cell>
          <cell r="F1190">
            <v>22.024324324324734</v>
          </cell>
          <cell r="G1190">
            <v>13.497297297297376</v>
          </cell>
          <cell r="H1190">
            <v>13.497297297297376</v>
          </cell>
          <cell r="I1190" t="e">
            <v>#N/A</v>
          </cell>
          <cell r="J1190" t="e">
            <v>#N/A</v>
          </cell>
          <cell r="K1190">
            <v>17.5</v>
          </cell>
          <cell r="L1190">
            <v>14</v>
          </cell>
          <cell r="M1190" t="e">
            <v>#N/A</v>
          </cell>
          <cell r="N1190">
            <v>16.5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16.5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-20.666216216216334</v>
          </cell>
          <cell r="F1191">
            <v>22.036486486486897</v>
          </cell>
          <cell r="G1191">
            <v>13.495945945946024</v>
          </cell>
          <cell r="H1191">
            <v>13.495945945946024</v>
          </cell>
          <cell r="I1191" t="e">
            <v>#N/A</v>
          </cell>
          <cell r="J1191" t="e">
            <v>#N/A</v>
          </cell>
          <cell r="K1191">
            <v>17.5</v>
          </cell>
          <cell r="L1191">
            <v>14</v>
          </cell>
          <cell r="M1191" t="e">
            <v>#N/A</v>
          </cell>
          <cell r="N1191">
            <v>16.5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16.5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-20.72162162162174</v>
          </cell>
          <cell r="F1192">
            <v>22.04864864864906</v>
          </cell>
          <cell r="G1192">
            <v>13.494594594594673</v>
          </cell>
          <cell r="H1192">
            <v>13.494594594594673</v>
          </cell>
          <cell r="I1192" t="e">
            <v>#N/A</v>
          </cell>
          <cell r="J1192" t="e">
            <v>#N/A</v>
          </cell>
          <cell r="K1192">
            <v>17.5</v>
          </cell>
          <cell r="L1192">
            <v>14</v>
          </cell>
          <cell r="M1192" t="e">
            <v>#N/A</v>
          </cell>
          <cell r="N1192">
            <v>16.5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16.5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-20.777027027027145</v>
          </cell>
          <cell r="F1193">
            <v>22.060810810811223</v>
          </cell>
          <cell r="G1193">
            <v>13.493243243243322</v>
          </cell>
          <cell r="H1193">
            <v>13.493243243243322</v>
          </cell>
          <cell r="I1193" t="e">
            <v>#N/A</v>
          </cell>
          <cell r="J1193" t="e">
            <v>#N/A</v>
          </cell>
          <cell r="K1193">
            <v>17.5</v>
          </cell>
          <cell r="L1193">
            <v>14</v>
          </cell>
          <cell r="M1193" t="e">
            <v>#N/A</v>
          </cell>
          <cell r="N1193">
            <v>16.5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16.5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-20.832432432432551</v>
          </cell>
          <cell r="F1194">
            <v>22.072972972973385</v>
          </cell>
          <cell r="G1194">
            <v>13.491891891891971</v>
          </cell>
          <cell r="H1194">
            <v>13.491891891891971</v>
          </cell>
          <cell r="I1194" t="e">
            <v>#N/A</v>
          </cell>
          <cell r="J1194" t="e">
            <v>#N/A</v>
          </cell>
          <cell r="K1194">
            <v>17.5</v>
          </cell>
          <cell r="L1194">
            <v>14</v>
          </cell>
          <cell r="M1194" t="e">
            <v>#N/A</v>
          </cell>
          <cell r="N1194">
            <v>16.5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16.5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-20.887837837837957</v>
          </cell>
          <cell r="F1195">
            <v>22.085135135135548</v>
          </cell>
          <cell r="G1195">
            <v>13.49054054054062</v>
          </cell>
          <cell r="H1195">
            <v>13.49054054054062</v>
          </cell>
          <cell r="I1195" t="e">
            <v>#N/A</v>
          </cell>
          <cell r="J1195" t="e">
            <v>#N/A</v>
          </cell>
          <cell r="K1195">
            <v>17.5</v>
          </cell>
          <cell r="L1195">
            <v>14</v>
          </cell>
          <cell r="M1195" t="e">
            <v>#N/A</v>
          </cell>
          <cell r="N1195">
            <v>16.5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16.5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-20.943243243243362</v>
          </cell>
          <cell r="F1196">
            <v>22.097297297297711</v>
          </cell>
          <cell r="G1196">
            <v>13.489189189189268</v>
          </cell>
          <cell r="H1196">
            <v>13.489189189189268</v>
          </cell>
          <cell r="I1196" t="e">
            <v>#N/A</v>
          </cell>
          <cell r="J1196" t="e">
            <v>#N/A</v>
          </cell>
          <cell r="K1196">
            <v>17.5</v>
          </cell>
          <cell r="L1196">
            <v>14</v>
          </cell>
          <cell r="M1196" t="e">
            <v>#N/A</v>
          </cell>
          <cell r="N1196">
            <v>16.5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16.5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-20.998648648648768</v>
          </cell>
          <cell r="F1197">
            <v>22.109459459459874</v>
          </cell>
          <cell r="G1197">
            <v>13.487837837837917</v>
          </cell>
          <cell r="H1197">
            <v>13.487837837837917</v>
          </cell>
          <cell r="I1197" t="e">
            <v>#N/A</v>
          </cell>
          <cell r="J1197" t="e">
            <v>#N/A</v>
          </cell>
          <cell r="K1197">
            <v>17.5</v>
          </cell>
          <cell r="L1197">
            <v>14</v>
          </cell>
          <cell r="M1197" t="e">
            <v>#N/A</v>
          </cell>
          <cell r="N1197">
            <v>16.5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16.5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-21.054054054054173</v>
          </cell>
          <cell r="F1198">
            <v>22.121621621622037</v>
          </cell>
          <cell r="G1198">
            <v>13.486486486486566</v>
          </cell>
          <cell r="H1198">
            <v>13.486486486486566</v>
          </cell>
          <cell r="I1198" t="e">
            <v>#N/A</v>
          </cell>
          <cell r="J1198" t="e">
            <v>#N/A</v>
          </cell>
          <cell r="K1198">
            <v>17.5</v>
          </cell>
          <cell r="L1198">
            <v>14</v>
          </cell>
          <cell r="M1198" t="e">
            <v>#N/A</v>
          </cell>
          <cell r="N1198">
            <v>16.5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16.5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-21.109459459459579</v>
          </cell>
          <cell r="F1199">
            <v>22.1337837837842</v>
          </cell>
          <cell r="G1199">
            <v>13.485135135135215</v>
          </cell>
          <cell r="H1199">
            <v>13.485135135135215</v>
          </cell>
          <cell r="I1199" t="e">
            <v>#N/A</v>
          </cell>
          <cell r="J1199" t="e">
            <v>#N/A</v>
          </cell>
          <cell r="K1199">
            <v>17.5</v>
          </cell>
          <cell r="L1199">
            <v>14</v>
          </cell>
          <cell r="M1199" t="e">
            <v>#N/A</v>
          </cell>
          <cell r="N1199">
            <v>16.5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16.5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-21.164864864864985</v>
          </cell>
          <cell r="F1200">
            <v>22.145945945946362</v>
          </cell>
          <cell r="G1200">
            <v>13.483783783783863</v>
          </cell>
          <cell r="H1200">
            <v>13.483783783783863</v>
          </cell>
          <cell r="I1200" t="e">
            <v>#N/A</v>
          </cell>
          <cell r="J1200" t="e">
            <v>#N/A</v>
          </cell>
          <cell r="K1200">
            <v>17.5</v>
          </cell>
          <cell r="L1200">
            <v>14</v>
          </cell>
          <cell r="M1200" t="e">
            <v>#N/A</v>
          </cell>
          <cell r="N1200">
            <v>16.5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16.5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-21.22027027027039</v>
          </cell>
          <cell r="F1201">
            <v>22.158108108108525</v>
          </cell>
          <cell r="G1201">
            <v>13.482432432432512</v>
          </cell>
          <cell r="H1201">
            <v>13.482432432432512</v>
          </cell>
          <cell r="I1201" t="e">
            <v>#N/A</v>
          </cell>
          <cell r="J1201" t="e">
            <v>#N/A</v>
          </cell>
          <cell r="K1201">
            <v>17.5</v>
          </cell>
          <cell r="L1201">
            <v>14</v>
          </cell>
          <cell r="M1201" t="e">
            <v>#N/A</v>
          </cell>
          <cell r="N1201">
            <v>16.5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16.5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-21.275675675675796</v>
          </cell>
          <cell r="F1202">
            <v>22.170270270270688</v>
          </cell>
          <cell r="G1202">
            <v>13.481081081081161</v>
          </cell>
          <cell r="H1202">
            <v>13.481081081081161</v>
          </cell>
          <cell r="I1202" t="e">
            <v>#N/A</v>
          </cell>
          <cell r="J1202" t="e">
            <v>#N/A</v>
          </cell>
          <cell r="K1202">
            <v>17.5</v>
          </cell>
          <cell r="L1202">
            <v>14</v>
          </cell>
          <cell r="M1202" t="e">
            <v>#N/A</v>
          </cell>
          <cell r="N1202">
            <v>16.5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16.5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-21.331081081081201</v>
          </cell>
          <cell r="F1203">
            <v>22.182432432432851</v>
          </cell>
          <cell r="G1203">
            <v>13.47972972972981</v>
          </cell>
          <cell r="H1203">
            <v>13.47972972972981</v>
          </cell>
          <cell r="I1203" t="e">
            <v>#N/A</v>
          </cell>
          <cell r="J1203" t="e">
            <v>#N/A</v>
          </cell>
          <cell r="K1203">
            <v>17.5</v>
          </cell>
          <cell r="L1203">
            <v>14</v>
          </cell>
          <cell r="M1203" t="e">
            <v>#N/A</v>
          </cell>
          <cell r="N1203">
            <v>16.5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16.5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-21.386486486486607</v>
          </cell>
          <cell r="F1204">
            <v>22.194594594595014</v>
          </cell>
          <cell r="G1204">
            <v>13.478378378378459</v>
          </cell>
          <cell r="H1204">
            <v>13.478378378378459</v>
          </cell>
          <cell r="I1204" t="e">
            <v>#N/A</v>
          </cell>
          <cell r="J1204" t="e">
            <v>#N/A</v>
          </cell>
          <cell r="K1204">
            <v>17.5</v>
          </cell>
          <cell r="L1204">
            <v>14</v>
          </cell>
          <cell r="M1204" t="e">
            <v>#N/A</v>
          </cell>
          <cell r="N1204">
            <v>16.5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16.5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-21.441891891892013</v>
          </cell>
          <cell r="F1205">
            <v>22.206756756757176</v>
          </cell>
          <cell r="G1205">
            <v>13.477027027027107</v>
          </cell>
          <cell r="H1205">
            <v>13.477027027027107</v>
          </cell>
          <cell r="I1205" t="e">
            <v>#N/A</v>
          </cell>
          <cell r="J1205" t="e">
            <v>#N/A</v>
          </cell>
          <cell r="K1205">
            <v>17.5</v>
          </cell>
          <cell r="L1205">
            <v>14</v>
          </cell>
          <cell r="M1205" t="e">
            <v>#N/A</v>
          </cell>
          <cell r="N1205">
            <v>16.5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16.5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-21.497297297297418</v>
          </cell>
          <cell r="F1206">
            <v>22.218918918919339</v>
          </cell>
          <cell r="G1206">
            <v>13.475675675675756</v>
          </cell>
          <cell r="H1206">
            <v>13.475675675675756</v>
          </cell>
          <cell r="I1206" t="e">
            <v>#N/A</v>
          </cell>
          <cell r="J1206" t="e">
            <v>#N/A</v>
          </cell>
          <cell r="K1206">
            <v>17.5</v>
          </cell>
          <cell r="L1206">
            <v>14</v>
          </cell>
          <cell r="M1206" t="e">
            <v>#N/A</v>
          </cell>
          <cell r="N1206">
            <v>16.5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16.5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-21.552702702702824</v>
          </cell>
          <cell r="F1207">
            <v>22.231081081081502</v>
          </cell>
          <cell r="G1207">
            <v>13.474324324324405</v>
          </cell>
          <cell r="H1207">
            <v>13.474324324324405</v>
          </cell>
          <cell r="I1207" t="e">
            <v>#N/A</v>
          </cell>
          <cell r="J1207" t="e">
            <v>#N/A</v>
          </cell>
          <cell r="K1207">
            <v>17.5</v>
          </cell>
          <cell r="L1207">
            <v>14</v>
          </cell>
          <cell r="M1207" t="e">
            <v>#N/A</v>
          </cell>
          <cell r="N1207">
            <v>16.5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16.5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-21.60810810810823</v>
          </cell>
          <cell r="F1208">
            <v>22.243243243243665</v>
          </cell>
          <cell r="G1208">
            <v>13.472972972973054</v>
          </cell>
          <cell r="H1208">
            <v>13.472972972973054</v>
          </cell>
          <cell r="I1208" t="e">
            <v>#N/A</v>
          </cell>
          <cell r="J1208" t="e">
            <v>#N/A</v>
          </cell>
          <cell r="K1208">
            <v>17.5</v>
          </cell>
          <cell r="L1208">
            <v>14</v>
          </cell>
          <cell r="M1208" t="e">
            <v>#N/A</v>
          </cell>
          <cell r="N1208">
            <v>16.5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16.5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-21.663513513513635</v>
          </cell>
          <cell r="F1209">
            <v>22.255405405405828</v>
          </cell>
          <cell r="G1209">
            <v>13.471621621621702</v>
          </cell>
          <cell r="H1209">
            <v>13.471621621621702</v>
          </cell>
          <cell r="I1209" t="e">
            <v>#N/A</v>
          </cell>
          <cell r="J1209" t="e">
            <v>#N/A</v>
          </cell>
          <cell r="K1209">
            <v>17.5</v>
          </cell>
          <cell r="L1209">
            <v>14</v>
          </cell>
          <cell r="M1209" t="e">
            <v>#N/A</v>
          </cell>
          <cell r="N1209">
            <v>16.5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16.5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-21.718918918919041</v>
          </cell>
          <cell r="F1210">
            <v>22.26756756756799</v>
          </cell>
          <cell r="G1210">
            <v>13.470270270270351</v>
          </cell>
          <cell r="H1210">
            <v>13.470270270270351</v>
          </cell>
          <cell r="I1210" t="e">
            <v>#N/A</v>
          </cell>
          <cell r="J1210" t="e">
            <v>#N/A</v>
          </cell>
          <cell r="K1210">
            <v>17.5</v>
          </cell>
          <cell r="L1210">
            <v>14</v>
          </cell>
          <cell r="M1210" t="e">
            <v>#N/A</v>
          </cell>
          <cell r="N1210">
            <v>16.5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16.5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-21.774324324324446</v>
          </cell>
          <cell r="F1211">
            <v>22.279729729730153</v>
          </cell>
          <cell r="G1211">
            <v>13.468918918919</v>
          </cell>
          <cell r="H1211">
            <v>13.468918918919</v>
          </cell>
          <cell r="I1211" t="e">
            <v>#N/A</v>
          </cell>
          <cell r="J1211" t="e">
            <v>#N/A</v>
          </cell>
          <cell r="K1211">
            <v>17.5</v>
          </cell>
          <cell r="L1211">
            <v>14</v>
          </cell>
          <cell r="M1211" t="e">
            <v>#N/A</v>
          </cell>
          <cell r="N1211">
            <v>16.5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16.5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-21.829729729729852</v>
          </cell>
          <cell r="F1212">
            <v>22.291891891892316</v>
          </cell>
          <cell r="G1212">
            <v>13.467567567567649</v>
          </cell>
          <cell r="H1212">
            <v>13.467567567567649</v>
          </cell>
          <cell r="I1212" t="e">
            <v>#N/A</v>
          </cell>
          <cell r="J1212" t="e">
            <v>#N/A</v>
          </cell>
          <cell r="K1212">
            <v>17.5</v>
          </cell>
          <cell r="L1212">
            <v>14</v>
          </cell>
          <cell r="M1212" t="e">
            <v>#N/A</v>
          </cell>
          <cell r="N1212">
            <v>16.5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16.5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-21.885135135135258</v>
          </cell>
          <cell r="F1213">
            <v>22.304054054054479</v>
          </cell>
          <cell r="G1213">
            <v>13.466216216216297</v>
          </cell>
          <cell r="H1213">
            <v>13.466216216216297</v>
          </cell>
          <cell r="I1213" t="e">
            <v>#N/A</v>
          </cell>
          <cell r="J1213" t="e">
            <v>#N/A</v>
          </cell>
          <cell r="K1213">
            <v>17.5</v>
          </cell>
          <cell r="L1213">
            <v>14</v>
          </cell>
          <cell r="M1213" t="e">
            <v>#N/A</v>
          </cell>
          <cell r="N1213">
            <v>16.5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16.5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-21.940540540540663</v>
          </cell>
          <cell r="F1214">
            <v>22.316216216216642</v>
          </cell>
          <cell r="G1214">
            <v>13.464864864864946</v>
          </cell>
          <cell r="H1214">
            <v>13.464864864864946</v>
          </cell>
          <cell r="I1214" t="e">
            <v>#N/A</v>
          </cell>
          <cell r="J1214" t="e">
            <v>#N/A</v>
          </cell>
          <cell r="K1214">
            <v>17.5</v>
          </cell>
          <cell r="L1214">
            <v>14</v>
          </cell>
          <cell r="M1214" t="e">
            <v>#N/A</v>
          </cell>
          <cell r="N1214">
            <v>16.5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16.5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-21.995945945946069</v>
          </cell>
          <cell r="F1215">
            <v>22.328378378378805</v>
          </cell>
          <cell r="G1215">
            <v>13.463513513513595</v>
          </cell>
          <cell r="H1215">
            <v>13.463513513513595</v>
          </cell>
          <cell r="I1215" t="e">
            <v>#N/A</v>
          </cell>
          <cell r="J1215" t="e">
            <v>#N/A</v>
          </cell>
          <cell r="K1215">
            <v>17.5</v>
          </cell>
          <cell r="L1215">
            <v>14</v>
          </cell>
          <cell r="M1215" t="e">
            <v>#N/A</v>
          </cell>
          <cell r="N1215">
            <v>16.5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16.5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-22.051351351351475</v>
          </cell>
          <cell r="F1216">
            <v>22.340540540540967</v>
          </cell>
          <cell r="G1216">
            <v>13.462162162162244</v>
          </cell>
          <cell r="H1216">
            <v>13.462162162162244</v>
          </cell>
          <cell r="I1216" t="e">
            <v>#N/A</v>
          </cell>
          <cell r="J1216" t="e">
            <v>#N/A</v>
          </cell>
          <cell r="K1216">
            <v>17.5</v>
          </cell>
          <cell r="L1216">
            <v>14</v>
          </cell>
          <cell r="M1216" t="e">
            <v>#N/A</v>
          </cell>
          <cell r="N1216">
            <v>16.5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16.5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-22.10675675675688</v>
          </cell>
          <cell r="F1217">
            <v>22.35270270270313</v>
          </cell>
          <cell r="G1217">
            <v>13.460810810810893</v>
          </cell>
          <cell r="H1217">
            <v>13.460810810810893</v>
          </cell>
          <cell r="I1217" t="e">
            <v>#N/A</v>
          </cell>
          <cell r="J1217" t="e">
            <v>#N/A</v>
          </cell>
          <cell r="K1217">
            <v>17.5</v>
          </cell>
          <cell r="L1217">
            <v>14</v>
          </cell>
          <cell r="M1217" t="e">
            <v>#N/A</v>
          </cell>
          <cell r="N1217">
            <v>16.5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16.5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-22.162162162162286</v>
          </cell>
          <cell r="F1218">
            <v>22.364864864865293</v>
          </cell>
          <cell r="G1218">
            <v>13.459459459459541</v>
          </cell>
          <cell r="H1218">
            <v>13.459459459459541</v>
          </cell>
          <cell r="I1218" t="e">
            <v>#N/A</v>
          </cell>
          <cell r="J1218" t="e">
            <v>#N/A</v>
          </cell>
          <cell r="K1218">
            <v>17.5</v>
          </cell>
          <cell r="L1218">
            <v>14</v>
          </cell>
          <cell r="M1218" t="e">
            <v>#N/A</v>
          </cell>
          <cell r="N1218">
            <v>16.5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16.5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-22.217567567567691</v>
          </cell>
          <cell r="F1219">
            <v>22.377027027027456</v>
          </cell>
          <cell r="G1219">
            <v>13.45810810810819</v>
          </cell>
          <cell r="H1219">
            <v>13.45810810810819</v>
          </cell>
          <cell r="I1219" t="e">
            <v>#N/A</v>
          </cell>
          <cell r="J1219" t="e">
            <v>#N/A</v>
          </cell>
          <cell r="K1219">
            <v>17.5</v>
          </cell>
          <cell r="L1219">
            <v>14</v>
          </cell>
          <cell r="M1219" t="e">
            <v>#N/A</v>
          </cell>
          <cell r="N1219">
            <v>16.5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16.5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-22.272972972973097</v>
          </cell>
          <cell r="F1220">
            <v>22.389189189189619</v>
          </cell>
          <cell r="G1220">
            <v>13.456756756756839</v>
          </cell>
          <cell r="H1220">
            <v>13.456756756756839</v>
          </cell>
          <cell r="I1220" t="e">
            <v>#N/A</v>
          </cell>
          <cell r="J1220" t="e">
            <v>#N/A</v>
          </cell>
          <cell r="K1220">
            <v>17.5</v>
          </cell>
          <cell r="L1220">
            <v>14</v>
          </cell>
          <cell r="M1220" t="e">
            <v>#N/A</v>
          </cell>
          <cell r="N1220">
            <v>16.5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16.5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-22.328378378378503</v>
          </cell>
          <cell r="F1221">
            <v>22.401351351351781</v>
          </cell>
          <cell r="G1221">
            <v>13.455405405405488</v>
          </cell>
          <cell r="H1221">
            <v>13.455405405405488</v>
          </cell>
          <cell r="I1221" t="e">
            <v>#N/A</v>
          </cell>
          <cell r="J1221" t="e">
            <v>#N/A</v>
          </cell>
          <cell r="K1221">
            <v>17.5</v>
          </cell>
          <cell r="L1221">
            <v>14</v>
          </cell>
          <cell r="M1221" t="e">
            <v>#N/A</v>
          </cell>
          <cell r="N1221">
            <v>16.5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16.5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-22.383783783783908</v>
          </cell>
          <cell r="F1222">
            <v>22.413513513513944</v>
          </cell>
          <cell r="G1222">
            <v>13.454054054054136</v>
          </cell>
          <cell r="H1222">
            <v>13.454054054054136</v>
          </cell>
          <cell r="I1222" t="e">
            <v>#N/A</v>
          </cell>
          <cell r="J1222" t="e">
            <v>#N/A</v>
          </cell>
          <cell r="K1222">
            <v>17.5</v>
          </cell>
          <cell r="L1222">
            <v>14</v>
          </cell>
          <cell r="M1222" t="e">
            <v>#N/A</v>
          </cell>
          <cell r="N1222">
            <v>16.5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16.5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-22.439189189189314</v>
          </cell>
          <cell r="F1223">
            <v>22.425675675676107</v>
          </cell>
          <cell r="G1223">
            <v>13.452702702702785</v>
          </cell>
          <cell r="H1223">
            <v>13.452702702702785</v>
          </cell>
          <cell r="I1223" t="e">
            <v>#N/A</v>
          </cell>
          <cell r="J1223" t="e">
            <v>#N/A</v>
          </cell>
          <cell r="K1223">
            <v>17.5</v>
          </cell>
          <cell r="L1223">
            <v>14</v>
          </cell>
          <cell r="M1223" t="e">
            <v>#N/A</v>
          </cell>
          <cell r="N1223">
            <v>16.5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16.5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-22.494594594594719</v>
          </cell>
          <cell r="F1224">
            <v>22.43783783783827</v>
          </cell>
          <cell r="G1224">
            <v>13.451351351351434</v>
          </cell>
          <cell r="H1224">
            <v>13.451351351351434</v>
          </cell>
          <cell r="I1224" t="e">
            <v>#N/A</v>
          </cell>
          <cell r="J1224" t="e">
            <v>#N/A</v>
          </cell>
          <cell r="K1224">
            <v>17.5</v>
          </cell>
          <cell r="L1224">
            <v>14</v>
          </cell>
          <cell r="M1224" t="e">
            <v>#N/A</v>
          </cell>
          <cell r="N1224">
            <v>16.5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16.5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-22.550000000000125</v>
          </cell>
          <cell r="F1225">
            <v>22.450000000000433</v>
          </cell>
          <cell r="G1225">
            <v>13.450000000000083</v>
          </cell>
          <cell r="H1225">
            <v>13.450000000000083</v>
          </cell>
          <cell r="I1225" t="e">
            <v>#N/A</v>
          </cell>
          <cell r="J1225" t="e">
            <v>#N/A</v>
          </cell>
          <cell r="K1225">
            <v>17.5</v>
          </cell>
          <cell r="L1225">
            <v>14</v>
          </cell>
          <cell r="M1225" t="e">
            <v>#N/A</v>
          </cell>
          <cell r="N1225">
            <v>16.5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16.5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-22.605405405405531</v>
          </cell>
          <cell r="F1226">
            <v>22.462162162162596</v>
          </cell>
          <cell r="G1226">
            <v>13.448648648648732</v>
          </cell>
          <cell r="H1226">
            <v>13.448648648648732</v>
          </cell>
          <cell r="I1226" t="e">
            <v>#N/A</v>
          </cell>
          <cell r="J1226" t="e">
            <v>#N/A</v>
          </cell>
          <cell r="K1226">
            <v>17.5</v>
          </cell>
          <cell r="L1226">
            <v>14</v>
          </cell>
          <cell r="M1226" t="e">
            <v>#N/A</v>
          </cell>
          <cell r="N1226">
            <v>16.5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16.5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-22.660810810810936</v>
          </cell>
          <cell r="F1227">
            <v>22.474324324324758</v>
          </cell>
          <cell r="G1227">
            <v>13.44729729729738</v>
          </cell>
          <cell r="H1227">
            <v>13.44729729729738</v>
          </cell>
          <cell r="I1227" t="e">
            <v>#N/A</v>
          </cell>
          <cell r="J1227" t="e">
            <v>#N/A</v>
          </cell>
          <cell r="K1227">
            <v>17.5</v>
          </cell>
          <cell r="L1227">
            <v>14</v>
          </cell>
          <cell r="M1227" t="e">
            <v>#N/A</v>
          </cell>
          <cell r="N1227">
            <v>16.5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16.5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-22.716216216216342</v>
          </cell>
          <cell r="F1228">
            <v>22.486486486486921</v>
          </cell>
          <cell r="G1228">
            <v>13.445945945946029</v>
          </cell>
          <cell r="H1228">
            <v>13.445945945946029</v>
          </cell>
          <cell r="I1228" t="e">
            <v>#N/A</v>
          </cell>
          <cell r="J1228" t="e">
            <v>#N/A</v>
          </cell>
          <cell r="K1228">
            <v>17.5</v>
          </cell>
          <cell r="L1228">
            <v>14</v>
          </cell>
          <cell r="M1228" t="e">
            <v>#N/A</v>
          </cell>
          <cell r="N1228">
            <v>16.5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16.5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-22.771621621621748</v>
          </cell>
          <cell r="F1229">
            <v>22.498648648649084</v>
          </cell>
          <cell r="G1229">
            <v>13.444594594594678</v>
          </cell>
          <cell r="H1229">
            <v>13.444594594594678</v>
          </cell>
          <cell r="I1229" t="e">
            <v>#N/A</v>
          </cell>
          <cell r="J1229" t="e">
            <v>#N/A</v>
          </cell>
          <cell r="K1229">
            <v>17.5</v>
          </cell>
          <cell r="L1229">
            <v>14</v>
          </cell>
          <cell r="M1229" t="e">
            <v>#N/A</v>
          </cell>
          <cell r="N1229">
            <v>16.5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16.5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-22.827027027027153</v>
          </cell>
          <cell r="F1230">
            <v>22.510810810811247</v>
          </cell>
          <cell r="G1230">
            <v>13.443243243243327</v>
          </cell>
          <cell r="H1230">
            <v>13.443243243243327</v>
          </cell>
          <cell r="I1230" t="e">
            <v>#N/A</v>
          </cell>
          <cell r="J1230" t="e">
            <v>#N/A</v>
          </cell>
          <cell r="K1230">
            <v>17.5</v>
          </cell>
          <cell r="L1230">
            <v>14</v>
          </cell>
          <cell r="M1230" t="e">
            <v>#N/A</v>
          </cell>
          <cell r="N1230">
            <v>16.5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16.5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-22.882432432432559</v>
          </cell>
          <cell r="F1231">
            <v>22.52297297297341</v>
          </cell>
          <cell r="G1231">
            <v>13.441891891891975</v>
          </cell>
          <cell r="H1231">
            <v>13.441891891891975</v>
          </cell>
          <cell r="I1231" t="e">
            <v>#N/A</v>
          </cell>
          <cell r="J1231" t="e">
            <v>#N/A</v>
          </cell>
          <cell r="K1231">
            <v>17.5</v>
          </cell>
          <cell r="L1231">
            <v>14</v>
          </cell>
          <cell r="M1231" t="e">
            <v>#N/A</v>
          </cell>
          <cell r="N1231">
            <v>16.5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16.5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-22.937837837837964</v>
          </cell>
          <cell r="F1232">
            <v>22.535135135135572</v>
          </cell>
          <cell r="G1232">
            <v>13.440540540540624</v>
          </cell>
          <cell r="H1232">
            <v>13.440540540540624</v>
          </cell>
          <cell r="I1232" t="e">
            <v>#N/A</v>
          </cell>
          <cell r="J1232" t="e">
            <v>#N/A</v>
          </cell>
          <cell r="K1232">
            <v>17.5</v>
          </cell>
          <cell r="L1232">
            <v>14</v>
          </cell>
          <cell r="M1232" t="e">
            <v>#N/A</v>
          </cell>
          <cell r="N1232">
            <v>16.5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16.5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-22.99324324324337</v>
          </cell>
          <cell r="F1233">
            <v>22.547297297297735</v>
          </cell>
          <cell r="G1233">
            <v>13.439189189189273</v>
          </cell>
          <cell r="H1233">
            <v>13.439189189189273</v>
          </cell>
          <cell r="I1233" t="e">
            <v>#N/A</v>
          </cell>
          <cell r="J1233" t="e">
            <v>#N/A</v>
          </cell>
          <cell r="K1233">
            <v>17.5</v>
          </cell>
          <cell r="L1233">
            <v>14</v>
          </cell>
          <cell r="M1233" t="e">
            <v>#N/A</v>
          </cell>
          <cell r="N1233">
            <v>16.5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16.5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-23.048648648648776</v>
          </cell>
          <cell r="F1234">
            <v>22.559459459459898</v>
          </cell>
          <cell r="G1234">
            <v>13.437837837837922</v>
          </cell>
          <cell r="H1234">
            <v>13.437837837837922</v>
          </cell>
          <cell r="I1234" t="e">
            <v>#N/A</v>
          </cell>
          <cell r="J1234" t="e">
            <v>#N/A</v>
          </cell>
          <cell r="K1234">
            <v>17.5</v>
          </cell>
          <cell r="L1234">
            <v>14</v>
          </cell>
          <cell r="M1234" t="e">
            <v>#N/A</v>
          </cell>
          <cell r="N1234">
            <v>16.5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16.5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-23.104054054054181</v>
          </cell>
          <cell r="F1235">
            <v>22.571621621622061</v>
          </cell>
          <cell r="G1235">
            <v>13.436486486486571</v>
          </cell>
          <cell r="H1235">
            <v>13.436486486486571</v>
          </cell>
          <cell r="I1235" t="e">
            <v>#N/A</v>
          </cell>
          <cell r="J1235" t="e">
            <v>#N/A</v>
          </cell>
          <cell r="K1235">
            <v>17.5</v>
          </cell>
          <cell r="L1235">
            <v>14</v>
          </cell>
          <cell r="M1235" t="e">
            <v>#N/A</v>
          </cell>
          <cell r="N1235">
            <v>16.5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16.5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-23.159459459459587</v>
          </cell>
          <cell r="F1236">
            <v>22.583783783784224</v>
          </cell>
          <cell r="G1236">
            <v>13.435135135135219</v>
          </cell>
          <cell r="H1236">
            <v>13.435135135135219</v>
          </cell>
          <cell r="I1236" t="e">
            <v>#N/A</v>
          </cell>
          <cell r="J1236" t="e">
            <v>#N/A</v>
          </cell>
          <cell r="K1236">
            <v>17.5</v>
          </cell>
          <cell r="L1236">
            <v>14</v>
          </cell>
          <cell r="M1236" t="e">
            <v>#N/A</v>
          </cell>
          <cell r="N1236">
            <v>16.5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16.5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-23.214864864864992</v>
          </cell>
          <cell r="F1237">
            <v>22.595945945946387</v>
          </cell>
          <cell r="G1237">
            <v>13.433783783783868</v>
          </cell>
          <cell r="H1237">
            <v>13.433783783783868</v>
          </cell>
          <cell r="I1237" t="e">
            <v>#N/A</v>
          </cell>
          <cell r="J1237" t="e">
            <v>#N/A</v>
          </cell>
          <cell r="K1237">
            <v>17.5</v>
          </cell>
          <cell r="L1237">
            <v>14</v>
          </cell>
          <cell r="M1237" t="e">
            <v>#N/A</v>
          </cell>
          <cell r="N1237">
            <v>16.5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16.5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-23.270270270270398</v>
          </cell>
          <cell r="F1238">
            <v>22.608108108108549</v>
          </cell>
          <cell r="G1238">
            <v>13.432432432432517</v>
          </cell>
          <cell r="H1238">
            <v>13.432432432432517</v>
          </cell>
          <cell r="I1238" t="e">
            <v>#N/A</v>
          </cell>
          <cell r="J1238" t="e">
            <v>#N/A</v>
          </cell>
          <cell r="K1238">
            <v>17.5</v>
          </cell>
          <cell r="L1238">
            <v>14</v>
          </cell>
          <cell r="M1238" t="e">
            <v>#N/A</v>
          </cell>
          <cell r="N1238">
            <v>16.5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16.5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-23.325675675675804</v>
          </cell>
          <cell r="F1239">
            <v>22.620270270270712</v>
          </cell>
          <cell r="G1239">
            <v>13.431081081081166</v>
          </cell>
          <cell r="H1239">
            <v>13.431081081081166</v>
          </cell>
          <cell r="I1239" t="e">
            <v>#N/A</v>
          </cell>
          <cell r="J1239" t="e">
            <v>#N/A</v>
          </cell>
          <cell r="K1239">
            <v>17.5</v>
          </cell>
          <cell r="L1239">
            <v>14</v>
          </cell>
          <cell r="M1239" t="e">
            <v>#N/A</v>
          </cell>
          <cell r="N1239">
            <v>16.5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16.5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-23.381081081081209</v>
          </cell>
          <cell r="F1240">
            <v>22.632432432432875</v>
          </cell>
          <cell r="G1240">
            <v>13.429729729729814</v>
          </cell>
          <cell r="H1240">
            <v>13.429729729729814</v>
          </cell>
          <cell r="I1240" t="e">
            <v>#N/A</v>
          </cell>
          <cell r="J1240" t="e">
            <v>#N/A</v>
          </cell>
          <cell r="K1240">
            <v>17.5</v>
          </cell>
          <cell r="L1240">
            <v>14</v>
          </cell>
          <cell r="M1240" t="e">
            <v>#N/A</v>
          </cell>
          <cell r="N1240">
            <v>16.5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16.5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-23.436486486486615</v>
          </cell>
          <cell r="F1241">
            <v>22.644594594595038</v>
          </cell>
          <cell r="G1241">
            <v>13.428378378378463</v>
          </cell>
          <cell r="H1241">
            <v>13.428378378378463</v>
          </cell>
          <cell r="I1241" t="e">
            <v>#N/A</v>
          </cell>
          <cell r="J1241" t="e">
            <v>#N/A</v>
          </cell>
          <cell r="K1241">
            <v>17.5</v>
          </cell>
          <cell r="L1241">
            <v>14</v>
          </cell>
          <cell r="M1241" t="e">
            <v>#N/A</v>
          </cell>
          <cell r="N1241">
            <v>16.5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16.5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-23.491891891892021</v>
          </cell>
          <cell r="F1242">
            <v>22.656756756757201</v>
          </cell>
          <cell r="G1242">
            <v>13.427027027027112</v>
          </cell>
          <cell r="H1242">
            <v>13.427027027027112</v>
          </cell>
          <cell r="I1242" t="e">
            <v>#N/A</v>
          </cell>
          <cell r="J1242" t="e">
            <v>#N/A</v>
          </cell>
          <cell r="K1242">
            <v>17.5</v>
          </cell>
          <cell r="L1242">
            <v>14</v>
          </cell>
          <cell r="M1242" t="e">
            <v>#N/A</v>
          </cell>
          <cell r="N1242">
            <v>16.5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16.5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-23.547297297297426</v>
          </cell>
          <cell r="F1243">
            <v>22.668918918919363</v>
          </cell>
          <cell r="G1243">
            <v>13.425675675675761</v>
          </cell>
          <cell r="H1243">
            <v>13.425675675675761</v>
          </cell>
          <cell r="I1243" t="e">
            <v>#N/A</v>
          </cell>
          <cell r="J1243" t="e">
            <v>#N/A</v>
          </cell>
          <cell r="K1243">
            <v>17.5</v>
          </cell>
          <cell r="L1243">
            <v>14</v>
          </cell>
          <cell r="M1243" t="e">
            <v>#N/A</v>
          </cell>
          <cell r="N1243">
            <v>16.5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16.5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-23.602702702702832</v>
          </cell>
          <cell r="F1244">
            <v>22.681081081081526</v>
          </cell>
          <cell r="G1244">
            <v>13.424324324324409</v>
          </cell>
          <cell r="H1244">
            <v>13.424324324324409</v>
          </cell>
          <cell r="I1244" t="e">
            <v>#N/A</v>
          </cell>
          <cell r="J1244" t="e">
            <v>#N/A</v>
          </cell>
          <cell r="K1244">
            <v>17.5</v>
          </cell>
          <cell r="L1244">
            <v>14</v>
          </cell>
          <cell r="M1244" t="e">
            <v>#N/A</v>
          </cell>
          <cell r="N1244">
            <v>16.5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16.5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-23.658108108108237</v>
          </cell>
          <cell r="F1245">
            <v>22.693243243243689</v>
          </cell>
          <cell r="G1245">
            <v>13.422972972973058</v>
          </cell>
          <cell r="H1245">
            <v>13.422972972973058</v>
          </cell>
          <cell r="I1245" t="e">
            <v>#N/A</v>
          </cell>
          <cell r="J1245" t="e">
            <v>#N/A</v>
          </cell>
          <cell r="K1245">
            <v>17.5</v>
          </cell>
          <cell r="L1245">
            <v>14</v>
          </cell>
          <cell r="M1245" t="e">
            <v>#N/A</v>
          </cell>
          <cell r="N1245">
            <v>16.5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16.5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-23.713513513513643</v>
          </cell>
          <cell r="F1246">
            <v>22.705405405405852</v>
          </cell>
          <cell r="G1246">
            <v>13.421621621621707</v>
          </cell>
          <cell r="H1246">
            <v>13.421621621621707</v>
          </cell>
          <cell r="I1246" t="e">
            <v>#N/A</v>
          </cell>
          <cell r="J1246" t="e">
            <v>#N/A</v>
          </cell>
          <cell r="K1246">
            <v>17.5</v>
          </cell>
          <cell r="L1246">
            <v>14</v>
          </cell>
          <cell r="M1246" t="e">
            <v>#N/A</v>
          </cell>
          <cell r="N1246">
            <v>16.5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16.5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-23.768918918919049</v>
          </cell>
          <cell r="F1247">
            <v>22.717567567568015</v>
          </cell>
          <cell r="G1247">
            <v>13.420270270270356</v>
          </cell>
          <cell r="H1247">
            <v>13.420270270270356</v>
          </cell>
          <cell r="I1247" t="e">
            <v>#N/A</v>
          </cell>
          <cell r="J1247" t="e">
            <v>#N/A</v>
          </cell>
          <cell r="K1247">
            <v>17.5</v>
          </cell>
          <cell r="L1247">
            <v>14</v>
          </cell>
          <cell r="M1247" t="e">
            <v>#N/A</v>
          </cell>
          <cell r="N1247">
            <v>16.5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16.5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-23.824324324324454</v>
          </cell>
          <cell r="F1248">
            <v>22.729729729730177</v>
          </cell>
          <cell r="G1248">
            <v>13.418918918919005</v>
          </cell>
          <cell r="H1248">
            <v>13.418918918919005</v>
          </cell>
          <cell r="I1248" t="e">
            <v>#N/A</v>
          </cell>
          <cell r="J1248" t="e">
            <v>#N/A</v>
          </cell>
          <cell r="K1248">
            <v>17.5</v>
          </cell>
          <cell r="L1248">
            <v>14</v>
          </cell>
          <cell r="M1248" t="e">
            <v>#N/A</v>
          </cell>
          <cell r="N1248">
            <v>16.5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16.5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-23.87972972972986</v>
          </cell>
          <cell r="F1249">
            <v>22.74189189189234</v>
          </cell>
          <cell r="G1249">
            <v>13.417567567567653</v>
          </cell>
          <cell r="H1249">
            <v>13.417567567567653</v>
          </cell>
          <cell r="I1249" t="e">
            <v>#N/A</v>
          </cell>
          <cell r="J1249" t="e">
            <v>#N/A</v>
          </cell>
          <cell r="K1249">
            <v>17.5</v>
          </cell>
          <cell r="L1249">
            <v>14</v>
          </cell>
          <cell r="M1249" t="e">
            <v>#N/A</v>
          </cell>
          <cell r="N1249">
            <v>16.5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16.5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-23.935135135135265</v>
          </cell>
          <cell r="F1250">
            <v>22.754054054054503</v>
          </cell>
          <cell r="G1250">
            <v>13.416216216216302</v>
          </cell>
          <cell r="H1250">
            <v>13.416216216216302</v>
          </cell>
          <cell r="I1250" t="e">
            <v>#N/A</v>
          </cell>
          <cell r="J1250" t="e">
            <v>#N/A</v>
          </cell>
          <cell r="K1250">
            <v>17.5</v>
          </cell>
          <cell r="L1250">
            <v>14</v>
          </cell>
          <cell r="M1250" t="e">
            <v>#N/A</v>
          </cell>
          <cell r="N1250">
            <v>16.5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16.5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-23.990540540540671</v>
          </cell>
          <cell r="F1251">
            <v>22.766216216216666</v>
          </cell>
          <cell r="G1251">
            <v>13.414864864864951</v>
          </cell>
          <cell r="H1251">
            <v>13.414864864864951</v>
          </cell>
          <cell r="I1251" t="e">
            <v>#N/A</v>
          </cell>
          <cell r="J1251" t="e">
            <v>#N/A</v>
          </cell>
          <cell r="K1251">
            <v>17.5</v>
          </cell>
          <cell r="L1251">
            <v>14</v>
          </cell>
          <cell r="M1251" t="e">
            <v>#N/A</v>
          </cell>
          <cell r="N1251">
            <v>16.5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16.5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-24.045945945946077</v>
          </cell>
          <cell r="F1252">
            <v>22.778378378378829</v>
          </cell>
          <cell r="G1252">
            <v>13.4135135135136</v>
          </cell>
          <cell r="H1252">
            <v>13.4135135135136</v>
          </cell>
          <cell r="I1252" t="e">
            <v>#N/A</v>
          </cell>
          <cell r="J1252" t="e">
            <v>#N/A</v>
          </cell>
          <cell r="K1252">
            <v>17.5</v>
          </cell>
          <cell r="L1252">
            <v>14</v>
          </cell>
          <cell r="M1252" t="e">
            <v>#N/A</v>
          </cell>
          <cell r="N1252">
            <v>16.5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16.5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11" refreshError="1"/>
      <sheetData sheetId="12" refreshError="1"/>
      <sheetData sheetId="13" refreshError="1">
        <row r="1">
          <cell r="N1" t="str">
            <v>SmartCharts</v>
          </cell>
          <cell r="AW1" t="str">
            <v>.</v>
          </cell>
        </row>
        <row r="2">
          <cell r="AW2" t="str">
            <v>.</v>
          </cell>
        </row>
        <row r="3">
          <cell r="AW3" t="str">
            <v>.</v>
          </cell>
        </row>
        <row r="4">
          <cell r="AW4" t="str">
            <v>.</v>
          </cell>
        </row>
        <row r="5">
          <cell r="C5" t="str">
            <v>Define value axis here:</v>
          </cell>
        </row>
        <row r="6">
          <cell r="C6" t="str">
            <v>Capex ($mil)</v>
          </cell>
        </row>
        <row r="10">
          <cell r="C10" t="str">
            <v>Input your data here:</v>
          </cell>
          <cell r="AW10" t="str">
            <v>.</v>
          </cell>
        </row>
        <row r="11">
          <cell r="C11">
            <v>2009</v>
          </cell>
          <cell r="D11">
            <v>800.62199999999996</v>
          </cell>
        </row>
        <row r="12">
          <cell r="C12">
            <v>2010</v>
          </cell>
          <cell r="D12">
            <v>568.05700000000002</v>
          </cell>
          <cell r="AW12" t="str">
            <v>.</v>
          </cell>
        </row>
        <row r="13">
          <cell r="C13" t="str">
            <v>2011e</v>
          </cell>
          <cell r="D13">
            <v>488.18299999999999</v>
          </cell>
          <cell r="AW13" t="str">
            <v>.</v>
          </cell>
        </row>
        <row r="14">
          <cell r="C14" t="str">
            <v>2012e</v>
          </cell>
          <cell r="D14">
            <v>473.17525000000001</v>
          </cell>
          <cell r="AW14" t="str">
            <v>.</v>
          </cell>
        </row>
        <row r="15">
          <cell r="C15" t="str">
            <v>2013e</v>
          </cell>
          <cell r="D15">
            <v>411.15758333333338</v>
          </cell>
          <cell r="AW15" t="str">
            <v>.</v>
          </cell>
        </row>
        <row r="16">
          <cell r="C16" t="str">
            <v>2014e</v>
          </cell>
          <cell r="D16">
            <v>411.15758333333338</v>
          </cell>
          <cell r="AW16" t="str">
            <v>.</v>
          </cell>
        </row>
        <row r="17">
          <cell r="C17" t="str">
            <v>2015e</v>
          </cell>
          <cell r="D17">
            <v>411.15758333333338</v>
          </cell>
          <cell r="AW17" t="str">
            <v>.</v>
          </cell>
        </row>
        <row r="18">
          <cell r="AW18" t="str">
            <v>.</v>
          </cell>
        </row>
        <row r="19">
          <cell r="AW19" t="str">
            <v>.</v>
          </cell>
        </row>
        <row r="20">
          <cell r="AW20" t="str">
            <v>.</v>
          </cell>
        </row>
        <row r="21">
          <cell r="AW21" t="str">
            <v>.</v>
          </cell>
        </row>
        <row r="22">
          <cell r="AW22" t="str">
            <v>.</v>
          </cell>
        </row>
        <row r="23">
          <cell r="AW23" t="str">
            <v>.</v>
          </cell>
        </row>
        <row r="24">
          <cell r="AW24" t="str">
            <v>.</v>
          </cell>
        </row>
        <row r="25">
          <cell r="AW25" t="str">
            <v>.</v>
          </cell>
        </row>
        <row r="26">
          <cell r="AW26" t="str">
            <v>.</v>
          </cell>
        </row>
        <row r="27">
          <cell r="AW27" t="str">
            <v>.</v>
          </cell>
        </row>
        <row r="28">
          <cell r="AW28" t="str">
            <v>.</v>
          </cell>
        </row>
        <row r="29">
          <cell r="AW29" t="str">
            <v>.</v>
          </cell>
        </row>
        <row r="30">
          <cell r="AW30" t="str">
            <v>.</v>
          </cell>
        </row>
        <row r="31">
          <cell r="AW31" t="str">
            <v>.</v>
          </cell>
        </row>
        <row r="32">
          <cell r="AW32" t="str">
            <v>.</v>
          </cell>
        </row>
        <row r="33">
          <cell r="AW33" t="str">
            <v>.</v>
          </cell>
        </row>
        <row r="34">
          <cell r="AW34" t="str">
            <v>.</v>
          </cell>
        </row>
        <row r="35">
          <cell r="AW35" t="str">
            <v>.</v>
          </cell>
        </row>
        <row r="36">
          <cell r="AW36" t="str">
            <v>.</v>
          </cell>
        </row>
        <row r="37">
          <cell r="AW37" t="str">
            <v>.</v>
          </cell>
        </row>
        <row r="38">
          <cell r="AW38" t="str">
            <v>.</v>
          </cell>
        </row>
        <row r="39">
          <cell r="AW39" t="str">
            <v>.</v>
          </cell>
        </row>
        <row r="40">
          <cell r="AW40" t="str">
            <v>.</v>
          </cell>
        </row>
        <row r="41">
          <cell r="AW41" t="str">
            <v>.</v>
          </cell>
        </row>
        <row r="42">
          <cell r="AW42" t="str">
            <v>.</v>
          </cell>
        </row>
        <row r="43">
          <cell r="AW43" t="str">
            <v>.</v>
          </cell>
        </row>
        <row r="44">
          <cell r="AW44" t="str">
            <v>.</v>
          </cell>
        </row>
        <row r="45">
          <cell r="AW45" t="str">
            <v>.</v>
          </cell>
        </row>
        <row r="46">
          <cell r="AW46" t="str">
            <v>.</v>
          </cell>
        </row>
        <row r="47">
          <cell r="AW47" t="str">
            <v>.</v>
          </cell>
        </row>
        <row r="48">
          <cell r="AW48" t="str">
            <v>.</v>
          </cell>
        </row>
        <row r="49">
          <cell r="AW49" t="str">
            <v>.</v>
          </cell>
        </row>
        <row r="50">
          <cell r="AW50" t="str">
            <v>.</v>
          </cell>
        </row>
        <row r="51">
          <cell r="AW51" t="str">
            <v>.</v>
          </cell>
        </row>
        <row r="52">
          <cell r="AW52" t="str">
            <v>.</v>
          </cell>
        </row>
        <row r="53">
          <cell r="AW53" t="str">
            <v>.</v>
          </cell>
        </row>
        <row r="54">
          <cell r="AW54" t="str">
            <v>.</v>
          </cell>
        </row>
        <row r="55">
          <cell r="AW55" t="str">
            <v>.</v>
          </cell>
        </row>
        <row r="56">
          <cell r="AW56" t="str">
            <v>.</v>
          </cell>
        </row>
        <row r="57">
          <cell r="AW57" t="str">
            <v>.</v>
          </cell>
        </row>
        <row r="58">
          <cell r="AW58" t="str">
            <v>.</v>
          </cell>
        </row>
        <row r="59">
          <cell r="AW59" t="str">
            <v>.</v>
          </cell>
        </row>
        <row r="60">
          <cell r="AW60" t="str">
            <v>.</v>
          </cell>
        </row>
        <row r="61">
          <cell r="AW61" t="str">
            <v>.</v>
          </cell>
        </row>
        <row r="62">
          <cell r="AW62" t="str">
            <v>.</v>
          </cell>
        </row>
        <row r="63">
          <cell r="AW63" t="str">
            <v>.</v>
          </cell>
        </row>
        <row r="64">
          <cell r="AW64" t="str">
            <v>.</v>
          </cell>
        </row>
        <row r="65">
          <cell r="AW65" t="str">
            <v>.</v>
          </cell>
        </row>
        <row r="66">
          <cell r="AW66" t="str">
            <v>.</v>
          </cell>
        </row>
        <row r="67">
          <cell r="AW67" t="str">
            <v>.</v>
          </cell>
        </row>
        <row r="68">
          <cell r="AW68" t="str">
            <v>.</v>
          </cell>
        </row>
        <row r="69">
          <cell r="AW69" t="str">
            <v>.</v>
          </cell>
        </row>
        <row r="70">
          <cell r="AW70" t="str">
            <v>.</v>
          </cell>
        </row>
        <row r="71">
          <cell r="AW71" t="str">
            <v>.</v>
          </cell>
        </row>
        <row r="72">
          <cell r="AW72" t="str">
            <v>.</v>
          </cell>
        </row>
        <row r="73">
          <cell r="AW73" t="str">
            <v>.</v>
          </cell>
        </row>
        <row r="74">
          <cell r="AW74" t="str">
            <v>.</v>
          </cell>
        </row>
        <row r="75">
          <cell r="AW75" t="str">
            <v>.</v>
          </cell>
        </row>
        <row r="76">
          <cell r="AW76" t="str">
            <v>.</v>
          </cell>
        </row>
        <row r="77">
          <cell r="AW77" t="str">
            <v>.</v>
          </cell>
        </row>
        <row r="78">
          <cell r="AW78" t="str">
            <v>.</v>
          </cell>
        </row>
        <row r="79">
          <cell r="AW79" t="str">
            <v>.</v>
          </cell>
        </row>
        <row r="80">
          <cell r="AW80" t="str">
            <v>.</v>
          </cell>
        </row>
        <row r="81">
          <cell r="AW81" t="str">
            <v>.</v>
          </cell>
        </row>
        <row r="82">
          <cell r="AW82" t="str">
            <v>.</v>
          </cell>
        </row>
        <row r="83">
          <cell r="AW83" t="str">
            <v>.</v>
          </cell>
        </row>
        <row r="84">
          <cell r="AW84" t="str">
            <v>.</v>
          </cell>
        </row>
        <row r="85">
          <cell r="AW85" t="str">
            <v>.</v>
          </cell>
        </row>
        <row r="86">
          <cell r="AW86" t="str">
            <v>.</v>
          </cell>
        </row>
        <row r="87">
          <cell r="AW87" t="str">
            <v>.</v>
          </cell>
        </row>
        <row r="88">
          <cell r="AW88" t="str">
            <v>.</v>
          </cell>
        </row>
        <row r="89">
          <cell r="AW89" t="str">
            <v>.</v>
          </cell>
        </row>
        <row r="90">
          <cell r="AW90" t="str">
            <v>.</v>
          </cell>
        </row>
        <row r="91">
          <cell r="AW91" t="str">
            <v>.</v>
          </cell>
        </row>
        <row r="92">
          <cell r="AW92" t="str">
            <v>.</v>
          </cell>
        </row>
        <row r="93">
          <cell r="AW93" t="str">
            <v>.</v>
          </cell>
        </row>
        <row r="94">
          <cell r="AW94" t="str">
            <v>.</v>
          </cell>
        </row>
        <row r="95">
          <cell r="AW95" t="str">
            <v>.</v>
          </cell>
        </row>
        <row r="96">
          <cell r="AW96" t="str">
            <v>.</v>
          </cell>
        </row>
        <row r="97">
          <cell r="AW97" t="str">
            <v>.</v>
          </cell>
        </row>
        <row r="98">
          <cell r="AW98" t="str">
            <v>.</v>
          </cell>
        </row>
        <row r="99">
          <cell r="AW99" t="str">
            <v>.</v>
          </cell>
        </row>
        <row r="100">
          <cell r="AW100" t="str">
            <v>.</v>
          </cell>
        </row>
        <row r="101">
          <cell r="AW101" t="str">
            <v>.</v>
          </cell>
        </row>
        <row r="102">
          <cell r="AW102" t="str">
            <v>.</v>
          </cell>
        </row>
        <row r="103">
          <cell r="AW103" t="str">
            <v>.</v>
          </cell>
        </row>
        <row r="104">
          <cell r="AW104" t="str">
            <v>.</v>
          </cell>
        </row>
        <row r="105">
          <cell r="AW105" t="str">
            <v>.</v>
          </cell>
        </row>
        <row r="106">
          <cell r="AW106" t="str">
            <v>.</v>
          </cell>
        </row>
        <row r="107">
          <cell r="AW107" t="str">
            <v>.</v>
          </cell>
        </row>
        <row r="108">
          <cell r="AW108" t="str">
            <v>.</v>
          </cell>
        </row>
        <row r="109">
          <cell r="AW109" t="str">
            <v>.</v>
          </cell>
        </row>
        <row r="110">
          <cell r="AW110" t="str">
            <v>.</v>
          </cell>
        </row>
        <row r="111">
          <cell r="AW111" t="str">
            <v>.</v>
          </cell>
        </row>
        <row r="112">
          <cell r="AW112" t="str">
            <v>.</v>
          </cell>
        </row>
        <row r="113">
          <cell r="AW113" t="str">
            <v>.</v>
          </cell>
        </row>
        <row r="114">
          <cell r="AW114" t="str">
            <v>.</v>
          </cell>
        </row>
        <row r="115">
          <cell r="AW115" t="str">
            <v>.</v>
          </cell>
        </row>
        <row r="116">
          <cell r="AW116" t="str">
            <v>.</v>
          </cell>
        </row>
        <row r="117">
          <cell r="AW117" t="str">
            <v>.</v>
          </cell>
        </row>
        <row r="118">
          <cell r="AW118" t="str">
            <v>.</v>
          </cell>
        </row>
        <row r="119">
          <cell r="AW119" t="str">
            <v>.</v>
          </cell>
        </row>
        <row r="120">
          <cell r="AW120" t="str">
            <v>.</v>
          </cell>
        </row>
        <row r="121">
          <cell r="AW121" t="str">
            <v>.</v>
          </cell>
        </row>
        <row r="122">
          <cell r="AW122" t="str">
            <v>.</v>
          </cell>
        </row>
        <row r="123">
          <cell r="AW123" t="str">
            <v>.</v>
          </cell>
        </row>
        <row r="124">
          <cell r="AW124" t="str">
            <v>.</v>
          </cell>
        </row>
        <row r="125">
          <cell r="AW125" t="str">
            <v>.</v>
          </cell>
        </row>
        <row r="126">
          <cell r="AW126" t="str">
            <v>.</v>
          </cell>
        </row>
        <row r="127">
          <cell r="AW127" t="str">
            <v>.</v>
          </cell>
        </row>
        <row r="128">
          <cell r="AW128" t="str">
            <v>.</v>
          </cell>
        </row>
        <row r="129">
          <cell r="AW129" t="str">
            <v>.</v>
          </cell>
        </row>
        <row r="130">
          <cell r="AW130" t="str">
            <v>.</v>
          </cell>
        </row>
        <row r="131">
          <cell r="AW131" t="str">
            <v>.</v>
          </cell>
        </row>
        <row r="132">
          <cell r="AW132" t="str">
            <v>.</v>
          </cell>
        </row>
        <row r="133">
          <cell r="AW133" t="str">
            <v>.</v>
          </cell>
        </row>
        <row r="134">
          <cell r="AW134" t="str">
            <v>.</v>
          </cell>
        </row>
        <row r="135">
          <cell r="AW135" t="str">
            <v>.</v>
          </cell>
        </row>
        <row r="136">
          <cell r="AW136" t="str">
            <v>.</v>
          </cell>
        </row>
        <row r="137">
          <cell r="AW137" t="str">
            <v>.</v>
          </cell>
        </row>
        <row r="138">
          <cell r="AW138" t="str">
            <v>.</v>
          </cell>
        </row>
        <row r="139">
          <cell r="AW139" t="str">
            <v>.</v>
          </cell>
        </row>
        <row r="140">
          <cell r="AW140" t="str">
            <v>.</v>
          </cell>
        </row>
        <row r="141">
          <cell r="AW141" t="str">
            <v>.</v>
          </cell>
        </row>
        <row r="142">
          <cell r="AW142" t="str">
            <v>.</v>
          </cell>
        </row>
        <row r="143">
          <cell r="AW143" t="str">
            <v>.</v>
          </cell>
        </row>
        <row r="144">
          <cell r="AW144" t="str">
            <v>.</v>
          </cell>
        </row>
        <row r="145">
          <cell r="AW145" t="str">
            <v>.</v>
          </cell>
        </row>
        <row r="146">
          <cell r="AW146" t="str">
            <v>.</v>
          </cell>
        </row>
        <row r="147">
          <cell r="AW147" t="str">
            <v>.</v>
          </cell>
        </row>
        <row r="148">
          <cell r="AW148" t="str">
            <v>.</v>
          </cell>
        </row>
        <row r="149">
          <cell r="AW149" t="str">
            <v>.</v>
          </cell>
        </row>
        <row r="150">
          <cell r="AW150" t="str">
            <v>.</v>
          </cell>
        </row>
        <row r="151">
          <cell r="AW151" t="str">
            <v>.</v>
          </cell>
        </row>
        <row r="152">
          <cell r="AW152" t="str">
            <v>.</v>
          </cell>
        </row>
        <row r="153">
          <cell r="AW153" t="str">
            <v>.</v>
          </cell>
        </row>
        <row r="154">
          <cell r="AW154" t="str">
            <v>.</v>
          </cell>
        </row>
        <row r="155">
          <cell r="AW155" t="str">
            <v>.</v>
          </cell>
        </row>
        <row r="156">
          <cell r="AW156" t="str">
            <v>.</v>
          </cell>
        </row>
        <row r="157">
          <cell r="AW157" t="str">
            <v>.</v>
          </cell>
        </row>
        <row r="158">
          <cell r="AW158" t="str">
            <v>.</v>
          </cell>
        </row>
        <row r="159">
          <cell r="AW159" t="str">
            <v>.</v>
          </cell>
        </row>
        <row r="160">
          <cell r="AW160" t="str">
            <v>.</v>
          </cell>
        </row>
        <row r="161">
          <cell r="AW161" t="str">
            <v>.</v>
          </cell>
        </row>
        <row r="162">
          <cell r="AW162" t="str">
            <v>.</v>
          </cell>
        </row>
        <row r="163">
          <cell r="AW163" t="str">
            <v>.</v>
          </cell>
        </row>
        <row r="164">
          <cell r="AW164" t="str">
            <v>.</v>
          </cell>
        </row>
        <row r="165">
          <cell r="AW165" t="str">
            <v>.</v>
          </cell>
        </row>
        <row r="166">
          <cell r="AW166" t="str">
            <v>.</v>
          </cell>
        </row>
        <row r="167">
          <cell r="AW167" t="str">
            <v>.</v>
          </cell>
        </row>
        <row r="168">
          <cell r="AW168" t="str">
            <v>.</v>
          </cell>
        </row>
        <row r="169">
          <cell r="AW169" t="str">
            <v>.</v>
          </cell>
        </row>
        <row r="170">
          <cell r="AW170" t="str">
            <v>.</v>
          </cell>
        </row>
        <row r="171">
          <cell r="AW171" t="str">
            <v>.</v>
          </cell>
        </row>
        <row r="172">
          <cell r="AW172" t="str">
            <v>.</v>
          </cell>
        </row>
        <row r="173">
          <cell r="AW173" t="str">
            <v>.</v>
          </cell>
        </row>
        <row r="174">
          <cell r="AW174" t="str">
            <v>.</v>
          </cell>
        </row>
        <row r="175">
          <cell r="AW175" t="str">
            <v>.</v>
          </cell>
        </row>
        <row r="176">
          <cell r="AW176" t="str">
            <v>.</v>
          </cell>
        </row>
        <row r="177">
          <cell r="AW177" t="str">
            <v>.</v>
          </cell>
        </row>
        <row r="178">
          <cell r="AW178" t="str">
            <v>.</v>
          </cell>
        </row>
        <row r="179">
          <cell r="AW179" t="str">
            <v>.</v>
          </cell>
        </row>
        <row r="180">
          <cell r="AW180" t="str">
            <v>.</v>
          </cell>
        </row>
        <row r="181">
          <cell r="AW181" t="str">
            <v>.</v>
          </cell>
        </row>
        <row r="182">
          <cell r="AW182" t="str">
            <v>.</v>
          </cell>
        </row>
        <row r="183">
          <cell r="AW183" t="str">
            <v>.</v>
          </cell>
        </row>
        <row r="184">
          <cell r="AW184" t="str">
            <v>.</v>
          </cell>
        </row>
        <row r="185">
          <cell r="AW185" t="str">
            <v>.</v>
          </cell>
        </row>
        <row r="186">
          <cell r="AW186" t="str">
            <v>.</v>
          </cell>
        </row>
        <row r="187">
          <cell r="AW187" t="str">
            <v>.</v>
          </cell>
        </row>
        <row r="188">
          <cell r="AW188" t="str">
            <v>.</v>
          </cell>
        </row>
        <row r="189">
          <cell r="AW189" t="str">
            <v>.</v>
          </cell>
        </row>
        <row r="190">
          <cell r="AW190" t="str">
            <v>.</v>
          </cell>
        </row>
        <row r="191">
          <cell r="AW191" t="str">
            <v>.</v>
          </cell>
        </row>
        <row r="192">
          <cell r="AW192" t="str">
            <v>.</v>
          </cell>
        </row>
        <row r="193">
          <cell r="AW193" t="str">
            <v>.</v>
          </cell>
        </row>
        <row r="194">
          <cell r="AW194" t="str">
            <v>.</v>
          </cell>
        </row>
        <row r="195">
          <cell r="AW195" t="str">
            <v>.</v>
          </cell>
        </row>
        <row r="196">
          <cell r="AW196" t="str">
            <v>.</v>
          </cell>
        </row>
        <row r="197">
          <cell r="AW197" t="str">
            <v>.</v>
          </cell>
        </row>
        <row r="198">
          <cell r="AW198" t="str">
            <v>.</v>
          </cell>
        </row>
        <row r="199">
          <cell r="AW199" t="str">
            <v>.</v>
          </cell>
        </row>
        <row r="200">
          <cell r="AW200" t="str">
            <v>.</v>
          </cell>
        </row>
        <row r="201">
          <cell r="AW201" t="str">
            <v>.</v>
          </cell>
        </row>
        <row r="202">
          <cell r="AW202" t="str">
            <v>.</v>
          </cell>
        </row>
        <row r="203">
          <cell r="AW203" t="str">
            <v>.</v>
          </cell>
        </row>
        <row r="204">
          <cell r="AW204" t="str">
            <v>.</v>
          </cell>
        </row>
        <row r="205">
          <cell r="AW205" t="str">
            <v>.</v>
          </cell>
        </row>
        <row r="206">
          <cell r="AW206" t="str">
            <v>.</v>
          </cell>
        </row>
        <row r="207">
          <cell r="AW207" t="str">
            <v>.</v>
          </cell>
        </row>
        <row r="208">
          <cell r="AW208" t="str">
            <v>.</v>
          </cell>
        </row>
        <row r="209">
          <cell r="AW209" t="str">
            <v>.</v>
          </cell>
        </row>
        <row r="210">
          <cell r="AW210" t="str">
            <v>.</v>
          </cell>
        </row>
        <row r="211">
          <cell r="AW211" t="str">
            <v>.</v>
          </cell>
        </row>
        <row r="212">
          <cell r="AW212" t="str">
            <v>.</v>
          </cell>
        </row>
        <row r="213">
          <cell r="AW213" t="str">
            <v>.</v>
          </cell>
        </row>
        <row r="214">
          <cell r="AW214" t="str">
            <v>.</v>
          </cell>
        </row>
        <row r="215">
          <cell r="AW215" t="str">
            <v>.</v>
          </cell>
        </row>
        <row r="216">
          <cell r="AW216" t="str">
            <v>.</v>
          </cell>
        </row>
        <row r="217">
          <cell r="AW217" t="str">
            <v>.</v>
          </cell>
        </row>
        <row r="218">
          <cell r="AW218" t="str">
            <v>.</v>
          </cell>
        </row>
        <row r="219">
          <cell r="AW219" t="str">
            <v>.</v>
          </cell>
        </row>
        <row r="220">
          <cell r="AW220" t="str">
            <v>.</v>
          </cell>
        </row>
        <row r="221">
          <cell r="AW221" t="str">
            <v>.</v>
          </cell>
        </row>
        <row r="222">
          <cell r="AW222" t="str">
            <v>.</v>
          </cell>
        </row>
        <row r="223">
          <cell r="AW223" t="str">
            <v>.</v>
          </cell>
        </row>
        <row r="224">
          <cell r="AW224" t="str">
            <v>.</v>
          </cell>
        </row>
        <row r="225">
          <cell r="AW225" t="str">
            <v>.</v>
          </cell>
        </row>
        <row r="226">
          <cell r="AW226" t="str">
            <v>.</v>
          </cell>
        </row>
        <row r="227">
          <cell r="AW227" t="str">
            <v>.</v>
          </cell>
        </row>
        <row r="228">
          <cell r="AW228" t="str">
            <v>.</v>
          </cell>
        </row>
        <row r="229">
          <cell r="AW229" t="str">
            <v>.</v>
          </cell>
        </row>
        <row r="230">
          <cell r="AW230" t="str">
            <v>.</v>
          </cell>
        </row>
        <row r="231">
          <cell r="AW231" t="str">
            <v>.</v>
          </cell>
        </row>
        <row r="232">
          <cell r="AW232" t="str">
            <v>.</v>
          </cell>
        </row>
        <row r="233">
          <cell r="AW233" t="str">
            <v>.</v>
          </cell>
        </row>
        <row r="234">
          <cell r="AW234" t="str">
            <v>.</v>
          </cell>
        </row>
        <row r="235">
          <cell r="AW235" t="str">
            <v>.</v>
          </cell>
        </row>
        <row r="236">
          <cell r="AW236" t="str">
            <v>.</v>
          </cell>
        </row>
        <row r="237">
          <cell r="AW237" t="str">
            <v>.</v>
          </cell>
        </row>
        <row r="238">
          <cell r="AW238" t="str">
            <v>.</v>
          </cell>
        </row>
        <row r="239">
          <cell r="AW239" t="str">
            <v>.</v>
          </cell>
        </row>
        <row r="240">
          <cell r="AW240" t="str">
            <v>.</v>
          </cell>
        </row>
        <row r="241">
          <cell r="AW241" t="str">
            <v>.</v>
          </cell>
        </row>
        <row r="242">
          <cell r="AW242" t="str">
            <v>.</v>
          </cell>
        </row>
        <row r="243">
          <cell r="AW243" t="str">
            <v>.</v>
          </cell>
        </row>
        <row r="244">
          <cell r="AW244" t="str">
            <v>.</v>
          </cell>
        </row>
        <row r="245">
          <cell r="AW245" t="str">
            <v>.</v>
          </cell>
        </row>
        <row r="246">
          <cell r="AW246" t="str">
            <v>.</v>
          </cell>
        </row>
        <row r="247">
          <cell r="AW247" t="str">
            <v>.</v>
          </cell>
        </row>
        <row r="248">
          <cell r="AW248" t="str">
            <v>.</v>
          </cell>
        </row>
        <row r="249">
          <cell r="AW249" t="str">
            <v>.</v>
          </cell>
        </row>
        <row r="250">
          <cell r="AW250" t="str">
            <v>.</v>
          </cell>
        </row>
        <row r="251">
          <cell r="AW251" t="str">
            <v>.</v>
          </cell>
        </row>
        <row r="252">
          <cell r="AW252" t="str">
            <v>.</v>
          </cell>
        </row>
        <row r="253">
          <cell r="AW253" t="str">
            <v>.</v>
          </cell>
        </row>
        <row r="254">
          <cell r="AW254" t="str">
            <v>.</v>
          </cell>
        </row>
        <row r="255">
          <cell r="AW255" t="str">
            <v>.</v>
          </cell>
        </row>
        <row r="256">
          <cell r="AW256" t="str">
            <v>.</v>
          </cell>
        </row>
        <row r="257">
          <cell r="AW257" t="str">
            <v>.</v>
          </cell>
        </row>
        <row r="258">
          <cell r="AW258" t="str">
            <v>.</v>
          </cell>
        </row>
        <row r="259">
          <cell r="AW259" t="str">
            <v>.</v>
          </cell>
        </row>
        <row r="260">
          <cell r="AW260" t="str">
            <v>.</v>
          </cell>
        </row>
        <row r="261">
          <cell r="AW261" t="str">
            <v>.</v>
          </cell>
        </row>
        <row r="262">
          <cell r="AW262" t="str">
            <v>.</v>
          </cell>
        </row>
        <row r="263">
          <cell r="AW263" t="str">
            <v>.</v>
          </cell>
        </row>
        <row r="264">
          <cell r="AW264" t="str">
            <v>.</v>
          </cell>
        </row>
        <row r="265">
          <cell r="AW265" t="str">
            <v>.</v>
          </cell>
        </row>
        <row r="266">
          <cell r="AW266" t="str">
            <v>.</v>
          </cell>
        </row>
        <row r="267">
          <cell r="AW267" t="str">
            <v>.</v>
          </cell>
        </row>
        <row r="268">
          <cell r="AW268" t="str">
            <v>.</v>
          </cell>
        </row>
        <row r="269">
          <cell r="AW269" t="str">
            <v>.</v>
          </cell>
        </row>
        <row r="270">
          <cell r="AW270" t="str">
            <v>.</v>
          </cell>
        </row>
        <row r="271">
          <cell r="AW271" t="str">
            <v>.</v>
          </cell>
        </row>
        <row r="272">
          <cell r="AW272" t="str">
            <v>.</v>
          </cell>
        </row>
        <row r="273">
          <cell r="AW273" t="str">
            <v>.</v>
          </cell>
        </row>
        <row r="274">
          <cell r="AW274" t="str">
            <v>.</v>
          </cell>
        </row>
        <row r="275">
          <cell r="AW275" t="str">
            <v>.</v>
          </cell>
        </row>
        <row r="276">
          <cell r="AW276" t="str">
            <v>.</v>
          </cell>
        </row>
        <row r="277">
          <cell r="AW277" t="str">
            <v>.</v>
          </cell>
        </row>
        <row r="278">
          <cell r="AW278" t="str">
            <v>.</v>
          </cell>
        </row>
        <row r="279">
          <cell r="AW279" t="str">
            <v>.</v>
          </cell>
        </row>
        <row r="280">
          <cell r="AW280" t="str">
            <v>.</v>
          </cell>
        </row>
        <row r="281">
          <cell r="AW281" t="str">
            <v>.</v>
          </cell>
        </row>
        <row r="282">
          <cell r="AW282" t="str">
            <v>.</v>
          </cell>
        </row>
        <row r="283">
          <cell r="AW283" t="str">
            <v>.</v>
          </cell>
        </row>
        <row r="284">
          <cell r="AW284" t="str">
            <v>.</v>
          </cell>
        </row>
        <row r="285">
          <cell r="AW285" t="str">
            <v>.</v>
          </cell>
        </row>
        <row r="286">
          <cell r="AW286" t="str">
            <v>.</v>
          </cell>
        </row>
        <row r="287">
          <cell r="AW287" t="str">
            <v>.</v>
          </cell>
        </row>
        <row r="288">
          <cell r="AW288" t="str">
            <v>.</v>
          </cell>
        </row>
        <row r="289">
          <cell r="AW289" t="str">
            <v>.</v>
          </cell>
        </row>
        <row r="290">
          <cell r="AW290" t="str">
            <v>.</v>
          </cell>
        </row>
        <row r="291">
          <cell r="AW291" t="str">
            <v>.</v>
          </cell>
        </row>
        <row r="292">
          <cell r="AW292" t="str">
            <v>.</v>
          </cell>
        </row>
        <row r="293">
          <cell r="AW293" t="str">
            <v>.</v>
          </cell>
        </row>
        <row r="294">
          <cell r="AW294" t="str">
            <v>.</v>
          </cell>
        </row>
        <row r="295">
          <cell r="AW295" t="str">
            <v>.</v>
          </cell>
        </row>
        <row r="296">
          <cell r="AW296" t="str">
            <v>.</v>
          </cell>
        </row>
        <row r="297">
          <cell r="AW297" t="str">
            <v>.</v>
          </cell>
        </row>
        <row r="298">
          <cell r="AW298" t="str">
            <v>.</v>
          </cell>
        </row>
        <row r="299">
          <cell r="AW299" t="str">
            <v>.</v>
          </cell>
        </row>
        <row r="300">
          <cell r="AW300" t="str">
            <v>.</v>
          </cell>
        </row>
        <row r="301">
          <cell r="AW301" t="str">
            <v>.</v>
          </cell>
        </row>
        <row r="302">
          <cell r="AW302" t="str">
            <v>.</v>
          </cell>
        </row>
        <row r="303">
          <cell r="AW303" t="str">
            <v>.</v>
          </cell>
        </row>
        <row r="304">
          <cell r="AW304" t="str">
            <v>.</v>
          </cell>
        </row>
        <row r="305">
          <cell r="AW305" t="str">
            <v>.</v>
          </cell>
        </row>
        <row r="306">
          <cell r="AW306" t="str">
            <v>.</v>
          </cell>
        </row>
        <row r="307">
          <cell r="AW307" t="str">
            <v>.</v>
          </cell>
        </row>
        <row r="308">
          <cell r="AW308" t="str">
            <v>.</v>
          </cell>
        </row>
        <row r="309">
          <cell r="AW309" t="str">
            <v>.</v>
          </cell>
        </row>
        <row r="310">
          <cell r="AW310" t="str">
            <v>.</v>
          </cell>
        </row>
        <row r="311">
          <cell r="AW311" t="str">
            <v>.</v>
          </cell>
        </row>
        <row r="312">
          <cell r="AW312" t="str">
            <v>.</v>
          </cell>
        </row>
        <row r="313">
          <cell r="AW313" t="str">
            <v>.</v>
          </cell>
        </row>
        <row r="314">
          <cell r="AW314" t="str">
            <v>.</v>
          </cell>
        </row>
        <row r="315">
          <cell r="AW315" t="str">
            <v>.</v>
          </cell>
        </row>
        <row r="316">
          <cell r="AW316" t="str">
            <v>.</v>
          </cell>
        </row>
        <row r="317">
          <cell r="AW317" t="str">
            <v>.</v>
          </cell>
        </row>
        <row r="318">
          <cell r="AW318" t="str">
            <v>.</v>
          </cell>
        </row>
        <row r="319">
          <cell r="AW319" t="str">
            <v>.</v>
          </cell>
        </row>
        <row r="320">
          <cell r="AW320" t="str">
            <v>.</v>
          </cell>
        </row>
        <row r="321">
          <cell r="AW321" t="str">
            <v>.</v>
          </cell>
        </row>
        <row r="322">
          <cell r="AW322" t="str">
            <v>.</v>
          </cell>
        </row>
        <row r="323">
          <cell r="AW323" t="str">
            <v>.</v>
          </cell>
        </row>
        <row r="324">
          <cell r="AW324" t="str">
            <v>.</v>
          </cell>
        </row>
        <row r="325">
          <cell r="AW325" t="str">
            <v>.</v>
          </cell>
        </row>
        <row r="326">
          <cell r="AW326" t="str">
            <v>.</v>
          </cell>
        </row>
        <row r="327">
          <cell r="AW327" t="str">
            <v>.</v>
          </cell>
        </row>
        <row r="328">
          <cell r="AW328" t="str">
            <v>.</v>
          </cell>
        </row>
        <row r="329">
          <cell r="AW329" t="str">
            <v>.</v>
          </cell>
        </row>
        <row r="330">
          <cell r="AW330" t="str">
            <v>.</v>
          </cell>
        </row>
        <row r="331">
          <cell r="AW331" t="str">
            <v>.</v>
          </cell>
        </row>
        <row r="332">
          <cell r="AW332" t="str">
            <v>.</v>
          </cell>
        </row>
        <row r="333">
          <cell r="AW333" t="str">
            <v>.</v>
          </cell>
        </row>
        <row r="334">
          <cell r="AW334" t="str">
            <v>.</v>
          </cell>
        </row>
        <row r="335">
          <cell r="AW335" t="str">
            <v>.</v>
          </cell>
        </row>
        <row r="336">
          <cell r="AW336" t="str">
            <v>.</v>
          </cell>
        </row>
        <row r="337">
          <cell r="AW337" t="str">
            <v>.</v>
          </cell>
        </row>
        <row r="338">
          <cell r="AW338" t="str">
            <v>.</v>
          </cell>
        </row>
        <row r="339">
          <cell r="AW339" t="str">
            <v>.</v>
          </cell>
        </row>
        <row r="340">
          <cell r="AW340" t="str">
            <v>.</v>
          </cell>
        </row>
        <row r="341">
          <cell r="AW341" t="str">
            <v>.</v>
          </cell>
        </row>
        <row r="342">
          <cell r="AW342" t="str">
            <v>.</v>
          </cell>
        </row>
        <row r="343">
          <cell r="AW343" t="str">
            <v>.</v>
          </cell>
        </row>
        <row r="344">
          <cell r="AW344" t="str">
            <v>.</v>
          </cell>
        </row>
        <row r="345">
          <cell r="AW345" t="str">
            <v>.</v>
          </cell>
        </row>
        <row r="346">
          <cell r="AW346" t="str">
            <v>.</v>
          </cell>
        </row>
        <row r="347">
          <cell r="AW347" t="str">
            <v>.</v>
          </cell>
        </row>
        <row r="348">
          <cell r="AW348" t="str">
            <v>.</v>
          </cell>
        </row>
        <row r="349">
          <cell r="AW349" t="str">
            <v>.</v>
          </cell>
        </row>
        <row r="350">
          <cell r="AW350" t="str">
            <v>.</v>
          </cell>
        </row>
        <row r="351">
          <cell r="AW351" t="str">
            <v>.</v>
          </cell>
        </row>
        <row r="352">
          <cell r="AW352" t="str">
            <v>.</v>
          </cell>
        </row>
        <row r="353">
          <cell r="AW353" t="str">
            <v>.</v>
          </cell>
        </row>
        <row r="354">
          <cell r="AW354" t="str">
            <v>.</v>
          </cell>
        </row>
        <row r="355">
          <cell r="AW355" t="str">
            <v>.</v>
          </cell>
        </row>
        <row r="356">
          <cell r="AW356" t="str">
            <v>.</v>
          </cell>
        </row>
        <row r="357">
          <cell r="AW357" t="str">
            <v>.</v>
          </cell>
        </row>
        <row r="358">
          <cell r="AW358" t="str">
            <v>.</v>
          </cell>
        </row>
        <row r="359">
          <cell r="AW359" t="str">
            <v>.</v>
          </cell>
        </row>
        <row r="360">
          <cell r="AW360" t="str">
            <v>.</v>
          </cell>
        </row>
        <row r="361">
          <cell r="AW361" t="str">
            <v>.</v>
          </cell>
        </row>
        <row r="362">
          <cell r="AW362" t="str">
            <v>.</v>
          </cell>
        </row>
        <row r="363">
          <cell r="AW363" t="str">
            <v>.</v>
          </cell>
        </row>
        <row r="364">
          <cell r="AW364" t="str">
            <v>.</v>
          </cell>
        </row>
        <row r="365">
          <cell r="AW365" t="str">
            <v>.</v>
          </cell>
        </row>
        <row r="366">
          <cell r="AW366" t="str">
            <v>.</v>
          </cell>
        </row>
        <row r="367">
          <cell r="AW367" t="str">
            <v>.</v>
          </cell>
        </row>
        <row r="368">
          <cell r="AW368" t="str">
            <v>.</v>
          </cell>
        </row>
        <row r="369">
          <cell r="AW369" t="str">
            <v>.</v>
          </cell>
        </row>
        <row r="370">
          <cell r="AW370" t="str">
            <v>.</v>
          </cell>
        </row>
        <row r="371">
          <cell r="AW371" t="str">
            <v>.</v>
          </cell>
        </row>
        <row r="372">
          <cell r="AW372" t="str">
            <v>.</v>
          </cell>
        </row>
        <row r="373">
          <cell r="AW373" t="str">
            <v>.</v>
          </cell>
        </row>
        <row r="374">
          <cell r="AW374" t="str">
            <v>.</v>
          </cell>
        </row>
        <row r="375">
          <cell r="AW375" t="str">
            <v>.</v>
          </cell>
        </row>
        <row r="376">
          <cell r="AW376" t="str">
            <v>.</v>
          </cell>
        </row>
        <row r="377">
          <cell r="AW377" t="str">
            <v>.</v>
          </cell>
        </row>
        <row r="378">
          <cell r="AW378" t="str">
            <v>.</v>
          </cell>
        </row>
        <row r="379">
          <cell r="AW379" t="str">
            <v>.</v>
          </cell>
        </row>
        <row r="380">
          <cell r="AW380" t="str">
            <v>.</v>
          </cell>
        </row>
        <row r="381">
          <cell r="AW381" t="str">
            <v>.</v>
          </cell>
        </row>
        <row r="382">
          <cell r="AW382" t="str">
            <v>.</v>
          </cell>
        </row>
        <row r="383">
          <cell r="AW383" t="str">
            <v>.</v>
          </cell>
        </row>
        <row r="384">
          <cell r="AW384" t="str">
            <v>.</v>
          </cell>
        </row>
        <row r="385">
          <cell r="AW385" t="str">
            <v>.</v>
          </cell>
        </row>
        <row r="386">
          <cell r="AW386" t="str">
            <v>.</v>
          </cell>
        </row>
        <row r="387">
          <cell r="AW387" t="str">
            <v>.</v>
          </cell>
        </row>
        <row r="388">
          <cell r="AW388" t="str">
            <v>.</v>
          </cell>
        </row>
        <row r="389">
          <cell r="AW389" t="str">
            <v>.</v>
          </cell>
        </row>
        <row r="390">
          <cell r="AW390" t="str">
            <v>.</v>
          </cell>
        </row>
        <row r="391">
          <cell r="AW391" t="str">
            <v>.</v>
          </cell>
        </row>
        <row r="392">
          <cell r="AW392" t="str">
            <v>.</v>
          </cell>
        </row>
        <row r="393">
          <cell r="AW393" t="str">
            <v>.</v>
          </cell>
        </row>
        <row r="394">
          <cell r="AW394" t="str">
            <v>.</v>
          </cell>
        </row>
        <row r="395">
          <cell r="AW395" t="str">
            <v>.</v>
          </cell>
        </row>
        <row r="396">
          <cell r="AW396" t="str">
            <v>.</v>
          </cell>
        </row>
        <row r="397">
          <cell r="AW397" t="str">
            <v>.</v>
          </cell>
        </row>
        <row r="398">
          <cell r="AW398" t="str">
            <v>.</v>
          </cell>
        </row>
        <row r="399">
          <cell r="AW399" t="str">
            <v>.</v>
          </cell>
        </row>
        <row r="400">
          <cell r="AW400" t="str">
            <v>.</v>
          </cell>
        </row>
        <row r="401">
          <cell r="AW401" t="str">
            <v>.</v>
          </cell>
        </row>
        <row r="402">
          <cell r="AW402" t="str">
            <v>.</v>
          </cell>
        </row>
        <row r="403">
          <cell r="AW403" t="str">
            <v>.</v>
          </cell>
        </row>
        <row r="404">
          <cell r="AW404" t="str">
            <v>.</v>
          </cell>
        </row>
        <row r="405">
          <cell r="AW405" t="str">
            <v>.</v>
          </cell>
        </row>
        <row r="406">
          <cell r="AW406" t="str">
            <v>.</v>
          </cell>
        </row>
        <row r="407">
          <cell r="AW407" t="str">
            <v>.</v>
          </cell>
        </row>
        <row r="408">
          <cell r="AW408" t="str">
            <v>.</v>
          </cell>
        </row>
        <row r="409">
          <cell r="AW409" t="str">
            <v>.</v>
          </cell>
        </row>
        <row r="410">
          <cell r="AW410" t="str">
            <v>.</v>
          </cell>
        </row>
        <row r="411">
          <cell r="AW411" t="str">
            <v>.</v>
          </cell>
        </row>
        <row r="412">
          <cell r="AW412" t="str">
            <v>.</v>
          </cell>
        </row>
        <row r="413">
          <cell r="AW413" t="str">
            <v>.</v>
          </cell>
        </row>
        <row r="414">
          <cell r="AW414" t="str">
            <v>.</v>
          </cell>
        </row>
        <row r="415">
          <cell r="AW415" t="str">
            <v>.</v>
          </cell>
        </row>
        <row r="416">
          <cell r="AW416" t="str">
            <v>.</v>
          </cell>
        </row>
        <row r="417">
          <cell r="AW417" t="str">
            <v>.</v>
          </cell>
        </row>
        <row r="418">
          <cell r="AW418" t="str">
            <v>.</v>
          </cell>
        </row>
        <row r="419">
          <cell r="AW419" t="str">
            <v>.</v>
          </cell>
        </row>
        <row r="420">
          <cell r="AW420" t="str">
            <v>.</v>
          </cell>
        </row>
        <row r="421">
          <cell r="AW421" t="str">
            <v>.</v>
          </cell>
        </row>
        <row r="422">
          <cell r="AW422" t="str">
            <v>.</v>
          </cell>
        </row>
        <row r="423">
          <cell r="AW423" t="str">
            <v>.</v>
          </cell>
        </row>
        <row r="424">
          <cell r="AW424" t="str">
            <v>.</v>
          </cell>
        </row>
        <row r="425">
          <cell r="AW425" t="str">
            <v>.</v>
          </cell>
        </row>
        <row r="426">
          <cell r="AW426" t="str">
            <v>.</v>
          </cell>
        </row>
        <row r="427">
          <cell r="AW427" t="str">
            <v>.</v>
          </cell>
        </row>
        <row r="428">
          <cell r="AW428" t="str">
            <v>.</v>
          </cell>
        </row>
        <row r="429">
          <cell r="AW429" t="str">
            <v>.</v>
          </cell>
        </row>
        <row r="430">
          <cell r="AW430" t="str">
            <v>.</v>
          </cell>
        </row>
        <row r="431">
          <cell r="AW431" t="str">
            <v>.</v>
          </cell>
        </row>
        <row r="432">
          <cell r="AW432" t="str">
            <v>.</v>
          </cell>
        </row>
        <row r="433">
          <cell r="AW433" t="str">
            <v>.</v>
          </cell>
        </row>
        <row r="434">
          <cell r="AW434" t="str">
            <v>.</v>
          </cell>
        </row>
        <row r="435">
          <cell r="AW435" t="str">
            <v>.</v>
          </cell>
        </row>
        <row r="436">
          <cell r="AW436" t="str">
            <v>.</v>
          </cell>
        </row>
        <row r="437">
          <cell r="AW437" t="str">
            <v>.</v>
          </cell>
        </row>
        <row r="438">
          <cell r="AW438" t="str">
            <v>.</v>
          </cell>
        </row>
        <row r="439">
          <cell r="AW439" t="str">
            <v>.</v>
          </cell>
        </row>
        <row r="440">
          <cell r="AW440" t="str">
            <v>.</v>
          </cell>
        </row>
        <row r="441">
          <cell r="AW441" t="str">
            <v>.</v>
          </cell>
        </row>
        <row r="442">
          <cell r="AW442" t="str">
            <v>.</v>
          </cell>
        </row>
        <row r="443">
          <cell r="AW443" t="str">
            <v>.</v>
          </cell>
        </row>
        <row r="444">
          <cell r="AW444" t="str">
            <v>.</v>
          </cell>
        </row>
        <row r="445">
          <cell r="AW445" t="str">
            <v>.</v>
          </cell>
        </row>
        <row r="446">
          <cell r="AW446" t="str">
            <v>.</v>
          </cell>
        </row>
        <row r="447">
          <cell r="AW447" t="str">
            <v>.</v>
          </cell>
        </row>
        <row r="448">
          <cell r="AW448" t="str">
            <v>.</v>
          </cell>
        </row>
        <row r="449">
          <cell r="AW449" t="str">
            <v>.</v>
          </cell>
        </row>
        <row r="450">
          <cell r="AW450" t="str">
            <v>.</v>
          </cell>
        </row>
        <row r="451">
          <cell r="AW451" t="str">
            <v>.</v>
          </cell>
        </row>
        <row r="452">
          <cell r="AW452" t="str">
            <v>.</v>
          </cell>
        </row>
        <row r="453">
          <cell r="AW453" t="str">
            <v>.</v>
          </cell>
        </row>
        <row r="454">
          <cell r="AW454" t="str">
            <v>.</v>
          </cell>
        </row>
        <row r="455">
          <cell r="AW455" t="str">
            <v>.</v>
          </cell>
        </row>
        <row r="456">
          <cell r="AW456" t="str">
            <v>.</v>
          </cell>
        </row>
        <row r="457">
          <cell r="AW457" t="str">
            <v>.</v>
          </cell>
        </row>
        <row r="458">
          <cell r="AW458" t="str">
            <v>.</v>
          </cell>
        </row>
        <row r="459">
          <cell r="AW459" t="str">
            <v>.</v>
          </cell>
        </row>
        <row r="460">
          <cell r="AW460" t="str">
            <v>.</v>
          </cell>
        </row>
        <row r="461">
          <cell r="AW461" t="str">
            <v>.</v>
          </cell>
        </row>
        <row r="462">
          <cell r="AW462" t="str">
            <v>.</v>
          </cell>
        </row>
        <row r="463">
          <cell r="AW463" t="str">
            <v>.</v>
          </cell>
        </row>
        <row r="464">
          <cell r="AW464" t="str">
            <v>.</v>
          </cell>
        </row>
        <row r="465">
          <cell r="AW465" t="str">
            <v>.</v>
          </cell>
        </row>
        <row r="466">
          <cell r="AW466" t="str">
            <v>.</v>
          </cell>
        </row>
        <row r="467">
          <cell r="AW467" t="str">
            <v>.</v>
          </cell>
        </row>
        <row r="468">
          <cell r="AW468" t="str">
            <v>.</v>
          </cell>
        </row>
        <row r="469">
          <cell r="AW469" t="str">
            <v>.</v>
          </cell>
        </row>
        <row r="470">
          <cell r="AW470" t="str">
            <v>.</v>
          </cell>
        </row>
        <row r="471">
          <cell r="AW471" t="str">
            <v>.</v>
          </cell>
        </row>
        <row r="472">
          <cell r="AW472" t="str">
            <v>.</v>
          </cell>
        </row>
        <row r="473">
          <cell r="AW473" t="str">
            <v>.</v>
          </cell>
        </row>
        <row r="474">
          <cell r="AW474" t="str">
            <v>.</v>
          </cell>
        </row>
        <row r="475">
          <cell r="AW475" t="str">
            <v>.</v>
          </cell>
        </row>
        <row r="476">
          <cell r="AW476" t="str">
            <v>.</v>
          </cell>
        </row>
        <row r="477">
          <cell r="AW477" t="str">
            <v>.</v>
          </cell>
        </row>
        <row r="478">
          <cell r="AW478" t="str">
            <v>.</v>
          </cell>
        </row>
        <row r="479">
          <cell r="AW479" t="str">
            <v>.</v>
          </cell>
        </row>
        <row r="480">
          <cell r="AW480" t="str">
            <v>.</v>
          </cell>
        </row>
        <row r="481">
          <cell r="AW481" t="str">
            <v>.</v>
          </cell>
        </row>
        <row r="482">
          <cell r="AW482" t="str">
            <v>.</v>
          </cell>
        </row>
        <row r="483">
          <cell r="AW483" t="str">
            <v>.</v>
          </cell>
        </row>
        <row r="484">
          <cell r="AW484" t="str">
            <v>.</v>
          </cell>
        </row>
        <row r="485">
          <cell r="AW485" t="str">
            <v>.</v>
          </cell>
        </row>
        <row r="486">
          <cell r="AW486" t="str">
            <v>.</v>
          </cell>
        </row>
        <row r="487">
          <cell r="AW487" t="str">
            <v>.</v>
          </cell>
        </row>
        <row r="488">
          <cell r="AW488" t="str">
            <v>.</v>
          </cell>
        </row>
        <row r="489">
          <cell r="AW489" t="str">
            <v>.</v>
          </cell>
        </row>
        <row r="490">
          <cell r="AW490" t="str">
            <v>.</v>
          </cell>
        </row>
        <row r="491">
          <cell r="AW491" t="str">
            <v>.</v>
          </cell>
        </row>
        <row r="492">
          <cell r="AW492" t="str">
            <v>.</v>
          </cell>
        </row>
        <row r="493">
          <cell r="AW493" t="str">
            <v>.</v>
          </cell>
        </row>
        <row r="494">
          <cell r="AW494" t="str">
            <v>.</v>
          </cell>
        </row>
        <row r="495">
          <cell r="AW495" t="str">
            <v>.</v>
          </cell>
        </row>
        <row r="496">
          <cell r="AW496" t="str">
            <v>.</v>
          </cell>
        </row>
        <row r="497">
          <cell r="AW497" t="str">
            <v>.</v>
          </cell>
        </row>
        <row r="498">
          <cell r="AW498" t="str">
            <v>.</v>
          </cell>
        </row>
        <row r="499">
          <cell r="AW499" t="str">
            <v>.</v>
          </cell>
        </row>
        <row r="500">
          <cell r="AW500" t="str">
            <v>.</v>
          </cell>
        </row>
        <row r="501">
          <cell r="AW501" t="str">
            <v>.</v>
          </cell>
        </row>
        <row r="502">
          <cell r="AW502" t="str">
            <v>.</v>
          </cell>
        </row>
        <row r="503">
          <cell r="AW503" t="str">
            <v>.</v>
          </cell>
        </row>
        <row r="504">
          <cell r="AW504" t="str">
            <v>.</v>
          </cell>
        </row>
        <row r="505">
          <cell r="AW505" t="str">
            <v>.</v>
          </cell>
        </row>
        <row r="506">
          <cell r="AW506" t="str">
            <v>.</v>
          </cell>
        </row>
        <row r="507">
          <cell r="AW507" t="str">
            <v>.</v>
          </cell>
        </row>
        <row r="508">
          <cell r="AW508" t="str">
            <v>.</v>
          </cell>
        </row>
        <row r="509">
          <cell r="AW509" t="str">
            <v>.</v>
          </cell>
        </row>
        <row r="510">
          <cell r="AW510" t="str">
            <v>.</v>
          </cell>
        </row>
        <row r="511">
          <cell r="AW511" t="str">
            <v>.</v>
          </cell>
        </row>
        <row r="512">
          <cell r="AW512" t="str">
            <v>.</v>
          </cell>
        </row>
        <row r="513">
          <cell r="AW513" t="str">
            <v>.</v>
          </cell>
        </row>
        <row r="514">
          <cell r="AW514" t="str">
            <v>.</v>
          </cell>
        </row>
        <row r="515">
          <cell r="AW515" t="str">
            <v>.</v>
          </cell>
        </row>
        <row r="516">
          <cell r="AW516" t="str">
            <v>.</v>
          </cell>
        </row>
        <row r="517">
          <cell r="AW517" t="str">
            <v>.</v>
          </cell>
        </row>
        <row r="518">
          <cell r="AW518" t="str">
            <v>.</v>
          </cell>
        </row>
        <row r="519">
          <cell r="AW519" t="str">
            <v>.</v>
          </cell>
        </row>
        <row r="520">
          <cell r="AW520" t="str">
            <v>.</v>
          </cell>
        </row>
        <row r="521">
          <cell r="AW521" t="str">
            <v>.</v>
          </cell>
        </row>
        <row r="522">
          <cell r="AW522" t="str">
            <v>.</v>
          </cell>
        </row>
        <row r="523">
          <cell r="AW523" t="str">
            <v>.</v>
          </cell>
        </row>
        <row r="524">
          <cell r="AW524" t="str">
            <v>.</v>
          </cell>
        </row>
        <row r="525">
          <cell r="AW525" t="str">
            <v>.</v>
          </cell>
        </row>
        <row r="526">
          <cell r="AW526" t="str">
            <v>.</v>
          </cell>
        </row>
        <row r="527">
          <cell r="AW527" t="str">
            <v>.</v>
          </cell>
        </row>
        <row r="528">
          <cell r="AW528" t="str">
            <v>.</v>
          </cell>
        </row>
        <row r="529">
          <cell r="AW529" t="str">
            <v>.</v>
          </cell>
        </row>
        <row r="530">
          <cell r="AW530" t="str">
            <v>.</v>
          </cell>
        </row>
        <row r="531">
          <cell r="AW531" t="str">
            <v>.</v>
          </cell>
        </row>
        <row r="532">
          <cell r="AW532" t="str">
            <v>.</v>
          </cell>
        </row>
        <row r="533">
          <cell r="AW533" t="str">
            <v>.</v>
          </cell>
        </row>
        <row r="534">
          <cell r="AW534" t="str">
            <v>.</v>
          </cell>
        </row>
        <row r="535">
          <cell r="AW535" t="str">
            <v>.</v>
          </cell>
        </row>
        <row r="536">
          <cell r="AW536" t="str">
            <v>.</v>
          </cell>
        </row>
        <row r="537">
          <cell r="AW537" t="str">
            <v>.</v>
          </cell>
        </row>
        <row r="538">
          <cell r="AW538" t="str">
            <v>.</v>
          </cell>
        </row>
        <row r="539">
          <cell r="AW539" t="str">
            <v>.</v>
          </cell>
        </row>
        <row r="540">
          <cell r="AW540" t="str">
            <v>.</v>
          </cell>
        </row>
        <row r="541">
          <cell r="AW541" t="str">
            <v>.</v>
          </cell>
        </row>
        <row r="542">
          <cell r="AW542" t="str">
            <v>.</v>
          </cell>
        </row>
        <row r="543">
          <cell r="AW543" t="str">
            <v>.</v>
          </cell>
        </row>
        <row r="544">
          <cell r="AW544" t="str">
            <v>.</v>
          </cell>
        </row>
        <row r="545">
          <cell r="AW545" t="str">
            <v>.</v>
          </cell>
        </row>
        <row r="546">
          <cell r="AW546" t="str">
            <v>.</v>
          </cell>
        </row>
        <row r="547">
          <cell r="AW547" t="str">
            <v>.</v>
          </cell>
        </row>
        <row r="548">
          <cell r="AW548" t="str">
            <v>.</v>
          </cell>
        </row>
        <row r="549">
          <cell r="AW549" t="str">
            <v>.</v>
          </cell>
        </row>
        <row r="550">
          <cell r="AW550" t="str">
            <v>.</v>
          </cell>
        </row>
        <row r="551">
          <cell r="AW551" t="str">
            <v>.</v>
          </cell>
        </row>
        <row r="552">
          <cell r="AW552" t="str">
            <v>.</v>
          </cell>
        </row>
        <row r="553">
          <cell r="AW553" t="str">
            <v>.</v>
          </cell>
        </row>
        <row r="554">
          <cell r="AW554" t="str">
            <v>.</v>
          </cell>
        </row>
        <row r="555">
          <cell r="AW555" t="str">
            <v>.</v>
          </cell>
        </row>
        <row r="556">
          <cell r="AW556" t="str">
            <v>.</v>
          </cell>
        </row>
        <row r="557">
          <cell r="AW557" t="str">
            <v>.</v>
          </cell>
        </row>
        <row r="558">
          <cell r="AW558" t="str">
            <v>.</v>
          </cell>
        </row>
        <row r="559">
          <cell r="AW559" t="str">
            <v>.</v>
          </cell>
        </row>
        <row r="560">
          <cell r="AW560" t="str">
            <v>.</v>
          </cell>
        </row>
        <row r="561">
          <cell r="AW561" t="str">
            <v>.</v>
          </cell>
        </row>
        <row r="562">
          <cell r="AW562" t="str">
            <v>.</v>
          </cell>
        </row>
        <row r="563">
          <cell r="AW563" t="str">
            <v>.</v>
          </cell>
        </row>
        <row r="564">
          <cell r="AW564" t="str">
            <v>.</v>
          </cell>
        </row>
        <row r="565">
          <cell r="AW565" t="str">
            <v>.</v>
          </cell>
        </row>
        <row r="566">
          <cell r="AW566" t="str">
            <v>.</v>
          </cell>
        </row>
        <row r="567">
          <cell r="AW567" t="str">
            <v>.</v>
          </cell>
        </row>
        <row r="568">
          <cell r="AW568" t="str">
            <v>.</v>
          </cell>
        </row>
        <row r="569">
          <cell r="AW569" t="str">
            <v>.</v>
          </cell>
        </row>
        <row r="570">
          <cell r="AW570" t="str">
            <v>.</v>
          </cell>
        </row>
        <row r="571">
          <cell r="AW571" t="str">
            <v>.</v>
          </cell>
        </row>
        <row r="572">
          <cell r="AW572" t="str">
            <v>.</v>
          </cell>
        </row>
        <row r="573">
          <cell r="AW573" t="str">
            <v>.</v>
          </cell>
        </row>
        <row r="574">
          <cell r="AW574" t="str">
            <v>.</v>
          </cell>
        </row>
        <row r="575">
          <cell r="AW575" t="str">
            <v>.</v>
          </cell>
        </row>
        <row r="576">
          <cell r="AW576" t="str">
            <v>.</v>
          </cell>
        </row>
        <row r="577">
          <cell r="AW577" t="str">
            <v>.</v>
          </cell>
        </row>
        <row r="578">
          <cell r="AW578" t="str">
            <v>.</v>
          </cell>
        </row>
        <row r="579">
          <cell r="AW579" t="str">
            <v>.</v>
          </cell>
        </row>
        <row r="580">
          <cell r="AW580" t="str">
            <v>.</v>
          </cell>
        </row>
        <row r="581">
          <cell r="AW581" t="str">
            <v>.</v>
          </cell>
        </row>
        <row r="582">
          <cell r="AW582" t="str">
            <v>.</v>
          </cell>
        </row>
        <row r="583">
          <cell r="AW583" t="str">
            <v>.</v>
          </cell>
        </row>
        <row r="584">
          <cell r="AW584" t="str">
            <v>.</v>
          </cell>
        </row>
        <row r="585">
          <cell r="AW585" t="str">
            <v>.</v>
          </cell>
        </row>
        <row r="586">
          <cell r="AW586" t="str">
            <v>.</v>
          </cell>
        </row>
        <row r="587">
          <cell r="AW587" t="str">
            <v>.</v>
          </cell>
        </row>
        <row r="588">
          <cell r="AW588" t="str">
            <v>.</v>
          </cell>
        </row>
        <row r="589">
          <cell r="AW589" t="str">
            <v>.</v>
          </cell>
        </row>
        <row r="590">
          <cell r="AW590" t="str">
            <v>.</v>
          </cell>
        </row>
        <row r="591">
          <cell r="AW591" t="str">
            <v>.</v>
          </cell>
        </row>
        <row r="592">
          <cell r="AW592" t="str">
            <v>.</v>
          </cell>
        </row>
        <row r="593">
          <cell r="AW593" t="str">
            <v>.</v>
          </cell>
        </row>
        <row r="594">
          <cell r="AW594" t="str">
            <v>.</v>
          </cell>
        </row>
        <row r="595">
          <cell r="AW595" t="str">
            <v>.</v>
          </cell>
        </row>
        <row r="596">
          <cell r="AW596" t="str">
            <v>.</v>
          </cell>
        </row>
        <row r="597">
          <cell r="AW597" t="str">
            <v>.</v>
          </cell>
        </row>
        <row r="598">
          <cell r="AW598" t="str">
            <v>.</v>
          </cell>
        </row>
        <row r="599">
          <cell r="AW599" t="str">
            <v>.</v>
          </cell>
        </row>
        <row r="600">
          <cell r="AW600" t="str">
            <v>.</v>
          </cell>
        </row>
        <row r="601">
          <cell r="AW601" t="str">
            <v>.</v>
          </cell>
        </row>
        <row r="602">
          <cell r="AW602" t="str">
            <v>.</v>
          </cell>
        </row>
        <row r="603">
          <cell r="AW603" t="str">
            <v>.</v>
          </cell>
        </row>
        <row r="604">
          <cell r="AW604" t="str">
            <v>.</v>
          </cell>
        </row>
        <row r="605">
          <cell r="AW605" t="str">
            <v>.</v>
          </cell>
        </row>
        <row r="606">
          <cell r="AW606" t="str">
            <v>.</v>
          </cell>
        </row>
        <row r="607">
          <cell r="AW607" t="str">
            <v>.</v>
          </cell>
        </row>
        <row r="608">
          <cell r="AW608" t="str">
            <v>.</v>
          </cell>
        </row>
        <row r="609">
          <cell r="AW609" t="str">
            <v>.</v>
          </cell>
        </row>
        <row r="610">
          <cell r="AW610" t="str">
            <v>.</v>
          </cell>
        </row>
        <row r="611">
          <cell r="AW611" t="str">
            <v>.</v>
          </cell>
        </row>
        <row r="612">
          <cell r="AW612" t="str">
            <v>.</v>
          </cell>
        </row>
        <row r="613">
          <cell r="AW613" t="str">
            <v>.</v>
          </cell>
        </row>
        <row r="614">
          <cell r="AW614" t="str">
            <v>.</v>
          </cell>
        </row>
        <row r="615">
          <cell r="AW615" t="str">
            <v>.</v>
          </cell>
        </row>
        <row r="616">
          <cell r="AW616" t="str">
            <v>.</v>
          </cell>
        </row>
        <row r="617">
          <cell r="AW617" t="str">
            <v>.</v>
          </cell>
        </row>
        <row r="618">
          <cell r="AW618" t="str">
            <v>.</v>
          </cell>
        </row>
        <row r="619">
          <cell r="AW619" t="str">
            <v>.</v>
          </cell>
        </row>
        <row r="620">
          <cell r="AW620" t="str">
            <v>.</v>
          </cell>
        </row>
        <row r="621">
          <cell r="AW621" t="str">
            <v>.</v>
          </cell>
        </row>
        <row r="622">
          <cell r="AW622" t="str">
            <v>.</v>
          </cell>
        </row>
        <row r="623">
          <cell r="AW623" t="str">
            <v>.</v>
          </cell>
        </row>
        <row r="624">
          <cell r="AW624" t="str">
            <v>.</v>
          </cell>
        </row>
        <row r="625">
          <cell r="AW625" t="str">
            <v>.</v>
          </cell>
        </row>
        <row r="626">
          <cell r="AW626" t="str">
            <v>.</v>
          </cell>
        </row>
        <row r="627">
          <cell r="AW627" t="str">
            <v>.</v>
          </cell>
        </row>
        <row r="628">
          <cell r="AW628" t="str">
            <v>.</v>
          </cell>
        </row>
        <row r="629">
          <cell r="AW629" t="str">
            <v>.</v>
          </cell>
        </row>
        <row r="630">
          <cell r="AW630" t="str">
            <v>.</v>
          </cell>
        </row>
        <row r="631">
          <cell r="AW631" t="str">
            <v>.</v>
          </cell>
        </row>
        <row r="632">
          <cell r="AW632" t="str">
            <v>.</v>
          </cell>
        </row>
        <row r="633">
          <cell r="AW633" t="str">
            <v>.</v>
          </cell>
        </row>
        <row r="634">
          <cell r="AW634" t="str">
            <v>.</v>
          </cell>
        </row>
        <row r="635">
          <cell r="AW635" t="str">
            <v>.</v>
          </cell>
        </row>
        <row r="636">
          <cell r="AW636" t="str">
            <v>.</v>
          </cell>
        </row>
        <row r="637">
          <cell r="AW637" t="str">
            <v>.</v>
          </cell>
        </row>
        <row r="638">
          <cell r="AW638" t="str">
            <v>.</v>
          </cell>
        </row>
        <row r="639">
          <cell r="AW639" t="str">
            <v>.</v>
          </cell>
        </row>
        <row r="640">
          <cell r="AW640" t="str">
            <v>.</v>
          </cell>
        </row>
        <row r="641">
          <cell r="AW641" t="str">
            <v>.</v>
          </cell>
        </row>
        <row r="642">
          <cell r="AW642" t="str">
            <v>.</v>
          </cell>
        </row>
        <row r="643">
          <cell r="AW643" t="str">
            <v>.</v>
          </cell>
        </row>
        <row r="644">
          <cell r="AW644" t="str">
            <v>.</v>
          </cell>
        </row>
        <row r="645">
          <cell r="AW645" t="str">
            <v>.</v>
          </cell>
        </row>
        <row r="646">
          <cell r="AW646" t="str">
            <v>.</v>
          </cell>
        </row>
        <row r="647">
          <cell r="AW647" t="str">
            <v>.</v>
          </cell>
        </row>
        <row r="648">
          <cell r="AW648" t="str">
            <v>.</v>
          </cell>
        </row>
        <row r="649">
          <cell r="AW649" t="str">
            <v>.</v>
          </cell>
        </row>
        <row r="650">
          <cell r="AW650" t="str">
            <v>.</v>
          </cell>
        </row>
        <row r="651">
          <cell r="AW651" t="str">
            <v>.</v>
          </cell>
        </row>
        <row r="652">
          <cell r="AW652" t="str">
            <v>.</v>
          </cell>
        </row>
        <row r="653">
          <cell r="AW653" t="str">
            <v>.</v>
          </cell>
        </row>
        <row r="654">
          <cell r="AW654" t="str">
            <v>.</v>
          </cell>
        </row>
        <row r="655">
          <cell r="AW655" t="str">
            <v>.</v>
          </cell>
        </row>
        <row r="656">
          <cell r="AW656" t="str">
            <v>.</v>
          </cell>
        </row>
        <row r="657">
          <cell r="AW657" t="str">
            <v>.</v>
          </cell>
        </row>
        <row r="658">
          <cell r="AW658" t="str">
            <v>.</v>
          </cell>
        </row>
        <row r="659">
          <cell r="AW659" t="str">
            <v>.</v>
          </cell>
        </row>
        <row r="660">
          <cell r="AW660" t="str">
            <v>.</v>
          </cell>
        </row>
        <row r="661">
          <cell r="AW661" t="str">
            <v>.</v>
          </cell>
        </row>
        <row r="662">
          <cell r="AW662" t="str">
            <v>.</v>
          </cell>
        </row>
        <row r="663">
          <cell r="AW663" t="str">
            <v>.</v>
          </cell>
        </row>
        <row r="664">
          <cell r="AW664" t="str">
            <v>.</v>
          </cell>
        </row>
        <row r="665">
          <cell r="AW665" t="str">
            <v>.</v>
          </cell>
        </row>
        <row r="666">
          <cell r="AW666" t="str">
            <v>.</v>
          </cell>
        </row>
        <row r="667">
          <cell r="AW667" t="str">
            <v>.</v>
          </cell>
        </row>
        <row r="668">
          <cell r="AW668" t="str">
            <v>.</v>
          </cell>
        </row>
        <row r="669">
          <cell r="AW669" t="str">
            <v>.</v>
          </cell>
        </row>
        <row r="670">
          <cell r="AW670" t="str">
            <v>.</v>
          </cell>
        </row>
        <row r="671">
          <cell r="AW671" t="str">
            <v>.</v>
          </cell>
        </row>
        <row r="672">
          <cell r="AW672" t="str">
            <v>.</v>
          </cell>
        </row>
        <row r="673">
          <cell r="AW673" t="str">
            <v>.</v>
          </cell>
        </row>
        <row r="674">
          <cell r="AW674" t="str">
            <v>.</v>
          </cell>
        </row>
        <row r="675">
          <cell r="AW675" t="str">
            <v>.</v>
          </cell>
        </row>
        <row r="676">
          <cell r="AW676" t="str">
            <v>.</v>
          </cell>
        </row>
        <row r="677">
          <cell r="AW677" t="str">
            <v>.</v>
          </cell>
        </row>
        <row r="678">
          <cell r="AW678" t="str">
            <v>.</v>
          </cell>
        </row>
        <row r="679">
          <cell r="AW679" t="str">
            <v>.</v>
          </cell>
        </row>
        <row r="680">
          <cell r="AW680" t="str">
            <v>.</v>
          </cell>
        </row>
        <row r="681">
          <cell r="AW681" t="str">
            <v>.</v>
          </cell>
        </row>
        <row r="682">
          <cell r="AW682" t="str">
            <v>.</v>
          </cell>
        </row>
        <row r="683">
          <cell r="AW683" t="str">
            <v>.</v>
          </cell>
        </row>
        <row r="684">
          <cell r="AW684" t="str">
            <v>.</v>
          </cell>
        </row>
        <row r="685">
          <cell r="AW685" t="str">
            <v>.</v>
          </cell>
        </row>
        <row r="686">
          <cell r="AW686" t="str">
            <v>.</v>
          </cell>
        </row>
        <row r="687">
          <cell r="AW687" t="str">
            <v>.</v>
          </cell>
        </row>
        <row r="688">
          <cell r="AW688" t="str">
            <v>.</v>
          </cell>
        </row>
        <row r="689">
          <cell r="AW689" t="str">
            <v>.</v>
          </cell>
        </row>
        <row r="690">
          <cell r="AW690" t="str">
            <v>.</v>
          </cell>
        </row>
        <row r="691">
          <cell r="AW691" t="str">
            <v>.</v>
          </cell>
        </row>
        <row r="692">
          <cell r="AW692" t="str">
            <v>.</v>
          </cell>
        </row>
        <row r="693">
          <cell r="AW693" t="str">
            <v>.</v>
          </cell>
        </row>
        <row r="694">
          <cell r="AW694" t="str">
            <v>.</v>
          </cell>
        </row>
        <row r="695">
          <cell r="AW695" t="str">
            <v>.</v>
          </cell>
        </row>
        <row r="696">
          <cell r="AW696" t="str">
            <v>.</v>
          </cell>
        </row>
        <row r="697">
          <cell r="AW697" t="str">
            <v>.</v>
          </cell>
        </row>
        <row r="698">
          <cell r="AW698" t="str">
            <v>.</v>
          </cell>
        </row>
        <row r="699">
          <cell r="AW699" t="str">
            <v>.</v>
          </cell>
        </row>
        <row r="700">
          <cell r="AW700" t="str">
            <v>.</v>
          </cell>
        </row>
        <row r="701">
          <cell r="AW701" t="str">
            <v>.</v>
          </cell>
        </row>
        <row r="702">
          <cell r="AW702" t="str">
            <v>.</v>
          </cell>
        </row>
        <row r="703">
          <cell r="AW703" t="str">
            <v>.</v>
          </cell>
        </row>
        <row r="704">
          <cell r="AW704" t="str">
            <v>.</v>
          </cell>
        </row>
        <row r="705">
          <cell r="AW705" t="str">
            <v>.</v>
          </cell>
        </row>
        <row r="706">
          <cell r="AW706" t="str">
            <v>.</v>
          </cell>
        </row>
        <row r="707">
          <cell r="AW707" t="str">
            <v>.</v>
          </cell>
        </row>
        <row r="708">
          <cell r="AW708" t="str">
            <v>.</v>
          </cell>
        </row>
        <row r="709">
          <cell r="AW709" t="str">
            <v>.</v>
          </cell>
        </row>
        <row r="710">
          <cell r="AW710" t="str">
            <v>.</v>
          </cell>
        </row>
        <row r="711">
          <cell r="AW711" t="str">
            <v>.</v>
          </cell>
        </row>
        <row r="712">
          <cell r="AW712" t="str">
            <v>.</v>
          </cell>
        </row>
        <row r="713">
          <cell r="AW713" t="str">
            <v>.</v>
          </cell>
        </row>
        <row r="714">
          <cell r="AW714" t="str">
            <v>.</v>
          </cell>
        </row>
        <row r="715">
          <cell r="AW715" t="str">
            <v>.</v>
          </cell>
        </row>
        <row r="716">
          <cell r="AW716" t="str">
            <v>.</v>
          </cell>
        </row>
        <row r="717">
          <cell r="AW717" t="str">
            <v>.</v>
          </cell>
        </row>
        <row r="718">
          <cell r="AW718" t="str">
            <v>.</v>
          </cell>
        </row>
        <row r="719">
          <cell r="AW719" t="str">
            <v>.</v>
          </cell>
        </row>
        <row r="720">
          <cell r="AW720" t="str">
            <v>.</v>
          </cell>
        </row>
        <row r="721">
          <cell r="AW721" t="str">
            <v>.</v>
          </cell>
        </row>
        <row r="722">
          <cell r="AW722" t="str">
            <v>.</v>
          </cell>
        </row>
        <row r="723">
          <cell r="AW723" t="str">
            <v>.</v>
          </cell>
        </row>
        <row r="724">
          <cell r="AW724" t="str">
            <v>.</v>
          </cell>
        </row>
        <row r="725">
          <cell r="AW725" t="str">
            <v>.</v>
          </cell>
        </row>
        <row r="726">
          <cell r="AW726" t="str">
            <v>.</v>
          </cell>
        </row>
        <row r="727">
          <cell r="AW727" t="str">
            <v>.</v>
          </cell>
        </row>
        <row r="728">
          <cell r="AW728" t="str">
            <v>.</v>
          </cell>
        </row>
        <row r="729">
          <cell r="AW729" t="str">
            <v>.</v>
          </cell>
        </row>
        <row r="730">
          <cell r="AW730" t="str">
            <v>.</v>
          </cell>
        </row>
        <row r="731">
          <cell r="AW731" t="str">
            <v>.</v>
          </cell>
        </row>
        <row r="732">
          <cell r="AW732" t="str">
            <v>.</v>
          </cell>
        </row>
        <row r="733">
          <cell r="AW733" t="str">
            <v>.</v>
          </cell>
        </row>
        <row r="734">
          <cell r="AW734" t="str">
            <v>.</v>
          </cell>
        </row>
        <row r="735">
          <cell r="AW735" t="str">
            <v>.</v>
          </cell>
        </row>
        <row r="736">
          <cell r="AW736" t="str">
            <v>.</v>
          </cell>
        </row>
        <row r="737">
          <cell r="AW737" t="str">
            <v>.</v>
          </cell>
        </row>
        <row r="738">
          <cell r="AW738" t="str">
            <v>.</v>
          </cell>
        </row>
        <row r="739">
          <cell r="AW739" t="str">
            <v>.</v>
          </cell>
        </row>
        <row r="740">
          <cell r="AW740" t="str">
            <v>.</v>
          </cell>
        </row>
        <row r="741">
          <cell r="AW741" t="str">
            <v>.</v>
          </cell>
        </row>
        <row r="742">
          <cell r="AW742" t="str">
            <v>.</v>
          </cell>
        </row>
        <row r="743">
          <cell r="AW743" t="str">
            <v>.</v>
          </cell>
        </row>
        <row r="744">
          <cell r="AW744" t="str">
            <v>.</v>
          </cell>
        </row>
        <row r="745">
          <cell r="AW745" t="str">
            <v>.</v>
          </cell>
        </row>
        <row r="746">
          <cell r="AW746" t="str">
            <v>.</v>
          </cell>
        </row>
        <row r="747">
          <cell r="AW747" t="str">
            <v>.</v>
          </cell>
        </row>
        <row r="748">
          <cell r="AW748" t="str">
            <v>.</v>
          </cell>
        </row>
        <row r="749">
          <cell r="AW749" t="str">
            <v>.</v>
          </cell>
        </row>
        <row r="750">
          <cell r="AW750" t="str">
            <v>.</v>
          </cell>
        </row>
        <row r="751">
          <cell r="AW751" t="str">
            <v>.</v>
          </cell>
        </row>
        <row r="752">
          <cell r="AW752" t="str">
            <v>.</v>
          </cell>
        </row>
        <row r="753">
          <cell r="AW753" t="str">
            <v>.</v>
          </cell>
        </row>
        <row r="754">
          <cell r="AW754" t="str">
            <v>.</v>
          </cell>
        </row>
        <row r="755">
          <cell r="AW755" t="str">
            <v>.</v>
          </cell>
        </row>
        <row r="756">
          <cell r="AW756" t="str">
            <v>.</v>
          </cell>
        </row>
        <row r="757">
          <cell r="AW757" t="str">
            <v>.</v>
          </cell>
        </row>
        <row r="758">
          <cell r="AW758" t="str">
            <v>.</v>
          </cell>
        </row>
        <row r="759">
          <cell r="AW759" t="str">
            <v>.</v>
          </cell>
        </row>
        <row r="760">
          <cell r="AW760" t="str">
            <v>.</v>
          </cell>
        </row>
        <row r="761">
          <cell r="AW761" t="str">
            <v>.</v>
          </cell>
        </row>
        <row r="762">
          <cell r="AW762" t="str">
            <v>.</v>
          </cell>
        </row>
        <row r="763">
          <cell r="AW763" t="str">
            <v>.</v>
          </cell>
        </row>
        <row r="764">
          <cell r="AW764" t="str">
            <v>.</v>
          </cell>
        </row>
        <row r="765">
          <cell r="AW765" t="str">
            <v>.</v>
          </cell>
        </row>
        <row r="766">
          <cell r="AW766" t="str">
            <v>.</v>
          </cell>
        </row>
        <row r="767">
          <cell r="AW767" t="str">
            <v>.</v>
          </cell>
        </row>
        <row r="768">
          <cell r="AW768" t="str">
            <v>.</v>
          </cell>
        </row>
        <row r="769">
          <cell r="AW769" t="str">
            <v>.</v>
          </cell>
        </row>
        <row r="770">
          <cell r="AW770" t="str">
            <v>.</v>
          </cell>
        </row>
        <row r="771">
          <cell r="AW771" t="str">
            <v>.</v>
          </cell>
        </row>
        <row r="772">
          <cell r="AW772" t="str">
            <v>.</v>
          </cell>
        </row>
        <row r="773">
          <cell r="AW773" t="str">
            <v>.</v>
          </cell>
        </row>
        <row r="774">
          <cell r="AW774" t="str">
            <v>.</v>
          </cell>
        </row>
        <row r="775">
          <cell r="AW775" t="str">
            <v>.</v>
          </cell>
        </row>
        <row r="776">
          <cell r="AW776" t="str">
            <v>.</v>
          </cell>
        </row>
        <row r="777">
          <cell r="AW777" t="str">
            <v>.</v>
          </cell>
        </row>
        <row r="778">
          <cell r="AW778" t="str">
            <v>.</v>
          </cell>
        </row>
        <row r="779">
          <cell r="AW779" t="str">
            <v>.</v>
          </cell>
        </row>
        <row r="780">
          <cell r="AW780" t="str">
            <v>.</v>
          </cell>
        </row>
        <row r="781">
          <cell r="AW781" t="str">
            <v>.</v>
          </cell>
        </row>
        <row r="782">
          <cell r="AW782" t="str">
            <v>.</v>
          </cell>
        </row>
        <row r="783">
          <cell r="AW783" t="str">
            <v>.</v>
          </cell>
        </row>
        <row r="784">
          <cell r="AW784" t="str">
            <v>.</v>
          </cell>
        </row>
        <row r="785">
          <cell r="AW785" t="str">
            <v>.</v>
          </cell>
        </row>
        <row r="786">
          <cell r="AW786" t="str">
            <v>.</v>
          </cell>
        </row>
        <row r="787">
          <cell r="AW787" t="str">
            <v>.</v>
          </cell>
        </row>
        <row r="788">
          <cell r="AW788" t="str">
            <v>.</v>
          </cell>
        </row>
        <row r="789">
          <cell r="AW789" t="str">
            <v>.</v>
          </cell>
        </row>
        <row r="790">
          <cell r="AW790" t="str">
            <v>.</v>
          </cell>
        </row>
        <row r="791">
          <cell r="AW791" t="str">
            <v>.</v>
          </cell>
        </row>
        <row r="792">
          <cell r="AW792" t="str">
            <v>.</v>
          </cell>
        </row>
        <row r="793">
          <cell r="AW793" t="str">
            <v>.</v>
          </cell>
        </row>
        <row r="794">
          <cell r="AW794" t="str">
            <v>.</v>
          </cell>
        </row>
        <row r="795">
          <cell r="AW795" t="str">
            <v>.</v>
          </cell>
        </row>
        <row r="796">
          <cell r="AW796" t="str">
            <v>.</v>
          </cell>
        </row>
        <row r="797">
          <cell r="AW797" t="str">
            <v>.</v>
          </cell>
        </row>
        <row r="798">
          <cell r="AW798" t="str">
            <v>.</v>
          </cell>
        </row>
        <row r="799">
          <cell r="AW799" t="str">
            <v>.</v>
          </cell>
        </row>
        <row r="800">
          <cell r="AW800" t="str">
            <v>.</v>
          </cell>
        </row>
        <row r="801">
          <cell r="AW801" t="str">
            <v>.</v>
          </cell>
        </row>
        <row r="802">
          <cell r="AW802" t="str">
            <v>.</v>
          </cell>
        </row>
        <row r="803">
          <cell r="AW803" t="str">
            <v>.</v>
          </cell>
        </row>
        <row r="804">
          <cell r="AW804" t="str">
            <v>.</v>
          </cell>
        </row>
        <row r="805">
          <cell r="AW805" t="str">
            <v>.</v>
          </cell>
        </row>
        <row r="806">
          <cell r="AW806" t="str">
            <v>.</v>
          </cell>
        </row>
        <row r="807">
          <cell r="AW807" t="str">
            <v>.</v>
          </cell>
        </row>
        <row r="808">
          <cell r="AW808" t="str">
            <v>.</v>
          </cell>
        </row>
        <row r="809">
          <cell r="AW809" t="str">
            <v>.</v>
          </cell>
        </row>
        <row r="810">
          <cell r="AW810" t="str">
            <v>.</v>
          </cell>
        </row>
        <row r="811">
          <cell r="AW811" t="str">
            <v>.</v>
          </cell>
        </row>
        <row r="812">
          <cell r="AW812" t="str">
            <v>.</v>
          </cell>
        </row>
        <row r="813">
          <cell r="AW813" t="str">
            <v>.</v>
          </cell>
        </row>
        <row r="814">
          <cell r="AW814" t="str">
            <v>.</v>
          </cell>
        </row>
        <row r="815">
          <cell r="AW815" t="str">
            <v>.</v>
          </cell>
        </row>
        <row r="816">
          <cell r="AW816" t="str">
            <v>.</v>
          </cell>
        </row>
        <row r="817">
          <cell r="AW817" t="str">
            <v>.</v>
          </cell>
        </row>
        <row r="818">
          <cell r="AW818" t="str">
            <v>.</v>
          </cell>
        </row>
        <row r="819">
          <cell r="AW819" t="str">
            <v>.</v>
          </cell>
        </row>
        <row r="820">
          <cell r="AW820" t="str">
            <v>.</v>
          </cell>
        </row>
        <row r="821">
          <cell r="AW821" t="str">
            <v>.</v>
          </cell>
        </row>
        <row r="822">
          <cell r="AW822" t="str">
            <v>.</v>
          </cell>
        </row>
        <row r="823">
          <cell r="AW823" t="str">
            <v>.</v>
          </cell>
        </row>
        <row r="824">
          <cell r="AW824" t="str">
            <v>.</v>
          </cell>
        </row>
        <row r="825">
          <cell r="AW825" t="str">
            <v>.</v>
          </cell>
        </row>
        <row r="826">
          <cell r="AW826" t="str">
            <v>.</v>
          </cell>
        </row>
        <row r="827">
          <cell r="AW827" t="str">
            <v>.</v>
          </cell>
        </row>
        <row r="828">
          <cell r="AW828" t="str">
            <v>.</v>
          </cell>
        </row>
        <row r="829">
          <cell r="AW829" t="str">
            <v>.</v>
          </cell>
        </row>
        <row r="830">
          <cell r="AW830" t="str">
            <v>.</v>
          </cell>
        </row>
        <row r="831">
          <cell r="AW831" t="str">
            <v>.</v>
          </cell>
        </row>
        <row r="832">
          <cell r="AW832" t="str">
            <v>.</v>
          </cell>
        </row>
        <row r="833">
          <cell r="AW833" t="str">
            <v>.</v>
          </cell>
        </row>
        <row r="834">
          <cell r="AW834" t="str">
            <v>.</v>
          </cell>
        </row>
        <row r="835">
          <cell r="AW835" t="str">
            <v>.</v>
          </cell>
        </row>
        <row r="836">
          <cell r="AW836" t="str">
            <v>.</v>
          </cell>
        </row>
        <row r="837">
          <cell r="AW837" t="str">
            <v>.</v>
          </cell>
        </row>
        <row r="838">
          <cell r="AW838" t="str">
            <v>.</v>
          </cell>
        </row>
        <row r="839">
          <cell r="AW839" t="str">
            <v>.</v>
          </cell>
        </row>
        <row r="840">
          <cell r="AW840" t="str">
            <v>.</v>
          </cell>
        </row>
        <row r="841">
          <cell r="AW841" t="str">
            <v>.</v>
          </cell>
        </row>
        <row r="842">
          <cell r="AW842" t="str">
            <v>.</v>
          </cell>
        </row>
        <row r="843">
          <cell r="AW843" t="str">
            <v>.</v>
          </cell>
        </row>
        <row r="844">
          <cell r="AW844" t="str">
            <v>.</v>
          </cell>
        </row>
        <row r="845">
          <cell r="AW845" t="str">
            <v>.</v>
          </cell>
        </row>
        <row r="846">
          <cell r="AW846" t="str">
            <v>.</v>
          </cell>
        </row>
        <row r="847">
          <cell r="AW847" t="str">
            <v>.</v>
          </cell>
        </row>
        <row r="848">
          <cell r="AW848" t="str">
            <v>.</v>
          </cell>
        </row>
        <row r="849">
          <cell r="AW849" t="str">
            <v>.</v>
          </cell>
        </row>
        <row r="850">
          <cell r="AW850" t="str">
            <v>.</v>
          </cell>
        </row>
        <row r="851">
          <cell r="AW851" t="str">
            <v>.</v>
          </cell>
        </row>
        <row r="852">
          <cell r="AW852" t="str">
            <v>.</v>
          </cell>
        </row>
        <row r="853">
          <cell r="AW853" t="str">
            <v>.</v>
          </cell>
        </row>
        <row r="854">
          <cell r="AW854" t="str">
            <v>.</v>
          </cell>
        </row>
        <row r="855">
          <cell r="AW855" t="str">
            <v>.</v>
          </cell>
        </row>
        <row r="856">
          <cell r="AW856" t="str">
            <v>.</v>
          </cell>
        </row>
        <row r="857">
          <cell r="AW857" t="str">
            <v>.</v>
          </cell>
        </row>
        <row r="858">
          <cell r="AW858" t="str">
            <v>.</v>
          </cell>
        </row>
        <row r="859">
          <cell r="AW859" t="str">
            <v>.</v>
          </cell>
        </row>
        <row r="860">
          <cell r="AW860" t="str">
            <v>.</v>
          </cell>
        </row>
        <row r="861">
          <cell r="AW861" t="str">
            <v>.</v>
          </cell>
        </row>
        <row r="862">
          <cell r="AW862" t="str">
            <v>.</v>
          </cell>
        </row>
        <row r="863">
          <cell r="AW863" t="str">
            <v>.</v>
          </cell>
        </row>
        <row r="864">
          <cell r="AW864" t="str">
            <v>.</v>
          </cell>
        </row>
        <row r="865">
          <cell r="AW865" t="str">
            <v>.</v>
          </cell>
        </row>
        <row r="866">
          <cell r="AW866" t="str">
            <v>.</v>
          </cell>
        </row>
        <row r="867">
          <cell r="AW867" t="str">
            <v>.</v>
          </cell>
        </row>
        <row r="868">
          <cell r="AW868" t="str">
            <v>.</v>
          </cell>
        </row>
        <row r="869">
          <cell r="AW869" t="str">
            <v>.</v>
          </cell>
        </row>
        <row r="870">
          <cell r="AW870" t="str">
            <v>.</v>
          </cell>
        </row>
        <row r="871">
          <cell r="AW871" t="str">
            <v>.</v>
          </cell>
        </row>
        <row r="872">
          <cell r="AW872" t="str">
            <v>.</v>
          </cell>
        </row>
        <row r="873">
          <cell r="AW873" t="str">
            <v>.</v>
          </cell>
        </row>
        <row r="874">
          <cell r="AW874" t="str">
            <v>.</v>
          </cell>
        </row>
        <row r="875">
          <cell r="AW875" t="str">
            <v>.</v>
          </cell>
        </row>
        <row r="876">
          <cell r="AW876" t="str">
            <v>.</v>
          </cell>
        </row>
        <row r="877">
          <cell r="AW877" t="str">
            <v>.</v>
          </cell>
        </row>
        <row r="878">
          <cell r="AW878" t="str">
            <v>.</v>
          </cell>
        </row>
        <row r="879">
          <cell r="AW879" t="str">
            <v>.</v>
          </cell>
        </row>
        <row r="880">
          <cell r="AW880" t="str">
            <v>.</v>
          </cell>
        </row>
        <row r="881">
          <cell r="AW881" t="str">
            <v>.</v>
          </cell>
        </row>
        <row r="882">
          <cell r="AW882" t="str">
            <v>.</v>
          </cell>
        </row>
        <row r="883">
          <cell r="AW883" t="str">
            <v>.</v>
          </cell>
        </row>
        <row r="884">
          <cell r="AW884" t="str">
            <v>.</v>
          </cell>
        </row>
        <row r="885">
          <cell r="AW885" t="str">
            <v>.</v>
          </cell>
        </row>
        <row r="886">
          <cell r="AW886" t="str">
            <v>.</v>
          </cell>
        </row>
        <row r="887">
          <cell r="AW887" t="str">
            <v>.</v>
          </cell>
        </row>
        <row r="888">
          <cell r="AW888" t="str">
            <v>.</v>
          </cell>
        </row>
        <row r="889">
          <cell r="AW889" t="str">
            <v>.</v>
          </cell>
        </row>
        <row r="890">
          <cell r="AW890" t="str">
            <v>.</v>
          </cell>
        </row>
        <row r="891">
          <cell r="AW891" t="str">
            <v>.</v>
          </cell>
        </row>
        <row r="892">
          <cell r="AW892" t="str">
            <v>.</v>
          </cell>
        </row>
        <row r="893">
          <cell r="AW893" t="str">
            <v>.</v>
          </cell>
        </row>
        <row r="894">
          <cell r="AW894" t="str">
            <v>.</v>
          </cell>
        </row>
        <row r="895">
          <cell r="AW895" t="str">
            <v>.</v>
          </cell>
        </row>
        <row r="896">
          <cell r="AW896" t="str">
            <v>.</v>
          </cell>
        </row>
        <row r="897">
          <cell r="AW897" t="str">
            <v>.</v>
          </cell>
        </row>
        <row r="898">
          <cell r="AW898" t="str">
            <v>.</v>
          </cell>
        </row>
        <row r="899">
          <cell r="AW899" t="str">
            <v>.</v>
          </cell>
        </row>
        <row r="900">
          <cell r="AW900" t="str">
            <v>.</v>
          </cell>
        </row>
        <row r="901">
          <cell r="AW901" t="str">
            <v>.</v>
          </cell>
        </row>
        <row r="902">
          <cell r="AW902" t="str">
            <v>.</v>
          </cell>
        </row>
        <row r="903">
          <cell r="AW903" t="str">
            <v>.</v>
          </cell>
        </row>
        <row r="904">
          <cell r="AW904" t="str">
            <v>.</v>
          </cell>
        </row>
        <row r="905">
          <cell r="AW905" t="str">
            <v>.</v>
          </cell>
        </row>
        <row r="906">
          <cell r="AW906" t="str">
            <v>.</v>
          </cell>
        </row>
        <row r="907">
          <cell r="AW907" t="str">
            <v>.</v>
          </cell>
        </row>
        <row r="908">
          <cell r="AW908" t="str">
            <v>.</v>
          </cell>
        </row>
        <row r="909">
          <cell r="AW909" t="str">
            <v>.</v>
          </cell>
        </row>
        <row r="910">
          <cell r="AW910" t="str">
            <v>.</v>
          </cell>
        </row>
        <row r="911">
          <cell r="AW911" t="str">
            <v>.</v>
          </cell>
        </row>
        <row r="912">
          <cell r="AW912" t="str">
            <v>.</v>
          </cell>
        </row>
        <row r="913">
          <cell r="AW913" t="str">
            <v>.</v>
          </cell>
        </row>
        <row r="914">
          <cell r="AW914" t="str">
            <v>.</v>
          </cell>
        </row>
        <row r="915">
          <cell r="AW915" t="str">
            <v>.</v>
          </cell>
        </row>
        <row r="916">
          <cell r="AW916" t="str">
            <v>.</v>
          </cell>
        </row>
        <row r="917">
          <cell r="AW917" t="str">
            <v>.</v>
          </cell>
        </row>
        <row r="918">
          <cell r="AW918" t="str">
            <v>.</v>
          </cell>
        </row>
        <row r="919">
          <cell r="AW919" t="str">
            <v>.</v>
          </cell>
        </row>
        <row r="920">
          <cell r="AW920" t="str">
            <v>.</v>
          </cell>
        </row>
        <row r="921">
          <cell r="AW921" t="str">
            <v>.</v>
          </cell>
        </row>
        <row r="922">
          <cell r="AW922" t="str">
            <v>.</v>
          </cell>
        </row>
        <row r="923">
          <cell r="AW923" t="str">
            <v>.</v>
          </cell>
        </row>
        <row r="924">
          <cell r="AW924" t="str">
            <v>.</v>
          </cell>
        </row>
        <row r="925">
          <cell r="AW925" t="str">
            <v>.</v>
          </cell>
        </row>
        <row r="926">
          <cell r="AW926" t="str">
            <v>.</v>
          </cell>
        </row>
        <row r="927">
          <cell r="AW927" t="str">
            <v>.</v>
          </cell>
        </row>
        <row r="928">
          <cell r="AW928" t="str">
            <v>.</v>
          </cell>
        </row>
        <row r="929">
          <cell r="AW929" t="str">
            <v>.</v>
          </cell>
        </row>
        <row r="930">
          <cell r="AW930" t="str">
            <v>.</v>
          </cell>
        </row>
        <row r="931">
          <cell r="AW931" t="str">
            <v>.</v>
          </cell>
        </row>
        <row r="932">
          <cell r="AW932" t="str">
            <v>.</v>
          </cell>
        </row>
        <row r="933">
          <cell r="AW933" t="str">
            <v>.</v>
          </cell>
        </row>
        <row r="934">
          <cell r="AW934" t="str">
            <v>.</v>
          </cell>
        </row>
        <row r="935">
          <cell r="AW935" t="str">
            <v>.</v>
          </cell>
        </row>
        <row r="936">
          <cell r="AW936" t="str">
            <v>.</v>
          </cell>
        </row>
        <row r="937">
          <cell r="AW937" t="str">
            <v>.</v>
          </cell>
        </row>
        <row r="938">
          <cell r="AW938" t="str">
            <v>.</v>
          </cell>
        </row>
        <row r="939">
          <cell r="AW939" t="str">
            <v>.</v>
          </cell>
        </row>
        <row r="940">
          <cell r="AW940" t="str">
            <v>.</v>
          </cell>
        </row>
        <row r="941">
          <cell r="AW941" t="str">
            <v>.</v>
          </cell>
        </row>
        <row r="942">
          <cell r="AW942" t="str">
            <v>.</v>
          </cell>
        </row>
        <row r="943">
          <cell r="AW943" t="str">
            <v>.</v>
          </cell>
        </row>
        <row r="944">
          <cell r="AW944" t="str">
            <v>.</v>
          </cell>
        </row>
        <row r="945">
          <cell r="AW945" t="str">
            <v>.</v>
          </cell>
        </row>
        <row r="946">
          <cell r="AW946" t="str">
            <v>.</v>
          </cell>
        </row>
        <row r="947">
          <cell r="AW947" t="str">
            <v>.</v>
          </cell>
        </row>
        <row r="948">
          <cell r="AW948" t="str">
            <v>.</v>
          </cell>
        </row>
        <row r="949">
          <cell r="AW949" t="str">
            <v>.</v>
          </cell>
        </row>
        <row r="950">
          <cell r="AW950" t="str">
            <v>.</v>
          </cell>
        </row>
        <row r="951">
          <cell r="AW951" t="str">
            <v>.</v>
          </cell>
        </row>
        <row r="952">
          <cell r="AW952" t="str">
            <v>.</v>
          </cell>
        </row>
        <row r="953">
          <cell r="AW953" t="str">
            <v>.</v>
          </cell>
        </row>
        <row r="954">
          <cell r="AW954" t="str">
            <v>.</v>
          </cell>
        </row>
        <row r="955">
          <cell r="AW955" t="str">
            <v>.</v>
          </cell>
        </row>
        <row r="956">
          <cell r="AW956" t="str">
            <v>.</v>
          </cell>
        </row>
        <row r="957">
          <cell r="AW957" t="str">
            <v>.</v>
          </cell>
        </row>
        <row r="958">
          <cell r="AW958" t="str">
            <v>.</v>
          </cell>
        </row>
        <row r="959">
          <cell r="AW959" t="str">
            <v>.</v>
          </cell>
        </row>
        <row r="960">
          <cell r="AW960" t="str">
            <v>.</v>
          </cell>
        </row>
        <row r="961">
          <cell r="AW961" t="str">
            <v>.</v>
          </cell>
        </row>
        <row r="962">
          <cell r="AW962" t="str">
            <v>.</v>
          </cell>
        </row>
        <row r="963">
          <cell r="AW963" t="str">
            <v>.</v>
          </cell>
        </row>
        <row r="964">
          <cell r="AW964" t="str">
            <v>.</v>
          </cell>
        </row>
        <row r="965">
          <cell r="AW965" t="str">
            <v>.</v>
          </cell>
        </row>
        <row r="966">
          <cell r="AW966" t="str">
            <v>.</v>
          </cell>
        </row>
        <row r="967">
          <cell r="AW967" t="str">
            <v>.</v>
          </cell>
        </row>
        <row r="968">
          <cell r="AW968" t="str">
            <v>.</v>
          </cell>
        </row>
        <row r="969">
          <cell r="AW969" t="str">
            <v>.</v>
          </cell>
        </row>
        <row r="970">
          <cell r="AW970" t="str">
            <v>.</v>
          </cell>
        </row>
        <row r="971">
          <cell r="AW971" t="str">
            <v>.</v>
          </cell>
        </row>
        <row r="972">
          <cell r="AW972" t="str">
            <v>.</v>
          </cell>
        </row>
        <row r="973">
          <cell r="AW973" t="str">
            <v>.</v>
          </cell>
        </row>
        <row r="974">
          <cell r="AW974" t="str">
            <v>.</v>
          </cell>
        </row>
        <row r="975">
          <cell r="AW975" t="str">
            <v>.</v>
          </cell>
        </row>
        <row r="976">
          <cell r="AW976" t="str">
            <v>.</v>
          </cell>
        </row>
        <row r="977">
          <cell r="AW977" t="str">
            <v>.</v>
          </cell>
        </row>
        <row r="978">
          <cell r="AW978" t="str">
            <v>.</v>
          </cell>
        </row>
        <row r="979">
          <cell r="AW979" t="str">
            <v>.</v>
          </cell>
        </row>
        <row r="980">
          <cell r="AW980" t="str">
            <v>.</v>
          </cell>
        </row>
        <row r="981">
          <cell r="AW981" t="str">
            <v>.</v>
          </cell>
        </row>
        <row r="982">
          <cell r="AW982" t="str">
            <v>.</v>
          </cell>
        </row>
        <row r="983">
          <cell r="AW983" t="str">
            <v>.</v>
          </cell>
        </row>
        <row r="984">
          <cell r="AW984" t="str">
            <v>.</v>
          </cell>
        </row>
        <row r="985">
          <cell r="AW985" t="str">
            <v>.</v>
          </cell>
        </row>
        <row r="986">
          <cell r="AW986" t="str">
            <v>.</v>
          </cell>
        </row>
        <row r="987">
          <cell r="AW987" t="str">
            <v>.</v>
          </cell>
        </row>
        <row r="988">
          <cell r="AW988" t="str">
            <v>.</v>
          </cell>
        </row>
        <row r="989">
          <cell r="AW989" t="str">
            <v>.</v>
          </cell>
        </row>
        <row r="990">
          <cell r="AW990" t="str">
            <v>.</v>
          </cell>
        </row>
        <row r="991">
          <cell r="AW991" t="str">
            <v>.</v>
          </cell>
        </row>
        <row r="992">
          <cell r="AW992" t="str">
            <v>.</v>
          </cell>
        </row>
        <row r="993">
          <cell r="AW993" t="str">
            <v>.</v>
          </cell>
        </row>
        <row r="994">
          <cell r="AW994" t="str">
            <v>.</v>
          </cell>
        </row>
        <row r="995">
          <cell r="AW995" t="str">
            <v>.</v>
          </cell>
        </row>
        <row r="996">
          <cell r="A996" t="str">
            <v>.</v>
          </cell>
          <cell r="B996" t="str">
            <v>.</v>
          </cell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O996" t="str">
            <v>.</v>
          </cell>
          <cell r="P996" t="str">
            <v>.</v>
          </cell>
          <cell r="Q996" t="str">
            <v>.</v>
          </cell>
          <cell r="R996" t="str">
            <v>.</v>
          </cell>
          <cell r="S996" t="str">
            <v>.</v>
          </cell>
          <cell r="T996" t="str">
            <v>.</v>
          </cell>
          <cell r="U996" t="str">
            <v>.</v>
          </cell>
          <cell r="V996" t="str">
            <v>.</v>
          </cell>
          <cell r="W996" t="str">
            <v>.</v>
          </cell>
          <cell r="X996" t="str">
            <v>.</v>
          </cell>
          <cell r="Y996" t="str">
            <v>.</v>
          </cell>
          <cell r="Z996" t="str">
            <v>.</v>
          </cell>
          <cell r="AA996" t="str">
            <v>.</v>
          </cell>
          <cell r="AB996" t="str">
            <v>.</v>
          </cell>
          <cell r="AC996" t="str">
            <v>.</v>
          </cell>
          <cell r="AD996" t="str">
            <v>.</v>
          </cell>
          <cell r="AE996" t="str">
            <v>.</v>
          </cell>
          <cell r="AF996" t="str">
            <v>.</v>
          </cell>
          <cell r="AG996" t="str">
            <v>.</v>
          </cell>
          <cell r="AH996" t="str">
            <v>.</v>
          </cell>
          <cell r="AI996" t="str">
            <v>.</v>
          </cell>
          <cell r="AJ996" t="str">
            <v>.</v>
          </cell>
          <cell r="AK996" t="str">
            <v>.</v>
          </cell>
          <cell r="AL996" t="str">
            <v>.</v>
          </cell>
          <cell r="AM996" t="str">
            <v>.</v>
          </cell>
          <cell r="AN996" t="str">
            <v>.</v>
          </cell>
          <cell r="AO996" t="str">
            <v>.</v>
          </cell>
          <cell r="AP996" t="str">
            <v>.</v>
          </cell>
          <cell r="AQ996" t="str">
            <v>.</v>
          </cell>
          <cell r="AR996" t="str">
            <v>.</v>
          </cell>
          <cell r="AS996" t="str">
            <v>.</v>
          </cell>
          <cell r="AT996" t="str">
            <v>.</v>
          </cell>
          <cell r="AU996" t="str">
            <v>.</v>
          </cell>
          <cell r="AV996" t="str">
            <v>.</v>
          </cell>
          <cell r="AW996" t="str">
            <v>.</v>
          </cell>
        </row>
      </sheetData>
      <sheetData sheetId="14" refreshError="1">
        <row r="1">
          <cell r="P1" t="str">
            <v>SmartCharts</v>
          </cell>
        </row>
        <row r="6">
          <cell r="C6" t="str">
            <v>Input value axis title here:</v>
          </cell>
        </row>
        <row r="7">
          <cell r="C7" t="str">
            <v>Current Dividend as % of Projected FCF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Pre-Dividend FCF</v>
          </cell>
          <cell r="E11" t="str">
            <v>Current Dividend</v>
          </cell>
          <cell r="F11" t="str">
            <v>Div. / FCF</v>
          </cell>
          <cell r="AB11" t="str">
            <v>Cells below are used for chart calculations; please do not make any changes</v>
          </cell>
        </row>
        <row r="12">
          <cell r="AB12">
            <v>244.75657931408091</v>
          </cell>
          <cell r="AC12">
            <v>244.75657931408091</v>
          </cell>
        </row>
        <row r="13">
          <cell r="AB13">
            <v>244.75657931408091</v>
          </cell>
          <cell r="AC13">
            <v>244.75657931408091</v>
          </cell>
        </row>
        <row r="14">
          <cell r="C14" t="str">
            <v>2011e</v>
          </cell>
          <cell r="D14">
            <v>96.736330472514965</v>
          </cell>
          <cell r="E14">
            <v>113</v>
          </cell>
          <cell r="F14">
            <v>1.1681236971471223</v>
          </cell>
          <cell r="AB14">
            <v>148.02024884156594</v>
          </cell>
          <cell r="AC14">
            <v>131.75657931408091</v>
          </cell>
        </row>
        <row r="15">
          <cell r="C15" t="str">
            <v>2012e</v>
          </cell>
          <cell r="D15">
            <v>170.37541823634081</v>
          </cell>
          <cell r="E15">
            <v>113</v>
          </cell>
          <cell r="F15">
            <v>0.66324121853804663</v>
          </cell>
          <cell r="AB15">
            <v>74.381161077740103</v>
          </cell>
          <cell r="AC15">
            <v>131.75657931408091</v>
          </cell>
        </row>
        <row r="16">
          <cell r="C16" t="str">
            <v>2013e</v>
          </cell>
          <cell r="D16">
            <v>192.95025703722308</v>
          </cell>
          <cell r="E16">
            <v>113</v>
          </cell>
          <cell r="F16">
            <v>0.58564316904848979</v>
          </cell>
          <cell r="AB16">
            <v>51.806322276857827</v>
          </cell>
          <cell r="AC16">
            <v>131.75657931408091</v>
          </cell>
        </row>
        <row r="17">
          <cell r="C17" t="str">
            <v>2014e</v>
          </cell>
          <cell r="D17">
            <v>216.27040321437914</v>
          </cell>
          <cell r="E17">
            <v>113</v>
          </cell>
          <cell r="F17">
            <v>0.52249405522210157</v>
          </cell>
          <cell r="AB17">
            <v>28.486176099701765</v>
          </cell>
          <cell r="AC17">
            <v>131.75657931408091</v>
          </cell>
        </row>
        <row r="18">
          <cell r="C18" t="str">
            <v>2015e</v>
          </cell>
          <cell r="D18">
            <v>244.75657931408091</v>
          </cell>
          <cell r="E18">
            <v>113</v>
          </cell>
          <cell r="F18">
            <v>0.46168319689986403</v>
          </cell>
          <cell r="AB18">
            <v>0</v>
          </cell>
          <cell r="AC18">
            <v>131.75657931408091</v>
          </cell>
        </row>
        <row r="19">
          <cell r="AB19">
            <v>244.75657931408091</v>
          </cell>
          <cell r="AC19">
            <v>244.75657931408091</v>
          </cell>
        </row>
        <row r="20">
          <cell r="AB20">
            <v>244.75657931408091</v>
          </cell>
          <cell r="AC20">
            <v>244.75657931408091</v>
          </cell>
        </row>
        <row r="21">
          <cell r="AB21">
            <v>244.75657931408091</v>
          </cell>
          <cell r="AC21">
            <v>244.75657931408091</v>
          </cell>
        </row>
        <row r="22">
          <cell r="AB22">
            <v>244.75657931408091</v>
          </cell>
          <cell r="AC22">
            <v>244.75657931408091</v>
          </cell>
        </row>
        <row r="23">
          <cell r="AB23">
            <v>244.75657931408091</v>
          </cell>
          <cell r="AC23">
            <v>244.75657931408091</v>
          </cell>
        </row>
        <row r="24">
          <cell r="AB24">
            <v>244.75657931408091</v>
          </cell>
          <cell r="AC24">
            <v>244.75657931408091</v>
          </cell>
        </row>
        <row r="25">
          <cell r="AB25">
            <v>244.75657931408091</v>
          </cell>
          <cell r="AC25">
            <v>244.75657931408091</v>
          </cell>
        </row>
        <row r="26">
          <cell r="AB26">
            <v>244.75657931408091</v>
          </cell>
          <cell r="AC26">
            <v>244.75657931408091</v>
          </cell>
        </row>
        <row r="27">
          <cell r="AB27">
            <v>244.75657931408091</v>
          </cell>
          <cell r="AC27">
            <v>244.75657931408091</v>
          </cell>
        </row>
        <row r="28">
          <cell r="AB28">
            <v>244.75657931408091</v>
          </cell>
          <cell r="AC28">
            <v>244.75657931408091</v>
          </cell>
        </row>
        <row r="29">
          <cell r="AB29">
            <v>244.75657931408091</v>
          </cell>
          <cell r="AC29">
            <v>244.75657931408091</v>
          </cell>
        </row>
        <row r="30">
          <cell r="AB30">
            <v>244.75657931408091</v>
          </cell>
          <cell r="AC30">
            <v>244.75657931408091</v>
          </cell>
        </row>
        <row r="31">
          <cell r="AB31">
            <v>244.75657931408091</v>
          </cell>
          <cell r="AC31">
            <v>244.75657931408091</v>
          </cell>
        </row>
        <row r="998">
          <cell r="R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  <cell r="V998" t="str">
            <v>.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Note Tables"/>
      <sheetName val="mwareDates"/>
      <sheetName val="Capex Chart"/>
      <sheetName val="FCF-Div. Working Chart"/>
      <sheetName val="MW FDS"/>
      <sheetName val="MWA RR (2)"/>
      <sheetName val="mwareSettings"/>
      <sheetName val="MW-Cache"/>
      <sheetName val="Summary"/>
      <sheetName val="Financials"/>
      <sheetName val="MWA RR"/>
      <sheetName val="Scorecard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NV Energy</v>
          </cell>
        </row>
        <row r="3">
          <cell r="B3" t="str">
            <v>Financial Summary</v>
          </cell>
        </row>
        <row r="4">
          <cell r="B4" t="str">
            <v>$m, unless stated otherwise</v>
          </cell>
        </row>
        <row r="5">
          <cell r="B5" t="str">
            <v>Period Ended</v>
          </cell>
          <cell r="I5">
            <v>2009</v>
          </cell>
          <cell r="N5">
            <v>2010</v>
          </cell>
          <cell r="S5">
            <v>2011</v>
          </cell>
          <cell r="X5">
            <v>2012</v>
          </cell>
          <cell r="AC5">
            <v>2013</v>
          </cell>
          <cell r="AH5">
            <v>2014</v>
          </cell>
          <cell r="AM5">
            <v>2015</v>
          </cell>
          <cell r="AO5" t="str">
            <v>Period Ended</v>
          </cell>
          <cell r="AW5">
            <v>2009</v>
          </cell>
          <cell r="BB5">
            <v>2010</v>
          </cell>
          <cell r="BG5">
            <v>2011</v>
          </cell>
          <cell r="BL5">
            <v>2012</v>
          </cell>
          <cell r="BQ5">
            <v>2013</v>
          </cell>
          <cell r="BV5">
            <v>2014</v>
          </cell>
          <cell r="CA5">
            <v>2015</v>
          </cell>
        </row>
        <row r="7">
          <cell r="B7" t="str">
            <v>EPS AND EBITDA PROFILE</v>
          </cell>
          <cell r="AP7" t="str">
            <v>CAPITALIZATION PROFILE</v>
          </cell>
        </row>
        <row r="9">
          <cell r="C9" t="str">
            <v>EPS by Business Segment</v>
          </cell>
          <cell r="AQ9" t="str">
            <v>Cash</v>
          </cell>
          <cell r="AW9">
            <v>62.706000000000003</v>
          </cell>
          <cell r="BB9">
            <v>86.188999999999993</v>
          </cell>
          <cell r="BG9">
            <v>214.61727950251523</v>
          </cell>
          <cell r="BL9">
            <v>240.56529358885604</v>
          </cell>
          <cell r="BQ9">
            <v>265.84944011607911</v>
          </cell>
          <cell r="BV9">
            <v>386.21502646045826</v>
          </cell>
          <cell r="CA9">
            <v>381.82808254453914</v>
          </cell>
        </row>
        <row r="10">
          <cell r="C10" t="str">
            <v>Nevada Power</v>
          </cell>
          <cell r="I10">
            <v>0.57098225684245008</v>
          </cell>
          <cell r="N10">
            <v>0.78691105583816123</v>
          </cell>
          <cell r="S10">
            <v>0.64430447573699823</v>
          </cell>
          <cell r="X10">
            <v>1.0234410013720265</v>
          </cell>
          <cell r="AC10">
            <v>1.0471710948644808</v>
          </cell>
          <cell r="AH10">
            <v>1.0830719624121479</v>
          </cell>
          <cell r="AM10">
            <v>1.1820805154946072</v>
          </cell>
        </row>
        <row r="11">
          <cell r="C11" t="str">
            <v>Sierra Pacific Power</v>
          </cell>
          <cell r="I11">
            <v>0.31076106044897717</v>
          </cell>
          <cell r="N11">
            <v>0.30629110892201944</v>
          </cell>
          <cell r="S11">
            <v>0.30268756480263276</v>
          </cell>
          <cell r="X11">
            <v>0.31215547901530016</v>
          </cell>
          <cell r="AC11">
            <v>0.32721191357364682</v>
          </cell>
          <cell r="AH11">
            <v>0.36481066593765932</v>
          </cell>
          <cell r="AM11">
            <v>0.36374936985680045</v>
          </cell>
          <cell r="AQ11" t="str">
            <v>Short Term Debt</v>
          </cell>
          <cell r="AW11">
            <v>0</v>
          </cell>
          <cell r="BB11">
            <v>0</v>
          </cell>
          <cell r="BG11">
            <v>0</v>
          </cell>
          <cell r="BL11">
            <v>0</v>
          </cell>
          <cell r="BQ11">
            <v>0</v>
          </cell>
          <cell r="BV11">
            <v>0</v>
          </cell>
          <cell r="CA11">
            <v>0</v>
          </cell>
        </row>
        <row r="12">
          <cell r="C12" t="str">
            <v>Parent &amp; Other</v>
          </cell>
          <cell r="I12">
            <v>-0.10389033303618954</v>
          </cell>
          <cell r="N12">
            <v>-0.13260553515664844</v>
          </cell>
          <cell r="S12">
            <v>-9.1192023357962365E-2</v>
          </cell>
          <cell r="X12">
            <v>-8.9444278664941604E-2</v>
          </cell>
          <cell r="AC12">
            <v>-8.7148762122346318E-2</v>
          </cell>
          <cell r="AH12">
            <v>-8.0633309316615026E-2</v>
          </cell>
          <cell r="AM12">
            <v>-7.5917040694008744E-2</v>
          </cell>
          <cell r="AQ12" t="str">
            <v>Long Term Debt</v>
          </cell>
          <cell r="AW12">
            <v>5437.8310000000001</v>
          </cell>
          <cell r="BB12">
            <v>5280.0380000000005</v>
          </cell>
          <cell r="BG12">
            <v>5230.0380000000005</v>
          </cell>
          <cell r="BL12">
            <v>5150.0380000000005</v>
          </cell>
          <cell r="BQ12">
            <v>5075.0380000000005</v>
          </cell>
          <cell r="BV12">
            <v>5100.0380000000005</v>
          </cell>
          <cell r="CA12">
            <v>5000.0380000000005</v>
          </cell>
        </row>
        <row r="13">
          <cell r="C13" t="str">
            <v>Consolidated EPS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0.77785298425523774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0.9605966296035322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0.85580001718166865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1.2461522017223849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1.2872342463157813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1.3672493190331922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1.4699128446573988</v>
          </cell>
          <cell r="AQ13" t="str">
            <v>Total Debt</v>
          </cell>
          <cell r="AW13">
            <v>5437.8310000000001</v>
          </cell>
          <cell r="BB13">
            <v>5280.0380000000005</v>
          </cell>
          <cell r="BG13">
            <v>5230.0380000000005</v>
          </cell>
          <cell r="BL13">
            <v>5150.0380000000005</v>
          </cell>
          <cell r="BQ13">
            <v>5075.0380000000005</v>
          </cell>
          <cell r="BV13">
            <v>5100.0380000000005</v>
          </cell>
          <cell r="CA13">
            <v>5000.0380000000005</v>
          </cell>
        </row>
        <row r="14">
          <cell r="C14" t="str">
            <v>Growth</v>
          </cell>
          <cell r="N14">
            <v>0.2349333987877722</v>
          </cell>
          <cell r="S14">
            <v>-0.10909533636935242</v>
          </cell>
          <cell r="X14">
            <v>0.45612546938971676</v>
          </cell>
          <cell r="AC14">
            <v>3.296711632544902E-2</v>
          </cell>
          <cell r="AH14">
            <v>6.2160459874668339E-2</v>
          </cell>
          <cell r="AM14">
            <v>7.5087640706818393E-2</v>
          </cell>
        </row>
        <row r="15">
          <cell r="AQ15" t="str">
            <v>Preferred Equity</v>
          </cell>
          <cell r="AW15">
            <v>0</v>
          </cell>
          <cell r="BB15">
            <v>0</v>
          </cell>
          <cell r="BG15">
            <v>0</v>
          </cell>
          <cell r="BL15">
            <v>0</v>
          </cell>
          <cell r="BQ15">
            <v>0</v>
          </cell>
          <cell r="BV15">
            <v>0</v>
          </cell>
          <cell r="CA15">
            <v>0</v>
          </cell>
        </row>
        <row r="16">
          <cell r="C16" t="str">
            <v>Regulated / Unregulated EPS</v>
          </cell>
          <cell r="AQ16" t="str">
            <v>Common Equity</v>
          </cell>
          <cell r="AW16">
            <v>3223.922</v>
          </cell>
          <cell r="BB16">
            <v>3350.8180000000002</v>
          </cell>
          <cell r="BG16">
            <v>3437.9657186990507</v>
          </cell>
          <cell r="BL16">
            <v>3603.339317189053</v>
          </cell>
          <cell r="BQ16">
            <v>3750.1929482659471</v>
          </cell>
          <cell r="BV16">
            <v>3887.7369601607984</v>
          </cell>
          <cell r="CA16">
            <v>4021.3292751369854</v>
          </cell>
        </row>
        <row r="17">
          <cell r="C17" t="str">
            <v>Regulated Utility (includes Parent)</v>
          </cell>
          <cell r="I17">
            <v>1</v>
          </cell>
          <cell r="N17">
            <v>1</v>
          </cell>
          <cell r="S17">
            <v>1</v>
          </cell>
          <cell r="X17">
            <v>1</v>
          </cell>
          <cell r="AC17">
            <v>1</v>
          </cell>
          <cell r="AH17">
            <v>1</v>
          </cell>
          <cell r="AM17">
            <v>1</v>
          </cell>
        </row>
        <row r="18">
          <cell r="C18" t="str">
            <v>Merchant Power</v>
          </cell>
          <cell r="I18">
            <v>0</v>
          </cell>
          <cell r="N18">
            <v>0</v>
          </cell>
          <cell r="S18">
            <v>0</v>
          </cell>
          <cell r="X18">
            <v>0</v>
          </cell>
          <cell r="AC18">
            <v>0</v>
          </cell>
          <cell r="AH18">
            <v>0</v>
          </cell>
          <cell r="AM18">
            <v>0</v>
          </cell>
          <cell r="AQ18" t="str">
            <v>Total Capitalization</v>
          </cell>
          <cell r="AW18">
            <v>8661.7530000000006</v>
          </cell>
          <cell r="BB18">
            <v>8630.8559999999998</v>
          </cell>
          <cell r="BG18">
            <v>8668.0037186990521</v>
          </cell>
          <cell r="BL18">
            <v>8753.3773171890534</v>
          </cell>
          <cell r="BQ18">
            <v>8825.2309482659475</v>
          </cell>
          <cell r="BV18">
            <v>8987.7749601607993</v>
          </cell>
          <cell r="CA18">
            <v>9021.367275136985</v>
          </cell>
        </row>
        <row r="19">
          <cell r="C19" t="str">
            <v>Other (Non-Utility / Power operations)</v>
          </cell>
          <cell r="I19">
            <v>0</v>
          </cell>
          <cell r="N19">
            <v>0</v>
          </cell>
          <cell r="S19">
            <v>0</v>
          </cell>
          <cell r="X19">
            <v>0</v>
          </cell>
          <cell r="AC19">
            <v>0</v>
          </cell>
          <cell r="AH19">
            <v>0</v>
          </cell>
          <cell r="AM19">
            <v>0</v>
          </cell>
        </row>
        <row r="20">
          <cell r="AQ20" t="str">
            <v>Leverage Ratios</v>
          </cell>
        </row>
        <row r="21">
          <cell r="C21" t="str">
            <v>EBITDA by Business Segment</v>
          </cell>
          <cell r="AQ21" t="str">
            <v>LT Debt  / Total Cap</v>
          </cell>
          <cell r="AW21">
            <v>0.62779797576772278</v>
          </cell>
          <cell r="BB21">
            <v>0.61176295839022232</v>
          </cell>
          <cell r="BG21">
            <v>0.60337283759090921</v>
          </cell>
          <cell r="BL21">
            <v>0.58834868112983585</v>
          </cell>
          <cell r="BQ21">
            <v>0.57506007828579087</v>
          </cell>
          <cell r="BV21">
            <v>0.56744166633081305</v>
          </cell>
          <cell r="CA21">
            <v>0.55424392417546009</v>
          </cell>
        </row>
        <row r="22">
          <cell r="C22" t="str">
            <v>Nevada Power</v>
          </cell>
          <cell r="I22">
            <v>638.06100000000015</v>
          </cell>
          <cell r="N22">
            <v>718.31899999999973</v>
          </cell>
          <cell r="S22">
            <v>692.29769453775964</v>
          </cell>
          <cell r="X22">
            <v>841.88870360407191</v>
          </cell>
          <cell r="AC22">
            <v>850.41700135407177</v>
          </cell>
          <cell r="AH22">
            <v>864.69057499275152</v>
          </cell>
          <cell r="AM22">
            <v>899.03739152422258</v>
          </cell>
          <cell r="AQ22" t="str">
            <v>Total Debt / Total Cap</v>
          </cell>
          <cell r="AW22">
            <v>0.62779797576772278</v>
          </cell>
          <cell r="BB22">
            <v>0.61176295839022232</v>
          </cell>
          <cell r="BG22">
            <v>0.60337283759090921</v>
          </cell>
          <cell r="BL22">
            <v>0.58834868112983585</v>
          </cell>
          <cell r="BQ22">
            <v>0.57506007828579087</v>
          </cell>
          <cell r="BV22">
            <v>0.56744166633081305</v>
          </cell>
          <cell r="CA22">
            <v>0.55424392417546009</v>
          </cell>
        </row>
        <row r="23">
          <cell r="C23" t="str">
            <v>Sierra Pacific Power</v>
          </cell>
          <cell r="I23">
            <v>279.77100000000007</v>
          </cell>
          <cell r="N23">
            <v>288.10000000000014</v>
          </cell>
          <cell r="S23">
            <v>279.46208999999993</v>
          </cell>
          <cell r="X23">
            <v>285.56132590000004</v>
          </cell>
          <cell r="AC23">
            <v>292.7860310609999</v>
          </cell>
          <cell r="AH23">
            <v>308.195814640295</v>
          </cell>
          <cell r="AM23">
            <v>310.7371373663899</v>
          </cell>
          <cell r="AQ23" t="str">
            <v>Net Debt / LTM EBITDA</v>
          </cell>
          <cell r="AW23">
            <v>9.5289611635167173</v>
          </cell>
          <cell r="BB23">
            <v>5.1586822630130387</v>
          </cell>
          <cell r="BG23">
            <v>5.1825058249274631</v>
          </cell>
          <cell r="BL23">
            <v>4.3699965085036743</v>
          </cell>
          <cell r="BQ23">
            <v>4.2215377092954229</v>
          </cell>
          <cell r="BV23">
            <v>4.0327469079517408</v>
          </cell>
          <cell r="CA23">
            <v>3.8300775201351303</v>
          </cell>
        </row>
        <row r="24">
          <cell r="C24" t="str">
            <v>Corporate &amp; Other</v>
          </cell>
          <cell r="I24">
            <v>-3.2100000000001785</v>
          </cell>
          <cell r="N24">
            <v>0.39800000000031943</v>
          </cell>
          <cell r="S24">
            <v>-4</v>
          </cell>
          <cell r="X24">
            <v>-4</v>
          </cell>
          <cell r="AC24">
            <v>-4</v>
          </cell>
          <cell r="AH24">
            <v>-4</v>
          </cell>
          <cell r="AM24">
            <v>-4</v>
          </cell>
          <cell r="AQ24" t="str">
            <v>FFO / Total Debt</v>
          </cell>
          <cell r="AW24">
            <v>9.2841612768031948E-2</v>
          </cell>
          <cell r="BB24">
            <v>0.10606798663191445</v>
          </cell>
          <cell r="BG24">
            <v>0.10614772684448458</v>
          </cell>
          <cell r="BL24">
            <v>0.12894625005493404</v>
          </cell>
          <cell r="BQ24">
            <v>0.13391727507747295</v>
          </cell>
          <cell r="BV24">
            <v>0.13783336634977697</v>
          </cell>
          <cell r="CA24">
            <v>0.14628720464754197</v>
          </cell>
        </row>
        <row r="25">
          <cell r="C25" t="str">
            <v>Consolidated EBITDA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914.62200000000007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1006.8170000000002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967.75978453775951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1123.4500295040721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1139.2030324150717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1168.8863896330465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1205.7745288906126</v>
          </cell>
        </row>
        <row r="26">
          <cell r="AQ26" t="str">
            <v>Coverage Ratios</v>
          </cell>
        </row>
        <row r="27">
          <cell r="C27" t="str">
            <v>Regulated / Unregulated EBITDA</v>
          </cell>
          <cell r="AQ27" t="str">
            <v>FFO Interest Coverage ((FFO + Int.) / Int.)</v>
          </cell>
          <cell r="AW27">
            <v>2.4998989880984213</v>
          </cell>
          <cell r="BB27">
            <v>2.6208371559964934</v>
          </cell>
          <cell r="BG27">
            <v>2.7123600298622179</v>
          </cell>
          <cell r="BL27">
            <v>3.1101216481176945</v>
          </cell>
          <cell r="BQ27">
            <v>3.1946835077986964</v>
          </cell>
          <cell r="BV27">
            <v>3.2984109011742175</v>
          </cell>
          <cell r="CA27">
            <v>3.4286793911401889</v>
          </cell>
        </row>
        <row r="28">
          <cell r="C28" t="str">
            <v>Regulated Utility (includes Parent)</v>
          </cell>
          <cell r="I28">
            <v>1</v>
          </cell>
          <cell r="N28">
            <v>1</v>
          </cell>
          <cell r="S28">
            <v>1</v>
          </cell>
          <cell r="X28">
            <v>1</v>
          </cell>
          <cell r="AC28">
            <v>1</v>
          </cell>
          <cell r="AH28">
            <v>1</v>
          </cell>
          <cell r="AM28">
            <v>1</v>
          </cell>
          <cell r="AQ28" t="str">
            <v>Pretax Interest Coverage (EBIT / Int.)</v>
          </cell>
          <cell r="AW28">
            <v>1.7608780905185477</v>
          </cell>
          <cell r="BB28">
            <v>1.9499431303487145</v>
          </cell>
          <cell r="BG28">
            <v>1.8971263364762765</v>
          </cell>
          <cell r="BL28">
            <v>2.3963998899974324</v>
          </cell>
          <cell r="BQ28">
            <v>2.4673973891223868</v>
          </cell>
          <cell r="BV28">
            <v>2.5809875708239618</v>
          </cell>
          <cell r="CA28">
            <v>2.7295980496810768</v>
          </cell>
        </row>
        <row r="29">
          <cell r="C29" t="str">
            <v>Merchant Power</v>
          </cell>
          <cell r="I29">
            <v>0</v>
          </cell>
          <cell r="N29">
            <v>0</v>
          </cell>
          <cell r="S29">
            <v>0</v>
          </cell>
          <cell r="X29">
            <v>0</v>
          </cell>
          <cell r="AC29">
            <v>0</v>
          </cell>
          <cell r="AH29">
            <v>0</v>
          </cell>
          <cell r="AM29">
            <v>0</v>
          </cell>
        </row>
        <row r="30">
          <cell r="C30" t="str">
            <v>Other (Non-Utility / Power operations)</v>
          </cell>
          <cell r="I30">
            <v>0</v>
          </cell>
          <cell r="N30">
            <v>0</v>
          </cell>
          <cell r="S30">
            <v>0</v>
          </cell>
          <cell r="X30">
            <v>0</v>
          </cell>
          <cell r="AC30">
            <v>0</v>
          </cell>
          <cell r="AH30">
            <v>0</v>
          </cell>
          <cell r="AM30">
            <v>0</v>
          </cell>
        </row>
        <row r="33">
          <cell r="B33" t="str">
            <v>DIVIDEND AND SHARE COUNT DATA</v>
          </cell>
          <cell r="AP33" t="str">
            <v>CASH FLOW PROFILE</v>
          </cell>
        </row>
        <row r="35">
          <cell r="C35" t="str">
            <v>Dividend Per Share</v>
          </cell>
          <cell r="E35">
            <v>0.1</v>
          </cell>
          <cell r="F35">
            <v>0.1</v>
          </cell>
          <cell r="G35">
            <v>0.1</v>
          </cell>
          <cell r="H35">
            <v>0.10999999999999993</v>
          </cell>
          <cell r="I35">
            <v>0.41</v>
          </cell>
          <cell r="J35">
            <v>0.11</v>
          </cell>
          <cell r="K35">
            <v>0.11</v>
          </cell>
          <cell r="L35">
            <v>0.11</v>
          </cell>
          <cell r="M35">
            <v>0.12</v>
          </cell>
          <cell r="N35">
            <v>0.45</v>
          </cell>
          <cell r="O35">
            <v>0.12</v>
          </cell>
          <cell r="P35">
            <v>0.12</v>
          </cell>
          <cell r="Q35">
            <v>0.12</v>
          </cell>
          <cell r="R35">
            <v>0.13</v>
          </cell>
          <cell r="S35">
            <v>0.49</v>
          </cell>
          <cell r="T35">
            <v>0.13</v>
          </cell>
          <cell r="U35">
            <v>0.13</v>
          </cell>
          <cell r="V35">
            <v>0.13</v>
          </cell>
          <cell r="W35">
            <v>0.16</v>
          </cell>
          <cell r="X35">
            <v>0.55000000000000004</v>
          </cell>
          <cell r="Y35">
            <v>0.16</v>
          </cell>
          <cell r="Z35">
            <v>0.16</v>
          </cell>
          <cell r="AA35">
            <v>0.16</v>
          </cell>
          <cell r="AB35">
            <v>0.19</v>
          </cell>
          <cell r="AC35">
            <v>0.66999999999999993</v>
          </cell>
          <cell r="AD35">
            <v>0.19</v>
          </cell>
          <cell r="AE35">
            <v>0.19</v>
          </cell>
          <cell r="AF35">
            <v>0.19</v>
          </cell>
          <cell r="AG35">
            <v>0.22</v>
          </cell>
          <cell r="AH35">
            <v>0.79</v>
          </cell>
          <cell r="AI35">
            <v>0.22</v>
          </cell>
          <cell r="AJ35">
            <v>0.22</v>
          </cell>
          <cell r="AK35">
            <v>0.22</v>
          </cell>
          <cell r="AL35">
            <v>0.25</v>
          </cell>
          <cell r="AM35">
            <v>0.91</v>
          </cell>
          <cell r="AQ35" t="str">
            <v>Regulated / Unregulated OCF</v>
          </cell>
        </row>
        <row r="36">
          <cell r="C36" t="str">
            <v>Dividend Yield</v>
          </cell>
          <cell r="I36">
            <v>2.8571428571428571E-2</v>
          </cell>
          <cell r="N36">
            <v>3.1358885017421602E-2</v>
          </cell>
          <cell r="S36">
            <v>3.4146341463414637E-2</v>
          </cell>
          <cell r="X36">
            <v>3.8327526132404185E-2</v>
          </cell>
          <cell r="AC36">
            <v>4.6689895470383269E-2</v>
          </cell>
          <cell r="AH36">
            <v>5.5052264808362374E-2</v>
          </cell>
          <cell r="AM36">
            <v>6.3414634146341464E-2</v>
          </cell>
          <cell r="AQ36" t="str">
            <v>Regulated Utility (includes parent)</v>
          </cell>
          <cell r="AW36">
            <v>751.52100000000007</v>
          </cell>
          <cell r="BB36">
            <v>886.452</v>
          </cell>
          <cell r="BG36">
            <v>649.91933047251496</v>
          </cell>
          <cell r="BL36">
            <v>708.55066823634081</v>
          </cell>
          <cell r="BQ36">
            <v>669.10784037055646</v>
          </cell>
          <cell r="BV36">
            <v>692.42798654771252</v>
          </cell>
          <cell r="CA36">
            <v>720.91416264741429</v>
          </cell>
        </row>
        <row r="37">
          <cell r="C37" t="str">
            <v>Dividend Payout Ratio</v>
          </cell>
          <cell r="I37">
            <v>0.52709189049722305</v>
          </cell>
          <cell r="N37">
            <v>0.46845885789306679</v>
          </cell>
          <cell r="S37">
            <v>0.57256367160832056</v>
          </cell>
          <cell r="X37">
            <v>0.44135860711060065</v>
          </cell>
          <cell r="AC37">
            <v>0.52049578537676433</v>
          </cell>
          <cell r="AH37">
            <v>0.57780244539351744</v>
          </cell>
          <cell r="AM37">
            <v>0.61908432415399373</v>
          </cell>
          <cell r="AQ37" t="str">
            <v>Merchant Power</v>
          </cell>
          <cell r="AW37">
            <v>0</v>
          </cell>
          <cell r="BB37">
            <v>0</v>
          </cell>
          <cell r="BG37">
            <v>0</v>
          </cell>
          <cell r="BL37">
            <v>0</v>
          </cell>
          <cell r="BQ37">
            <v>0</v>
          </cell>
          <cell r="BV37">
            <v>0</v>
          </cell>
          <cell r="CA37">
            <v>0</v>
          </cell>
        </row>
        <row r="38">
          <cell r="C38" t="str">
            <v>Dividend Growth Rate</v>
          </cell>
          <cell r="N38">
            <v>9.7560975609756184E-2</v>
          </cell>
          <cell r="S38">
            <v>8.8888888888888795E-2</v>
          </cell>
          <cell r="X38">
            <v>0.12244897959183687</v>
          </cell>
          <cell r="AC38">
            <v>0.21818181818181803</v>
          </cell>
          <cell r="AH38">
            <v>0.17910447761194037</v>
          </cell>
          <cell r="AM38">
            <v>0.15189873417721511</v>
          </cell>
          <cell r="AQ38" t="str">
            <v>Other (non-utility/power operations)</v>
          </cell>
          <cell r="AW38">
            <v>0</v>
          </cell>
          <cell r="BB38">
            <v>0</v>
          </cell>
          <cell r="BG38">
            <v>0</v>
          </cell>
          <cell r="BL38">
            <v>0</v>
          </cell>
          <cell r="BQ38">
            <v>0</v>
          </cell>
          <cell r="BV38">
            <v>0</v>
          </cell>
          <cell r="CA38">
            <v>0</v>
          </cell>
        </row>
        <row r="39">
          <cell r="AQ39" t="str">
            <v>Consolidated OCF</v>
          </cell>
          <cell r="AW39">
            <v>751.52100000000007</v>
          </cell>
          <cell r="BB39">
            <v>886.452</v>
          </cell>
          <cell r="BG39">
            <v>649.91933047251496</v>
          </cell>
          <cell r="BL39">
            <v>708.55066823634081</v>
          </cell>
          <cell r="BQ39">
            <v>669.10784037055646</v>
          </cell>
          <cell r="BV39">
            <v>692.42798654771252</v>
          </cell>
          <cell r="CA39">
            <v>720.91416264741429</v>
          </cell>
        </row>
        <row r="40">
          <cell r="C40" t="str">
            <v>Actual Shares Outstanding</v>
          </cell>
          <cell r="I40">
            <v>235.834169</v>
          </cell>
          <cell r="N40">
            <v>235.322553</v>
          </cell>
          <cell r="S40">
            <v>235.322553</v>
          </cell>
          <cell r="X40">
            <v>235.322553</v>
          </cell>
          <cell r="AC40">
            <v>235.322553</v>
          </cell>
          <cell r="AH40">
            <v>235.322553</v>
          </cell>
          <cell r="AM40">
            <v>235.322553</v>
          </cell>
        </row>
        <row r="41">
          <cell r="C41" t="str">
            <v>Average Shares Outstanding</v>
          </cell>
          <cell r="I41">
            <v>234.542292</v>
          </cell>
          <cell r="N41">
            <v>235.04834700000001</v>
          </cell>
          <cell r="S41">
            <v>235.322553</v>
          </cell>
          <cell r="X41">
            <v>235.322553</v>
          </cell>
          <cell r="AC41">
            <v>235.322553</v>
          </cell>
          <cell r="AH41">
            <v>235.322553</v>
          </cell>
          <cell r="AM41">
            <v>235.322553</v>
          </cell>
          <cell r="AQ41" t="str">
            <v>Regulated / Unregulated CapEx</v>
          </cell>
        </row>
        <row r="42">
          <cell r="C42" t="str">
            <v>Diluted Average Shares Outstanding</v>
          </cell>
          <cell r="I42">
            <v>235.180688</v>
          </cell>
          <cell r="N42">
            <v>236.29481200000001</v>
          </cell>
          <cell r="S42">
            <v>236.569018</v>
          </cell>
          <cell r="X42">
            <v>236.569018</v>
          </cell>
          <cell r="AC42">
            <v>236.569018</v>
          </cell>
          <cell r="AH42">
            <v>236.569018</v>
          </cell>
          <cell r="AM42">
            <v>236.569018</v>
          </cell>
          <cell r="AQ42" t="str">
            <v>Regulated Utility (includes parent)</v>
          </cell>
          <cell r="AW42">
            <v>843.13199999999995</v>
          </cell>
          <cell r="BB42">
            <v>629.49599999999998</v>
          </cell>
          <cell r="BG42">
            <v>553.18299999999999</v>
          </cell>
          <cell r="BL42">
            <v>538.17525000000001</v>
          </cell>
          <cell r="BQ42">
            <v>476.15758333333338</v>
          </cell>
          <cell r="BV42">
            <v>476.15758333333338</v>
          </cell>
          <cell r="CA42">
            <v>476.15758333333338</v>
          </cell>
        </row>
        <row r="43">
          <cell r="AQ43" t="str">
            <v>Merchant Power</v>
          </cell>
          <cell r="AW43">
            <v>0</v>
          </cell>
          <cell r="BB43">
            <v>0</v>
          </cell>
          <cell r="BG43">
            <v>0</v>
          </cell>
          <cell r="BL43">
            <v>0</v>
          </cell>
          <cell r="BQ43">
            <v>0</v>
          </cell>
          <cell r="BV43">
            <v>0</v>
          </cell>
          <cell r="CA43">
            <v>0</v>
          </cell>
        </row>
        <row r="44">
          <cell r="AQ44" t="str">
            <v>Other (non-utility/power operations)</v>
          </cell>
          <cell r="AW44">
            <v>0</v>
          </cell>
          <cell r="BB44">
            <v>0</v>
          </cell>
          <cell r="BG44">
            <v>0</v>
          </cell>
          <cell r="BL44">
            <v>0</v>
          </cell>
          <cell r="BQ44">
            <v>0</v>
          </cell>
          <cell r="BV44">
            <v>0</v>
          </cell>
          <cell r="CA44">
            <v>0</v>
          </cell>
        </row>
        <row r="45">
          <cell r="AQ45" t="str">
            <v>Consolidated CapEx</v>
          </cell>
          <cell r="AW45">
            <v>843.13199999999995</v>
          </cell>
          <cell r="BB45">
            <v>629.49599999999998</v>
          </cell>
          <cell r="BG45">
            <v>553.18299999999999</v>
          </cell>
          <cell r="BL45">
            <v>538.17525000000001</v>
          </cell>
          <cell r="BQ45">
            <v>476.15758333333338</v>
          </cell>
          <cell r="BV45">
            <v>476.15758333333338</v>
          </cell>
          <cell r="CA45">
            <v>476.15758333333338</v>
          </cell>
        </row>
        <row r="47">
          <cell r="B47" t="str">
            <v>VALUATION PROFILE</v>
          </cell>
          <cell r="AQ47" t="str">
            <v>Free Cash Flow</v>
          </cell>
        </row>
        <row r="48">
          <cell r="AQ48" t="str">
            <v>Regulated Utility (includes parent)</v>
          </cell>
          <cell r="AW48">
            <v>-91.610999999999876</v>
          </cell>
          <cell r="BB48">
            <v>256.95600000000002</v>
          </cell>
          <cell r="BG48">
            <v>96.736330472514965</v>
          </cell>
          <cell r="BL48">
            <v>170.37541823634081</v>
          </cell>
          <cell r="BQ48">
            <v>192.95025703722308</v>
          </cell>
          <cell r="BV48">
            <v>216.27040321437914</v>
          </cell>
          <cell r="CA48">
            <v>244.75657931408091</v>
          </cell>
        </row>
        <row r="49">
          <cell r="C49" t="str">
            <v>Price to Earnings</v>
          </cell>
          <cell r="F49" t="e">
            <v>#NAME?</v>
          </cell>
          <cell r="G49" t="e">
            <v>#NAME?</v>
          </cell>
          <cell r="H49" t="e">
            <v>#NAME?</v>
          </cell>
          <cell r="K49" t="e">
            <v>#NAME?</v>
          </cell>
          <cell r="L49" t="e">
            <v>#NAME?</v>
          </cell>
          <cell r="M49" t="e">
            <v>#NAME?</v>
          </cell>
          <cell r="N49">
            <v>14.938632468367796</v>
          </cell>
          <cell r="O49" t="e">
            <v>#NAME?</v>
          </cell>
          <cell r="P49" t="e">
            <v>#NAME?</v>
          </cell>
          <cell r="Q49" t="e">
            <v>#NAME?</v>
          </cell>
          <cell r="S49">
            <v>16.767936097100815</v>
          </cell>
          <cell r="T49" t="e">
            <v>#NAME?</v>
          </cell>
          <cell r="U49" t="e">
            <v>#NAME?</v>
          </cell>
          <cell r="V49" t="e">
            <v>#NAME?</v>
          </cell>
          <cell r="X49">
            <v>11.515447294612942</v>
          </cell>
          <cell r="Y49" t="e">
            <v>#NAME?</v>
          </cell>
          <cell r="Z49" t="e">
            <v>#NAME?</v>
          </cell>
          <cell r="AA49" t="e">
            <v>#NAME?</v>
          </cell>
          <cell r="AC49">
            <v>11.147932119636669</v>
          </cell>
          <cell r="AD49" t="e">
            <v>#NAME?</v>
          </cell>
          <cell r="AE49" t="e">
            <v>#NAME?</v>
          </cell>
          <cell r="AF49" t="e">
            <v>#NAME?</v>
          </cell>
          <cell r="AH49">
            <v>10.495525432148071</v>
          </cell>
          <cell r="AI49" t="e">
            <v>#NAME?</v>
          </cell>
          <cell r="AJ49" t="e">
            <v>#NAME?</v>
          </cell>
          <cell r="AK49" t="e">
            <v>#NAME?</v>
          </cell>
          <cell r="AM49">
            <v>9.7624835731975921</v>
          </cell>
          <cell r="AQ49" t="str">
            <v>Merchant Power</v>
          </cell>
          <cell r="AW49">
            <v>0</v>
          </cell>
          <cell r="BB49">
            <v>0</v>
          </cell>
          <cell r="BG49">
            <v>0</v>
          </cell>
          <cell r="BL49">
            <v>0</v>
          </cell>
          <cell r="BQ49">
            <v>0</v>
          </cell>
          <cell r="BV49">
            <v>0</v>
          </cell>
          <cell r="CA49">
            <v>0</v>
          </cell>
        </row>
        <row r="50">
          <cell r="C50" t="str">
            <v>EV / EBITDA</v>
          </cell>
          <cell r="F50" t="e">
            <v>#NAME?</v>
          </cell>
          <cell r="G50" t="e">
            <v>#NAME?</v>
          </cell>
          <cell r="H50" t="e">
            <v>#NAME?</v>
          </cell>
          <cell r="K50" t="e">
            <v>#NAME?</v>
          </cell>
          <cell r="L50" t="e">
            <v>#NAME?</v>
          </cell>
          <cell r="M50" t="e">
            <v>#NAME?</v>
          </cell>
          <cell r="N50">
            <v>8.5222238500144485</v>
          </cell>
          <cell r="O50" t="e">
            <v>#NAME?</v>
          </cell>
          <cell r="P50" t="e">
            <v>#NAME?</v>
          </cell>
          <cell r="Q50" t="e">
            <v>#NAME?</v>
          </cell>
          <cell r="S50">
            <v>8.681794495635673</v>
          </cell>
          <cell r="T50" t="e">
            <v>#NAME?</v>
          </cell>
          <cell r="U50" t="e">
            <v>#NAME?</v>
          </cell>
          <cell r="V50" t="e">
            <v>#NAME?</v>
          </cell>
          <cell r="X50">
            <v>7.3843458440899665</v>
          </cell>
          <cell r="Y50" t="e">
            <v>#NAME?</v>
          </cell>
          <cell r="Z50" t="e">
            <v>#NAME?</v>
          </cell>
          <cell r="AA50" t="e">
            <v>#NAME?</v>
          </cell>
          <cell r="AC50">
            <v>7.194204348727375</v>
          </cell>
          <cell r="AD50" t="e">
            <v>#NAME?</v>
          </cell>
          <cell r="AE50" t="e">
            <v>#NAME?</v>
          </cell>
          <cell r="AF50" t="e">
            <v>#NAME?</v>
          </cell>
          <cell r="AH50">
            <v>6.9299239818187148</v>
          </cell>
          <cell r="AI50" t="e">
            <v>#NAME?</v>
          </cell>
          <cell r="AJ50" t="e">
            <v>#NAME?</v>
          </cell>
          <cell r="AK50" t="e">
            <v>#NAME?</v>
          </cell>
          <cell r="AM50">
            <v>6.6386215462854947</v>
          </cell>
          <cell r="AQ50" t="str">
            <v>Other (non-utility/power operations)</v>
          </cell>
          <cell r="AW50">
            <v>0</v>
          </cell>
          <cell r="BB50">
            <v>0</v>
          </cell>
          <cell r="BG50">
            <v>0</v>
          </cell>
          <cell r="BL50">
            <v>0</v>
          </cell>
          <cell r="BQ50">
            <v>0</v>
          </cell>
          <cell r="BV50">
            <v>0</v>
          </cell>
          <cell r="CA50">
            <v>0</v>
          </cell>
        </row>
        <row r="51">
          <cell r="C51" t="str">
            <v>Dividend Yield</v>
          </cell>
          <cell r="F51" t="e">
            <v>#NAME?</v>
          </cell>
          <cell r="G51" t="e">
            <v>#NAME?</v>
          </cell>
          <cell r="H51" t="e">
            <v>#NAME?</v>
          </cell>
          <cell r="K51" t="e">
            <v>#NAME?</v>
          </cell>
          <cell r="L51" t="e">
            <v>#NAME?</v>
          </cell>
          <cell r="M51" t="e">
            <v>#NAME?</v>
          </cell>
          <cell r="N51">
            <v>3.1358885017421602E-2</v>
          </cell>
          <cell r="O51" t="e">
            <v>#NAME?</v>
          </cell>
          <cell r="P51" t="e">
            <v>#NAME?</v>
          </cell>
          <cell r="Q51" t="e">
            <v>#NAME?</v>
          </cell>
          <cell r="S51">
            <v>3.4146341463414637E-2</v>
          </cell>
          <cell r="T51" t="e">
            <v>#NAME?</v>
          </cell>
          <cell r="U51" t="e">
            <v>#NAME?</v>
          </cell>
          <cell r="V51" t="e">
            <v>#NAME?</v>
          </cell>
          <cell r="X51">
            <v>3.8327526132404185E-2</v>
          </cell>
          <cell r="Y51" t="e">
            <v>#NAME?</v>
          </cell>
          <cell r="Z51" t="e">
            <v>#NAME?</v>
          </cell>
          <cell r="AA51" t="e">
            <v>#NAME?</v>
          </cell>
          <cell r="AC51">
            <v>4.6689895470383269E-2</v>
          </cell>
          <cell r="AD51" t="e">
            <v>#NAME?</v>
          </cell>
          <cell r="AE51" t="e">
            <v>#NAME?</v>
          </cell>
          <cell r="AF51" t="e">
            <v>#NAME?</v>
          </cell>
          <cell r="AH51">
            <v>5.5052264808362374E-2</v>
          </cell>
          <cell r="AI51" t="e">
            <v>#NAME?</v>
          </cell>
          <cell r="AJ51" t="e">
            <v>#NAME?</v>
          </cell>
          <cell r="AK51" t="e">
            <v>#NAME?</v>
          </cell>
          <cell r="AM51">
            <v>6.3414634146341464E-2</v>
          </cell>
          <cell r="AQ51" t="str">
            <v>Consolidated FCF (Pre-Dividends)</v>
          </cell>
          <cell r="AW51">
            <v>-91.610999999999876</v>
          </cell>
          <cell r="BB51">
            <v>256.95600000000002</v>
          </cell>
          <cell r="BG51">
            <v>96.736330472514965</v>
          </cell>
          <cell r="BL51">
            <v>170.37541823634081</v>
          </cell>
          <cell r="BQ51">
            <v>192.95025703722308</v>
          </cell>
          <cell r="BV51">
            <v>216.27040321437914</v>
          </cell>
          <cell r="CA51">
            <v>244.75657931408091</v>
          </cell>
        </row>
        <row r="52">
          <cell r="C52" t="str">
            <v>Book Value Per Share</v>
          </cell>
          <cell r="N52">
            <v>14.198922840277808</v>
          </cell>
          <cell r="S52">
            <v>14.568206917632667</v>
          </cell>
          <cell r="X52">
            <v>15.268969228441138</v>
          </cell>
          <cell r="AC52">
            <v>15.89125410827509</v>
          </cell>
          <cell r="AH52">
            <v>16.474089944789412</v>
          </cell>
          <cell r="AM52">
            <v>17.040180664249846</v>
          </cell>
          <cell r="AQ52" t="str">
            <v>Asset Sales and Other Investing Activities</v>
          </cell>
          <cell r="AW52">
            <v>42.51</v>
          </cell>
          <cell r="BB52">
            <v>61.439000000000007</v>
          </cell>
          <cell r="BG52">
            <v>197</v>
          </cell>
          <cell r="BL52">
            <v>65</v>
          </cell>
          <cell r="BQ52">
            <v>65</v>
          </cell>
          <cell r="BV52">
            <v>65</v>
          </cell>
          <cell r="CA52">
            <v>65</v>
          </cell>
        </row>
        <row r="53">
          <cell r="AI53" t="e">
            <v>#DIV/0!</v>
          </cell>
          <cell r="AJ53" t="e">
            <v>#DIV/0!</v>
          </cell>
          <cell r="AK53" t="e">
            <v>#DIV/0!</v>
          </cell>
          <cell r="AQ53" t="str">
            <v>Dividends</v>
          </cell>
          <cell r="AW53">
            <v>96.125</v>
          </cell>
          <cell r="BB53">
            <v>105.79900000000001</v>
          </cell>
          <cell r="BG53">
            <v>115.30805097</v>
          </cell>
          <cell r="BL53">
            <v>129.42740415</v>
          </cell>
          <cell r="BQ53">
            <v>157.66611051000001</v>
          </cell>
          <cell r="BV53">
            <v>185.90481686999999</v>
          </cell>
          <cell r="CA53">
            <v>214.14352322999997</v>
          </cell>
        </row>
        <row r="54">
          <cell r="C54" t="str">
            <v>Return on Average Equity</v>
          </cell>
          <cell r="G54">
            <v>0.28369855101953462</v>
          </cell>
          <cell r="H54">
            <v>0.30626823266015091</v>
          </cell>
          <cell r="L54">
            <v>0.30626823266015091</v>
          </cell>
          <cell r="M54">
            <v>0.28510549890465897</v>
          </cell>
          <cell r="N54">
            <v>6.9047293124899323E-2</v>
          </cell>
          <cell r="O54">
            <v>0.30983831750266577</v>
          </cell>
          <cell r="P54">
            <v>0.30607413360613378</v>
          </cell>
          <cell r="Q54">
            <v>0.30490945277694065</v>
          </cell>
          <cell r="S54">
            <v>5.9644194912677972E-2</v>
          </cell>
          <cell r="T54">
            <v>0.30607413360613378</v>
          </cell>
          <cell r="U54">
            <v>0.30490945277694065</v>
          </cell>
          <cell r="V54" t="e">
            <v>#DIV/0!</v>
          </cell>
          <cell r="X54">
            <v>8.3734762558208067E-2</v>
          </cell>
          <cell r="Y54">
            <v>0.30490945277694065</v>
          </cell>
          <cell r="Z54" t="e">
            <v>#DIV/0!</v>
          </cell>
          <cell r="AA54" t="e">
            <v>#DIV/0!</v>
          </cell>
          <cell r="AC54">
            <v>8.2822711751045081E-2</v>
          </cell>
          <cell r="AD54" t="e">
            <v>#DIV/0!</v>
          </cell>
          <cell r="AE54" t="e">
            <v>#DIV/0!</v>
          </cell>
          <cell r="AF54" t="e">
            <v>#DIV/0!</v>
          </cell>
          <cell r="AH54">
            <v>8.469541685843375E-2</v>
          </cell>
          <cell r="AI54" t="e">
            <v>#NAME?</v>
          </cell>
          <cell r="AJ54" t="e">
            <v>#NAME?</v>
          </cell>
          <cell r="AK54" t="e">
            <v>#NAME?</v>
          </cell>
          <cell r="AM54">
            <v>8.7933474789794783E-2</v>
          </cell>
          <cell r="AQ54" t="str">
            <v>Free Cash Flow (Post Dividends)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-145.22599999999989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212.59600000000003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178.42827950251495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105.94801408634081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100.28414652722307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95.365586344379153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95.613056084080938</v>
          </cell>
        </row>
        <row r="55">
          <cell r="C55" t="str">
            <v>Return on Invested Capital</v>
          </cell>
          <cell r="N55">
            <v>4.229627105248112E-2</v>
          </cell>
          <cell r="S55">
            <v>3.8399818426003991E-2</v>
          </cell>
          <cell r="X55">
            <v>4.6137780781766967E-2</v>
          </cell>
          <cell r="AC55">
            <v>4.6378463031126062E-2</v>
          </cell>
          <cell r="AH55">
            <v>4.7684134169814332E-2</v>
          </cell>
          <cell r="AM55">
            <v>4.9436807811758167E-2</v>
          </cell>
        </row>
        <row r="56">
          <cell r="C56" t="str">
            <v>Return on Average Assets</v>
          </cell>
          <cell r="G56" t="e">
            <v>#REF!</v>
          </cell>
          <cell r="H56" t="e">
            <v>#NAME?</v>
          </cell>
          <cell r="L56" t="e">
            <v>#REF!</v>
          </cell>
          <cell r="M56" t="e">
            <v>#NAME?</v>
          </cell>
          <cell r="N56">
            <v>1.9666656139498605E-2</v>
          </cell>
          <cell r="O56" t="e">
            <v>#NAME?</v>
          </cell>
          <cell r="P56" t="e">
            <v>#NAME?</v>
          </cell>
          <cell r="Q56" t="e">
            <v>#NAME?</v>
          </cell>
          <cell r="S56">
            <v>1.7240194155403763E-2</v>
          </cell>
          <cell r="T56" t="e">
            <v>#NAME?</v>
          </cell>
          <cell r="U56" t="e">
            <v>#NAME?</v>
          </cell>
          <cell r="V56" t="e">
            <v>#NAME?</v>
          </cell>
          <cell r="X56">
            <v>2.4800280995565121E-2</v>
          </cell>
          <cell r="Y56" t="e">
            <v>#NAME?</v>
          </cell>
          <cell r="Z56" t="e">
            <v>#NAME?</v>
          </cell>
          <cell r="AA56" t="e">
            <v>#NAME?</v>
          </cell>
          <cell r="AC56">
            <v>2.5391210942742704E-2</v>
          </cell>
          <cell r="AD56" t="e">
            <v>#NAME?</v>
          </cell>
          <cell r="AE56" t="e">
            <v>#NAME?</v>
          </cell>
          <cell r="AF56" t="e">
            <v>#NAME?</v>
          </cell>
          <cell r="AH56">
            <v>2.6708539785112523E-2</v>
          </cell>
          <cell r="AM56">
            <v>2.8483365475604015E-2</v>
          </cell>
          <cell r="AQ56" t="str">
            <v>Other Financing Activities</v>
          </cell>
        </row>
        <row r="57">
          <cell r="AQ57" t="str">
            <v>Equity Issuance / Buyback, Net</v>
          </cell>
          <cell r="AW57">
            <v>6.0510000000000002</v>
          </cell>
          <cell r="BB57">
            <v>6.1139999999999999</v>
          </cell>
          <cell r="BG57">
            <v>0</v>
          </cell>
          <cell r="BL57">
            <v>0</v>
          </cell>
          <cell r="BQ57">
            <v>0</v>
          </cell>
          <cell r="BV57">
            <v>0</v>
          </cell>
          <cell r="CA57">
            <v>0</v>
          </cell>
        </row>
        <row r="58">
          <cell r="C58" t="str">
            <v>Current Share Price:</v>
          </cell>
          <cell r="N58">
            <v>14.35</v>
          </cell>
          <cell r="S58">
            <v>14.35</v>
          </cell>
          <cell r="X58">
            <v>14.35</v>
          </cell>
          <cell r="AC58">
            <v>14.35</v>
          </cell>
          <cell r="AH58">
            <v>14.35</v>
          </cell>
          <cell r="AM58">
            <v>14.35</v>
          </cell>
          <cell r="AQ58" t="str">
            <v>LT Debt Issuance</v>
          </cell>
          <cell r="AW58">
            <v>1418.8720000000001</v>
          </cell>
          <cell r="BB58">
            <v>985.41899999999998</v>
          </cell>
          <cell r="BG58">
            <v>300</v>
          </cell>
          <cell r="BL58">
            <v>50</v>
          </cell>
          <cell r="BQ58">
            <v>175</v>
          </cell>
          <cell r="BV58">
            <v>150</v>
          </cell>
          <cell r="CA58">
            <v>150</v>
          </cell>
        </row>
        <row r="59">
          <cell r="C59" t="str">
            <v>Current Shares Outstanding</v>
          </cell>
          <cell r="N59">
            <v>235.99100000000001</v>
          </cell>
          <cell r="S59">
            <v>235.99100000000001</v>
          </cell>
          <cell r="X59">
            <v>235.99100000000001</v>
          </cell>
          <cell r="AC59">
            <v>235.99100000000001</v>
          </cell>
          <cell r="AH59">
            <v>235.99100000000001</v>
          </cell>
          <cell r="AM59">
            <v>235.99100000000001</v>
          </cell>
          <cell r="AQ59" t="str">
            <v>LT Debt Retirement</v>
          </cell>
          <cell r="AW59">
            <v>-1271.3499999999999</v>
          </cell>
          <cell r="BB59">
            <v>-1180.646</v>
          </cell>
          <cell r="BG59">
            <v>-350</v>
          </cell>
          <cell r="BL59">
            <v>-130</v>
          </cell>
          <cell r="BQ59">
            <v>-250</v>
          </cell>
          <cell r="BV59">
            <v>-125</v>
          </cell>
          <cell r="CA59">
            <v>-250</v>
          </cell>
        </row>
        <row r="60">
          <cell r="C60" t="str">
            <v>Equity Market Capitalization</v>
          </cell>
          <cell r="N60">
            <v>3386.4708500000002</v>
          </cell>
          <cell r="S60">
            <v>3386.4708500000002</v>
          </cell>
          <cell r="X60">
            <v>3386.4708500000002</v>
          </cell>
          <cell r="AC60">
            <v>3386.4708500000002</v>
          </cell>
          <cell r="AH60">
            <v>3386.4708500000002</v>
          </cell>
          <cell r="AM60">
            <v>3386.4708500000002</v>
          </cell>
          <cell r="AQ60" t="str">
            <v>ST Debt Change, Net</v>
          </cell>
          <cell r="AW60">
            <v>0</v>
          </cell>
          <cell r="BB60">
            <v>0</v>
          </cell>
          <cell r="BG60">
            <v>0</v>
          </cell>
          <cell r="BL60">
            <v>0</v>
          </cell>
          <cell r="BQ60">
            <v>0</v>
          </cell>
          <cell r="BV60">
            <v>0</v>
          </cell>
          <cell r="CA60">
            <v>0</v>
          </cell>
        </row>
        <row r="61">
          <cell r="C61" t="str">
            <v>Net Debt (Forecasted)</v>
          </cell>
          <cell r="N61">
            <v>5193.8490000000002</v>
          </cell>
          <cell r="S61">
            <v>5015.4207204974855</v>
          </cell>
          <cell r="X61">
            <v>4909.4727064111448</v>
          </cell>
          <cell r="AC61">
            <v>4809.1885598839217</v>
          </cell>
          <cell r="AH61">
            <v>4713.8229735395425</v>
          </cell>
          <cell r="AM61">
            <v>4618.2099174554614</v>
          </cell>
          <cell r="AQ61" t="str">
            <v>Other</v>
          </cell>
          <cell r="AW61">
            <v>0</v>
          </cell>
          <cell r="BB61">
            <v>0</v>
          </cell>
          <cell r="BG61">
            <v>0</v>
          </cell>
          <cell r="BL61">
            <v>0</v>
          </cell>
          <cell r="BQ61">
            <v>0</v>
          </cell>
          <cell r="BV61">
            <v>0</v>
          </cell>
          <cell r="CA61">
            <v>0</v>
          </cell>
        </row>
        <row r="62">
          <cell r="C62" t="str">
            <v>Enterprise Value</v>
          </cell>
          <cell r="N62">
            <v>8580.3198499999999</v>
          </cell>
          <cell r="S62">
            <v>8401.8915704974861</v>
          </cell>
          <cell r="X62">
            <v>8295.9435564111445</v>
          </cell>
          <cell r="AC62">
            <v>8195.6594098839214</v>
          </cell>
          <cell r="AH62">
            <v>8100.2938235395432</v>
          </cell>
          <cell r="AM62">
            <v>8004.680767455462</v>
          </cell>
          <cell r="AQ62" t="str">
            <v>Annual Change in Cash</v>
          </cell>
          <cell r="AW62">
            <v>8.3470000000002074</v>
          </cell>
          <cell r="BB62">
            <v>23.482999999999947</v>
          </cell>
          <cell r="BG62">
            <v>128.42827950251495</v>
          </cell>
          <cell r="BL62">
            <v>25.948014086340805</v>
          </cell>
          <cell r="BQ62">
            <v>25.284146527223072</v>
          </cell>
          <cell r="BV62">
            <v>120.36558634437915</v>
          </cell>
          <cell r="CA62">
            <v>-4.386943915919062</v>
          </cell>
        </row>
        <row r="65">
          <cell r="AQ65" t="str">
            <v>OCF</v>
          </cell>
          <cell r="AW65">
            <v>751.52100000000007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886.452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649.91933047251496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708.55066823634081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669.10784037055646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692.42798654771252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720.91416264741429</v>
          </cell>
        </row>
        <row r="66">
          <cell r="AQ66" t="str">
            <v>Capex</v>
          </cell>
          <cell r="AW66">
            <v>800.62199999999996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568.05700000000002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356.18299999999999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473.17525000000001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411.15758333333338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411.15758333333338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411.15758333333338</v>
          </cell>
        </row>
        <row r="67">
          <cell r="AQ67" t="str">
            <v>Dividend</v>
          </cell>
          <cell r="AW67">
            <v>113</v>
          </cell>
          <cell r="AX67">
            <v>113</v>
          </cell>
          <cell r="AY67">
            <v>113</v>
          </cell>
          <cell r="AZ67">
            <v>113</v>
          </cell>
          <cell r="BA67">
            <v>113</v>
          </cell>
          <cell r="BB67">
            <v>113</v>
          </cell>
          <cell r="BC67">
            <v>113</v>
          </cell>
          <cell r="BD67">
            <v>113</v>
          </cell>
          <cell r="BE67">
            <v>113</v>
          </cell>
          <cell r="BF67">
            <v>113</v>
          </cell>
          <cell r="BG67">
            <v>113</v>
          </cell>
          <cell r="BH67">
            <v>113</v>
          </cell>
          <cell r="BI67">
            <v>113</v>
          </cell>
          <cell r="BJ67">
            <v>113</v>
          </cell>
          <cell r="BK67">
            <v>113</v>
          </cell>
          <cell r="BL67">
            <v>113</v>
          </cell>
          <cell r="BM67">
            <v>113</v>
          </cell>
          <cell r="BN67">
            <v>113</v>
          </cell>
          <cell r="BO67">
            <v>113</v>
          </cell>
          <cell r="BP67">
            <v>113</v>
          </cell>
          <cell r="BQ67">
            <v>113</v>
          </cell>
          <cell r="BR67">
            <v>113</v>
          </cell>
          <cell r="BS67">
            <v>113</v>
          </cell>
          <cell r="BT67">
            <v>113</v>
          </cell>
          <cell r="BU67">
            <v>113</v>
          </cell>
          <cell r="BV67">
            <v>113</v>
          </cell>
          <cell r="BW67">
            <v>113</v>
          </cell>
          <cell r="BX67">
            <v>113</v>
          </cell>
          <cell r="BY67">
            <v>113</v>
          </cell>
          <cell r="BZ67">
            <v>113</v>
          </cell>
          <cell r="CA67">
            <v>113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Cover Sheet"/>
      <sheetName val="Valuation Summary"/>
      <sheetName val="SE Asset Sale PPAs"/>
      <sheetName val="Dispatch Assumptions"/>
      <sheetName val="Consolidated"/>
      <sheetName val="Southeast"/>
      <sheetName val="West"/>
      <sheetName val="Texas"/>
      <sheetName val="MW-Cache"/>
      <sheetName val="Northeast"/>
      <sheetName val="Parent"/>
      <sheetName val="Market Prices"/>
      <sheetName val="Debts"/>
      <sheetName val="SE Assets &amp; RFPs"/>
      <sheetName val="CPN Operating Plants"/>
      <sheetName val="Trading Vol"/>
      <sheetName val="Peak Dmnd"/>
      <sheetName val="New Resources"/>
      <sheetName val="ERCOT Res Margin"/>
      <sheetName val="ERCOT Margin Upside"/>
      <sheetName val="TX Brownfield"/>
      <sheetName val="mwareDates"/>
      <sheetName val="Sheet3"/>
      <sheetName val="Sheet2"/>
      <sheetName val="Plant Details"/>
      <sheetName val="Note Summary"/>
      <sheetName val="Financial Summary"/>
      <sheetName val="MWA RR"/>
      <sheetName val="Plants"/>
      <sheetName val="mwareSettings"/>
      <sheetName val="Bal Sheet &amp; Cash Flow"/>
      <sheetName val="Gas"/>
      <sheetName val="Off Peak"/>
      <sheetName val="Peak"/>
    </sheetNames>
    <sheetDataSet>
      <sheetData sheetId="0"/>
      <sheetData sheetId="1"/>
      <sheetData sheetId="2" refreshError="1">
        <row r="10">
          <cell r="R10">
            <v>11</v>
          </cell>
        </row>
        <row r="27">
          <cell r="AN27">
            <v>12</v>
          </cell>
          <cell r="AQ27">
            <v>0.95</v>
          </cell>
        </row>
        <row r="28">
          <cell r="AN28">
            <v>7</v>
          </cell>
          <cell r="AQ28">
            <v>0.8</v>
          </cell>
        </row>
        <row r="29">
          <cell r="AN29">
            <v>2</v>
          </cell>
          <cell r="AQ29">
            <v>0.5</v>
          </cell>
        </row>
      </sheetData>
      <sheetData sheetId="3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 refreshError="1"/>
      <sheetData sheetId="17"/>
      <sheetData sheetId="18" refreshError="1">
        <row r="1">
          <cell r="P1" t="str">
            <v>SmartCharts</v>
          </cell>
        </row>
        <row r="4">
          <cell r="A4">
            <v>2018</v>
          </cell>
          <cell r="B4">
            <v>2018</v>
          </cell>
          <cell r="C4">
            <v>2018</v>
          </cell>
          <cell r="D4">
            <v>2018</v>
          </cell>
        </row>
        <row r="5">
          <cell r="C5" t="str">
            <v>Define value axis here:</v>
          </cell>
        </row>
        <row r="6">
          <cell r="C6" t="str">
            <v>New Resources Needed (MW)</v>
          </cell>
        </row>
        <row r="8">
          <cell r="H8" t="str">
            <v/>
          </cell>
        </row>
        <row r="9">
          <cell r="C9" t="str">
            <v>Input your data here:</v>
          </cell>
        </row>
        <row r="11">
          <cell r="D11" t="str">
            <v>ERCOT 10/22 Moody's Low Case</v>
          </cell>
          <cell r="E11" t="str">
            <v>MS Case I</v>
          </cell>
          <cell r="F11" t="str">
            <v>MS Case II</v>
          </cell>
          <cell r="G11" t="str">
            <v>MS Case III</v>
          </cell>
          <cell r="AA11" t="str">
            <v>ERCOT 10/22 Moody's Low Case</v>
          </cell>
          <cell r="AB11" t="str">
            <v>MS Case I</v>
          </cell>
          <cell r="AC11" t="str">
            <v>MS Case II</v>
          </cell>
          <cell r="AD11" t="str">
            <v>MS Case III</v>
          </cell>
        </row>
        <row r="12">
          <cell r="C12">
            <v>2015</v>
          </cell>
          <cell r="D12">
            <v>1829.1000000000008</v>
          </cell>
          <cell r="E12">
            <v>8563.9671936000123</v>
          </cell>
          <cell r="F12">
            <v>5737.6133217900006</v>
          </cell>
          <cell r="G12">
            <v>3309.6342930000051</v>
          </cell>
          <cell r="Z12">
            <v>2015</v>
          </cell>
          <cell r="AA12">
            <v>1829.1000000000008</v>
          </cell>
          <cell r="AB12">
            <v>8563.9671936000123</v>
          </cell>
          <cell r="AC12">
            <v>5737.6133217900006</v>
          </cell>
          <cell r="AD12">
            <v>3309.6342930000051</v>
          </cell>
        </row>
        <row r="13">
          <cell r="C13">
            <v>2016</v>
          </cell>
          <cell r="D13">
            <v>1672.8625000000006</v>
          </cell>
          <cell r="E13">
            <v>11972.445881344011</v>
          </cell>
          <cell r="F13">
            <v>8199.4317214437051</v>
          </cell>
          <cell r="G13">
            <v>5698.6133217900006</v>
          </cell>
          <cell r="Z13">
            <v>2016</v>
          </cell>
          <cell r="AA13">
            <v>1672.8625000000006</v>
          </cell>
          <cell r="AB13">
            <v>11972.445881344011</v>
          </cell>
          <cell r="AC13">
            <v>8199.4317214437051</v>
          </cell>
          <cell r="AD13">
            <v>5698.6133217900006</v>
          </cell>
        </row>
        <row r="14">
          <cell r="C14">
            <v>2017</v>
          </cell>
          <cell r="D14">
            <v>1666.7750000000008</v>
          </cell>
          <cell r="E14">
            <v>14501.823716597781</v>
          </cell>
          <cell r="F14">
            <v>9719.2746730870258</v>
          </cell>
          <cell r="G14">
            <v>7143.4317214437051</v>
          </cell>
          <cell r="Z14">
            <v>2017</v>
          </cell>
          <cell r="AA14">
            <v>1666.7750000000008</v>
          </cell>
          <cell r="AB14">
            <v>14501.823716597781</v>
          </cell>
          <cell r="AC14">
            <v>9719.2746730870258</v>
          </cell>
          <cell r="AD14">
            <v>7143.4317214437051</v>
          </cell>
        </row>
        <row r="15">
          <cell r="C15">
            <v>2018</v>
          </cell>
          <cell r="D15">
            <v>1268.825000000001</v>
          </cell>
          <cell r="E15">
            <v>17054.616665261696</v>
          </cell>
          <cell r="F15">
            <v>11196.392913279642</v>
          </cell>
          <cell r="G15">
            <v>8543.2746730870258</v>
          </cell>
          <cell r="Z15">
            <v>2018</v>
          </cell>
          <cell r="AA15">
            <v>1268.825000000001</v>
          </cell>
          <cell r="AB15">
            <v>17054.616665261696</v>
          </cell>
          <cell r="AC15">
            <v>11196.392913279642</v>
          </cell>
          <cell r="AD15">
            <v>8543.2746730870258</v>
          </cell>
        </row>
        <row r="16">
          <cell r="Z16" t="b">
            <v>0</v>
          </cell>
          <cell r="AA16" t="b">
            <v>0</v>
          </cell>
          <cell r="AB16" t="b">
            <v>0</v>
          </cell>
          <cell r="AC16" t="b">
            <v>0</v>
          </cell>
          <cell r="AD16" t="b">
            <v>0</v>
          </cell>
        </row>
        <row r="17">
          <cell r="Z17" t="b">
            <v>0</v>
          </cell>
          <cell r="AA17" t="b">
            <v>0</v>
          </cell>
          <cell r="AB17" t="b">
            <v>0</v>
          </cell>
          <cell r="AC17" t="b">
            <v>0</v>
          </cell>
          <cell r="AD17" t="b">
            <v>0</v>
          </cell>
        </row>
        <row r="18">
          <cell r="Z18" t="b">
            <v>0</v>
          </cell>
          <cell r="AA18" t="b">
            <v>0</v>
          </cell>
          <cell r="AB18" t="b">
            <v>0</v>
          </cell>
          <cell r="AC18" t="b">
            <v>0</v>
          </cell>
          <cell r="AD18" t="b">
            <v>0</v>
          </cell>
        </row>
        <row r="19">
          <cell r="Z19" t="b">
            <v>0</v>
          </cell>
          <cell r="AA19" t="b">
            <v>0</v>
          </cell>
          <cell r="AB19" t="b">
            <v>0</v>
          </cell>
          <cell r="AC19" t="b">
            <v>0</v>
          </cell>
          <cell r="AD19" t="b">
            <v>0</v>
          </cell>
        </row>
        <row r="20">
          <cell r="Z20" t="b">
            <v>0</v>
          </cell>
          <cell r="AA20" t="b">
            <v>0</v>
          </cell>
          <cell r="AB20" t="b">
            <v>0</v>
          </cell>
          <cell r="AC20" t="b">
            <v>0</v>
          </cell>
          <cell r="AD20" t="b">
            <v>0</v>
          </cell>
        </row>
        <row r="21">
          <cell r="Z21" t="b">
            <v>0</v>
          </cell>
          <cell r="AA21" t="b">
            <v>0</v>
          </cell>
          <cell r="AB21" t="b">
            <v>0</v>
          </cell>
          <cell r="AC21" t="b">
            <v>0</v>
          </cell>
          <cell r="AD21" t="b">
            <v>0</v>
          </cell>
        </row>
        <row r="22">
          <cell r="Z22" t="b">
            <v>0</v>
          </cell>
          <cell r="AA22" t="b">
            <v>0</v>
          </cell>
          <cell r="AB22" t="b">
            <v>0</v>
          </cell>
          <cell r="AC22" t="b">
            <v>0</v>
          </cell>
          <cell r="AD22" t="b">
            <v>0</v>
          </cell>
        </row>
        <row r="23">
          <cell r="Z23" t="b">
            <v>0</v>
          </cell>
          <cell r="AA23" t="b">
            <v>0</v>
          </cell>
          <cell r="AB23" t="b">
            <v>0</v>
          </cell>
          <cell r="AC23" t="b">
            <v>0</v>
          </cell>
          <cell r="AD23" t="b">
            <v>0</v>
          </cell>
        </row>
        <row r="24">
          <cell r="Z24" t="b">
            <v>0</v>
          </cell>
          <cell r="AA24" t="b">
            <v>0</v>
          </cell>
          <cell r="AB24" t="b">
            <v>0</v>
          </cell>
          <cell r="AC24" t="b">
            <v>0</v>
          </cell>
          <cell r="AD24" t="b">
            <v>0</v>
          </cell>
        </row>
        <row r="25">
          <cell r="Z25" t="b">
            <v>0</v>
          </cell>
          <cell r="AA25" t="b">
            <v>0</v>
          </cell>
          <cell r="AB25" t="b">
            <v>0</v>
          </cell>
          <cell r="AC25" t="b">
            <v>0</v>
          </cell>
          <cell r="AD25" t="b">
            <v>0</v>
          </cell>
        </row>
        <row r="26">
          <cell r="Z26" t="b">
            <v>0</v>
          </cell>
          <cell r="AA26" t="b">
            <v>0</v>
          </cell>
          <cell r="AB26" t="b">
            <v>0</v>
          </cell>
          <cell r="AC26" t="b">
            <v>0</v>
          </cell>
          <cell r="AD26" t="b">
            <v>0</v>
          </cell>
        </row>
        <row r="27">
          <cell r="Z27" t="b">
            <v>0</v>
          </cell>
          <cell r="AA27" t="b">
            <v>0</v>
          </cell>
          <cell r="AB27" t="b">
            <v>0</v>
          </cell>
          <cell r="AC27" t="b">
            <v>0</v>
          </cell>
          <cell r="AD27" t="b">
            <v>0</v>
          </cell>
        </row>
        <row r="28">
          <cell r="Z28" t="b">
            <v>0</v>
          </cell>
          <cell r="AA28" t="b">
            <v>0</v>
          </cell>
          <cell r="AB28" t="b">
            <v>0</v>
          </cell>
          <cell r="AC28" t="b">
            <v>0</v>
          </cell>
          <cell r="AD28" t="b">
            <v>0</v>
          </cell>
        </row>
        <row r="29">
          <cell r="Z29" t="b">
            <v>0</v>
          </cell>
          <cell r="AA29" t="b">
            <v>0</v>
          </cell>
          <cell r="AB29" t="b">
            <v>0</v>
          </cell>
          <cell r="AC29" t="b">
            <v>0</v>
          </cell>
          <cell r="AD29" t="b">
            <v>0</v>
          </cell>
        </row>
        <row r="30">
          <cell r="Z30" t="b">
            <v>0</v>
          </cell>
          <cell r="AA30" t="b">
            <v>0</v>
          </cell>
          <cell r="AB30" t="b">
            <v>0</v>
          </cell>
          <cell r="AC30" t="b">
            <v>0</v>
          </cell>
          <cell r="AD30" t="b">
            <v>0</v>
          </cell>
        </row>
        <row r="31">
          <cell r="Z31" t="b">
            <v>0</v>
          </cell>
          <cell r="AA31" t="b">
            <v>0</v>
          </cell>
          <cell r="AB31" t="b">
            <v>0</v>
          </cell>
          <cell r="AC31" t="b">
            <v>0</v>
          </cell>
          <cell r="AD31" t="b">
            <v>0</v>
          </cell>
        </row>
        <row r="32">
          <cell r="Z32" t="b">
            <v>0</v>
          </cell>
          <cell r="AA32" t="b">
            <v>0</v>
          </cell>
          <cell r="AB32" t="b">
            <v>0</v>
          </cell>
          <cell r="AC32" t="b">
            <v>0</v>
          </cell>
          <cell r="AD32" t="b">
            <v>0</v>
          </cell>
        </row>
        <row r="33">
          <cell r="Z33" t="b">
            <v>0</v>
          </cell>
          <cell r="AA33" t="b">
            <v>0</v>
          </cell>
          <cell r="AB33" t="b">
            <v>0</v>
          </cell>
          <cell r="AC33" t="b">
            <v>0</v>
          </cell>
          <cell r="AD33" t="b">
            <v>0</v>
          </cell>
        </row>
        <row r="34">
          <cell r="Z34" t="b">
            <v>0</v>
          </cell>
          <cell r="AA34" t="b">
            <v>0</v>
          </cell>
          <cell r="AB34" t="b">
            <v>0</v>
          </cell>
          <cell r="AC34" t="b">
            <v>0</v>
          </cell>
          <cell r="AD34" t="b">
            <v>0</v>
          </cell>
        </row>
        <row r="35">
          <cell r="Z35" t="b">
            <v>0</v>
          </cell>
          <cell r="AA35" t="b">
            <v>0</v>
          </cell>
          <cell r="AB35" t="b">
            <v>0</v>
          </cell>
          <cell r="AC35" t="b">
            <v>0</v>
          </cell>
          <cell r="AD35" t="b">
            <v>0</v>
          </cell>
        </row>
        <row r="36">
          <cell r="Z36" t="b">
            <v>0</v>
          </cell>
          <cell r="AA36" t="b">
            <v>0</v>
          </cell>
          <cell r="AB36" t="b">
            <v>0</v>
          </cell>
          <cell r="AC36" t="b">
            <v>0</v>
          </cell>
          <cell r="AD36" t="b">
            <v>0</v>
          </cell>
        </row>
        <row r="37">
          <cell r="Z37" t="b">
            <v>0</v>
          </cell>
          <cell r="AA37" t="b">
            <v>0</v>
          </cell>
          <cell r="AB37" t="b">
            <v>0</v>
          </cell>
          <cell r="AC37" t="b">
            <v>0</v>
          </cell>
          <cell r="AD37" t="b">
            <v>0</v>
          </cell>
        </row>
        <row r="38">
          <cell r="Z38" t="b">
            <v>0</v>
          </cell>
          <cell r="AA38" t="b">
            <v>0</v>
          </cell>
          <cell r="AB38" t="b">
            <v>0</v>
          </cell>
          <cell r="AC38" t="b">
            <v>0</v>
          </cell>
          <cell r="AD38" t="b">
            <v>0</v>
          </cell>
        </row>
        <row r="39">
          <cell r="Z39" t="b">
            <v>0</v>
          </cell>
          <cell r="AA39" t="b">
            <v>0</v>
          </cell>
          <cell r="AB39" t="b">
            <v>0</v>
          </cell>
          <cell r="AC39" t="b">
            <v>0</v>
          </cell>
          <cell r="AD39" t="b">
            <v>0</v>
          </cell>
        </row>
        <row r="40">
          <cell r="Z40" t="b">
            <v>0</v>
          </cell>
          <cell r="AA40" t="b">
            <v>0</v>
          </cell>
          <cell r="AB40" t="b">
            <v>0</v>
          </cell>
          <cell r="AC40" t="b">
            <v>0</v>
          </cell>
          <cell r="AD40" t="b">
            <v>0</v>
          </cell>
        </row>
        <row r="41">
          <cell r="Z41" t="b">
            <v>0</v>
          </cell>
          <cell r="AA41" t="b">
            <v>0</v>
          </cell>
          <cell r="AB41" t="b">
            <v>0</v>
          </cell>
          <cell r="AC41" t="b">
            <v>0</v>
          </cell>
          <cell r="AD41" t="b">
            <v>0</v>
          </cell>
        </row>
        <row r="42">
          <cell r="Z42" t="b">
            <v>0</v>
          </cell>
          <cell r="AA42" t="b">
            <v>0</v>
          </cell>
          <cell r="AB42" t="b">
            <v>0</v>
          </cell>
          <cell r="AC42" t="b">
            <v>0</v>
          </cell>
          <cell r="AD42" t="b">
            <v>0</v>
          </cell>
        </row>
        <row r="43">
          <cell r="Z43" t="b">
            <v>0</v>
          </cell>
          <cell r="AA43" t="b">
            <v>0</v>
          </cell>
          <cell r="AB43" t="b">
            <v>0</v>
          </cell>
          <cell r="AC43" t="b">
            <v>0</v>
          </cell>
          <cell r="AD43" t="b">
            <v>0</v>
          </cell>
        </row>
        <row r="44">
          <cell r="Z44" t="b">
            <v>0</v>
          </cell>
          <cell r="AA44" t="b">
            <v>0</v>
          </cell>
          <cell r="AB44" t="b">
            <v>0</v>
          </cell>
          <cell r="AC44" t="b">
            <v>0</v>
          </cell>
          <cell r="AD44" t="b">
            <v>0</v>
          </cell>
        </row>
        <row r="45">
          <cell r="Z45" t="b">
            <v>0</v>
          </cell>
          <cell r="AA45" t="b">
            <v>0</v>
          </cell>
          <cell r="AB45" t="b">
            <v>0</v>
          </cell>
          <cell r="AC45" t="b">
            <v>0</v>
          </cell>
          <cell r="AD45" t="b">
            <v>0</v>
          </cell>
        </row>
        <row r="46">
          <cell r="Z46" t="b">
            <v>0</v>
          </cell>
          <cell r="AA46" t="b">
            <v>0</v>
          </cell>
          <cell r="AB46" t="b">
            <v>0</v>
          </cell>
          <cell r="AC46" t="b">
            <v>0</v>
          </cell>
          <cell r="AD46" t="b">
            <v>0</v>
          </cell>
        </row>
        <row r="47">
          <cell r="Z47" t="b">
            <v>0</v>
          </cell>
          <cell r="AA47" t="b">
            <v>0</v>
          </cell>
          <cell r="AB47" t="b">
            <v>0</v>
          </cell>
          <cell r="AC47" t="b">
            <v>0</v>
          </cell>
          <cell r="AD47" t="b">
            <v>0</v>
          </cell>
        </row>
        <row r="48">
          <cell r="Z48" t="b">
            <v>0</v>
          </cell>
          <cell r="AA48" t="b">
            <v>0</v>
          </cell>
          <cell r="AB48" t="b">
            <v>0</v>
          </cell>
          <cell r="AC48" t="b">
            <v>0</v>
          </cell>
          <cell r="AD48" t="b">
            <v>0</v>
          </cell>
        </row>
        <row r="49">
          <cell r="Z49" t="b">
            <v>0</v>
          </cell>
          <cell r="AA49" t="b">
            <v>0</v>
          </cell>
          <cell r="AB49" t="b">
            <v>0</v>
          </cell>
          <cell r="AC49" t="b">
            <v>0</v>
          </cell>
          <cell r="AD49" t="b">
            <v>0</v>
          </cell>
        </row>
        <row r="50">
          <cell r="Z50" t="b">
            <v>0</v>
          </cell>
          <cell r="AA50" t="b">
            <v>0</v>
          </cell>
          <cell r="AB50" t="b">
            <v>0</v>
          </cell>
          <cell r="AC50" t="b">
            <v>0</v>
          </cell>
          <cell r="AD50" t="b">
            <v>0</v>
          </cell>
        </row>
        <row r="51">
          <cell r="Z51" t="b">
            <v>0</v>
          </cell>
          <cell r="AA51" t="b">
            <v>0</v>
          </cell>
          <cell r="AB51" t="b">
            <v>0</v>
          </cell>
          <cell r="AC51" t="b">
            <v>0</v>
          </cell>
          <cell r="AD51" t="b">
            <v>0</v>
          </cell>
        </row>
        <row r="52">
          <cell r="Z52" t="b">
            <v>0</v>
          </cell>
          <cell r="AA52" t="b">
            <v>0</v>
          </cell>
          <cell r="AB52" t="b">
            <v>0</v>
          </cell>
          <cell r="AC52" t="b">
            <v>0</v>
          </cell>
          <cell r="AD52" t="b">
            <v>0</v>
          </cell>
        </row>
        <row r="53">
          <cell r="Z53" t="b">
            <v>0</v>
          </cell>
          <cell r="AA53" t="b">
            <v>0</v>
          </cell>
          <cell r="AB53" t="b">
            <v>0</v>
          </cell>
          <cell r="AC53" t="b">
            <v>0</v>
          </cell>
          <cell r="AD53" t="b">
            <v>0</v>
          </cell>
        </row>
        <row r="54">
          <cell r="Z54" t="b">
            <v>0</v>
          </cell>
          <cell r="AA54" t="b">
            <v>0</v>
          </cell>
          <cell r="AB54" t="b">
            <v>0</v>
          </cell>
          <cell r="AC54" t="b">
            <v>0</v>
          </cell>
          <cell r="AD54" t="b">
            <v>0</v>
          </cell>
        </row>
        <row r="55">
          <cell r="Z55" t="b">
            <v>0</v>
          </cell>
          <cell r="AA55" t="b">
            <v>0</v>
          </cell>
          <cell r="AB55" t="b">
            <v>0</v>
          </cell>
          <cell r="AC55" t="b">
            <v>0</v>
          </cell>
          <cell r="AD55" t="b">
            <v>0</v>
          </cell>
        </row>
        <row r="56">
          <cell r="Z56" t="b">
            <v>0</v>
          </cell>
          <cell r="AA56" t="b">
            <v>0</v>
          </cell>
          <cell r="AB56" t="b">
            <v>0</v>
          </cell>
          <cell r="AC56" t="b">
            <v>0</v>
          </cell>
          <cell r="AD56" t="b">
            <v>0</v>
          </cell>
        </row>
        <row r="57">
          <cell r="Z57" t="b">
            <v>0</v>
          </cell>
          <cell r="AA57" t="b">
            <v>0</v>
          </cell>
          <cell r="AB57" t="b">
            <v>0</v>
          </cell>
          <cell r="AC57" t="b">
            <v>0</v>
          </cell>
          <cell r="AD57" t="b">
            <v>0</v>
          </cell>
        </row>
        <row r="58">
          <cell r="Z58" t="b">
            <v>0</v>
          </cell>
          <cell r="AA58" t="b">
            <v>0</v>
          </cell>
          <cell r="AB58" t="b">
            <v>0</v>
          </cell>
          <cell r="AC58" t="b">
            <v>0</v>
          </cell>
          <cell r="AD58" t="b">
            <v>0</v>
          </cell>
        </row>
        <row r="59">
          <cell r="Z59" t="b">
            <v>0</v>
          </cell>
          <cell r="AA59" t="b">
            <v>0</v>
          </cell>
          <cell r="AB59" t="b">
            <v>0</v>
          </cell>
          <cell r="AC59" t="b">
            <v>0</v>
          </cell>
          <cell r="AD59" t="b">
            <v>0</v>
          </cell>
        </row>
        <row r="60">
          <cell r="Z60" t="b">
            <v>0</v>
          </cell>
          <cell r="AA60" t="b">
            <v>0</v>
          </cell>
          <cell r="AB60" t="b">
            <v>0</v>
          </cell>
          <cell r="AC60" t="b">
            <v>0</v>
          </cell>
          <cell r="AD60" t="b">
            <v>0</v>
          </cell>
        </row>
        <row r="61">
          <cell r="Z61" t="b">
            <v>0</v>
          </cell>
          <cell r="AA61" t="b">
            <v>0</v>
          </cell>
          <cell r="AB61" t="b">
            <v>0</v>
          </cell>
          <cell r="AC61" t="b">
            <v>0</v>
          </cell>
          <cell r="AD61" t="b">
            <v>0</v>
          </cell>
        </row>
        <row r="62">
          <cell r="Z62" t="b">
            <v>0</v>
          </cell>
          <cell r="AA62" t="b">
            <v>0</v>
          </cell>
          <cell r="AB62" t="b">
            <v>0</v>
          </cell>
          <cell r="AC62" t="b">
            <v>0</v>
          </cell>
          <cell r="AD62" t="b">
            <v>0</v>
          </cell>
        </row>
        <row r="63">
          <cell r="Z63" t="b">
            <v>0</v>
          </cell>
          <cell r="AA63" t="b">
            <v>0</v>
          </cell>
          <cell r="AB63" t="b">
            <v>0</v>
          </cell>
          <cell r="AC63" t="b">
            <v>0</v>
          </cell>
          <cell r="AD63" t="b">
            <v>0</v>
          </cell>
        </row>
        <row r="64">
          <cell r="Z64" t="b">
            <v>0</v>
          </cell>
          <cell r="AA64" t="b">
            <v>0</v>
          </cell>
          <cell r="AB64" t="b">
            <v>0</v>
          </cell>
          <cell r="AC64" t="b">
            <v>0</v>
          </cell>
          <cell r="AD64" t="b">
            <v>0</v>
          </cell>
        </row>
        <row r="65">
          <cell r="Z65" t="b">
            <v>0</v>
          </cell>
          <cell r="AA65" t="b">
            <v>0</v>
          </cell>
          <cell r="AB65" t="b">
            <v>0</v>
          </cell>
          <cell r="AC65" t="b">
            <v>0</v>
          </cell>
          <cell r="AD65" t="b">
            <v>0</v>
          </cell>
        </row>
        <row r="66">
          <cell r="Z66" t="b">
            <v>0</v>
          </cell>
          <cell r="AA66" t="b">
            <v>0</v>
          </cell>
          <cell r="AB66" t="b">
            <v>0</v>
          </cell>
          <cell r="AC66" t="b">
            <v>0</v>
          </cell>
          <cell r="AD66" t="b">
            <v>0</v>
          </cell>
        </row>
        <row r="67">
          <cell r="Z67" t="b">
            <v>0</v>
          </cell>
          <cell r="AA67" t="b">
            <v>0</v>
          </cell>
          <cell r="AB67" t="b">
            <v>0</v>
          </cell>
          <cell r="AC67" t="b">
            <v>0</v>
          </cell>
          <cell r="AD67" t="b">
            <v>0</v>
          </cell>
        </row>
        <row r="68">
          <cell r="Z68" t="b">
            <v>0</v>
          </cell>
          <cell r="AA68" t="b">
            <v>0</v>
          </cell>
          <cell r="AB68" t="b">
            <v>0</v>
          </cell>
          <cell r="AC68" t="b">
            <v>0</v>
          </cell>
          <cell r="AD68" t="b">
            <v>0</v>
          </cell>
        </row>
        <row r="69">
          <cell r="Z69" t="b">
            <v>0</v>
          </cell>
          <cell r="AA69" t="b">
            <v>0</v>
          </cell>
          <cell r="AB69" t="b">
            <v>0</v>
          </cell>
          <cell r="AC69" t="b">
            <v>0</v>
          </cell>
          <cell r="AD69" t="b">
            <v>0</v>
          </cell>
        </row>
        <row r="70">
          <cell r="Z70" t="b">
            <v>0</v>
          </cell>
          <cell r="AA70" t="b">
            <v>0</v>
          </cell>
          <cell r="AB70" t="b">
            <v>0</v>
          </cell>
          <cell r="AC70" t="b">
            <v>0</v>
          </cell>
          <cell r="AD70" t="b">
            <v>0</v>
          </cell>
        </row>
        <row r="71">
          <cell r="Z71" t="b">
            <v>0</v>
          </cell>
          <cell r="AA71" t="b">
            <v>0</v>
          </cell>
          <cell r="AB71" t="b">
            <v>0</v>
          </cell>
          <cell r="AC71" t="b">
            <v>0</v>
          </cell>
          <cell r="AD71" t="b">
            <v>0</v>
          </cell>
        </row>
        <row r="72">
          <cell r="Z72" t="b">
            <v>0</v>
          </cell>
          <cell r="AA72" t="b">
            <v>0</v>
          </cell>
          <cell r="AB72" t="b">
            <v>0</v>
          </cell>
          <cell r="AC72" t="b">
            <v>0</v>
          </cell>
          <cell r="AD72" t="b">
            <v>0</v>
          </cell>
        </row>
        <row r="73">
          <cell r="Z73" t="b">
            <v>0</v>
          </cell>
          <cell r="AA73" t="b">
            <v>0</v>
          </cell>
          <cell r="AB73" t="b">
            <v>0</v>
          </cell>
          <cell r="AC73" t="b">
            <v>0</v>
          </cell>
          <cell r="AD73" t="b">
            <v>0</v>
          </cell>
        </row>
        <row r="74">
          <cell r="Z74" t="b">
            <v>0</v>
          </cell>
          <cell r="AA74" t="b">
            <v>0</v>
          </cell>
          <cell r="AB74" t="b">
            <v>0</v>
          </cell>
          <cell r="AC74" t="b">
            <v>0</v>
          </cell>
          <cell r="AD74" t="b">
            <v>0</v>
          </cell>
        </row>
        <row r="75">
          <cell r="Z75" t="b">
            <v>0</v>
          </cell>
          <cell r="AA75" t="b">
            <v>0</v>
          </cell>
          <cell r="AB75" t="b">
            <v>0</v>
          </cell>
          <cell r="AC75" t="b">
            <v>0</v>
          </cell>
          <cell r="AD75" t="b">
            <v>0</v>
          </cell>
        </row>
        <row r="76">
          <cell r="Z76" t="b">
            <v>0</v>
          </cell>
          <cell r="AA76" t="b">
            <v>0</v>
          </cell>
          <cell r="AB76" t="b">
            <v>0</v>
          </cell>
          <cell r="AC76" t="b">
            <v>0</v>
          </cell>
          <cell r="AD76" t="b">
            <v>0</v>
          </cell>
        </row>
        <row r="77">
          <cell r="Z77" t="b">
            <v>0</v>
          </cell>
          <cell r="AA77" t="b">
            <v>0</v>
          </cell>
          <cell r="AB77" t="b">
            <v>0</v>
          </cell>
          <cell r="AC77" t="b">
            <v>0</v>
          </cell>
          <cell r="AD77" t="b">
            <v>0</v>
          </cell>
        </row>
        <row r="78">
          <cell r="Z78" t="b">
            <v>0</v>
          </cell>
          <cell r="AA78" t="b">
            <v>0</v>
          </cell>
          <cell r="AB78" t="b">
            <v>0</v>
          </cell>
          <cell r="AC78" t="b">
            <v>0</v>
          </cell>
          <cell r="AD78" t="b">
            <v>0</v>
          </cell>
        </row>
        <row r="79">
          <cell r="Z79" t="b">
            <v>0</v>
          </cell>
          <cell r="AA79" t="b">
            <v>0</v>
          </cell>
          <cell r="AB79" t="b">
            <v>0</v>
          </cell>
          <cell r="AC79" t="b">
            <v>0</v>
          </cell>
          <cell r="AD79" t="b">
            <v>0</v>
          </cell>
        </row>
        <row r="80">
          <cell r="Z80" t="b">
            <v>0</v>
          </cell>
          <cell r="AA80" t="b">
            <v>0</v>
          </cell>
          <cell r="AB80" t="b">
            <v>0</v>
          </cell>
          <cell r="AC80" t="b">
            <v>0</v>
          </cell>
          <cell r="AD80" t="b">
            <v>0</v>
          </cell>
        </row>
        <row r="81">
          <cell r="Z81" t="b">
            <v>0</v>
          </cell>
          <cell r="AA81" t="b">
            <v>0</v>
          </cell>
          <cell r="AB81" t="b">
            <v>0</v>
          </cell>
          <cell r="AC81" t="b">
            <v>0</v>
          </cell>
          <cell r="AD81" t="b">
            <v>0</v>
          </cell>
        </row>
        <row r="82">
          <cell r="Z82" t="b">
            <v>0</v>
          </cell>
          <cell r="AA82" t="b">
            <v>0</v>
          </cell>
          <cell r="AB82" t="b">
            <v>0</v>
          </cell>
          <cell r="AC82" t="b">
            <v>0</v>
          </cell>
          <cell r="AD82" t="b">
            <v>0</v>
          </cell>
        </row>
        <row r="83">
          <cell r="Z83" t="b">
            <v>0</v>
          </cell>
          <cell r="AA83" t="b">
            <v>0</v>
          </cell>
          <cell r="AB83" t="b">
            <v>0</v>
          </cell>
          <cell r="AC83" t="b">
            <v>0</v>
          </cell>
          <cell r="AD83" t="b">
            <v>0</v>
          </cell>
        </row>
        <row r="84">
          <cell r="Z84" t="b">
            <v>0</v>
          </cell>
          <cell r="AA84" t="b">
            <v>0</v>
          </cell>
          <cell r="AB84" t="b">
            <v>0</v>
          </cell>
          <cell r="AC84" t="b">
            <v>0</v>
          </cell>
          <cell r="AD84" t="b">
            <v>0</v>
          </cell>
        </row>
        <row r="85">
          <cell r="Z85" t="b">
            <v>0</v>
          </cell>
          <cell r="AA85" t="b">
            <v>0</v>
          </cell>
          <cell r="AB85" t="b">
            <v>0</v>
          </cell>
          <cell r="AC85" t="b">
            <v>0</v>
          </cell>
          <cell r="AD85" t="b">
            <v>0</v>
          </cell>
        </row>
        <row r="86">
          <cell r="Z86" t="b">
            <v>0</v>
          </cell>
          <cell r="AA86" t="b">
            <v>0</v>
          </cell>
          <cell r="AB86" t="b">
            <v>0</v>
          </cell>
          <cell r="AC86" t="b">
            <v>0</v>
          </cell>
          <cell r="AD86" t="b">
            <v>0</v>
          </cell>
        </row>
        <row r="87">
          <cell r="Z87" t="b">
            <v>0</v>
          </cell>
          <cell r="AA87" t="b">
            <v>0</v>
          </cell>
          <cell r="AB87" t="b">
            <v>0</v>
          </cell>
          <cell r="AC87" t="b">
            <v>0</v>
          </cell>
          <cell r="AD87" t="b">
            <v>0</v>
          </cell>
        </row>
        <row r="88">
          <cell r="Z88" t="b">
            <v>0</v>
          </cell>
          <cell r="AA88" t="b">
            <v>0</v>
          </cell>
          <cell r="AB88" t="b">
            <v>0</v>
          </cell>
          <cell r="AC88" t="b">
            <v>0</v>
          </cell>
          <cell r="AD88" t="b">
            <v>0</v>
          </cell>
        </row>
        <row r="89">
          <cell r="Z89" t="b">
            <v>0</v>
          </cell>
          <cell r="AA89" t="b">
            <v>0</v>
          </cell>
          <cell r="AB89" t="b">
            <v>0</v>
          </cell>
          <cell r="AC89" t="b">
            <v>0</v>
          </cell>
          <cell r="AD89" t="b">
            <v>0</v>
          </cell>
        </row>
        <row r="90">
          <cell r="Z90" t="b">
            <v>0</v>
          </cell>
          <cell r="AA90" t="b">
            <v>0</v>
          </cell>
          <cell r="AB90" t="b">
            <v>0</v>
          </cell>
          <cell r="AC90" t="b">
            <v>0</v>
          </cell>
          <cell r="AD90" t="b">
            <v>0</v>
          </cell>
        </row>
        <row r="91">
          <cell r="Z91" t="b">
            <v>0</v>
          </cell>
          <cell r="AA91" t="b">
            <v>0</v>
          </cell>
          <cell r="AB91" t="b">
            <v>0</v>
          </cell>
          <cell r="AC91" t="b">
            <v>0</v>
          </cell>
          <cell r="AD91" t="b">
            <v>0</v>
          </cell>
        </row>
        <row r="92">
          <cell r="Z92" t="b">
            <v>0</v>
          </cell>
          <cell r="AA92" t="b">
            <v>0</v>
          </cell>
          <cell r="AB92" t="b">
            <v>0</v>
          </cell>
          <cell r="AC92" t="b">
            <v>0</v>
          </cell>
          <cell r="AD92" t="b">
            <v>0</v>
          </cell>
        </row>
        <row r="93">
          <cell r="Z93" t="b">
            <v>0</v>
          </cell>
          <cell r="AA93" t="b">
            <v>0</v>
          </cell>
          <cell r="AB93" t="b">
            <v>0</v>
          </cell>
          <cell r="AC93" t="b">
            <v>0</v>
          </cell>
          <cell r="AD93" t="b">
            <v>0</v>
          </cell>
        </row>
        <row r="94">
          <cell r="Z94" t="b">
            <v>0</v>
          </cell>
          <cell r="AA94" t="b">
            <v>0</v>
          </cell>
          <cell r="AB94" t="b">
            <v>0</v>
          </cell>
          <cell r="AC94" t="b">
            <v>0</v>
          </cell>
          <cell r="AD94" t="b">
            <v>0</v>
          </cell>
        </row>
        <row r="95">
          <cell r="Z95" t="b">
            <v>0</v>
          </cell>
          <cell r="AA95" t="b">
            <v>0</v>
          </cell>
          <cell r="AB95" t="b">
            <v>0</v>
          </cell>
          <cell r="AC95" t="b">
            <v>0</v>
          </cell>
          <cell r="AD95" t="b">
            <v>0</v>
          </cell>
        </row>
        <row r="96">
          <cell r="Z96" t="b">
            <v>0</v>
          </cell>
          <cell r="AA96" t="b">
            <v>0</v>
          </cell>
          <cell r="AB96" t="b">
            <v>0</v>
          </cell>
          <cell r="AC96" t="b">
            <v>0</v>
          </cell>
          <cell r="AD96" t="b">
            <v>0</v>
          </cell>
        </row>
        <row r="97">
          <cell r="Z97" t="b">
            <v>0</v>
          </cell>
          <cell r="AA97" t="b">
            <v>0</v>
          </cell>
          <cell r="AB97" t="b">
            <v>0</v>
          </cell>
          <cell r="AC97" t="b">
            <v>0</v>
          </cell>
          <cell r="AD97" t="b">
            <v>0</v>
          </cell>
        </row>
        <row r="98">
          <cell r="Z98" t="b">
            <v>0</v>
          </cell>
          <cell r="AA98" t="b">
            <v>0</v>
          </cell>
          <cell r="AB98" t="b">
            <v>0</v>
          </cell>
          <cell r="AC98" t="b">
            <v>0</v>
          </cell>
          <cell r="AD98" t="b">
            <v>0</v>
          </cell>
        </row>
        <row r="99">
          <cell r="Z99" t="b">
            <v>0</v>
          </cell>
          <cell r="AA99" t="b">
            <v>0</v>
          </cell>
          <cell r="AB99" t="b">
            <v>0</v>
          </cell>
          <cell r="AC99" t="b">
            <v>0</v>
          </cell>
          <cell r="AD99" t="b">
            <v>0</v>
          </cell>
        </row>
        <row r="100">
          <cell r="Z100" t="b">
            <v>0</v>
          </cell>
          <cell r="AA100" t="b">
            <v>0</v>
          </cell>
          <cell r="AB100" t="b">
            <v>0</v>
          </cell>
          <cell r="AC100" t="b">
            <v>0</v>
          </cell>
          <cell r="AD100" t="b">
            <v>0</v>
          </cell>
        </row>
        <row r="101">
          <cell r="Z101" t="b">
            <v>0</v>
          </cell>
          <cell r="AA101" t="b">
            <v>0</v>
          </cell>
          <cell r="AB101" t="b">
            <v>0</v>
          </cell>
          <cell r="AC101" t="b">
            <v>0</v>
          </cell>
          <cell r="AD101" t="b">
            <v>0</v>
          </cell>
        </row>
        <row r="102">
          <cell r="Z102" t="b">
            <v>0</v>
          </cell>
          <cell r="AA102" t="b">
            <v>0</v>
          </cell>
          <cell r="AB102" t="b">
            <v>0</v>
          </cell>
          <cell r="AC102" t="b">
            <v>0</v>
          </cell>
          <cell r="AD102" t="b">
            <v>0</v>
          </cell>
        </row>
        <row r="103">
          <cell r="Z103" t="b">
            <v>0</v>
          </cell>
          <cell r="AA103" t="b">
            <v>0</v>
          </cell>
          <cell r="AB103" t="b">
            <v>0</v>
          </cell>
          <cell r="AC103" t="b">
            <v>0</v>
          </cell>
          <cell r="AD103" t="b">
            <v>0</v>
          </cell>
        </row>
        <row r="104">
          <cell r="Z104" t="b">
            <v>0</v>
          </cell>
          <cell r="AA104" t="b">
            <v>0</v>
          </cell>
          <cell r="AB104" t="b">
            <v>0</v>
          </cell>
          <cell r="AC104" t="b">
            <v>0</v>
          </cell>
          <cell r="AD104" t="b">
            <v>0</v>
          </cell>
        </row>
        <row r="105">
          <cell r="Z105" t="b">
            <v>0</v>
          </cell>
          <cell r="AA105" t="b">
            <v>0</v>
          </cell>
          <cell r="AB105" t="b">
            <v>0</v>
          </cell>
          <cell r="AC105" t="b">
            <v>0</v>
          </cell>
          <cell r="AD105" t="b">
            <v>0</v>
          </cell>
        </row>
        <row r="106">
          <cell r="Z106" t="b">
            <v>0</v>
          </cell>
          <cell r="AA106" t="b">
            <v>0</v>
          </cell>
          <cell r="AB106" t="b">
            <v>0</v>
          </cell>
          <cell r="AC106" t="b">
            <v>0</v>
          </cell>
          <cell r="AD106" t="b">
            <v>0</v>
          </cell>
        </row>
        <row r="107">
          <cell r="Z107" t="b">
            <v>0</v>
          </cell>
          <cell r="AA107" t="b">
            <v>0</v>
          </cell>
          <cell r="AB107" t="b">
            <v>0</v>
          </cell>
          <cell r="AC107" t="b">
            <v>0</v>
          </cell>
          <cell r="AD107" t="b">
            <v>0</v>
          </cell>
        </row>
        <row r="108">
          <cell r="Z108" t="b">
            <v>0</v>
          </cell>
          <cell r="AA108" t="b">
            <v>0</v>
          </cell>
          <cell r="AB108" t="b">
            <v>0</v>
          </cell>
          <cell r="AC108" t="b">
            <v>0</v>
          </cell>
          <cell r="AD108" t="b">
            <v>0</v>
          </cell>
        </row>
        <row r="109">
          <cell r="Z109" t="b">
            <v>0</v>
          </cell>
          <cell r="AA109" t="b">
            <v>0</v>
          </cell>
          <cell r="AB109" t="b">
            <v>0</v>
          </cell>
          <cell r="AC109" t="b">
            <v>0</v>
          </cell>
          <cell r="AD109" t="b">
            <v>0</v>
          </cell>
        </row>
        <row r="110">
          <cell r="Z110" t="b">
            <v>0</v>
          </cell>
          <cell r="AA110" t="b">
            <v>0</v>
          </cell>
          <cell r="AB110" t="b">
            <v>0</v>
          </cell>
          <cell r="AC110" t="b">
            <v>0</v>
          </cell>
          <cell r="AD110" t="b">
            <v>0</v>
          </cell>
        </row>
        <row r="111">
          <cell r="Z111" t="b">
            <v>0</v>
          </cell>
          <cell r="AA111" t="b">
            <v>0</v>
          </cell>
          <cell r="AB111" t="b">
            <v>0</v>
          </cell>
          <cell r="AC111" t="b">
            <v>0</v>
          </cell>
          <cell r="AD111" t="b">
            <v>0</v>
          </cell>
        </row>
        <row r="112">
          <cell r="Z112" t="b">
            <v>0</v>
          </cell>
          <cell r="AA112" t="b">
            <v>0</v>
          </cell>
          <cell r="AB112" t="b">
            <v>0</v>
          </cell>
          <cell r="AC112" t="b">
            <v>0</v>
          </cell>
          <cell r="AD112" t="b">
            <v>0</v>
          </cell>
        </row>
        <row r="113">
          <cell r="Z113" t="b">
            <v>0</v>
          </cell>
          <cell r="AA113" t="b">
            <v>0</v>
          </cell>
          <cell r="AB113" t="b">
            <v>0</v>
          </cell>
          <cell r="AC113" t="b">
            <v>0</v>
          </cell>
          <cell r="AD113" t="b">
            <v>0</v>
          </cell>
        </row>
        <row r="114">
          <cell r="Z114" t="b">
            <v>0</v>
          </cell>
          <cell r="AA114" t="b">
            <v>0</v>
          </cell>
          <cell r="AB114" t="b">
            <v>0</v>
          </cell>
          <cell r="AC114" t="b">
            <v>0</v>
          </cell>
          <cell r="AD114" t="b">
            <v>0</v>
          </cell>
        </row>
        <row r="115">
          <cell r="Z115" t="b">
            <v>0</v>
          </cell>
          <cell r="AA115" t="b">
            <v>0</v>
          </cell>
          <cell r="AB115" t="b">
            <v>0</v>
          </cell>
          <cell r="AC115" t="b">
            <v>0</v>
          </cell>
          <cell r="AD115" t="b">
            <v>0</v>
          </cell>
        </row>
        <row r="116">
          <cell r="Z116" t="b">
            <v>0</v>
          </cell>
          <cell r="AA116" t="b">
            <v>0</v>
          </cell>
          <cell r="AB116" t="b">
            <v>0</v>
          </cell>
          <cell r="AC116" t="b">
            <v>0</v>
          </cell>
          <cell r="AD116" t="b">
            <v>0</v>
          </cell>
        </row>
        <row r="117">
          <cell r="Z117" t="b">
            <v>0</v>
          </cell>
          <cell r="AA117" t="b">
            <v>0</v>
          </cell>
          <cell r="AB117" t="b">
            <v>0</v>
          </cell>
          <cell r="AC117" t="b">
            <v>0</v>
          </cell>
          <cell r="AD117" t="b">
            <v>0</v>
          </cell>
        </row>
        <row r="118">
          <cell r="Z118" t="b">
            <v>0</v>
          </cell>
          <cell r="AA118" t="b">
            <v>0</v>
          </cell>
          <cell r="AB118" t="b">
            <v>0</v>
          </cell>
          <cell r="AC118" t="b">
            <v>0</v>
          </cell>
          <cell r="AD118" t="b">
            <v>0</v>
          </cell>
        </row>
        <row r="119">
          <cell r="Z119" t="b">
            <v>0</v>
          </cell>
          <cell r="AA119" t="b">
            <v>0</v>
          </cell>
          <cell r="AB119" t="b">
            <v>0</v>
          </cell>
          <cell r="AC119" t="b">
            <v>0</v>
          </cell>
          <cell r="AD119" t="b">
            <v>0</v>
          </cell>
        </row>
        <row r="120">
          <cell r="Z120" t="b">
            <v>0</v>
          </cell>
          <cell r="AA120" t="b">
            <v>0</v>
          </cell>
          <cell r="AB120" t="b">
            <v>0</v>
          </cell>
          <cell r="AC120" t="b">
            <v>0</v>
          </cell>
          <cell r="AD120" t="b">
            <v>0</v>
          </cell>
        </row>
        <row r="121">
          <cell r="Z121" t="b">
            <v>0</v>
          </cell>
          <cell r="AA121" t="b">
            <v>0</v>
          </cell>
          <cell r="AB121" t="b">
            <v>0</v>
          </cell>
          <cell r="AC121" t="b">
            <v>0</v>
          </cell>
          <cell r="AD121" t="b">
            <v>0</v>
          </cell>
        </row>
        <row r="122">
          <cell r="Z122" t="b">
            <v>0</v>
          </cell>
          <cell r="AA122" t="b">
            <v>0</v>
          </cell>
          <cell r="AB122" t="b">
            <v>0</v>
          </cell>
          <cell r="AC122" t="b">
            <v>0</v>
          </cell>
          <cell r="AD122" t="b">
            <v>0</v>
          </cell>
        </row>
        <row r="123">
          <cell r="Z123" t="b">
            <v>0</v>
          </cell>
          <cell r="AA123" t="b">
            <v>0</v>
          </cell>
          <cell r="AB123" t="b">
            <v>0</v>
          </cell>
          <cell r="AC123" t="b">
            <v>0</v>
          </cell>
          <cell r="AD123" t="b">
            <v>0</v>
          </cell>
        </row>
        <row r="124">
          <cell r="Z124" t="b">
            <v>0</v>
          </cell>
          <cell r="AA124" t="b">
            <v>0</v>
          </cell>
          <cell r="AB124" t="b">
            <v>0</v>
          </cell>
          <cell r="AC124" t="b">
            <v>0</v>
          </cell>
          <cell r="AD124" t="b">
            <v>0</v>
          </cell>
        </row>
        <row r="125">
          <cell r="Z125" t="b">
            <v>0</v>
          </cell>
          <cell r="AA125" t="b">
            <v>0</v>
          </cell>
          <cell r="AB125" t="b">
            <v>0</v>
          </cell>
          <cell r="AC125" t="b">
            <v>0</v>
          </cell>
          <cell r="AD125" t="b">
            <v>0</v>
          </cell>
        </row>
        <row r="126">
          <cell r="Z126" t="b">
            <v>0</v>
          </cell>
          <cell r="AA126" t="b">
            <v>0</v>
          </cell>
          <cell r="AB126" t="b">
            <v>0</v>
          </cell>
          <cell r="AC126" t="b">
            <v>0</v>
          </cell>
          <cell r="AD126" t="b">
            <v>0</v>
          </cell>
        </row>
        <row r="127">
          <cell r="Z127" t="b">
            <v>0</v>
          </cell>
          <cell r="AA127" t="b">
            <v>0</v>
          </cell>
          <cell r="AB127" t="b">
            <v>0</v>
          </cell>
          <cell r="AC127" t="b">
            <v>0</v>
          </cell>
          <cell r="AD127" t="b">
            <v>0</v>
          </cell>
        </row>
        <row r="128">
          <cell r="Z128" t="b">
            <v>0</v>
          </cell>
          <cell r="AA128" t="b">
            <v>0</v>
          </cell>
          <cell r="AB128" t="b">
            <v>0</v>
          </cell>
          <cell r="AC128" t="b">
            <v>0</v>
          </cell>
          <cell r="AD128" t="b">
            <v>0</v>
          </cell>
        </row>
        <row r="129">
          <cell r="Z129" t="b">
            <v>0</v>
          </cell>
          <cell r="AA129" t="b">
            <v>0</v>
          </cell>
          <cell r="AB129" t="b">
            <v>0</v>
          </cell>
          <cell r="AC129" t="b">
            <v>0</v>
          </cell>
          <cell r="AD129" t="b">
            <v>0</v>
          </cell>
        </row>
        <row r="130">
          <cell r="Z130" t="b">
            <v>0</v>
          </cell>
          <cell r="AA130" t="b">
            <v>0</v>
          </cell>
          <cell r="AB130" t="b">
            <v>0</v>
          </cell>
          <cell r="AC130" t="b">
            <v>0</v>
          </cell>
          <cell r="AD130" t="b">
            <v>0</v>
          </cell>
        </row>
        <row r="131">
          <cell r="Z131" t="b">
            <v>0</v>
          </cell>
          <cell r="AA131" t="b">
            <v>0</v>
          </cell>
          <cell r="AB131" t="b">
            <v>0</v>
          </cell>
          <cell r="AC131" t="b">
            <v>0</v>
          </cell>
          <cell r="AD131" t="b">
            <v>0</v>
          </cell>
        </row>
        <row r="132">
          <cell r="Z132" t="b">
            <v>0</v>
          </cell>
          <cell r="AA132" t="b">
            <v>0</v>
          </cell>
          <cell r="AB132" t="b">
            <v>0</v>
          </cell>
          <cell r="AC132" t="b">
            <v>0</v>
          </cell>
          <cell r="AD132" t="b">
            <v>0</v>
          </cell>
        </row>
        <row r="133">
          <cell r="Z133" t="b">
            <v>0</v>
          </cell>
          <cell r="AA133" t="b">
            <v>0</v>
          </cell>
          <cell r="AB133" t="b">
            <v>0</v>
          </cell>
          <cell r="AC133" t="b">
            <v>0</v>
          </cell>
          <cell r="AD133" t="b">
            <v>0</v>
          </cell>
        </row>
        <row r="134">
          <cell r="Z134" t="b">
            <v>0</v>
          </cell>
          <cell r="AA134" t="b">
            <v>0</v>
          </cell>
          <cell r="AB134" t="b">
            <v>0</v>
          </cell>
          <cell r="AC134" t="b">
            <v>0</v>
          </cell>
          <cell r="AD134" t="b">
            <v>0</v>
          </cell>
        </row>
        <row r="135">
          <cell r="Z135" t="b">
            <v>0</v>
          </cell>
          <cell r="AA135" t="b">
            <v>0</v>
          </cell>
          <cell r="AB135" t="b">
            <v>0</v>
          </cell>
          <cell r="AC135" t="b">
            <v>0</v>
          </cell>
          <cell r="AD135" t="b">
            <v>0</v>
          </cell>
        </row>
        <row r="136">
          <cell r="Z136" t="b">
            <v>0</v>
          </cell>
          <cell r="AA136" t="b">
            <v>0</v>
          </cell>
          <cell r="AB136" t="b">
            <v>0</v>
          </cell>
          <cell r="AC136" t="b">
            <v>0</v>
          </cell>
          <cell r="AD136" t="b">
            <v>0</v>
          </cell>
        </row>
        <row r="137">
          <cell r="Z137" t="b">
            <v>0</v>
          </cell>
          <cell r="AA137" t="b">
            <v>0</v>
          </cell>
          <cell r="AB137" t="b">
            <v>0</v>
          </cell>
          <cell r="AC137" t="b">
            <v>0</v>
          </cell>
          <cell r="AD137" t="b">
            <v>0</v>
          </cell>
        </row>
        <row r="138">
          <cell r="Z138" t="b">
            <v>0</v>
          </cell>
          <cell r="AA138" t="b">
            <v>0</v>
          </cell>
          <cell r="AB138" t="b">
            <v>0</v>
          </cell>
          <cell r="AC138" t="b">
            <v>0</v>
          </cell>
          <cell r="AD138" t="b">
            <v>0</v>
          </cell>
        </row>
        <row r="139">
          <cell r="Z139" t="b">
            <v>0</v>
          </cell>
          <cell r="AA139" t="b">
            <v>0</v>
          </cell>
          <cell r="AB139" t="b">
            <v>0</v>
          </cell>
          <cell r="AC139" t="b">
            <v>0</v>
          </cell>
          <cell r="AD139" t="b">
            <v>0</v>
          </cell>
        </row>
        <row r="140">
          <cell r="Z140" t="b">
            <v>0</v>
          </cell>
          <cell r="AA140" t="b">
            <v>0</v>
          </cell>
          <cell r="AB140" t="b">
            <v>0</v>
          </cell>
          <cell r="AC140" t="b">
            <v>0</v>
          </cell>
          <cell r="AD140" t="b">
            <v>0</v>
          </cell>
        </row>
        <row r="141">
          <cell r="Z141" t="b">
            <v>0</v>
          </cell>
          <cell r="AA141" t="b">
            <v>0</v>
          </cell>
          <cell r="AB141" t="b">
            <v>0</v>
          </cell>
          <cell r="AC141" t="b">
            <v>0</v>
          </cell>
          <cell r="AD141" t="b">
            <v>0</v>
          </cell>
        </row>
        <row r="142">
          <cell r="Z142" t="b">
            <v>0</v>
          </cell>
          <cell r="AA142" t="b">
            <v>0</v>
          </cell>
          <cell r="AB142" t="b">
            <v>0</v>
          </cell>
          <cell r="AC142" t="b">
            <v>0</v>
          </cell>
          <cell r="AD142" t="b">
            <v>0</v>
          </cell>
        </row>
        <row r="143">
          <cell r="Z143" t="b">
            <v>0</v>
          </cell>
          <cell r="AA143" t="b">
            <v>0</v>
          </cell>
          <cell r="AB143" t="b">
            <v>0</v>
          </cell>
          <cell r="AC143" t="b">
            <v>0</v>
          </cell>
          <cell r="AD143" t="b">
            <v>0</v>
          </cell>
        </row>
        <row r="144">
          <cell r="Z144" t="b">
            <v>0</v>
          </cell>
          <cell r="AA144" t="b">
            <v>0</v>
          </cell>
          <cell r="AB144" t="b">
            <v>0</v>
          </cell>
          <cell r="AC144" t="b">
            <v>0</v>
          </cell>
          <cell r="AD144" t="b">
            <v>0</v>
          </cell>
        </row>
        <row r="145">
          <cell r="Z145" t="b">
            <v>0</v>
          </cell>
          <cell r="AA145" t="b">
            <v>0</v>
          </cell>
          <cell r="AB145" t="b">
            <v>0</v>
          </cell>
          <cell r="AC145" t="b">
            <v>0</v>
          </cell>
          <cell r="AD145" t="b">
            <v>0</v>
          </cell>
        </row>
        <row r="146">
          <cell r="Z146" t="b">
            <v>0</v>
          </cell>
          <cell r="AA146" t="b">
            <v>0</v>
          </cell>
          <cell r="AB146" t="b">
            <v>0</v>
          </cell>
          <cell r="AC146" t="b">
            <v>0</v>
          </cell>
          <cell r="AD146" t="b">
            <v>0</v>
          </cell>
        </row>
        <row r="147">
          <cell r="Z147" t="b">
            <v>0</v>
          </cell>
          <cell r="AA147" t="b">
            <v>0</v>
          </cell>
          <cell r="AB147" t="b">
            <v>0</v>
          </cell>
          <cell r="AC147" t="b">
            <v>0</v>
          </cell>
          <cell r="AD147" t="b">
            <v>0</v>
          </cell>
        </row>
        <row r="148">
          <cell r="Z148" t="b">
            <v>0</v>
          </cell>
          <cell r="AA148" t="b">
            <v>0</v>
          </cell>
          <cell r="AB148" t="b">
            <v>0</v>
          </cell>
          <cell r="AC148" t="b">
            <v>0</v>
          </cell>
          <cell r="AD148" t="b">
            <v>0</v>
          </cell>
        </row>
        <row r="149">
          <cell r="Z149" t="b">
            <v>0</v>
          </cell>
          <cell r="AA149" t="b">
            <v>0</v>
          </cell>
          <cell r="AB149" t="b">
            <v>0</v>
          </cell>
          <cell r="AC149" t="b">
            <v>0</v>
          </cell>
          <cell r="AD149" t="b">
            <v>0</v>
          </cell>
        </row>
        <row r="150">
          <cell r="Z150" t="b">
            <v>0</v>
          </cell>
          <cell r="AA150" t="b">
            <v>0</v>
          </cell>
          <cell r="AB150" t="b">
            <v>0</v>
          </cell>
          <cell r="AC150" t="b">
            <v>0</v>
          </cell>
          <cell r="AD150" t="b">
            <v>0</v>
          </cell>
        </row>
        <row r="151">
          <cell r="Z151" t="b">
            <v>0</v>
          </cell>
          <cell r="AA151" t="b">
            <v>0</v>
          </cell>
          <cell r="AB151" t="b">
            <v>0</v>
          </cell>
          <cell r="AC151" t="b">
            <v>0</v>
          </cell>
          <cell r="AD151" t="b">
            <v>0</v>
          </cell>
        </row>
        <row r="152">
          <cell r="Z152" t="b">
            <v>0</v>
          </cell>
          <cell r="AA152" t="b">
            <v>0</v>
          </cell>
          <cell r="AB152" t="b">
            <v>0</v>
          </cell>
          <cell r="AC152" t="b">
            <v>0</v>
          </cell>
          <cell r="AD152" t="b">
            <v>0</v>
          </cell>
        </row>
        <row r="153">
          <cell r="Z153" t="b">
            <v>0</v>
          </cell>
          <cell r="AA153" t="b">
            <v>0</v>
          </cell>
          <cell r="AB153" t="b">
            <v>0</v>
          </cell>
          <cell r="AC153" t="b">
            <v>0</v>
          </cell>
          <cell r="AD153" t="b">
            <v>0</v>
          </cell>
        </row>
        <row r="154">
          <cell r="Z154" t="b">
            <v>0</v>
          </cell>
          <cell r="AA154" t="b">
            <v>0</v>
          </cell>
          <cell r="AB154" t="b">
            <v>0</v>
          </cell>
          <cell r="AC154" t="b">
            <v>0</v>
          </cell>
          <cell r="AD154" t="b">
            <v>0</v>
          </cell>
        </row>
        <row r="155">
          <cell r="Z155" t="b">
            <v>0</v>
          </cell>
          <cell r="AA155" t="b">
            <v>0</v>
          </cell>
          <cell r="AB155" t="b">
            <v>0</v>
          </cell>
          <cell r="AC155" t="b">
            <v>0</v>
          </cell>
          <cell r="AD155" t="b">
            <v>0</v>
          </cell>
        </row>
        <row r="156">
          <cell r="Z156" t="b">
            <v>0</v>
          </cell>
          <cell r="AA156" t="b">
            <v>0</v>
          </cell>
          <cell r="AB156" t="b">
            <v>0</v>
          </cell>
          <cell r="AC156" t="b">
            <v>0</v>
          </cell>
          <cell r="AD156" t="b">
            <v>0</v>
          </cell>
        </row>
        <row r="157">
          <cell r="Z157" t="b">
            <v>0</v>
          </cell>
          <cell r="AA157" t="b">
            <v>0</v>
          </cell>
          <cell r="AB157" t="b">
            <v>0</v>
          </cell>
          <cell r="AC157" t="b">
            <v>0</v>
          </cell>
          <cell r="AD157" t="b">
            <v>0</v>
          </cell>
        </row>
        <row r="158">
          <cell r="Z158" t="b">
            <v>0</v>
          </cell>
          <cell r="AA158" t="b">
            <v>0</v>
          </cell>
          <cell r="AB158" t="b">
            <v>0</v>
          </cell>
          <cell r="AC158" t="b">
            <v>0</v>
          </cell>
          <cell r="AD158" t="b">
            <v>0</v>
          </cell>
        </row>
        <row r="159">
          <cell r="Z159" t="b">
            <v>0</v>
          </cell>
          <cell r="AA159" t="b">
            <v>0</v>
          </cell>
          <cell r="AB159" t="b">
            <v>0</v>
          </cell>
          <cell r="AC159" t="b">
            <v>0</v>
          </cell>
          <cell r="AD159" t="b">
            <v>0</v>
          </cell>
        </row>
        <row r="160">
          <cell r="Z160" t="b">
            <v>0</v>
          </cell>
          <cell r="AA160" t="b">
            <v>0</v>
          </cell>
          <cell r="AB160" t="b">
            <v>0</v>
          </cell>
          <cell r="AC160" t="b">
            <v>0</v>
          </cell>
          <cell r="AD160" t="b">
            <v>0</v>
          </cell>
        </row>
        <row r="161">
          <cell r="Z161" t="b">
            <v>0</v>
          </cell>
          <cell r="AA161" t="b">
            <v>0</v>
          </cell>
          <cell r="AB161" t="b">
            <v>0</v>
          </cell>
          <cell r="AC161" t="b">
            <v>0</v>
          </cell>
          <cell r="AD161" t="b">
            <v>0</v>
          </cell>
        </row>
        <row r="162">
          <cell r="Z162" t="b">
            <v>0</v>
          </cell>
          <cell r="AA162" t="b">
            <v>0</v>
          </cell>
          <cell r="AB162" t="b">
            <v>0</v>
          </cell>
          <cell r="AC162" t="b">
            <v>0</v>
          </cell>
          <cell r="AD162" t="b">
            <v>0</v>
          </cell>
        </row>
        <row r="163">
          <cell r="Z163" t="b">
            <v>0</v>
          </cell>
          <cell r="AA163" t="b">
            <v>0</v>
          </cell>
          <cell r="AB163" t="b">
            <v>0</v>
          </cell>
          <cell r="AC163" t="b">
            <v>0</v>
          </cell>
          <cell r="AD163" t="b">
            <v>0</v>
          </cell>
        </row>
        <row r="164">
          <cell r="Z164" t="b">
            <v>0</v>
          </cell>
          <cell r="AA164" t="b">
            <v>0</v>
          </cell>
          <cell r="AB164" t="b">
            <v>0</v>
          </cell>
          <cell r="AC164" t="b">
            <v>0</v>
          </cell>
          <cell r="AD164" t="b">
            <v>0</v>
          </cell>
        </row>
        <row r="165">
          <cell r="Z165" t="b">
            <v>0</v>
          </cell>
          <cell r="AA165" t="b">
            <v>0</v>
          </cell>
          <cell r="AB165" t="b">
            <v>0</v>
          </cell>
          <cell r="AC165" t="b">
            <v>0</v>
          </cell>
          <cell r="AD165" t="b">
            <v>0</v>
          </cell>
        </row>
        <row r="166">
          <cell r="Z166" t="b">
            <v>0</v>
          </cell>
          <cell r="AA166" t="b">
            <v>0</v>
          </cell>
          <cell r="AB166" t="b">
            <v>0</v>
          </cell>
          <cell r="AC166" t="b">
            <v>0</v>
          </cell>
          <cell r="AD166" t="b">
            <v>0</v>
          </cell>
        </row>
        <row r="167">
          <cell r="Z167" t="b">
            <v>0</v>
          </cell>
          <cell r="AA167" t="b">
            <v>0</v>
          </cell>
          <cell r="AB167" t="b">
            <v>0</v>
          </cell>
          <cell r="AC167" t="b">
            <v>0</v>
          </cell>
          <cell r="AD167" t="b">
            <v>0</v>
          </cell>
        </row>
        <row r="168">
          <cell r="Z168" t="b">
            <v>0</v>
          </cell>
          <cell r="AA168" t="b">
            <v>0</v>
          </cell>
          <cell r="AB168" t="b">
            <v>0</v>
          </cell>
          <cell r="AC168" t="b">
            <v>0</v>
          </cell>
          <cell r="AD168" t="b">
            <v>0</v>
          </cell>
        </row>
        <row r="169">
          <cell r="Z169" t="b">
            <v>0</v>
          </cell>
          <cell r="AA169" t="b">
            <v>0</v>
          </cell>
          <cell r="AB169" t="b">
            <v>0</v>
          </cell>
          <cell r="AC169" t="b">
            <v>0</v>
          </cell>
          <cell r="AD169" t="b">
            <v>0</v>
          </cell>
        </row>
        <row r="170">
          <cell r="Z170" t="b">
            <v>0</v>
          </cell>
          <cell r="AA170" t="b">
            <v>0</v>
          </cell>
          <cell r="AB170" t="b">
            <v>0</v>
          </cell>
          <cell r="AC170" t="b">
            <v>0</v>
          </cell>
          <cell r="AD170" t="b">
            <v>0</v>
          </cell>
        </row>
        <row r="171">
          <cell r="Z171" t="b">
            <v>0</v>
          </cell>
          <cell r="AA171" t="b">
            <v>0</v>
          </cell>
          <cell r="AB171" t="b">
            <v>0</v>
          </cell>
          <cell r="AC171" t="b">
            <v>0</v>
          </cell>
          <cell r="AD171" t="b">
            <v>0</v>
          </cell>
        </row>
        <row r="172">
          <cell r="Z172" t="b">
            <v>0</v>
          </cell>
          <cell r="AA172" t="b">
            <v>0</v>
          </cell>
          <cell r="AB172" t="b">
            <v>0</v>
          </cell>
          <cell r="AC172" t="b">
            <v>0</v>
          </cell>
          <cell r="AD172" t="b">
            <v>0</v>
          </cell>
        </row>
        <row r="173">
          <cell r="Z173" t="b">
            <v>0</v>
          </cell>
          <cell r="AA173" t="b">
            <v>0</v>
          </cell>
          <cell r="AB173" t="b">
            <v>0</v>
          </cell>
          <cell r="AC173" t="b">
            <v>0</v>
          </cell>
          <cell r="AD173" t="b">
            <v>0</v>
          </cell>
        </row>
        <row r="174">
          <cell r="Z174" t="b">
            <v>0</v>
          </cell>
          <cell r="AA174" t="b">
            <v>0</v>
          </cell>
          <cell r="AB174" t="b">
            <v>0</v>
          </cell>
          <cell r="AC174" t="b">
            <v>0</v>
          </cell>
          <cell r="AD174" t="b">
            <v>0</v>
          </cell>
        </row>
        <row r="175">
          <cell r="Z175" t="b">
            <v>0</v>
          </cell>
          <cell r="AA175" t="b">
            <v>0</v>
          </cell>
          <cell r="AB175" t="b">
            <v>0</v>
          </cell>
          <cell r="AC175" t="b">
            <v>0</v>
          </cell>
          <cell r="AD175" t="b">
            <v>0</v>
          </cell>
        </row>
        <row r="176">
          <cell r="Z176" t="b">
            <v>0</v>
          </cell>
          <cell r="AA176" t="b">
            <v>0</v>
          </cell>
          <cell r="AB176" t="b">
            <v>0</v>
          </cell>
          <cell r="AC176" t="b">
            <v>0</v>
          </cell>
          <cell r="AD176" t="b">
            <v>0</v>
          </cell>
        </row>
        <row r="177">
          <cell r="Z177" t="b">
            <v>0</v>
          </cell>
          <cell r="AA177" t="b">
            <v>0</v>
          </cell>
          <cell r="AB177" t="b">
            <v>0</v>
          </cell>
          <cell r="AC177" t="b">
            <v>0</v>
          </cell>
          <cell r="AD177" t="b">
            <v>0</v>
          </cell>
        </row>
        <row r="178">
          <cell r="Z178" t="b">
            <v>0</v>
          </cell>
          <cell r="AA178" t="b">
            <v>0</v>
          </cell>
          <cell r="AB178" t="b">
            <v>0</v>
          </cell>
          <cell r="AC178" t="b">
            <v>0</v>
          </cell>
          <cell r="AD178" t="b">
            <v>0</v>
          </cell>
        </row>
        <row r="179">
          <cell r="Z179" t="b">
            <v>0</v>
          </cell>
          <cell r="AA179" t="b">
            <v>0</v>
          </cell>
          <cell r="AB179" t="b">
            <v>0</v>
          </cell>
          <cell r="AC179" t="b">
            <v>0</v>
          </cell>
          <cell r="AD179" t="b">
            <v>0</v>
          </cell>
        </row>
        <row r="180">
          <cell r="Z180" t="b">
            <v>0</v>
          </cell>
          <cell r="AA180" t="b">
            <v>0</v>
          </cell>
          <cell r="AB180" t="b">
            <v>0</v>
          </cell>
          <cell r="AC180" t="b">
            <v>0</v>
          </cell>
          <cell r="AD180" t="b">
            <v>0</v>
          </cell>
        </row>
        <row r="181">
          <cell r="Z181" t="b">
            <v>0</v>
          </cell>
          <cell r="AA181" t="b">
            <v>0</v>
          </cell>
          <cell r="AB181" t="b">
            <v>0</v>
          </cell>
          <cell r="AC181" t="b">
            <v>0</v>
          </cell>
          <cell r="AD181" t="b">
            <v>0</v>
          </cell>
        </row>
        <row r="182">
          <cell r="Z182" t="b">
            <v>0</v>
          </cell>
          <cell r="AA182" t="b">
            <v>0</v>
          </cell>
          <cell r="AB182" t="b">
            <v>0</v>
          </cell>
          <cell r="AC182" t="b">
            <v>0</v>
          </cell>
          <cell r="AD182" t="b">
            <v>0</v>
          </cell>
        </row>
        <row r="183">
          <cell r="Z183" t="b">
            <v>0</v>
          </cell>
          <cell r="AA183" t="b">
            <v>0</v>
          </cell>
          <cell r="AB183" t="b">
            <v>0</v>
          </cell>
          <cell r="AC183" t="b">
            <v>0</v>
          </cell>
          <cell r="AD183" t="b">
            <v>0</v>
          </cell>
        </row>
        <row r="184">
          <cell r="Z184" t="b">
            <v>0</v>
          </cell>
          <cell r="AA184" t="b">
            <v>0</v>
          </cell>
          <cell r="AB184" t="b">
            <v>0</v>
          </cell>
          <cell r="AC184" t="b">
            <v>0</v>
          </cell>
          <cell r="AD184" t="b">
            <v>0</v>
          </cell>
        </row>
        <row r="185">
          <cell r="Z185" t="b">
            <v>0</v>
          </cell>
          <cell r="AA185" t="b">
            <v>0</v>
          </cell>
          <cell r="AB185" t="b">
            <v>0</v>
          </cell>
          <cell r="AC185" t="b">
            <v>0</v>
          </cell>
          <cell r="AD185" t="b">
            <v>0</v>
          </cell>
        </row>
        <row r="186">
          <cell r="Z186" t="b">
            <v>0</v>
          </cell>
          <cell r="AA186" t="b">
            <v>0</v>
          </cell>
          <cell r="AB186" t="b">
            <v>0</v>
          </cell>
          <cell r="AC186" t="b">
            <v>0</v>
          </cell>
          <cell r="AD186" t="b">
            <v>0</v>
          </cell>
        </row>
        <row r="187">
          <cell r="Z187" t="b">
            <v>0</v>
          </cell>
          <cell r="AA187" t="b">
            <v>0</v>
          </cell>
          <cell r="AB187" t="b">
            <v>0</v>
          </cell>
          <cell r="AC187" t="b">
            <v>0</v>
          </cell>
          <cell r="AD187" t="b">
            <v>0</v>
          </cell>
        </row>
        <row r="188">
          <cell r="Z188" t="b">
            <v>0</v>
          </cell>
          <cell r="AA188" t="b">
            <v>0</v>
          </cell>
          <cell r="AB188" t="b">
            <v>0</v>
          </cell>
          <cell r="AC188" t="b">
            <v>0</v>
          </cell>
          <cell r="AD188" t="b">
            <v>0</v>
          </cell>
        </row>
        <row r="189">
          <cell r="Z189" t="b">
            <v>0</v>
          </cell>
          <cell r="AA189" t="b">
            <v>0</v>
          </cell>
          <cell r="AB189" t="b">
            <v>0</v>
          </cell>
          <cell r="AC189" t="b">
            <v>0</v>
          </cell>
          <cell r="AD189" t="b">
            <v>0</v>
          </cell>
        </row>
        <row r="190">
          <cell r="Z190" t="b">
            <v>0</v>
          </cell>
          <cell r="AA190" t="b">
            <v>0</v>
          </cell>
          <cell r="AB190" t="b">
            <v>0</v>
          </cell>
          <cell r="AC190" t="b">
            <v>0</v>
          </cell>
          <cell r="AD190" t="b">
            <v>0</v>
          </cell>
        </row>
        <row r="191">
          <cell r="Z191" t="b">
            <v>0</v>
          </cell>
          <cell r="AA191" t="b">
            <v>0</v>
          </cell>
          <cell r="AB191" t="b">
            <v>0</v>
          </cell>
          <cell r="AC191" t="b">
            <v>0</v>
          </cell>
          <cell r="AD191" t="b">
            <v>0</v>
          </cell>
        </row>
        <row r="192">
          <cell r="Z192" t="b">
            <v>0</v>
          </cell>
          <cell r="AA192" t="b">
            <v>0</v>
          </cell>
          <cell r="AB192" t="b">
            <v>0</v>
          </cell>
          <cell r="AC192" t="b">
            <v>0</v>
          </cell>
          <cell r="AD192" t="b">
            <v>0</v>
          </cell>
        </row>
        <row r="193">
          <cell r="Z193" t="b">
            <v>0</v>
          </cell>
          <cell r="AA193" t="b">
            <v>0</v>
          </cell>
          <cell r="AB193" t="b">
            <v>0</v>
          </cell>
          <cell r="AC193" t="b">
            <v>0</v>
          </cell>
          <cell r="AD193" t="b">
            <v>0</v>
          </cell>
        </row>
        <row r="194">
          <cell r="Z194" t="b">
            <v>0</v>
          </cell>
          <cell r="AA194" t="b">
            <v>0</v>
          </cell>
          <cell r="AB194" t="b">
            <v>0</v>
          </cell>
          <cell r="AC194" t="b">
            <v>0</v>
          </cell>
          <cell r="AD194" t="b">
            <v>0</v>
          </cell>
        </row>
        <row r="195">
          <cell r="Z195" t="b">
            <v>0</v>
          </cell>
          <cell r="AA195" t="b">
            <v>0</v>
          </cell>
          <cell r="AB195" t="b">
            <v>0</v>
          </cell>
          <cell r="AC195" t="b">
            <v>0</v>
          </cell>
          <cell r="AD195" t="b">
            <v>0</v>
          </cell>
        </row>
        <row r="196">
          <cell r="Z196" t="b">
            <v>0</v>
          </cell>
          <cell r="AA196" t="b">
            <v>0</v>
          </cell>
          <cell r="AB196" t="b">
            <v>0</v>
          </cell>
          <cell r="AC196" t="b">
            <v>0</v>
          </cell>
          <cell r="AD196" t="b">
            <v>0</v>
          </cell>
        </row>
        <row r="197">
          <cell r="Z197" t="b">
            <v>0</v>
          </cell>
          <cell r="AA197" t="b">
            <v>0</v>
          </cell>
          <cell r="AB197" t="b">
            <v>0</v>
          </cell>
          <cell r="AC197" t="b">
            <v>0</v>
          </cell>
          <cell r="AD197" t="b">
            <v>0</v>
          </cell>
        </row>
        <row r="198">
          <cell r="Z198" t="b">
            <v>0</v>
          </cell>
          <cell r="AA198" t="b">
            <v>0</v>
          </cell>
          <cell r="AB198" t="b">
            <v>0</v>
          </cell>
          <cell r="AC198" t="b">
            <v>0</v>
          </cell>
          <cell r="AD198" t="b">
            <v>0</v>
          </cell>
        </row>
        <row r="199">
          <cell r="Z199" t="b">
            <v>0</v>
          </cell>
          <cell r="AA199" t="b">
            <v>0</v>
          </cell>
          <cell r="AB199" t="b">
            <v>0</v>
          </cell>
          <cell r="AC199" t="b">
            <v>0</v>
          </cell>
          <cell r="AD199" t="b">
            <v>0</v>
          </cell>
        </row>
        <row r="200">
          <cell r="Z200" t="b">
            <v>0</v>
          </cell>
          <cell r="AA200" t="b">
            <v>0</v>
          </cell>
          <cell r="AB200" t="b">
            <v>0</v>
          </cell>
          <cell r="AC200" t="b">
            <v>0</v>
          </cell>
          <cell r="AD200" t="b">
            <v>0</v>
          </cell>
        </row>
        <row r="201">
          <cell r="Z201" t="b">
            <v>0</v>
          </cell>
          <cell r="AA201" t="b">
            <v>0</v>
          </cell>
          <cell r="AB201" t="b">
            <v>0</v>
          </cell>
          <cell r="AC201" t="b">
            <v>0</v>
          </cell>
          <cell r="AD201" t="b">
            <v>0</v>
          </cell>
        </row>
        <row r="202">
          <cell r="Z202" t="b">
            <v>0</v>
          </cell>
          <cell r="AA202" t="b">
            <v>0</v>
          </cell>
          <cell r="AB202" t="b">
            <v>0</v>
          </cell>
          <cell r="AC202" t="b">
            <v>0</v>
          </cell>
          <cell r="AD202" t="b">
            <v>0</v>
          </cell>
        </row>
        <row r="203">
          <cell r="Z203" t="b">
            <v>0</v>
          </cell>
          <cell r="AA203" t="b">
            <v>0</v>
          </cell>
          <cell r="AB203" t="b">
            <v>0</v>
          </cell>
          <cell r="AC203" t="b">
            <v>0</v>
          </cell>
          <cell r="AD203" t="b">
            <v>0</v>
          </cell>
        </row>
        <row r="204">
          <cell r="Z204" t="b">
            <v>0</v>
          </cell>
          <cell r="AA204" t="b">
            <v>0</v>
          </cell>
          <cell r="AB204" t="b">
            <v>0</v>
          </cell>
          <cell r="AC204" t="b">
            <v>0</v>
          </cell>
          <cell r="AD204" t="b">
            <v>0</v>
          </cell>
        </row>
        <row r="205">
          <cell r="Z205" t="b">
            <v>0</v>
          </cell>
          <cell r="AA205" t="b">
            <v>0</v>
          </cell>
          <cell r="AB205" t="b">
            <v>0</v>
          </cell>
          <cell r="AC205" t="b">
            <v>0</v>
          </cell>
          <cell r="AD205" t="b">
            <v>0</v>
          </cell>
        </row>
        <row r="206">
          <cell r="Z206" t="b">
            <v>0</v>
          </cell>
          <cell r="AA206" t="b">
            <v>0</v>
          </cell>
          <cell r="AB206" t="b">
            <v>0</v>
          </cell>
          <cell r="AC206" t="b">
            <v>0</v>
          </cell>
          <cell r="AD206" t="b">
            <v>0</v>
          </cell>
        </row>
        <row r="207">
          <cell r="Z207" t="b">
            <v>0</v>
          </cell>
          <cell r="AA207" t="b">
            <v>0</v>
          </cell>
          <cell r="AB207" t="b">
            <v>0</v>
          </cell>
          <cell r="AC207" t="b">
            <v>0</v>
          </cell>
          <cell r="AD207" t="b">
            <v>0</v>
          </cell>
        </row>
        <row r="208">
          <cell r="Z208" t="b">
            <v>0</v>
          </cell>
          <cell r="AA208" t="b">
            <v>0</v>
          </cell>
          <cell r="AB208" t="b">
            <v>0</v>
          </cell>
          <cell r="AC208" t="b">
            <v>0</v>
          </cell>
          <cell r="AD208" t="b">
            <v>0</v>
          </cell>
        </row>
        <row r="209">
          <cell r="Z209" t="b">
            <v>0</v>
          </cell>
          <cell r="AA209" t="b">
            <v>0</v>
          </cell>
          <cell r="AB209" t="b">
            <v>0</v>
          </cell>
          <cell r="AC209" t="b">
            <v>0</v>
          </cell>
          <cell r="AD209" t="b">
            <v>0</v>
          </cell>
        </row>
        <row r="210">
          <cell r="Z210" t="b">
            <v>0</v>
          </cell>
          <cell r="AA210" t="b">
            <v>0</v>
          </cell>
          <cell r="AB210" t="b">
            <v>0</v>
          </cell>
          <cell r="AC210" t="b">
            <v>0</v>
          </cell>
          <cell r="AD210" t="b">
            <v>0</v>
          </cell>
        </row>
        <row r="211">
          <cell r="Z211" t="b">
            <v>0</v>
          </cell>
          <cell r="AA211" t="b">
            <v>0</v>
          </cell>
          <cell r="AB211" t="b">
            <v>0</v>
          </cell>
          <cell r="AC211" t="b">
            <v>0</v>
          </cell>
          <cell r="AD211" t="b">
            <v>0</v>
          </cell>
        </row>
        <row r="212">
          <cell r="Z212" t="b">
            <v>0</v>
          </cell>
          <cell r="AA212" t="b">
            <v>0</v>
          </cell>
          <cell r="AB212" t="b">
            <v>0</v>
          </cell>
          <cell r="AC212" t="b">
            <v>0</v>
          </cell>
          <cell r="AD212" t="b">
            <v>0</v>
          </cell>
        </row>
        <row r="213">
          <cell r="Z213" t="b">
            <v>0</v>
          </cell>
          <cell r="AA213" t="b">
            <v>0</v>
          </cell>
          <cell r="AB213" t="b">
            <v>0</v>
          </cell>
          <cell r="AC213" t="b">
            <v>0</v>
          </cell>
          <cell r="AD213" t="b">
            <v>0</v>
          </cell>
        </row>
        <row r="214">
          <cell r="Z214" t="b">
            <v>0</v>
          </cell>
          <cell r="AA214" t="b">
            <v>0</v>
          </cell>
          <cell r="AB214" t="b">
            <v>0</v>
          </cell>
          <cell r="AC214" t="b">
            <v>0</v>
          </cell>
          <cell r="AD214" t="b">
            <v>0</v>
          </cell>
        </row>
        <row r="215">
          <cell r="Z215" t="b">
            <v>0</v>
          </cell>
          <cell r="AA215" t="b">
            <v>0</v>
          </cell>
          <cell r="AB215" t="b">
            <v>0</v>
          </cell>
          <cell r="AC215" t="b">
            <v>0</v>
          </cell>
          <cell r="AD215" t="b">
            <v>0</v>
          </cell>
        </row>
        <row r="216">
          <cell r="Z216" t="b">
            <v>0</v>
          </cell>
          <cell r="AA216" t="b">
            <v>0</v>
          </cell>
          <cell r="AB216" t="b">
            <v>0</v>
          </cell>
          <cell r="AC216" t="b">
            <v>0</v>
          </cell>
          <cell r="AD216" t="b">
            <v>0</v>
          </cell>
        </row>
        <row r="217">
          <cell r="Z217" t="b">
            <v>0</v>
          </cell>
          <cell r="AA217" t="b">
            <v>0</v>
          </cell>
          <cell r="AB217" t="b">
            <v>0</v>
          </cell>
          <cell r="AC217" t="b">
            <v>0</v>
          </cell>
          <cell r="AD217" t="b">
            <v>0</v>
          </cell>
        </row>
        <row r="218">
          <cell r="Z218" t="b">
            <v>0</v>
          </cell>
          <cell r="AA218" t="b">
            <v>0</v>
          </cell>
          <cell r="AB218" t="b">
            <v>0</v>
          </cell>
          <cell r="AC218" t="b">
            <v>0</v>
          </cell>
          <cell r="AD218" t="b">
            <v>0</v>
          </cell>
        </row>
        <row r="219">
          <cell r="Z219" t="b">
            <v>0</v>
          </cell>
          <cell r="AA219" t="b">
            <v>0</v>
          </cell>
          <cell r="AB219" t="b">
            <v>0</v>
          </cell>
          <cell r="AC219" t="b">
            <v>0</v>
          </cell>
          <cell r="AD219" t="b">
            <v>0</v>
          </cell>
        </row>
        <row r="220">
          <cell r="Z220" t="b">
            <v>0</v>
          </cell>
          <cell r="AA220" t="b">
            <v>0</v>
          </cell>
          <cell r="AB220" t="b">
            <v>0</v>
          </cell>
          <cell r="AC220" t="b">
            <v>0</v>
          </cell>
          <cell r="AD220" t="b">
            <v>0</v>
          </cell>
        </row>
        <row r="221">
          <cell r="Z221" t="b">
            <v>0</v>
          </cell>
          <cell r="AA221" t="b">
            <v>0</v>
          </cell>
          <cell r="AB221" t="b">
            <v>0</v>
          </cell>
          <cell r="AC221" t="b">
            <v>0</v>
          </cell>
          <cell r="AD221" t="b">
            <v>0</v>
          </cell>
        </row>
        <row r="222">
          <cell r="Z222" t="b">
            <v>0</v>
          </cell>
          <cell r="AA222" t="b">
            <v>0</v>
          </cell>
          <cell r="AB222" t="b">
            <v>0</v>
          </cell>
          <cell r="AC222" t="b">
            <v>0</v>
          </cell>
          <cell r="AD222" t="b">
            <v>0</v>
          </cell>
        </row>
        <row r="223">
          <cell r="Z223" t="b">
            <v>0</v>
          </cell>
          <cell r="AA223" t="b">
            <v>0</v>
          </cell>
          <cell r="AB223" t="b">
            <v>0</v>
          </cell>
          <cell r="AC223" t="b">
            <v>0</v>
          </cell>
          <cell r="AD223" t="b">
            <v>0</v>
          </cell>
        </row>
        <row r="224">
          <cell r="Z224" t="b">
            <v>0</v>
          </cell>
          <cell r="AA224" t="b">
            <v>0</v>
          </cell>
          <cell r="AB224" t="b">
            <v>0</v>
          </cell>
          <cell r="AC224" t="b">
            <v>0</v>
          </cell>
          <cell r="AD224" t="b">
            <v>0</v>
          </cell>
        </row>
        <row r="225">
          <cell r="Z225" t="b">
            <v>0</v>
          </cell>
          <cell r="AA225" t="b">
            <v>0</v>
          </cell>
          <cell r="AB225" t="b">
            <v>0</v>
          </cell>
          <cell r="AC225" t="b">
            <v>0</v>
          </cell>
          <cell r="AD225" t="b">
            <v>0</v>
          </cell>
        </row>
        <row r="226">
          <cell r="Z226" t="b">
            <v>0</v>
          </cell>
          <cell r="AA226" t="b">
            <v>0</v>
          </cell>
          <cell r="AB226" t="b">
            <v>0</v>
          </cell>
          <cell r="AC226" t="b">
            <v>0</v>
          </cell>
          <cell r="AD226" t="b">
            <v>0</v>
          </cell>
        </row>
        <row r="227">
          <cell r="Z227" t="b">
            <v>0</v>
          </cell>
          <cell r="AA227" t="b">
            <v>0</v>
          </cell>
          <cell r="AB227" t="b">
            <v>0</v>
          </cell>
          <cell r="AC227" t="b">
            <v>0</v>
          </cell>
          <cell r="AD227" t="b">
            <v>0</v>
          </cell>
        </row>
        <row r="228">
          <cell r="Z228" t="b">
            <v>0</v>
          </cell>
          <cell r="AA228" t="b">
            <v>0</v>
          </cell>
          <cell r="AB228" t="b">
            <v>0</v>
          </cell>
          <cell r="AC228" t="b">
            <v>0</v>
          </cell>
          <cell r="AD228" t="b">
            <v>0</v>
          </cell>
        </row>
        <row r="229">
          <cell r="Z229" t="b">
            <v>0</v>
          </cell>
          <cell r="AA229" t="b">
            <v>0</v>
          </cell>
          <cell r="AB229" t="b">
            <v>0</v>
          </cell>
          <cell r="AC229" t="b">
            <v>0</v>
          </cell>
          <cell r="AD229" t="b">
            <v>0</v>
          </cell>
        </row>
        <row r="230">
          <cell r="Z230" t="b">
            <v>0</v>
          </cell>
          <cell r="AA230" t="b">
            <v>0</v>
          </cell>
          <cell r="AB230" t="b">
            <v>0</v>
          </cell>
          <cell r="AC230" t="b">
            <v>0</v>
          </cell>
          <cell r="AD230" t="b">
            <v>0</v>
          </cell>
        </row>
        <row r="231">
          <cell r="Z231" t="b">
            <v>0</v>
          </cell>
          <cell r="AA231" t="b">
            <v>0</v>
          </cell>
          <cell r="AB231" t="b">
            <v>0</v>
          </cell>
          <cell r="AC231" t="b">
            <v>0</v>
          </cell>
          <cell r="AD231" t="b">
            <v>0</v>
          </cell>
        </row>
        <row r="232">
          <cell r="Z232" t="b">
            <v>0</v>
          </cell>
          <cell r="AA232" t="b">
            <v>0</v>
          </cell>
          <cell r="AB232" t="b">
            <v>0</v>
          </cell>
          <cell r="AC232" t="b">
            <v>0</v>
          </cell>
          <cell r="AD232" t="b">
            <v>0</v>
          </cell>
        </row>
        <row r="233">
          <cell r="Z233" t="b">
            <v>0</v>
          </cell>
          <cell r="AA233" t="b">
            <v>0</v>
          </cell>
          <cell r="AB233" t="b">
            <v>0</v>
          </cell>
          <cell r="AC233" t="b">
            <v>0</v>
          </cell>
          <cell r="AD233" t="b">
            <v>0</v>
          </cell>
        </row>
        <row r="234">
          <cell r="Z234" t="b">
            <v>0</v>
          </cell>
          <cell r="AA234" t="b">
            <v>0</v>
          </cell>
          <cell r="AB234" t="b">
            <v>0</v>
          </cell>
          <cell r="AC234" t="b">
            <v>0</v>
          </cell>
          <cell r="AD234" t="b">
            <v>0</v>
          </cell>
        </row>
        <row r="235">
          <cell r="Z235" t="b">
            <v>0</v>
          </cell>
          <cell r="AA235" t="b">
            <v>0</v>
          </cell>
          <cell r="AB235" t="b">
            <v>0</v>
          </cell>
          <cell r="AC235" t="b">
            <v>0</v>
          </cell>
          <cell r="AD235" t="b">
            <v>0</v>
          </cell>
        </row>
        <row r="236">
          <cell r="Z236" t="b">
            <v>0</v>
          </cell>
          <cell r="AA236" t="b">
            <v>0</v>
          </cell>
          <cell r="AB236" t="b">
            <v>0</v>
          </cell>
          <cell r="AC236" t="b">
            <v>0</v>
          </cell>
          <cell r="AD236" t="b">
            <v>0</v>
          </cell>
        </row>
        <row r="237">
          <cell r="Z237" t="b">
            <v>0</v>
          </cell>
          <cell r="AA237" t="b">
            <v>0</v>
          </cell>
          <cell r="AB237" t="b">
            <v>0</v>
          </cell>
          <cell r="AC237" t="b">
            <v>0</v>
          </cell>
          <cell r="AD237" t="b">
            <v>0</v>
          </cell>
        </row>
        <row r="238">
          <cell r="Z238" t="b">
            <v>0</v>
          </cell>
          <cell r="AA238" t="b">
            <v>0</v>
          </cell>
          <cell r="AB238" t="b">
            <v>0</v>
          </cell>
          <cell r="AC238" t="b">
            <v>0</v>
          </cell>
          <cell r="AD238" t="b">
            <v>0</v>
          </cell>
        </row>
        <row r="239">
          <cell r="Z239" t="b">
            <v>0</v>
          </cell>
          <cell r="AA239" t="b">
            <v>0</v>
          </cell>
          <cell r="AB239" t="b">
            <v>0</v>
          </cell>
          <cell r="AC239" t="b">
            <v>0</v>
          </cell>
          <cell r="AD239" t="b">
            <v>0</v>
          </cell>
        </row>
        <row r="240">
          <cell r="Z240" t="b">
            <v>0</v>
          </cell>
          <cell r="AA240" t="b">
            <v>0</v>
          </cell>
          <cell r="AB240" t="b">
            <v>0</v>
          </cell>
          <cell r="AC240" t="b">
            <v>0</v>
          </cell>
          <cell r="AD240" t="b">
            <v>0</v>
          </cell>
        </row>
        <row r="241">
          <cell r="Z241" t="b">
            <v>0</v>
          </cell>
          <cell r="AA241" t="b">
            <v>0</v>
          </cell>
          <cell r="AB241" t="b">
            <v>0</v>
          </cell>
          <cell r="AC241" t="b">
            <v>0</v>
          </cell>
          <cell r="AD241" t="b">
            <v>0</v>
          </cell>
        </row>
        <row r="242">
          <cell r="Z242" t="b">
            <v>0</v>
          </cell>
          <cell r="AA242" t="b">
            <v>0</v>
          </cell>
          <cell r="AB242" t="b">
            <v>0</v>
          </cell>
          <cell r="AC242" t="b">
            <v>0</v>
          </cell>
          <cell r="AD242" t="b">
            <v>0</v>
          </cell>
        </row>
        <row r="243">
          <cell r="Z243" t="b">
            <v>0</v>
          </cell>
          <cell r="AA243" t="b">
            <v>0</v>
          </cell>
          <cell r="AB243" t="b">
            <v>0</v>
          </cell>
          <cell r="AC243" t="b">
            <v>0</v>
          </cell>
          <cell r="AD243" t="b">
            <v>0</v>
          </cell>
        </row>
        <row r="244">
          <cell r="Z244" t="b">
            <v>0</v>
          </cell>
          <cell r="AA244" t="b">
            <v>0</v>
          </cell>
          <cell r="AB244" t="b">
            <v>0</v>
          </cell>
          <cell r="AC244" t="b">
            <v>0</v>
          </cell>
          <cell r="AD244" t="b">
            <v>0</v>
          </cell>
        </row>
        <row r="245">
          <cell r="Z245" t="b">
            <v>0</v>
          </cell>
          <cell r="AA245" t="b">
            <v>0</v>
          </cell>
          <cell r="AB245" t="b">
            <v>0</v>
          </cell>
          <cell r="AC245" t="b">
            <v>0</v>
          </cell>
          <cell r="AD245" t="b">
            <v>0</v>
          </cell>
        </row>
        <row r="246">
          <cell r="Z246" t="b">
            <v>0</v>
          </cell>
          <cell r="AA246" t="b">
            <v>0</v>
          </cell>
          <cell r="AB246" t="b">
            <v>0</v>
          </cell>
          <cell r="AC246" t="b">
            <v>0</v>
          </cell>
          <cell r="AD246" t="b">
            <v>0</v>
          </cell>
        </row>
        <row r="247">
          <cell r="Z247" t="b">
            <v>0</v>
          </cell>
          <cell r="AA247" t="b">
            <v>0</v>
          </cell>
          <cell r="AB247" t="b">
            <v>0</v>
          </cell>
          <cell r="AC247" t="b">
            <v>0</v>
          </cell>
          <cell r="AD247" t="b">
            <v>0</v>
          </cell>
        </row>
        <row r="248">
          <cell r="Z248" t="b">
            <v>0</v>
          </cell>
          <cell r="AA248" t="b">
            <v>0</v>
          </cell>
          <cell r="AB248" t="b">
            <v>0</v>
          </cell>
          <cell r="AC248" t="b">
            <v>0</v>
          </cell>
          <cell r="AD248" t="b">
            <v>0</v>
          </cell>
        </row>
        <row r="249">
          <cell r="Z249" t="b">
            <v>0</v>
          </cell>
          <cell r="AA249" t="b">
            <v>0</v>
          </cell>
          <cell r="AB249" t="b">
            <v>0</v>
          </cell>
          <cell r="AC249" t="b">
            <v>0</v>
          </cell>
          <cell r="AD249" t="b">
            <v>0</v>
          </cell>
        </row>
        <row r="250">
          <cell r="Z250" t="b">
            <v>0</v>
          </cell>
          <cell r="AA250" t="b">
            <v>0</v>
          </cell>
          <cell r="AB250" t="b">
            <v>0</v>
          </cell>
          <cell r="AC250" t="b">
            <v>0</v>
          </cell>
          <cell r="AD250" t="b">
            <v>0</v>
          </cell>
        </row>
        <row r="251">
          <cell r="Z251" t="b">
            <v>0</v>
          </cell>
          <cell r="AA251" t="b">
            <v>0</v>
          </cell>
          <cell r="AB251" t="b">
            <v>0</v>
          </cell>
          <cell r="AC251" t="b">
            <v>0</v>
          </cell>
          <cell r="AD251" t="b">
            <v>0</v>
          </cell>
        </row>
        <row r="252">
          <cell r="Z252" t="b">
            <v>0</v>
          </cell>
          <cell r="AA252" t="b">
            <v>0</v>
          </cell>
          <cell r="AB252" t="b">
            <v>0</v>
          </cell>
          <cell r="AC252" t="b">
            <v>0</v>
          </cell>
          <cell r="AD252" t="b">
            <v>0</v>
          </cell>
        </row>
        <row r="253">
          <cell r="Z253" t="b">
            <v>0</v>
          </cell>
          <cell r="AA253" t="b">
            <v>0</v>
          </cell>
          <cell r="AB253" t="b">
            <v>0</v>
          </cell>
          <cell r="AC253" t="b">
            <v>0</v>
          </cell>
          <cell r="AD253" t="b">
            <v>0</v>
          </cell>
        </row>
        <row r="254">
          <cell r="Z254" t="b">
            <v>0</v>
          </cell>
          <cell r="AA254" t="b">
            <v>0</v>
          </cell>
          <cell r="AB254" t="b">
            <v>0</v>
          </cell>
          <cell r="AC254" t="b">
            <v>0</v>
          </cell>
          <cell r="AD254" t="b">
            <v>0</v>
          </cell>
        </row>
        <row r="255">
          <cell r="Z255" t="b">
            <v>0</v>
          </cell>
          <cell r="AA255" t="b">
            <v>0</v>
          </cell>
          <cell r="AB255" t="b">
            <v>0</v>
          </cell>
          <cell r="AC255" t="b">
            <v>0</v>
          </cell>
          <cell r="AD255" t="b">
            <v>0</v>
          </cell>
        </row>
        <row r="256">
          <cell r="Z256" t="b">
            <v>0</v>
          </cell>
          <cell r="AA256" t="b">
            <v>0</v>
          </cell>
          <cell r="AB256" t="b">
            <v>0</v>
          </cell>
          <cell r="AC256" t="b">
            <v>0</v>
          </cell>
          <cell r="AD256" t="b">
            <v>0</v>
          </cell>
        </row>
        <row r="257">
          <cell r="Z257" t="b">
            <v>0</v>
          </cell>
          <cell r="AA257" t="b">
            <v>0</v>
          </cell>
          <cell r="AB257" t="b">
            <v>0</v>
          </cell>
          <cell r="AC257" t="b">
            <v>0</v>
          </cell>
          <cell r="AD257" t="b">
            <v>0</v>
          </cell>
        </row>
        <row r="258">
          <cell r="Z258" t="b">
            <v>0</v>
          </cell>
          <cell r="AA258" t="b">
            <v>0</v>
          </cell>
          <cell r="AB258" t="b">
            <v>0</v>
          </cell>
          <cell r="AC258" t="b">
            <v>0</v>
          </cell>
          <cell r="AD258" t="b">
            <v>0</v>
          </cell>
        </row>
        <row r="259">
          <cell r="Z259" t="b">
            <v>0</v>
          </cell>
          <cell r="AA259" t="b">
            <v>0</v>
          </cell>
          <cell r="AB259" t="b">
            <v>0</v>
          </cell>
          <cell r="AC259" t="b">
            <v>0</v>
          </cell>
          <cell r="AD259" t="b">
            <v>0</v>
          </cell>
        </row>
        <row r="260">
          <cell r="Z260" t="b">
            <v>0</v>
          </cell>
          <cell r="AA260" t="b">
            <v>0</v>
          </cell>
          <cell r="AB260" t="b">
            <v>0</v>
          </cell>
          <cell r="AC260" t="b">
            <v>0</v>
          </cell>
          <cell r="AD260" t="b">
            <v>0</v>
          </cell>
        </row>
        <row r="261">
          <cell r="Z261" t="b">
            <v>0</v>
          </cell>
          <cell r="AA261" t="b">
            <v>0</v>
          </cell>
          <cell r="AB261" t="b">
            <v>0</v>
          </cell>
          <cell r="AC261" t="b">
            <v>0</v>
          </cell>
          <cell r="AD261" t="b">
            <v>0</v>
          </cell>
        </row>
        <row r="262">
          <cell r="Z262" t="b">
            <v>0</v>
          </cell>
          <cell r="AA262" t="b">
            <v>0</v>
          </cell>
          <cell r="AB262" t="b">
            <v>0</v>
          </cell>
          <cell r="AC262" t="b">
            <v>0</v>
          </cell>
          <cell r="AD262" t="b">
            <v>0</v>
          </cell>
        </row>
        <row r="263">
          <cell r="Z263" t="b">
            <v>0</v>
          </cell>
          <cell r="AA263" t="b">
            <v>0</v>
          </cell>
          <cell r="AB263" t="b">
            <v>0</v>
          </cell>
          <cell r="AC263" t="b">
            <v>0</v>
          </cell>
          <cell r="AD263" t="b">
            <v>0</v>
          </cell>
        </row>
        <row r="264">
          <cell r="Z264" t="b">
            <v>0</v>
          </cell>
          <cell r="AA264" t="b">
            <v>0</v>
          </cell>
          <cell r="AB264" t="b">
            <v>0</v>
          </cell>
          <cell r="AC264" t="b">
            <v>0</v>
          </cell>
          <cell r="AD264" t="b">
            <v>0</v>
          </cell>
        </row>
        <row r="265">
          <cell r="Z265" t="b">
            <v>0</v>
          </cell>
          <cell r="AA265" t="b">
            <v>0</v>
          </cell>
          <cell r="AB265" t="b">
            <v>0</v>
          </cell>
          <cell r="AC265" t="b">
            <v>0</v>
          </cell>
          <cell r="AD265" t="b">
            <v>0</v>
          </cell>
        </row>
        <row r="266">
          <cell r="Z266" t="b">
            <v>0</v>
          </cell>
          <cell r="AA266" t="b">
            <v>0</v>
          </cell>
          <cell r="AB266" t="b">
            <v>0</v>
          </cell>
          <cell r="AC266" t="b">
            <v>0</v>
          </cell>
          <cell r="AD266" t="b">
            <v>0</v>
          </cell>
        </row>
        <row r="267">
          <cell r="Z267" t="b">
            <v>0</v>
          </cell>
          <cell r="AA267" t="b">
            <v>0</v>
          </cell>
          <cell r="AB267" t="b">
            <v>0</v>
          </cell>
          <cell r="AC267" t="b">
            <v>0</v>
          </cell>
          <cell r="AD267" t="b">
            <v>0</v>
          </cell>
        </row>
        <row r="268">
          <cell r="Z268" t="b">
            <v>0</v>
          </cell>
          <cell r="AA268" t="b">
            <v>0</v>
          </cell>
          <cell r="AB268" t="b">
            <v>0</v>
          </cell>
          <cell r="AC268" t="b">
            <v>0</v>
          </cell>
          <cell r="AD268" t="b">
            <v>0</v>
          </cell>
        </row>
        <row r="269">
          <cell r="Z269" t="b">
            <v>0</v>
          </cell>
          <cell r="AA269" t="b">
            <v>0</v>
          </cell>
          <cell r="AB269" t="b">
            <v>0</v>
          </cell>
          <cell r="AC269" t="b">
            <v>0</v>
          </cell>
          <cell r="AD269" t="b">
            <v>0</v>
          </cell>
        </row>
        <row r="270">
          <cell r="Z270" t="b">
            <v>0</v>
          </cell>
          <cell r="AA270" t="b">
            <v>0</v>
          </cell>
          <cell r="AB270" t="b">
            <v>0</v>
          </cell>
          <cell r="AC270" t="b">
            <v>0</v>
          </cell>
          <cell r="AD270" t="b">
            <v>0</v>
          </cell>
        </row>
        <row r="271">
          <cell r="Z271" t="b">
            <v>0</v>
          </cell>
          <cell r="AA271" t="b">
            <v>0</v>
          </cell>
          <cell r="AB271" t="b">
            <v>0</v>
          </cell>
          <cell r="AC271" t="b">
            <v>0</v>
          </cell>
          <cell r="AD271" t="b">
            <v>0</v>
          </cell>
        </row>
        <row r="272">
          <cell r="Z272" t="b">
            <v>0</v>
          </cell>
          <cell r="AA272" t="b">
            <v>0</v>
          </cell>
          <cell r="AB272" t="b">
            <v>0</v>
          </cell>
          <cell r="AC272" t="b">
            <v>0</v>
          </cell>
          <cell r="AD272" t="b">
            <v>0</v>
          </cell>
        </row>
        <row r="273">
          <cell r="Z273" t="b">
            <v>0</v>
          </cell>
          <cell r="AA273" t="b">
            <v>0</v>
          </cell>
          <cell r="AB273" t="b">
            <v>0</v>
          </cell>
          <cell r="AC273" t="b">
            <v>0</v>
          </cell>
          <cell r="AD273" t="b">
            <v>0</v>
          </cell>
        </row>
        <row r="274">
          <cell r="Z274" t="b">
            <v>0</v>
          </cell>
          <cell r="AA274" t="b">
            <v>0</v>
          </cell>
          <cell r="AB274" t="b">
            <v>0</v>
          </cell>
          <cell r="AC274" t="b">
            <v>0</v>
          </cell>
          <cell r="AD274" t="b">
            <v>0</v>
          </cell>
        </row>
        <row r="275">
          <cell r="Z275" t="b">
            <v>0</v>
          </cell>
          <cell r="AA275" t="b">
            <v>0</v>
          </cell>
          <cell r="AB275" t="b">
            <v>0</v>
          </cell>
          <cell r="AC275" t="b">
            <v>0</v>
          </cell>
          <cell r="AD275" t="b">
            <v>0</v>
          </cell>
        </row>
        <row r="276">
          <cell r="Z276" t="b">
            <v>0</v>
          </cell>
          <cell r="AA276" t="b">
            <v>0</v>
          </cell>
          <cell r="AB276" t="b">
            <v>0</v>
          </cell>
          <cell r="AC276" t="b">
            <v>0</v>
          </cell>
          <cell r="AD276" t="b">
            <v>0</v>
          </cell>
        </row>
        <row r="277">
          <cell r="Z277" t="b">
            <v>0</v>
          </cell>
          <cell r="AA277" t="b">
            <v>0</v>
          </cell>
          <cell r="AB277" t="b">
            <v>0</v>
          </cell>
          <cell r="AC277" t="b">
            <v>0</v>
          </cell>
          <cell r="AD277" t="b">
            <v>0</v>
          </cell>
        </row>
        <row r="278">
          <cell r="Z278" t="b">
            <v>0</v>
          </cell>
          <cell r="AA278" t="b">
            <v>0</v>
          </cell>
          <cell r="AB278" t="b">
            <v>0</v>
          </cell>
          <cell r="AC278" t="b">
            <v>0</v>
          </cell>
          <cell r="AD278" t="b">
            <v>0</v>
          </cell>
        </row>
        <row r="279">
          <cell r="Z279" t="b">
            <v>0</v>
          </cell>
          <cell r="AA279" t="b">
            <v>0</v>
          </cell>
          <cell r="AB279" t="b">
            <v>0</v>
          </cell>
          <cell r="AC279" t="b">
            <v>0</v>
          </cell>
          <cell r="AD279" t="b">
            <v>0</v>
          </cell>
        </row>
        <row r="280">
          <cell r="Z280" t="b">
            <v>0</v>
          </cell>
          <cell r="AA280" t="b">
            <v>0</v>
          </cell>
          <cell r="AB280" t="b">
            <v>0</v>
          </cell>
          <cell r="AC280" t="b">
            <v>0</v>
          </cell>
          <cell r="AD280" t="b">
            <v>0</v>
          </cell>
        </row>
        <row r="281">
          <cell r="Z281" t="b">
            <v>0</v>
          </cell>
          <cell r="AA281" t="b">
            <v>0</v>
          </cell>
          <cell r="AB281" t="b">
            <v>0</v>
          </cell>
          <cell r="AC281" t="b">
            <v>0</v>
          </cell>
          <cell r="AD281" t="b">
            <v>0</v>
          </cell>
        </row>
        <row r="282">
          <cell r="Z282" t="b">
            <v>0</v>
          </cell>
          <cell r="AA282" t="b">
            <v>0</v>
          </cell>
          <cell r="AB282" t="b">
            <v>0</v>
          </cell>
          <cell r="AC282" t="b">
            <v>0</v>
          </cell>
          <cell r="AD282" t="b">
            <v>0</v>
          </cell>
        </row>
        <row r="283">
          <cell r="Z283" t="b">
            <v>0</v>
          </cell>
          <cell r="AA283" t="b">
            <v>0</v>
          </cell>
          <cell r="AB283" t="b">
            <v>0</v>
          </cell>
          <cell r="AC283" t="b">
            <v>0</v>
          </cell>
          <cell r="AD283" t="b">
            <v>0</v>
          </cell>
        </row>
        <row r="284">
          <cell r="Z284" t="b">
            <v>0</v>
          </cell>
          <cell r="AA284" t="b">
            <v>0</v>
          </cell>
          <cell r="AB284" t="b">
            <v>0</v>
          </cell>
          <cell r="AC284" t="b">
            <v>0</v>
          </cell>
          <cell r="AD284" t="b">
            <v>0</v>
          </cell>
        </row>
        <row r="285">
          <cell r="Z285" t="b">
            <v>0</v>
          </cell>
          <cell r="AA285" t="b">
            <v>0</v>
          </cell>
          <cell r="AB285" t="b">
            <v>0</v>
          </cell>
          <cell r="AC285" t="b">
            <v>0</v>
          </cell>
          <cell r="AD285" t="b">
            <v>0</v>
          </cell>
        </row>
        <row r="286">
          <cell r="Z286" t="b">
            <v>0</v>
          </cell>
          <cell r="AA286" t="b">
            <v>0</v>
          </cell>
          <cell r="AB286" t="b">
            <v>0</v>
          </cell>
          <cell r="AC286" t="b">
            <v>0</v>
          </cell>
          <cell r="AD286" t="b">
            <v>0</v>
          </cell>
        </row>
        <row r="287">
          <cell r="Z287" t="b">
            <v>0</v>
          </cell>
          <cell r="AA287" t="b">
            <v>0</v>
          </cell>
          <cell r="AB287" t="b">
            <v>0</v>
          </cell>
          <cell r="AC287" t="b">
            <v>0</v>
          </cell>
          <cell r="AD287" t="b">
            <v>0</v>
          </cell>
        </row>
        <row r="288">
          <cell r="Z288" t="b">
            <v>0</v>
          </cell>
          <cell r="AA288" t="b">
            <v>0</v>
          </cell>
          <cell r="AB288" t="b">
            <v>0</v>
          </cell>
          <cell r="AC288" t="b">
            <v>0</v>
          </cell>
          <cell r="AD288" t="b">
            <v>0</v>
          </cell>
        </row>
        <row r="289">
          <cell r="Z289" t="b">
            <v>0</v>
          </cell>
          <cell r="AA289" t="b">
            <v>0</v>
          </cell>
          <cell r="AB289" t="b">
            <v>0</v>
          </cell>
          <cell r="AC289" t="b">
            <v>0</v>
          </cell>
          <cell r="AD289" t="b">
            <v>0</v>
          </cell>
        </row>
        <row r="290">
          <cell r="Z290" t="b">
            <v>0</v>
          </cell>
          <cell r="AA290" t="b">
            <v>0</v>
          </cell>
          <cell r="AB290" t="b">
            <v>0</v>
          </cell>
          <cell r="AC290" t="b">
            <v>0</v>
          </cell>
          <cell r="AD290" t="b">
            <v>0</v>
          </cell>
        </row>
        <row r="291">
          <cell r="Z291" t="b">
            <v>0</v>
          </cell>
          <cell r="AA291" t="b">
            <v>0</v>
          </cell>
          <cell r="AB291" t="b">
            <v>0</v>
          </cell>
          <cell r="AC291" t="b">
            <v>0</v>
          </cell>
          <cell r="AD291" t="b">
            <v>0</v>
          </cell>
        </row>
        <row r="292">
          <cell r="Z292" t="b">
            <v>0</v>
          </cell>
          <cell r="AA292" t="b">
            <v>0</v>
          </cell>
          <cell r="AB292" t="b">
            <v>0</v>
          </cell>
          <cell r="AC292" t="b">
            <v>0</v>
          </cell>
          <cell r="AD292" t="b">
            <v>0</v>
          </cell>
        </row>
        <row r="293">
          <cell r="Z293" t="b">
            <v>0</v>
          </cell>
          <cell r="AA293" t="b">
            <v>0</v>
          </cell>
          <cell r="AB293" t="b">
            <v>0</v>
          </cell>
          <cell r="AC293" t="b">
            <v>0</v>
          </cell>
          <cell r="AD293" t="b">
            <v>0</v>
          </cell>
        </row>
        <row r="294">
          <cell r="Z294" t="b">
            <v>0</v>
          </cell>
          <cell r="AA294" t="b">
            <v>0</v>
          </cell>
          <cell r="AB294" t="b">
            <v>0</v>
          </cell>
          <cell r="AC294" t="b">
            <v>0</v>
          </cell>
          <cell r="AD294" t="b">
            <v>0</v>
          </cell>
        </row>
        <row r="295">
          <cell r="Z295" t="b">
            <v>0</v>
          </cell>
          <cell r="AA295" t="b">
            <v>0</v>
          </cell>
          <cell r="AB295" t="b">
            <v>0</v>
          </cell>
          <cell r="AC295" t="b">
            <v>0</v>
          </cell>
          <cell r="AD295" t="b">
            <v>0</v>
          </cell>
        </row>
        <row r="296">
          <cell r="Z296" t="b">
            <v>0</v>
          </cell>
          <cell r="AA296" t="b">
            <v>0</v>
          </cell>
          <cell r="AB296" t="b">
            <v>0</v>
          </cell>
          <cell r="AC296" t="b">
            <v>0</v>
          </cell>
          <cell r="AD296" t="b">
            <v>0</v>
          </cell>
        </row>
        <row r="297">
          <cell r="Z297" t="b">
            <v>0</v>
          </cell>
          <cell r="AA297" t="b">
            <v>0</v>
          </cell>
          <cell r="AB297" t="b">
            <v>0</v>
          </cell>
          <cell r="AC297" t="b">
            <v>0</v>
          </cell>
          <cell r="AD297" t="b">
            <v>0</v>
          </cell>
        </row>
        <row r="298">
          <cell r="Z298" t="b">
            <v>0</v>
          </cell>
          <cell r="AA298" t="b">
            <v>0</v>
          </cell>
          <cell r="AB298" t="b">
            <v>0</v>
          </cell>
          <cell r="AC298" t="b">
            <v>0</v>
          </cell>
          <cell r="AD298" t="b">
            <v>0</v>
          </cell>
        </row>
        <row r="299">
          <cell r="Z299" t="b">
            <v>0</v>
          </cell>
          <cell r="AA299" t="b">
            <v>0</v>
          </cell>
          <cell r="AB299" t="b">
            <v>0</v>
          </cell>
          <cell r="AC299" t="b">
            <v>0</v>
          </cell>
          <cell r="AD299" t="b">
            <v>0</v>
          </cell>
        </row>
        <row r="300">
          <cell r="Z300" t="b">
            <v>0</v>
          </cell>
          <cell r="AA300" t="b">
            <v>0</v>
          </cell>
          <cell r="AB300" t="b">
            <v>0</v>
          </cell>
          <cell r="AC300" t="b">
            <v>0</v>
          </cell>
          <cell r="AD300" t="b">
            <v>0</v>
          </cell>
        </row>
        <row r="301">
          <cell r="Z301" t="b">
            <v>0</v>
          </cell>
          <cell r="AA301" t="b">
            <v>0</v>
          </cell>
          <cell r="AB301" t="b">
            <v>0</v>
          </cell>
          <cell r="AC301" t="b">
            <v>0</v>
          </cell>
          <cell r="AD301" t="b">
            <v>0</v>
          </cell>
        </row>
        <row r="302">
          <cell r="Z302" t="b">
            <v>0</v>
          </cell>
          <cell r="AA302" t="b">
            <v>0</v>
          </cell>
          <cell r="AB302" t="b">
            <v>0</v>
          </cell>
          <cell r="AC302" t="b">
            <v>0</v>
          </cell>
          <cell r="AD302" t="b">
            <v>0</v>
          </cell>
        </row>
        <row r="303">
          <cell r="Z303" t="b">
            <v>0</v>
          </cell>
          <cell r="AA303" t="b">
            <v>0</v>
          </cell>
          <cell r="AB303" t="b">
            <v>0</v>
          </cell>
          <cell r="AC303" t="b">
            <v>0</v>
          </cell>
          <cell r="AD303" t="b">
            <v>0</v>
          </cell>
        </row>
        <row r="304">
          <cell r="Z304" t="b">
            <v>0</v>
          </cell>
          <cell r="AA304" t="b">
            <v>0</v>
          </cell>
          <cell r="AB304" t="b">
            <v>0</v>
          </cell>
          <cell r="AC304" t="b">
            <v>0</v>
          </cell>
          <cell r="AD304" t="b">
            <v>0</v>
          </cell>
        </row>
        <row r="305">
          <cell r="Z305" t="b">
            <v>0</v>
          </cell>
          <cell r="AA305" t="b">
            <v>0</v>
          </cell>
          <cell r="AB305" t="b">
            <v>0</v>
          </cell>
          <cell r="AC305" t="b">
            <v>0</v>
          </cell>
          <cell r="AD305" t="b">
            <v>0</v>
          </cell>
        </row>
        <row r="306">
          <cell r="Z306" t="b">
            <v>0</v>
          </cell>
          <cell r="AA306" t="b">
            <v>0</v>
          </cell>
          <cell r="AB306" t="b">
            <v>0</v>
          </cell>
          <cell r="AC306" t="b">
            <v>0</v>
          </cell>
          <cell r="AD306" t="b">
            <v>0</v>
          </cell>
        </row>
        <row r="307">
          <cell r="Z307" t="b">
            <v>0</v>
          </cell>
          <cell r="AA307" t="b">
            <v>0</v>
          </cell>
          <cell r="AB307" t="b">
            <v>0</v>
          </cell>
          <cell r="AC307" t="b">
            <v>0</v>
          </cell>
          <cell r="AD307" t="b">
            <v>0</v>
          </cell>
        </row>
        <row r="308">
          <cell r="Z308" t="b">
            <v>0</v>
          </cell>
          <cell r="AA308" t="b">
            <v>0</v>
          </cell>
          <cell r="AB308" t="b">
            <v>0</v>
          </cell>
          <cell r="AC308" t="b">
            <v>0</v>
          </cell>
          <cell r="AD308" t="b">
            <v>0</v>
          </cell>
        </row>
        <row r="309">
          <cell r="Z309" t="b">
            <v>0</v>
          </cell>
          <cell r="AA309" t="b">
            <v>0</v>
          </cell>
          <cell r="AB309" t="b">
            <v>0</v>
          </cell>
          <cell r="AC309" t="b">
            <v>0</v>
          </cell>
          <cell r="AD309" t="b">
            <v>0</v>
          </cell>
        </row>
        <row r="310">
          <cell r="Z310" t="b">
            <v>0</v>
          </cell>
          <cell r="AA310" t="b">
            <v>0</v>
          </cell>
          <cell r="AB310" t="b">
            <v>0</v>
          </cell>
          <cell r="AC310" t="b">
            <v>0</v>
          </cell>
          <cell r="AD310" t="b">
            <v>0</v>
          </cell>
        </row>
        <row r="311">
          <cell r="Z311" t="b">
            <v>0</v>
          </cell>
          <cell r="AA311" t="b">
            <v>0</v>
          </cell>
          <cell r="AB311" t="b">
            <v>0</v>
          </cell>
          <cell r="AC311" t="b">
            <v>0</v>
          </cell>
          <cell r="AD311" t="b">
            <v>0</v>
          </cell>
        </row>
        <row r="312">
          <cell r="Z312" t="b">
            <v>0</v>
          </cell>
          <cell r="AA312" t="b">
            <v>0</v>
          </cell>
          <cell r="AB312" t="b">
            <v>0</v>
          </cell>
          <cell r="AC312" t="b">
            <v>0</v>
          </cell>
          <cell r="AD312" t="b">
            <v>0</v>
          </cell>
        </row>
        <row r="313">
          <cell r="Z313" t="b">
            <v>0</v>
          </cell>
          <cell r="AA313" t="b">
            <v>0</v>
          </cell>
          <cell r="AB313" t="b">
            <v>0</v>
          </cell>
          <cell r="AC313" t="b">
            <v>0</v>
          </cell>
          <cell r="AD313" t="b">
            <v>0</v>
          </cell>
        </row>
        <row r="314">
          <cell r="Z314" t="b">
            <v>0</v>
          </cell>
          <cell r="AA314" t="b">
            <v>0</v>
          </cell>
          <cell r="AB314" t="b">
            <v>0</v>
          </cell>
          <cell r="AC314" t="b">
            <v>0</v>
          </cell>
          <cell r="AD314" t="b">
            <v>0</v>
          </cell>
        </row>
        <row r="315">
          <cell r="Z315" t="b">
            <v>0</v>
          </cell>
          <cell r="AA315" t="b">
            <v>0</v>
          </cell>
          <cell r="AB315" t="b">
            <v>0</v>
          </cell>
          <cell r="AC315" t="b">
            <v>0</v>
          </cell>
          <cell r="AD315" t="b">
            <v>0</v>
          </cell>
        </row>
        <row r="316">
          <cell r="Z316" t="b">
            <v>0</v>
          </cell>
          <cell r="AA316" t="b">
            <v>0</v>
          </cell>
          <cell r="AB316" t="b">
            <v>0</v>
          </cell>
          <cell r="AC316" t="b">
            <v>0</v>
          </cell>
          <cell r="AD316" t="b">
            <v>0</v>
          </cell>
        </row>
        <row r="317">
          <cell r="Z317" t="b">
            <v>0</v>
          </cell>
          <cell r="AA317" t="b">
            <v>0</v>
          </cell>
          <cell r="AB317" t="b">
            <v>0</v>
          </cell>
          <cell r="AC317" t="b">
            <v>0</v>
          </cell>
          <cell r="AD317" t="b">
            <v>0</v>
          </cell>
        </row>
        <row r="318">
          <cell r="Z318" t="b">
            <v>0</v>
          </cell>
          <cell r="AA318" t="b">
            <v>0</v>
          </cell>
          <cell r="AB318" t="b">
            <v>0</v>
          </cell>
          <cell r="AC318" t="b">
            <v>0</v>
          </cell>
          <cell r="AD318" t="b">
            <v>0</v>
          </cell>
        </row>
        <row r="319">
          <cell r="Z319" t="b">
            <v>0</v>
          </cell>
          <cell r="AA319" t="b">
            <v>0</v>
          </cell>
          <cell r="AB319" t="b">
            <v>0</v>
          </cell>
          <cell r="AC319" t="b">
            <v>0</v>
          </cell>
          <cell r="AD319" t="b">
            <v>0</v>
          </cell>
        </row>
        <row r="320">
          <cell r="Z320" t="b">
            <v>0</v>
          </cell>
          <cell r="AA320" t="b">
            <v>0</v>
          </cell>
          <cell r="AB320" t="b">
            <v>0</v>
          </cell>
          <cell r="AC320" t="b">
            <v>0</v>
          </cell>
          <cell r="AD320" t="b">
            <v>0</v>
          </cell>
        </row>
        <row r="321">
          <cell r="Z321" t="b">
            <v>0</v>
          </cell>
          <cell r="AA321" t="b">
            <v>0</v>
          </cell>
          <cell r="AB321" t="b">
            <v>0</v>
          </cell>
          <cell r="AC321" t="b">
            <v>0</v>
          </cell>
          <cell r="AD321" t="b">
            <v>0</v>
          </cell>
        </row>
        <row r="322">
          <cell r="Z322" t="b">
            <v>0</v>
          </cell>
          <cell r="AA322" t="b">
            <v>0</v>
          </cell>
          <cell r="AB322" t="b">
            <v>0</v>
          </cell>
          <cell r="AC322" t="b">
            <v>0</v>
          </cell>
          <cell r="AD322" t="b">
            <v>0</v>
          </cell>
        </row>
        <row r="323">
          <cell r="Z323" t="b">
            <v>0</v>
          </cell>
          <cell r="AA323" t="b">
            <v>0</v>
          </cell>
          <cell r="AB323" t="b">
            <v>0</v>
          </cell>
          <cell r="AC323" t="b">
            <v>0</v>
          </cell>
          <cell r="AD323" t="b">
            <v>0</v>
          </cell>
        </row>
        <row r="324">
          <cell r="Z324" t="b">
            <v>0</v>
          </cell>
          <cell r="AA324" t="b">
            <v>0</v>
          </cell>
          <cell r="AB324" t="b">
            <v>0</v>
          </cell>
          <cell r="AC324" t="b">
            <v>0</v>
          </cell>
          <cell r="AD324" t="b">
            <v>0</v>
          </cell>
        </row>
        <row r="325">
          <cell r="Z325" t="b">
            <v>0</v>
          </cell>
          <cell r="AA325" t="b">
            <v>0</v>
          </cell>
          <cell r="AB325" t="b">
            <v>0</v>
          </cell>
          <cell r="AC325" t="b">
            <v>0</v>
          </cell>
          <cell r="AD325" t="b">
            <v>0</v>
          </cell>
        </row>
        <row r="326">
          <cell r="Z326" t="b">
            <v>0</v>
          </cell>
          <cell r="AA326" t="b">
            <v>0</v>
          </cell>
          <cell r="AB326" t="b">
            <v>0</v>
          </cell>
          <cell r="AC326" t="b">
            <v>0</v>
          </cell>
          <cell r="AD326" t="b">
            <v>0</v>
          </cell>
        </row>
        <row r="327">
          <cell r="Z327" t="b">
            <v>0</v>
          </cell>
          <cell r="AA327" t="b">
            <v>0</v>
          </cell>
          <cell r="AB327" t="b">
            <v>0</v>
          </cell>
          <cell r="AC327" t="b">
            <v>0</v>
          </cell>
          <cell r="AD327" t="b">
            <v>0</v>
          </cell>
        </row>
        <row r="328">
          <cell r="Z328" t="b">
            <v>0</v>
          </cell>
          <cell r="AA328" t="b">
            <v>0</v>
          </cell>
          <cell r="AB328" t="b">
            <v>0</v>
          </cell>
          <cell r="AC328" t="b">
            <v>0</v>
          </cell>
          <cell r="AD328" t="b">
            <v>0</v>
          </cell>
        </row>
        <row r="329">
          <cell r="Z329" t="b">
            <v>0</v>
          </cell>
          <cell r="AA329" t="b">
            <v>0</v>
          </cell>
          <cell r="AB329" t="b">
            <v>0</v>
          </cell>
          <cell r="AC329" t="b">
            <v>0</v>
          </cell>
          <cell r="AD329" t="b">
            <v>0</v>
          </cell>
        </row>
        <row r="330">
          <cell r="Z330" t="b">
            <v>0</v>
          </cell>
          <cell r="AA330" t="b">
            <v>0</v>
          </cell>
          <cell r="AB330" t="b">
            <v>0</v>
          </cell>
          <cell r="AC330" t="b">
            <v>0</v>
          </cell>
          <cell r="AD330" t="b">
            <v>0</v>
          </cell>
        </row>
        <row r="331">
          <cell r="Z331" t="b">
            <v>0</v>
          </cell>
          <cell r="AA331" t="b">
            <v>0</v>
          </cell>
          <cell r="AB331" t="b">
            <v>0</v>
          </cell>
          <cell r="AC331" t="b">
            <v>0</v>
          </cell>
          <cell r="AD331" t="b">
            <v>0</v>
          </cell>
        </row>
        <row r="332">
          <cell r="Z332" t="b">
            <v>0</v>
          </cell>
          <cell r="AA332" t="b">
            <v>0</v>
          </cell>
          <cell r="AB332" t="b">
            <v>0</v>
          </cell>
          <cell r="AC332" t="b">
            <v>0</v>
          </cell>
          <cell r="AD332" t="b">
            <v>0</v>
          </cell>
        </row>
        <row r="333">
          <cell r="Z333" t="b">
            <v>0</v>
          </cell>
          <cell r="AA333" t="b">
            <v>0</v>
          </cell>
          <cell r="AB333" t="b">
            <v>0</v>
          </cell>
          <cell r="AC333" t="b">
            <v>0</v>
          </cell>
          <cell r="AD333" t="b">
            <v>0</v>
          </cell>
        </row>
        <row r="334">
          <cell r="Z334" t="b">
            <v>0</v>
          </cell>
          <cell r="AA334" t="b">
            <v>0</v>
          </cell>
          <cell r="AB334" t="b">
            <v>0</v>
          </cell>
          <cell r="AC334" t="b">
            <v>0</v>
          </cell>
          <cell r="AD334" t="b">
            <v>0</v>
          </cell>
        </row>
        <row r="335">
          <cell r="Z335" t="b">
            <v>0</v>
          </cell>
          <cell r="AA335" t="b">
            <v>0</v>
          </cell>
          <cell r="AB335" t="b">
            <v>0</v>
          </cell>
          <cell r="AC335" t="b">
            <v>0</v>
          </cell>
          <cell r="AD335" t="b">
            <v>0</v>
          </cell>
        </row>
        <row r="336">
          <cell r="Z336" t="b">
            <v>0</v>
          </cell>
          <cell r="AA336" t="b">
            <v>0</v>
          </cell>
          <cell r="AB336" t="b">
            <v>0</v>
          </cell>
          <cell r="AC336" t="b">
            <v>0</v>
          </cell>
          <cell r="AD336" t="b">
            <v>0</v>
          </cell>
        </row>
        <row r="337">
          <cell r="Z337" t="b">
            <v>0</v>
          </cell>
          <cell r="AA337" t="b">
            <v>0</v>
          </cell>
          <cell r="AB337" t="b">
            <v>0</v>
          </cell>
          <cell r="AC337" t="b">
            <v>0</v>
          </cell>
          <cell r="AD337" t="b">
            <v>0</v>
          </cell>
        </row>
        <row r="338">
          <cell r="Z338" t="b">
            <v>0</v>
          </cell>
          <cell r="AA338" t="b">
            <v>0</v>
          </cell>
          <cell r="AB338" t="b">
            <v>0</v>
          </cell>
          <cell r="AC338" t="b">
            <v>0</v>
          </cell>
          <cell r="AD338" t="b">
            <v>0</v>
          </cell>
        </row>
        <row r="339">
          <cell r="Z339" t="b">
            <v>0</v>
          </cell>
          <cell r="AA339" t="b">
            <v>0</v>
          </cell>
          <cell r="AB339" t="b">
            <v>0</v>
          </cell>
          <cell r="AC339" t="b">
            <v>0</v>
          </cell>
          <cell r="AD339" t="b">
            <v>0</v>
          </cell>
        </row>
        <row r="340">
          <cell r="Z340" t="b">
            <v>0</v>
          </cell>
          <cell r="AA340" t="b">
            <v>0</v>
          </cell>
          <cell r="AB340" t="b">
            <v>0</v>
          </cell>
          <cell r="AC340" t="b">
            <v>0</v>
          </cell>
          <cell r="AD340" t="b">
            <v>0</v>
          </cell>
        </row>
        <row r="341">
          <cell r="Z341" t="b">
            <v>0</v>
          </cell>
          <cell r="AA341" t="b">
            <v>0</v>
          </cell>
          <cell r="AB341" t="b">
            <v>0</v>
          </cell>
          <cell r="AC341" t="b">
            <v>0</v>
          </cell>
          <cell r="AD341" t="b">
            <v>0</v>
          </cell>
        </row>
        <row r="342">
          <cell r="Z342" t="b">
            <v>0</v>
          </cell>
          <cell r="AA342" t="b">
            <v>0</v>
          </cell>
          <cell r="AB342" t="b">
            <v>0</v>
          </cell>
          <cell r="AC342" t="b">
            <v>0</v>
          </cell>
          <cell r="AD342" t="b">
            <v>0</v>
          </cell>
        </row>
        <row r="343">
          <cell r="Z343" t="b">
            <v>0</v>
          </cell>
          <cell r="AA343" t="b">
            <v>0</v>
          </cell>
          <cell r="AB343" t="b">
            <v>0</v>
          </cell>
          <cell r="AC343" t="b">
            <v>0</v>
          </cell>
          <cell r="AD343" t="b">
            <v>0</v>
          </cell>
        </row>
        <row r="344">
          <cell r="Z344" t="b">
            <v>0</v>
          </cell>
          <cell r="AA344" t="b">
            <v>0</v>
          </cell>
          <cell r="AB344" t="b">
            <v>0</v>
          </cell>
          <cell r="AC344" t="b">
            <v>0</v>
          </cell>
          <cell r="AD344" t="b">
            <v>0</v>
          </cell>
        </row>
        <row r="345">
          <cell r="Z345" t="b">
            <v>0</v>
          </cell>
          <cell r="AA345" t="b">
            <v>0</v>
          </cell>
          <cell r="AB345" t="b">
            <v>0</v>
          </cell>
          <cell r="AC345" t="b">
            <v>0</v>
          </cell>
          <cell r="AD345" t="b">
            <v>0</v>
          </cell>
        </row>
        <row r="346">
          <cell r="Z346" t="b">
            <v>0</v>
          </cell>
          <cell r="AA346" t="b">
            <v>0</v>
          </cell>
          <cell r="AB346" t="b">
            <v>0</v>
          </cell>
          <cell r="AC346" t="b">
            <v>0</v>
          </cell>
          <cell r="AD346" t="b">
            <v>0</v>
          </cell>
        </row>
        <row r="347">
          <cell r="Z347" t="b">
            <v>0</v>
          </cell>
          <cell r="AA347" t="b">
            <v>0</v>
          </cell>
          <cell r="AB347" t="b">
            <v>0</v>
          </cell>
          <cell r="AC347" t="b">
            <v>0</v>
          </cell>
          <cell r="AD347" t="b">
            <v>0</v>
          </cell>
        </row>
        <row r="348">
          <cell r="Z348" t="b">
            <v>0</v>
          </cell>
          <cell r="AA348" t="b">
            <v>0</v>
          </cell>
          <cell r="AB348" t="b">
            <v>0</v>
          </cell>
          <cell r="AC348" t="b">
            <v>0</v>
          </cell>
          <cell r="AD348" t="b">
            <v>0</v>
          </cell>
        </row>
        <row r="349">
          <cell r="Z349" t="b">
            <v>0</v>
          </cell>
          <cell r="AA349" t="b">
            <v>0</v>
          </cell>
          <cell r="AB349" t="b">
            <v>0</v>
          </cell>
          <cell r="AC349" t="b">
            <v>0</v>
          </cell>
          <cell r="AD349" t="b">
            <v>0</v>
          </cell>
        </row>
        <row r="350">
          <cell r="Z350" t="b">
            <v>0</v>
          </cell>
          <cell r="AA350" t="b">
            <v>0</v>
          </cell>
          <cell r="AB350" t="b">
            <v>0</v>
          </cell>
          <cell r="AC350" t="b">
            <v>0</v>
          </cell>
          <cell r="AD350" t="b">
            <v>0</v>
          </cell>
        </row>
        <row r="351">
          <cell r="Z351" t="b">
            <v>0</v>
          </cell>
          <cell r="AA351" t="b">
            <v>0</v>
          </cell>
          <cell r="AB351" t="b">
            <v>0</v>
          </cell>
          <cell r="AC351" t="b">
            <v>0</v>
          </cell>
          <cell r="AD351" t="b">
            <v>0</v>
          </cell>
        </row>
        <row r="352">
          <cell r="Z352" t="b">
            <v>0</v>
          </cell>
          <cell r="AA352" t="b">
            <v>0</v>
          </cell>
          <cell r="AB352" t="b">
            <v>0</v>
          </cell>
          <cell r="AC352" t="b">
            <v>0</v>
          </cell>
          <cell r="AD352" t="b">
            <v>0</v>
          </cell>
        </row>
        <row r="353">
          <cell r="Z353" t="b">
            <v>0</v>
          </cell>
          <cell r="AA353" t="b">
            <v>0</v>
          </cell>
          <cell r="AB353" t="b">
            <v>0</v>
          </cell>
          <cell r="AC353" t="b">
            <v>0</v>
          </cell>
          <cell r="AD353" t="b">
            <v>0</v>
          </cell>
        </row>
        <row r="354">
          <cell r="Z354" t="b">
            <v>0</v>
          </cell>
          <cell r="AA354" t="b">
            <v>0</v>
          </cell>
          <cell r="AB354" t="b">
            <v>0</v>
          </cell>
          <cell r="AC354" t="b">
            <v>0</v>
          </cell>
          <cell r="AD354" t="b">
            <v>0</v>
          </cell>
        </row>
        <row r="355">
          <cell r="Z355" t="b">
            <v>0</v>
          </cell>
          <cell r="AA355" t="b">
            <v>0</v>
          </cell>
          <cell r="AB355" t="b">
            <v>0</v>
          </cell>
          <cell r="AC355" t="b">
            <v>0</v>
          </cell>
          <cell r="AD355" t="b">
            <v>0</v>
          </cell>
        </row>
        <row r="356">
          <cell r="Z356" t="b">
            <v>0</v>
          </cell>
          <cell r="AA356" t="b">
            <v>0</v>
          </cell>
          <cell r="AB356" t="b">
            <v>0</v>
          </cell>
          <cell r="AC356" t="b">
            <v>0</v>
          </cell>
          <cell r="AD356" t="b">
            <v>0</v>
          </cell>
        </row>
        <row r="357">
          <cell r="Z357" t="b">
            <v>0</v>
          </cell>
          <cell r="AA357" t="b">
            <v>0</v>
          </cell>
          <cell r="AB357" t="b">
            <v>0</v>
          </cell>
          <cell r="AC357" t="b">
            <v>0</v>
          </cell>
          <cell r="AD357" t="b">
            <v>0</v>
          </cell>
        </row>
        <row r="358">
          <cell r="Z358" t="b">
            <v>0</v>
          </cell>
          <cell r="AA358" t="b">
            <v>0</v>
          </cell>
          <cell r="AB358" t="b">
            <v>0</v>
          </cell>
          <cell r="AC358" t="b">
            <v>0</v>
          </cell>
          <cell r="AD358" t="b">
            <v>0</v>
          </cell>
        </row>
        <row r="359">
          <cell r="Z359" t="b">
            <v>0</v>
          </cell>
          <cell r="AA359" t="b">
            <v>0</v>
          </cell>
          <cell r="AB359" t="b">
            <v>0</v>
          </cell>
          <cell r="AC359" t="b">
            <v>0</v>
          </cell>
          <cell r="AD359" t="b">
            <v>0</v>
          </cell>
        </row>
        <row r="360">
          <cell r="Z360" t="b">
            <v>0</v>
          </cell>
          <cell r="AA360" t="b">
            <v>0</v>
          </cell>
          <cell r="AB360" t="b">
            <v>0</v>
          </cell>
          <cell r="AC360" t="b">
            <v>0</v>
          </cell>
          <cell r="AD360" t="b">
            <v>0</v>
          </cell>
        </row>
        <row r="361">
          <cell r="Z361" t="b">
            <v>0</v>
          </cell>
          <cell r="AA361" t="b">
            <v>0</v>
          </cell>
          <cell r="AB361" t="b">
            <v>0</v>
          </cell>
          <cell r="AC361" t="b">
            <v>0</v>
          </cell>
          <cell r="AD361" t="b">
            <v>0</v>
          </cell>
        </row>
        <row r="362">
          <cell r="Z362" t="b">
            <v>0</v>
          </cell>
          <cell r="AA362" t="b">
            <v>0</v>
          </cell>
          <cell r="AB362" t="b">
            <v>0</v>
          </cell>
          <cell r="AC362" t="b">
            <v>0</v>
          </cell>
          <cell r="AD362" t="b">
            <v>0</v>
          </cell>
        </row>
        <row r="363">
          <cell r="Z363" t="b">
            <v>0</v>
          </cell>
          <cell r="AA363" t="b">
            <v>0</v>
          </cell>
          <cell r="AB363" t="b">
            <v>0</v>
          </cell>
          <cell r="AC363" t="b">
            <v>0</v>
          </cell>
          <cell r="AD363" t="b">
            <v>0</v>
          </cell>
        </row>
        <row r="364">
          <cell r="Z364" t="b">
            <v>0</v>
          </cell>
          <cell r="AA364" t="b">
            <v>0</v>
          </cell>
          <cell r="AB364" t="b">
            <v>0</v>
          </cell>
          <cell r="AC364" t="b">
            <v>0</v>
          </cell>
          <cell r="AD364" t="b">
            <v>0</v>
          </cell>
        </row>
        <row r="365">
          <cell r="Z365" t="b">
            <v>0</v>
          </cell>
          <cell r="AA365" t="b">
            <v>0</v>
          </cell>
          <cell r="AB365" t="b">
            <v>0</v>
          </cell>
          <cell r="AC365" t="b">
            <v>0</v>
          </cell>
          <cell r="AD365" t="b">
            <v>0</v>
          </cell>
        </row>
        <row r="366">
          <cell r="Z366" t="b">
            <v>0</v>
          </cell>
          <cell r="AA366" t="b">
            <v>0</v>
          </cell>
          <cell r="AB366" t="b">
            <v>0</v>
          </cell>
          <cell r="AC366" t="b">
            <v>0</v>
          </cell>
          <cell r="AD366" t="b">
            <v>0</v>
          </cell>
        </row>
        <row r="367">
          <cell r="Z367" t="b">
            <v>0</v>
          </cell>
          <cell r="AA367" t="b">
            <v>0</v>
          </cell>
          <cell r="AB367" t="b">
            <v>0</v>
          </cell>
          <cell r="AC367" t="b">
            <v>0</v>
          </cell>
          <cell r="AD367" t="b">
            <v>0</v>
          </cell>
        </row>
        <row r="368">
          <cell r="Z368" t="b">
            <v>0</v>
          </cell>
          <cell r="AA368" t="b">
            <v>0</v>
          </cell>
          <cell r="AB368" t="b">
            <v>0</v>
          </cell>
          <cell r="AC368" t="b">
            <v>0</v>
          </cell>
          <cell r="AD368" t="b">
            <v>0</v>
          </cell>
        </row>
        <row r="369">
          <cell r="Z369" t="b">
            <v>0</v>
          </cell>
          <cell r="AA369" t="b">
            <v>0</v>
          </cell>
          <cell r="AB369" t="b">
            <v>0</v>
          </cell>
          <cell r="AC369" t="b">
            <v>0</v>
          </cell>
          <cell r="AD369" t="b">
            <v>0</v>
          </cell>
        </row>
        <row r="370">
          <cell r="Z370" t="b">
            <v>0</v>
          </cell>
          <cell r="AA370" t="b">
            <v>0</v>
          </cell>
          <cell r="AB370" t="b">
            <v>0</v>
          </cell>
          <cell r="AC370" t="b">
            <v>0</v>
          </cell>
          <cell r="AD370" t="b">
            <v>0</v>
          </cell>
        </row>
        <row r="371">
          <cell r="Z371" t="b">
            <v>0</v>
          </cell>
          <cell r="AA371" t="b">
            <v>0</v>
          </cell>
          <cell r="AB371" t="b">
            <v>0</v>
          </cell>
          <cell r="AC371" t="b">
            <v>0</v>
          </cell>
          <cell r="AD371" t="b">
            <v>0</v>
          </cell>
        </row>
        <row r="372">
          <cell r="Z372" t="b">
            <v>0</v>
          </cell>
          <cell r="AA372" t="b">
            <v>0</v>
          </cell>
          <cell r="AB372" t="b">
            <v>0</v>
          </cell>
          <cell r="AC372" t="b">
            <v>0</v>
          </cell>
          <cell r="AD372" t="b">
            <v>0</v>
          </cell>
        </row>
        <row r="373">
          <cell r="Z373" t="b">
            <v>0</v>
          </cell>
          <cell r="AA373" t="b">
            <v>0</v>
          </cell>
          <cell r="AB373" t="b">
            <v>0</v>
          </cell>
          <cell r="AC373" t="b">
            <v>0</v>
          </cell>
          <cell r="AD373" t="b">
            <v>0</v>
          </cell>
        </row>
        <row r="374">
          <cell r="Z374" t="b">
            <v>0</v>
          </cell>
          <cell r="AA374" t="b">
            <v>0</v>
          </cell>
          <cell r="AB374" t="b">
            <v>0</v>
          </cell>
          <cell r="AC374" t="b">
            <v>0</v>
          </cell>
          <cell r="AD374" t="b">
            <v>0</v>
          </cell>
        </row>
        <row r="375">
          <cell r="Z375" t="b">
            <v>0</v>
          </cell>
          <cell r="AA375" t="b">
            <v>0</v>
          </cell>
          <cell r="AB375" t="b">
            <v>0</v>
          </cell>
          <cell r="AC375" t="b">
            <v>0</v>
          </cell>
          <cell r="AD375" t="b">
            <v>0</v>
          </cell>
        </row>
        <row r="376">
          <cell r="Z376" t="b">
            <v>0</v>
          </cell>
          <cell r="AA376" t="b">
            <v>0</v>
          </cell>
          <cell r="AB376" t="b">
            <v>0</v>
          </cell>
          <cell r="AC376" t="b">
            <v>0</v>
          </cell>
          <cell r="AD376" t="b">
            <v>0</v>
          </cell>
        </row>
        <row r="377">
          <cell r="Z377" t="b">
            <v>0</v>
          </cell>
          <cell r="AA377" t="b">
            <v>0</v>
          </cell>
          <cell r="AB377" t="b">
            <v>0</v>
          </cell>
          <cell r="AC377" t="b">
            <v>0</v>
          </cell>
          <cell r="AD377" t="b">
            <v>0</v>
          </cell>
        </row>
        <row r="378">
          <cell r="Z378" t="b">
            <v>0</v>
          </cell>
          <cell r="AA378" t="b">
            <v>0</v>
          </cell>
          <cell r="AB378" t="b">
            <v>0</v>
          </cell>
          <cell r="AC378" t="b">
            <v>0</v>
          </cell>
          <cell r="AD378" t="b">
            <v>0</v>
          </cell>
        </row>
        <row r="379">
          <cell r="Z379" t="b">
            <v>0</v>
          </cell>
          <cell r="AA379" t="b">
            <v>0</v>
          </cell>
          <cell r="AB379" t="b">
            <v>0</v>
          </cell>
          <cell r="AC379" t="b">
            <v>0</v>
          </cell>
          <cell r="AD379" t="b">
            <v>0</v>
          </cell>
        </row>
        <row r="380">
          <cell r="Z380" t="b">
            <v>0</v>
          </cell>
          <cell r="AA380" t="b">
            <v>0</v>
          </cell>
          <cell r="AB380" t="b">
            <v>0</v>
          </cell>
          <cell r="AC380" t="b">
            <v>0</v>
          </cell>
          <cell r="AD380" t="b">
            <v>0</v>
          </cell>
        </row>
        <row r="381">
          <cell r="Z381" t="b">
            <v>0</v>
          </cell>
          <cell r="AA381" t="b">
            <v>0</v>
          </cell>
          <cell r="AB381" t="b">
            <v>0</v>
          </cell>
          <cell r="AC381" t="b">
            <v>0</v>
          </cell>
          <cell r="AD381" t="b">
            <v>0</v>
          </cell>
        </row>
        <row r="382">
          <cell r="Z382" t="b">
            <v>0</v>
          </cell>
          <cell r="AA382" t="b">
            <v>0</v>
          </cell>
          <cell r="AB382" t="b">
            <v>0</v>
          </cell>
          <cell r="AC382" t="b">
            <v>0</v>
          </cell>
          <cell r="AD382" t="b">
            <v>0</v>
          </cell>
        </row>
        <row r="383">
          <cell r="Z383" t="b">
            <v>0</v>
          </cell>
          <cell r="AA383" t="b">
            <v>0</v>
          </cell>
          <cell r="AB383" t="b">
            <v>0</v>
          </cell>
          <cell r="AC383" t="b">
            <v>0</v>
          </cell>
          <cell r="AD383" t="b">
            <v>0</v>
          </cell>
        </row>
        <row r="384">
          <cell r="Z384" t="b">
            <v>0</v>
          </cell>
          <cell r="AA384" t="b">
            <v>0</v>
          </cell>
          <cell r="AB384" t="b">
            <v>0</v>
          </cell>
          <cell r="AC384" t="b">
            <v>0</v>
          </cell>
          <cell r="AD384" t="b">
            <v>0</v>
          </cell>
        </row>
        <row r="385">
          <cell r="Z385" t="b">
            <v>0</v>
          </cell>
          <cell r="AA385" t="b">
            <v>0</v>
          </cell>
          <cell r="AB385" t="b">
            <v>0</v>
          </cell>
          <cell r="AC385" t="b">
            <v>0</v>
          </cell>
          <cell r="AD385" t="b">
            <v>0</v>
          </cell>
        </row>
        <row r="386">
          <cell r="Z386" t="b">
            <v>0</v>
          </cell>
          <cell r="AA386" t="b">
            <v>0</v>
          </cell>
          <cell r="AB386" t="b">
            <v>0</v>
          </cell>
          <cell r="AC386" t="b">
            <v>0</v>
          </cell>
          <cell r="AD386" t="b">
            <v>0</v>
          </cell>
        </row>
        <row r="387">
          <cell r="Z387" t="b">
            <v>0</v>
          </cell>
          <cell r="AA387" t="b">
            <v>0</v>
          </cell>
          <cell r="AB387" t="b">
            <v>0</v>
          </cell>
          <cell r="AC387" t="b">
            <v>0</v>
          </cell>
          <cell r="AD387" t="b">
            <v>0</v>
          </cell>
        </row>
        <row r="388">
          <cell r="Z388" t="b">
            <v>0</v>
          </cell>
          <cell r="AA388" t="b">
            <v>0</v>
          </cell>
          <cell r="AB388" t="b">
            <v>0</v>
          </cell>
          <cell r="AC388" t="b">
            <v>0</v>
          </cell>
          <cell r="AD388" t="b">
            <v>0</v>
          </cell>
        </row>
        <row r="389">
          <cell r="Z389" t="b">
            <v>0</v>
          </cell>
          <cell r="AA389" t="b">
            <v>0</v>
          </cell>
          <cell r="AB389" t="b">
            <v>0</v>
          </cell>
          <cell r="AC389" t="b">
            <v>0</v>
          </cell>
          <cell r="AD389" t="b">
            <v>0</v>
          </cell>
        </row>
        <row r="390">
          <cell r="Z390" t="b">
            <v>0</v>
          </cell>
          <cell r="AA390" t="b">
            <v>0</v>
          </cell>
          <cell r="AB390" t="b">
            <v>0</v>
          </cell>
          <cell r="AC390" t="b">
            <v>0</v>
          </cell>
          <cell r="AD390" t="b">
            <v>0</v>
          </cell>
        </row>
        <row r="391">
          <cell r="Z391" t="b">
            <v>0</v>
          </cell>
          <cell r="AA391" t="b">
            <v>0</v>
          </cell>
          <cell r="AB391" t="b">
            <v>0</v>
          </cell>
          <cell r="AC391" t="b">
            <v>0</v>
          </cell>
          <cell r="AD391" t="b">
            <v>0</v>
          </cell>
        </row>
        <row r="392">
          <cell r="Z392" t="b">
            <v>0</v>
          </cell>
          <cell r="AA392" t="b">
            <v>0</v>
          </cell>
          <cell r="AB392" t="b">
            <v>0</v>
          </cell>
          <cell r="AC392" t="b">
            <v>0</v>
          </cell>
          <cell r="AD392" t="b">
            <v>0</v>
          </cell>
        </row>
        <row r="393">
          <cell r="Z393" t="b">
            <v>0</v>
          </cell>
          <cell r="AA393" t="b">
            <v>0</v>
          </cell>
          <cell r="AB393" t="b">
            <v>0</v>
          </cell>
          <cell r="AC393" t="b">
            <v>0</v>
          </cell>
          <cell r="AD393" t="b">
            <v>0</v>
          </cell>
        </row>
        <row r="394">
          <cell r="Z394" t="b">
            <v>0</v>
          </cell>
          <cell r="AA394" t="b">
            <v>0</v>
          </cell>
          <cell r="AB394" t="b">
            <v>0</v>
          </cell>
          <cell r="AC394" t="b">
            <v>0</v>
          </cell>
          <cell r="AD394" t="b">
            <v>0</v>
          </cell>
        </row>
        <row r="395">
          <cell r="Z395" t="b">
            <v>0</v>
          </cell>
          <cell r="AA395" t="b">
            <v>0</v>
          </cell>
          <cell r="AB395" t="b">
            <v>0</v>
          </cell>
          <cell r="AC395" t="b">
            <v>0</v>
          </cell>
          <cell r="AD395" t="b">
            <v>0</v>
          </cell>
        </row>
        <row r="396">
          <cell r="Z396" t="b">
            <v>0</v>
          </cell>
          <cell r="AA396" t="b">
            <v>0</v>
          </cell>
          <cell r="AB396" t="b">
            <v>0</v>
          </cell>
          <cell r="AC396" t="b">
            <v>0</v>
          </cell>
          <cell r="AD396" t="b">
            <v>0</v>
          </cell>
        </row>
        <row r="397">
          <cell r="Z397" t="b">
            <v>0</v>
          </cell>
          <cell r="AA397" t="b">
            <v>0</v>
          </cell>
          <cell r="AB397" t="b">
            <v>0</v>
          </cell>
          <cell r="AC397" t="b">
            <v>0</v>
          </cell>
          <cell r="AD397" t="b">
            <v>0</v>
          </cell>
        </row>
        <row r="398">
          <cell r="Z398" t="b">
            <v>0</v>
          </cell>
          <cell r="AA398" t="b">
            <v>0</v>
          </cell>
          <cell r="AB398" t="b">
            <v>0</v>
          </cell>
          <cell r="AC398" t="b">
            <v>0</v>
          </cell>
          <cell r="AD398" t="b">
            <v>0</v>
          </cell>
        </row>
        <row r="399">
          <cell r="Z399" t="b">
            <v>0</v>
          </cell>
          <cell r="AA399" t="b">
            <v>0</v>
          </cell>
          <cell r="AB399" t="b">
            <v>0</v>
          </cell>
          <cell r="AC399" t="b">
            <v>0</v>
          </cell>
          <cell r="AD399" t="b">
            <v>0</v>
          </cell>
        </row>
        <row r="400">
          <cell r="Z400" t="b">
            <v>0</v>
          </cell>
          <cell r="AA400" t="b">
            <v>0</v>
          </cell>
          <cell r="AB400" t="b">
            <v>0</v>
          </cell>
          <cell r="AC400" t="b">
            <v>0</v>
          </cell>
          <cell r="AD400" t="b">
            <v>0</v>
          </cell>
        </row>
        <row r="401">
          <cell r="Z401" t="b">
            <v>0</v>
          </cell>
          <cell r="AA401" t="b">
            <v>0</v>
          </cell>
          <cell r="AB401" t="b">
            <v>0</v>
          </cell>
          <cell r="AC401" t="b">
            <v>0</v>
          </cell>
          <cell r="AD401" t="b">
            <v>0</v>
          </cell>
        </row>
        <row r="402">
          <cell r="Z402" t="b">
            <v>0</v>
          </cell>
          <cell r="AA402" t="b">
            <v>0</v>
          </cell>
          <cell r="AB402" t="b">
            <v>0</v>
          </cell>
          <cell r="AC402" t="b">
            <v>0</v>
          </cell>
          <cell r="AD402" t="b">
            <v>0</v>
          </cell>
        </row>
        <row r="403">
          <cell r="Z403" t="b">
            <v>0</v>
          </cell>
          <cell r="AA403" t="b">
            <v>0</v>
          </cell>
          <cell r="AB403" t="b">
            <v>0</v>
          </cell>
          <cell r="AC403" t="b">
            <v>0</v>
          </cell>
          <cell r="AD403" t="b">
            <v>0</v>
          </cell>
        </row>
        <row r="404">
          <cell r="Z404" t="b">
            <v>0</v>
          </cell>
          <cell r="AA404" t="b">
            <v>0</v>
          </cell>
          <cell r="AB404" t="b">
            <v>0</v>
          </cell>
          <cell r="AC404" t="b">
            <v>0</v>
          </cell>
          <cell r="AD404" t="b">
            <v>0</v>
          </cell>
        </row>
        <row r="405">
          <cell r="Z405" t="b">
            <v>0</v>
          </cell>
          <cell r="AA405" t="b">
            <v>0</v>
          </cell>
          <cell r="AB405" t="b">
            <v>0</v>
          </cell>
          <cell r="AC405" t="b">
            <v>0</v>
          </cell>
          <cell r="AD405" t="b">
            <v>0</v>
          </cell>
        </row>
        <row r="406">
          <cell r="Z406" t="b">
            <v>0</v>
          </cell>
          <cell r="AA406" t="b">
            <v>0</v>
          </cell>
          <cell r="AB406" t="b">
            <v>0</v>
          </cell>
          <cell r="AC406" t="b">
            <v>0</v>
          </cell>
          <cell r="AD406" t="b">
            <v>0</v>
          </cell>
        </row>
        <row r="407">
          <cell r="Z407" t="b">
            <v>0</v>
          </cell>
          <cell r="AA407" t="b">
            <v>0</v>
          </cell>
          <cell r="AB407" t="b">
            <v>0</v>
          </cell>
          <cell r="AC407" t="b">
            <v>0</v>
          </cell>
          <cell r="AD407" t="b">
            <v>0</v>
          </cell>
        </row>
        <row r="408">
          <cell r="Z408" t="b">
            <v>0</v>
          </cell>
          <cell r="AA408" t="b">
            <v>0</v>
          </cell>
          <cell r="AB408" t="b">
            <v>0</v>
          </cell>
          <cell r="AC408" t="b">
            <v>0</v>
          </cell>
          <cell r="AD408" t="b">
            <v>0</v>
          </cell>
        </row>
        <row r="409">
          <cell r="Z409" t="b">
            <v>0</v>
          </cell>
          <cell r="AA409" t="b">
            <v>0</v>
          </cell>
          <cell r="AB409" t="b">
            <v>0</v>
          </cell>
          <cell r="AC409" t="b">
            <v>0</v>
          </cell>
          <cell r="AD409" t="b">
            <v>0</v>
          </cell>
        </row>
        <row r="410">
          <cell r="Z410" t="b">
            <v>0</v>
          </cell>
          <cell r="AA410" t="b">
            <v>0</v>
          </cell>
          <cell r="AB410" t="b">
            <v>0</v>
          </cell>
          <cell r="AC410" t="b">
            <v>0</v>
          </cell>
          <cell r="AD410" t="b">
            <v>0</v>
          </cell>
        </row>
        <row r="411">
          <cell r="Z411" t="b">
            <v>0</v>
          </cell>
          <cell r="AA411" t="b">
            <v>0</v>
          </cell>
          <cell r="AB411" t="b">
            <v>0</v>
          </cell>
          <cell r="AC411" t="b">
            <v>0</v>
          </cell>
          <cell r="AD411" t="b">
            <v>0</v>
          </cell>
        </row>
        <row r="412">
          <cell r="Z412" t="b">
            <v>0</v>
          </cell>
          <cell r="AA412" t="b">
            <v>0</v>
          </cell>
          <cell r="AB412" t="b">
            <v>0</v>
          </cell>
          <cell r="AC412" t="b">
            <v>0</v>
          </cell>
          <cell r="AD412" t="b">
            <v>0</v>
          </cell>
        </row>
        <row r="413">
          <cell r="Z413" t="b">
            <v>0</v>
          </cell>
          <cell r="AA413" t="b">
            <v>0</v>
          </cell>
          <cell r="AB413" t="b">
            <v>0</v>
          </cell>
          <cell r="AC413" t="b">
            <v>0</v>
          </cell>
          <cell r="AD413" t="b">
            <v>0</v>
          </cell>
        </row>
        <row r="414">
          <cell r="Z414" t="b">
            <v>0</v>
          </cell>
          <cell r="AA414" t="b">
            <v>0</v>
          </cell>
          <cell r="AB414" t="b">
            <v>0</v>
          </cell>
          <cell r="AC414" t="b">
            <v>0</v>
          </cell>
          <cell r="AD414" t="b">
            <v>0</v>
          </cell>
        </row>
        <row r="415">
          <cell r="Z415" t="b">
            <v>0</v>
          </cell>
          <cell r="AA415" t="b">
            <v>0</v>
          </cell>
          <cell r="AB415" t="b">
            <v>0</v>
          </cell>
          <cell r="AC415" t="b">
            <v>0</v>
          </cell>
          <cell r="AD415" t="b">
            <v>0</v>
          </cell>
        </row>
        <row r="416">
          <cell r="Z416" t="b">
            <v>0</v>
          </cell>
          <cell r="AA416" t="b">
            <v>0</v>
          </cell>
          <cell r="AB416" t="b">
            <v>0</v>
          </cell>
          <cell r="AC416" t="b">
            <v>0</v>
          </cell>
          <cell r="AD416" t="b">
            <v>0</v>
          </cell>
        </row>
        <row r="417">
          <cell r="Z417" t="b">
            <v>0</v>
          </cell>
          <cell r="AA417" t="b">
            <v>0</v>
          </cell>
          <cell r="AB417" t="b">
            <v>0</v>
          </cell>
          <cell r="AC417" t="b">
            <v>0</v>
          </cell>
          <cell r="AD417" t="b">
            <v>0</v>
          </cell>
        </row>
        <row r="418">
          <cell r="Z418" t="b">
            <v>0</v>
          </cell>
          <cell r="AA418" t="b">
            <v>0</v>
          </cell>
          <cell r="AB418" t="b">
            <v>0</v>
          </cell>
          <cell r="AC418" t="b">
            <v>0</v>
          </cell>
          <cell r="AD418" t="b">
            <v>0</v>
          </cell>
        </row>
        <row r="419">
          <cell r="Z419" t="b">
            <v>0</v>
          </cell>
          <cell r="AA419" t="b">
            <v>0</v>
          </cell>
          <cell r="AB419" t="b">
            <v>0</v>
          </cell>
          <cell r="AC419" t="b">
            <v>0</v>
          </cell>
          <cell r="AD419" t="b">
            <v>0</v>
          </cell>
        </row>
        <row r="420">
          <cell r="Z420" t="b">
            <v>0</v>
          </cell>
          <cell r="AA420" t="b">
            <v>0</v>
          </cell>
          <cell r="AB420" t="b">
            <v>0</v>
          </cell>
          <cell r="AC420" t="b">
            <v>0</v>
          </cell>
          <cell r="AD420" t="b">
            <v>0</v>
          </cell>
        </row>
        <row r="421">
          <cell r="Z421" t="b">
            <v>0</v>
          </cell>
          <cell r="AA421" t="b">
            <v>0</v>
          </cell>
          <cell r="AB421" t="b">
            <v>0</v>
          </cell>
          <cell r="AC421" t="b">
            <v>0</v>
          </cell>
          <cell r="AD421" t="b">
            <v>0</v>
          </cell>
        </row>
        <row r="422">
          <cell r="Z422" t="b">
            <v>0</v>
          </cell>
          <cell r="AA422" t="b">
            <v>0</v>
          </cell>
          <cell r="AB422" t="b">
            <v>0</v>
          </cell>
          <cell r="AC422" t="b">
            <v>0</v>
          </cell>
          <cell r="AD422" t="b">
            <v>0</v>
          </cell>
        </row>
        <row r="423">
          <cell r="Z423" t="b">
            <v>0</v>
          </cell>
          <cell r="AA423" t="b">
            <v>0</v>
          </cell>
          <cell r="AB423" t="b">
            <v>0</v>
          </cell>
          <cell r="AC423" t="b">
            <v>0</v>
          </cell>
          <cell r="AD423" t="b">
            <v>0</v>
          </cell>
        </row>
        <row r="424">
          <cell r="Z424" t="b">
            <v>0</v>
          </cell>
          <cell r="AA424" t="b">
            <v>0</v>
          </cell>
          <cell r="AB424" t="b">
            <v>0</v>
          </cell>
          <cell r="AC424" t="b">
            <v>0</v>
          </cell>
          <cell r="AD424" t="b">
            <v>0</v>
          </cell>
        </row>
        <row r="425">
          <cell r="Z425" t="b">
            <v>0</v>
          </cell>
          <cell r="AA425" t="b">
            <v>0</v>
          </cell>
          <cell r="AB425" t="b">
            <v>0</v>
          </cell>
          <cell r="AC425" t="b">
            <v>0</v>
          </cell>
          <cell r="AD425" t="b">
            <v>0</v>
          </cell>
        </row>
        <row r="426">
          <cell r="Z426" t="b">
            <v>0</v>
          </cell>
          <cell r="AA426" t="b">
            <v>0</v>
          </cell>
          <cell r="AB426" t="b">
            <v>0</v>
          </cell>
          <cell r="AC426" t="b">
            <v>0</v>
          </cell>
          <cell r="AD426" t="b">
            <v>0</v>
          </cell>
        </row>
        <row r="427">
          <cell r="Z427" t="b">
            <v>0</v>
          </cell>
          <cell r="AA427" t="b">
            <v>0</v>
          </cell>
          <cell r="AB427" t="b">
            <v>0</v>
          </cell>
          <cell r="AC427" t="b">
            <v>0</v>
          </cell>
          <cell r="AD427" t="b">
            <v>0</v>
          </cell>
        </row>
        <row r="428">
          <cell r="Z428" t="b">
            <v>0</v>
          </cell>
          <cell r="AA428" t="b">
            <v>0</v>
          </cell>
          <cell r="AB428" t="b">
            <v>0</v>
          </cell>
          <cell r="AC428" t="b">
            <v>0</v>
          </cell>
          <cell r="AD428" t="b">
            <v>0</v>
          </cell>
        </row>
        <row r="429">
          <cell r="Z429" t="b">
            <v>0</v>
          </cell>
          <cell r="AA429" t="b">
            <v>0</v>
          </cell>
          <cell r="AB429" t="b">
            <v>0</v>
          </cell>
          <cell r="AC429" t="b">
            <v>0</v>
          </cell>
          <cell r="AD429" t="b">
            <v>0</v>
          </cell>
        </row>
        <row r="430">
          <cell r="Z430" t="b">
            <v>0</v>
          </cell>
          <cell r="AA430" t="b">
            <v>0</v>
          </cell>
          <cell r="AB430" t="b">
            <v>0</v>
          </cell>
          <cell r="AC430" t="b">
            <v>0</v>
          </cell>
          <cell r="AD430" t="b">
            <v>0</v>
          </cell>
        </row>
        <row r="431">
          <cell r="Z431" t="b">
            <v>0</v>
          </cell>
          <cell r="AA431" t="b">
            <v>0</v>
          </cell>
          <cell r="AB431" t="b">
            <v>0</v>
          </cell>
          <cell r="AC431" t="b">
            <v>0</v>
          </cell>
          <cell r="AD431" t="b">
            <v>0</v>
          </cell>
        </row>
        <row r="432">
          <cell r="Z432" t="b">
            <v>0</v>
          </cell>
          <cell r="AA432" t="b">
            <v>0</v>
          </cell>
          <cell r="AB432" t="b">
            <v>0</v>
          </cell>
          <cell r="AC432" t="b">
            <v>0</v>
          </cell>
          <cell r="AD432" t="b">
            <v>0</v>
          </cell>
        </row>
        <row r="433">
          <cell r="Z433" t="b">
            <v>0</v>
          </cell>
          <cell r="AA433" t="b">
            <v>0</v>
          </cell>
          <cell r="AB433" t="b">
            <v>0</v>
          </cell>
          <cell r="AC433" t="b">
            <v>0</v>
          </cell>
          <cell r="AD433" t="b">
            <v>0</v>
          </cell>
        </row>
        <row r="434">
          <cell r="Z434" t="b">
            <v>0</v>
          </cell>
          <cell r="AA434" t="b">
            <v>0</v>
          </cell>
          <cell r="AB434" t="b">
            <v>0</v>
          </cell>
          <cell r="AC434" t="b">
            <v>0</v>
          </cell>
          <cell r="AD434" t="b">
            <v>0</v>
          </cell>
        </row>
        <row r="435">
          <cell r="Z435" t="b">
            <v>0</v>
          </cell>
          <cell r="AA435" t="b">
            <v>0</v>
          </cell>
          <cell r="AB435" t="b">
            <v>0</v>
          </cell>
          <cell r="AC435" t="b">
            <v>0</v>
          </cell>
          <cell r="AD435" t="b">
            <v>0</v>
          </cell>
        </row>
        <row r="436">
          <cell r="Z436" t="b">
            <v>0</v>
          </cell>
          <cell r="AA436" t="b">
            <v>0</v>
          </cell>
          <cell r="AB436" t="b">
            <v>0</v>
          </cell>
          <cell r="AC436" t="b">
            <v>0</v>
          </cell>
          <cell r="AD436" t="b">
            <v>0</v>
          </cell>
        </row>
        <row r="437">
          <cell r="Z437" t="b">
            <v>0</v>
          </cell>
          <cell r="AA437" t="b">
            <v>0</v>
          </cell>
          <cell r="AB437" t="b">
            <v>0</v>
          </cell>
          <cell r="AC437" t="b">
            <v>0</v>
          </cell>
          <cell r="AD437" t="b">
            <v>0</v>
          </cell>
        </row>
        <row r="438">
          <cell r="Z438" t="b">
            <v>0</v>
          </cell>
          <cell r="AA438" t="b">
            <v>0</v>
          </cell>
          <cell r="AB438" t="b">
            <v>0</v>
          </cell>
          <cell r="AC438" t="b">
            <v>0</v>
          </cell>
          <cell r="AD438" t="b">
            <v>0</v>
          </cell>
        </row>
        <row r="439">
          <cell r="Z439" t="b">
            <v>0</v>
          </cell>
          <cell r="AA439" t="b">
            <v>0</v>
          </cell>
          <cell r="AB439" t="b">
            <v>0</v>
          </cell>
          <cell r="AC439" t="b">
            <v>0</v>
          </cell>
          <cell r="AD439" t="b">
            <v>0</v>
          </cell>
        </row>
        <row r="440">
          <cell r="Z440" t="b">
            <v>0</v>
          </cell>
          <cell r="AA440" t="b">
            <v>0</v>
          </cell>
          <cell r="AB440" t="b">
            <v>0</v>
          </cell>
          <cell r="AC440" t="b">
            <v>0</v>
          </cell>
          <cell r="AD440" t="b">
            <v>0</v>
          </cell>
        </row>
        <row r="441">
          <cell r="Z441" t="b">
            <v>0</v>
          </cell>
          <cell r="AA441" t="b">
            <v>0</v>
          </cell>
          <cell r="AB441" t="b">
            <v>0</v>
          </cell>
          <cell r="AC441" t="b">
            <v>0</v>
          </cell>
          <cell r="AD441" t="b">
            <v>0</v>
          </cell>
        </row>
        <row r="442">
          <cell r="Z442" t="b">
            <v>0</v>
          </cell>
          <cell r="AA442" t="b">
            <v>0</v>
          </cell>
          <cell r="AB442" t="b">
            <v>0</v>
          </cell>
          <cell r="AC442" t="b">
            <v>0</v>
          </cell>
          <cell r="AD442" t="b">
            <v>0</v>
          </cell>
        </row>
        <row r="443">
          <cell r="Z443" t="b">
            <v>0</v>
          </cell>
          <cell r="AA443" t="b">
            <v>0</v>
          </cell>
          <cell r="AB443" t="b">
            <v>0</v>
          </cell>
          <cell r="AC443" t="b">
            <v>0</v>
          </cell>
          <cell r="AD443" t="b">
            <v>0</v>
          </cell>
        </row>
        <row r="444">
          <cell r="Z444" t="b">
            <v>0</v>
          </cell>
          <cell r="AA444" t="b">
            <v>0</v>
          </cell>
          <cell r="AB444" t="b">
            <v>0</v>
          </cell>
          <cell r="AC444" t="b">
            <v>0</v>
          </cell>
          <cell r="AD444" t="b">
            <v>0</v>
          </cell>
        </row>
        <row r="445">
          <cell r="Z445" t="b">
            <v>0</v>
          </cell>
          <cell r="AA445" t="b">
            <v>0</v>
          </cell>
          <cell r="AB445" t="b">
            <v>0</v>
          </cell>
          <cell r="AC445" t="b">
            <v>0</v>
          </cell>
          <cell r="AD445" t="b">
            <v>0</v>
          </cell>
        </row>
        <row r="446">
          <cell r="Z446" t="b">
            <v>0</v>
          </cell>
          <cell r="AA446" t="b">
            <v>0</v>
          </cell>
          <cell r="AB446" t="b">
            <v>0</v>
          </cell>
          <cell r="AC446" t="b">
            <v>0</v>
          </cell>
          <cell r="AD446" t="b">
            <v>0</v>
          </cell>
        </row>
        <row r="447">
          <cell r="Z447" t="b">
            <v>0</v>
          </cell>
          <cell r="AA447" t="b">
            <v>0</v>
          </cell>
          <cell r="AB447" t="b">
            <v>0</v>
          </cell>
          <cell r="AC447" t="b">
            <v>0</v>
          </cell>
          <cell r="AD447" t="b">
            <v>0</v>
          </cell>
        </row>
        <row r="448">
          <cell r="Z448" t="b">
            <v>0</v>
          </cell>
          <cell r="AA448" t="b">
            <v>0</v>
          </cell>
          <cell r="AB448" t="b">
            <v>0</v>
          </cell>
          <cell r="AC448" t="b">
            <v>0</v>
          </cell>
          <cell r="AD448" t="b">
            <v>0</v>
          </cell>
        </row>
        <row r="449">
          <cell r="Z449" t="b">
            <v>0</v>
          </cell>
          <cell r="AA449" t="b">
            <v>0</v>
          </cell>
          <cell r="AB449" t="b">
            <v>0</v>
          </cell>
          <cell r="AC449" t="b">
            <v>0</v>
          </cell>
          <cell r="AD449" t="b">
            <v>0</v>
          </cell>
        </row>
        <row r="450">
          <cell r="Z450" t="b">
            <v>0</v>
          </cell>
          <cell r="AA450" t="b">
            <v>0</v>
          </cell>
          <cell r="AB450" t="b">
            <v>0</v>
          </cell>
          <cell r="AC450" t="b">
            <v>0</v>
          </cell>
          <cell r="AD450" t="b">
            <v>0</v>
          </cell>
        </row>
        <row r="451">
          <cell r="Z451" t="b">
            <v>0</v>
          </cell>
          <cell r="AA451" t="b">
            <v>0</v>
          </cell>
          <cell r="AB451" t="b">
            <v>0</v>
          </cell>
          <cell r="AC451" t="b">
            <v>0</v>
          </cell>
          <cell r="AD451" t="b">
            <v>0</v>
          </cell>
        </row>
        <row r="452">
          <cell r="Z452" t="b">
            <v>0</v>
          </cell>
          <cell r="AA452" t="b">
            <v>0</v>
          </cell>
          <cell r="AB452" t="b">
            <v>0</v>
          </cell>
          <cell r="AC452" t="b">
            <v>0</v>
          </cell>
          <cell r="AD452" t="b">
            <v>0</v>
          </cell>
        </row>
        <row r="453">
          <cell r="Z453" t="b">
            <v>0</v>
          </cell>
          <cell r="AA453" t="b">
            <v>0</v>
          </cell>
          <cell r="AB453" t="b">
            <v>0</v>
          </cell>
          <cell r="AC453" t="b">
            <v>0</v>
          </cell>
          <cell r="AD453" t="b">
            <v>0</v>
          </cell>
        </row>
        <row r="454">
          <cell r="Z454" t="b">
            <v>0</v>
          </cell>
          <cell r="AA454" t="b">
            <v>0</v>
          </cell>
          <cell r="AB454" t="b">
            <v>0</v>
          </cell>
          <cell r="AC454" t="b">
            <v>0</v>
          </cell>
          <cell r="AD454" t="b">
            <v>0</v>
          </cell>
        </row>
        <row r="455">
          <cell r="Z455" t="b">
            <v>0</v>
          </cell>
          <cell r="AA455" t="b">
            <v>0</v>
          </cell>
          <cell r="AB455" t="b">
            <v>0</v>
          </cell>
          <cell r="AC455" t="b">
            <v>0</v>
          </cell>
          <cell r="AD455" t="b">
            <v>0</v>
          </cell>
        </row>
        <row r="456">
          <cell r="Z456" t="b">
            <v>0</v>
          </cell>
          <cell r="AA456" t="b">
            <v>0</v>
          </cell>
          <cell r="AB456" t="b">
            <v>0</v>
          </cell>
          <cell r="AC456" t="b">
            <v>0</v>
          </cell>
          <cell r="AD456" t="b">
            <v>0</v>
          </cell>
        </row>
        <row r="457">
          <cell r="Z457" t="b">
            <v>0</v>
          </cell>
          <cell r="AA457" t="b">
            <v>0</v>
          </cell>
          <cell r="AB457" t="b">
            <v>0</v>
          </cell>
          <cell r="AC457" t="b">
            <v>0</v>
          </cell>
          <cell r="AD457" t="b">
            <v>0</v>
          </cell>
        </row>
        <row r="458">
          <cell r="Z458" t="b">
            <v>0</v>
          </cell>
          <cell r="AA458" t="b">
            <v>0</v>
          </cell>
          <cell r="AB458" t="b">
            <v>0</v>
          </cell>
          <cell r="AC458" t="b">
            <v>0</v>
          </cell>
          <cell r="AD458" t="b">
            <v>0</v>
          </cell>
        </row>
        <row r="459">
          <cell r="Z459" t="b">
            <v>0</v>
          </cell>
          <cell r="AA459" t="b">
            <v>0</v>
          </cell>
          <cell r="AB459" t="b">
            <v>0</v>
          </cell>
          <cell r="AC459" t="b">
            <v>0</v>
          </cell>
          <cell r="AD459" t="b">
            <v>0</v>
          </cell>
        </row>
        <row r="460">
          <cell r="Z460" t="b">
            <v>0</v>
          </cell>
          <cell r="AA460" t="b">
            <v>0</v>
          </cell>
          <cell r="AB460" t="b">
            <v>0</v>
          </cell>
          <cell r="AC460" t="b">
            <v>0</v>
          </cell>
          <cell r="AD460" t="b">
            <v>0</v>
          </cell>
        </row>
        <row r="461">
          <cell r="Z461" t="b">
            <v>0</v>
          </cell>
          <cell r="AA461" t="b">
            <v>0</v>
          </cell>
          <cell r="AB461" t="b">
            <v>0</v>
          </cell>
          <cell r="AC461" t="b">
            <v>0</v>
          </cell>
          <cell r="AD461" t="b">
            <v>0</v>
          </cell>
        </row>
        <row r="462">
          <cell r="Z462" t="b">
            <v>0</v>
          </cell>
          <cell r="AA462" t="b">
            <v>0</v>
          </cell>
          <cell r="AB462" t="b">
            <v>0</v>
          </cell>
          <cell r="AC462" t="b">
            <v>0</v>
          </cell>
          <cell r="AD462" t="b">
            <v>0</v>
          </cell>
        </row>
        <row r="463">
          <cell r="Z463" t="b">
            <v>0</v>
          </cell>
          <cell r="AA463" t="b">
            <v>0</v>
          </cell>
          <cell r="AB463" t="b">
            <v>0</v>
          </cell>
          <cell r="AC463" t="b">
            <v>0</v>
          </cell>
          <cell r="AD463" t="b">
            <v>0</v>
          </cell>
        </row>
        <row r="464">
          <cell r="Z464" t="b">
            <v>0</v>
          </cell>
          <cell r="AA464" t="b">
            <v>0</v>
          </cell>
          <cell r="AB464" t="b">
            <v>0</v>
          </cell>
          <cell r="AC464" t="b">
            <v>0</v>
          </cell>
          <cell r="AD464" t="b">
            <v>0</v>
          </cell>
        </row>
        <row r="465">
          <cell r="Z465" t="b">
            <v>0</v>
          </cell>
          <cell r="AA465" t="b">
            <v>0</v>
          </cell>
          <cell r="AB465" t="b">
            <v>0</v>
          </cell>
          <cell r="AC465" t="b">
            <v>0</v>
          </cell>
          <cell r="AD465" t="b">
            <v>0</v>
          </cell>
        </row>
        <row r="466">
          <cell r="Z466" t="b">
            <v>0</v>
          </cell>
          <cell r="AA466" t="b">
            <v>0</v>
          </cell>
          <cell r="AB466" t="b">
            <v>0</v>
          </cell>
          <cell r="AC466" t="b">
            <v>0</v>
          </cell>
          <cell r="AD466" t="b">
            <v>0</v>
          </cell>
        </row>
        <row r="467">
          <cell r="Z467" t="b">
            <v>0</v>
          </cell>
          <cell r="AA467" t="b">
            <v>0</v>
          </cell>
          <cell r="AB467" t="b">
            <v>0</v>
          </cell>
          <cell r="AC467" t="b">
            <v>0</v>
          </cell>
          <cell r="AD467" t="b">
            <v>0</v>
          </cell>
        </row>
        <row r="468">
          <cell r="Z468" t="b">
            <v>0</v>
          </cell>
          <cell r="AA468" t="b">
            <v>0</v>
          </cell>
          <cell r="AB468" t="b">
            <v>0</v>
          </cell>
          <cell r="AC468" t="b">
            <v>0</v>
          </cell>
          <cell r="AD468" t="b">
            <v>0</v>
          </cell>
        </row>
        <row r="469">
          <cell r="Z469" t="b">
            <v>0</v>
          </cell>
          <cell r="AA469" t="b">
            <v>0</v>
          </cell>
          <cell r="AB469" t="b">
            <v>0</v>
          </cell>
          <cell r="AC469" t="b">
            <v>0</v>
          </cell>
          <cell r="AD469" t="b">
            <v>0</v>
          </cell>
        </row>
        <row r="470">
          <cell r="Z470" t="b">
            <v>0</v>
          </cell>
          <cell r="AA470" t="b">
            <v>0</v>
          </cell>
          <cell r="AB470" t="b">
            <v>0</v>
          </cell>
          <cell r="AC470" t="b">
            <v>0</v>
          </cell>
          <cell r="AD470" t="b">
            <v>0</v>
          </cell>
        </row>
        <row r="471">
          <cell r="Z471" t="b">
            <v>0</v>
          </cell>
          <cell r="AA471" t="b">
            <v>0</v>
          </cell>
          <cell r="AB471" t="b">
            <v>0</v>
          </cell>
          <cell r="AC471" t="b">
            <v>0</v>
          </cell>
          <cell r="AD471" t="b">
            <v>0</v>
          </cell>
        </row>
        <row r="472">
          <cell r="Z472" t="b">
            <v>0</v>
          </cell>
          <cell r="AA472" t="b">
            <v>0</v>
          </cell>
          <cell r="AB472" t="b">
            <v>0</v>
          </cell>
          <cell r="AC472" t="b">
            <v>0</v>
          </cell>
          <cell r="AD472" t="b">
            <v>0</v>
          </cell>
        </row>
        <row r="473">
          <cell r="Z473" t="b">
            <v>0</v>
          </cell>
          <cell r="AA473" t="b">
            <v>0</v>
          </cell>
          <cell r="AB473" t="b">
            <v>0</v>
          </cell>
          <cell r="AC473" t="b">
            <v>0</v>
          </cell>
          <cell r="AD473" t="b">
            <v>0</v>
          </cell>
        </row>
        <row r="474">
          <cell r="Z474" t="b">
            <v>0</v>
          </cell>
          <cell r="AA474" t="b">
            <v>0</v>
          </cell>
          <cell r="AB474" t="b">
            <v>0</v>
          </cell>
          <cell r="AC474" t="b">
            <v>0</v>
          </cell>
          <cell r="AD474" t="b">
            <v>0</v>
          </cell>
        </row>
        <row r="475">
          <cell r="Z475" t="b">
            <v>0</v>
          </cell>
          <cell r="AA475" t="b">
            <v>0</v>
          </cell>
          <cell r="AB475" t="b">
            <v>0</v>
          </cell>
          <cell r="AC475" t="b">
            <v>0</v>
          </cell>
          <cell r="AD475" t="b">
            <v>0</v>
          </cell>
        </row>
        <row r="476">
          <cell r="Z476" t="b">
            <v>0</v>
          </cell>
          <cell r="AA476" t="b">
            <v>0</v>
          </cell>
          <cell r="AB476" t="b">
            <v>0</v>
          </cell>
          <cell r="AC476" t="b">
            <v>0</v>
          </cell>
          <cell r="AD476" t="b">
            <v>0</v>
          </cell>
        </row>
        <row r="477">
          <cell r="Z477" t="b">
            <v>0</v>
          </cell>
          <cell r="AA477" t="b">
            <v>0</v>
          </cell>
          <cell r="AB477" t="b">
            <v>0</v>
          </cell>
          <cell r="AC477" t="b">
            <v>0</v>
          </cell>
          <cell r="AD477" t="b">
            <v>0</v>
          </cell>
        </row>
        <row r="478">
          <cell r="Z478" t="b">
            <v>0</v>
          </cell>
          <cell r="AA478" t="b">
            <v>0</v>
          </cell>
          <cell r="AB478" t="b">
            <v>0</v>
          </cell>
          <cell r="AC478" t="b">
            <v>0</v>
          </cell>
          <cell r="AD478" t="b">
            <v>0</v>
          </cell>
        </row>
        <row r="479">
          <cell r="Z479" t="b">
            <v>0</v>
          </cell>
          <cell r="AA479" t="b">
            <v>0</v>
          </cell>
          <cell r="AB479" t="b">
            <v>0</v>
          </cell>
          <cell r="AC479" t="b">
            <v>0</v>
          </cell>
          <cell r="AD479" t="b">
            <v>0</v>
          </cell>
        </row>
        <row r="480">
          <cell r="Z480" t="b">
            <v>0</v>
          </cell>
          <cell r="AA480" t="b">
            <v>0</v>
          </cell>
          <cell r="AB480" t="b">
            <v>0</v>
          </cell>
          <cell r="AC480" t="b">
            <v>0</v>
          </cell>
          <cell r="AD480" t="b">
            <v>0</v>
          </cell>
        </row>
        <row r="481">
          <cell r="Z481" t="b">
            <v>0</v>
          </cell>
          <cell r="AA481" t="b">
            <v>0</v>
          </cell>
          <cell r="AB481" t="b">
            <v>0</v>
          </cell>
          <cell r="AC481" t="b">
            <v>0</v>
          </cell>
          <cell r="AD481" t="b">
            <v>0</v>
          </cell>
        </row>
        <row r="482">
          <cell r="Z482" t="b">
            <v>0</v>
          </cell>
          <cell r="AA482" t="b">
            <v>0</v>
          </cell>
          <cell r="AB482" t="b">
            <v>0</v>
          </cell>
          <cell r="AC482" t="b">
            <v>0</v>
          </cell>
          <cell r="AD482" t="b">
            <v>0</v>
          </cell>
        </row>
        <row r="483">
          <cell r="Z483" t="b">
            <v>0</v>
          </cell>
          <cell r="AA483" t="b">
            <v>0</v>
          </cell>
          <cell r="AB483" t="b">
            <v>0</v>
          </cell>
          <cell r="AC483" t="b">
            <v>0</v>
          </cell>
          <cell r="AD483" t="b">
            <v>0</v>
          </cell>
        </row>
        <row r="484">
          <cell r="Z484" t="b">
            <v>0</v>
          </cell>
          <cell r="AA484" t="b">
            <v>0</v>
          </cell>
          <cell r="AB484" t="b">
            <v>0</v>
          </cell>
          <cell r="AC484" t="b">
            <v>0</v>
          </cell>
          <cell r="AD484" t="b">
            <v>0</v>
          </cell>
        </row>
        <row r="485">
          <cell r="Z485" t="b">
            <v>0</v>
          </cell>
          <cell r="AA485" t="b">
            <v>0</v>
          </cell>
          <cell r="AB485" t="b">
            <v>0</v>
          </cell>
          <cell r="AC485" t="b">
            <v>0</v>
          </cell>
          <cell r="AD485" t="b">
            <v>0</v>
          </cell>
        </row>
        <row r="486">
          <cell r="Z486" t="b">
            <v>0</v>
          </cell>
          <cell r="AA486" t="b">
            <v>0</v>
          </cell>
          <cell r="AB486" t="b">
            <v>0</v>
          </cell>
          <cell r="AC486" t="b">
            <v>0</v>
          </cell>
          <cell r="AD486" t="b">
            <v>0</v>
          </cell>
        </row>
        <row r="487">
          <cell r="Z487" t="b">
            <v>0</v>
          </cell>
          <cell r="AA487" t="b">
            <v>0</v>
          </cell>
          <cell r="AB487" t="b">
            <v>0</v>
          </cell>
          <cell r="AC487" t="b">
            <v>0</v>
          </cell>
          <cell r="AD487" t="b">
            <v>0</v>
          </cell>
        </row>
        <row r="488">
          <cell r="Z488" t="b">
            <v>0</v>
          </cell>
          <cell r="AA488" t="b">
            <v>0</v>
          </cell>
          <cell r="AB488" t="b">
            <v>0</v>
          </cell>
          <cell r="AC488" t="b">
            <v>0</v>
          </cell>
          <cell r="AD488" t="b">
            <v>0</v>
          </cell>
        </row>
        <row r="489">
          <cell r="Z489" t="b">
            <v>0</v>
          </cell>
          <cell r="AA489" t="b">
            <v>0</v>
          </cell>
          <cell r="AB489" t="b">
            <v>0</v>
          </cell>
          <cell r="AC489" t="b">
            <v>0</v>
          </cell>
          <cell r="AD489" t="b">
            <v>0</v>
          </cell>
        </row>
        <row r="490">
          <cell r="Z490" t="b">
            <v>0</v>
          </cell>
          <cell r="AA490" t="b">
            <v>0</v>
          </cell>
          <cell r="AB490" t="b">
            <v>0</v>
          </cell>
          <cell r="AC490" t="b">
            <v>0</v>
          </cell>
          <cell r="AD490" t="b">
            <v>0</v>
          </cell>
        </row>
        <row r="491">
          <cell r="Z491" t="b">
            <v>0</v>
          </cell>
          <cell r="AA491" t="b">
            <v>0</v>
          </cell>
          <cell r="AB491" t="b">
            <v>0</v>
          </cell>
          <cell r="AC491" t="b">
            <v>0</v>
          </cell>
          <cell r="AD491" t="b">
            <v>0</v>
          </cell>
        </row>
        <row r="492">
          <cell r="Z492" t="b">
            <v>0</v>
          </cell>
          <cell r="AA492" t="b">
            <v>0</v>
          </cell>
          <cell r="AB492" t="b">
            <v>0</v>
          </cell>
          <cell r="AC492" t="b">
            <v>0</v>
          </cell>
          <cell r="AD492" t="b">
            <v>0</v>
          </cell>
        </row>
        <row r="493">
          <cell r="Z493" t="b">
            <v>0</v>
          </cell>
          <cell r="AA493" t="b">
            <v>0</v>
          </cell>
          <cell r="AB493" t="b">
            <v>0</v>
          </cell>
          <cell r="AC493" t="b">
            <v>0</v>
          </cell>
          <cell r="AD493" t="b">
            <v>0</v>
          </cell>
        </row>
        <row r="494">
          <cell r="Z494" t="b">
            <v>0</v>
          </cell>
          <cell r="AA494" t="b">
            <v>0</v>
          </cell>
          <cell r="AB494" t="b">
            <v>0</v>
          </cell>
          <cell r="AC494" t="b">
            <v>0</v>
          </cell>
          <cell r="AD494" t="b">
            <v>0</v>
          </cell>
        </row>
        <row r="495">
          <cell r="Z495" t="b">
            <v>0</v>
          </cell>
          <cell r="AA495" t="b">
            <v>0</v>
          </cell>
          <cell r="AB495" t="b">
            <v>0</v>
          </cell>
          <cell r="AC495" t="b">
            <v>0</v>
          </cell>
          <cell r="AD495" t="b">
            <v>0</v>
          </cell>
        </row>
        <row r="496">
          <cell r="Z496" t="b">
            <v>0</v>
          </cell>
          <cell r="AA496" t="b">
            <v>0</v>
          </cell>
          <cell r="AB496" t="b">
            <v>0</v>
          </cell>
          <cell r="AC496" t="b">
            <v>0</v>
          </cell>
          <cell r="AD496" t="b">
            <v>0</v>
          </cell>
        </row>
        <row r="497">
          <cell r="Z497" t="b">
            <v>0</v>
          </cell>
          <cell r="AA497" t="b">
            <v>0</v>
          </cell>
          <cell r="AB497" t="b">
            <v>0</v>
          </cell>
          <cell r="AC497" t="b">
            <v>0</v>
          </cell>
          <cell r="AD497" t="b">
            <v>0</v>
          </cell>
        </row>
        <row r="498">
          <cell r="Z498" t="b">
            <v>0</v>
          </cell>
          <cell r="AA498" t="b">
            <v>0</v>
          </cell>
          <cell r="AB498" t="b">
            <v>0</v>
          </cell>
          <cell r="AC498" t="b">
            <v>0</v>
          </cell>
          <cell r="AD498" t="b">
            <v>0</v>
          </cell>
        </row>
        <row r="499">
          <cell r="Z499" t="b">
            <v>0</v>
          </cell>
          <cell r="AA499" t="b">
            <v>0</v>
          </cell>
          <cell r="AB499" t="b">
            <v>0</v>
          </cell>
          <cell r="AC499" t="b">
            <v>0</v>
          </cell>
          <cell r="AD499" t="b">
            <v>0</v>
          </cell>
        </row>
        <row r="500">
          <cell r="Z500" t="b">
            <v>0</v>
          </cell>
          <cell r="AA500" t="b">
            <v>0</v>
          </cell>
          <cell r="AB500" t="b">
            <v>0</v>
          </cell>
          <cell r="AC500" t="b">
            <v>0</v>
          </cell>
          <cell r="AD500" t="b">
            <v>0</v>
          </cell>
        </row>
        <row r="501">
          <cell r="Z501" t="b">
            <v>0</v>
          </cell>
          <cell r="AA501" t="b">
            <v>0</v>
          </cell>
          <cell r="AB501" t="b">
            <v>0</v>
          </cell>
          <cell r="AC501" t="b">
            <v>0</v>
          </cell>
          <cell r="AD501" t="b">
            <v>0</v>
          </cell>
        </row>
        <row r="502">
          <cell r="Z502" t="b">
            <v>0</v>
          </cell>
          <cell r="AA502" t="b">
            <v>0</v>
          </cell>
          <cell r="AB502" t="b">
            <v>0</v>
          </cell>
          <cell r="AC502" t="b">
            <v>0</v>
          </cell>
          <cell r="AD502" t="b">
            <v>0</v>
          </cell>
        </row>
        <row r="503">
          <cell r="Z503" t="b">
            <v>0</v>
          </cell>
          <cell r="AA503" t="b">
            <v>0</v>
          </cell>
          <cell r="AB503" t="b">
            <v>0</v>
          </cell>
          <cell r="AC503" t="b">
            <v>0</v>
          </cell>
          <cell r="AD503" t="b">
            <v>0</v>
          </cell>
        </row>
        <row r="504">
          <cell r="Z504" t="b">
            <v>0</v>
          </cell>
          <cell r="AA504" t="b">
            <v>0</v>
          </cell>
          <cell r="AB504" t="b">
            <v>0</v>
          </cell>
          <cell r="AC504" t="b">
            <v>0</v>
          </cell>
          <cell r="AD504" t="b">
            <v>0</v>
          </cell>
        </row>
        <row r="505">
          <cell r="Z505" t="b">
            <v>0</v>
          </cell>
          <cell r="AA505" t="b">
            <v>0</v>
          </cell>
          <cell r="AB505" t="b">
            <v>0</v>
          </cell>
          <cell r="AC505" t="b">
            <v>0</v>
          </cell>
          <cell r="AD505" t="b">
            <v>0</v>
          </cell>
        </row>
        <row r="506">
          <cell r="Z506" t="b">
            <v>0</v>
          </cell>
          <cell r="AA506" t="b">
            <v>0</v>
          </cell>
          <cell r="AB506" t="b">
            <v>0</v>
          </cell>
          <cell r="AC506" t="b">
            <v>0</v>
          </cell>
          <cell r="AD506" t="b">
            <v>0</v>
          </cell>
        </row>
        <row r="507">
          <cell r="Z507" t="b">
            <v>0</v>
          </cell>
          <cell r="AA507" t="b">
            <v>0</v>
          </cell>
          <cell r="AB507" t="b">
            <v>0</v>
          </cell>
          <cell r="AC507" t="b">
            <v>0</v>
          </cell>
          <cell r="AD507" t="b">
            <v>0</v>
          </cell>
        </row>
        <row r="508">
          <cell r="Z508" t="b">
            <v>0</v>
          </cell>
          <cell r="AA508" t="b">
            <v>0</v>
          </cell>
          <cell r="AB508" t="b">
            <v>0</v>
          </cell>
          <cell r="AC508" t="b">
            <v>0</v>
          </cell>
          <cell r="AD508" t="b">
            <v>0</v>
          </cell>
        </row>
        <row r="509">
          <cell r="Z509" t="b">
            <v>0</v>
          </cell>
          <cell r="AA509" t="b">
            <v>0</v>
          </cell>
          <cell r="AB509" t="b">
            <v>0</v>
          </cell>
          <cell r="AC509" t="b">
            <v>0</v>
          </cell>
          <cell r="AD509" t="b">
            <v>0</v>
          </cell>
        </row>
        <row r="510">
          <cell r="Z510" t="b">
            <v>0</v>
          </cell>
          <cell r="AA510" t="b">
            <v>0</v>
          </cell>
          <cell r="AB510" t="b">
            <v>0</v>
          </cell>
          <cell r="AC510" t="b">
            <v>0</v>
          </cell>
          <cell r="AD510" t="b">
            <v>0</v>
          </cell>
        </row>
        <row r="511">
          <cell r="Z511" t="b">
            <v>0</v>
          </cell>
          <cell r="AA511" t="b">
            <v>0</v>
          </cell>
          <cell r="AB511" t="b">
            <v>0</v>
          </cell>
          <cell r="AC511" t="b">
            <v>0</v>
          </cell>
          <cell r="AD511" t="b">
            <v>0</v>
          </cell>
        </row>
        <row r="512">
          <cell r="Z512" t="b">
            <v>0</v>
          </cell>
          <cell r="AA512" t="b">
            <v>0</v>
          </cell>
          <cell r="AB512" t="b">
            <v>0</v>
          </cell>
          <cell r="AC512" t="b">
            <v>0</v>
          </cell>
          <cell r="AD512" t="b">
            <v>0</v>
          </cell>
        </row>
        <row r="513">
          <cell r="Z513" t="b">
            <v>0</v>
          </cell>
          <cell r="AA513" t="b">
            <v>0</v>
          </cell>
          <cell r="AB513" t="b">
            <v>0</v>
          </cell>
          <cell r="AC513" t="b">
            <v>0</v>
          </cell>
          <cell r="AD513" t="b">
            <v>0</v>
          </cell>
        </row>
        <row r="514">
          <cell r="Z514" t="b">
            <v>0</v>
          </cell>
          <cell r="AA514" t="b">
            <v>0</v>
          </cell>
          <cell r="AB514" t="b">
            <v>0</v>
          </cell>
          <cell r="AC514" t="b">
            <v>0</v>
          </cell>
          <cell r="AD514" t="b">
            <v>0</v>
          </cell>
        </row>
        <row r="515">
          <cell r="Z515" t="b">
            <v>0</v>
          </cell>
          <cell r="AA515" t="b">
            <v>0</v>
          </cell>
          <cell r="AB515" t="b">
            <v>0</v>
          </cell>
          <cell r="AC515" t="b">
            <v>0</v>
          </cell>
          <cell r="AD515" t="b">
            <v>0</v>
          </cell>
        </row>
        <row r="516">
          <cell r="Z516" t="b">
            <v>0</v>
          </cell>
          <cell r="AA516" t="b">
            <v>0</v>
          </cell>
          <cell r="AB516" t="b">
            <v>0</v>
          </cell>
          <cell r="AC516" t="b">
            <v>0</v>
          </cell>
          <cell r="AD516" t="b">
            <v>0</v>
          </cell>
        </row>
        <row r="517">
          <cell r="Z517" t="b">
            <v>0</v>
          </cell>
          <cell r="AA517" t="b">
            <v>0</v>
          </cell>
          <cell r="AB517" t="b">
            <v>0</v>
          </cell>
          <cell r="AC517" t="b">
            <v>0</v>
          </cell>
          <cell r="AD517" t="b">
            <v>0</v>
          </cell>
        </row>
        <row r="518">
          <cell r="Z518" t="b">
            <v>0</v>
          </cell>
          <cell r="AA518" t="b">
            <v>0</v>
          </cell>
          <cell r="AB518" t="b">
            <v>0</v>
          </cell>
          <cell r="AC518" t="b">
            <v>0</v>
          </cell>
          <cell r="AD518" t="b">
            <v>0</v>
          </cell>
        </row>
        <row r="519">
          <cell r="Z519" t="b">
            <v>0</v>
          </cell>
          <cell r="AA519" t="b">
            <v>0</v>
          </cell>
          <cell r="AB519" t="b">
            <v>0</v>
          </cell>
          <cell r="AC519" t="b">
            <v>0</v>
          </cell>
          <cell r="AD519" t="b">
            <v>0</v>
          </cell>
        </row>
        <row r="520">
          <cell r="Z520" t="b">
            <v>0</v>
          </cell>
          <cell r="AA520" t="b">
            <v>0</v>
          </cell>
          <cell r="AB520" t="b">
            <v>0</v>
          </cell>
          <cell r="AC520" t="b">
            <v>0</v>
          </cell>
          <cell r="AD520" t="b">
            <v>0</v>
          </cell>
        </row>
        <row r="521">
          <cell r="Z521" t="b">
            <v>0</v>
          </cell>
          <cell r="AA521" t="b">
            <v>0</v>
          </cell>
          <cell r="AB521" t="b">
            <v>0</v>
          </cell>
          <cell r="AC521" t="b">
            <v>0</v>
          </cell>
          <cell r="AD521" t="b">
            <v>0</v>
          </cell>
        </row>
        <row r="522">
          <cell r="Z522" t="b">
            <v>0</v>
          </cell>
          <cell r="AA522" t="b">
            <v>0</v>
          </cell>
          <cell r="AB522" t="b">
            <v>0</v>
          </cell>
          <cell r="AC522" t="b">
            <v>0</v>
          </cell>
          <cell r="AD522" t="b">
            <v>0</v>
          </cell>
        </row>
        <row r="523">
          <cell r="Z523" t="b">
            <v>0</v>
          </cell>
          <cell r="AA523" t="b">
            <v>0</v>
          </cell>
          <cell r="AB523" t="b">
            <v>0</v>
          </cell>
          <cell r="AC523" t="b">
            <v>0</v>
          </cell>
          <cell r="AD523" t="b">
            <v>0</v>
          </cell>
        </row>
        <row r="524">
          <cell r="Z524" t="b">
            <v>0</v>
          </cell>
          <cell r="AA524" t="b">
            <v>0</v>
          </cell>
          <cell r="AB524" t="b">
            <v>0</v>
          </cell>
          <cell r="AC524" t="b">
            <v>0</v>
          </cell>
          <cell r="AD524" t="b">
            <v>0</v>
          </cell>
        </row>
        <row r="525">
          <cell r="Z525" t="b">
            <v>0</v>
          </cell>
          <cell r="AA525" t="b">
            <v>0</v>
          </cell>
          <cell r="AB525" t="b">
            <v>0</v>
          </cell>
          <cell r="AC525" t="b">
            <v>0</v>
          </cell>
          <cell r="AD525" t="b">
            <v>0</v>
          </cell>
        </row>
        <row r="526">
          <cell r="Z526" t="b">
            <v>0</v>
          </cell>
          <cell r="AA526" t="b">
            <v>0</v>
          </cell>
          <cell r="AB526" t="b">
            <v>0</v>
          </cell>
          <cell r="AC526" t="b">
            <v>0</v>
          </cell>
          <cell r="AD526" t="b">
            <v>0</v>
          </cell>
        </row>
        <row r="527">
          <cell r="Z527" t="b">
            <v>0</v>
          </cell>
          <cell r="AA527" t="b">
            <v>0</v>
          </cell>
          <cell r="AB527" t="b">
            <v>0</v>
          </cell>
          <cell r="AC527" t="b">
            <v>0</v>
          </cell>
          <cell r="AD527" t="b">
            <v>0</v>
          </cell>
        </row>
        <row r="528">
          <cell r="Z528" t="b">
            <v>0</v>
          </cell>
          <cell r="AA528" t="b">
            <v>0</v>
          </cell>
          <cell r="AB528" t="b">
            <v>0</v>
          </cell>
          <cell r="AC528" t="b">
            <v>0</v>
          </cell>
          <cell r="AD528" t="b">
            <v>0</v>
          </cell>
        </row>
        <row r="529">
          <cell r="Z529" t="b">
            <v>0</v>
          </cell>
          <cell r="AA529" t="b">
            <v>0</v>
          </cell>
          <cell r="AB529" t="b">
            <v>0</v>
          </cell>
          <cell r="AC529" t="b">
            <v>0</v>
          </cell>
          <cell r="AD529" t="b">
            <v>0</v>
          </cell>
        </row>
        <row r="530">
          <cell r="Z530" t="b">
            <v>0</v>
          </cell>
          <cell r="AA530" t="b">
            <v>0</v>
          </cell>
          <cell r="AB530" t="b">
            <v>0</v>
          </cell>
          <cell r="AC530" t="b">
            <v>0</v>
          </cell>
          <cell r="AD530" t="b">
            <v>0</v>
          </cell>
        </row>
        <row r="531">
          <cell r="Z531" t="b">
            <v>0</v>
          </cell>
          <cell r="AA531" t="b">
            <v>0</v>
          </cell>
          <cell r="AB531" t="b">
            <v>0</v>
          </cell>
          <cell r="AC531" t="b">
            <v>0</v>
          </cell>
          <cell r="AD531" t="b">
            <v>0</v>
          </cell>
        </row>
        <row r="532">
          <cell r="Z532" t="b">
            <v>0</v>
          </cell>
          <cell r="AA532" t="b">
            <v>0</v>
          </cell>
          <cell r="AB532" t="b">
            <v>0</v>
          </cell>
          <cell r="AC532" t="b">
            <v>0</v>
          </cell>
          <cell r="AD532" t="b">
            <v>0</v>
          </cell>
        </row>
        <row r="533">
          <cell r="Z533" t="b">
            <v>0</v>
          </cell>
          <cell r="AA533" t="b">
            <v>0</v>
          </cell>
          <cell r="AB533" t="b">
            <v>0</v>
          </cell>
          <cell r="AC533" t="b">
            <v>0</v>
          </cell>
          <cell r="AD533" t="b">
            <v>0</v>
          </cell>
        </row>
        <row r="534">
          <cell r="Z534" t="b">
            <v>0</v>
          </cell>
          <cell r="AA534" t="b">
            <v>0</v>
          </cell>
          <cell r="AB534" t="b">
            <v>0</v>
          </cell>
          <cell r="AC534" t="b">
            <v>0</v>
          </cell>
          <cell r="AD534" t="b">
            <v>0</v>
          </cell>
        </row>
        <row r="535">
          <cell r="Z535" t="b">
            <v>0</v>
          </cell>
          <cell r="AA535" t="b">
            <v>0</v>
          </cell>
          <cell r="AB535" t="b">
            <v>0</v>
          </cell>
          <cell r="AC535" t="b">
            <v>0</v>
          </cell>
          <cell r="AD535" t="b">
            <v>0</v>
          </cell>
        </row>
        <row r="536">
          <cell r="Z536" t="b">
            <v>0</v>
          </cell>
          <cell r="AA536" t="b">
            <v>0</v>
          </cell>
          <cell r="AB536" t="b">
            <v>0</v>
          </cell>
          <cell r="AC536" t="b">
            <v>0</v>
          </cell>
          <cell r="AD536" t="b">
            <v>0</v>
          </cell>
        </row>
        <row r="537">
          <cell r="Z537" t="b">
            <v>0</v>
          </cell>
          <cell r="AA537" t="b">
            <v>0</v>
          </cell>
          <cell r="AB537" t="b">
            <v>0</v>
          </cell>
          <cell r="AC537" t="b">
            <v>0</v>
          </cell>
          <cell r="AD537" t="b">
            <v>0</v>
          </cell>
        </row>
        <row r="538">
          <cell r="Z538" t="b">
            <v>0</v>
          </cell>
          <cell r="AA538" t="b">
            <v>0</v>
          </cell>
          <cell r="AB538" t="b">
            <v>0</v>
          </cell>
          <cell r="AC538" t="b">
            <v>0</v>
          </cell>
          <cell r="AD538" t="b">
            <v>0</v>
          </cell>
        </row>
        <row r="539">
          <cell r="Z539" t="b">
            <v>0</v>
          </cell>
          <cell r="AA539" t="b">
            <v>0</v>
          </cell>
          <cell r="AB539" t="b">
            <v>0</v>
          </cell>
          <cell r="AC539" t="b">
            <v>0</v>
          </cell>
          <cell r="AD539" t="b">
            <v>0</v>
          </cell>
        </row>
        <row r="540">
          <cell r="Z540" t="b">
            <v>0</v>
          </cell>
          <cell r="AA540" t="b">
            <v>0</v>
          </cell>
          <cell r="AB540" t="b">
            <v>0</v>
          </cell>
          <cell r="AC540" t="b">
            <v>0</v>
          </cell>
          <cell r="AD540" t="b">
            <v>0</v>
          </cell>
        </row>
        <row r="541">
          <cell r="Z541" t="b">
            <v>0</v>
          </cell>
          <cell r="AA541" t="b">
            <v>0</v>
          </cell>
          <cell r="AB541" t="b">
            <v>0</v>
          </cell>
          <cell r="AC541" t="b">
            <v>0</v>
          </cell>
          <cell r="AD541" t="b">
            <v>0</v>
          </cell>
        </row>
        <row r="542">
          <cell r="Z542" t="b">
            <v>0</v>
          </cell>
          <cell r="AA542" t="b">
            <v>0</v>
          </cell>
          <cell r="AB542" t="b">
            <v>0</v>
          </cell>
          <cell r="AC542" t="b">
            <v>0</v>
          </cell>
          <cell r="AD542" t="b">
            <v>0</v>
          </cell>
        </row>
        <row r="543">
          <cell r="Z543" t="b">
            <v>0</v>
          </cell>
          <cell r="AA543" t="b">
            <v>0</v>
          </cell>
          <cell r="AB543" t="b">
            <v>0</v>
          </cell>
          <cell r="AC543" t="b">
            <v>0</v>
          </cell>
          <cell r="AD543" t="b">
            <v>0</v>
          </cell>
        </row>
        <row r="544">
          <cell r="Z544" t="b">
            <v>0</v>
          </cell>
          <cell r="AA544" t="b">
            <v>0</v>
          </cell>
          <cell r="AB544" t="b">
            <v>0</v>
          </cell>
          <cell r="AC544" t="b">
            <v>0</v>
          </cell>
          <cell r="AD544" t="b">
            <v>0</v>
          </cell>
        </row>
        <row r="545">
          <cell r="Z545" t="b">
            <v>0</v>
          </cell>
          <cell r="AA545" t="b">
            <v>0</v>
          </cell>
          <cell r="AB545" t="b">
            <v>0</v>
          </cell>
          <cell r="AC545" t="b">
            <v>0</v>
          </cell>
          <cell r="AD545" t="b">
            <v>0</v>
          </cell>
        </row>
        <row r="546">
          <cell r="Z546" t="b">
            <v>0</v>
          </cell>
          <cell r="AA546" t="b">
            <v>0</v>
          </cell>
          <cell r="AB546" t="b">
            <v>0</v>
          </cell>
          <cell r="AC546" t="b">
            <v>0</v>
          </cell>
          <cell r="AD546" t="b">
            <v>0</v>
          </cell>
        </row>
        <row r="547">
          <cell r="Z547" t="b">
            <v>0</v>
          </cell>
          <cell r="AA547" t="b">
            <v>0</v>
          </cell>
          <cell r="AB547" t="b">
            <v>0</v>
          </cell>
          <cell r="AC547" t="b">
            <v>0</v>
          </cell>
          <cell r="AD547" t="b">
            <v>0</v>
          </cell>
        </row>
        <row r="548">
          <cell r="Z548" t="b">
            <v>0</v>
          </cell>
          <cell r="AA548" t="b">
            <v>0</v>
          </cell>
          <cell r="AB548" t="b">
            <v>0</v>
          </cell>
          <cell r="AC548" t="b">
            <v>0</v>
          </cell>
          <cell r="AD548" t="b">
            <v>0</v>
          </cell>
        </row>
        <row r="549">
          <cell r="Z549" t="b">
            <v>0</v>
          </cell>
          <cell r="AA549" t="b">
            <v>0</v>
          </cell>
          <cell r="AB549" t="b">
            <v>0</v>
          </cell>
          <cell r="AC549" t="b">
            <v>0</v>
          </cell>
          <cell r="AD549" t="b">
            <v>0</v>
          </cell>
        </row>
        <row r="550">
          <cell r="Z550" t="b">
            <v>0</v>
          </cell>
          <cell r="AA550" t="b">
            <v>0</v>
          </cell>
          <cell r="AB550" t="b">
            <v>0</v>
          </cell>
          <cell r="AC550" t="b">
            <v>0</v>
          </cell>
          <cell r="AD550" t="b">
            <v>0</v>
          </cell>
        </row>
        <row r="551">
          <cell r="Z551" t="b">
            <v>0</v>
          </cell>
          <cell r="AA551" t="b">
            <v>0</v>
          </cell>
          <cell r="AB551" t="b">
            <v>0</v>
          </cell>
          <cell r="AC551" t="b">
            <v>0</v>
          </cell>
          <cell r="AD551" t="b">
            <v>0</v>
          </cell>
        </row>
        <row r="552">
          <cell r="Z552" t="b">
            <v>0</v>
          </cell>
          <cell r="AA552" t="b">
            <v>0</v>
          </cell>
          <cell r="AB552" t="b">
            <v>0</v>
          </cell>
          <cell r="AC552" t="b">
            <v>0</v>
          </cell>
          <cell r="AD552" t="b">
            <v>0</v>
          </cell>
        </row>
        <row r="553">
          <cell r="Z553" t="b">
            <v>0</v>
          </cell>
          <cell r="AA553" t="b">
            <v>0</v>
          </cell>
          <cell r="AB553" t="b">
            <v>0</v>
          </cell>
          <cell r="AC553" t="b">
            <v>0</v>
          </cell>
          <cell r="AD553" t="b">
            <v>0</v>
          </cell>
        </row>
        <row r="554">
          <cell r="Z554" t="b">
            <v>0</v>
          </cell>
          <cell r="AA554" t="b">
            <v>0</v>
          </cell>
          <cell r="AB554" t="b">
            <v>0</v>
          </cell>
          <cell r="AC554" t="b">
            <v>0</v>
          </cell>
          <cell r="AD554" t="b">
            <v>0</v>
          </cell>
        </row>
        <row r="555">
          <cell r="Z555" t="b">
            <v>0</v>
          </cell>
          <cell r="AA555" t="b">
            <v>0</v>
          </cell>
          <cell r="AB555" t="b">
            <v>0</v>
          </cell>
          <cell r="AC555" t="b">
            <v>0</v>
          </cell>
          <cell r="AD555" t="b">
            <v>0</v>
          </cell>
        </row>
        <row r="556">
          <cell r="Z556" t="b">
            <v>0</v>
          </cell>
          <cell r="AA556" t="b">
            <v>0</v>
          </cell>
          <cell r="AB556" t="b">
            <v>0</v>
          </cell>
          <cell r="AC556" t="b">
            <v>0</v>
          </cell>
          <cell r="AD556" t="b">
            <v>0</v>
          </cell>
        </row>
        <row r="557">
          <cell r="Z557" t="b">
            <v>0</v>
          </cell>
          <cell r="AA557" t="b">
            <v>0</v>
          </cell>
          <cell r="AB557" t="b">
            <v>0</v>
          </cell>
          <cell r="AC557" t="b">
            <v>0</v>
          </cell>
          <cell r="AD557" t="b">
            <v>0</v>
          </cell>
        </row>
        <row r="558">
          <cell r="Z558" t="b">
            <v>0</v>
          </cell>
          <cell r="AA558" t="b">
            <v>0</v>
          </cell>
          <cell r="AB558" t="b">
            <v>0</v>
          </cell>
          <cell r="AC558" t="b">
            <v>0</v>
          </cell>
          <cell r="AD558" t="b">
            <v>0</v>
          </cell>
        </row>
        <row r="559">
          <cell r="Z559" t="b">
            <v>0</v>
          </cell>
          <cell r="AA559" t="b">
            <v>0</v>
          </cell>
          <cell r="AB559" t="b">
            <v>0</v>
          </cell>
          <cell r="AC559" t="b">
            <v>0</v>
          </cell>
          <cell r="AD559" t="b">
            <v>0</v>
          </cell>
        </row>
        <row r="560">
          <cell r="Z560" t="b">
            <v>0</v>
          </cell>
          <cell r="AA560" t="b">
            <v>0</v>
          </cell>
          <cell r="AB560" t="b">
            <v>0</v>
          </cell>
          <cell r="AC560" t="b">
            <v>0</v>
          </cell>
          <cell r="AD560" t="b">
            <v>0</v>
          </cell>
        </row>
        <row r="561">
          <cell r="Z561" t="b">
            <v>0</v>
          </cell>
          <cell r="AA561" t="b">
            <v>0</v>
          </cell>
          <cell r="AB561" t="b">
            <v>0</v>
          </cell>
          <cell r="AC561" t="b">
            <v>0</v>
          </cell>
          <cell r="AD561" t="b">
            <v>0</v>
          </cell>
        </row>
        <row r="562">
          <cell r="Z562" t="b">
            <v>0</v>
          </cell>
          <cell r="AA562" t="b">
            <v>0</v>
          </cell>
          <cell r="AB562" t="b">
            <v>0</v>
          </cell>
          <cell r="AC562" t="b">
            <v>0</v>
          </cell>
          <cell r="AD562" t="b">
            <v>0</v>
          </cell>
        </row>
        <row r="563">
          <cell r="Z563" t="b">
            <v>0</v>
          </cell>
          <cell r="AA563" t="b">
            <v>0</v>
          </cell>
          <cell r="AB563" t="b">
            <v>0</v>
          </cell>
          <cell r="AC563" t="b">
            <v>0</v>
          </cell>
          <cell r="AD563" t="b">
            <v>0</v>
          </cell>
        </row>
        <row r="564">
          <cell r="Z564" t="b">
            <v>0</v>
          </cell>
          <cell r="AA564" t="b">
            <v>0</v>
          </cell>
          <cell r="AB564" t="b">
            <v>0</v>
          </cell>
          <cell r="AC564" t="b">
            <v>0</v>
          </cell>
          <cell r="AD564" t="b">
            <v>0</v>
          </cell>
        </row>
        <row r="565">
          <cell r="Z565" t="b">
            <v>0</v>
          </cell>
          <cell r="AA565" t="b">
            <v>0</v>
          </cell>
          <cell r="AB565" t="b">
            <v>0</v>
          </cell>
          <cell r="AC565" t="b">
            <v>0</v>
          </cell>
          <cell r="AD565" t="b">
            <v>0</v>
          </cell>
        </row>
        <row r="566">
          <cell r="Z566" t="b">
            <v>0</v>
          </cell>
          <cell r="AA566" t="b">
            <v>0</v>
          </cell>
          <cell r="AB566" t="b">
            <v>0</v>
          </cell>
          <cell r="AC566" t="b">
            <v>0</v>
          </cell>
          <cell r="AD566" t="b">
            <v>0</v>
          </cell>
        </row>
        <row r="567">
          <cell r="Z567" t="b">
            <v>0</v>
          </cell>
          <cell r="AA567" t="b">
            <v>0</v>
          </cell>
          <cell r="AB567" t="b">
            <v>0</v>
          </cell>
          <cell r="AC567" t="b">
            <v>0</v>
          </cell>
          <cell r="AD567" t="b">
            <v>0</v>
          </cell>
        </row>
        <row r="568">
          <cell r="Z568" t="b">
            <v>0</v>
          </cell>
          <cell r="AA568" t="b">
            <v>0</v>
          </cell>
          <cell r="AB568" t="b">
            <v>0</v>
          </cell>
          <cell r="AC568" t="b">
            <v>0</v>
          </cell>
          <cell r="AD568" t="b">
            <v>0</v>
          </cell>
        </row>
        <row r="569">
          <cell r="Z569" t="b">
            <v>0</v>
          </cell>
          <cell r="AA569" t="b">
            <v>0</v>
          </cell>
          <cell r="AB569" t="b">
            <v>0</v>
          </cell>
          <cell r="AC569" t="b">
            <v>0</v>
          </cell>
          <cell r="AD569" t="b">
            <v>0</v>
          </cell>
        </row>
        <row r="570">
          <cell r="Z570" t="b">
            <v>0</v>
          </cell>
          <cell r="AA570" t="b">
            <v>0</v>
          </cell>
          <cell r="AB570" t="b">
            <v>0</v>
          </cell>
          <cell r="AC570" t="b">
            <v>0</v>
          </cell>
          <cell r="AD570" t="b">
            <v>0</v>
          </cell>
        </row>
        <row r="571">
          <cell r="Z571" t="b">
            <v>0</v>
          </cell>
          <cell r="AA571" t="b">
            <v>0</v>
          </cell>
          <cell r="AB571" t="b">
            <v>0</v>
          </cell>
          <cell r="AC571" t="b">
            <v>0</v>
          </cell>
          <cell r="AD571" t="b">
            <v>0</v>
          </cell>
        </row>
        <row r="572">
          <cell r="Z572" t="b">
            <v>0</v>
          </cell>
          <cell r="AA572" t="b">
            <v>0</v>
          </cell>
          <cell r="AB572" t="b">
            <v>0</v>
          </cell>
          <cell r="AC572" t="b">
            <v>0</v>
          </cell>
          <cell r="AD572" t="b">
            <v>0</v>
          </cell>
        </row>
        <row r="573">
          <cell r="Z573" t="b">
            <v>0</v>
          </cell>
          <cell r="AA573" t="b">
            <v>0</v>
          </cell>
          <cell r="AB573" t="b">
            <v>0</v>
          </cell>
          <cell r="AC573" t="b">
            <v>0</v>
          </cell>
          <cell r="AD573" t="b">
            <v>0</v>
          </cell>
        </row>
        <row r="574">
          <cell r="Z574" t="b">
            <v>0</v>
          </cell>
          <cell r="AA574" t="b">
            <v>0</v>
          </cell>
          <cell r="AB574" t="b">
            <v>0</v>
          </cell>
          <cell r="AC574" t="b">
            <v>0</v>
          </cell>
          <cell r="AD574" t="b">
            <v>0</v>
          </cell>
        </row>
        <row r="575">
          <cell r="Z575" t="b">
            <v>0</v>
          </cell>
          <cell r="AA575" t="b">
            <v>0</v>
          </cell>
          <cell r="AB575" t="b">
            <v>0</v>
          </cell>
          <cell r="AC575" t="b">
            <v>0</v>
          </cell>
          <cell r="AD575" t="b">
            <v>0</v>
          </cell>
        </row>
        <row r="576">
          <cell r="Z576" t="b">
            <v>0</v>
          </cell>
          <cell r="AA576" t="b">
            <v>0</v>
          </cell>
          <cell r="AB576" t="b">
            <v>0</v>
          </cell>
          <cell r="AC576" t="b">
            <v>0</v>
          </cell>
          <cell r="AD576" t="b">
            <v>0</v>
          </cell>
        </row>
        <row r="577">
          <cell r="Z577" t="b">
            <v>0</v>
          </cell>
          <cell r="AA577" t="b">
            <v>0</v>
          </cell>
          <cell r="AB577" t="b">
            <v>0</v>
          </cell>
          <cell r="AC577" t="b">
            <v>0</v>
          </cell>
          <cell r="AD577" t="b">
            <v>0</v>
          </cell>
        </row>
        <row r="578">
          <cell r="Z578" t="b">
            <v>0</v>
          </cell>
          <cell r="AA578" t="b">
            <v>0</v>
          </cell>
          <cell r="AB578" t="b">
            <v>0</v>
          </cell>
          <cell r="AC578" t="b">
            <v>0</v>
          </cell>
          <cell r="AD578" t="b">
            <v>0</v>
          </cell>
        </row>
        <row r="579">
          <cell r="Z579" t="b">
            <v>0</v>
          </cell>
          <cell r="AA579" t="b">
            <v>0</v>
          </cell>
          <cell r="AB579" t="b">
            <v>0</v>
          </cell>
          <cell r="AC579" t="b">
            <v>0</v>
          </cell>
          <cell r="AD579" t="b">
            <v>0</v>
          </cell>
        </row>
        <row r="580">
          <cell r="Z580" t="b">
            <v>0</v>
          </cell>
          <cell r="AA580" t="b">
            <v>0</v>
          </cell>
          <cell r="AB580" t="b">
            <v>0</v>
          </cell>
          <cell r="AC580" t="b">
            <v>0</v>
          </cell>
          <cell r="AD580" t="b">
            <v>0</v>
          </cell>
        </row>
        <row r="581">
          <cell r="Z581" t="b">
            <v>0</v>
          </cell>
          <cell r="AA581" t="b">
            <v>0</v>
          </cell>
          <cell r="AB581" t="b">
            <v>0</v>
          </cell>
          <cell r="AC581" t="b">
            <v>0</v>
          </cell>
          <cell r="AD581" t="b">
            <v>0</v>
          </cell>
        </row>
        <row r="582">
          <cell r="Z582" t="b">
            <v>0</v>
          </cell>
          <cell r="AA582" t="b">
            <v>0</v>
          </cell>
          <cell r="AB582" t="b">
            <v>0</v>
          </cell>
          <cell r="AC582" t="b">
            <v>0</v>
          </cell>
          <cell r="AD582" t="b">
            <v>0</v>
          </cell>
        </row>
        <row r="583">
          <cell r="Z583" t="b">
            <v>0</v>
          </cell>
          <cell r="AA583" t="b">
            <v>0</v>
          </cell>
          <cell r="AB583" t="b">
            <v>0</v>
          </cell>
          <cell r="AC583" t="b">
            <v>0</v>
          </cell>
          <cell r="AD583" t="b">
            <v>0</v>
          </cell>
        </row>
        <row r="584">
          <cell r="Z584" t="b">
            <v>0</v>
          </cell>
          <cell r="AA584" t="b">
            <v>0</v>
          </cell>
          <cell r="AB584" t="b">
            <v>0</v>
          </cell>
          <cell r="AC584" t="b">
            <v>0</v>
          </cell>
          <cell r="AD584" t="b">
            <v>0</v>
          </cell>
        </row>
      </sheetData>
      <sheetData sheetId="19" refreshError="1"/>
      <sheetData sheetId="20"/>
      <sheetData sheetId="21" refreshError="1"/>
      <sheetData sheetId="22" refreshError="1"/>
      <sheetData sheetId="23"/>
      <sheetData sheetId="24"/>
      <sheetData sheetId="25"/>
      <sheetData sheetId="26" refreshError="1"/>
      <sheetData sheetId="27" refreshError="1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Valuation Summary"/>
      <sheetName val="EWC"/>
      <sheetName val="MW-Cache"/>
      <sheetName val="mwareSettings"/>
      <sheetName val="Rate Case"/>
      <sheetName val="EMG 5"/>
    </sheetNames>
    <sheetDataSet>
      <sheetData sheetId="0" refreshError="1"/>
      <sheetData sheetId="1" refreshError="1">
        <row r="8">
          <cell r="BO8">
            <v>0.4</v>
          </cell>
        </row>
        <row r="11">
          <cell r="BO11">
            <v>72.260000000000005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Oil Consumption – barrels"/>
      <sheetName val="New Resources"/>
      <sheetName val="Trading Vol"/>
      <sheetName val="TX Brownfield"/>
      <sheetName val="ERCOT Res Margin"/>
      <sheetName val="SE Assets &amp; RFPs"/>
    </sheetNames>
    <sheetDataSet>
      <sheetData sheetId="0" refreshError="1"/>
      <sheetData sheetId="1" refreshError="1">
        <row r="1">
          <cell r="O1" t="str">
            <v>Jennifer Rowland/Seth Tennant (212) 622-6702/6616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New Resources"/>
      <sheetName val="Trading Vol"/>
      <sheetName val="TX Brownfield"/>
      <sheetName val="ERCOT Res Margin"/>
      <sheetName val="SE Assets &amp; RFPs"/>
    </sheetNames>
    <sheetDataSet>
      <sheetData sheetId="0" refreshError="1"/>
      <sheetData sheetId="1" refreshError="1">
        <row r="1">
          <cell r="O1" t="str">
            <v>Jennifer Rowland/Seth Tennant (212) 622-6702/6616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Fin Stats"/>
      <sheetName val="Model Introduction"/>
      <sheetName val="Quarterly"/>
      <sheetName val="Cash Flow"/>
      <sheetName val="Balance Sheet"/>
      <sheetName val="APS"/>
      <sheetName val="Power Plants"/>
    </sheetNames>
    <sheetDataSet>
      <sheetData sheetId="0" refreshError="1">
        <row r="1">
          <cell r="K1" t="str">
            <v>no</v>
          </cell>
        </row>
        <row r="2">
          <cell r="K2" t="str">
            <v>yes</v>
          </cell>
        </row>
      </sheetData>
      <sheetData sheetId="1" refreshError="1">
        <row r="22">
          <cell r="B22">
            <v>0.77868308483197712</v>
          </cell>
          <cell r="C22">
            <v>0.77606831840530421</v>
          </cell>
          <cell r="D22">
            <v>0.74089945591522299</v>
          </cell>
          <cell r="E22">
            <v>0.56459162653765549</v>
          </cell>
          <cell r="F22">
            <v>0.55949532085758447</v>
          </cell>
          <cell r="G22">
            <v>0.73700848488157678</v>
          </cell>
          <cell r="H22">
            <v>0.69402864309410139</v>
          </cell>
          <cell r="I22">
            <v>0.70492076089335931</v>
          </cell>
          <cell r="J22">
            <v>0.70594664159430798</v>
          </cell>
          <cell r="K22">
            <v>0.6975307483044092</v>
          </cell>
          <cell r="L22">
            <v>0.69864210564587026</v>
          </cell>
        </row>
        <row r="23">
          <cell r="B23">
            <v>0.26512586803380017</v>
          </cell>
          <cell r="C23">
            <v>0.26212612094661353</v>
          </cell>
          <cell r="D23">
            <v>0.24889253359674626</v>
          </cell>
          <cell r="E23">
            <v>0.20671051526483869</v>
          </cell>
          <cell r="F23">
            <v>0.19918190876953953</v>
          </cell>
          <cell r="G23">
            <v>0.19567402614588736</v>
          </cell>
          <cell r="H23">
            <v>0.17107108535153723</v>
          </cell>
          <cell r="I23">
            <v>0.19520208673037562</v>
          </cell>
          <cell r="J23">
            <v>0.21129361392514523</v>
          </cell>
          <cell r="K23">
            <v>0.2082445975058651</v>
          </cell>
          <cell r="L23">
            <v>0.20815358761461225</v>
          </cell>
        </row>
        <row r="24">
          <cell r="B24">
            <v>0.26088832927490679</v>
          </cell>
          <cell r="C24">
            <v>0.25757266872681783</v>
          </cell>
          <cell r="D24">
            <v>0.25312829427217692</v>
          </cell>
          <cell r="E24">
            <v>0.20558951018777882</v>
          </cell>
          <cell r="F24">
            <v>0.19707200770300976</v>
          </cell>
          <cell r="G24">
            <v>0.18863988224226549</v>
          </cell>
          <cell r="H24">
            <v>0.18144387994827263</v>
          </cell>
          <cell r="I24">
            <v>0.19520208673037562</v>
          </cell>
          <cell r="J24">
            <v>0.21129361392514523</v>
          </cell>
          <cell r="K24">
            <v>0.2082445975058651</v>
          </cell>
          <cell r="L24">
            <v>0.20815358761461225</v>
          </cell>
        </row>
        <row r="25">
          <cell r="B25">
            <v>0.18185176534040171</v>
          </cell>
          <cell r="C25">
            <v>0.18649941016318411</v>
          </cell>
          <cell r="D25">
            <v>0.18699715115774271</v>
          </cell>
          <cell r="E25">
            <v>0.15916925734134915</v>
          </cell>
          <cell r="F25">
            <v>0.15937015873315177</v>
          </cell>
          <cell r="G25">
            <v>0.13394601026285033</v>
          </cell>
          <cell r="H25">
            <v>0.11928802506306217</v>
          </cell>
          <cell r="I25">
            <v>0.12875036830087194</v>
          </cell>
          <cell r="J25">
            <v>0.1486966617201877</v>
          </cell>
          <cell r="K25">
            <v>0.14377537219807365</v>
          </cell>
          <cell r="L25">
            <v>0.14648565228403998</v>
          </cell>
        </row>
        <row r="26">
          <cell r="B26">
            <v>0.11822201815916197</v>
          </cell>
          <cell r="C26">
            <v>0.11874566422274271</v>
          </cell>
          <cell r="D26">
            <v>0.1226324993488165</v>
          </cell>
          <cell r="E26">
            <v>9.6916130099419157E-2</v>
          </cell>
          <cell r="F26">
            <v>9.6454682648604906E-2</v>
          </cell>
          <cell r="G26">
            <v>8.1581432984526719E-2</v>
          </cell>
          <cell r="H26">
            <v>8.1826866705561496E-2</v>
          </cell>
          <cell r="I26">
            <v>7.8537724663531885E-2</v>
          </cell>
          <cell r="J26">
            <v>9.0704963649314505E-2</v>
          </cell>
          <cell r="K26">
            <v>8.7702977040824942E-2</v>
          </cell>
          <cell r="L26">
            <v>8.9356247893264379E-2</v>
          </cell>
        </row>
        <row r="29">
          <cell r="B29">
            <v>3.4429436923328942E-2</v>
          </cell>
          <cell r="C29">
            <v>3.5613639256115222E-2</v>
          </cell>
          <cell r="D29">
            <v>4.0382013379539436E-2</v>
          </cell>
          <cell r="E29">
            <v>4.4156396121133194E-2</v>
          </cell>
          <cell r="F29">
            <v>4.3469069913782049E-2</v>
          </cell>
          <cell r="G29">
            <v>2.6293957209824085E-2</v>
          </cell>
          <cell r="H29">
            <v>2.6927331351401528E-2</v>
          </cell>
          <cell r="I29">
            <v>2.6258240985668199E-2</v>
          </cell>
          <cell r="J29">
            <v>3.2988277881780916E-2</v>
          </cell>
          <cell r="K29">
            <v>3.1580055492802954E-2</v>
          </cell>
          <cell r="L29">
            <v>3.288898464941778E-2</v>
          </cell>
        </row>
        <row r="30">
          <cell r="B30">
            <v>0.10727568535752587</v>
          </cell>
          <cell r="C30">
            <v>0.1089888716857194</v>
          </cell>
          <cell r="D30">
            <v>0.12085679246022625</v>
          </cell>
          <cell r="E30">
            <v>0.13177966314092776</v>
          </cell>
          <cell r="F30">
            <v>0.13411082300277516</v>
          </cell>
          <cell r="G30">
            <v>8.298293155729565E-2</v>
          </cell>
          <cell r="H30">
            <v>8.4685748760105831E-2</v>
          </cell>
          <cell r="I30">
            <v>8.1853777456058971E-2</v>
          </cell>
          <cell r="J30">
            <v>0.10026353723059922</v>
          </cell>
          <cell r="K30">
            <v>9.307361227777565E-2</v>
          </cell>
          <cell r="L30">
            <v>9.4387736900846675E-2</v>
          </cell>
        </row>
        <row r="31">
          <cell r="B31">
            <v>7.2264624543368086E-2</v>
          </cell>
          <cell r="C31">
            <v>7.1857363711487862E-2</v>
          </cell>
          <cell r="D31">
            <v>7.9219866129955185E-2</v>
          </cell>
          <cell r="E31">
            <v>8.2655835228165483E-2</v>
          </cell>
          <cell r="F31">
            <v>7.6463608154272986E-2</v>
          </cell>
          <cell r="G31">
            <v>5.1994278471109386E-2</v>
          </cell>
          <cell r="H31">
            <v>5.6995930564830218E-2</v>
          </cell>
          <cell r="I31">
            <v>5.4579630121736056E-2</v>
          </cell>
          <cell r="J31">
            <v>6.4433361252323407E-2</v>
          </cell>
          <cell r="K31">
            <v>6.2986023648644238E-2</v>
          </cell>
          <cell r="L31">
            <v>6.4307005297087078E-2</v>
          </cell>
        </row>
        <row r="32">
          <cell r="B32">
            <v>0.42281997187060483</v>
          </cell>
          <cell r="C32">
            <v>0.1084138281647178</v>
          </cell>
          <cell r="D32">
            <v>-0.24764039641340263</v>
          </cell>
          <cell r="E32">
            <v>0.60520287958115204</v>
          </cell>
          <cell r="F32">
            <v>-8.9334453075792575E-2</v>
          </cell>
          <cell r="G32">
            <v>-0.14659498207885299</v>
          </cell>
          <cell r="H32">
            <v>0.22455265473745961</v>
          </cell>
        </row>
        <row r="35">
          <cell r="B35">
            <v>130.75</v>
          </cell>
          <cell r="C35">
            <v>178.83</v>
          </cell>
          <cell r="D35">
            <v>38.299999999999997</v>
          </cell>
          <cell r="E35">
            <v>82.775000000000006</v>
          </cell>
          <cell r="F35">
            <v>405.762</v>
          </cell>
          <cell r="G35">
            <v>102.18300000000001</v>
          </cell>
          <cell r="H35">
            <v>102.18300000000001</v>
          </cell>
          <cell r="I35">
            <v>102.18300000000001</v>
          </cell>
          <cell r="J35">
            <v>102.18300000000001</v>
          </cell>
          <cell r="K35">
            <v>102.18300000000001</v>
          </cell>
          <cell r="L35">
            <v>102.18300000000001</v>
          </cell>
        </row>
        <row r="36">
          <cell r="B36">
            <v>2352.9430000000002</v>
          </cell>
          <cell r="C36">
            <v>2217.0059999999999</v>
          </cell>
          <cell r="D36">
            <v>2320.8500000000004</v>
          </cell>
          <cell r="E36">
            <v>2418.5520000000001</v>
          </cell>
          <cell r="F36">
            <v>2799.2179999999998</v>
          </cell>
          <cell r="G36">
            <v>3162.7180000000003</v>
          </cell>
          <cell r="H36">
            <v>3494.2825784246579</v>
          </cell>
          <cell r="I36">
            <v>3409.4023946979632</v>
          </cell>
          <cell r="J36">
            <v>3356.307959796603</v>
          </cell>
          <cell r="K36">
            <v>3235.6895480620424</v>
          </cell>
          <cell r="L36">
            <v>3235.6895480620424</v>
          </cell>
        </row>
        <row r="37">
          <cell r="B37">
            <v>171.161</v>
          </cell>
          <cell r="C37">
            <v>95.241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B38">
            <v>2027.4359999999999</v>
          </cell>
          <cell r="C38">
            <v>2163.3510000000001</v>
          </cell>
          <cell r="D38">
            <v>2205.7330000000002</v>
          </cell>
          <cell r="E38">
            <v>2382.7139999999999</v>
          </cell>
          <cell r="F38">
            <v>2499.3229999999999</v>
          </cell>
          <cell r="G38">
            <v>2686.1529999999998</v>
          </cell>
          <cell r="H38">
            <v>2759.296875</v>
          </cell>
          <cell r="I38">
            <v>2821.0838979547543</v>
          </cell>
          <cell r="J38">
            <v>2933.86001457155</v>
          </cell>
          <cell r="K38">
            <v>3026.3719752234369</v>
          </cell>
          <cell r="L38">
            <v>3122.5776971706782</v>
          </cell>
        </row>
        <row r="39">
          <cell r="B39">
            <v>4682.29</v>
          </cell>
          <cell r="C39">
            <v>4654.4279999999999</v>
          </cell>
          <cell r="D39">
            <v>4564.8830000000007</v>
          </cell>
          <cell r="E39">
            <v>4884.0410000000002</v>
          </cell>
          <cell r="F39">
            <v>5704.3029999999999</v>
          </cell>
          <cell r="G39">
            <v>5951.0540000000001</v>
          </cell>
          <cell r="H39">
            <v>6355.7624534246579</v>
          </cell>
          <cell r="I39">
            <v>6332.6692926527176</v>
          </cell>
          <cell r="J39">
            <v>6392.3509743681534</v>
          </cell>
          <cell r="K39">
            <v>6364.2445232854789</v>
          </cell>
          <cell r="L39">
            <v>6460.4502452327206</v>
          </cell>
        </row>
        <row r="41">
          <cell r="B41">
            <v>0.50251970723727069</v>
          </cell>
          <cell r="C41">
            <v>0.47632190249800832</v>
          </cell>
          <cell r="D41">
            <v>0.50841390677482867</v>
          </cell>
          <cell r="E41">
            <v>0.49519486015780784</v>
          </cell>
          <cell r="F41">
            <v>0.49072042631676471</v>
          </cell>
          <cell r="G41">
            <v>0.53145510022258247</v>
          </cell>
          <cell r="H41">
            <v>0.54978180887516392</v>
          </cell>
          <cell r="I41">
            <v>0.53838314257995701</v>
          </cell>
          <cell r="J41">
            <v>0.52505063837305244</v>
          </cell>
          <cell r="K41">
            <v>0.50841691205033235</v>
          </cell>
          <cell r="L41">
            <v>0.50084582733993099</v>
          </cell>
        </row>
        <row r="42">
          <cell r="B42">
            <v>0.53044407757742473</v>
          </cell>
          <cell r="C42">
            <v>0.51474337985247598</v>
          </cell>
          <cell r="D42">
            <v>0.51680404514201139</v>
          </cell>
          <cell r="E42">
            <v>0.51214291608117135</v>
          </cell>
          <cell r="F42">
            <v>0.56185304322017959</v>
          </cell>
          <cell r="G42">
            <v>0.54862567202381296</v>
          </cell>
          <cell r="H42">
            <v>0.56585903025478623</v>
          </cell>
          <cell r="I42">
            <v>0.55451899229479285</v>
          </cell>
          <cell r="J42">
            <v>0.54103583699711588</v>
          </cell>
          <cell r="K42">
            <v>0.52447270620251063</v>
          </cell>
          <cell r="L42">
            <v>0.51666252681461589</v>
          </cell>
        </row>
        <row r="43">
          <cell r="B43">
            <v>0.43300094611824552</v>
          </cell>
          <cell r="C43">
            <v>0.4647941701966386</v>
          </cell>
          <cell r="D43">
            <v>0.48319595485798866</v>
          </cell>
          <cell r="E43">
            <v>0.48785708391882865</v>
          </cell>
          <cell r="F43">
            <v>0.43814695677982041</v>
          </cell>
          <cell r="G43">
            <v>0.45137432797618704</v>
          </cell>
          <cell r="H43">
            <v>0.43414096974521377</v>
          </cell>
          <cell r="I43">
            <v>0.44548100770520721</v>
          </cell>
          <cell r="J43">
            <v>0.45896416300288406</v>
          </cell>
          <cell r="K43">
            <v>0.47552729379748943</v>
          </cell>
          <cell r="L43">
            <v>0.48333747318538411</v>
          </cell>
        </row>
        <row r="44">
          <cell r="B44">
            <v>3.6554976304329717E-2</v>
          </cell>
          <cell r="C44">
            <v>2.0462449950885479E-2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B45">
            <v>2.9342101554263951</v>
          </cell>
          <cell r="C45">
            <v>3.2130507699344415</v>
          </cell>
          <cell r="D45">
            <v>3.5435593285054274</v>
          </cell>
          <cell r="E45">
            <v>3.8531244179829027</v>
          </cell>
          <cell r="F45">
            <v>3.8041997019713105</v>
          </cell>
          <cell r="G45">
            <v>2.6412958646796154</v>
          </cell>
          <cell r="H45">
            <v>2.4990566498851354</v>
          </cell>
          <cell r="I45">
            <v>2.6619930489627879</v>
          </cell>
          <cell r="J45">
            <v>3.2140353503573347</v>
          </cell>
          <cell r="K45">
            <v>3.2301395977950058</v>
          </cell>
          <cell r="L45">
            <v>3.3753941411983486</v>
          </cell>
          <cell r="M45" t="str">
            <v>why add back taxes OTI?</v>
          </cell>
        </row>
        <row r="50">
          <cell r="B50">
            <v>2483.6930000000002</v>
          </cell>
          <cell r="C50">
            <v>2395.8359999999998</v>
          </cell>
          <cell r="D50">
            <v>2359.1500000000005</v>
          </cell>
          <cell r="E50">
            <v>2501.3270000000002</v>
          </cell>
          <cell r="F50">
            <v>3204.98</v>
          </cell>
          <cell r="G50">
            <v>3264.9010000000003</v>
          </cell>
          <cell r="H50">
            <v>3596.4655784246579</v>
          </cell>
          <cell r="I50">
            <v>3511.5853946979632</v>
          </cell>
          <cell r="J50">
            <v>3458.490959796603</v>
          </cell>
          <cell r="K50">
            <v>3337.8725480620424</v>
          </cell>
          <cell r="L50">
            <v>3337.8725480620424</v>
          </cell>
        </row>
        <row r="51">
          <cell r="B51">
            <v>2456.2089999999998</v>
          </cell>
          <cell r="C51">
            <v>2375.2979999999998</v>
          </cell>
          <cell r="D51">
            <v>2338.4450000000006</v>
          </cell>
          <cell r="E51">
            <v>2490.9639999999999</v>
          </cell>
          <cell r="F51">
            <v>3176.3609999999999</v>
          </cell>
          <cell r="G51">
            <v>3187.1940000000009</v>
          </cell>
          <cell r="H51">
            <v>3518.7585784246585</v>
          </cell>
          <cell r="I51">
            <v>3433.8783946979638</v>
          </cell>
          <cell r="J51">
            <v>3380.7839597966035</v>
          </cell>
          <cell r="K51">
            <v>3260.1655480620429</v>
          </cell>
          <cell r="L51">
            <v>3119.937592121988</v>
          </cell>
        </row>
        <row r="52">
          <cell r="B52">
            <v>171.161</v>
          </cell>
          <cell r="C52">
            <v>95.241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B54">
            <v>84.824946999999995</v>
          </cell>
          <cell r="C54">
            <v>84.824946999999995</v>
          </cell>
          <cell r="D54">
            <v>84.824946999999995</v>
          </cell>
          <cell r="E54">
            <v>84.824946999999995</v>
          </cell>
          <cell r="F54">
            <v>84.824946999999995</v>
          </cell>
          <cell r="G54">
            <v>91.379947000000001</v>
          </cell>
          <cell r="H54">
            <v>91.287999999999997</v>
          </cell>
          <cell r="I54">
            <v>91.287999999999997</v>
          </cell>
          <cell r="J54">
            <v>91.287999999999997</v>
          </cell>
          <cell r="K54">
            <v>91.287999999999997</v>
          </cell>
          <cell r="L54">
            <v>91.287999999999997</v>
          </cell>
        </row>
        <row r="55">
          <cell r="B55">
            <v>39.340000000000003</v>
          </cell>
          <cell r="C55">
            <v>42.38</v>
          </cell>
          <cell r="D55">
            <v>30.56</v>
          </cell>
          <cell r="E55">
            <v>47.63</v>
          </cell>
          <cell r="F55">
            <v>41.85</v>
          </cell>
          <cell r="G55">
            <v>34.090000000000003</v>
          </cell>
          <cell r="H55">
            <v>40.020000000000003</v>
          </cell>
          <cell r="I55">
            <v>40.020000000000003</v>
          </cell>
          <cell r="J55">
            <v>40.020000000000003</v>
          </cell>
          <cell r="K55">
            <v>40.020000000000003</v>
          </cell>
          <cell r="L55">
            <v>40.020000000000003</v>
          </cell>
        </row>
        <row r="56">
          <cell r="B56">
            <v>3337.0134149800001</v>
          </cell>
          <cell r="C56">
            <v>3594.88125386</v>
          </cell>
          <cell r="D56">
            <v>2592.2503803199997</v>
          </cell>
          <cell r="E56">
            <v>4040.2122256100001</v>
          </cell>
          <cell r="F56">
            <v>3549.92403195</v>
          </cell>
          <cell r="G56">
            <v>3115.1423932300004</v>
          </cell>
          <cell r="H56">
            <v>3653.3457600000002</v>
          </cell>
          <cell r="I56">
            <v>3653.3457600000002</v>
          </cell>
          <cell r="J56">
            <v>3653.3457600000002</v>
          </cell>
          <cell r="K56">
            <v>3653.3457600000002</v>
          </cell>
          <cell r="L56">
            <v>3653.3457600000002</v>
          </cell>
        </row>
        <row r="57">
          <cell r="B57">
            <v>5964.3834149800005</v>
          </cell>
          <cell r="C57">
            <v>6065.4202538600002</v>
          </cell>
          <cell r="D57">
            <v>4930.6953803200004</v>
          </cell>
          <cell r="E57">
            <v>6531.1762256100001</v>
          </cell>
          <cell r="F57">
            <v>6726.2850319499994</v>
          </cell>
          <cell r="G57">
            <v>6302.3363932300017</v>
          </cell>
          <cell r="H57">
            <v>7172.1043384246586</v>
          </cell>
          <cell r="I57">
            <v>7087.224154697964</v>
          </cell>
          <cell r="J57">
            <v>7034.1297197966032</v>
          </cell>
          <cell r="K57">
            <v>6913.5113080620431</v>
          </cell>
          <cell r="L57">
            <v>6773.2833521219882</v>
          </cell>
        </row>
        <row r="59">
          <cell r="B59">
            <v>7.1419052193648733E-2</v>
          </cell>
          <cell r="C59">
            <v>6.7209355657072631E-2</v>
          </cell>
          <cell r="D59">
            <v>6.6095673047197198E-2</v>
          </cell>
          <cell r="E59">
            <v>6.8489985653671426E-2</v>
          </cell>
          <cell r="F59">
            <v>6.1623743692724553E-2</v>
          </cell>
          <cell r="G59">
            <v>5.8224563944839172E-2</v>
          </cell>
          <cell r="H59">
            <v>5.8000000000000003E-2</v>
          </cell>
          <cell r="I59">
            <v>0.06</v>
          </cell>
          <cell r="J59">
            <v>0.06</v>
          </cell>
          <cell r="K59">
            <v>0.06</v>
          </cell>
          <cell r="L59">
            <v>0.06</v>
          </cell>
        </row>
        <row r="60">
          <cell r="B60">
            <v>1.2250413823173705</v>
          </cell>
          <cell r="C60">
            <v>1.1074652240898493</v>
          </cell>
          <cell r="D60">
            <v>1.0695537492525162</v>
          </cell>
          <cell r="E60">
            <v>1.049780628308727</v>
          </cell>
          <cell r="F60">
            <v>1.2823392574709231</v>
          </cell>
          <cell r="G60">
            <v>1.2154560816156044</v>
          </cell>
          <cell r="H60">
            <v>1.3033992866116146</v>
          </cell>
          <cell r="I60">
            <v>1.2447646088242228</v>
          </cell>
          <cell r="J60">
            <v>1.1788193515094032</v>
          </cell>
          <cell r="K60">
            <v>1.1029287131221228</v>
          </cell>
          <cell r="L60">
            <v>1.0689477962666676</v>
          </cell>
        </row>
        <row r="61">
          <cell r="B61">
            <v>0.53044407757742473</v>
          </cell>
          <cell r="C61">
            <v>0.51474337985247598</v>
          </cell>
          <cell r="D61">
            <v>0.51680404514201139</v>
          </cell>
          <cell r="E61">
            <v>0.51214291608117135</v>
          </cell>
          <cell r="F61">
            <v>0.56185304322017959</v>
          </cell>
          <cell r="G61">
            <v>0.54862567202381296</v>
          </cell>
          <cell r="H61">
            <v>0.56585903025478623</v>
          </cell>
          <cell r="I61">
            <v>0.55451899229479285</v>
          </cell>
          <cell r="J61">
            <v>0.54103583699711588</v>
          </cell>
          <cell r="K61">
            <v>0.52447270620251063</v>
          </cell>
          <cell r="L61">
            <v>0.51666252681461589</v>
          </cell>
        </row>
        <row r="62">
          <cell r="B62">
            <v>0.41451067388284157</v>
          </cell>
          <cell r="C62">
            <v>0.39366619027996919</v>
          </cell>
          <cell r="D62">
            <v>0.47646116629484381</v>
          </cell>
          <cell r="E62">
            <v>0.38237590783027842</v>
          </cell>
          <cell r="F62">
            <v>0.47446714044208105</v>
          </cell>
          <cell r="G62">
            <v>0.51173648810358507</v>
          </cell>
          <cell r="H62">
            <v>0.49607712677474292</v>
          </cell>
          <cell r="I62">
            <v>0.4901073463065248</v>
          </cell>
          <cell r="J62">
            <v>0.48630066972284408</v>
          </cell>
          <cell r="K62">
            <v>0.47743789436712591</v>
          </cell>
          <cell r="L62">
            <v>0.47743789436712591</v>
          </cell>
        </row>
        <row r="66">
          <cell r="B66">
            <v>7.5977710553970706E-2</v>
          </cell>
          <cell r="C66">
            <v>7.7249979326107346E-2</v>
          </cell>
          <cell r="D66">
            <v>8.3353354292845475E-2</v>
          </cell>
          <cell r="E66">
            <v>9.3669566055606654E-2</v>
          </cell>
          <cell r="F66">
            <v>8.8814110892888112E-2</v>
          </cell>
          <cell r="G66">
            <v>6.0799238384120408E-2</v>
          </cell>
          <cell r="H66">
            <v>5.9708988914749503E-2</v>
          </cell>
          <cell r="I66">
            <v>6.5263711881527839E-2</v>
          </cell>
          <cell r="J66">
            <v>7.6844884451492762E-2</v>
          </cell>
          <cell r="K66">
            <v>7.4984637548282912E-2</v>
          </cell>
          <cell r="L66">
            <v>7.6614230220987886E-2</v>
          </cell>
        </row>
        <row r="67">
          <cell r="B67">
            <v>9.1004533008720551E-2</v>
          </cell>
          <cell r="C67">
            <v>8.8829998434062585E-2</v>
          </cell>
          <cell r="D67">
            <v>9.5142593390104516E-2</v>
          </cell>
          <cell r="E67">
            <v>0.10419309915734913</v>
          </cell>
          <cell r="F67">
            <v>7.5825321705534923E-2</v>
          </cell>
          <cell r="G67">
            <v>0.10641773201130075</v>
          </cell>
          <cell r="H67">
            <v>7.069003098962412E-2</v>
          </cell>
          <cell r="I67">
            <v>8.2490386641547356E-2</v>
          </cell>
          <cell r="J67">
            <v>9.0424324384454316E-2</v>
          </cell>
          <cell r="K67">
            <v>9.1707759900882035E-2</v>
          </cell>
          <cell r="L67">
            <v>9.4545730492907626E-2</v>
          </cell>
        </row>
        <row r="74">
          <cell r="B74">
            <v>2.6997279285722819</v>
          </cell>
          <cell r="C74">
            <v>2.5481084105032643</v>
          </cell>
          <cell r="D74">
            <v>2.415469076999317</v>
          </cell>
          <cell r="E74">
            <v>2.3320874162059351</v>
          </cell>
          <cell r="F74">
            <v>2.9222121420723677</v>
          </cell>
          <cell r="G74">
            <v>3.5396408429479345</v>
          </cell>
          <cell r="H74">
            <v>3.7880460051343272</v>
          </cell>
          <cell r="I74">
            <v>3.4466743542136675</v>
          </cell>
          <cell r="J74">
            <v>3.0204432253681572</v>
          </cell>
          <cell r="K74">
            <v>2.8921701379812936</v>
          </cell>
          <cell r="L74">
            <v>2.7986823133468923</v>
          </cell>
        </row>
        <row r="75">
          <cell r="B75">
            <v>5.1863989221064042</v>
          </cell>
          <cell r="C75">
            <v>5.7340509223967073</v>
          </cell>
          <cell r="D75">
            <v>6.2152957197948346</v>
          </cell>
          <cell r="E75">
            <v>6.4439130774360613</v>
          </cell>
          <cell r="F75">
            <v>6.237928131860631</v>
          </cell>
          <cell r="G75">
            <v>4.8970921620574108</v>
          </cell>
          <cell r="H75">
            <v>4.6406227088322982</v>
          </cell>
          <cell r="I75">
            <v>4.7778355009750619</v>
          </cell>
          <cell r="J75">
            <v>5.4759210454593399</v>
          </cell>
          <cell r="K75">
            <v>5.6604121959133007</v>
          </cell>
          <cell r="L75">
            <v>5.9551834758748692</v>
          </cell>
        </row>
        <row r="76">
          <cell r="B76">
            <v>7.9803771084376534</v>
          </cell>
          <cell r="C76">
            <v>8.2211465830170525</v>
          </cell>
          <cell r="D76">
            <v>7.4676964689250367</v>
          </cell>
          <cell r="E76">
            <v>8.9479902625495278</v>
          </cell>
          <cell r="F76">
            <v>8.1249998085217783</v>
          </cell>
          <cell r="G76">
            <v>10.254636343320499</v>
          </cell>
          <cell r="H76">
            <v>6.8157168862187003</v>
          </cell>
          <cell r="I76">
            <v>7.0195890596680615</v>
          </cell>
          <cell r="J76">
            <v>7.516717778282012</v>
          </cell>
          <cell r="K76">
            <v>7.4554020692514413</v>
          </cell>
          <cell r="L76">
            <v>7.8501242195521268</v>
          </cell>
        </row>
        <row r="77">
          <cell r="B77">
            <v>0.28809679779264197</v>
          </cell>
          <cell r="C77">
            <v>0.27899155033983958</v>
          </cell>
          <cell r="D77">
            <v>0.261554373397198</v>
          </cell>
          <cell r="E77">
            <v>0.28016848656733012</v>
          </cell>
          <cell r="F77">
            <v>0.17216706500508577</v>
          </cell>
          <cell r="G77">
            <v>0.24902654016155451</v>
          </cell>
          <cell r="H77">
            <v>0.19427935142536698</v>
          </cell>
          <cell r="I77">
            <v>0.20206630999949976</v>
          </cell>
          <cell r="J77">
            <v>0.22884865272666285</v>
          </cell>
          <cell r="K77">
            <v>0.24053663796061861</v>
          </cell>
          <cell r="L77">
            <v>0.25071454643560781</v>
          </cell>
        </row>
        <row r="78">
          <cell r="B78">
            <v>0.25100485446470244</v>
          </cell>
          <cell r="C78">
            <v>0.25287123158680308</v>
          </cell>
          <cell r="D78">
            <v>0.26941907042790819</v>
          </cell>
          <cell r="E78">
            <v>0.2852062125423826</v>
          </cell>
          <cell r="F78">
            <v>0.17817365474979557</v>
          </cell>
          <cell r="G78">
            <v>0.26670762758196942</v>
          </cell>
          <cell r="H78">
            <v>0.16830733768359432</v>
          </cell>
          <cell r="I78">
            <v>0.20431819337499155</v>
          </cell>
          <cell r="J78">
            <v>0.22866153015703403</v>
          </cell>
          <cell r="K78">
            <v>0.24131437019733359</v>
          </cell>
          <cell r="L78">
            <v>0.24992414896859885</v>
          </cell>
        </row>
        <row r="79">
          <cell r="B79">
            <v>0.21228831421596803</v>
          </cell>
          <cell r="C79">
            <v>0.20952561026714681</v>
          </cell>
          <cell r="D79">
            <v>0.22181251722018508</v>
          </cell>
          <cell r="E79">
            <v>0.2369386329736177</v>
          </cell>
          <cell r="F79">
            <v>0.13786170272513393</v>
          </cell>
          <cell r="G79">
            <v>0.22452533782800749</v>
          </cell>
          <cell r="H79">
            <v>0.12453321512714843</v>
          </cell>
          <cell r="I79">
            <v>0.15687506405467222</v>
          </cell>
          <cell r="J79">
            <v>0.17785052557648862</v>
          </cell>
          <cell r="K79">
            <v>0.18593232749251909</v>
          </cell>
          <cell r="L79">
            <v>0.1918071905746577</v>
          </cell>
        </row>
        <row r="82">
          <cell r="B82">
            <v>2.9896269096142105</v>
          </cell>
          <cell r="C82">
            <v>2.9652782176221635</v>
          </cell>
          <cell r="D82">
            <v>2.2413871640359466</v>
          </cell>
          <cell r="E82">
            <v>2.0936464707124998</v>
          </cell>
          <cell r="F82">
            <v>1.9818176180274707</v>
          </cell>
          <cell r="G82">
            <v>2.3897116661642559</v>
          </cell>
          <cell r="H82">
            <v>2.5452381240834008</v>
          </cell>
          <cell r="I82">
            <v>2.4371480909920908</v>
          </cell>
          <cell r="J82">
            <v>2.2115018389272976</v>
          </cell>
          <cell r="K82">
            <v>2.1860156914406863</v>
          </cell>
          <cell r="L82">
            <v>2.085631859415026</v>
          </cell>
        </row>
        <row r="83">
          <cell r="B83">
            <v>2.9158830685692023</v>
          </cell>
          <cell r="C83">
            <v>2.7572084772763126</v>
          </cell>
          <cell r="D83">
            <v>1.5805932384256305</v>
          </cell>
          <cell r="E83">
            <v>1.9243311945410693</v>
          </cell>
          <cell r="F83">
            <v>2.5504639562025861</v>
          </cell>
          <cell r="G83">
            <v>2.2365746651101626</v>
          </cell>
          <cell r="H83">
            <v>2.4663366101100372</v>
          </cell>
          <cell r="I83">
            <v>2.2281945137994579</v>
          </cell>
          <cell r="J83">
            <v>2.2241545949557389</v>
          </cell>
          <cell r="K83">
            <v>2.1288109023230124</v>
          </cell>
        </row>
        <row r="85">
          <cell r="B85">
            <v>6.4831734365458331</v>
          </cell>
          <cell r="C85">
            <v>6.4509208318505582</v>
          </cell>
          <cell r="D85">
            <v>5.0484039672196959</v>
          </cell>
          <cell r="E85">
            <v>6.0892773670809355</v>
          </cell>
          <cell r="F85">
            <v>6.1328407014720563</v>
          </cell>
          <cell r="G85">
            <v>6.8326749581301502</v>
          </cell>
          <cell r="H85">
            <v>7.5541557663055636</v>
          </cell>
          <cell r="I85">
            <v>6.9562180584995126</v>
          </cell>
          <cell r="J85">
            <v>6.1431964708012341</v>
          </cell>
          <cell r="K85">
            <v>5.9903578299842799</v>
          </cell>
          <cell r="L85">
            <v>5.6791468361716522</v>
          </cell>
        </row>
        <row r="86">
          <cell r="B86">
            <v>6.3434623835591095</v>
          </cell>
          <cell r="C86">
            <v>6.2102176895085837</v>
          </cell>
          <cell r="D86">
            <v>4.5970849271562688</v>
          </cell>
          <cell r="E86">
            <v>5.9549458868672875</v>
          </cell>
          <cell r="F86">
            <v>7.2922986701279973</v>
          </cell>
          <cell r="G86">
            <v>6.6380560794480896</v>
          </cell>
          <cell r="H86">
            <v>7.0395292469084465</v>
          </cell>
          <cell r="I86">
            <v>6.1895660372007937</v>
          </cell>
          <cell r="J86">
            <v>6.0948701993112531</v>
          </cell>
          <cell r="K86">
            <v>5.7967227754788846</v>
          </cell>
        </row>
        <row r="88">
          <cell r="B88">
            <v>5.4283632998031797</v>
          </cell>
          <cell r="C88">
            <v>5.9701825900653329</v>
          </cell>
          <cell r="D88">
            <v>4.0872797986154827</v>
          </cell>
          <cell r="E88">
            <v>5.6707149905942567</v>
          </cell>
          <cell r="F88">
            <v>6.2242606949038892</v>
          </cell>
          <cell r="G88">
            <v>3.3262623367257196</v>
          </cell>
          <cell r="H88">
            <v>6.0432154659793706</v>
          </cell>
          <cell r="I88">
            <v>5.099716456509003</v>
          </cell>
          <cell r="J88">
            <v>4.626755540892848</v>
          </cell>
          <cell r="K88">
            <v>4.5425882101289128</v>
          </cell>
          <cell r="L88">
            <v>4.3860980122045747</v>
          </cell>
        </row>
        <row r="91">
          <cell r="B91">
            <v>14.348351621328252</v>
          </cell>
          <cell r="C91">
            <v>14.891241704131879</v>
          </cell>
          <cell r="D91">
            <v>9.6298913156295001</v>
          </cell>
          <cell r="E91">
            <v>13.380833156926812</v>
          </cell>
          <cell r="F91">
            <v>10.857296245498182</v>
          </cell>
          <cell r="G91">
            <v>13.462153723164471</v>
          </cell>
          <cell r="H91">
            <v>15.864739174935824</v>
          </cell>
          <cell r="I91">
            <v>16.020783055852679</v>
          </cell>
          <cell r="J91">
            <v>12.682421476397479</v>
          </cell>
          <cell r="K91">
            <v>13.191572415001621</v>
          </cell>
          <cell r="L91">
            <v>12.60868479211968</v>
          </cell>
        </row>
        <row r="94">
          <cell r="B94">
            <v>1.6459278689832872</v>
          </cell>
          <cell r="C94">
            <v>1.6617189045420737</v>
          </cell>
          <cell r="D94">
            <v>1.1752330768592569</v>
          </cell>
          <cell r="E94">
            <v>1.6956345686515462</v>
          </cell>
          <cell r="F94">
            <v>1.4203542447094673</v>
          </cell>
          <cell r="G94">
            <v>1.1597040054047556</v>
          </cell>
          <cell r="H94">
            <v>1.3240132995837934</v>
          </cell>
          <cell r="I94">
            <v>1.2950149276484204</v>
          </cell>
          <cell r="J94">
            <v>1.2452351993125077</v>
          </cell>
          <cell r="K94">
            <v>1.2071701000106816</v>
          </cell>
          <cell r="L94">
            <v>1.1699775359665969</v>
          </cell>
        </row>
        <row r="99">
          <cell r="B99">
            <v>1995.0260000000001</v>
          </cell>
          <cell r="C99">
            <v>2045.481</v>
          </cell>
          <cell r="D99">
            <v>2199.8409999999999</v>
          </cell>
          <cell r="E99">
            <v>3119.5220000000004</v>
          </cell>
          <cell r="F99">
            <v>3393.998</v>
          </cell>
          <cell r="G99">
            <v>2637.2789999999995</v>
          </cell>
          <cell r="H99">
            <v>2817.8519999999999</v>
          </cell>
          <cell r="I99">
            <v>2907.9989767109164</v>
          </cell>
          <cell r="J99">
            <v>3180.7026320215728</v>
          </cell>
          <cell r="K99">
            <v>3162.6082718124117</v>
          </cell>
          <cell r="L99">
            <v>3247.5929639959304</v>
          </cell>
        </row>
        <row r="100">
          <cell r="B100">
            <v>919.97900000000027</v>
          </cell>
          <cell r="C100">
            <v>940.24099999999999</v>
          </cell>
          <cell r="D100">
            <v>976.68399999999986</v>
          </cell>
          <cell r="E100">
            <v>1072.5700000000002</v>
          </cell>
          <cell r="F100">
            <v>1096.7649999999999</v>
          </cell>
          <cell r="G100">
            <v>922.38199999999961</v>
          </cell>
          <cell r="H100">
            <v>949.42499999999984</v>
          </cell>
          <cell r="I100">
            <v>1018.8329484637677</v>
          </cell>
          <cell r="J100">
            <v>1145.0276339410593</v>
          </cell>
          <cell r="K100">
            <v>1154.1065666322952</v>
          </cell>
          <cell r="L100">
            <v>1192.6586065677252</v>
          </cell>
        </row>
        <row r="101">
          <cell r="B101">
            <v>520.47900000000027</v>
          </cell>
          <cell r="C101">
            <v>526.86</v>
          </cell>
          <cell r="D101">
            <v>556.84199999999987</v>
          </cell>
          <cell r="E101">
            <v>641.34100000000024</v>
          </cell>
          <cell r="F101">
            <v>668.86199999999974</v>
          </cell>
          <cell r="G101">
            <v>497.49599999999958</v>
          </cell>
          <cell r="H101">
            <v>511.28199999999987</v>
          </cell>
          <cell r="I101">
            <v>567.64746846376784</v>
          </cell>
          <cell r="J101">
            <v>672.06215394105948</v>
          </cell>
          <cell r="K101">
            <v>658.59608663229528</v>
          </cell>
          <cell r="L101">
            <v>675.99812656772519</v>
          </cell>
        </row>
        <row r="103">
          <cell r="B103">
            <v>177.38300000000001</v>
          </cell>
          <cell r="C103">
            <v>163.97499999999999</v>
          </cell>
          <cell r="D103">
            <v>157.142</v>
          </cell>
          <cell r="E103">
            <v>166.447</v>
          </cell>
          <cell r="F103">
            <v>175.822</v>
          </cell>
          <cell r="G103">
            <v>188.35300000000001</v>
          </cell>
          <cell r="H103">
            <v>204.59</v>
          </cell>
          <cell r="I103">
            <v>213.24152919367862</v>
          </cell>
          <cell r="J103">
            <v>209.10229063483698</v>
          </cell>
          <cell r="K103">
            <v>203.89090523575933</v>
          </cell>
          <cell r="L103">
            <v>200.27235288372253</v>
          </cell>
        </row>
        <row r="104">
          <cell r="B104">
            <v>362.79900000000026</v>
          </cell>
          <cell r="C104">
            <v>381.48099999999999</v>
          </cell>
          <cell r="D104">
            <v>411.36399999999986</v>
          </cell>
          <cell r="E104">
            <v>496.53200000000027</v>
          </cell>
          <cell r="F104">
            <v>540.9019999999997</v>
          </cell>
          <cell r="G104">
            <v>353.25299999999959</v>
          </cell>
          <cell r="H104">
            <v>336.13599999999985</v>
          </cell>
          <cell r="I104">
            <v>374.40593927008922</v>
          </cell>
          <cell r="J104">
            <v>472.95986330622247</v>
          </cell>
          <cell r="K104">
            <v>454.70518139653598</v>
          </cell>
          <cell r="L104">
            <v>475.72577368400266</v>
          </cell>
        </row>
        <row r="106">
          <cell r="B106">
            <v>235.85600000000028</v>
          </cell>
          <cell r="C106">
            <v>242.892</v>
          </cell>
          <cell r="D106">
            <v>269.77199999999982</v>
          </cell>
          <cell r="E106">
            <v>302.33200000000028</v>
          </cell>
          <cell r="F106">
            <v>327.36699999999973</v>
          </cell>
          <cell r="G106">
            <v>215.15299999999959</v>
          </cell>
          <cell r="H106">
            <v>230.57599999999985</v>
          </cell>
          <cell r="I106">
            <v>228.38762295475442</v>
          </cell>
          <cell r="J106">
            <v>288.50551661679572</v>
          </cell>
          <cell r="K106">
            <v>277.37016065188698</v>
          </cell>
          <cell r="L106">
            <v>290.19272194724158</v>
          </cell>
        </row>
        <row r="107">
          <cell r="B107">
            <v>2.7417783616009705</v>
          </cell>
          <cell r="C107">
            <v>2.8459681765987859</v>
          </cell>
          <cell r="D107">
            <v>3.1734522227058291</v>
          </cell>
          <cell r="E107">
            <v>3.5595690822393626</v>
          </cell>
          <cell r="F107">
            <v>3.8545508065465643</v>
          </cell>
          <cell r="G107">
            <v>2.5322842615696013</v>
          </cell>
          <cell r="H107">
            <v>2.522575351457796</v>
          </cell>
          <cell r="I107">
            <v>2.4980052386003679</v>
          </cell>
          <cell r="J107">
            <v>3.155548810176267</v>
          </cell>
          <cell r="K107">
            <v>3.0337550930993458</v>
          </cell>
          <cell r="L107">
            <v>3.1740027338150414</v>
          </cell>
        </row>
        <row r="110">
          <cell r="B110">
            <v>399.5</v>
          </cell>
          <cell r="C110">
            <v>413.38099999999997</v>
          </cell>
          <cell r="D110">
            <v>419.84199999999998</v>
          </cell>
          <cell r="E110">
            <v>431.22899999999998</v>
          </cell>
          <cell r="F110">
            <v>427.90300000000002</v>
          </cell>
          <cell r="G110">
            <v>424.88600000000002</v>
          </cell>
          <cell r="H110">
            <v>438.14299999999997</v>
          </cell>
          <cell r="I110">
            <v>451.18547999999993</v>
          </cell>
          <cell r="J110">
            <v>472.96547999999996</v>
          </cell>
          <cell r="K110">
            <v>495.51047999999992</v>
          </cell>
          <cell r="L110">
            <v>516.66047999999989</v>
          </cell>
        </row>
        <row r="111">
          <cell r="B111">
            <v>307.87599999999998</v>
          </cell>
          <cell r="C111">
            <v>319.142</v>
          </cell>
          <cell r="D111">
            <v>343.44799999999998</v>
          </cell>
          <cell r="E111">
            <v>658.60799999999995</v>
          </cell>
          <cell r="F111">
            <v>1055.5740000000001</v>
          </cell>
          <cell r="G111">
            <v>895.52200000000005</v>
          </cell>
          <cell r="H111">
            <v>750</v>
          </cell>
          <cell r="I111">
            <v>446</v>
          </cell>
          <cell r="J111">
            <v>552</v>
          </cell>
          <cell r="K111">
            <v>500</v>
          </cell>
          <cell r="L111">
            <v>500</v>
          </cell>
        </row>
        <row r="113">
          <cell r="B113">
            <v>623.41900000000032</v>
          </cell>
          <cell r="C113">
            <v>605.83799999999985</v>
          </cell>
          <cell r="D113">
            <v>635.5999999999998</v>
          </cell>
          <cell r="E113">
            <v>713.39400000000023</v>
          </cell>
          <cell r="F113">
            <v>571.04299999999978</v>
          </cell>
          <cell r="G113">
            <v>870.77399999999955</v>
          </cell>
          <cell r="H113">
            <v>605.31154657534228</v>
          </cell>
          <cell r="I113">
            <v>717.48078372669443</v>
          </cell>
          <cell r="J113">
            <v>790.82383490136044</v>
          </cell>
          <cell r="K113">
            <v>805.47661173456083</v>
          </cell>
          <cell r="L113">
            <v>834.21495594005455</v>
          </cell>
        </row>
        <row r="114">
          <cell r="B114">
            <v>219.38300000000038</v>
          </cell>
          <cell r="C114">
            <v>182.84699999999987</v>
          </cell>
          <cell r="D114">
            <v>179.84099999999978</v>
          </cell>
          <cell r="E114">
            <v>-65.946999999999662</v>
          </cell>
          <cell r="F114">
            <v>-613.73000000000025</v>
          </cell>
          <cell r="G114">
            <v>-162.46900000000051</v>
          </cell>
          <cell r="H114">
            <v>-302.12057842465777</v>
          </cell>
          <cell r="I114">
            <v>104.88018372669444</v>
          </cell>
          <cell r="J114">
            <v>63.094434901360387</v>
          </cell>
          <cell r="K114">
            <v>120.61841173456082</v>
          </cell>
          <cell r="L114">
            <v>140.22795594005447</v>
          </cell>
        </row>
        <row r="116">
          <cell r="B116">
            <v>7.2471199562907636</v>
          </cell>
          <cell r="C116">
            <v>7.0986103625243109</v>
          </cell>
          <cell r="D116">
            <v>7.4768553917820446</v>
          </cell>
          <cell r="E116">
            <v>8.3992935774415756</v>
          </cell>
          <cell r="F116">
            <v>6.7236900977275376</v>
          </cell>
          <cell r="G116">
            <v>10.248740643095894</v>
          </cell>
          <cell r="H116">
            <v>6.622302352993187</v>
          </cell>
          <cell r="I116">
            <v>7.8474951188552131</v>
          </cell>
          <cell r="J116">
            <v>8.649689754794597</v>
          </cell>
          <cell r="K116">
            <v>8.8099555030686538</v>
          </cell>
          <cell r="L116">
            <v>9.1242831073637678</v>
          </cell>
        </row>
        <row r="118">
          <cell r="B118">
            <v>1.125</v>
          </cell>
          <cell r="C118">
            <v>1.2250000000000001</v>
          </cell>
          <cell r="D118">
            <v>1.325</v>
          </cell>
          <cell r="E118">
            <v>1.425</v>
          </cell>
          <cell r="F118">
            <v>1.5249999999999999</v>
          </cell>
          <cell r="G118">
            <v>1.625</v>
          </cell>
          <cell r="H118">
            <v>1.7250000000000001</v>
          </cell>
          <cell r="I118">
            <v>1.8250000000000002</v>
          </cell>
          <cell r="J118">
            <v>1.9250000000000003</v>
          </cell>
          <cell r="K118">
            <v>2.0250000000000004</v>
          </cell>
          <cell r="L118">
            <v>2.1250000000000004</v>
          </cell>
        </row>
        <row r="119">
          <cell r="B119">
            <v>0.41031763024896495</v>
          </cell>
          <cell r="C119">
            <v>0.43043348484099936</v>
          </cell>
          <cell r="D119">
            <v>0.41752637412333404</v>
          </cell>
          <cell r="E119">
            <v>0.40032935646904694</v>
          </cell>
          <cell r="F119">
            <v>0.39563624311552509</v>
          </cell>
          <cell r="G119">
            <v>0.64171310648701274</v>
          </cell>
          <cell r="H119">
            <v>0.683824964436889</v>
          </cell>
          <cell r="I119">
            <v>0.73058293545555075</v>
          </cell>
          <cell r="J119">
            <v>0.61003651529398173</v>
          </cell>
          <cell r="K119">
            <v>0.66748960870510454</v>
          </cell>
          <cell r="L119">
            <v>0.66950162876697461</v>
          </cell>
        </row>
        <row r="133">
          <cell r="B133">
            <v>8.9177971870604833E-2</v>
          </cell>
          <cell r="C133">
            <v>-0.1773721718352822</v>
          </cell>
          <cell r="D133">
            <v>-0.45807239641340264</v>
          </cell>
          <cell r="E133">
            <v>0.69648887958115202</v>
          </cell>
          <cell r="F133">
            <v>2.8915546924207419E-2</v>
          </cell>
          <cell r="G133">
            <v>7.4410017921147015E-2</v>
          </cell>
          <cell r="H133">
            <v>-6.2296345262540409E-2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Fin Stats"/>
      <sheetName val="Model Introduction"/>
      <sheetName val="Quarterly"/>
      <sheetName val="Cash Flow"/>
      <sheetName val="Balance Sheet"/>
      <sheetName val="APS"/>
      <sheetName val="Power Plants"/>
    </sheetNames>
    <sheetDataSet>
      <sheetData sheetId="0" refreshError="1">
        <row r="1">
          <cell r="K1" t="str">
            <v>no</v>
          </cell>
        </row>
        <row r="2">
          <cell r="K2" t="str">
            <v>yes</v>
          </cell>
        </row>
      </sheetData>
      <sheetData sheetId="1" refreshError="1">
        <row r="22">
          <cell r="B22">
            <v>0.77868308483197712</v>
          </cell>
          <cell r="C22">
            <v>0.77606831840530421</v>
          </cell>
          <cell r="D22">
            <v>0.74089945591522299</v>
          </cell>
          <cell r="E22">
            <v>0.56459162653765549</v>
          </cell>
          <cell r="F22">
            <v>0.55949532085758447</v>
          </cell>
          <cell r="G22">
            <v>0.73700848488157678</v>
          </cell>
          <cell r="H22">
            <v>0.69402864309410139</v>
          </cell>
          <cell r="I22">
            <v>0.70492076089335931</v>
          </cell>
          <cell r="J22">
            <v>0.70594664159430798</v>
          </cell>
          <cell r="K22">
            <v>0.6975307483044092</v>
          </cell>
          <cell r="L22">
            <v>0.69864210564587026</v>
          </cell>
        </row>
        <row r="23">
          <cell r="B23">
            <v>0.26512586803380017</v>
          </cell>
          <cell r="C23">
            <v>0.26212612094661353</v>
          </cell>
          <cell r="D23">
            <v>0.24889253359674626</v>
          </cell>
          <cell r="E23">
            <v>0.20671051526483869</v>
          </cell>
          <cell r="F23">
            <v>0.19918190876953953</v>
          </cell>
          <cell r="G23">
            <v>0.19567402614588736</v>
          </cell>
          <cell r="H23">
            <v>0.17107108535153723</v>
          </cell>
          <cell r="I23">
            <v>0.19520208673037562</v>
          </cell>
          <cell r="J23">
            <v>0.21129361392514523</v>
          </cell>
          <cell r="K23">
            <v>0.2082445975058651</v>
          </cell>
          <cell r="L23">
            <v>0.20815358761461225</v>
          </cell>
        </row>
        <row r="24">
          <cell r="B24">
            <v>0.26088832927490679</v>
          </cell>
          <cell r="C24">
            <v>0.25757266872681783</v>
          </cell>
          <cell r="D24">
            <v>0.25312829427217692</v>
          </cell>
          <cell r="E24">
            <v>0.20558951018777882</v>
          </cell>
          <cell r="F24">
            <v>0.19707200770300976</v>
          </cell>
          <cell r="G24">
            <v>0.18863988224226549</v>
          </cell>
          <cell r="H24">
            <v>0.18144387994827263</v>
          </cell>
          <cell r="I24">
            <v>0.19520208673037562</v>
          </cell>
          <cell r="J24">
            <v>0.21129361392514523</v>
          </cell>
          <cell r="K24">
            <v>0.2082445975058651</v>
          </cell>
          <cell r="L24">
            <v>0.20815358761461225</v>
          </cell>
        </row>
        <row r="25">
          <cell r="B25">
            <v>0.18185176534040171</v>
          </cell>
          <cell r="C25">
            <v>0.18649941016318411</v>
          </cell>
          <cell r="D25">
            <v>0.18699715115774271</v>
          </cell>
          <cell r="E25">
            <v>0.15916925734134915</v>
          </cell>
          <cell r="F25">
            <v>0.15937015873315177</v>
          </cell>
          <cell r="G25">
            <v>0.13394601026285033</v>
          </cell>
          <cell r="H25">
            <v>0.11928802506306217</v>
          </cell>
          <cell r="I25">
            <v>0.12875036830087194</v>
          </cell>
          <cell r="J25">
            <v>0.1486966617201877</v>
          </cell>
          <cell r="K25">
            <v>0.14377537219807365</v>
          </cell>
          <cell r="L25">
            <v>0.14648565228403998</v>
          </cell>
        </row>
        <row r="26">
          <cell r="B26">
            <v>0.11822201815916197</v>
          </cell>
          <cell r="C26">
            <v>0.11874566422274271</v>
          </cell>
          <cell r="D26">
            <v>0.1226324993488165</v>
          </cell>
          <cell r="E26">
            <v>9.6916130099419157E-2</v>
          </cell>
          <cell r="F26">
            <v>9.6454682648604906E-2</v>
          </cell>
          <cell r="G26">
            <v>8.1581432984526719E-2</v>
          </cell>
          <cell r="H26">
            <v>8.1826866705561496E-2</v>
          </cell>
          <cell r="I26">
            <v>7.8537724663531885E-2</v>
          </cell>
          <cell r="J26">
            <v>9.0704963649314505E-2</v>
          </cell>
          <cell r="K26">
            <v>8.7702977040824942E-2</v>
          </cell>
          <cell r="L26">
            <v>8.9356247893264379E-2</v>
          </cell>
        </row>
        <row r="29">
          <cell r="B29">
            <v>3.4429436923328942E-2</v>
          </cell>
          <cell r="C29">
            <v>3.5613639256115222E-2</v>
          </cell>
          <cell r="D29">
            <v>4.0382013379539436E-2</v>
          </cell>
          <cell r="E29">
            <v>4.4156396121133194E-2</v>
          </cell>
          <cell r="F29">
            <v>4.3469069913782049E-2</v>
          </cell>
          <cell r="G29">
            <v>2.6293957209824085E-2</v>
          </cell>
          <cell r="H29">
            <v>2.6927331351401528E-2</v>
          </cell>
          <cell r="I29">
            <v>2.6258240985668199E-2</v>
          </cell>
          <cell r="J29">
            <v>3.2988277881780916E-2</v>
          </cell>
          <cell r="K29">
            <v>3.1580055492802954E-2</v>
          </cell>
          <cell r="L29">
            <v>3.288898464941778E-2</v>
          </cell>
        </row>
        <row r="30">
          <cell r="B30">
            <v>0.10727568535752587</v>
          </cell>
          <cell r="C30">
            <v>0.1089888716857194</v>
          </cell>
          <cell r="D30">
            <v>0.12085679246022625</v>
          </cell>
          <cell r="E30">
            <v>0.13177966314092776</v>
          </cell>
          <cell r="F30">
            <v>0.13411082300277516</v>
          </cell>
          <cell r="G30">
            <v>8.298293155729565E-2</v>
          </cell>
          <cell r="H30">
            <v>8.4685748760105831E-2</v>
          </cell>
          <cell r="I30">
            <v>8.1853777456058971E-2</v>
          </cell>
          <cell r="J30">
            <v>0.10026353723059922</v>
          </cell>
          <cell r="K30">
            <v>9.307361227777565E-2</v>
          </cell>
          <cell r="L30">
            <v>9.4387736900846675E-2</v>
          </cell>
        </row>
        <row r="31">
          <cell r="B31">
            <v>7.2264624543368086E-2</v>
          </cell>
          <cell r="C31">
            <v>7.1857363711487862E-2</v>
          </cell>
          <cell r="D31">
            <v>7.9219866129955185E-2</v>
          </cell>
          <cell r="E31">
            <v>8.2655835228165483E-2</v>
          </cell>
          <cell r="F31">
            <v>7.6463608154272986E-2</v>
          </cell>
          <cell r="G31">
            <v>5.1994278471109386E-2</v>
          </cell>
          <cell r="H31">
            <v>5.6995930564830218E-2</v>
          </cell>
          <cell r="I31">
            <v>5.4579630121736056E-2</v>
          </cell>
          <cell r="J31">
            <v>6.4433361252323407E-2</v>
          </cell>
          <cell r="K31">
            <v>6.2986023648644238E-2</v>
          </cell>
          <cell r="L31">
            <v>6.4307005297087078E-2</v>
          </cell>
        </row>
        <row r="32">
          <cell r="B32">
            <v>0.42281997187060483</v>
          </cell>
          <cell r="C32">
            <v>0.1084138281647178</v>
          </cell>
          <cell r="D32">
            <v>-0.24764039641340263</v>
          </cell>
          <cell r="E32">
            <v>0.60520287958115204</v>
          </cell>
          <cell r="F32">
            <v>-8.9334453075792575E-2</v>
          </cell>
          <cell r="G32">
            <v>-0.14659498207885299</v>
          </cell>
          <cell r="H32">
            <v>0.22455265473745961</v>
          </cell>
        </row>
        <row r="35">
          <cell r="B35">
            <v>130.75</v>
          </cell>
          <cell r="C35">
            <v>178.83</v>
          </cell>
          <cell r="D35">
            <v>38.299999999999997</v>
          </cell>
          <cell r="E35">
            <v>82.775000000000006</v>
          </cell>
          <cell r="F35">
            <v>405.762</v>
          </cell>
          <cell r="G35">
            <v>102.18300000000001</v>
          </cell>
          <cell r="H35">
            <v>102.18300000000001</v>
          </cell>
          <cell r="I35">
            <v>102.18300000000001</v>
          </cell>
          <cell r="J35">
            <v>102.18300000000001</v>
          </cell>
          <cell r="K35">
            <v>102.18300000000001</v>
          </cell>
          <cell r="L35">
            <v>102.18300000000001</v>
          </cell>
        </row>
        <row r="36">
          <cell r="B36">
            <v>2352.9430000000002</v>
          </cell>
          <cell r="C36">
            <v>2217.0059999999999</v>
          </cell>
          <cell r="D36">
            <v>2320.8500000000004</v>
          </cell>
          <cell r="E36">
            <v>2418.5520000000001</v>
          </cell>
          <cell r="F36">
            <v>2799.2179999999998</v>
          </cell>
          <cell r="G36">
            <v>3162.7180000000003</v>
          </cell>
          <cell r="H36">
            <v>3494.2825784246579</v>
          </cell>
          <cell r="I36">
            <v>3409.4023946979632</v>
          </cell>
          <cell r="J36">
            <v>3356.307959796603</v>
          </cell>
          <cell r="K36">
            <v>3235.6895480620424</v>
          </cell>
          <cell r="L36">
            <v>3235.6895480620424</v>
          </cell>
        </row>
        <row r="37">
          <cell r="B37">
            <v>171.161</v>
          </cell>
          <cell r="C37">
            <v>95.241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B38">
            <v>2027.4359999999999</v>
          </cell>
          <cell r="C38">
            <v>2163.3510000000001</v>
          </cell>
          <cell r="D38">
            <v>2205.7330000000002</v>
          </cell>
          <cell r="E38">
            <v>2382.7139999999999</v>
          </cell>
          <cell r="F38">
            <v>2499.3229999999999</v>
          </cell>
          <cell r="G38">
            <v>2686.1529999999998</v>
          </cell>
          <cell r="H38">
            <v>2759.296875</v>
          </cell>
          <cell r="I38">
            <v>2821.0838979547543</v>
          </cell>
          <cell r="J38">
            <v>2933.86001457155</v>
          </cell>
          <cell r="K38">
            <v>3026.3719752234369</v>
          </cell>
          <cell r="L38">
            <v>3122.5776971706782</v>
          </cell>
        </row>
        <row r="39">
          <cell r="B39">
            <v>4682.29</v>
          </cell>
          <cell r="C39">
            <v>4654.4279999999999</v>
          </cell>
          <cell r="D39">
            <v>4564.8830000000007</v>
          </cell>
          <cell r="E39">
            <v>4884.0410000000002</v>
          </cell>
          <cell r="F39">
            <v>5704.3029999999999</v>
          </cell>
          <cell r="G39">
            <v>5951.0540000000001</v>
          </cell>
          <cell r="H39">
            <v>6355.7624534246579</v>
          </cell>
          <cell r="I39">
            <v>6332.6692926527176</v>
          </cell>
          <cell r="J39">
            <v>6392.3509743681534</v>
          </cell>
          <cell r="K39">
            <v>6364.2445232854789</v>
          </cell>
          <cell r="L39">
            <v>6460.4502452327206</v>
          </cell>
        </row>
        <row r="41">
          <cell r="B41">
            <v>0.50251970723727069</v>
          </cell>
          <cell r="C41">
            <v>0.47632190249800832</v>
          </cell>
          <cell r="D41">
            <v>0.50841390677482867</v>
          </cell>
          <cell r="E41">
            <v>0.49519486015780784</v>
          </cell>
          <cell r="F41">
            <v>0.49072042631676471</v>
          </cell>
          <cell r="G41">
            <v>0.53145510022258247</v>
          </cell>
          <cell r="H41">
            <v>0.54978180887516392</v>
          </cell>
          <cell r="I41">
            <v>0.53838314257995701</v>
          </cell>
          <cell r="J41">
            <v>0.52505063837305244</v>
          </cell>
          <cell r="K41">
            <v>0.50841691205033235</v>
          </cell>
          <cell r="L41">
            <v>0.50084582733993099</v>
          </cell>
        </row>
        <row r="42">
          <cell r="B42">
            <v>0.53044407757742473</v>
          </cell>
          <cell r="C42">
            <v>0.51474337985247598</v>
          </cell>
          <cell r="D42">
            <v>0.51680404514201139</v>
          </cell>
          <cell r="E42">
            <v>0.51214291608117135</v>
          </cell>
          <cell r="F42">
            <v>0.56185304322017959</v>
          </cell>
          <cell r="G42">
            <v>0.54862567202381296</v>
          </cell>
          <cell r="H42">
            <v>0.56585903025478623</v>
          </cell>
          <cell r="I42">
            <v>0.55451899229479285</v>
          </cell>
          <cell r="J42">
            <v>0.54103583699711588</v>
          </cell>
          <cell r="K42">
            <v>0.52447270620251063</v>
          </cell>
          <cell r="L42">
            <v>0.51666252681461589</v>
          </cell>
        </row>
        <row r="43">
          <cell r="B43">
            <v>0.43300094611824552</v>
          </cell>
          <cell r="C43">
            <v>0.4647941701966386</v>
          </cell>
          <cell r="D43">
            <v>0.48319595485798866</v>
          </cell>
          <cell r="E43">
            <v>0.48785708391882865</v>
          </cell>
          <cell r="F43">
            <v>0.43814695677982041</v>
          </cell>
          <cell r="G43">
            <v>0.45137432797618704</v>
          </cell>
          <cell r="H43">
            <v>0.43414096974521377</v>
          </cell>
          <cell r="I43">
            <v>0.44548100770520721</v>
          </cell>
          <cell r="J43">
            <v>0.45896416300288406</v>
          </cell>
          <cell r="K43">
            <v>0.47552729379748943</v>
          </cell>
          <cell r="L43">
            <v>0.48333747318538411</v>
          </cell>
        </row>
        <row r="44">
          <cell r="B44">
            <v>3.6554976304329717E-2</v>
          </cell>
          <cell r="C44">
            <v>2.0462449950885479E-2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B45">
            <v>2.9342101554263951</v>
          </cell>
          <cell r="C45">
            <v>3.2130507699344415</v>
          </cell>
          <cell r="D45">
            <v>3.5435593285054274</v>
          </cell>
          <cell r="E45">
            <v>3.8531244179829027</v>
          </cell>
          <cell r="F45">
            <v>3.8041997019713105</v>
          </cell>
          <cell r="G45">
            <v>2.6412958646796154</v>
          </cell>
          <cell r="H45">
            <v>2.4990566498851354</v>
          </cell>
          <cell r="I45">
            <v>2.6619930489627879</v>
          </cell>
          <cell r="J45">
            <v>3.2140353503573347</v>
          </cell>
          <cell r="K45">
            <v>3.2301395977950058</v>
          </cell>
          <cell r="L45">
            <v>3.3753941411983486</v>
          </cell>
          <cell r="M45" t="str">
            <v>why add back taxes OTI?</v>
          </cell>
        </row>
        <row r="50">
          <cell r="B50">
            <v>2483.6930000000002</v>
          </cell>
          <cell r="C50">
            <v>2395.8359999999998</v>
          </cell>
          <cell r="D50">
            <v>2359.1500000000005</v>
          </cell>
          <cell r="E50">
            <v>2501.3270000000002</v>
          </cell>
          <cell r="F50">
            <v>3204.98</v>
          </cell>
          <cell r="G50">
            <v>3264.9010000000003</v>
          </cell>
          <cell r="H50">
            <v>3596.4655784246579</v>
          </cell>
          <cell r="I50">
            <v>3511.5853946979632</v>
          </cell>
          <cell r="J50">
            <v>3458.490959796603</v>
          </cell>
          <cell r="K50">
            <v>3337.8725480620424</v>
          </cell>
          <cell r="L50">
            <v>3337.8725480620424</v>
          </cell>
        </row>
        <row r="51">
          <cell r="B51">
            <v>2456.2089999999998</v>
          </cell>
          <cell r="C51">
            <v>2375.2979999999998</v>
          </cell>
          <cell r="D51">
            <v>2338.4450000000006</v>
          </cell>
          <cell r="E51">
            <v>2490.9639999999999</v>
          </cell>
          <cell r="F51">
            <v>3176.3609999999999</v>
          </cell>
          <cell r="G51">
            <v>3187.1940000000009</v>
          </cell>
          <cell r="H51">
            <v>3518.7585784246585</v>
          </cell>
          <cell r="I51">
            <v>3433.8783946979638</v>
          </cell>
          <cell r="J51">
            <v>3380.7839597966035</v>
          </cell>
          <cell r="K51">
            <v>3260.1655480620429</v>
          </cell>
          <cell r="L51">
            <v>3119.937592121988</v>
          </cell>
        </row>
        <row r="52">
          <cell r="B52">
            <v>171.161</v>
          </cell>
          <cell r="C52">
            <v>95.241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B54">
            <v>84.824946999999995</v>
          </cell>
          <cell r="C54">
            <v>84.824946999999995</v>
          </cell>
          <cell r="D54">
            <v>84.824946999999995</v>
          </cell>
          <cell r="E54">
            <v>84.824946999999995</v>
          </cell>
          <cell r="F54">
            <v>84.824946999999995</v>
          </cell>
          <cell r="G54">
            <v>91.379947000000001</v>
          </cell>
          <cell r="H54">
            <v>91.287999999999997</v>
          </cell>
          <cell r="I54">
            <v>91.287999999999997</v>
          </cell>
          <cell r="J54">
            <v>91.287999999999997</v>
          </cell>
          <cell r="K54">
            <v>91.287999999999997</v>
          </cell>
          <cell r="L54">
            <v>91.287999999999997</v>
          </cell>
        </row>
        <row r="55">
          <cell r="B55">
            <v>39.340000000000003</v>
          </cell>
          <cell r="C55">
            <v>42.38</v>
          </cell>
          <cell r="D55">
            <v>30.56</v>
          </cell>
          <cell r="E55">
            <v>47.63</v>
          </cell>
          <cell r="F55">
            <v>41.85</v>
          </cell>
          <cell r="G55">
            <v>34.090000000000003</v>
          </cell>
          <cell r="H55">
            <v>40.020000000000003</v>
          </cell>
          <cell r="I55">
            <v>40.020000000000003</v>
          </cell>
          <cell r="J55">
            <v>40.020000000000003</v>
          </cell>
          <cell r="K55">
            <v>40.020000000000003</v>
          </cell>
          <cell r="L55">
            <v>40.020000000000003</v>
          </cell>
        </row>
        <row r="56">
          <cell r="B56">
            <v>3337.0134149800001</v>
          </cell>
          <cell r="C56">
            <v>3594.88125386</v>
          </cell>
          <cell r="D56">
            <v>2592.2503803199997</v>
          </cell>
          <cell r="E56">
            <v>4040.2122256100001</v>
          </cell>
          <cell r="F56">
            <v>3549.92403195</v>
          </cell>
          <cell r="G56">
            <v>3115.1423932300004</v>
          </cell>
          <cell r="H56">
            <v>3653.3457600000002</v>
          </cell>
          <cell r="I56">
            <v>3653.3457600000002</v>
          </cell>
          <cell r="J56">
            <v>3653.3457600000002</v>
          </cell>
          <cell r="K56">
            <v>3653.3457600000002</v>
          </cell>
          <cell r="L56">
            <v>3653.3457600000002</v>
          </cell>
        </row>
        <row r="57">
          <cell r="B57">
            <v>5964.3834149800005</v>
          </cell>
          <cell r="C57">
            <v>6065.4202538600002</v>
          </cell>
          <cell r="D57">
            <v>4930.6953803200004</v>
          </cell>
          <cell r="E57">
            <v>6531.1762256100001</v>
          </cell>
          <cell r="F57">
            <v>6726.2850319499994</v>
          </cell>
          <cell r="G57">
            <v>6302.3363932300017</v>
          </cell>
          <cell r="H57">
            <v>7172.1043384246586</v>
          </cell>
          <cell r="I57">
            <v>7087.224154697964</v>
          </cell>
          <cell r="J57">
            <v>7034.1297197966032</v>
          </cell>
          <cell r="K57">
            <v>6913.5113080620431</v>
          </cell>
          <cell r="L57">
            <v>6773.2833521219882</v>
          </cell>
        </row>
        <row r="59">
          <cell r="B59">
            <v>7.1419052193648733E-2</v>
          </cell>
          <cell r="C59">
            <v>6.7209355657072631E-2</v>
          </cell>
          <cell r="D59">
            <v>6.6095673047197198E-2</v>
          </cell>
          <cell r="E59">
            <v>6.8489985653671426E-2</v>
          </cell>
          <cell r="F59">
            <v>6.1623743692724553E-2</v>
          </cell>
          <cell r="G59">
            <v>5.8224563944839172E-2</v>
          </cell>
          <cell r="H59">
            <v>5.8000000000000003E-2</v>
          </cell>
          <cell r="I59">
            <v>0.06</v>
          </cell>
          <cell r="J59">
            <v>0.06</v>
          </cell>
          <cell r="K59">
            <v>0.06</v>
          </cell>
          <cell r="L59">
            <v>0.06</v>
          </cell>
        </row>
        <row r="60">
          <cell r="B60">
            <v>1.2250413823173705</v>
          </cell>
          <cell r="C60">
            <v>1.1074652240898493</v>
          </cell>
          <cell r="D60">
            <v>1.0695537492525162</v>
          </cell>
          <cell r="E60">
            <v>1.049780628308727</v>
          </cell>
          <cell r="F60">
            <v>1.2823392574709231</v>
          </cell>
          <cell r="G60">
            <v>1.2154560816156044</v>
          </cell>
          <cell r="H60">
            <v>1.3033992866116146</v>
          </cell>
          <cell r="I60">
            <v>1.2447646088242228</v>
          </cell>
          <cell r="J60">
            <v>1.1788193515094032</v>
          </cell>
          <cell r="K60">
            <v>1.1029287131221228</v>
          </cell>
          <cell r="L60">
            <v>1.0689477962666676</v>
          </cell>
        </row>
        <row r="61">
          <cell r="B61">
            <v>0.53044407757742473</v>
          </cell>
          <cell r="C61">
            <v>0.51474337985247598</v>
          </cell>
          <cell r="D61">
            <v>0.51680404514201139</v>
          </cell>
          <cell r="E61">
            <v>0.51214291608117135</v>
          </cell>
          <cell r="F61">
            <v>0.56185304322017959</v>
          </cell>
          <cell r="G61">
            <v>0.54862567202381296</v>
          </cell>
          <cell r="H61">
            <v>0.56585903025478623</v>
          </cell>
          <cell r="I61">
            <v>0.55451899229479285</v>
          </cell>
          <cell r="J61">
            <v>0.54103583699711588</v>
          </cell>
          <cell r="K61">
            <v>0.52447270620251063</v>
          </cell>
          <cell r="L61">
            <v>0.51666252681461589</v>
          </cell>
        </row>
        <row r="62">
          <cell r="B62">
            <v>0.41451067388284157</v>
          </cell>
          <cell r="C62">
            <v>0.39366619027996919</v>
          </cell>
          <cell r="D62">
            <v>0.47646116629484381</v>
          </cell>
          <cell r="E62">
            <v>0.38237590783027842</v>
          </cell>
          <cell r="F62">
            <v>0.47446714044208105</v>
          </cell>
          <cell r="G62">
            <v>0.51173648810358507</v>
          </cell>
          <cell r="H62">
            <v>0.49607712677474292</v>
          </cell>
          <cell r="I62">
            <v>0.4901073463065248</v>
          </cell>
          <cell r="J62">
            <v>0.48630066972284408</v>
          </cell>
          <cell r="K62">
            <v>0.47743789436712591</v>
          </cell>
          <cell r="L62">
            <v>0.47743789436712591</v>
          </cell>
        </row>
        <row r="66">
          <cell r="B66">
            <v>7.5977710553970706E-2</v>
          </cell>
          <cell r="C66">
            <v>7.7249979326107346E-2</v>
          </cell>
          <cell r="D66">
            <v>8.3353354292845475E-2</v>
          </cell>
          <cell r="E66">
            <v>9.3669566055606654E-2</v>
          </cell>
          <cell r="F66">
            <v>8.8814110892888112E-2</v>
          </cell>
          <cell r="G66">
            <v>6.0799238384120408E-2</v>
          </cell>
          <cell r="H66">
            <v>5.9708988914749503E-2</v>
          </cell>
          <cell r="I66">
            <v>6.5263711881527839E-2</v>
          </cell>
          <cell r="J66">
            <v>7.6844884451492762E-2</v>
          </cell>
          <cell r="K66">
            <v>7.4984637548282912E-2</v>
          </cell>
          <cell r="L66">
            <v>7.6614230220987886E-2</v>
          </cell>
        </row>
        <row r="67">
          <cell r="B67">
            <v>9.1004533008720551E-2</v>
          </cell>
          <cell r="C67">
            <v>8.8829998434062585E-2</v>
          </cell>
          <cell r="D67">
            <v>9.5142593390104516E-2</v>
          </cell>
          <cell r="E67">
            <v>0.10419309915734913</v>
          </cell>
          <cell r="F67">
            <v>7.5825321705534923E-2</v>
          </cell>
          <cell r="G67">
            <v>0.10641773201130075</v>
          </cell>
          <cell r="H67">
            <v>7.069003098962412E-2</v>
          </cell>
          <cell r="I67">
            <v>8.2490386641547356E-2</v>
          </cell>
          <cell r="J67">
            <v>9.0424324384454316E-2</v>
          </cell>
          <cell r="K67">
            <v>9.1707759900882035E-2</v>
          </cell>
          <cell r="L67">
            <v>9.4545730492907626E-2</v>
          </cell>
        </row>
        <row r="74">
          <cell r="B74">
            <v>2.6997279285722819</v>
          </cell>
          <cell r="C74">
            <v>2.5481084105032643</v>
          </cell>
          <cell r="D74">
            <v>2.415469076999317</v>
          </cell>
          <cell r="E74">
            <v>2.3320874162059351</v>
          </cell>
          <cell r="F74">
            <v>2.9222121420723677</v>
          </cell>
          <cell r="G74">
            <v>3.5396408429479345</v>
          </cell>
          <cell r="H74">
            <v>3.7880460051343272</v>
          </cell>
          <cell r="I74">
            <v>3.4466743542136675</v>
          </cell>
          <cell r="J74">
            <v>3.0204432253681572</v>
          </cell>
          <cell r="K74">
            <v>2.8921701379812936</v>
          </cell>
          <cell r="L74">
            <v>2.7986823133468923</v>
          </cell>
        </row>
        <row r="75">
          <cell r="B75">
            <v>5.1863989221064042</v>
          </cell>
          <cell r="C75">
            <v>5.7340509223967073</v>
          </cell>
          <cell r="D75">
            <v>6.2152957197948346</v>
          </cell>
          <cell r="E75">
            <v>6.4439130774360613</v>
          </cell>
          <cell r="F75">
            <v>6.237928131860631</v>
          </cell>
          <cell r="G75">
            <v>4.8970921620574108</v>
          </cell>
          <cell r="H75">
            <v>4.6406227088322982</v>
          </cell>
          <cell r="I75">
            <v>4.7778355009750619</v>
          </cell>
          <cell r="J75">
            <v>5.4759210454593399</v>
          </cell>
          <cell r="K75">
            <v>5.6604121959133007</v>
          </cell>
          <cell r="L75">
            <v>5.9551834758748692</v>
          </cell>
        </row>
        <row r="76">
          <cell r="B76">
            <v>7.9803771084376534</v>
          </cell>
          <cell r="C76">
            <v>8.2211465830170525</v>
          </cell>
          <cell r="D76">
            <v>7.4676964689250367</v>
          </cell>
          <cell r="E76">
            <v>8.9479902625495278</v>
          </cell>
          <cell r="F76">
            <v>8.1249998085217783</v>
          </cell>
          <cell r="G76">
            <v>10.254636343320499</v>
          </cell>
          <cell r="H76">
            <v>6.8157168862187003</v>
          </cell>
          <cell r="I76">
            <v>7.0195890596680615</v>
          </cell>
          <cell r="J76">
            <v>7.516717778282012</v>
          </cell>
          <cell r="K76">
            <v>7.4554020692514413</v>
          </cell>
          <cell r="L76">
            <v>7.8501242195521268</v>
          </cell>
        </row>
        <row r="77">
          <cell r="B77">
            <v>0.28809679779264197</v>
          </cell>
          <cell r="C77">
            <v>0.27899155033983958</v>
          </cell>
          <cell r="D77">
            <v>0.261554373397198</v>
          </cell>
          <cell r="E77">
            <v>0.28016848656733012</v>
          </cell>
          <cell r="F77">
            <v>0.17216706500508577</v>
          </cell>
          <cell r="G77">
            <v>0.24902654016155451</v>
          </cell>
          <cell r="H77">
            <v>0.19427935142536698</v>
          </cell>
          <cell r="I77">
            <v>0.20206630999949976</v>
          </cell>
          <cell r="J77">
            <v>0.22884865272666285</v>
          </cell>
          <cell r="K77">
            <v>0.24053663796061861</v>
          </cell>
          <cell r="L77">
            <v>0.25071454643560781</v>
          </cell>
        </row>
        <row r="78">
          <cell r="B78">
            <v>0.25100485446470244</v>
          </cell>
          <cell r="C78">
            <v>0.25287123158680308</v>
          </cell>
          <cell r="D78">
            <v>0.26941907042790819</v>
          </cell>
          <cell r="E78">
            <v>0.2852062125423826</v>
          </cell>
          <cell r="F78">
            <v>0.17817365474979557</v>
          </cell>
          <cell r="G78">
            <v>0.26670762758196942</v>
          </cell>
          <cell r="H78">
            <v>0.16830733768359432</v>
          </cell>
          <cell r="I78">
            <v>0.20431819337499155</v>
          </cell>
          <cell r="J78">
            <v>0.22866153015703403</v>
          </cell>
          <cell r="K78">
            <v>0.24131437019733359</v>
          </cell>
          <cell r="L78">
            <v>0.24992414896859885</v>
          </cell>
        </row>
        <row r="79">
          <cell r="B79">
            <v>0.21228831421596803</v>
          </cell>
          <cell r="C79">
            <v>0.20952561026714681</v>
          </cell>
          <cell r="D79">
            <v>0.22181251722018508</v>
          </cell>
          <cell r="E79">
            <v>0.2369386329736177</v>
          </cell>
          <cell r="F79">
            <v>0.13786170272513393</v>
          </cell>
          <cell r="G79">
            <v>0.22452533782800749</v>
          </cell>
          <cell r="H79">
            <v>0.12453321512714843</v>
          </cell>
          <cell r="I79">
            <v>0.15687506405467222</v>
          </cell>
          <cell r="J79">
            <v>0.17785052557648862</v>
          </cell>
          <cell r="K79">
            <v>0.18593232749251909</v>
          </cell>
          <cell r="L79">
            <v>0.1918071905746577</v>
          </cell>
        </row>
        <row r="82">
          <cell r="B82">
            <v>2.9896269096142105</v>
          </cell>
          <cell r="C82">
            <v>2.9652782176221635</v>
          </cell>
          <cell r="D82">
            <v>2.2413871640359466</v>
          </cell>
          <cell r="E82">
            <v>2.0936464707124998</v>
          </cell>
          <cell r="F82">
            <v>1.9818176180274707</v>
          </cell>
          <cell r="G82">
            <v>2.3897116661642559</v>
          </cell>
          <cell r="H82">
            <v>2.5452381240834008</v>
          </cell>
          <cell r="I82">
            <v>2.4371480909920908</v>
          </cell>
          <cell r="J82">
            <v>2.2115018389272976</v>
          </cell>
          <cell r="K82">
            <v>2.1860156914406863</v>
          </cell>
          <cell r="L82">
            <v>2.085631859415026</v>
          </cell>
        </row>
        <row r="83">
          <cell r="B83">
            <v>2.9158830685692023</v>
          </cell>
          <cell r="C83">
            <v>2.7572084772763126</v>
          </cell>
          <cell r="D83">
            <v>1.5805932384256305</v>
          </cell>
          <cell r="E83">
            <v>1.9243311945410693</v>
          </cell>
          <cell r="F83">
            <v>2.5504639562025861</v>
          </cell>
          <cell r="G83">
            <v>2.2365746651101626</v>
          </cell>
          <cell r="H83">
            <v>2.4663366101100372</v>
          </cell>
          <cell r="I83">
            <v>2.2281945137994579</v>
          </cell>
          <cell r="J83">
            <v>2.2241545949557389</v>
          </cell>
          <cell r="K83">
            <v>2.1288109023230124</v>
          </cell>
        </row>
        <row r="85">
          <cell r="B85">
            <v>6.4831734365458331</v>
          </cell>
          <cell r="C85">
            <v>6.4509208318505582</v>
          </cell>
          <cell r="D85">
            <v>5.0484039672196959</v>
          </cell>
          <cell r="E85">
            <v>6.0892773670809355</v>
          </cell>
          <cell r="F85">
            <v>6.1328407014720563</v>
          </cell>
          <cell r="G85">
            <v>6.8326749581301502</v>
          </cell>
          <cell r="H85">
            <v>7.5541557663055636</v>
          </cell>
          <cell r="I85">
            <v>6.9562180584995126</v>
          </cell>
          <cell r="J85">
            <v>6.1431964708012341</v>
          </cell>
          <cell r="K85">
            <v>5.9903578299842799</v>
          </cell>
          <cell r="L85">
            <v>5.6791468361716522</v>
          </cell>
        </row>
        <row r="86">
          <cell r="B86">
            <v>6.3434623835591095</v>
          </cell>
          <cell r="C86">
            <v>6.2102176895085837</v>
          </cell>
          <cell r="D86">
            <v>4.5970849271562688</v>
          </cell>
          <cell r="E86">
            <v>5.9549458868672875</v>
          </cell>
          <cell r="F86">
            <v>7.2922986701279973</v>
          </cell>
          <cell r="G86">
            <v>6.6380560794480896</v>
          </cell>
          <cell r="H86">
            <v>7.0395292469084465</v>
          </cell>
          <cell r="I86">
            <v>6.1895660372007937</v>
          </cell>
          <cell r="J86">
            <v>6.0948701993112531</v>
          </cell>
          <cell r="K86">
            <v>5.7967227754788846</v>
          </cell>
        </row>
        <row r="88">
          <cell r="B88">
            <v>5.4283632998031797</v>
          </cell>
          <cell r="C88">
            <v>5.9701825900653329</v>
          </cell>
          <cell r="D88">
            <v>4.0872797986154827</v>
          </cell>
          <cell r="E88">
            <v>5.6707149905942567</v>
          </cell>
          <cell r="F88">
            <v>6.2242606949038892</v>
          </cell>
          <cell r="G88">
            <v>3.3262623367257196</v>
          </cell>
          <cell r="H88">
            <v>6.0432154659793706</v>
          </cell>
          <cell r="I88">
            <v>5.099716456509003</v>
          </cell>
          <cell r="J88">
            <v>4.626755540892848</v>
          </cell>
          <cell r="K88">
            <v>4.5425882101289128</v>
          </cell>
          <cell r="L88">
            <v>4.3860980122045747</v>
          </cell>
        </row>
        <row r="91">
          <cell r="B91">
            <v>14.348351621328252</v>
          </cell>
          <cell r="C91">
            <v>14.891241704131879</v>
          </cell>
          <cell r="D91">
            <v>9.6298913156295001</v>
          </cell>
          <cell r="E91">
            <v>13.380833156926812</v>
          </cell>
          <cell r="F91">
            <v>10.857296245498182</v>
          </cell>
          <cell r="G91">
            <v>13.462153723164471</v>
          </cell>
          <cell r="H91">
            <v>15.864739174935824</v>
          </cell>
          <cell r="I91">
            <v>16.020783055852679</v>
          </cell>
          <cell r="J91">
            <v>12.682421476397479</v>
          </cell>
          <cell r="K91">
            <v>13.191572415001621</v>
          </cell>
          <cell r="L91">
            <v>12.60868479211968</v>
          </cell>
        </row>
        <row r="94">
          <cell r="B94">
            <v>1.6459278689832872</v>
          </cell>
          <cell r="C94">
            <v>1.6617189045420737</v>
          </cell>
          <cell r="D94">
            <v>1.1752330768592569</v>
          </cell>
          <cell r="E94">
            <v>1.6956345686515462</v>
          </cell>
          <cell r="F94">
            <v>1.4203542447094673</v>
          </cell>
          <cell r="G94">
            <v>1.1597040054047556</v>
          </cell>
          <cell r="H94">
            <v>1.3240132995837934</v>
          </cell>
          <cell r="I94">
            <v>1.2950149276484204</v>
          </cell>
          <cell r="J94">
            <v>1.2452351993125077</v>
          </cell>
          <cell r="K94">
            <v>1.2071701000106816</v>
          </cell>
          <cell r="L94">
            <v>1.1699775359665969</v>
          </cell>
        </row>
        <row r="99">
          <cell r="B99">
            <v>1995.0260000000001</v>
          </cell>
          <cell r="C99">
            <v>2045.481</v>
          </cell>
          <cell r="D99">
            <v>2199.8409999999999</v>
          </cell>
          <cell r="E99">
            <v>3119.5220000000004</v>
          </cell>
          <cell r="F99">
            <v>3393.998</v>
          </cell>
          <cell r="G99">
            <v>2637.2789999999995</v>
          </cell>
          <cell r="H99">
            <v>2817.8519999999999</v>
          </cell>
          <cell r="I99">
            <v>2907.9989767109164</v>
          </cell>
          <cell r="J99">
            <v>3180.7026320215728</v>
          </cell>
          <cell r="K99">
            <v>3162.6082718124117</v>
          </cell>
          <cell r="L99">
            <v>3247.5929639959304</v>
          </cell>
        </row>
        <row r="100">
          <cell r="B100">
            <v>919.97900000000027</v>
          </cell>
          <cell r="C100">
            <v>940.24099999999999</v>
          </cell>
          <cell r="D100">
            <v>976.68399999999986</v>
          </cell>
          <cell r="E100">
            <v>1072.5700000000002</v>
          </cell>
          <cell r="F100">
            <v>1096.7649999999999</v>
          </cell>
          <cell r="G100">
            <v>922.38199999999961</v>
          </cell>
          <cell r="H100">
            <v>949.42499999999984</v>
          </cell>
          <cell r="I100">
            <v>1018.8329484637677</v>
          </cell>
          <cell r="J100">
            <v>1145.0276339410593</v>
          </cell>
          <cell r="K100">
            <v>1154.1065666322952</v>
          </cell>
          <cell r="L100">
            <v>1192.6586065677252</v>
          </cell>
        </row>
        <row r="101">
          <cell r="B101">
            <v>520.47900000000027</v>
          </cell>
          <cell r="C101">
            <v>526.86</v>
          </cell>
          <cell r="D101">
            <v>556.84199999999987</v>
          </cell>
          <cell r="E101">
            <v>641.34100000000024</v>
          </cell>
          <cell r="F101">
            <v>668.86199999999974</v>
          </cell>
          <cell r="G101">
            <v>497.49599999999958</v>
          </cell>
          <cell r="H101">
            <v>511.28199999999987</v>
          </cell>
          <cell r="I101">
            <v>567.64746846376784</v>
          </cell>
          <cell r="J101">
            <v>672.06215394105948</v>
          </cell>
          <cell r="K101">
            <v>658.59608663229528</v>
          </cell>
          <cell r="L101">
            <v>675.99812656772519</v>
          </cell>
        </row>
        <row r="103">
          <cell r="B103">
            <v>177.38300000000001</v>
          </cell>
          <cell r="C103">
            <v>163.97499999999999</v>
          </cell>
          <cell r="D103">
            <v>157.142</v>
          </cell>
          <cell r="E103">
            <v>166.447</v>
          </cell>
          <cell r="F103">
            <v>175.822</v>
          </cell>
          <cell r="G103">
            <v>188.35300000000001</v>
          </cell>
          <cell r="H103">
            <v>204.59</v>
          </cell>
          <cell r="I103">
            <v>213.24152919367862</v>
          </cell>
          <cell r="J103">
            <v>209.10229063483698</v>
          </cell>
          <cell r="K103">
            <v>203.89090523575933</v>
          </cell>
          <cell r="L103">
            <v>200.27235288372253</v>
          </cell>
        </row>
        <row r="104">
          <cell r="B104">
            <v>362.79900000000026</v>
          </cell>
          <cell r="C104">
            <v>381.48099999999999</v>
          </cell>
          <cell r="D104">
            <v>411.36399999999986</v>
          </cell>
          <cell r="E104">
            <v>496.53200000000027</v>
          </cell>
          <cell r="F104">
            <v>540.9019999999997</v>
          </cell>
          <cell r="G104">
            <v>353.25299999999959</v>
          </cell>
          <cell r="H104">
            <v>336.13599999999985</v>
          </cell>
          <cell r="I104">
            <v>374.40593927008922</v>
          </cell>
          <cell r="J104">
            <v>472.95986330622247</v>
          </cell>
          <cell r="K104">
            <v>454.70518139653598</v>
          </cell>
          <cell r="L104">
            <v>475.72577368400266</v>
          </cell>
        </row>
        <row r="106">
          <cell r="B106">
            <v>235.85600000000028</v>
          </cell>
          <cell r="C106">
            <v>242.892</v>
          </cell>
          <cell r="D106">
            <v>269.77199999999982</v>
          </cell>
          <cell r="E106">
            <v>302.33200000000028</v>
          </cell>
          <cell r="F106">
            <v>327.36699999999973</v>
          </cell>
          <cell r="G106">
            <v>215.15299999999959</v>
          </cell>
          <cell r="H106">
            <v>230.57599999999985</v>
          </cell>
          <cell r="I106">
            <v>228.38762295475442</v>
          </cell>
          <cell r="J106">
            <v>288.50551661679572</v>
          </cell>
          <cell r="K106">
            <v>277.37016065188698</v>
          </cell>
          <cell r="L106">
            <v>290.19272194724158</v>
          </cell>
        </row>
        <row r="107">
          <cell r="B107">
            <v>2.7417783616009705</v>
          </cell>
          <cell r="C107">
            <v>2.8459681765987859</v>
          </cell>
          <cell r="D107">
            <v>3.1734522227058291</v>
          </cell>
          <cell r="E107">
            <v>3.5595690822393626</v>
          </cell>
          <cell r="F107">
            <v>3.8545508065465643</v>
          </cell>
          <cell r="G107">
            <v>2.5322842615696013</v>
          </cell>
          <cell r="H107">
            <v>2.522575351457796</v>
          </cell>
          <cell r="I107">
            <v>2.4980052386003679</v>
          </cell>
          <cell r="J107">
            <v>3.155548810176267</v>
          </cell>
          <cell r="K107">
            <v>3.0337550930993458</v>
          </cell>
          <cell r="L107">
            <v>3.1740027338150414</v>
          </cell>
        </row>
        <row r="110">
          <cell r="B110">
            <v>399.5</v>
          </cell>
          <cell r="C110">
            <v>413.38099999999997</v>
          </cell>
          <cell r="D110">
            <v>419.84199999999998</v>
          </cell>
          <cell r="E110">
            <v>431.22899999999998</v>
          </cell>
          <cell r="F110">
            <v>427.90300000000002</v>
          </cell>
          <cell r="G110">
            <v>424.88600000000002</v>
          </cell>
          <cell r="H110">
            <v>438.14299999999997</v>
          </cell>
          <cell r="I110">
            <v>451.18547999999993</v>
          </cell>
          <cell r="J110">
            <v>472.96547999999996</v>
          </cell>
          <cell r="K110">
            <v>495.51047999999992</v>
          </cell>
          <cell r="L110">
            <v>516.66047999999989</v>
          </cell>
        </row>
        <row r="111">
          <cell r="B111">
            <v>307.87599999999998</v>
          </cell>
          <cell r="C111">
            <v>319.142</v>
          </cell>
          <cell r="D111">
            <v>343.44799999999998</v>
          </cell>
          <cell r="E111">
            <v>658.60799999999995</v>
          </cell>
          <cell r="F111">
            <v>1055.5740000000001</v>
          </cell>
          <cell r="G111">
            <v>895.52200000000005</v>
          </cell>
          <cell r="H111">
            <v>750</v>
          </cell>
          <cell r="I111">
            <v>446</v>
          </cell>
          <cell r="J111">
            <v>552</v>
          </cell>
          <cell r="K111">
            <v>500</v>
          </cell>
          <cell r="L111">
            <v>500</v>
          </cell>
        </row>
        <row r="113">
          <cell r="B113">
            <v>623.41900000000032</v>
          </cell>
          <cell r="C113">
            <v>605.83799999999985</v>
          </cell>
          <cell r="D113">
            <v>635.5999999999998</v>
          </cell>
          <cell r="E113">
            <v>713.39400000000023</v>
          </cell>
          <cell r="F113">
            <v>571.04299999999978</v>
          </cell>
          <cell r="G113">
            <v>870.77399999999955</v>
          </cell>
          <cell r="H113">
            <v>605.31154657534228</v>
          </cell>
          <cell r="I113">
            <v>717.48078372669443</v>
          </cell>
          <cell r="J113">
            <v>790.82383490136044</v>
          </cell>
          <cell r="K113">
            <v>805.47661173456083</v>
          </cell>
          <cell r="L113">
            <v>834.21495594005455</v>
          </cell>
        </row>
        <row r="114">
          <cell r="B114">
            <v>219.38300000000038</v>
          </cell>
          <cell r="C114">
            <v>182.84699999999987</v>
          </cell>
          <cell r="D114">
            <v>179.84099999999978</v>
          </cell>
          <cell r="E114">
            <v>-65.946999999999662</v>
          </cell>
          <cell r="F114">
            <v>-613.73000000000025</v>
          </cell>
          <cell r="G114">
            <v>-162.46900000000051</v>
          </cell>
          <cell r="H114">
            <v>-302.12057842465777</v>
          </cell>
          <cell r="I114">
            <v>104.88018372669444</v>
          </cell>
          <cell r="J114">
            <v>63.094434901360387</v>
          </cell>
          <cell r="K114">
            <v>120.61841173456082</v>
          </cell>
          <cell r="L114">
            <v>140.22795594005447</v>
          </cell>
        </row>
        <row r="116">
          <cell r="B116">
            <v>7.2471199562907636</v>
          </cell>
          <cell r="C116">
            <v>7.0986103625243109</v>
          </cell>
          <cell r="D116">
            <v>7.4768553917820446</v>
          </cell>
          <cell r="E116">
            <v>8.3992935774415756</v>
          </cell>
          <cell r="F116">
            <v>6.7236900977275376</v>
          </cell>
          <cell r="G116">
            <v>10.248740643095894</v>
          </cell>
          <cell r="H116">
            <v>6.622302352993187</v>
          </cell>
          <cell r="I116">
            <v>7.8474951188552131</v>
          </cell>
          <cell r="J116">
            <v>8.649689754794597</v>
          </cell>
          <cell r="K116">
            <v>8.8099555030686538</v>
          </cell>
          <cell r="L116">
            <v>9.1242831073637678</v>
          </cell>
        </row>
        <row r="118">
          <cell r="B118">
            <v>1.125</v>
          </cell>
          <cell r="C118">
            <v>1.2250000000000001</v>
          </cell>
          <cell r="D118">
            <v>1.325</v>
          </cell>
          <cell r="E118">
            <v>1.425</v>
          </cell>
          <cell r="F118">
            <v>1.5249999999999999</v>
          </cell>
          <cell r="G118">
            <v>1.625</v>
          </cell>
          <cell r="H118">
            <v>1.7250000000000001</v>
          </cell>
          <cell r="I118">
            <v>1.8250000000000002</v>
          </cell>
          <cell r="J118">
            <v>1.9250000000000003</v>
          </cell>
          <cell r="K118">
            <v>2.0250000000000004</v>
          </cell>
          <cell r="L118">
            <v>2.1250000000000004</v>
          </cell>
        </row>
        <row r="119">
          <cell r="B119">
            <v>0.41031763024896495</v>
          </cell>
          <cell r="C119">
            <v>0.43043348484099936</v>
          </cell>
          <cell r="D119">
            <v>0.41752637412333404</v>
          </cell>
          <cell r="E119">
            <v>0.40032935646904694</v>
          </cell>
          <cell r="F119">
            <v>0.39563624311552509</v>
          </cell>
          <cell r="G119">
            <v>0.64171310648701274</v>
          </cell>
          <cell r="H119">
            <v>0.683824964436889</v>
          </cell>
          <cell r="I119">
            <v>0.73058293545555075</v>
          </cell>
          <cell r="J119">
            <v>0.61003651529398173</v>
          </cell>
          <cell r="K119">
            <v>0.66748960870510454</v>
          </cell>
          <cell r="L119">
            <v>0.66950162876697461</v>
          </cell>
        </row>
        <row r="133">
          <cell r="B133">
            <v>8.9177971870604833E-2</v>
          </cell>
          <cell r="C133">
            <v>-0.1773721718352822</v>
          </cell>
          <cell r="D133">
            <v>-0.45807239641340264</v>
          </cell>
          <cell r="E133">
            <v>0.69648887958115202</v>
          </cell>
          <cell r="F133">
            <v>2.8915546924207419E-2</v>
          </cell>
          <cell r="G133">
            <v>7.4410017921147015E-2</v>
          </cell>
          <cell r="H133">
            <v>-6.2296345262540409E-2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Inc Stat"/>
    </sheetNames>
    <sheetDataSet>
      <sheetData sheetId="0" refreshError="1"/>
      <sheetData sheetId="1" refreshError="1">
        <row r="1">
          <cell r="A1" t="str">
            <v>Wisconsin Energy Corporation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</sheetNames>
    <sheetDataSet>
      <sheetData sheetId="0" refreshError="1"/>
      <sheetData sheetId="1" refreshError="1">
        <row r="1">
          <cell r="A1" t="str">
            <v>Wisconsin Energy Corporation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ImportantDisclosures"/>
      <sheetName val="IndexInformation"/>
      <sheetName val="Income"/>
      <sheetName val="GWP"/>
      <sheetName val="Income Statement"/>
      <sheetName val="Margins"/>
      <sheetName val="Euro vs. PM"/>
      <sheetName val="Ruble"/>
      <sheetName val="Comps"/>
      <sheetName val="Switches"/>
      <sheetName val="MS_IRI_Methodology"/>
      <sheetName val="MARKET_SHARE ($)_RAW_DATA"/>
      <sheetName val="NEXXUS_RAW_DATA"/>
      <sheetName val="HAIR_CARE_MARKET SHARE ROLL-UP"/>
      <sheetName val="TOTAL_ACV_DOLLAR_SALES"/>
      <sheetName val="EBITDA"/>
      <sheetName val="SSB Nielsen Sales"/>
      <sheetName val="TimeSeries"/>
      <sheetName val="Valuation Analyzer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B"/>
      <sheetName val="Ratios"/>
      <sheetName val="C"/>
      <sheetName val="summary"/>
      <sheetName val="Oil Consumption – barrels"/>
      <sheetName val="rev change analysis"/>
      <sheetName val="O1000"/>
      <sheetName val="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able 5-4"/>
      <sheetName val="Assumptions"/>
      <sheetName val="c1"/>
    </sheetNames>
    <sheetDataSet>
      <sheetData sheetId="0" refreshError="1">
        <row r="9">
          <cell r="P9" t="str">
            <v>Maritimes</v>
          </cell>
          <cell r="Q9">
            <v>30823.08</v>
          </cell>
        </row>
        <row r="10">
          <cell r="P10" t="str">
            <v>NE-BOST</v>
          </cell>
          <cell r="Q10">
            <v>24898.53</v>
          </cell>
        </row>
        <row r="11">
          <cell r="P11" t="str">
            <v>NE-CTSW</v>
          </cell>
          <cell r="Q11">
            <v>16690.25</v>
          </cell>
        </row>
        <row r="12">
          <cell r="P12" t="str">
            <v>NE-EAST</v>
          </cell>
          <cell r="Q12">
            <v>46399.81</v>
          </cell>
        </row>
        <row r="13">
          <cell r="P13" t="str">
            <v>NE-MAINE</v>
          </cell>
          <cell r="Q13">
            <v>11410.84</v>
          </cell>
        </row>
        <row r="14">
          <cell r="P14" t="str">
            <v>NE-WEST</v>
          </cell>
          <cell r="Q14">
            <v>39253.03</v>
          </cell>
        </row>
        <row r="15">
          <cell r="P15" t="str">
            <v>NY_AB</v>
          </cell>
          <cell r="Q15">
            <v>28005.46</v>
          </cell>
        </row>
        <row r="16">
          <cell r="P16" t="str">
            <v>NY_CDE</v>
          </cell>
          <cell r="Q16">
            <v>31251.27</v>
          </cell>
        </row>
        <row r="17">
          <cell r="P17" t="str">
            <v>NY_F</v>
          </cell>
          <cell r="Q17">
            <v>12484.24</v>
          </cell>
        </row>
        <row r="18">
          <cell r="P18" t="str">
            <v>NY_GHI</v>
          </cell>
          <cell r="Q18">
            <v>19863.47</v>
          </cell>
        </row>
        <row r="19">
          <cell r="P19" t="str">
            <v>NY_J</v>
          </cell>
          <cell r="Q19">
            <v>53270.2</v>
          </cell>
        </row>
        <row r="20">
          <cell r="P20" t="str">
            <v>NY_K</v>
          </cell>
          <cell r="Q20">
            <v>23713.360000000001</v>
          </cell>
        </row>
        <row r="21">
          <cell r="P21" t="str">
            <v>On EC</v>
          </cell>
          <cell r="Q21">
            <v>82011.02</v>
          </cell>
        </row>
        <row r="22">
          <cell r="P22" t="str">
            <v>On Middleport</v>
          </cell>
          <cell r="Q22">
            <v>31245.09</v>
          </cell>
        </row>
        <row r="23">
          <cell r="P23" t="str">
            <v>On Niagara</v>
          </cell>
          <cell r="Q23">
            <v>5887.81</v>
          </cell>
        </row>
        <row r="24">
          <cell r="P24" t="str">
            <v>On North</v>
          </cell>
          <cell r="Q24">
            <v>19515.099999999999</v>
          </cell>
        </row>
        <row r="25">
          <cell r="P25" t="str">
            <v>On West</v>
          </cell>
          <cell r="Q25">
            <v>18182.86</v>
          </cell>
        </row>
        <row r="26">
          <cell r="P26" t="str">
            <v>PJMEX</v>
          </cell>
          <cell r="Q26">
            <v>151783.73000000001</v>
          </cell>
        </row>
        <row r="27">
          <cell r="P27" t="str">
            <v>PJMWX</v>
          </cell>
          <cell r="Q27">
            <v>143593.29999999999</v>
          </cell>
        </row>
        <row r="28">
          <cell r="P28" t="str">
            <v>Quebec</v>
          </cell>
          <cell r="Q28">
            <v>190161</v>
          </cell>
        </row>
        <row r="29">
          <cell r="P29" t="str">
            <v>VP</v>
          </cell>
          <cell r="Q29">
            <v>97093.89</v>
          </cell>
        </row>
        <row r="34">
          <cell r="P34" t="str">
            <v>Maritimes</v>
          </cell>
          <cell r="Q34">
            <v>30625.5039</v>
          </cell>
        </row>
        <row r="35">
          <cell r="P35" t="str">
            <v>NE-BOST</v>
          </cell>
          <cell r="Q35">
            <v>15951.549800000001</v>
          </cell>
        </row>
        <row r="36">
          <cell r="P36" t="str">
            <v>NE-CTSW</v>
          </cell>
          <cell r="Q36">
            <v>8313.1406000000006</v>
          </cell>
        </row>
        <row r="37">
          <cell r="P37" t="str">
            <v>NE-EAST</v>
          </cell>
          <cell r="Q37">
            <v>61254.515599999999</v>
          </cell>
        </row>
        <row r="38">
          <cell r="P38" t="str">
            <v>NE-MAINE</v>
          </cell>
          <cell r="Q38">
            <v>15242.4355</v>
          </cell>
        </row>
        <row r="39">
          <cell r="P39" t="str">
            <v>NE-WEST</v>
          </cell>
          <cell r="Q39">
            <v>33389.734400000001</v>
          </cell>
        </row>
        <row r="40">
          <cell r="P40" t="str">
            <v>NY_AB</v>
          </cell>
          <cell r="Q40">
            <v>37828.0625</v>
          </cell>
        </row>
        <row r="41">
          <cell r="P41" t="str">
            <v>NY_CDE</v>
          </cell>
          <cell r="Q41">
            <v>43763.472699999998</v>
          </cell>
        </row>
        <row r="42">
          <cell r="P42" t="str">
            <v>NY_F</v>
          </cell>
          <cell r="Q42">
            <v>16510.044900000001</v>
          </cell>
        </row>
        <row r="43">
          <cell r="P43" t="str">
            <v>NY_GHI</v>
          </cell>
          <cell r="Q43">
            <v>22728.025399999999</v>
          </cell>
        </row>
        <row r="44">
          <cell r="P44" t="str">
            <v>NY_J</v>
          </cell>
          <cell r="Q44">
            <v>22814.3125</v>
          </cell>
        </row>
        <row r="45">
          <cell r="P45" t="str">
            <v>NY_K</v>
          </cell>
          <cell r="Q45">
            <v>12421.3516</v>
          </cell>
        </row>
        <row r="46">
          <cell r="P46" t="str">
            <v>On EC</v>
          </cell>
          <cell r="Q46">
            <v>64159.281199999998</v>
          </cell>
        </row>
        <row r="47">
          <cell r="P47" t="str">
            <v>On Middleport</v>
          </cell>
          <cell r="Q47">
            <v>52800.257799999999</v>
          </cell>
        </row>
        <row r="48">
          <cell r="P48" t="str">
            <v>On Niagara</v>
          </cell>
          <cell r="Q48">
            <v>13327.8613</v>
          </cell>
        </row>
        <row r="49">
          <cell r="P49" t="str">
            <v>On North</v>
          </cell>
          <cell r="Q49">
            <v>21765.293000000001</v>
          </cell>
        </row>
        <row r="50">
          <cell r="P50" t="str">
            <v>On West</v>
          </cell>
          <cell r="Q50">
            <v>14380.7246</v>
          </cell>
        </row>
        <row r="51">
          <cell r="P51" t="str">
            <v>PJMEX</v>
          </cell>
          <cell r="Q51">
            <v>114927.36719999999</v>
          </cell>
        </row>
        <row r="52">
          <cell r="P52" t="str">
            <v>PJMWX</v>
          </cell>
          <cell r="Q52">
            <v>167412.9375</v>
          </cell>
        </row>
        <row r="53">
          <cell r="P53" t="str">
            <v>Quebec</v>
          </cell>
          <cell r="Q53">
            <v>188532.4062</v>
          </cell>
        </row>
        <row r="54">
          <cell r="P54" t="str">
            <v>VP</v>
          </cell>
          <cell r="Q54">
            <v>80380.156199999998</v>
          </cell>
        </row>
        <row r="56">
          <cell r="P56" t="str">
            <v>Transarea</v>
          </cell>
          <cell r="Q56" t="str">
            <v>2006 Peak</v>
          </cell>
          <cell r="R56" t="str">
            <v>2030 Peak</v>
          </cell>
          <cell r="S56" t="str">
            <v>Growth</v>
          </cell>
        </row>
        <row r="57">
          <cell r="P57" t="str">
            <v>Maritimes</v>
          </cell>
          <cell r="Q57">
            <v>5681.6523151397705</v>
          </cell>
          <cell r="R57">
            <v>8364.4919128417969</v>
          </cell>
          <cell r="S57">
            <v>1.5590422155297823E-2</v>
          </cell>
        </row>
        <row r="58">
          <cell r="P58" t="str">
            <v>NE-BOST</v>
          </cell>
          <cell r="Q58">
            <v>5019.6340026855469</v>
          </cell>
          <cell r="R58">
            <v>7403.301513671875</v>
          </cell>
          <cell r="S58">
            <v>1.566417806740672E-2</v>
          </cell>
          <cell r="U58" t="str">
            <v>TransArea</v>
          </cell>
          <cell r="V58">
            <v>2006</v>
          </cell>
          <cell r="W58">
            <v>2030</v>
          </cell>
          <cell r="X58" t="str">
            <v>Growth Rate</v>
          </cell>
        </row>
        <row r="59">
          <cell r="P59" t="str">
            <v>NE-CTSW</v>
          </cell>
          <cell r="Q59">
            <v>3454.9498596191406</v>
          </cell>
          <cell r="R59">
            <v>4895.6216583251953</v>
          </cell>
          <cell r="S59">
            <v>1.4038966441656697E-2</v>
          </cell>
          <cell r="U59" t="str">
            <v>Maritimes</v>
          </cell>
          <cell r="V59">
            <v>30823.08</v>
          </cell>
          <cell r="W59">
            <v>45110.400000000001</v>
          </cell>
          <cell r="X59">
            <v>1.5350590632267069E-2</v>
          </cell>
        </row>
        <row r="60">
          <cell r="P60" t="str">
            <v>NE-EAST</v>
          </cell>
          <cell r="Q60">
            <v>9293.1017227172852</v>
          </cell>
          <cell r="R60">
            <v>13834.064109802246</v>
          </cell>
          <cell r="S60">
            <v>1.6041773121631797E-2</v>
          </cell>
          <cell r="U60" t="str">
            <v>NE-BOST</v>
          </cell>
          <cell r="V60">
            <v>24898.53</v>
          </cell>
          <cell r="W60">
            <v>36766.35</v>
          </cell>
          <cell r="X60">
            <v>1.5713143649888073E-2</v>
          </cell>
        </row>
        <row r="61">
          <cell r="P61" t="str">
            <v>NE-MAINE</v>
          </cell>
          <cell r="Q61">
            <v>1854.7192497253418</v>
          </cell>
          <cell r="R61">
            <v>2402.6331176757812</v>
          </cell>
          <cell r="S61">
            <v>1.0407057879102011E-2</v>
          </cell>
          <cell r="U61" t="str">
            <v>NE-CTSW</v>
          </cell>
          <cell r="V61">
            <v>16690.25</v>
          </cell>
          <cell r="W61">
            <v>23582.42</v>
          </cell>
          <cell r="X61">
            <v>1.3923108187573252E-2</v>
          </cell>
        </row>
        <row r="62">
          <cell r="P62" t="str">
            <v>NE-WEST</v>
          </cell>
          <cell r="Q62">
            <v>7234.1174011230469</v>
          </cell>
          <cell r="R62">
            <v>10110.289001464844</v>
          </cell>
          <cell r="S62">
            <v>1.3479855189370893E-2</v>
          </cell>
          <cell r="U62" t="str">
            <v>NE-EAST</v>
          </cell>
          <cell r="V62">
            <v>46399.81</v>
          </cell>
          <cell r="W62">
            <v>69113.460000000006</v>
          </cell>
          <cell r="X62">
            <v>1.6065855542184426E-2</v>
          </cell>
        </row>
        <row r="63">
          <cell r="P63" t="str">
            <v>NY_AB</v>
          </cell>
          <cell r="Q63">
            <v>4455.8887939453125</v>
          </cell>
          <cell r="R63">
            <v>4644.54638671875</v>
          </cell>
          <cell r="S63">
            <v>1.6600629978966719E-3</v>
          </cell>
          <cell r="U63" t="str">
            <v>NE-MAINE</v>
          </cell>
          <cell r="V63">
            <v>11410.84</v>
          </cell>
          <cell r="W63">
            <v>14779.92</v>
          </cell>
          <cell r="X63">
            <v>1.0401956970312209E-2</v>
          </cell>
        </row>
        <row r="64">
          <cell r="P64" t="str">
            <v>NY_CDE</v>
          </cell>
          <cell r="Q64">
            <v>5155.5890502929687</v>
          </cell>
          <cell r="R64">
            <v>5373.4819946289062</v>
          </cell>
          <cell r="S64">
            <v>1.657161009149366E-3</v>
          </cell>
          <cell r="U64" t="str">
            <v>NE-WEST</v>
          </cell>
          <cell r="V64">
            <v>39253.03</v>
          </cell>
          <cell r="W64">
            <v>54897.91</v>
          </cell>
          <cell r="X64">
            <v>1.3508289131146878E-2</v>
          </cell>
        </row>
        <row r="65">
          <cell r="P65" t="str">
            <v>NY_F</v>
          </cell>
          <cell r="Q65">
            <v>2110</v>
          </cell>
          <cell r="R65">
            <v>2179</v>
          </cell>
          <cell r="S65">
            <v>1.2879530390208505E-3</v>
          </cell>
          <cell r="U65" t="str">
            <v>NY_AB</v>
          </cell>
          <cell r="V65">
            <v>28005.46</v>
          </cell>
          <cell r="W65">
            <v>29247.98</v>
          </cell>
          <cell r="X65">
            <v>1.7379492983085054E-3</v>
          </cell>
        </row>
        <row r="66">
          <cell r="P66" t="str">
            <v>NY_GHI</v>
          </cell>
          <cell r="Q66">
            <v>4464.412353515625</v>
          </cell>
          <cell r="R66">
            <v>7994.59912109375</v>
          </cell>
          <cell r="S66">
            <v>2.3578831242596632E-2</v>
          </cell>
          <cell r="U66" t="str">
            <v>NY_CDE</v>
          </cell>
          <cell r="V66">
            <v>31251.27</v>
          </cell>
          <cell r="W66">
            <v>32579.06</v>
          </cell>
          <cell r="X66">
            <v>1.6657752786093383E-3</v>
          </cell>
        </row>
        <row r="67">
          <cell r="P67" t="str">
            <v>NY_J</v>
          </cell>
          <cell r="Q67">
            <v>11505</v>
          </cell>
          <cell r="R67">
            <v>13835</v>
          </cell>
          <cell r="S67">
            <v>7.4040711742044962E-3</v>
          </cell>
          <cell r="U67" t="str">
            <v>NY_F</v>
          </cell>
          <cell r="V67">
            <v>12484.24</v>
          </cell>
          <cell r="W67">
            <v>14014.32</v>
          </cell>
          <cell r="X67">
            <v>4.6352141304095706E-3</v>
          </cell>
        </row>
        <row r="68">
          <cell r="P68" t="str">
            <v>NY_K</v>
          </cell>
          <cell r="Q68">
            <v>5320</v>
          </cell>
          <cell r="R68">
            <v>6772</v>
          </cell>
          <cell r="S68">
            <v>9.699666201873347E-3</v>
          </cell>
          <cell r="U68" t="str">
            <v>NY_GHI</v>
          </cell>
          <cell r="V68">
            <v>19863.47</v>
          </cell>
          <cell r="W68">
            <v>32550.15</v>
          </cell>
          <cell r="X68">
            <v>1.9952425376741356E-2</v>
          </cell>
        </row>
        <row r="69">
          <cell r="P69" t="str">
            <v>On EC</v>
          </cell>
          <cell r="Q69">
            <v>13604</v>
          </cell>
          <cell r="R69">
            <v>16610</v>
          </cell>
          <cell r="S69">
            <v>8.017612544781727E-3</v>
          </cell>
          <cell r="U69" t="str">
            <v>NY_J</v>
          </cell>
          <cell r="V69">
            <v>53270.2</v>
          </cell>
          <cell r="W69">
            <v>65327.25</v>
          </cell>
          <cell r="X69">
            <v>8.1946812324338314E-3</v>
          </cell>
        </row>
        <row r="70">
          <cell r="P70" t="str">
            <v>On Middleport</v>
          </cell>
          <cell r="Q70">
            <v>4782</v>
          </cell>
          <cell r="R70">
            <v>6560</v>
          </cell>
          <cell r="S70">
            <v>1.2725558845826823E-2</v>
          </cell>
          <cell r="U70" t="str">
            <v>NY_K</v>
          </cell>
          <cell r="V70">
            <v>23713.360000000001</v>
          </cell>
          <cell r="W70">
            <v>29876.03</v>
          </cell>
          <cell r="X70">
            <v>9.2835425967014995E-3</v>
          </cell>
        </row>
        <row r="71">
          <cell r="P71" t="str">
            <v>On Niagara</v>
          </cell>
          <cell r="Q71">
            <v>983</v>
          </cell>
          <cell r="R71">
            <v>1072</v>
          </cell>
          <cell r="S71">
            <v>3.4729054694884187E-3</v>
          </cell>
          <cell r="U71" t="str">
            <v>On EC</v>
          </cell>
          <cell r="V71">
            <v>82011.02</v>
          </cell>
          <cell r="W71">
            <v>96094.59</v>
          </cell>
          <cell r="X71">
            <v>6.3593107133974591E-3</v>
          </cell>
        </row>
        <row r="72">
          <cell r="P72" t="str">
            <v>On North</v>
          </cell>
          <cell r="Q72">
            <v>2882.217041015625</v>
          </cell>
          <cell r="R72">
            <v>3023.096923828125</v>
          </cell>
          <cell r="S72">
            <v>1.9107020095820992E-3</v>
          </cell>
          <cell r="U72" t="str">
            <v>On Middleport</v>
          </cell>
          <cell r="V72">
            <v>31245.09</v>
          </cell>
          <cell r="W72">
            <v>41631.019999999997</v>
          </cell>
          <cell r="X72">
            <v>1.1545473125542216E-2</v>
          </cell>
        </row>
        <row r="73">
          <cell r="P73" t="str">
            <v>On West</v>
          </cell>
          <cell r="Q73">
            <v>3214</v>
          </cell>
          <cell r="R73">
            <v>4309</v>
          </cell>
          <cell r="S73">
            <v>1.1796621379846606E-2</v>
          </cell>
          <cell r="U73" t="str">
            <v>On Niagara</v>
          </cell>
          <cell r="V73">
            <v>5887.81</v>
          </cell>
          <cell r="W73">
            <v>6229.7</v>
          </cell>
          <cell r="X73">
            <v>2.2603132917820012E-3</v>
          </cell>
        </row>
        <row r="74">
          <cell r="P74" t="str">
            <v>Quebec</v>
          </cell>
          <cell r="Q74">
            <v>35767</v>
          </cell>
          <cell r="R74">
            <v>41355</v>
          </cell>
          <cell r="S74">
            <v>5.8235976990683724E-3</v>
          </cell>
          <cell r="U74" t="str">
            <v>On North</v>
          </cell>
          <cell r="V74">
            <v>19515.099999999999</v>
          </cell>
          <cell r="W74">
            <v>20062.439999999999</v>
          </cell>
          <cell r="X74">
            <v>1.1070477394234945E-3</v>
          </cell>
        </row>
        <row r="75">
          <cell r="U75" t="str">
            <v>On West</v>
          </cell>
          <cell r="V75">
            <v>18182.86</v>
          </cell>
          <cell r="W75">
            <v>24305.24</v>
          </cell>
          <cell r="X75">
            <v>1.1676143064269562E-2</v>
          </cell>
        </row>
        <row r="76">
          <cell r="U76" t="str">
            <v>Quebec</v>
          </cell>
          <cell r="V76">
            <v>190161</v>
          </cell>
          <cell r="W76">
            <v>222257.92000000001</v>
          </cell>
          <cell r="X76">
            <v>6.2581983051854806E-3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  <sheetName val="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ImportantDisclosures"/>
      <sheetName val="OtherDisclosures"/>
      <sheetName val="MWare_Cached"/>
      <sheetName val="IndexInformation"/>
      <sheetName val="ModPubIndex"/>
      <sheetName val="CircularReferenceAlert"/>
      <sheetName val="GoodCharList"/>
      <sheetName val="Graphics"/>
      <sheetName val="MATINC"/>
      <sheetName val="MATQTRS"/>
      <sheetName val="UNIV-EBS DATA"/>
      <sheetName val="RELPE"/>
      <sheetName val="Ratios"/>
      <sheetName val="SALESCAT"/>
      <sheetName val="MATBAL"/>
      <sheetName val="MATCASH"/>
      <sheetName val="FinSum"/>
      <sheetName val="Macro1"/>
      <sheetName val="Macro2"/>
    </sheetNames>
    <sheetDataSet>
      <sheetData sheetId="0" refreshError="1"/>
      <sheetData sheetId="1"/>
      <sheetData sheetId="2"/>
      <sheetData sheetId="3"/>
      <sheetData sheetId="4">
        <row r="37">
          <cell r="B37" t="str">
            <v>excel</v>
          </cell>
        </row>
        <row r="38">
          <cell r="B38" t="str">
            <v>en-US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Cover"/>
      <sheetName val="Financial"/>
      <sheetName val="EXC"/>
      <sheetName val="ExGen"/>
      <sheetName val="ComEd"/>
      <sheetName val="PECO"/>
      <sheetName val="BGE"/>
      <sheetName val="Parent"/>
      <sheetName val="Debt"/>
      <sheetName val="Market Prices"/>
      <sheetName val="mwareSettings"/>
      <sheetName val="MW-Cache"/>
      <sheetName val="Chart Data"/>
      <sheetName val="mwareDates"/>
      <sheetName val="MWA RR"/>
      <sheetName val="Valu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7">
          <cell r="N7" t="str">
            <v>($mil)</v>
          </cell>
          <cell r="O7" t="str">
            <v>2012e</v>
          </cell>
          <cell r="P7" t="str">
            <v>2013e</v>
          </cell>
          <cell r="Q7" t="str">
            <v>2014e</v>
          </cell>
          <cell r="R7" t="str">
            <v>2015e</v>
          </cell>
        </row>
        <row r="8">
          <cell r="N8" t="str">
            <v>Net Income</v>
          </cell>
          <cell r="O8">
            <v>1316.9498648546955</v>
          </cell>
          <cell r="P8">
            <v>1238.0047611552911</v>
          </cell>
          <cell r="Q8">
            <v>1071.3317015421319</v>
          </cell>
          <cell r="R8">
            <v>1075.1375568995102</v>
          </cell>
        </row>
        <row r="9">
          <cell r="N9" t="str">
            <v>D&amp;A (ex Nuclear Fuel)</v>
          </cell>
          <cell r="O9">
            <v>813.63452369574543</v>
          </cell>
          <cell r="P9">
            <v>947.8771644164201</v>
          </cell>
          <cell r="Q9">
            <v>990.20069488219508</v>
          </cell>
          <cell r="R9">
            <v>1054.0799385687992</v>
          </cell>
        </row>
        <row r="10">
          <cell r="N10" t="str">
            <v>Deferred Taxes, Pension, and Other</v>
          </cell>
          <cell r="O10">
            <v>300.9375</v>
          </cell>
          <cell r="P10">
            <v>-150</v>
          </cell>
          <cell r="Q10">
            <v>-150</v>
          </cell>
          <cell r="R10">
            <v>-150</v>
          </cell>
        </row>
        <row r="11">
          <cell r="N11" t="str">
            <v>Operating Cash Flow</v>
          </cell>
          <cell r="O11">
            <v>2431.521888550441</v>
          </cell>
          <cell r="P11">
            <v>2035.8819255717112</v>
          </cell>
          <cell r="Q11">
            <v>1911.5323964243271</v>
          </cell>
          <cell r="R11">
            <v>1979.2174954683096</v>
          </cell>
        </row>
        <row r="13">
          <cell r="N13" t="str">
            <v>Maintanence CapEx (ex Nuclear Fuel)</v>
          </cell>
          <cell r="O13">
            <v>975</v>
          </cell>
          <cell r="P13">
            <v>1050</v>
          </cell>
          <cell r="Q13">
            <v>1150</v>
          </cell>
          <cell r="R13">
            <v>1150</v>
          </cell>
        </row>
        <row r="14">
          <cell r="N14" t="str">
            <v>Free Cash Flow (pre-Growth Spend)</v>
          </cell>
          <cell r="O14">
            <v>1456.521888550441</v>
          </cell>
          <cell r="P14">
            <v>985.88192557171124</v>
          </cell>
          <cell r="Q14">
            <v>761.53239642432709</v>
          </cell>
          <cell r="R14">
            <v>829.21749546830961</v>
          </cell>
        </row>
        <row r="16">
          <cell r="N16" t="str">
            <v>Growth CapEx (Renewables, Uprates, and Other)</v>
          </cell>
          <cell r="O16">
            <v>1462.5</v>
          </cell>
          <cell r="P16">
            <v>685</v>
          </cell>
          <cell r="Q16">
            <v>192.5</v>
          </cell>
          <cell r="R16">
            <v>150</v>
          </cell>
        </row>
        <row r="17">
          <cell r="N17" t="str">
            <v>Asset Sales and Other (with Coal Asset Sales)</v>
          </cell>
          <cell r="O17">
            <v>354</v>
          </cell>
          <cell r="P17">
            <v>0</v>
          </cell>
          <cell r="Q17">
            <v>0</v>
          </cell>
          <cell r="R17">
            <v>0</v>
          </cell>
        </row>
        <row r="18">
          <cell r="N18" t="str">
            <v>Free Cash Flow (post Growth Spend)</v>
          </cell>
          <cell r="O18">
            <v>348.02188855044096</v>
          </cell>
          <cell r="P18">
            <v>300.88192557171124</v>
          </cell>
          <cell r="Q18">
            <v>569.03239642432709</v>
          </cell>
          <cell r="R18">
            <v>679.21749546830961</v>
          </cell>
        </row>
        <row r="20">
          <cell r="N20" t="str">
            <v>Exelon Corp. Dividend to Shareholders</v>
          </cell>
          <cell r="O20">
            <v>1729.2399999999998</v>
          </cell>
          <cell r="P20">
            <v>1810.48</v>
          </cell>
          <cell r="Q20">
            <v>1810.48</v>
          </cell>
          <cell r="R20">
            <v>1810.48</v>
          </cell>
        </row>
        <row r="21">
          <cell r="H21" t="str">
            <v>Consensus EPS</v>
          </cell>
        </row>
        <row r="22">
          <cell r="H22" t="str">
            <v>EXC</v>
          </cell>
          <cell r="I22" t="str">
            <v>2012e</v>
          </cell>
          <cell r="J22" t="str">
            <v>2013e</v>
          </cell>
          <cell r="K22" t="str">
            <v>2014e</v>
          </cell>
          <cell r="L22" t="str">
            <v>2015e</v>
          </cell>
        </row>
        <row r="23">
          <cell r="H23" t="str">
            <v>MS Forecast</v>
          </cell>
          <cell r="I23">
            <v>2.9966304651270694</v>
          </cell>
          <cell r="J23">
            <v>2.3814831542049957</v>
          </cell>
          <cell r="K23">
            <v>2.2475100203608882</v>
          </cell>
          <cell r="L23">
            <v>2.3798827202685859</v>
          </cell>
        </row>
        <row r="24">
          <cell r="H24" t="str">
            <v>Consensus EPS</v>
          </cell>
          <cell r="I24">
            <v>2.7530000000000001</v>
          </cell>
          <cell r="J24">
            <v>2.613</v>
          </cell>
          <cell r="K24">
            <v>2.4830000000000001</v>
          </cell>
          <cell r="L24">
            <v>2.637</v>
          </cell>
        </row>
        <row r="25">
          <cell r="H25" t="str">
            <v>Consensus EPS - High</v>
          </cell>
          <cell r="I25" t="str">
            <v>Contact Customer Support with log.</v>
          </cell>
          <cell r="J25" t="str">
            <v>Contact Customer Support with log.</v>
          </cell>
          <cell r="K25" t="str">
            <v>Contact Customer Support with log.</v>
          </cell>
          <cell r="L25" t="str">
            <v>Contact Customer Support with log.</v>
          </cell>
        </row>
        <row r="26">
          <cell r="H26" t="str">
            <v>Consensus EPS - Low</v>
          </cell>
          <cell r="I26" t="str">
            <v>Contact Customer Support with log.</v>
          </cell>
          <cell r="J26" t="str">
            <v>Contact Customer Support with log.</v>
          </cell>
          <cell r="K26" t="str">
            <v>Contact Customer Support with log.</v>
          </cell>
          <cell r="L26" t="str">
            <v>Contact Customer Support with log.</v>
          </cell>
        </row>
        <row r="52">
          <cell r="N52" t="str">
            <v>MS Exelon EPS Forecast</v>
          </cell>
          <cell r="O52" t="str">
            <v>2012e</v>
          </cell>
          <cell r="P52" t="str">
            <v>2013e</v>
          </cell>
          <cell r="Q52" t="str">
            <v>2014e</v>
          </cell>
          <cell r="R52" t="str">
            <v>2015e</v>
          </cell>
        </row>
        <row r="54">
          <cell r="N54" t="str">
            <v>ComEd EPS</v>
          </cell>
          <cell r="O54">
            <v>0.42864195638448671</v>
          </cell>
          <cell r="P54">
            <v>0.42753577014087768</v>
          </cell>
          <cell r="Q54">
            <v>0.46655646107310128</v>
          </cell>
          <cell r="R54">
            <v>0.50613253438975048</v>
          </cell>
        </row>
        <row r="55">
          <cell r="N55" t="str">
            <v>PECO EPS</v>
          </cell>
          <cell r="O55">
            <v>0.47046438944015062</v>
          </cell>
          <cell r="P55">
            <v>0.45094583422338286</v>
          </cell>
          <cell r="Q55">
            <v>0.45422483134447711</v>
          </cell>
          <cell r="R55">
            <v>0.47663948172395842</v>
          </cell>
        </row>
        <row r="56">
          <cell r="N56" t="str">
            <v>BG&amp;E EPS</v>
          </cell>
          <cell r="O56">
            <v>8.7964868736960966E-2</v>
          </cell>
          <cell r="P56">
            <v>0.18149583392242308</v>
          </cell>
          <cell r="Q56">
            <v>0.2060794489835398</v>
          </cell>
          <cell r="R56">
            <v>0.27243050963238158</v>
          </cell>
        </row>
        <row r="57">
          <cell r="N57" t="str">
            <v>Total Utility EPS</v>
          </cell>
          <cell r="O57">
            <v>0.9870712145615983</v>
          </cell>
          <cell r="P57">
            <v>1.0599774382866836</v>
          </cell>
          <cell r="Q57">
            <v>1.1268607414011182</v>
          </cell>
          <cell r="R57">
            <v>1.2552025257460904</v>
          </cell>
        </row>
        <row r="59">
          <cell r="N59" t="str">
            <v>ExGen</v>
          </cell>
          <cell r="O59">
            <v>2.0908756360753076</v>
          </cell>
          <cell r="P59">
            <v>1.4445796512897215</v>
          </cell>
          <cell r="Q59">
            <v>1.25009533435488</v>
          </cell>
          <cell r="R59">
            <v>1.2545362390892769</v>
          </cell>
        </row>
        <row r="61">
          <cell r="N61" t="str">
            <v>Parent</v>
          </cell>
          <cell r="O61">
            <v>-8.1316385509836026E-2</v>
          </cell>
          <cell r="P61">
            <v>-0.1230739353714095</v>
          </cell>
          <cell r="Q61">
            <v>-0.12944605539510989</v>
          </cell>
          <cell r="R61">
            <v>-0.12985604456678121</v>
          </cell>
        </row>
        <row r="63">
          <cell r="N63" t="str">
            <v>Consolidated Exelon EPS</v>
          </cell>
          <cell r="O63">
            <v>2.9966304651270694</v>
          </cell>
          <cell r="P63">
            <v>2.3814831542049957</v>
          </cell>
          <cell r="Q63">
            <v>2.2475100203608882</v>
          </cell>
          <cell r="R63">
            <v>2.3798827202685864</v>
          </cell>
        </row>
      </sheetData>
      <sheetData sheetId="14"/>
      <sheetData sheetId="15"/>
      <sheetData sheetId="1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Consol_Income"/>
      <sheetName val="Rate Case"/>
      <sheetName val="Balance Sheet"/>
      <sheetName val="Sheet9"/>
      <sheetName val="Leases"/>
      <sheetName val="Graph"/>
      <sheetName val="Income"/>
      <sheetName val="Financial Summary"/>
      <sheetName val="BizJet Deliveries"/>
      <sheetName val="Exclusion List"/>
      <sheetName val="CFOld"/>
      <sheetName val="PLOld"/>
      <sheetName val="Headline"/>
      <sheetName val="MTT old"/>
      <sheetName val="DOMNETREV1002B"/>
      <sheetName val="Cash flow"/>
      <sheetName val="Profit &amp; Loss"/>
      <sheetName val="Inputs, sensitivity &amp; val"/>
      <sheetName val="c1"/>
      <sheetName val="Monthly figures"/>
      <sheetName val="Consolidated"/>
      <sheetName val="CENMODEL"/>
      <sheetName val="Customize Your Statement"/>
      <sheetName val="Sainsbury"/>
      <sheetName val="KQ"/>
      <sheetName val="Presentation Tables"/>
      <sheetName val="BS"/>
    </sheetNames>
    <definedNames>
      <definedName name="Update_Thi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mailto:michael.dandurand@morganstanley.com" TargetMode="External" Type="http://schemas.openxmlformats.org/officeDocument/2006/relationships/hyperlink"/>
<Relationship Id="rId2" Target="../printerSettings/printerSettings3.bin" Type="http://schemas.openxmlformats.org/officeDocument/2006/relationships/printerSettings"/>
<Relationship Id="rId3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6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drawing7.xml" Type="http://schemas.openxmlformats.org/officeDocument/2006/relationships/drawing"/>
<Relationship Id="rId3" Target="../drawings/vmlDrawing5.vml" Type="http://schemas.openxmlformats.org/officeDocument/2006/relationships/vmlDrawing"/>
<Relationship Id="rId4" Target="../comments5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drawing8.xml" Type="http://schemas.openxmlformats.org/officeDocument/2006/relationships/drawing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drawing9.xml" Type="http://schemas.openxmlformats.org/officeDocument/2006/relationships/drawing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drawing10.xml" Type="http://schemas.openxmlformats.org/officeDocument/2006/relationships/drawing"/>
<Relationship Id="rId3" Target="../drawings/vmlDrawing6.vml" Type="http://schemas.openxmlformats.org/officeDocument/2006/relationships/vmlDrawing"/>
<Relationship Id="rId4" Target="../comments6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"/>
  <sheetViews>
    <sheetView workbookViewId="0"/>
  </sheetViews>
  <sheetFormatPr defaultRowHeight="12.75"/>
  <sheetData>
    <row r="1" spans="1:2">
      <c r="A1" s="42"/>
      <c r="B1" t="s">
        <v>872</v>
      </c>
    </row>
  </sheetData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2055" customWidth="1"/>
    <col min="2" max="5" width="9.140625" style="2055"/>
    <col min="6" max="6" width="18.7109375" style="2055" customWidth="1"/>
    <col min="7" max="256" width="9.140625" style="2055"/>
    <col min="257" max="257" width="100.7109375" style="2055" customWidth="1"/>
    <col min="258" max="512" width="9.140625" style="2055"/>
    <col min="513" max="513" width="100.7109375" style="2055" customWidth="1"/>
    <col min="514" max="768" width="9.140625" style="2055"/>
    <col min="769" max="769" width="100.7109375" style="2055" customWidth="1"/>
    <col min="770" max="1024" width="9.140625" style="2055"/>
    <col min="1025" max="1025" width="100.7109375" style="2055" customWidth="1"/>
    <col min="1026" max="1280" width="9.140625" style="2055"/>
    <col min="1281" max="1281" width="100.7109375" style="2055" customWidth="1"/>
    <col min="1282" max="1536" width="9.140625" style="2055"/>
    <col min="1537" max="1537" width="100.7109375" style="2055" customWidth="1"/>
    <col min="1538" max="1792" width="9.140625" style="2055"/>
    <col min="1793" max="1793" width="100.7109375" style="2055" customWidth="1"/>
    <col min="1794" max="2048" width="9.140625" style="2055"/>
    <col min="2049" max="2049" width="100.7109375" style="2055" customWidth="1"/>
    <col min="2050" max="2304" width="9.140625" style="2055"/>
    <col min="2305" max="2305" width="100.7109375" style="2055" customWidth="1"/>
    <col min="2306" max="2560" width="9.140625" style="2055"/>
    <col min="2561" max="2561" width="100.7109375" style="2055" customWidth="1"/>
    <col min="2562" max="2816" width="9.140625" style="2055"/>
    <col min="2817" max="2817" width="100.7109375" style="2055" customWidth="1"/>
    <col min="2818" max="3072" width="9.140625" style="2055"/>
    <col min="3073" max="3073" width="100.7109375" style="2055" customWidth="1"/>
    <col min="3074" max="3328" width="9.140625" style="2055"/>
    <col min="3329" max="3329" width="100.7109375" style="2055" customWidth="1"/>
    <col min="3330" max="3584" width="9.140625" style="2055"/>
    <col min="3585" max="3585" width="100.7109375" style="2055" customWidth="1"/>
    <col min="3586" max="3840" width="9.140625" style="2055"/>
    <col min="3841" max="3841" width="100.7109375" style="2055" customWidth="1"/>
    <col min="3842" max="4096" width="9.140625" style="2055"/>
    <col min="4097" max="4097" width="100.7109375" style="2055" customWidth="1"/>
    <col min="4098" max="4352" width="9.140625" style="2055"/>
    <col min="4353" max="4353" width="100.7109375" style="2055" customWidth="1"/>
    <col min="4354" max="4608" width="9.140625" style="2055"/>
    <col min="4609" max="4609" width="100.7109375" style="2055" customWidth="1"/>
    <col min="4610" max="4864" width="9.140625" style="2055"/>
    <col min="4865" max="4865" width="100.7109375" style="2055" customWidth="1"/>
    <col min="4866" max="5120" width="9.140625" style="2055"/>
    <col min="5121" max="5121" width="100.7109375" style="2055" customWidth="1"/>
    <col min="5122" max="5376" width="9.140625" style="2055"/>
    <col min="5377" max="5377" width="100.7109375" style="2055" customWidth="1"/>
    <col min="5378" max="5632" width="9.140625" style="2055"/>
    <col min="5633" max="5633" width="100.7109375" style="2055" customWidth="1"/>
    <col min="5634" max="5888" width="9.140625" style="2055"/>
    <col min="5889" max="5889" width="100.7109375" style="2055" customWidth="1"/>
    <col min="5890" max="6144" width="9.140625" style="2055"/>
    <col min="6145" max="6145" width="100.7109375" style="2055" customWidth="1"/>
    <col min="6146" max="6400" width="9.140625" style="2055"/>
    <col min="6401" max="6401" width="100.7109375" style="2055" customWidth="1"/>
    <col min="6402" max="6656" width="9.140625" style="2055"/>
    <col min="6657" max="6657" width="100.7109375" style="2055" customWidth="1"/>
    <col min="6658" max="6912" width="9.140625" style="2055"/>
    <col min="6913" max="6913" width="100.7109375" style="2055" customWidth="1"/>
    <col min="6914" max="7168" width="9.140625" style="2055"/>
    <col min="7169" max="7169" width="100.7109375" style="2055" customWidth="1"/>
    <col min="7170" max="7424" width="9.140625" style="2055"/>
    <col min="7425" max="7425" width="100.7109375" style="2055" customWidth="1"/>
    <col min="7426" max="7680" width="9.140625" style="2055"/>
    <col min="7681" max="7681" width="100.7109375" style="2055" customWidth="1"/>
    <col min="7682" max="7936" width="9.140625" style="2055"/>
    <col min="7937" max="7937" width="100.7109375" style="2055" customWidth="1"/>
    <col min="7938" max="8192" width="9.140625" style="2055"/>
    <col min="8193" max="8193" width="100.7109375" style="2055" customWidth="1"/>
    <col min="8194" max="8448" width="9.140625" style="2055"/>
    <col min="8449" max="8449" width="100.7109375" style="2055" customWidth="1"/>
    <col min="8450" max="8704" width="9.140625" style="2055"/>
    <col min="8705" max="8705" width="100.7109375" style="2055" customWidth="1"/>
    <col min="8706" max="8960" width="9.140625" style="2055"/>
    <col min="8961" max="8961" width="100.7109375" style="2055" customWidth="1"/>
    <col min="8962" max="9216" width="9.140625" style="2055"/>
    <col min="9217" max="9217" width="100.7109375" style="2055" customWidth="1"/>
    <col min="9218" max="9472" width="9.140625" style="2055"/>
    <col min="9473" max="9473" width="100.7109375" style="2055" customWidth="1"/>
    <col min="9474" max="9728" width="9.140625" style="2055"/>
    <col min="9729" max="9729" width="100.7109375" style="2055" customWidth="1"/>
    <col min="9730" max="9984" width="9.140625" style="2055"/>
    <col min="9985" max="9985" width="100.7109375" style="2055" customWidth="1"/>
    <col min="9986" max="10240" width="9.140625" style="2055"/>
    <col min="10241" max="10241" width="100.7109375" style="2055" customWidth="1"/>
    <col min="10242" max="10496" width="9.140625" style="2055"/>
    <col min="10497" max="10497" width="100.7109375" style="2055" customWidth="1"/>
    <col min="10498" max="10752" width="9.140625" style="2055"/>
    <col min="10753" max="10753" width="100.7109375" style="2055" customWidth="1"/>
    <col min="10754" max="11008" width="9.140625" style="2055"/>
    <col min="11009" max="11009" width="100.7109375" style="2055" customWidth="1"/>
    <col min="11010" max="11264" width="9.140625" style="2055"/>
    <col min="11265" max="11265" width="100.7109375" style="2055" customWidth="1"/>
    <col min="11266" max="11520" width="9.140625" style="2055"/>
    <col min="11521" max="11521" width="100.7109375" style="2055" customWidth="1"/>
    <col min="11522" max="11776" width="9.140625" style="2055"/>
    <col min="11777" max="11777" width="100.7109375" style="2055" customWidth="1"/>
    <col min="11778" max="12032" width="9.140625" style="2055"/>
    <col min="12033" max="12033" width="100.7109375" style="2055" customWidth="1"/>
    <col min="12034" max="12288" width="9.140625" style="2055"/>
    <col min="12289" max="12289" width="100.7109375" style="2055" customWidth="1"/>
    <col min="12290" max="12544" width="9.140625" style="2055"/>
    <col min="12545" max="12545" width="100.7109375" style="2055" customWidth="1"/>
    <col min="12546" max="12800" width="9.140625" style="2055"/>
    <col min="12801" max="12801" width="100.7109375" style="2055" customWidth="1"/>
    <col min="12802" max="13056" width="9.140625" style="2055"/>
    <col min="13057" max="13057" width="100.7109375" style="2055" customWidth="1"/>
    <col min="13058" max="13312" width="9.140625" style="2055"/>
    <col min="13313" max="13313" width="100.7109375" style="2055" customWidth="1"/>
    <col min="13314" max="13568" width="9.140625" style="2055"/>
    <col min="13569" max="13569" width="100.7109375" style="2055" customWidth="1"/>
    <col min="13570" max="13824" width="9.140625" style="2055"/>
    <col min="13825" max="13825" width="100.7109375" style="2055" customWidth="1"/>
    <col min="13826" max="14080" width="9.140625" style="2055"/>
    <col min="14081" max="14081" width="100.7109375" style="2055" customWidth="1"/>
    <col min="14082" max="14336" width="9.140625" style="2055"/>
    <col min="14337" max="14337" width="100.7109375" style="2055" customWidth="1"/>
    <col min="14338" max="14592" width="9.140625" style="2055"/>
    <col min="14593" max="14593" width="100.7109375" style="2055" customWidth="1"/>
    <col min="14594" max="14848" width="9.140625" style="2055"/>
    <col min="14849" max="14849" width="100.7109375" style="2055" customWidth="1"/>
    <col min="14850" max="15104" width="9.140625" style="2055"/>
    <col min="15105" max="15105" width="100.7109375" style="2055" customWidth="1"/>
    <col min="15106" max="15360" width="9.140625" style="2055"/>
    <col min="15361" max="15361" width="100.7109375" style="2055" customWidth="1"/>
    <col min="15362" max="15616" width="9.140625" style="2055"/>
    <col min="15617" max="15617" width="100.7109375" style="2055" customWidth="1"/>
    <col min="15618" max="15872" width="9.140625" style="2055"/>
    <col min="15873" max="15873" width="100.7109375" style="2055" customWidth="1"/>
    <col min="15874" max="16128" width="9.140625" style="2055"/>
    <col min="16129" max="16129" width="100.7109375" style="2055" customWidth="1"/>
    <col min="16130" max="16384" width="9.140625" style="2055"/>
  </cols>
  <sheetData>
    <row r="1" spans="1:8" ht="30" customHeight="1">
      <c r="A1" s="2053"/>
      <c r="B1" s="2054"/>
      <c r="C1" s="2054"/>
      <c r="D1" s="2054"/>
      <c r="E1" s="2054"/>
      <c r="F1" s="2054"/>
      <c r="G1" s="2054"/>
      <c r="H1" s="2054"/>
    </row>
    <row r="2" spans="1:8" ht="14.25">
      <c r="A2" s="2056" t="s">
        <v>1049</v>
      </c>
      <c r="B2" s="2054"/>
      <c r="C2" s="2054"/>
      <c r="D2" s="2054"/>
      <c r="E2" s="2054"/>
      <c r="F2" s="2054"/>
      <c r="G2" s="2054"/>
      <c r="H2" s="2054"/>
    </row>
    <row r="3" spans="1:8" ht="14.25">
      <c r="A3" s="2056" t="s">
        <v>1050</v>
      </c>
      <c r="B3" s="2054"/>
      <c r="C3" s="2054"/>
      <c r="D3" s="2054"/>
      <c r="E3" s="2054"/>
      <c r="F3" s="2054"/>
      <c r="G3" s="2054"/>
      <c r="H3" s="2054"/>
    </row>
    <row r="4" spans="1:8" ht="14.25">
      <c r="A4" s="2056" t="s">
        <v>1051</v>
      </c>
      <c r="B4" s="2054"/>
      <c r="C4" s="2054"/>
      <c r="D4" s="2054"/>
      <c r="E4" s="2054"/>
      <c r="F4" s="2054"/>
      <c r="G4" s="2054"/>
      <c r="H4" s="2054"/>
    </row>
    <row r="5" spans="1:8" ht="14.25">
      <c r="A5" s="2056" t="s">
        <v>1052</v>
      </c>
      <c r="B5" s="2054"/>
      <c r="C5" s="2054"/>
      <c r="D5" s="2054"/>
      <c r="E5" s="2054"/>
      <c r="F5" s="2054"/>
      <c r="G5" s="2054"/>
      <c r="H5" s="2054"/>
    </row>
    <row r="6" spans="1:8" ht="14.25">
      <c r="A6" s="2056"/>
      <c r="B6" s="2054"/>
      <c r="C6" s="2054"/>
      <c r="D6" s="2054"/>
      <c r="E6" s="2054"/>
      <c r="F6" s="2054"/>
      <c r="G6" s="2054"/>
      <c r="H6" s="2054"/>
    </row>
    <row r="7" spans="1:8">
      <c r="A7" s="2053" t="s">
        <v>1053</v>
      </c>
      <c r="B7" s="2054"/>
      <c r="C7" s="2054"/>
      <c r="D7" s="2054"/>
      <c r="E7" s="2054"/>
      <c r="F7" s="2054"/>
      <c r="G7" s="2054"/>
      <c r="H7" s="2054"/>
    </row>
    <row r="8" spans="1:8">
      <c r="A8" s="2053" t="s">
        <v>1054</v>
      </c>
      <c r="B8" s="2054"/>
      <c r="C8" s="2054"/>
      <c r="D8" s="2054"/>
      <c r="E8" s="2054"/>
      <c r="F8" s="2054"/>
      <c r="G8" s="2054"/>
      <c r="H8" s="2054"/>
    </row>
    <row r="9" spans="1:8">
      <c r="A9" s="2053"/>
      <c r="B9" s="2054"/>
      <c r="C9" s="2054"/>
      <c r="D9" s="2054"/>
      <c r="E9" s="2054"/>
      <c r="F9" s="2054"/>
      <c r="G9" s="2054"/>
      <c r="H9" s="2054"/>
    </row>
    <row r="10" spans="1:8">
      <c r="A10" s="2057" t="s">
        <v>1055</v>
      </c>
      <c r="B10" s="2054"/>
      <c r="C10" s="2054"/>
      <c r="D10" s="2054"/>
      <c r="E10" s="2054"/>
      <c r="F10" s="2054"/>
      <c r="G10" s="2054"/>
      <c r="H10" s="2054"/>
    </row>
    <row r="11" spans="1:8">
      <c r="A11" s="2057" t="s">
        <v>1056</v>
      </c>
      <c r="B11" s="2054"/>
      <c r="C11" s="2054"/>
      <c r="D11" s="2054"/>
      <c r="E11" s="2054"/>
      <c r="F11" s="2054"/>
      <c r="G11" s="2054"/>
      <c r="H11" s="2054"/>
    </row>
    <row r="12" spans="1:8">
      <c r="A12" s="2057" t="s">
        <v>1057</v>
      </c>
      <c r="B12" s="2054"/>
      <c r="C12" s="2054"/>
      <c r="D12" s="2054"/>
      <c r="E12" s="2054"/>
      <c r="F12" s="2054"/>
      <c r="G12" s="2054"/>
      <c r="H12" s="2054"/>
    </row>
    <row r="13" spans="1:8">
      <c r="A13" s="2057" t="s">
        <v>1058</v>
      </c>
      <c r="B13" s="2054"/>
      <c r="C13" s="2054"/>
      <c r="D13" s="2054"/>
      <c r="E13" s="2054"/>
      <c r="F13" s="2054"/>
      <c r="G13" s="2054"/>
      <c r="H13" s="2054"/>
    </row>
    <row r="14" spans="1:8">
      <c r="A14" s="2057" t="s">
        <v>1059</v>
      </c>
      <c r="B14" s="2054"/>
      <c r="C14" s="2054"/>
      <c r="D14" s="2054"/>
      <c r="E14" s="2054"/>
      <c r="F14" s="2054"/>
      <c r="G14" s="2054"/>
      <c r="H14" s="2054"/>
    </row>
    <row r="15" spans="1:8">
      <c r="A15" s="2057" t="s">
        <v>1060</v>
      </c>
      <c r="B15" s="2054"/>
      <c r="C15" s="2054"/>
      <c r="D15" s="2054"/>
      <c r="E15" s="2054"/>
      <c r="F15" s="2054"/>
      <c r="G15" s="2054"/>
      <c r="H15" s="2054"/>
    </row>
    <row r="16" spans="1:8">
      <c r="A16" s="2057"/>
      <c r="B16" s="2054"/>
      <c r="C16" s="2054"/>
      <c r="D16" s="2054"/>
      <c r="E16" s="2054"/>
      <c r="F16" s="2054"/>
      <c r="G16" s="2054"/>
      <c r="H16" s="2054"/>
    </row>
    <row r="17" spans="1:8">
      <c r="A17" s="2057" t="s">
        <v>1046</v>
      </c>
      <c r="B17" s="2054"/>
      <c r="C17" s="2054"/>
      <c r="D17" s="2054"/>
      <c r="E17" s="2054"/>
      <c r="F17" s="2054"/>
      <c r="G17" s="2054"/>
      <c r="H17" s="2054"/>
    </row>
    <row r="18" spans="1:8">
      <c r="A18" s="2057"/>
      <c r="B18" s="2054"/>
      <c r="C18" s="2054"/>
      <c r="D18" s="2054"/>
      <c r="E18" s="2054"/>
      <c r="F18" s="2054"/>
      <c r="G18" s="2054"/>
      <c r="H18" s="2054"/>
    </row>
    <row r="19" spans="1:8">
      <c r="A19" s="2057" t="s">
        <v>1047</v>
      </c>
      <c r="B19" s="2054"/>
      <c r="C19" s="2054"/>
      <c r="D19" s="2054"/>
      <c r="E19" s="2054"/>
      <c r="F19" s="2054"/>
      <c r="G19" s="2054"/>
      <c r="H19" s="2054"/>
    </row>
    <row r="20" spans="1:8">
      <c r="A20" s="2053"/>
      <c r="B20" s="2054"/>
      <c r="C20" s="2054"/>
      <c r="D20" s="2054"/>
      <c r="E20" s="2054"/>
      <c r="F20" s="2054"/>
      <c r="G20" s="2054"/>
      <c r="H20" s="2054"/>
    </row>
    <row r="21" spans="1:8">
      <c r="A21" s="2058" t="s">
        <v>1048</v>
      </c>
      <c r="B21" s="2054"/>
      <c r="C21" s="2054"/>
      <c r="D21" s="2054"/>
      <c r="E21" s="2054"/>
      <c r="F21" s="2054"/>
      <c r="G21" s="2054"/>
      <c r="H21" s="2054"/>
    </row>
    <row r="22" spans="1:8">
      <c r="A22" s="2059"/>
      <c r="B22" s="2059"/>
      <c r="C22" s="2059"/>
      <c r="D22" s="2059"/>
      <c r="E22" s="2059"/>
      <c r="F22" s="2059"/>
      <c r="G22" s="2059"/>
      <c r="H22" s="2059"/>
    </row>
    <row r="23" spans="1:8">
      <c r="A23" s="2060" t="s">
        <v>1343</v>
      </c>
      <c r="B23" s="2059"/>
      <c r="C23" s="2059"/>
      <c r="D23" s="2059"/>
      <c r="E23" s="2059"/>
      <c r="F23" s="2059"/>
      <c r="G23" s="2059"/>
      <c r="H23" s="2059"/>
    </row>
    <row r="24" spans="1:8">
      <c r="A24" s="2060" t="s">
        <v>1344</v>
      </c>
      <c r="B24" s="2059"/>
      <c r="C24" s="2059"/>
      <c r="D24" s="2059"/>
      <c r="E24" s="2059"/>
      <c r="F24" s="2059"/>
      <c r="G24" s="2059"/>
      <c r="H24" s="2059"/>
    </row>
    <row r="25" spans="1:8">
      <c r="A25" s="2060" t="s">
        <v>1345</v>
      </c>
      <c r="B25" s="2059"/>
      <c r="C25" s="2059"/>
      <c r="D25" s="2059"/>
      <c r="E25" s="2059"/>
      <c r="F25" s="2059"/>
      <c r="G25" s="2059"/>
      <c r="H25" s="2059"/>
    </row>
    <row r="26" spans="1:8">
      <c r="A26" s="2060" t="s">
        <v>1346</v>
      </c>
      <c r="B26" s="2059"/>
      <c r="C26" s="2059"/>
      <c r="D26" s="2059"/>
      <c r="E26" s="2059"/>
      <c r="F26" s="2059"/>
      <c r="G26" s="2059"/>
      <c r="H26" s="2059"/>
    </row>
    <row r="27" spans="1:8">
      <c r="A27" s="2059"/>
      <c r="B27" s="2059"/>
      <c r="C27" s="2059"/>
      <c r="D27" s="2059"/>
      <c r="E27" s="2059"/>
      <c r="F27" s="2059"/>
      <c r="G27" s="2059"/>
      <c r="H27" s="2059"/>
    </row>
    <row r="28" spans="1:8">
      <c r="A28" s="2059"/>
      <c r="B28" s="2059"/>
      <c r="C28" s="2059"/>
      <c r="D28" s="2059"/>
      <c r="E28" s="2059"/>
      <c r="F28" s="2059"/>
      <c r="G28" s="2059"/>
      <c r="H28" s="2059"/>
    </row>
    <row r="29" spans="1:8">
      <c r="A29" s="2060" t="s">
        <v>1338</v>
      </c>
      <c r="B29" s="2059"/>
      <c r="C29" s="2059"/>
      <c r="D29" s="2059"/>
      <c r="E29" s="2059"/>
      <c r="F29" s="2059"/>
      <c r="G29" s="2059"/>
      <c r="H29" s="2059"/>
    </row>
    <row r="30" spans="1:8">
      <c r="A30" s="2060" t="s">
        <v>1339</v>
      </c>
      <c r="B30" s="2059"/>
      <c r="C30" s="2059"/>
      <c r="D30" s="2059"/>
      <c r="E30" s="2059"/>
      <c r="F30" s="2059"/>
      <c r="G30" s="2059"/>
      <c r="H30" s="2059"/>
    </row>
    <row r="31" spans="1:8">
      <c r="A31" s="2060" t="s">
        <v>1340</v>
      </c>
      <c r="B31" s="2059"/>
      <c r="C31" s="2059"/>
      <c r="D31" s="2059"/>
      <c r="E31" s="2059"/>
      <c r="F31" s="2059"/>
      <c r="G31" s="2059"/>
      <c r="H31" s="2059"/>
    </row>
    <row r="32" spans="1:8">
      <c r="A32" s="2060" t="s">
        <v>1341</v>
      </c>
      <c r="B32" s="2059"/>
      <c r="C32" s="2059"/>
      <c r="D32" s="2059"/>
      <c r="E32" s="2059"/>
      <c r="F32" s="2059"/>
      <c r="G32" s="2059"/>
      <c r="H32" s="2059"/>
    </row>
    <row r="33" spans="1:8">
      <c r="A33" s="2060" t="s">
        <v>1342</v>
      </c>
      <c r="B33" s="2059"/>
      <c r="C33" s="2059"/>
      <c r="D33" s="2059"/>
      <c r="E33" s="2059"/>
      <c r="F33" s="2059"/>
      <c r="G33" s="2059"/>
      <c r="H33" s="2059"/>
    </row>
    <row r="34" spans="1:8">
      <c r="A34" s="2059"/>
      <c r="B34" s="2059"/>
      <c r="C34" s="2059"/>
      <c r="D34" s="2059"/>
      <c r="E34" s="2059"/>
      <c r="F34" s="2059"/>
      <c r="G34" s="2059"/>
      <c r="H34" s="2059"/>
    </row>
    <row r="35" spans="1:8">
      <c r="A35" s="2060" t="s">
        <v>1334</v>
      </c>
      <c r="B35" s="2059"/>
      <c r="C35" s="2059"/>
      <c r="D35" s="2059"/>
      <c r="E35" s="2059"/>
      <c r="F35" s="2059"/>
      <c r="G35" s="2059"/>
      <c r="H35" s="2059"/>
    </row>
    <row r="36" spans="1:8">
      <c r="A36" s="2060" t="s">
        <v>1335</v>
      </c>
      <c r="B36" s="2059"/>
      <c r="C36" s="2059"/>
      <c r="D36" s="2059"/>
      <c r="E36" s="2059"/>
      <c r="F36" s="2059"/>
      <c r="G36" s="2059"/>
      <c r="H36" s="2059"/>
    </row>
    <row r="37" spans="1:8">
      <c r="A37" s="2060" t="s">
        <v>1336</v>
      </c>
      <c r="B37" s="2059"/>
      <c r="C37" s="2059"/>
      <c r="D37" s="2059"/>
      <c r="E37" s="2059"/>
      <c r="F37" s="2059"/>
      <c r="G37" s="2059"/>
      <c r="H37" s="2059"/>
    </row>
    <row r="38" spans="1:8">
      <c r="A38" s="2060" t="s">
        <v>1337</v>
      </c>
      <c r="B38" s="2059"/>
      <c r="C38" s="2059"/>
      <c r="D38" s="2059"/>
      <c r="E38" s="2059"/>
      <c r="F38" s="2059"/>
      <c r="G38" s="2059"/>
      <c r="H38" s="2059"/>
    </row>
    <row r="39" spans="1:8">
      <c r="A39" s="2059"/>
      <c r="B39" s="2059"/>
      <c r="C39" s="2059"/>
      <c r="D39" s="2059"/>
      <c r="E39" s="2059"/>
      <c r="F39" s="2059"/>
      <c r="G39" s="2059"/>
      <c r="H39" s="2059"/>
    </row>
    <row r="40" spans="1:8">
      <c r="A40" s="2060" t="s">
        <v>1328</v>
      </c>
      <c r="B40" s="2059"/>
      <c r="C40" s="2059"/>
      <c r="D40" s="2059"/>
      <c r="E40" s="2059"/>
      <c r="F40" s="2059"/>
      <c r="G40" s="2059"/>
      <c r="H40" s="2059"/>
    </row>
    <row r="41" spans="1:8">
      <c r="A41" s="2060" t="s">
        <v>1329</v>
      </c>
      <c r="B41" s="2059"/>
      <c r="C41" s="2059"/>
      <c r="D41" s="2059"/>
      <c r="E41" s="2059"/>
      <c r="F41" s="2059"/>
      <c r="G41" s="2059"/>
      <c r="H41" s="2059"/>
    </row>
    <row r="42" spans="1:8">
      <c r="A42" s="2060" t="s">
        <v>1330</v>
      </c>
      <c r="B42" s="2059"/>
      <c r="C42" s="2059"/>
      <c r="D42" s="2059"/>
      <c r="E42" s="2059"/>
      <c r="F42" s="2059"/>
      <c r="G42" s="2059"/>
      <c r="H42" s="2059"/>
    </row>
    <row r="43" spans="1:8">
      <c r="A43" s="2060" t="s">
        <v>1331</v>
      </c>
      <c r="B43" s="2059"/>
      <c r="C43" s="2059"/>
      <c r="D43" s="2059"/>
      <c r="E43" s="2059"/>
      <c r="F43" s="2059"/>
      <c r="G43" s="2059"/>
      <c r="H43" s="2059"/>
    </row>
    <row r="44" spans="1:8">
      <c r="A44" s="2060" t="s">
        <v>1332</v>
      </c>
      <c r="B44" s="2059"/>
      <c r="C44" s="2059"/>
      <c r="D44" s="2059"/>
      <c r="E44" s="2059"/>
      <c r="F44" s="2059"/>
      <c r="G44" s="2059"/>
      <c r="H44" s="2059"/>
    </row>
    <row r="45" spans="1:8">
      <c r="A45" s="2060" t="s">
        <v>1333</v>
      </c>
      <c r="B45" s="2059"/>
      <c r="C45" s="2059"/>
      <c r="D45" s="2059"/>
      <c r="E45" s="2059"/>
      <c r="F45" s="2059"/>
      <c r="G45" s="2059"/>
      <c r="H45" s="2059"/>
    </row>
    <row r="46" spans="1:8">
      <c r="A46" s="2059"/>
      <c r="B46" s="2059"/>
      <c r="C46" s="2059"/>
      <c r="D46" s="2059"/>
      <c r="E46" s="2059"/>
      <c r="F46" s="2059"/>
      <c r="G46" s="2059"/>
      <c r="H46" s="2059"/>
    </row>
    <row r="47" spans="1:8" ht="15.75">
      <c r="A47" s="2061" t="s">
        <v>1061</v>
      </c>
      <c r="B47" s="2059"/>
      <c r="C47" s="2059"/>
      <c r="D47" s="2059"/>
      <c r="E47" s="2059"/>
      <c r="F47" s="2059"/>
      <c r="G47" s="2059"/>
      <c r="H47" s="2059"/>
    </row>
    <row r="48" spans="1:8">
      <c r="A48" s="2059"/>
      <c r="B48" s="2059"/>
      <c r="C48" s="2059"/>
      <c r="D48" s="2059"/>
      <c r="E48" s="2059"/>
      <c r="F48" s="2059"/>
      <c r="G48" s="2059"/>
      <c r="H48" s="2059"/>
    </row>
    <row r="49" spans="1:8">
      <c r="A49" s="2060" t="s">
        <v>1324</v>
      </c>
      <c r="B49" s="2059"/>
      <c r="C49" s="2059"/>
      <c r="D49" s="2059"/>
      <c r="E49" s="2059"/>
      <c r="F49" s="2059"/>
      <c r="G49" s="2059"/>
      <c r="H49" s="2059"/>
    </row>
    <row r="50" spans="1:8">
      <c r="A50" s="2060" t="s">
        <v>1325</v>
      </c>
      <c r="B50" s="2059"/>
      <c r="C50" s="2059"/>
      <c r="D50" s="2059"/>
      <c r="E50" s="2059"/>
      <c r="F50" s="2059"/>
      <c r="G50" s="2059"/>
      <c r="H50" s="2059"/>
    </row>
    <row r="51" spans="1:8">
      <c r="A51" s="2060" t="s">
        <v>1326</v>
      </c>
      <c r="B51" s="2059"/>
      <c r="C51" s="2059"/>
      <c r="D51" s="2059"/>
      <c r="E51" s="2059"/>
      <c r="F51" s="2059"/>
      <c r="G51" s="2059"/>
      <c r="H51" s="2059"/>
    </row>
    <row r="52" spans="1:8">
      <c r="A52" s="2060" t="s">
        <v>1327</v>
      </c>
      <c r="B52" s="2059"/>
      <c r="C52" s="2059"/>
      <c r="D52" s="2059"/>
      <c r="E52" s="2059"/>
      <c r="F52" s="2059"/>
      <c r="G52" s="2059"/>
      <c r="H52" s="2059"/>
    </row>
    <row r="53" spans="1:8">
      <c r="A53" s="2059"/>
      <c r="B53" s="2059"/>
      <c r="C53" s="2059"/>
      <c r="D53" s="2059"/>
      <c r="E53" s="2059"/>
      <c r="F53" s="2059"/>
      <c r="G53" s="2059"/>
      <c r="H53" s="2059"/>
    </row>
    <row r="54" spans="1:8">
      <c r="A54" s="2060" t="s">
        <v>1062</v>
      </c>
      <c r="B54" s="2059"/>
      <c r="C54" s="2059"/>
      <c r="D54" s="2059"/>
      <c r="E54" s="2059"/>
      <c r="F54" s="2059"/>
      <c r="G54" s="2059"/>
      <c r="H54" s="2059"/>
    </row>
    <row r="55" spans="1:8">
      <c r="A55" s="2059"/>
      <c r="B55" s="2059"/>
      <c r="C55" s="2059"/>
      <c r="D55" s="2059"/>
      <c r="E55" s="2059"/>
      <c r="F55" s="2059"/>
      <c r="G55" s="2059"/>
      <c r="H55" s="2059"/>
    </row>
    <row r="56" spans="1:8" ht="15.75">
      <c r="A56" s="2061" t="s">
        <v>1063</v>
      </c>
      <c r="B56" s="2059"/>
      <c r="C56" s="2059"/>
      <c r="D56" s="2059"/>
      <c r="E56" s="2059"/>
      <c r="F56" s="2059"/>
      <c r="G56" s="2059"/>
      <c r="H56" s="2059"/>
    </row>
    <row r="57" spans="1:8">
      <c r="A57" s="2059"/>
      <c r="B57" s="2059"/>
      <c r="C57" s="2059"/>
      <c r="D57" s="2059"/>
      <c r="E57" s="2059"/>
      <c r="F57" s="2059"/>
      <c r="G57" s="2059"/>
      <c r="H57" s="2059"/>
    </row>
    <row r="58" spans="1:8">
      <c r="A58" s="2060" t="s">
        <v>1322</v>
      </c>
      <c r="B58" s="2059"/>
      <c r="C58" s="2059"/>
      <c r="D58" s="2059"/>
      <c r="E58" s="2059"/>
      <c r="F58" s="2059"/>
      <c r="G58" s="2059"/>
      <c r="H58" s="2059"/>
    </row>
    <row r="59" spans="1:8">
      <c r="A59" s="2060" t="s">
        <v>1323</v>
      </c>
      <c r="B59" s="2059"/>
      <c r="C59" s="2059"/>
      <c r="D59" s="2059"/>
      <c r="E59" s="2059"/>
      <c r="F59" s="2059"/>
      <c r="G59" s="2059"/>
      <c r="H59" s="2059"/>
    </row>
    <row r="60" spans="1:8">
      <c r="A60" s="2059"/>
      <c r="B60" s="2059"/>
      <c r="C60" s="2059"/>
      <c r="D60" s="2059"/>
      <c r="E60" s="2059"/>
      <c r="F60" s="2059"/>
      <c r="G60" s="2059"/>
      <c r="H60" s="2059"/>
    </row>
    <row r="61" spans="1:8" ht="15.75">
      <c r="A61" s="2061" t="s">
        <v>1064</v>
      </c>
      <c r="B61" s="2059"/>
      <c r="C61" s="2059"/>
      <c r="D61" s="2059"/>
      <c r="E61" s="2059"/>
      <c r="F61" s="2059"/>
      <c r="G61" s="2059"/>
      <c r="H61" s="2059"/>
    </row>
    <row r="62" spans="1:8">
      <c r="A62" s="2059"/>
      <c r="B62" s="2059"/>
      <c r="C62" s="2059"/>
      <c r="D62" s="2059"/>
      <c r="E62" s="2059"/>
      <c r="F62" s="2059"/>
      <c r="G62" s="2059"/>
      <c r="H62" s="2059"/>
    </row>
    <row r="63" spans="1:8">
      <c r="A63" s="2060" t="s">
        <v>1320</v>
      </c>
      <c r="B63" s="2059"/>
      <c r="C63" s="2059"/>
      <c r="D63" s="2059"/>
      <c r="E63" s="2059"/>
      <c r="F63" s="2059"/>
      <c r="G63" s="2059"/>
      <c r="H63" s="2059"/>
    </row>
    <row r="64" spans="1:8">
      <c r="A64" s="2060" t="s">
        <v>1321</v>
      </c>
      <c r="B64" s="2059"/>
      <c r="C64" s="2059"/>
      <c r="D64" s="2059"/>
      <c r="E64" s="2059"/>
      <c r="F64" s="2059"/>
      <c r="G64" s="2059"/>
      <c r="H64" s="2059"/>
    </row>
    <row r="65" spans="1:8">
      <c r="A65" s="2059"/>
      <c r="B65" s="2059"/>
      <c r="C65" s="2059"/>
      <c r="D65" s="2059"/>
      <c r="E65" s="2059"/>
      <c r="F65" s="2059"/>
      <c r="G65" s="2059"/>
      <c r="H65" s="2059"/>
    </row>
    <row r="66" spans="1:8">
      <c r="A66" s="2060" t="s">
        <v>1318</v>
      </c>
      <c r="B66" s="2059"/>
      <c r="C66" s="2059"/>
      <c r="D66" s="2059"/>
      <c r="E66" s="2059"/>
      <c r="F66" s="2059"/>
      <c r="G66" s="2059"/>
      <c r="H66" s="2059"/>
    </row>
    <row r="67" spans="1:8">
      <c r="A67" s="2060" t="s">
        <v>1319</v>
      </c>
      <c r="B67" s="2059"/>
      <c r="C67" s="2059"/>
      <c r="D67" s="2059"/>
      <c r="E67" s="2059"/>
      <c r="F67" s="2059"/>
      <c r="G67" s="2059"/>
      <c r="H67" s="2059"/>
    </row>
    <row r="68" spans="1:8">
      <c r="A68" s="2059"/>
      <c r="B68" s="2059"/>
      <c r="C68" s="2059"/>
      <c r="D68" s="2059"/>
      <c r="E68" s="2059"/>
      <c r="F68" s="2059"/>
      <c r="G68" s="2059"/>
      <c r="H68" s="2059"/>
    </row>
    <row r="69" spans="1:8">
      <c r="A69" s="2060" t="s">
        <v>1316</v>
      </c>
      <c r="B69" s="2059"/>
      <c r="C69" s="2059"/>
      <c r="D69" s="2059"/>
      <c r="E69" s="2059"/>
      <c r="F69" s="2059"/>
      <c r="G69" s="2059"/>
      <c r="H69" s="2059"/>
    </row>
    <row r="70" spans="1:8">
      <c r="A70" s="2060" t="s">
        <v>1317</v>
      </c>
      <c r="B70" s="2059"/>
      <c r="C70" s="2059"/>
      <c r="D70" s="2059"/>
      <c r="E70" s="2059"/>
      <c r="F70" s="2059"/>
      <c r="G70" s="2059"/>
      <c r="H70" s="2059"/>
    </row>
    <row r="71" spans="1:8">
      <c r="A71" s="2059"/>
      <c r="B71" s="2059"/>
      <c r="C71" s="2059"/>
      <c r="D71" s="2059"/>
      <c r="E71" s="2059"/>
      <c r="F71" s="2059"/>
      <c r="G71" s="2059"/>
      <c r="H71" s="2059"/>
    </row>
    <row r="72" spans="1:8">
      <c r="A72" s="2060" t="s">
        <v>1314</v>
      </c>
      <c r="B72" s="2059"/>
      <c r="C72" s="2059"/>
      <c r="D72" s="2059"/>
      <c r="E72" s="2059"/>
      <c r="F72" s="2059"/>
      <c r="G72" s="2059"/>
      <c r="H72" s="2059"/>
    </row>
    <row r="73" spans="1:8">
      <c r="A73" s="2060" t="s">
        <v>1315</v>
      </c>
      <c r="B73" s="2059"/>
      <c r="C73" s="2059"/>
      <c r="D73" s="2059"/>
      <c r="E73" s="2059"/>
      <c r="F73" s="2059"/>
      <c r="G73" s="2059"/>
      <c r="H73" s="2059"/>
    </row>
    <row r="74" spans="1:8">
      <c r="A74" s="2059"/>
      <c r="B74" s="2059"/>
      <c r="C74" s="2059"/>
      <c r="D74" s="2059"/>
      <c r="E74" s="2059"/>
      <c r="F74" s="2059"/>
      <c r="G74" s="2059"/>
      <c r="H74" s="2059"/>
    </row>
    <row r="75" spans="1:8">
      <c r="A75" s="2060" t="s">
        <v>1312</v>
      </c>
      <c r="B75" s="2059"/>
      <c r="C75" s="2059"/>
      <c r="D75" s="2059"/>
      <c r="E75" s="2059"/>
      <c r="F75" s="2059"/>
      <c r="G75" s="2059"/>
      <c r="H75" s="2059"/>
    </row>
    <row r="76" spans="1:8">
      <c r="A76" s="2060" t="s">
        <v>1313</v>
      </c>
      <c r="B76" s="2059"/>
      <c r="C76" s="2059"/>
      <c r="D76" s="2059"/>
      <c r="E76" s="2059"/>
      <c r="F76" s="2059"/>
      <c r="G76" s="2059"/>
      <c r="H76" s="2059"/>
    </row>
    <row r="77" spans="1:8">
      <c r="A77" s="2059"/>
      <c r="B77" s="2059"/>
      <c r="C77" s="2059"/>
      <c r="D77" s="2059"/>
      <c r="E77" s="2059"/>
      <c r="F77" s="2059"/>
      <c r="G77" s="2059"/>
      <c r="H77" s="2059"/>
    </row>
    <row r="78" spans="1:8">
      <c r="A78" s="2060" t="s">
        <v>1309</v>
      </c>
      <c r="B78" s="2059"/>
      <c r="C78" s="2059"/>
      <c r="D78" s="2059"/>
      <c r="E78" s="2059"/>
      <c r="F78" s="2059"/>
      <c r="G78" s="2059"/>
      <c r="H78" s="2059"/>
    </row>
    <row r="79" spans="1:8">
      <c r="A79" s="2060" t="s">
        <v>1310</v>
      </c>
      <c r="B79" s="2059"/>
      <c r="C79" s="2059"/>
      <c r="D79" s="2059"/>
      <c r="E79" s="2059"/>
      <c r="F79" s="2059"/>
      <c r="G79" s="2059"/>
      <c r="H79" s="2059"/>
    </row>
    <row r="80" spans="1:8">
      <c r="A80" s="2060" t="s">
        <v>1311</v>
      </c>
      <c r="B80" s="2059"/>
      <c r="C80" s="2059"/>
      <c r="D80" s="2059"/>
      <c r="E80" s="2059"/>
      <c r="F80" s="2059"/>
      <c r="G80" s="2059"/>
      <c r="H80" s="2059"/>
    </row>
    <row r="81" spans="1:8">
      <c r="A81" s="2059"/>
      <c r="B81" s="2059"/>
      <c r="C81" s="2059"/>
      <c r="D81" s="2059"/>
      <c r="E81" s="2059"/>
      <c r="F81" s="2059"/>
      <c r="G81" s="2059"/>
      <c r="H81" s="2059"/>
    </row>
    <row r="82" spans="1:8">
      <c r="A82" s="2060" t="s">
        <v>1065</v>
      </c>
      <c r="B82" s="2059"/>
      <c r="C82" s="2059"/>
      <c r="D82" s="2059"/>
      <c r="E82" s="2059"/>
      <c r="F82" s="2059"/>
      <c r="G82" s="2059"/>
      <c r="H82" s="2059"/>
    </row>
    <row r="83" spans="1:8">
      <c r="A83" s="2059"/>
      <c r="B83" s="2059"/>
      <c r="C83" s="2059"/>
      <c r="D83" s="2059"/>
      <c r="E83" s="2059"/>
      <c r="F83" s="2059"/>
      <c r="G83" s="2059"/>
      <c r="H83" s="2059"/>
    </row>
    <row r="84" spans="1:8">
      <c r="A84" s="2060" t="s">
        <v>1304</v>
      </c>
      <c r="B84" s="2059"/>
      <c r="C84" s="2059"/>
      <c r="D84" s="2059"/>
      <c r="E84" s="2059"/>
      <c r="F84" s="2059"/>
      <c r="G84" s="2059"/>
      <c r="H84" s="2059"/>
    </row>
    <row r="85" spans="1:8">
      <c r="A85" s="2060" t="s">
        <v>1305</v>
      </c>
      <c r="B85" s="2059"/>
      <c r="C85" s="2059"/>
      <c r="D85" s="2059"/>
      <c r="E85" s="2059"/>
      <c r="F85" s="2059"/>
      <c r="G85" s="2059"/>
      <c r="H85" s="2059"/>
    </row>
    <row r="86" spans="1:8">
      <c r="A86" s="2060" t="s">
        <v>1306</v>
      </c>
      <c r="B86" s="2059"/>
      <c r="C86" s="2059"/>
      <c r="D86" s="2059"/>
      <c r="E86" s="2059"/>
      <c r="F86" s="2059"/>
      <c r="G86" s="2059"/>
      <c r="H86" s="2059"/>
    </row>
    <row r="87" spans="1:8">
      <c r="A87" s="2060" t="s">
        <v>1307</v>
      </c>
      <c r="B87" s="2059"/>
      <c r="C87" s="2059"/>
      <c r="D87" s="2059"/>
      <c r="E87" s="2059"/>
      <c r="F87" s="2059"/>
      <c r="G87" s="2059"/>
      <c r="H87" s="2059"/>
    </row>
    <row r="88" spans="1:8">
      <c r="A88" s="2060" t="s">
        <v>1308</v>
      </c>
      <c r="B88" s="2059"/>
      <c r="C88" s="2059"/>
      <c r="D88" s="2059"/>
      <c r="E88" s="2059"/>
      <c r="F88" s="2059"/>
      <c r="G88" s="2059"/>
      <c r="H88" s="2059"/>
    </row>
    <row r="89" spans="1:8">
      <c r="A89" s="2060" t="s">
        <v>1191</v>
      </c>
      <c r="B89" s="2059"/>
      <c r="C89" s="2059"/>
      <c r="D89" s="2059"/>
      <c r="E89" s="2059"/>
      <c r="F89" s="2059"/>
      <c r="G89" s="2059"/>
      <c r="H89" s="2059"/>
    </row>
    <row r="90" spans="1:8">
      <c r="A90" s="2059"/>
      <c r="B90" s="2059"/>
      <c r="C90" s="2059"/>
      <c r="D90" s="2059"/>
      <c r="E90" s="2059"/>
      <c r="F90" s="2059"/>
      <c r="G90" s="2059"/>
      <c r="H90" s="2059"/>
    </row>
    <row r="91" spans="1:8">
      <c r="A91" s="2060" t="s">
        <v>1297</v>
      </c>
      <c r="B91" s="2059"/>
      <c r="C91" s="2059"/>
      <c r="D91" s="2059"/>
      <c r="E91" s="2059"/>
      <c r="F91" s="2059"/>
      <c r="G91" s="2059"/>
      <c r="H91" s="2059"/>
    </row>
    <row r="92" spans="1:8">
      <c r="A92" s="2060" t="s">
        <v>1298</v>
      </c>
      <c r="B92" s="2059"/>
      <c r="C92" s="2059"/>
      <c r="D92" s="2059"/>
      <c r="E92" s="2059"/>
      <c r="F92" s="2059"/>
      <c r="G92" s="2059"/>
      <c r="H92" s="2059"/>
    </row>
    <row r="93" spans="1:8">
      <c r="A93" s="2060" t="s">
        <v>1299</v>
      </c>
      <c r="B93" s="2059"/>
      <c r="C93" s="2059"/>
      <c r="D93" s="2059"/>
      <c r="E93" s="2059"/>
      <c r="F93" s="2059"/>
      <c r="G93" s="2059"/>
      <c r="H93" s="2059"/>
    </row>
    <row r="94" spans="1:8">
      <c r="A94" s="2060" t="s">
        <v>1300</v>
      </c>
      <c r="B94" s="2059"/>
      <c r="C94" s="2059"/>
      <c r="D94" s="2059"/>
      <c r="E94" s="2059"/>
      <c r="F94" s="2059"/>
      <c r="G94" s="2059"/>
      <c r="H94" s="2059"/>
    </row>
    <row r="95" spans="1:8">
      <c r="A95" s="2060" t="s">
        <v>1301</v>
      </c>
      <c r="B95" s="2059"/>
      <c r="C95" s="2059"/>
      <c r="D95" s="2059"/>
      <c r="E95" s="2059"/>
      <c r="F95" s="2059"/>
      <c r="G95" s="2059"/>
      <c r="H95" s="2059"/>
    </row>
    <row r="96" spans="1:8">
      <c r="A96" s="2060" t="s">
        <v>1302</v>
      </c>
      <c r="B96" s="2059"/>
      <c r="C96" s="2059"/>
      <c r="D96" s="2059"/>
      <c r="E96" s="2059"/>
      <c r="F96" s="2059"/>
      <c r="G96" s="2059"/>
      <c r="H96" s="2059"/>
    </row>
    <row r="97" spans="1:8">
      <c r="A97" s="2060" t="s">
        <v>1303</v>
      </c>
      <c r="B97" s="2059"/>
      <c r="C97" s="2059"/>
      <c r="D97" s="2059"/>
      <c r="E97" s="2059"/>
      <c r="F97" s="2059"/>
      <c r="G97" s="2059"/>
      <c r="H97" s="2059"/>
    </row>
    <row r="98" spans="1:8">
      <c r="A98" s="2059"/>
      <c r="B98" s="2059"/>
      <c r="C98" s="2059"/>
      <c r="D98" s="2059"/>
      <c r="E98" s="2059"/>
      <c r="F98" s="2059"/>
      <c r="G98" s="2059"/>
      <c r="H98" s="2059"/>
    </row>
    <row r="99" spans="1:8">
      <c r="A99" s="2060" t="s">
        <v>1295</v>
      </c>
      <c r="B99" s="2059"/>
      <c r="C99" s="2059"/>
      <c r="D99" s="2059"/>
      <c r="E99" s="2059"/>
      <c r="F99" s="2059"/>
      <c r="G99" s="2059"/>
      <c r="H99" s="2059"/>
    </row>
    <row r="100" spans="1:8">
      <c r="A100" s="2060" t="s">
        <v>1296</v>
      </c>
      <c r="B100" s="2059"/>
      <c r="C100" s="2059"/>
      <c r="D100" s="2059"/>
      <c r="E100" s="2059"/>
      <c r="F100" s="2059"/>
      <c r="G100" s="2059"/>
      <c r="H100" s="2059"/>
    </row>
    <row r="101" spans="1:8">
      <c r="A101" s="2059"/>
      <c r="B101" s="2059"/>
      <c r="C101" s="2059"/>
      <c r="D101" s="2059"/>
      <c r="E101" s="2059"/>
      <c r="F101" s="2059"/>
      <c r="G101" s="2059"/>
      <c r="H101" s="2059"/>
    </row>
    <row r="102" spans="1:8" ht="15.75">
      <c r="A102" s="2061" t="s">
        <v>1066</v>
      </c>
      <c r="B102" s="2059"/>
      <c r="C102" s="2059"/>
      <c r="D102" s="2059"/>
      <c r="E102" s="2059"/>
      <c r="F102" s="2059"/>
      <c r="G102" s="2059"/>
      <c r="H102" s="2059"/>
    </row>
    <row r="103" spans="1:8">
      <c r="A103" s="2059"/>
      <c r="B103" s="2059"/>
      <c r="C103" s="2059"/>
      <c r="D103" s="2059"/>
      <c r="E103" s="2059"/>
      <c r="F103" s="2059"/>
      <c r="G103" s="2059"/>
      <c r="H103" s="2059"/>
    </row>
    <row r="104" spans="1:8">
      <c r="A104" s="2060" t="s">
        <v>1286</v>
      </c>
      <c r="B104" s="2059"/>
      <c r="C104" s="2059"/>
      <c r="D104" s="2059"/>
      <c r="E104" s="2059"/>
      <c r="F104" s="2059"/>
      <c r="G104" s="2059"/>
      <c r="H104" s="2059"/>
    </row>
    <row r="105" spans="1:8">
      <c r="A105" s="2060" t="s">
        <v>1287</v>
      </c>
      <c r="B105" s="2059"/>
      <c r="C105" s="2059"/>
      <c r="D105" s="2059"/>
      <c r="E105" s="2059"/>
      <c r="F105" s="2059"/>
      <c r="G105" s="2059"/>
      <c r="H105" s="2059"/>
    </row>
    <row r="106" spans="1:8">
      <c r="A106" s="2060" t="s">
        <v>1288</v>
      </c>
      <c r="B106" s="2059"/>
      <c r="C106" s="2059"/>
      <c r="D106" s="2059"/>
      <c r="E106" s="2059"/>
      <c r="F106" s="2059"/>
      <c r="G106" s="2059"/>
      <c r="H106" s="2059"/>
    </row>
    <row r="107" spans="1:8">
      <c r="A107" s="2060" t="s">
        <v>1289</v>
      </c>
      <c r="B107" s="2059"/>
      <c r="C107" s="2059"/>
      <c r="D107" s="2059"/>
      <c r="E107" s="2059"/>
      <c r="F107" s="2059"/>
      <c r="G107" s="2059"/>
      <c r="H107" s="2059"/>
    </row>
    <row r="108" spans="1:8">
      <c r="A108" s="2060" t="s">
        <v>1290</v>
      </c>
      <c r="B108" s="2059"/>
      <c r="C108" s="2059"/>
      <c r="D108" s="2059"/>
      <c r="E108" s="2059"/>
      <c r="F108" s="2059"/>
      <c r="G108" s="2059"/>
      <c r="H108" s="2059"/>
    </row>
    <row r="109" spans="1:8">
      <c r="A109" s="2060" t="s">
        <v>1291</v>
      </c>
      <c r="B109" s="2059"/>
      <c r="C109" s="2059"/>
      <c r="D109" s="2059"/>
      <c r="E109" s="2059"/>
      <c r="F109" s="2059"/>
      <c r="G109" s="2059"/>
      <c r="H109" s="2059"/>
    </row>
    <row r="110" spans="1:8">
      <c r="A110" s="2060" t="s">
        <v>1292</v>
      </c>
      <c r="B110" s="2059"/>
      <c r="C110" s="2059"/>
      <c r="D110" s="2059"/>
      <c r="E110" s="2059"/>
      <c r="F110" s="2059"/>
      <c r="G110" s="2059"/>
      <c r="H110" s="2059"/>
    </row>
    <row r="111" spans="1:8">
      <c r="A111" s="2060" t="s">
        <v>1293</v>
      </c>
      <c r="B111" s="2059"/>
      <c r="C111" s="2059"/>
      <c r="D111" s="2059"/>
      <c r="E111" s="2059"/>
      <c r="F111" s="2059"/>
      <c r="G111" s="2059"/>
      <c r="H111" s="2059"/>
    </row>
    <row r="112" spans="1:8">
      <c r="A112" s="2060" t="s">
        <v>1294</v>
      </c>
      <c r="B112" s="2059"/>
      <c r="C112" s="2059"/>
      <c r="D112" s="2059"/>
      <c r="E112" s="2059"/>
      <c r="F112" s="2059"/>
      <c r="G112" s="2059"/>
      <c r="H112" s="2059"/>
    </row>
    <row r="113" spans="1:8">
      <c r="A113" s="2059"/>
      <c r="B113" s="2059"/>
      <c r="C113" s="2059"/>
      <c r="D113" s="2059"/>
      <c r="E113" s="2059"/>
      <c r="F113" s="2059"/>
      <c r="G113" s="2059"/>
      <c r="H113" s="2059"/>
    </row>
    <row r="114" spans="1:8" ht="15.75">
      <c r="A114" s="2062" t="s">
        <v>1067</v>
      </c>
      <c r="B114" s="2062"/>
      <c r="C114" s="2062"/>
      <c r="D114" s="2062"/>
      <c r="E114" s="2062"/>
      <c r="F114" s="2062"/>
      <c r="G114" s="2062"/>
      <c r="H114" s="2062"/>
    </row>
    <row r="115" spans="1:8">
      <c r="A115" s="2063" t="s">
        <v>1068</v>
      </c>
      <c r="B115" s="2063"/>
      <c r="C115" s="2063"/>
      <c r="D115" s="2063"/>
      <c r="E115" s="2063"/>
      <c r="F115" s="2063"/>
      <c r="G115" s="2063"/>
      <c r="H115" s="2063"/>
    </row>
    <row r="116" spans="1:8">
      <c r="A116" s="2064"/>
      <c r="B116" s="2064"/>
      <c r="C116" s="2064"/>
      <c r="D116" s="2064"/>
      <c r="E116" s="2064"/>
      <c r="F116" s="2064"/>
      <c r="G116" s="2064"/>
      <c r="H116" s="2064"/>
    </row>
    <row r="117" spans="1:8">
      <c r="A117" s="2063" t="s">
        <v>1284</v>
      </c>
      <c r="B117" s="2063"/>
      <c r="C117" s="2063"/>
      <c r="D117" s="2063"/>
      <c r="E117" s="2063"/>
      <c r="F117" s="2063"/>
      <c r="G117" s="2063"/>
      <c r="H117" s="2063"/>
    </row>
    <row r="118" spans="1:8">
      <c r="A118" s="2060" t="s">
        <v>1285</v>
      </c>
      <c r="B118" s="2060"/>
      <c r="C118" s="2060"/>
      <c r="D118" s="2060"/>
      <c r="E118" s="2060"/>
      <c r="F118" s="2060"/>
      <c r="G118" s="2060"/>
      <c r="H118" s="2060"/>
    </row>
    <row r="119" spans="1:8">
      <c r="A119" s="2064"/>
      <c r="B119" s="2064"/>
      <c r="C119" s="2064"/>
      <c r="D119" s="2064"/>
      <c r="E119" s="2064"/>
      <c r="F119" s="2064"/>
      <c r="G119" s="2064"/>
      <c r="H119" s="2064"/>
    </row>
    <row r="120" spans="1:8">
      <c r="A120" s="2063" t="s">
        <v>1277</v>
      </c>
      <c r="B120" s="2063"/>
      <c r="C120" s="2063"/>
      <c r="D120" s="2063"/>
      <c r="E120" s="2063"/>
      <c r="F120" s="2063"/>
      <c r="G120" s="2063"/>
      <c r="H120" s="2063"/>
    </row>
    <row r="121" spans="1:8">
      <c r="A121" s="2060" t="s">
        <v>1278</v>
      </c>
      <c r="B121" s="2060"/>
      <c r="C121" s="2060"/>
      <c r="D121" s="2060"/>
      <c r="E121" s="2060"/>
      <c r="F121" s="2060"/>
      <c r="G121" s="2060"/>
      <c r="H121" s="2060"/>
    </row>
    <row r="122" spans="1:8">
      <c r="A122" s="2060" t="s">
        <v>1279</v>
      </c>
      <c r="B122" s="2060"/>
      <c r="C122" s="2060"/>
      <c r="D122" s="2060"/>
      <c r="E122" s="2060"/>
      <c r="F122" s="2060"/>
      <c r="G122" s="2060"/>
      <c r="H122" s="2060"/>
    </row>
    <row r="123" spans="1:8">
      <c r="A123" s="2060" t="s">
        <v>1280</v>
      </c>
      <c r="B123" s="2060"/>
      <c r="C123" s="2060"/>
      <c r="D123" s="2060"/>
      <c r="E123" s="2060"/>
      <c r="F123" s="2060"/>
      <c r="G123" s="2060"/>
      <c r="H123" s="2060"/>
    </row>
    <row r="124" spans="1:8">
      <c r="A124" s="2060" t="s">
        <v>1281</v>
      </c>
      <c r="B124" s="2060"/>
      <c r="C124" s="2060"/>
      <c r="D124" s="2060"/>
      <c r="E124" s="2060"/>
      <c r="F124" s="2060"/>
      <c r="G124" s="2060"/>
      <c r="H124" s="2060"/>
    </row>
    <row r="125" spans="1:8">
      <c r="A125" s="2060" t="s">
        <v>1282</v>
      </c>
      <c r="B125" s="2060"/>
      <c r="C125" s="2060"/>
      <c r="D125" s="2060"/>
      <c r="E125" s="2060"/>
      <c r="F125" s="2060"/>
      <c r="G125" s="2060"/>
      <c r="H125" s="2060"/>
    </row>
    <row r="126" spans="1:8">
      <c r="A126" s="2060" t="s">
        <v>1283</v>
      </c>
      <c r="B126" s="2060"/>
      <c r="C126" s="2060"/>
      <c r="D126" s="2060"/>
      <c r="E126" s="2060"/>
      <c r="F126" s="2060"/>
      <c r="G126" s="2060"/>
      <c r="H126" s="2060"/>
    </row>
    <row r="127" spans="1:8">
      <c r="A127" s="2065"/>
      <c r="B127" s="2065"/>
      <c r="C127" s="2065"/>
      <c r="D127" s="2065"/>
      <c r="E127" s="2065"/>
      <c r="F127" s="2065"/>
      <c r="G127" s="2065"/>
      <c r="H127" s="2065"/>
    </row>
    <row r="128" spans="1:8">
      <c r="A128" s="2066"/>
      <c r="B128" s="2067" t="s">
        <v>1069</v>
      </c>
      <c r="C128" s="2068"/>
      <c r="D128" s="2067" t="s">
        <v>1070</v>
      </c>
      <c r="E128" s="2069"/>
      <c r="F128" s="2068"/>
      <c r="G128" s="2067" t="s">
        <v>1071</v>
      </c>
      <c r="H128" s="2068"/>
    </row>
    <row r="129" spans="1:8">
      <c r="A129" s="2066" t="s">
        <v>1072</v>
      </c>
      <c r="B129" s="2066" t="s">
        <v>739</v>
      </c>
      <c r="C129" s="2066" t="s">
        <v>1073</v>
      </c>
      <c r="D129" s="2066" t="s">
        <v>739</v>
      </c>
      <c r="E129" s="2066" t="s">
        <v>1074</v>
      </c>
      <c r="F129" s="2066" t="s">
        <v>1075</v>
      </c>
      <c r="G129" s="2066" t="s">
        <v>739</v>
      </c>
      <c r="H129" s="2066" t="s">
        <v>1076</v>
      </c>
    </row>
    <row r="130" spans="1:8">
      <c r="A130" s="2066" t="s">
        <v>1077</v>
      </c>
      <c r="B130" s="2066">
        <v>1189</v>
      </c>
      <c r="C130" s="2070">
        <v>0.38</v>
      </c>
      <c r="D130" s="2066">
        <v>315</v>
      </c>
      <c r="E130" s="2070">
        <v>0.41</v>
      </c>
      <c r="F130" s="2070">
        <v>0.26</v>
      </c>
      <c r="G130" s="2066">
        <v>555</v>
      </c>
      <c r="H130" s="2070">
        <v>0.39</v>
      </c>
    </row>
    <row r="131" spans="1:8">
      <c r="A131" s="2066" t="s">
        <v>1078</v>
      </c>
      <c r="B131" s="2066">
        <v>1355</v>
      </c>
      <c r="C131" s="2070">
        <v>0.43</v>
      </c>
      <c r="D131" s="2066">
        <v>364</v>
      </c>
      <c r="E131" s="2070">
        <v>0.47</v>
      </c>
      <c r="F131" s="2070">
        <v>0.27</v>
      </c>
      <c r="G131" s="2066">
        <v>644</v>
      </c>
      <c r="H131" s="2070">
        <v>0.45</v>
      </c>
    </row>
    <row r="132" spans="1:8">
      <c r="A132" s="2066" t="s">
        <v>1079</v>
      </c>
      <c r="B132" s="2066">
        <v>53</v>
      </c>
      <c r="C132" s="2070">
        <v>0.02</v>
      </c>
      <c r="D132" s="2066">
        <v>4</v>
      </c>
      <c r="E132" s="2070">
        <v>0.01</v>
      </c>
      <c r="F132" s="2070">
        <v>0.08</v>
      </c>
      <c r="G132" s="2066">
        <v>7</v>
      </c>
      <c r="H132" s="2070">
        <v>0</v>
      </c>
    </row>
    <row r="133" spans="1:8">
      <c r="A133" s="2066" t="s">
        <v>1080</v>
      </c>
      <c r="B133" s="2066">
        <v>545</v>
      </c>
      <c r="C133" s="2070">
        <v>0.17</v>
      </c>
      <c r="D133" s="2066">
        <v>84</v>
      </c>
      <c r="E133" s="2070">
        <v>0.11</v>
      </c>
      <c r="F133" s="2070">
        <v>0.15</v>
      </c>
      <c r="G133" s="2066">
        <v>214</v>
      </c>
      <c r="H133" s="2070">
        <v>0.15</v>
      </c>
    </row>
    <row r="134" spans="1:8">
      <c r="A134" s="2066" t="s">
        <v>617</v>
      </c>
      <c r="B134" s="2071">
        <v>3142</v>
      </c>
      <c r="C134" s="2066"/>
      <c r="D134" s="2066">
        <v>767</v>
      </c>
      <c r="E134" s="2066"/>
      <c r="F134" s="2066"/>
      <c r="G134" s="2066">
        <v>1420</v>
      </c>
      <c r="H134" s="2066"/>
    </row>
    <row r="135" spans="1:8">
      <c r="A135" s="2072"/>
      <c r="B135" s="2072"/>
      <c r="C135" s="2072"/>
      <c r="D135" s="2072"/>
      <c r="E135" s="2072"/>
      <c r="F135" s="2072"/>
      <c r="G135" s="2072"/>
      <c r="H135" s="2072"/>
    </row>
    <row r="136" spans="1:8">
      <c r="A136" s="2063" t="s">
        <v>1273</v>
      </c>
      <c r="B136" s="2063"/>
      <c r="C136" s="2063"/>
      <c r="D136" s="2063"/>
      <c r="E136" s="2063"/>
      <c r="F136" s="2063"/>
      <c r="G136" s="2063"/>
      <c r="H136" s="2063"/>
    </row>
    <row r="137" spans="1:8">
      <c r="A137" s="2060" t="s">
        <v>1274</v>
      </c>
      <c r="B137" s="2060"/>
      <c r="C137" s="2060"/>
      <c r="D137" s="2060"/>
      <c r="E137" s="2060"/>
      <c r="F137" s="2060"/>
      <c r="G137" s="2060"/>
      <c r="H137" s="2060"/>
    </row>
    <row r="138" spans="1:8">
      <c r="A138" s="2060" t="s">
        <v>1275</v>
      </c>
      <c r="B138" s="2060"/>
      <c r="C138" s="2060"/>
      <c r="D138" s="2060"/>
      <c r="E138" s="2060"/>
      <c r="F138" s="2060"/>
      <c r="G138" s="2060"/>
      <c r="H138" s="2060"/>
    </row>
    <row r="139" spans="1:8">
      <c r="A139" s="2060" t="s">
        <v>1276</v>
      </c>
      <c r="B139" s="2060"/>
      <c r="C139" s="2060"/>
      <c r="D139" s="2060"/>
      <c r="E139" s="2060"/>
      <c r="F139" s="2060"/>
      <c r="G139" s="2060"/>
      <c r="H139" s="2060"/>
    </row>
    <row r="140" spans="1:8">
      <c r="A140" s="2059"/>
      <c r="B140" s="2059"/>
      <c r="C140" s="2059"/>
      <c r="D140" s="2059"/>
      <c r="E140" s="2059"/>
      <c r="F140" s="2059"/>
      <c r="G140" s="2059"/>
      <c r="H140" s="2059"/>
    </row>
    <row r="141" spans="1:8" ht="15.75">
      <c r="A141" s="2061" t="s">
        <v>1081</v>
      </c>
      <c r="B141" s="2059"/>
      <c r="C141" s="2059"/>
      <c r="D141" s="2059"/>
      <c r="E141" s="2059"/>
      <c r="F141" s="2059"/>
      <c r="G141" s="2059"/>
      <c r="H141" s="2059"/>
    </row>
    <row r="142" spans="1:8">
      <c r="A142" s="2059"/>
      <c r="B142" s="2059"/>
      <c r="C142" s="2059"/>
      <c r="D142" s="2059"/>
      <c r="E142" s="2059"/>
      <c r="F142" s="2059"/>
      <c r="G142" s="2059"/>
      <c r="H142" s="2059"/>
    </row>
    <row r="143" spans="1:8">
      <c r="A143" s="2060" t="s">
        <v>1271</v>
      </c>
      <c r="B143" s="2059"/>
      <c r="C143" s="2059"/>
      <c r="D143" s="2059"/>
      <c r="E143" s="2059"/>
      <c r="F143" s="2059"/>
      <c r="G143" s="2059"/>
      <c r="H143" s="2059"/>
    </row>
    <row r="144" spans="1:8">
      <c r="A144" s="2060" t="s">
        <v>1272</v>
      </c>
      <c r="B144" s="2059"/>
      <c r="C144" s="2059"/>
      <c r="D144" s="2059"/>
      <c r="E144" s="2059"/>
      <c r="F144" s="2059"/>
      <c r="G144" s="2059"/>
      <c r="H144" s="2059"/>
    </row>
    <row r="145" spans="1:8">
      <c r="A145" s="2059"/>
      <c r="B145" s="2059"/>
      <c r="C145" s="2059"/>
      <c r="D145" s="2059"/>
      <c r="E145" s="2059"/>
      <c r="F145" s="2059"/>
      <c r="G145" s="2059"/>
      <c r="H145" s="2059"/>
    </row>
    <row r="146" spans="1:8">
      <c r="A146" s="2060" t="s">
        <v>1268</v>
      </c>
      <c r="B146" s="2059"/>
      <c r="C146" s="2059"/>
      <c r="D146" s="2059"/>
      <c r="E146" s="2059"/>
      <c r="F146" s="2059"/>
      <c r="G146" s="2059"/>
      <c r="H146" s="2059"/>
    </row>
    <row r="147" spans="1:8">
      <c r="A147" s="2060" t="s">
        <v>1269</v>
      </c>
      <c r="B147" s="2059"/>
      <c r="C147" s="2059"/>
      <c r="D147" s="2059"/>
      <c r="E147" s="2059"/>
      <c r="F147" s="2059"/>
      <c r="G147" s="2059"/>
      <c r="H147" s="2059"/>
    </row>
    <row r="148" spans="1:8">
      <c r="A148" s="2060" t="s">
        <v>1270</v>
      </c>
      <c r="B148" s="2059"/>
      <c r="C148" s="2059"/>
      <c r="D148" s="2059"/>
      <c r="E148" s="2059"/>
      <c r="F148" s="2059"/>
      <c r="G148" s="2059"/>
      <c r="H148" s="2059"/>
    </row>
    <row r="149" spans="1:8">
      <c r="A149" s="2059"/>
      <c r="B149" s="2059"/>
      <c r="C149" s="2059"/>
      <c r="D149" s="2059"/>
      <c r="E149" s="2059"/>
      <c r="F149" s="2059"/>
      <c r="G149" s="2059"/>
      <c r="H149" s="2059"/>
    </row>
    <row r="150" spans="1:8">
      <c r="A150" s="2060" t="s">
        <v>1265</v>
      </c>
      <c r="B150" s="2059"/>
      <c r="C150" s="2059"/>
      <c r="D150" s="2059"/>
      <c r="E150" s="2059"/>
      <c r="F150" s="2059"/>
      <c r="G150" s="2059"/>
      <c r="H150" s="2059"/>
    </row>
    <row r="151" spans="1:8">
      <c r="A151" s="2060" t="s">
        <v>1266</v>
      </c>
      <c r="B151" s="2059"/>
      <c r="C151" s="2059"/>
      <c r="D151" s="2059"/>
      <c r="E151" s="2059"/>
      <c r="F151" s="2059"/>
      <c r="G151" s="2059"/>
      <c r="H151" s="2059"/>
    </row>
    <row r="152" spans="1:8">
      <c r="A152" s="2060" t="s">
        <v>1267</v>
      </c>
      <c r="B152" s="2059"/>
      <c r="C152" s="2059"/>
      <c r="D152" s="2059"/>
      <c r="E152" s="2059"/>
      <c r="F152" s="2059"/>
      <c r="G152" s="2059"/>
      <c r="H152" s="2059"/>
    </row>
    <row r="153" spans="1:8">
      <c r="A153" s="2059"/>
      <c r="B153" s="2059"/>
      <c r="C153" s="2059"/>
      <c r="D153" s="2059"/>
      <c r="E153" s="2059"/>
      <c r="F153" s="2059"/>
      <c r="G153" s="2059"/>
      <c r="H153" s="2059"/>
    </row>
    <row r="154" spans="1:8">
      <c r="A154" s="2060" t="s">
        <v>1262</v>
      </c>
      <c r="B154" s="2059"/>
      <c r="C154" s="2059"/>
      <c r="D154" s="2059"/>
      <c r="E154" s="2059"/>
      <c r="F154" s="2059"/>
      <c r="G154" s="2059"/>
      <c r="H154" s="2059"/>
    </row>
    <row r="155" spans="1:8">
      <c r="A155" s="2060" t="s">
        <v>1263</v>
      </c>
      <c r="B155" s="2059"/>
      <c r="C155" s="2059"/>
      <c r="D155" s="2059"/>
      <c r="E155" s="2059"/>
      <c r="F155" s="2059"/>
      <c r="G155" s="2059"/>
      <c r="H155" s="2059"/>
    </row>
    <row r="156" spans="1:8">
      <c r="A156" s="2060" t="s">
        <v>1264</v>
      </c>
      <c r="B156" s="2059"/>
      <c r="C156" s="2059"/>
      <c r="D156" s="2059"/>
      <c r="E156" s="2059"/>
      <c r="F156" s="2059"/>
      <c r="G156" s="2059"/>
      <c r="H156" s="2059"/>
    </row>
    <row r="157" spans="1:8">
      <c r="A157" s="2059"/>
      <c r="B157" s="2059"/>
      <c r="C157" s="2059"/>
      <c r="D157" s="2059"/>
      <c r="E157" s="2059"/>
      <c r="F157" s="2059"/>
      <c r="G157" s="2059"/>
      <c r="H157" s="2059"/>
    </row>
    <row r="158" spans="1:8">
      <c r="A158" s="2060" t="s">
        <v>1260</v>
      </c>
      <c r="B158" s="2059"/>
      <c r="C158" s="2059"/>
      <c r="D158" s="2059"/>
      <c r="E158" s="2059"/>
      <c r="F158" s="2059"/>
      <c r="G158" s="2059"/>
      <c r="H158" s="2059"/>
    </row>
    <row r="159" spans="1:8">
      <c r="A159" s="2060" t="s">
        <v>1261</v>
      </c>
      <c r="B159" s="2059"/>
      <c r="C159" s="2059"/>
      <c r="D159" s="2059"/>
      <c r="E159" s="2059"/>
      <c r="F159" s="2059"/>
      <c r="G159" s="2059"/>
      <c r="H159" s="2059"/>
    </row>
    <row r="160" spans="1:8">
      <c r="A160" s="2059"/>
      <c r="B160" s="2059"/>
      <c r="C160" s="2059"/>
      <c r="D160" s="2059"/>
      <c r="E160" s="2059"/>
      <c r="F160" s="2059"/>
      <c r="G160" s="2059"/>
      <c r="H160" s="2059"/>
    </row>
    <row r="161" spans="1:8" ht="15.75">
      <c r="A161" s="2061" t="s">
        <v>1082</v>
      </c>
      <c r="B161" s="2059"/>
      <c r="C161" s="2059"/>
      <c r="D161" s="2059"/>
      <c r="E161" s="2059"/>
      <c r="F161" s="2059"/>
      <c r="G161" s="2059"/>
      <c r="H161" s="2059"/>
    </row>
    <row r="162" spans="1:8">
      <c r="A162" s="2059"/>
      <c r="B162" s="2059"/>
      <c r="C162" s="2059"/>
      <c r="D162" s="2059"/>
      <c r="E162" s="2059"/>
      <c r="F162" s="2059"/>
      <c r="G162" s="2059"/>
      <c r="H162" s="2059"/>
    </row>
    <row r="163" spans="1:8">
      <c r="A163" s="2060" t="s">
        <v>1258</v>
      </c>
      <c r="B163" s="2059"/>
      <c r="C163" s="2059"/>
      <c r="D163" s="2059"/>
      <c r="E163" s="2059"/>
      <c r="F163" s="2059"/>
      <c r="G163" s="2059"/>
      <c r="H163" s="2059"/>
    </row>
    <row r="164" spans="1:8">
      <c r="A164" s="2060" t="s">
        <v>1259</v>
      </c>
      <c r="B164" s="2059"/>
      <c r="C164" s="2059"/>
      <c r="D164" s="2059"/>
      <c r="E164" s="2059"/>
      <c r="F164" s="2059"/>
      <c r="G164" s="2059"/>
      <c r="H164" s="2059"/>
    </row>
    <row r="165" spans="1:8">
      <c r="A165" s="2059"/>
      <c r="B165" s="2059"/>
      <c r="C165" s="2059"/>
      <c r="D165" s="2059"/>
      <c r="E165" s="2059"/>
      <c r="F165" s="2059"/>
      <c r="G165" s="2059"/>
      <c r="H165" s="2059"/>
    </row>
    <row r="166" spans="1:8">
      <c r="A166" s="2060" t="s">
        <v>1256</v>
      </c>
      <c r="B166" s="2059"/>
      <c r="C166" s="2059"/>
      <c r="D166" s="2059"/>
      <c r="E166" s="2059"/>
      <c r="F166" s="2059"/>
      <c r="G166" s="2059"/>
      <c r="H166" s="2059"/>
    </row>
    <row r="167" spans="1:8">
      <c r="A167" s="2060" t="s">
        <v>1257</v>
      </c>
      <c r="B167" s="2059"/>
      <c r="C167" s="2059"/>
      <c r="D167" s="2059"/>
      <c r="E167" s="2059"/>
      <c r="F167" s="2059"/>
      <c r="G167" s="2059"/>
      <c r="H167" s="2059"/>
    </row>
    <row r="168" spans="1:8">
      <c r="A168" s="2059"/>
      <c r="B168" s="2059"/>
      <c r="C168" s="2059"/>
      <c r="D168" s="2059"/>
      <c r="E168" s="2059"/>
      <c r="F168" s="2059"/>
      <c r="G168" s="2059"/>
      <c r="H168" s="2059"/>
    </row>
    <row r="169" spans="1:8">
      <c r="A169" s="2060" t="s">
        <v>1254</v>
      </c>
      <c r="B169" s="2059"/>
      <c r="C169" s="2059"/>
      <c r="D169" s="2059"/>
      <c r="E169" s="2059"/>
      <c r="F169" s="2059"/>
      <c r="G169" s="2059"/>
      <c r="H169" s="2059"/>
    </row>
    <row r="170" spans="1:8">
      <c r="A170" s="2060" t="s">
        <v>1255</v>
      </c>
      <c r="B170" s="2059"/>
      <c r="C170" s="2059"/>
      <c r="D170" s="2059"/>
      <c r="E170" s="2059"/>
      <c r="F170" s="2059"/>
      <c r="G170" s="2059"/>
      <c r="H170" s="2059"/>
    </row>
    <row r="171" spans="1:8">
      <c r="A171" s="2059"/>
      <c r="B171" s="2059"/>
      <c r="C171" s="2059"/>
      <c r="D171" s="2059"/>
      <c r="E171" s="2059"/>
      <c r="F171" s="2059"/>
      <c r="G171" s="2059"/>
      <c r="H171" s="2059"/>
    </row>
    <row r="172" spans="1:8">
      <c r="A172" s="2060" t="s">
        <v>1251</v>
      </c>
      <c r="B172" s="2059"/>
      <c r="C172" s="2059"/>
      <c r="D172" s="2059"/>
      <c r="E172" s="2059"/>
      <c r="F172" s="2059"/>
      <c r="G172" s="2059"/>
      <c r="H172" s="2059"/>
    </row>
    <row r="173" spans="1:8">
      <c r="A173" s="2060" t="s">
        <v>1252</v>
      </c>
      <c r="B173" s="2059"/>
      <c r="C173" s="2059"/>
      <c r="D173" s="2059"/>
      <c r="E173" s="2059"/>
      <c r="F173" s="2059"/>
      <c r="G173" s="2059"/>
      <c r="H173" s="2059"/>
    </row>
    <row r="174" spans="1:8">
      <c r="A174" s="2060" t="s">
        <v>1253</v>
      </c>
      <c r="B174" s="2059"/>
      <c r="C174" s="2059"/>
      <c r="D174" s="2059"/>
      <c r="E174" s="2059"/>
      <c r="F174" s="2059"/>
      <c r="G174" s="2059"/>
      <c r="H174" s="2059"/>
    </row>
    <row r="175" spans="1:8">
      <c r="A175" s="2059"/>
      <c r="B175" s="2059"/>
      <c r="C175" s="2059"/>
      <c r="D175" s="2059"/>
      <c r="E175" s="2059"/>
      <c r="F175" s="2059"/>
      <c r="G175" s="2059"/>
      <c r="H175" s="2059"/>
    </row>
    <row r="176" spans="1:8">
      <c r="A176" s="2059"/>
      <c r="B176" s="2059"/>
      <c r="C176" s="2059"/>
      <c r="D176" s="2059"/>
      <c r="E176" s="2059"/>
      <c r="F176" s="2059"/>
      <c r="G176" s="2059"/>
      <c r="H176" s="2059"/>
    </row>
    <row r="177" spans="1:8">
      <c r="A177" s="2060" t="s">
        <v>1083</v>
      </c>
      <c r="B177" s="2059"/>
      <c r="C177" s="2059"/>
      <c r="D177" s="2059"/>
      <c r="E177" s="2059"/>
      <c r="F177" s="2059"/>
      <c r="G177" s="2059"/>
      <c r="H177" s="2059"/>
    </row>
    <row r="178" spans="1:8">
      <c r="A178" s="2059"/>
      <c r="B178" s="2059"/>
      <c r="C178" s="2059"/>
      <c r="D178" s="2059"/>
      <c r="E178" s="2059"/>
      <c r="F178" s="2059"/>
      <c r="G178" s="2059"/>
      <c r="H178" s="2059"/>
    </row>
    <row r="179" spans="1:8" ht="15.75">
      <c r="A179" s="2061" t="s">
        <v>1084</v>
      </c>
      <c r="B179" s="2059"/>
      <c r="C179" s="2059"/>
      <c r="D179" s="2059"/>
      <c r="E179" s="2059"/>
      <c r="F179" s="2059"/>
      <c r="G179" s="2059"/>
      <c r="H179" s="2059"/>
    </row>
    <row r="180" spans="1:8">
      <c r="A180" s="2059"/>
      <c r="B180" s="2059"/>
      <c r="C180" s="2059"/>
      <c r="D180" s="2059"/>
      <c r="E180" s="2059"/>
      <c r="F180" s="2059"/>
      <c r="G180" s="2059"/>
      <c r="H180" s="2059"/>
    </row>
    <row r="181" spans="1:8">
      <c r="A181" s="2059"/>
      <c r="B181" s="2059"/>
      <c r="C181" s="2059"/>
      <c r="D181" s="2059"/>
      <c r="E181" s="2059"/>
      <c r="F181" s="2059"/>
      <c r="G181" s="2059"/>
      <c r="H181" s="2059"/>
    </row>
    <row r="182" spans="1:8">
      <c r="A182" s="2059"/>
      <c r="B182" s="2059"/>
      <c r="C182" s="2059"/>
      <c r="D182" s="2059"/>
      <c r="E182" s="2059"/>
      <c r="F182" s="2059"/>
      <c r="G182" s="2059"/>
      <c r="H182" s="2059"/>
    </row>
    <row r="183" spans="1:8">
      <c r="A183" s="2059"/>
      <c r="B183" s="2059"/>
      <c r="C183" s="2059"/>
      <c r="D183" s="2059"/>
      <c r="E183" s="2059"/>
      <c r="F183" s="2059"/>
      <c r="G183" s="2059"/>
      <c r="H183" s="2059"/>
    </row>
    <row r="184" spans="1:8">
      <c r="A184" s="2059"/>
      <c r="B184" s="2059"/>
      <c r="C184" s="2059"/>
      <c r="D184" s="2059"/>
      <c r="E184" s="2059"/>
      <c r="F184" s="2059"/>
      <c r="G184" s="2059"/>
      <c r="H184" s="2059"/>
    </row>
    <row r="185" spans="1:8">
      <c r="A185" s="2059"/>
      <c r="B185" s="2059"/>
      <c r="C185" s="2059"/>
      <c r="D185" s="2059"/>
      <c r="E185" s="2059"/>
      <c r="F185" s="2059"/>
      <c r="G185" s="2059"/>
      <c r="H185" s="2059"/>
    </row>
    <row r="186" spans="1:8">
      <c r="A186" s="2059"/>
      <c r="B186" s="2059"/>
      <c r="C186" s="2059"/>
      <c r="D186" s="2059"/>
      <c r="E186" s="2059"/>
      <c r="F186" s="2059"/>
      <c r="G186" s="2059"/>
      <c r="H186" s="2059"/>
    </row>
    <row r="187" spans="1:8">
      <c r="A187" s="2059"/>
      <c r="B187" s="2059"/>
      <c r="C187" s="2059"/>
      <c r="D187" s="2059"/>
      <c r="E187" s="2059"/>
      <c r="F187" s="2059"/>
      <c r="G187" s="2059"/>
      <c r="H187" s="2059"/>
    </row>
    <row r="188" spans="1:8">
      <c r="A188" s="2059"/>
      <c r="B188" s="2059"/>
      <c r="C188" s="2059"/>
      <c r="D188" s="2059"/>
      <c r="E188" s="2059"/>
      <c r="F188" s="2059"/>
      <c r="G188" s="2059"/>
      <c r="H188" s="2059"/>
    </row>
    <row r="189" spans="1:8">
      <c r="A189" s="2059"/>
      <c r="B189" s="2059"/>
      <c r="C189" s="2059"/>
      <c r="D189" s="2059"/>
      <c r="E189" s="2059"/>
      <c r="F189" s="2059"/>
      <c r="G189" s="2059"/>
      <c r="H189" s="2059"/>
    </row>
    <row r="190" spans="1:8">
      <c r="A190" s="2059"/>
      <c r="B190" s="2059"/>
      <c r="C190" s="2059"/>
      <c r="D190" s="2059"/>
      <c r="E190" s="2059"/>
      <c r="F190" s="2059"/>
      <c r="G190" s="2059"/>
      <c r="H190" s="2059"/>
    </row>
    <row r="191" spans="1:8">
      <c r="A191" s="2059"/>
      <c r="B191" s="2059"/>
      <c r="C191" s="2059"/>
      <c r="D191" s="2059"/>
      <c r="E191" s="2059"/>
      <c r="F191" s="2059"/>
      <c r="G191" s="2059"/>
      <c r="H191" s="2059"/>
    </row>
    <row r="192" spans="1:8">
      <c r="A192" s="2059"/>
      <c r="B192" s="2059"/>
      <c r="C192" s="2059"/>
      <c r="D192" s="2059"/>
      <c r="E192" s="2059"/>
      <c r="F192" s="2059"/>
      <c r="G192" s="2059"/>
      <c r="H192" s="2059"/>
    </row>
    <row r="193" spans="1:8">
      <c r="A193" s="2059"/>
      <c r="B193" s="2059"/>
      <c r="C193" s="2059"/>
      <c r="D193" s="2059"/>
      <c r="E193" s="2059"/>
      <c r="F193" s="2059"/>
      <c r="G193" s="2059"/>
      <c r="H193" s="2059"/>
    </row>
    <row r="194" spans="1:8">
      <c r="A194" s="2059"/>
      <c r="B194" s="2059"/>
      <c r="C194" s="2059"/>
      <c r="D194" s="2059"/>
      <c r="E194" s="2059"/>
      <c r="F194" s="2059"/>
      <c r="G194" s="2059"/>
      <c r="H194" s="2059"/>
    </row>
    <row r="195" spans="1:8">
      <c r="A195" s="2059"/>
      <c r="B195" s="2059"/>
      <c r="C195" s="2059"/>
      <c r="D195" s="2059"/>
      <c r="E195" s="2059"/>
      <c r="F195" s="2059"/>
      <c r="G195" s="2059"/>
      <c r="H195" s="2059"/>
    </row>
    <row r="196" spans="1:8">
      <c r="A196" s="2059"/>
      <c r="B196" s="2059"/>
      <c r="C196" s="2059"/>
      <c r="D196" s="2059"/>
      <c r="E196" s="2059"/>
      <c r="F196" s="2059"/>
      <c r="G196" s="2059"/>
      <c r="H196" s="2059"/>
    </row>
    <row r="197" spans="1:8">
      <c r="A197" s="2059"/>
      <c r="B197" s="2059"/>
      <c r="C197" s="2059"/>
      <c r="D197" s="2059"/>
      <c r="E197" s="2059"/>
      <c r="F197" s="2059"/>
      <c r="G197" s="2059"/>
      <c r="H197" s="2059"/>
    </row>
    <row r="198" spans="1:8">
      <c r="A198" s="2059"/>
      <c r="B198" s="2059"/>
      <c r="C198" s="2059"/>
      <c r="D198" s="2059"/>
      <c r="E198" s="2059"/>
      <c r="F198" s="2059"/>
      <c r="G198" s="2059"/>
      <c r="H198" s="2059"/>
    </row>
    <row r="199" spans="1:8">
      <c r="A199" s="2059"/>
      <c r="B199" s="2059"/>
      <c r="C199" s="2059"/>
      <c r="D199" s="2059"/>
      <c r="E199" s="2059"/>
      <c r="F199" s="2059"/>
      <c r="G199" s="2059"/>
      <c r="H199" s="2059"/>
    </row>
    <row r="200" spans="1:8">
      <c r="A200" s="2059"/>
      <c r="B200" s="2059"/>
      <c r="C200" s="2059"/>
      <c r="D200" s="2059"/>
      <c r="E200" s="2059"/>
      <c r="F200" s="2059"/>
      <c r="G200" s="2059"/>
      <c r="H200" s="2059"/>
    </row>
    <row r="201" spans="1:8">
      <c r="A201" s="2059"/>
      <c r="B201" s="2059"/>
      <c r="C201" s="2059"/>
      <c r="D201" s="2059"/>
      <c r="E201" s="2059"/>
      <c r="F201" s="2059"/>
      <c r="G201" s="2059"/>
      <c r="H201" s="2059"/>
    </row>
    <row r="202" spans="1:8">
      <c r="A202" s="2059"/>
      <c r="B202" s="2059"/>
      <c r="C202" s="2059"/>
      <c r="D202" s="2059"/>
      <c r="E202" s="2059"/>
      <c r="F202" s="2059"/>
      <c r="G202" s="2059"/>
      <c r="H202" s="2059"/>
    </row>
    <row r="203" spans="1:8">
      <c r="A203" s="2059"/>
      <c r="B203" s="2059"/>
      <c r="C203" s="2059"/>
      <c r="D203" s="2059"/>
      <c r="E203" s="2059"/>
      <c r="F203" s="2059"/>
      <c r="G203" s="2059"/>
      <c r="H203" s="2059"/>
    </row>
    <row r="204" spans="1:8">
      <c r="A204" s="2059"/>
      <c r="B204" s="2059"/>
      <c r="C204" s="2059"/>
      <c r="D204" s="2059"/>
      <c r="E204" s="2059"/>
      <c r="F204" s="2059"/>
      <c r="G204" s="2059"/>
      <c r="H204" s="2059"/>
    </row>
    <row r="205" spans="1:8">
      <c r="A205" s="2059"/>
      <c r="B205" s="2059"/>
      <c r="C205" s="2059"/>
      <c r="D205" s="2059"/>
      <c r="E205" s="2059"/>
      <c r="F205" s="2059"/>
      <c r="G205" s="2059"/>
      <c r="H205" s="2059"/>
    </row>
    <row r="206" spans="1:8" ht="15.75">
      <c r="A206" s="2061" t="s">
        <v>1085</v>
      </c>
      <c r="B206" s="2059"/>
      <c r="C206" s="2059"/>
      <c r="D206" s="2059"/>
      <c r="E206" s="2059"/>
      <c r="F206" s="2059"/>
      <c r="G206" s="2059"/>
      <c r="H206" s="2059"/>
    </row>
    <row r="207" spans="1:8">
      <c r="A207" s="2059"/>
      <c r="B207" s="2059"/>
      <c r="C207" s="2059"/>
      <c r="D207" s="2059"/>
      <c r="E207" s="2059"/>
      <c r="F207" s="2059"/>
      <c r="G207" s="2059"/>
      <c r="H207" s="2059"/>
    </row>
    <row r="208" spans="1:8">
      <c r="A208" s="2060" t="s">
        <v>1246</v>
      </c>
      <c r="B208" s="2059"/>
      <c r="C208" s="2059"/>
      <c r="D208" s="2059"/>
      <c r="E208" s="2059"/>
      <c r="F208" s="2059"/>
      <c r="G208" s="2059"/>
      <c r="H208" s="2059"/>
    </row>
    <row r="209" spans="1:8">
      <c r="A209" s="2060" t="s">
        <v>1247</v>
      </c>
      <c r="B209" s="2059"/>
      <c r="C209" s="2059"/>
      <c r="D209" s="2059"/>
      <c r="E209" s="2059"/>
      <c r="F209" s="2059"/>
      <c r="G209" s="2059"/>
      <c r="H209" s="2059"/>
    </row>
    <row r="210" spans="1:8">
      <c r="A210" s="2060" t="s">
        <v>1248</v>
      </c>
      <c r="B210" s="2059"/>
      <c r="C210" s="2059"/>
      <c r="D210" s="2059"/>
      <c r="E210" s="2059"/>
      <c r="F210" s="2059"/>
      <c r="G210" s="2059"/>
      <c r="H210" s="2059"/>
    </row>
    <row r="211" spans="1:8">
      <c r="A211" s="2060" t="s">
        <v>1249</v>
      </c>
      <c r="B211" s="2059"/>
      <c r="C211" s="2059"/>
      <c r="D211" s="2059"/>
      <c r="E211" s="2059"/>
      <c r="F211" s="2059"/>
      <c r="G211" s="2059"/>
      <c r="H211" s="2059"/>
    </row>
    <row r="212" spans="1:8">
      <c r="A212" s="2060" t="s">
        <v>1250</v>
      </c>
      <c r="B212" s="2059"/>
      <c r="C212" s="2059"/>
      <c r="D212" s="2059"/>
      <c r="E212" s="2059"/>
      <c r="F212" s="2059"/>
      <c r="G212" s="2059"/>
      <c r="H212" s="2059"/>
    </row>
    <row r="213" spans="1:8">
      <c r="A213" s="2059"/>
      <c r="B213" s="2059"/>
      <c r="C213" s="2059"/>
      <c r="D213" s="2059"/>
      <c r="E213" s="2059"/>
      <c r="F213" s="2059"/>
      <c r="G213" s="2059"/>
      <c r="H213" s="2059"/>
    </row>
    <row r="214" spans="1:8">
      <c r="A214" s="2060" t="s">
        <v>1243</v>
      </c>
      <c r="B214" s="2059"/>
      <c r="C214" s="2059"/>
      <c r="D214" s="2059"/>
      <c r="E214" s="2059"/>
      <c r="F214" s="2059"/>
      <c r="G214" s="2059"/>
      <c r="H214" s="2059"/>
    </row>
    <row r="215" spans="1:8">
      <c r="A215" s="2060" t="s">
        <v>1244</v>
      </c>
      <c r="B215" s="2059"/>
      <c r="C215" s="2059"/>
      <c r="D215" s="2059"/>
      <c r="E215" s="2059"/>
      <c r="F215" s="2059"/>
      <c r="G215" s="2059"/>
      <c r="H215" s="2059"/>
    </row>
    <row r="216" spans="1:8">
      <c r="A216" s="2060" t="s">
        <v>1245</v>
      </c>
      <c r="B216" s="2059"/>
      <c r="C216" s="2059"/>
      <c r="D216" s="2059"/>
      <c r="E216" s="2059"/>
      <c r="F216" s="2059"/>
      <c r="G216" s="2059"/>
      <c r="H216" s="2059"/>
    </row>
    <row r="217" spans="1:8" ht="15.75">
      <c r="A217" s="2061" t="s">
        <v>1086</v>
      </c>
      <c r="B217" s="2059"/>
      <c r="C217" s="2059"/>
      <c r="D217" s="2059"/>
      <c r="E217" s="2059"/>
      <c r="F217" s="2059"/>
      <c r="G217" s="2059"/>
      <c r="H217" s="2059"/>
    </row>
    <row r="218" spans="1:8">
      <c r="A218" s="2059"/>
      <c r="B218" s="2059"/>
      <c r="C218" s="2059"/>
      <c r="D218" s="2059"/>
      <c r="E218" s="2059"/>
      <c r="F218" s="2059"/>
      <c r="G218" s="2059"/>
      <c r="H218" s="2059"/>
    </row>
    <row r="219" spans="1:8">
      <c r="A219" s="2060" t="s">
        <v>1241</v>
      </c>
      <c r="B219" s="2059"/>
      <c r="C219" s="2059"/>
      <c r="D219" s="2059"/>
      <c r="E219" s="2059"/>
      <c r="F219" s="2059"/>
      <c r="G219" s="2059"/>
      <c r="H219" s="2059"/>
    </row>
    <row r="220" spans="1:8">
      <c r="A220" s="2060" t="s">
        <v>1242</v>
      </c>
      <c r="B220" s="2059"/>
      <c r="C220" s="2059"/>
      <c r="D220" s="2059"/>
      <c r="E220" s="2059"/>
      <c r="F220" s="2059"/>
      <c r="G220" s="2059"/>
      <c r="H220" s="2059"/>
    </row>
    <row r="221" spans="1:8">
      <c r="A221" s="2059"/>
      <c r="B221" s="2059"/>
      <c r="C221" s="2059"/>
      <c r="D221" s="2059"/>
      <c r="E221" s="2059"/>
      <c r="F221" s="2059"/>
      <c r="G221" s="2059"/>
      <c r="H221" s="2059"/>
    </row>
    <row r="222" spans="1:8">
      <c r="A222" s="2060" t="s">
        <v>1234</v>
      </c>
      <c r="B222" s="2059"/>
      <c r="C222" s="2059"/>
      <c r="D222" s="2059"/>
      <c r="E222" s="2059"/>
      <c r="F222" s="2059"/>
      <c r="G222" s="2059"/>
      <c r="H222" s="2059"/>
    </row>
    <row r="223" spans="1:8">
      <c r="A223" s="2060" t="s">
        <v>1235</v>
      </c>
      <c r="B223" s="2059"/>
      <c r="C223" s="2059"/>
      <c r="D223" s="2059"/>
      <c r="E223" s="2059"/>
      <c r="F223" s="2059"/>
      <c r="G223" s="2059"/>
      <c r="H223" s="2059"/>
    </row>
    <row r="224" spans="1:8">
      <c r="A224" s="2060" t="s">
        <v>1236</v>
      </c>
      <c r="B224" s="2059"/>
      <c r="C224" s="2059"/>
      <c r="D224" s="2059"/>
      <c r="E224" s="2059"/>
      <c r="F224" s="2059"/>
      <c r="G224" s="2059"/>
      <c r="H224" s="2059"/>
    </row>
    <row r="225" spans="1:8">
      <c r="A225" s="2060" t="s">
        <v>1237</v>
      </c>
      <c r="B225" s="2059"/>
      <c r="C225" s="2059"/>
      <c r="D225" s="2059"/>
      <c r="E225" s="2059"/>
      <c r="F225" s="2059"/>
      <c r="G225" s="2059"/>
      <c r="H225" s="2059"/>
    </row>
    <row r="226" spans="1:8">
      <c r="A226" s="2060" t="s">
        <v>1238</v>
      </c>
      <c r="B226" s="2059"/>
      <c r="C226" s="2059"/>
      <c r="D226" s="2059"/>
      <c r="E226" s="2059"/>
      <c r="F226" s="2059"/>
      <c r="G226" s="2059"/>
      <c r="H226" s="2059"/>
    </row>
    <row r="227" spans="1:8">
      <c r="A227" s="2060" t="s">
        <v>1239</v>
      </c>
      <c r="B227" s="2059"/>
      <c r="C227" s="2059"/>
      <c r="D227" s="2059"/>
      <c r="E227" s="2059"/>
      <c r="F227" s="2059"/>
      <c r="G227" s="2059"/>
      <c r="H227" s="2059"/>
    </row>
    <row r="228" spans="1:8">
      <c r="A228" s="2060" t="s">
        <v>1240</v>
      </c>
      <c r="B228" s="2059"/>
      <c r="C228" s="2059"/>
      <c r="D228" s="2059"/>
      <c r="E228" s="2059"/>
      <c r="F228" s="2059"/>
      <c r="G228" s="2059"/>
      <c r="H228" s="2059"/>
    </row>
    <row r="229" spans="1:8">
      <c r="A229" s="2059"/>
      <c r="B229" s="2059"/>
      <c r="C229" s="2059"/>
      <c r="D229" s="2059"/>
      <c r="E229" s="2059"/>
      <c r="F229" s="2059"/>
      <c r="G229" s="2059"/>
      <c r="H229" s="2059"/>
    </row>
    <row r="230" spans="1:8">
      <c r="A230" s="2060" t="s">
        <v>1231</v>
      </c>
      <c r="B230" s="2059"/>
      <c r="C230" s="2059"/>
      <c r="D230" s="2059"/>
      <c r="E230" s="2059"/>
      <c r="F230" s="2059"/>
      <c r="G230" s="2059"/>
      <c r="H230" s="2059"/>
    </row>
    <row r="231" spans="1:8">
      <c r="A231" s="2060" t="s">
        <v>1232</v>
      </c>
      <c r="B231" s="2059"/>
      <c r="C231" s="2059"/>
      <c r="D231" s="2059"/>
      <c r="E231" s="2059"/>
      <c r="F231" s="2059"/>
      <c r="G231" s="2059"/>
      <c r="H231" s="2059"/>
    </row>
    <row r="232" spans="1:8">
      <c r="A232" s="2060" t="s">
        <v>1233</v>
      </c>
      <c r="B232" s="2059"/>
      <c r="C232" s="2059"/>
      <c r="D232" s="2059"/>
      <c r="E232" s="2059"/>
      <c r="F232" s="2059"/>
      <c r="G232" s="2059"/>
      <c r="H232" s="2059"/>
    </row>
    <row r="233" spans="1:8">
      <c r="A233" s="2059"/>
      <c r="B233" s="2059"/>
      <c r="C233" s="2059"/>
      <c r="D233" s="2059"/>
      <c r="E233" s="2059"/>
      <c r="F233" s="2059"/>
      <c r="G233" s="2059"/>
      <c r="H233" s="2059"/>
    </row>
    <row r="234" spans="1:8">
      <c r="A234" s="2060" t="s">
        <v>1226</v>
      </c>
      <c r="B234" s="2059"/>
      <c r="C234" s="2059"/>
      <c r="D234" s="2059"/>
      <c r="E234" s="2059"/>
      <c r="F234" s="2059"/>
      <c r="G234" s="2059"/>
      <c r="H234" s="2059"/>
    </row>
    <row r="235" spans="1:8">
      <c r="A235" s="2060" t="s">
        <v>1227</v>
      </c>
      <c r="B235" s="2059"/>
      <c r="C235" s="2059"/>
      <c r="D235" s="2059"/>
      <c r="E235" s="2059"/>
      <c r="F235" s="2059"/>
      <c r="G235" s="2059"/>
      <c r="H235" s="2059"/>
    </row>
    <row r="236" spans="1:8">
      <c r="A236" s="2060" t="s">
        <v>1228</v>
      </c>
      <c r="B236" s="2059"/>
      <c r="C236" s="2059"/>
      <c r="D236" s="2059"/>
      <c r="E236" s="2059"/>
      <c r="F236" s="2059"/>
      <c r="G236" s="2059"/>
      <c r="H236" s="2059"/>
    </row>
    <row r="237" spans="1:8">
      <c r="A237" s="2060" t="s">
        <v>1229</v>
      </c>
      <c r="B237" s="2059"/>
      <c r="C237" s="2059"/>
      <c r="D237" s="2059"/>
      <c r="E237" s="2059"/>
      <c r="F237" s="2059"/>
      <c r="G237" s="2059"/>
      <c r="H237" s="2059"/>
    </row>
    <row r="238" spans="1:8">
      <c r="A238" s="2060" t="s">
        <v>1230</v>
      </c>
      <c r="B238" s="2059"/>
      <c r="C238" s="2059"/>
      <c r="D238" s="2059"/>
      <c r="E238" s="2059"/>
      <c r="F238" s="2059"/>
      <c r="G238" s="2059"/>
      <c r="H238" s="2059"/>
    </row>
    <row r="239" spans="1:8">
      <c r="A239" s="2059"/>
      <c r="B239" s="2059"/>
      <c r="C239" s="2059"/>
      <c r="D239" s="2059"/>
      <c r="E239" s="2059"/>
      <c r="F239" s="2059"/>
      <c r="G239" s="2059"/>
      <c r="H239" s="2059"/>
    </row>
    <row r="240" spans="1:8">
      <c r="A240" s="2060" t="s">
        <v>1220</v>
      </c>
      <c r="B240" s="2059"/>
      <c r="C240" s="2059"/>
      <c r="D240" s="2059"/>
      <c r="E240" s="2059"/>
      <c r="F240" s="2059"/>
      <c r="G240" s="2059"/>
      <c r="H240" s="2059"/>
    </row>
    <row r="241" spans="1:8">
      <c r="A241" s="2060" t="s">
        <v>1221</v>
      </c>
      <c r="B241" s="2059"/>
      <c r="C241" s="2059"/>
      <c r="D241" s="2059"/>
      <c r="E241" s="2059"/>
      <c r="F241" s="2059"/>
      <c r="G241" s="2059"/>
      <c r="H241" s="2059"/>
    </row>
    <row r="242" spans="1:8">
      <c r="A242" s="2060" t="s">
        <v>1222</v>
      </c>
      <c r="B242" s="2059"/>
      <c r="C242" s="2059"/>
      <c r="D242" s="2059"/>
      <c r="E242" s="2059"/>
      <c r="F242" s="2059"/>
      <c r="G242" s="2059"/>
      <c r="H242" s="2059"/>
    </row>
    <row r="243" spans="1:8">
      <c r="A243" s="2060" t="s">
        <v>1223</v>
      </c>
      <c r="B243" s="2059"/>
      <c r="C243" s="2059"/>
      <c r="D243" s="2059"/>
      <c r="E243" s="2059"/>
      <c r="F243" s="2059"/>
      <c r="G243" s="2059"/>
      <c r="H243" s="2059"/>
    </row>
    <row r="244" spans="1:8">
      <c r="A244" s="2060" t="s">
        <v>1224</v>
      </c>
      <c r="B244" s="2059"/>
      <c r="C244" s="2059"/>
      <c r="D244" s="2059"/>
      <c r="E244" s="2059"/>
      <c r="F244" s="2059"/>
      <c r="G244" s="2059"/>
      <c r="H244" s="2059"/>
    </row>
    <row r="245" spans="1:8">
      <c r="A245" s="2060" t="s">
        <v>1225</v>
      </c>
      <c r="B245" s="2059"/>
      <c r="C245" s="2059"/>
      <c r="D245" s="2059"/>
      <c r="E245" s="2059"/>
      <c r="F245" s="2059"/>
      <c r="G245" s="2059"/>
      <c r="H245" s="2059"/>
    </row>
    <row r="246" spans="1:8">
      <c r="A246" s="2059"/>
      <c r="B246" s="2059"/>
      <c r="C246" s="2059"/>
      <c r="D246" s="2059"/>
      <c r="E246" s="2059"/>
      <c r="F246" s="2059"/>
      <c r="G246" s="2059"/>
      <c r="H246" s="2059"/>
    </row>
    <row r="247" spans="1:8">
      <c r="A247" s="2060" t="s">
        <v>1210</v>
      </c>
      <c r="B247" s="2059"/>
      <c r="C247" s="2059"/>
      <c r="D247" s="2059"/>
      <c r="E247" s="2059"/>
      <c r="F247" s="2059"/>
      <c r="G247" s="2059"/>
      <c r="H247" s="2059"/>
    </row>
    <row r="248" spans="1:8">
      <c r="A248" s="2060" t="s">
        <v>1211</v>
      </c>
      <c r="B248" s="2059"/>
      <c r="C248" s="2059"/>
      <c r="D248" s="2059"/>
      <c r="E248" s="2059"/>
      <c r="F248" s="2059"/>
      <c r="G248" s="2059"/>
      <c r="H248" s="2059"/>
    </row>
    <row r="249" spans="1:8">
      <c r="A249" s="2060" t="s">
        <v>1212</v>
      </c>
      <c r="B249" s="2059"/>
      <c r="C249" s="2059"/>
      <c r="D249" s="2059"/>
      <c r="E249" s="2059"/>
      <c r="F249" s="2059"/>
      <c r="G249" s="2059"/>
      <c r="H249" s="2059"/>
    </row>
    <row r="250" spans="1:8">
      <c r="A250" s="2060" t="s">
        <v>1213</v>
      </c>
      <c r="B250" s="2059"/>
      <c r="C250" s="2059"/>
      <c r="D250" s="2059"/>
      <c r="E250" s="2059"/>
      <c r="F250" s="2059"/>
      <c r="G250" s="2059"/>
      <c r="H250" s="2059"/>
    </row>
    <row r="251" spans="1:8">
      <c r="A251" s="2060" t="s">
        <v>1214</v>
      </c>
      <c r="B251" s="2059"/>
      <c r="C251" s="2059"/>
      <c r="D251" s="2059"/>
      <c r="E251" s="2059"/>
      <c r="F251" s="2059"/>
      <c r="G251" s="2059"/>
      <c r="H251" s="2059"/>
    </row>
    <row r="252" spans="1:8">
      <c r="A252" s="2060" t="s">
        <v>1215</v>
      </c>
      <c r="B252" s="2059"/>
      <c r="C252" s="2059"/>
      <c r="D252" s="2059"/>
      <c r="E252" s="2059"/>
      <c r="F252" s="2059"/>
      <c r="G252" s="2059"/>
      <c r="H252" s="2059"/>
    </row>
    <row r="253" spans="1:8">
      <c r="A253" s="2060" t="s">
        <v>1216</v>
      </c>
      <c r="B253" s="2059"/>
      <c r="C253" s="2059"/>
      <c r="D253" s="2059"/>
      <c r="E253" s="2059"/>
      <c r="F253" s="2059"/>
      <c r="G253" s="2059"/>
      <c r="H253" s="2059"/>
    </row>
    <row r="254" spans="1:8">
      <c r="A254" s="2060" t="s">
        <v>1217</v>
      </c>
      <c r="B254" s="2059"/>
      <c r="C254" s="2059"/>
      <c r="D254" s="2059"/>
      <c r="E254" s="2059"/>
      <c r="F254" s="2059"/>
      <c r="G254" s="2059"/>
      <c r="H254" s="2059"/>
    </row>
    <row r="255" spans="1:8">
      <c r="A255" s="2060" t="s">
        <v>1218</v>
      </c>
      <c r="B255" s="2059"/>
      <c r="C255" s="2059"/>
      <c r="D255" s="2059"/>
      <c r="E255" s="2059"/>
      <c r="F255" s="2059"/>
      <c r="G255" s="2059"/>
      <c r="H255" s="2059"/>
    </row>
    <row r="256" spans="1:8">
      <c r="A256" s="2060" t="s">
        <v>1219</v>
      </c>
      <c r="B256" s="2059"/>
      <c r="C256" s="2059"/>
      <c r="D256" s="2059"/>
      <c r="E256" s="2059"/>
      <c r="F256" s="2059"/>
      <c r="G256" s="2059"/>
      <c r="H256" s="2059"/>
    </row>
    <row r="257" spans="1:8">
      <c r="A257" s="2059"/>
      <c r="B257" s="2059"/>
      <c r="C257" s="2059"/>
      <c r="D257" s="2059"/>
      <c r="E257" s="2059"/>
      <c r="F257" s="2059"/>
      <c r="G257" s="2059"/>
      <c r="H257" s="2059"/>
    </row>
    <row r="258" spans="1:8">
      <c r="A258" s="2060" t="s">
        <v>1208</v>
      </c>
      <c r="B258" s="2059"/>
      <c r="C258" s="2059"/>
      <c r="D258" s="2059"/>
      <c r="E258" s="2059"/>
      <c r="F258" s="2059"/>
      <c r="G258" s="2059"/>
      <c r="H258" s="2059"/>
    </row>
    <row r="259" spans="1:8">
      <c r="A259" s="2060" t="s">
        <v>1209</v>
      </c>
      <c r="B259" s="2059"/>
      <c r="C259" s="2059"/>
      <c r="D259" s="2059"/>
      <c r="E259" s="2059"/>
      <c r="F259" s="2059"/>
      <c r="G259" s="2059"/>
      <c r="H259" s="2059"/>
    </row>
    <row r="260" spans="1:8">
      <c r="A260" s="2059"/>
      <c r="B260" s="2059"/>
      <c r="C260" s="2059"/>
      <c r="D260" s="2059"/>
      <c r="E260" s="2059"/>
      <c r="F260" s="2059"/>
      <c r="G260" s="2059"/>
      <c r="H260" s="2059"/>
    </row>
    <row r="261" spans="1:8">
      <c r="A261" s="2060" t="s">
        <v>1192</v>
      </c>
      <c r="B261" s="2059"/>
      <c r="C261" s="2059"/>
      <c r="D261" s="2059"/>
      <c r="E261" s="2059"/>
      <c r="F261" s="2059"/>
      <c r="G261" s="2059"/>
      <c r="H261" s="2059"/>
    </row>
    <row r="262" spans="1:8">
      <c r="A262" s="2060" t="s">
        <v>1193</v>
      </c>
      <c r="B262" s="2059"/>
      <c r="C262" s="2059"/>
      <c r="D262" s="2059"/>
      <c r="E262" s="2059"/>
      <c r="F262" s="2059"/>
      <c r="G262" s="2059"/>
      <c r="H262" s="2059"/>
    </row>
    <row r="263" spans="1:8">
      <c r="A263" s="2060" t="s">
        <v>1194</v>
      </c>
      <c r="B263" s="2059"/>
      <c r="C263" s="2059"/>
      <c r="D263" s="2059"/>
      <c r="E263" s="2059"/>
      <c r="F263" s="2059"/>
      <c r="G263" s="2059"/>
      <c r="H263" s="2059"/>
    </row>
    <row r="264" spans="1:8">
      <c r="A264" s="2060" t="s">
        <v>1195</v>
      </c>
      <c r="B264" s="2059"/>
      <c r="C264" s="2059"/>
      <c r="D264" s="2059"/>
      <c r="E264" s="2059"/>
      <c r="F264" s="2059"/>
      <c r="G264" s="2059"/>
      <c r="H264" s="2059"/>
    </row>
    <row r="265" spans="1:8">
      <c r="A265" s="2060" t="s">
        <v>1196</v>
      </c>
      <c r="B265" s="2059"/>
      <c r="C265" s="2059"/>
      <c r="D265" s="2059"/>
      <c r="E265" s="2059"/>
      <c r="F265" s="2059"/>
      <c r="G265" s="2059"/>
      <c r="H265" s="2059"/>
    </row>
    <row r="266" spans="1:8">
      <c r="A266" s="2060" t="s">
        <v>1197</v>
      </c>
      <c r="B266" s="2059"/>
      <c r="C266" s="2059"/>
      <c r="D266" s="2059"/>
      <c r="E266" s="2059"/>
      <c r="F266" s="2059"/>
      <c r="G266" s="2059"/>
      <c r="H266" s="2059"/>
    </row>
    <row r="267" spans="1:8">
      <c r="A267" s="2060" t="s">
        <v>1198</v>
      </c>
      <c r="B267" s="2059"/>
      <c r="C267" s="2059"/>
      <c r="D267" s="2059"/>
      <c r="E267" s="2059"/>
      <c r="F267" s="2059"/>
      <c r="G267" s="2059"/>
      <c r="H267" s="2059"/>
    </row>
    <row r="268" spans="1:8">
      <c r="A268" s="2060" t="s">
        <v>1199</v>
      </c>
      <c r="B268" s="2059"/>
      <c r="C268" s="2059"/>
      <c r="D268" s="2059"/>
      <c r="E268" s="2059"/>
      <c r="F268" s="2059"/>
      <c r="G268" s="2059"/>
      <c r="H268" s="2059"/>
    </row>
    <row r="269" spans="1:8">
      <c r="A269" s="2060" t="s">
        <v>1200</v>
      </c>
      <c r="B269" s="2059"/>
      <c r="C269" s="2059"/>
      <c r="D269" s="2059"/>
      <c r="E269" s="2059"/>
      <c r="F269" s="2059"/>
      <c r="G269" s="2059"/>
      <c r="H269" s="2059"/>
    </row>
    <row r="270" spans="1:8">
      <c r="A270" s="2060" t="s">
        <v>1201</v>
      </c>
      <c r="B270" s="2059"/>
      <c r="C270" s="2059"/>
      <c r="D270" s="2059"/>
      <c r="E270" s="2059"/>
      <c r="F270" s="2059"/>
      <c r="G270" s="2059"/>
      <c r="H270" s="2059"/>
    </row>
    <row r="271" spans="1:8">
      <c r="A271" s="2060" t="s">
        <v>1202</v>
      </c>
      <c r="B271" s="2059"/>
      <c r="C271" s="2059"/>
      <c r="D271" s="2059"/>
      <c r="E271" s="2059"/>
      <c r="F271" s="2059"/>
      <c r="G271" s="2059"/>
      <c r="H271" s="2059"/>
    </row>
    <row r="272" spans="1:8">
      <c r="A272" s="2060" t="s">
        <v>1203</v>
      </c>
      <c r="B272" s="2059"/>
      <c r="C272" s="2059"/>
      <c r="D272" s="2059"/>
      <c r="E272" s="2059"/>
      <c r="F272" s="2059"/>
      <c r="G272" s="2059"/>
      <c r="H272" s="2059"/>
    </row>
    <row r="273" spans="1:8">
      <c r="A273" s="2060" t="s">
        <v>1204</v>
      </c>
      <c r="B273" s="2059"/>
      <c r="C273" s="2059"/>
      <c r="D273" s="2059"/>
      <c r="E273" s="2059"/>
      <c r="F273" s="2059"/>
      <c r="G273" s="2059"/>
      <c r="H273" s="2059"/>
    </row>
    <row r="274" spans="1:8">
      <c r="A274" s="2060" t="s">
        <v>1205</v>
      </c>
      <c r="B274" s="2059"/>
      <c r="C274" s="2059"/>
      <c r="D274" s="2059"/>
      <c r="E274" s="2059"/>
      <c r="F274" s="2059"/>
      <c r="G274" s="2059"/>
      <c r="H274" s="2059"/>
    </row>
    <row r="275" spans="1:8">
      <c r="A275" s="2060" t="s">
        <v>1206</v>
      </c>
      <c r="B275" s="2059"/>
      <c r="C275" s="2059"/>
      <c r="D275" s="2059"/>
      <c r="E275" s="2059"/>
      <c r="F275" s="2059"/>
      <c r="G275" s="2059"/>
      <c r="H275" s="2059"/>
    </row>
    <row r="276" spans="1:8">
      <c r="A276" s="2060" t="s">
        <v>1207</v>
      </c>
      <c r="B276" s="2059"/>
      <c r="C276" s="2059"/>
      <c r="D276" s="2059"/>
      <c r="E276" s="2059"/>
      <c r="F276" s="2059"/>
      <c r="G276" s="2059"/>
      <c r="H276" s="2059"/>
    </row>
    <row r="277" spans="1:8">
      <c r="A277" s="2059"/>
      <c r="B277" s="2059"/>
      <c r="C277" s="2059"/>
      <c r="D277" s="2059"/>
      <c r="E277" s="2059"/>
      <c r="F277" s="2059"/>
      <c r="G277" s="2059"/>
      <c r="H277" s="2059"/>
    </row>
    <row r="278" spans="1:8">
      <c r="A278" s="2060" t="s">
        <v>1185</v>
      </c>
      <c r="B278" s="2059"/>
      <c r="C278" s="2059"/>
      <c r="D278" s="2059"/>
      <c r="E278" s="2059"/>
      <c r="F278" s="2059"/>
      <c r="G278" s="2059"/>
      <c r="H278" s="2059"/>
    </row>
    <row r="279" spans="1:8">
      <c r="A279" s="2060" t="s">
        <v>1186</v>
      </c>
      <c r="B279" s="2059"/>
      <c r="C279" s="2059"/>
      <c r="D279" s="2059"/>
      <c r="E279" s="2059"/>
      <c r="F279" s="2059"/>
      <c r="G279" s="2059"/>
      <c r="H279" s="2059"/>
    </row>
    <row r="280" spans="1:8">
      <c r="A280" s="2060" t="s">
        <v>1187</v>
      </c>
      <c r="B280" s="2059"/>
      <c r="C280" s="2059"/>
      <c r="D280" s="2059"/>
      <c r="E280" s="2059"/>
      <c r="F280" s="2059"/>
      <c r="G280" s="2059"/>
      <c r="H280" s="2059"/>
    </row>
    <row r="281" spans="1:8">
      <c r="A281" s="2060" t="s">
        <v>1188</v>
      </c>
      <c r="B281" s="2059"/>
      <c r="C281" s="2059"/>
      <c r="D281" s="2059"/>
      <c r="E281" s="2059"/>
      <c r="F281" s="2059"/>
      <c r="G281" s="2059"/>
      <c r="H281" s="2059"/>
    </row>
    <row r="282" spans="1:8">
      <c r="A282" s="2060" t="s">
        <v>1189</v>
      </c>
      <c r="B282" s="2059"/>
      <c r="C282" s="2059"/>
      <c r="D282" s="2059"/>
      <c r="E282" s="2059"/>
      <c r="F282" s="2059"/>
      <c r="G282" s="2059"/>
      <c r="H282" s="2059"/>
    </row>
    <row r="283" spans="1:8">
      <c r="A283" s="2060" t="s">
        <v>1190</v>
      </c>
      <c r="B283" s="2059"/>
      <c r="C283" s="2059"/>
      <c r="D283" s="2059"/>
      <c r="E283" s="2059"/>
      <c r="F283" s="2059"/>
      <c r="G283" s="2059"/>
      <c r="H283" s="2059"/>
    </row>
    <row r="284" spans="1:8">
      <c r="A284" s="2060" t="s">
        <v>1191</v>
      </c>
      <c r="B284" s="2059"/>
      <c r="C284" s="2059"/>
      <c r="D284" s="2059"/>
      <c r="E284" s="2059"/>
      <c r="F284" s="2059"/>
      <c r="G284" s="2059"/>
      <c r="H284" s="2059"/>
    </row>
    <row r="285" spans="1:8">
      <c r="A285" s="2059"/>
      <c r="B285" s="2059"/>
      <c r="C285" s="2059"/>
      <c r="D285" s="2059"/>
      <c r="E285" s="2059"/>
      <c r="F285" s="2059"/>
      <c r="G285" s="2059"/>
      <c r="H285" s="2059"/>
    </row>
    <row r="286" spans="1:8">
      <c r="A286" s="2060" t="s">
        <v>1176</v>
      </c>
      <c r="B286" s="2059"/>
      <c r="C286" s="2059"/>
      <c r="D286" s="2059"/>
      <c r="E286" s="2059"/>
      <c r="F286" s="2059"/>
      <c r="G286" s="2059"/>
      <c r="H286" s="2059"/>
    </row>
    <row r="287" spans="1:8">
      <c r="A287" s="2060" t="s">
        <v>1177</v>
      </c>
      <c r="B287" s="2059"/>
      <c r="C287" s="2059"/>
      <c r="D287" s="2059"/>
      <c r="E287" s="2059"/>
      <c r="F287" s="2059"/>
      <c r="G287" s="2059"/>
      <c r="H287" s="2059"/>
    </row>
    <row r="288" spans="1:8">
      <c r="A288" s="2060" t="s">
        <v>1178</v>
      </c>
      <c r="B288" s="2059"/>
      <c r="C288" s="2059"/>
      <c r="D288" s="2059"/>
      <c r="E288" s="2059"/>
      <c r="F288" s="2059"/>
      <c r="G288" s="2059"/>
      <c r="H288" s="2059"/>
    </row>
    <row r="289" spans="1:8">
      <c r="A289" s="2060" t="s">
        <v>1179</v>
      </c>
      <c r="B289" s="2059"/>
      <c r="C289" s="2059"/>
      <c r="D289" s="2059"/>
      <c r="E289" s="2059"/>
      <c r="F289" s="2059"/>
      <c r="G289" s="2059"/>
      <c r="H289" s="2059"/>
    </row>
    <row r="290" spans="1:8">
      <c r="A290" s="2060" t="s">
        <v>1180</v>
      </c>
      <c r="B290" s="2059"/>
      <c r="C290" s="2059"/>
      <c r="D290" s="2059"/>
      <c r="E290" s="2059"/>
      <c r="F290" s="2059"/>
      <c r="G290" s="2059"/>
      <c r="H290" s="2059"/>
    </row>
    <row r="291" spans="1:8">
      <c r="A291" s="2060" t="s">
        <v>1181</v>
      </c>
      <c r="B291" s="2059"/>
      <c r="C291" s="2059"/>
      <c r="D291" s="2059"/>
      <c r="E291" s="2059"/>
      <c r="F291" s="2059"/>
      <c r="G291" s="2059"/>
      <c r="H291" s="2059"/>
    </row>
    <row r="292" spans="1:8">
      <c r="A292" s="2060" t="s">
        <v>1182</v>
      </c>
      <c r="B292" s="2059"/>
      <c r="C292" s="2059"/>
      <c r="D292" s="2059"/>
      <c r="E292" s="2059"/>
      <c r="F292" s="2059"/>
      <c r="G292" s="2059"/>
      <c r="H292" s="2059"/>
    </row>
    <row r="293" spans="1:8">
      <c r="A293" s="2060" t="s">
        <v>1183</v>
      </c>
      <c r="B293" s="2059"/>
      <c r="C293" s="2059"/>
      <c r="D293" s="2059"/>
      <c r="E293" s="2059"/>
      <c r="F293" s="2059"/>
      <c r="G293" s="2059"/>
      <c r="H293" s="2059"/>
    </row>
    <row r="294" spans="1:8">
      <c r="A294" s="2060" t="s">
        <v>1184</v>
      </c>
      <c r="B294" s="2059"/>
      <c r="C294" s="2059"/>
      <c r="D294" s="2059"/>
      <c r="E294" s="2059"/>
      <c r="F294" s="2059"/>
      <c r="G294" s="2059"/>
      <c r="H294" s="2059"/>
    </row>
    <row r="295" spans="1:8">
      <c r="A295" s="2059"/>
      <c r="B295" s="2059"/>
      <c r="C295" s="2059"/>
      <c r="D295" s="2059"/>
      <c r="E295" s="2059"/>
      <c r="F295" s="2059"/>
      <c r="G295" s="2059"/>
      <c r="H295" s="2059"/>
    </row>
    <row r="296" spans="1:8">
      <c r="A296" s="2060" t="s">
        <v>1169</v>
      </c>
      <c r="B296" s="2059"/>
      <c r="C296" s="2059"/>
      <c r="D296" s="2059"/>
      <c r="E296" s="2059"/>
      <c r="F296" s="2059"/>
      <c r="G296" s="2059"/>
      <c r="H296" s="2059"/>
    </row>
    <row r="297" spans="1:8">
      <c r="A297" s="2060" t="s">
        <v>1170</v>
      </c>
      <c r="B297" s="2059"/>
      <c r="C297" s="2059"/>
      <c r="D297" s="2059"/>
      <c r="E297" s="2059"/>
      <c r="F297" s="2059"/>
      <c r="G297" s="2059"/>
      <c r="H297" s="2059"/>
    </row>
    <row r="298" spans="1:8">
      <c r="A298" s="2060" t="s">
        <v>1171</v>
      </c>
      <c r="B298" s="2059"/>
      <c r="C298" s="2059"/>
      <c r="D298" s="2059"/>
      <c r="E298" s="2059"/>
      <c r="F298" s="2059"/>
      <c r="G298" s="2059"/>
      <c r="H298" s="2059"/>
    </row>
    <row r="299" spans="1:8">
      <c r="A299" s="2060" t="s">
        <v>1172</v>
      </c>
      <c r="B299" s="2059"/>
      <c r="C299" s="2059"/>
      <c r="D299" s="2059"/>
      <c r="E299" s="2059"/>
      <c r="F299" s="2059"/>
      <c r="G299" s="2059"/>
      <c r="H299" s="2059"/>
    </row>
    <row r="300" spans="1:8">
      <c r="A300" s="2060" t="s">
        <v>1173</v>
      </c>
      <c r="B300" s="2059"/>
      <c r="C300" s="2059"/>
      <c r="D300" s="2059"/>
      <c r="E300" s="2059"/>
      <c r="F300" s="2059"/>
      <c r="G300" s="2059"/>
      <c r="H300" s="2059"/>
    </row>
    <row r="301" spans="1:8">
      <c r="A301" s="2060" t="s">
        <v>1174</v>
      </c>
      <c r="B301" s="2059"/>
      <c r="C301" s="2059"/>
      <c r="D301" s="2059"/>
      <c r="E301" s="2059"/>
      <c r="F301" s="2059"/>
      <c r="G301" s="2059"/>
      <c r="H301" s="2059"/>
    </row>
    <row r="302" spans="1:8">
      <c r="A302" s="2060" t="s">
        <v>1175</v>
      </c>
      <c r="B302" s="2059"/>
      <c r="C302" s="2059"/>
      <c r="D302" s="2059"/>
      <c r="E302" s="2059"/>
      <c r="F302" s="2059"/>
      <c r="G302" s="2059"/>
      <c r="H302" s="2059"/>
    </row>
    <row r="303" spans="1:8">
      <c r="A303" s="2059"/>
      <c r="B303" s="2059"/>
      <c r="C303" s="2059"/>
      <c r="D303" s="2059"/>
      <c r="E303" s="2059"/>
      <c r="F303" s="2059"/>
      <c r="G303" s="2059"/>
      <c r="H303" s="2059"/>
    </row>
    <row r="304" spans="1:8">
      <c r="A304" s="2060" t="s">
        <v>1166</v>
      </c>
      <c r="B304" s="2059"/>
      <c r="C304" s="2059"/>
      <c r="D304" s="2059"/>
      <c r="E304" s="2059"/>
      <c r="F304" s="2059"/>
      <c r="G304" s="2059"/>
      <c r="H304" s="2059"/>
    </row>
    <row r="305" spans="1:8">
      <c r="A305" s="2060" t="s">
        <v>1167</v>
      </c>
      <c r="B305" s="2059"/>
      <c r="C305" s="2059"/>
      <c r="D305" s="2059"/>
      <c r="E305" s="2059"/>
      <c r="F305" s="2059"/>
      <c r="G305" s="2059"/>
      <c r="H305" s="2059"/>
    </row>
    <row r="306" spans="1:8">
      <c r="A306" s="2060" t="s">
        <v>1168</v>
      </c>
      <c r="B306" s="2059"/>
      <c r="C306" s="2059"/>
      <c r="D306" s="2059"/>
      <c r="E306" s="2059"/>
      <c r="F306" s="2059"/>
      <c r="G306" s="2059"/>
      <c r="H306" s="2059"/>
    </row>
    <row r="307" spans="1:8">
      <c r="A307" s="2059"/>
      <c r="B307" s="2059"/>
      <c r="C307" s="2059"/>
      <c r="D307" s="2059"/>
      <c r="E307" s="2059"/>
      <c r="F307" s="2059"/>
      <c r="G307" s="2059"/>
      <c r="H307" s="2059"/>
    </row>
    <row r="308" spans="1:8">
      <c r="A308" s="2060" t="s">
        <v>1164</v>
      </c>
      <c r="B308" s="2059"/>
      <c r="C308" s="2059"/>
      <c r="D308" s="2059"/>
      <c r="E308" s="2059"/>
      <c r="F308" s="2059"/>
      <c r="G308" s="2059"/>
      <c r="H308" s="2059"/>
    </row>
    <row r="309" spans="1:8">
      <c r="A309" s="2060" t="s">
        <v>1165</v>
      </c>
      <c r="B309" s="2059"/>
      <c r="C309" s="2059"/>
      <c r="D309" s="2059"/>
      <c r="E309" s="2059"/>
      <c r="F309" s="2059"/>
      <c r="G309" s="2059"/>
      <c r="H309" s="2059"/>
    </row>
    <row r="310" spans="1:8">
      <c r="A310" s="2059"/>
      <c r="B310" s="2059"/>
      <c r="C310" s="2059"/>
      <c r="D310" s="2059"/>
      <c r="E310" s="2059"/>
      <c r="F310" s="2059"/>
      <c r="G310" s="2059"/>
      <c r="H310" s="2059"/>
    </row>
    <row r="311" spans="1:8">
      <c r="A311" s="2060" t="s">
        <v>1151</v>
      </c>
      <c r="B311" s="2059"/>
      <c r="C311" s="2059"/>
      <c r="D311" s="2059"/>
      <c r="E311" s="2059"/>
      <c r="F311" s="2059"/>
      <c r="G311" s="2059"/>
      <c r="H311" s="2059"/>
    </row>
    <row r="312" spans="1:8">
      <c r="A312" s="2060" t="s">
        <v>1152</v>
      </c>
      <c r="B312" s="2059"/>
      <c r="C312" s="2059"/>
      <c r="D312" s="2059"/>
      <c r="E312" s="2059"/>
      <c r="F312" s="2059"/>
      <c r="G312" s="2059"/>
      <c r="H312" s="2059"/>
    </row>
    <row r="313" spans="1:8">
      <c r="A313" s="2060" t="s">
        <v>1153</v>
      </c>
      <c r="B313" s="2059"/>
      <c r="C313" s="2059"/>
      <c r="D313" s="2059"/>
      <c r="E313" s="2059"/>
      <c r="F313" s="2059"/>
      <c r="G313" s="2059"/>
      <c r="H313" s="2059"/>
    </row>
    <row r="314" spans="1:8">
      <c r="A314" s="2060" t="s">
        <v>1154</v>
      </c>
      <c r="B314" s="2059"/>
      <c r="C314" s="2059"/>
      <c r="D314" s="2059"/>
      <c r="E314" s="2059"/>
      <c r="F314" s="2059"/>
      <c r="G314" s="2059"/>
      <c r="H314" s="2059"/>
    </row>
    <row r="315" spans="1:8">
      <c r="A315" s="2060" t="s">
        <v>1155</v>
      </c>
      <c r="B315" s="2059"/>
      <c r="C315" s="2059"/>
      <c r="D315" s="2059"/>
      <c r="E315" s="2059"/>
      <c r="F315" s="2059"/>
      <c r="G315" s="2059"/>
      <c r="H315" s="2059"/>
    </row>
    <row r="316" spans="1:8">
      <c r="A316" s="2060" t="s">
        <v>1156</v>
      </c>
      <c r="B316" s="2059"/>
      <c r="C316" s="2059"/>
      <c r="D316" s="2059"/>
      <c r="E316" s="2059"/>
      <c r="F316" s="2059"/>
      <c r="G316" s="2059"/>
      <c r="H316" s="2059"/>
    </row>
    <row r="317" spans="1:8">
      <c r="A317" s="2060" t="s">
        <v>1157</v>
      </c>
      <c r="B317" s="2059"/>
      <c r="C317" s="2059"/>
      <c r="D317" s="2059"/>
      <c r="E317" s="2059"/>
      <c r="F317" s="2059"/>
      <c r="G317" s="2059"/>
      <c r="H317" s="2059"/>
    </row>
    <row r="318" spans="1:8">
      <c r="A318" s="2060" t="s">
        <v>1158</v>
      </c>
      <c r="B318" s="2059"/>
      <c r="C318" s="2059"/>
      <c r="D318" s="2059"/>
      <c r="E318" s="2059"/>
      <c r="F318" s="2059"/>
      <c r="G318" s="2059"/>
      <c r="H318" s="2059"/>
    </row>
    <row r="319" spans="1:8">
      <c r="A319" s="2060" t="s">
        <v>1159</v>
      </c>
      <c r="B319" s="2059"/>
      <c r="C319" s="2059"/>
      <c r="D319" s="2059"/>
      <c r="E319" s="2059"/>
      <c r="F319" s="2059"/>
      <c r="G319" s="2059"/>
      <c r="H319" s="2059"/>
    </row>
    <row r="320" spans="1:8">
      <c r="A320" s="2060" t="s">
        <v>1160</v>
      </c>
      <c r="B320" s="2059"/>
      <c r="C320" s="2059"/>
      <c r="D320" s="2059"/>
      <c r="E320" s="2059"/>
      <c r="F320" s="2059"/>
      <c r="G320" s="2059"/>
      <c r="H320" s="2059"/>
    </row>
    <row r="321" spans="1:8">
      <c r="A321" s="2060" t="s">
        <v>1161</v>
      </c>
      <c r="B321" s="2059"/>
      <c r="C321" s="2059"/>
      <c r="D321" s="2059"/>
      <c r="E321" s="2059"/>
      <c r="F321" s="2059"/>
      <c r="G321" s="2059"/>
      <c r="H321" s="2059"/>
    </row>
    <row r="322" spans="1:8">
      <c r="A322" s="2060" t="s">
        <v>1162</v>
      </c>
      <c r="B322" s="2059"/>
      <c r="C322" s="2059"/>
      <c r="D322" s="2059"/>
      <c r="E322" s="2059"/>
      <c r="F322" s="2059"/>
      <c r="G322" s="2059"/>
      <c r="H322" s="2059"/>
    </row>
    <row r="323" spans="1:8">
      <c r="A323" s="2060" t="s">
        <v>1163</v>
      </c>
      <c r="B323" s="2059"/>
      <c r="C323" s="2059"/>
      <c r="D323" s="2059"/>
      <c r="E323" s="2059"/>
      <c r="F323" s="2059"/>
      <c r="G323" s="2059"/>
      <c r="H323" s="2059"/>
    </row>
    <row r="324" spans="1:8">
      <c r="A324" s="2059"/>
      <c r="B324" s="2059"/>
      <c r="C324" s="2059"/>
      <c r="D324" s="2059"/>
      <c r="E324" s="2059"/>
      <c r="F324" s="2059"/>
      <c r="G324" s="2059"/>
      <c r="H324" s="2059"/>
    </row>
    <row r="325" spans="1:8">
      <c r="A325" s="2060" t="s">
        <v>1143</v>
      </c>
      <c r="B325" s="2059"/>
      <c r="C325" s="2059"/>
      <c r="D325" s="2059"/>
      <c r="E325" s="2059"/>
      <c r="F325" s="2059"/>
      <c r="G325" s="2059"/>
      <c r="H325" s="2059"/>
    </row>
    <row r="326" spans="1:8">
      <c r="A326" s="2060" t="s">
        <v>1144</v>
      </c>
      <c r="B326" s="2059"/>
      <c r="C326" s="2059"/>
      <c r="D326" s="2059"/>
      <c r="E326" s="2059"/>
      <c r="F326" s="2059"/>
      <c r="G326" s="2059"/>
      <c r="H326" s="2059"/>
    </row>
    <row r="327" spans="1:8">
      <c r="A327" s="2060" t="s">
        <v>1145</v>
      </c>
      <c r="B327" s="2059"/>
      <c r="C327" s="2059"/>
      <c r="D327" s="2059"/>
      <c r="E327" s="2059"/>
      <c r="F327" s="2059"/>
      <c r="G327" s="2059"/>
      <c r="H327" s="2059"/>
    </row>
    <row r="328" spans="1:8">
      <c r="A328" s="2060" t="s">
        <v>1146</v>
      </c>
      <c r="B328" s="2059"/>
      <c r="C328" s="2059"/>
      <c r="D328" s="2059"/>
      <c r="E328" s="2059"/>
      <c r="F328" s="2059"/>
      <c r="G328" s="2059"/>
      <c r="H328" s="2059"/>
    </row>
    <row r="329" spans="1:8">
      <c r="A329" s="2060" t="s">
        <v>1147</v>
      </c>
      <c r="B329" s="2059"/>
      <c r="C329" s="2059"/>
      <c r="D329" s="2059"/>
      <c r="E329" s="2059"/>
      <c r="F329" s="2059"/>
      <c r="G329" s="2059"/>
      <c r="H329" s="2059"/>
    </row>
    <row r="330" spans="1:8">
      <c r="A330" s="2060" t="s">
        <v>1148</v>
      </c>
      <c r="B330" s="2059"/>
      <c r="C330" s="2059"/>
      <c r="D330" s="2059"/>
      <c r="E330" s="2059"/>
      <c r="F330" s="2059"/>
      <c r="G330" s="2059"/>
      <c r="H330" s="2059"/>
    </row>
    <row r="331" spans="1:8">
      <c r="A331" s="2060" t="s">
        <v>1149</v>
      </c>
      <c r="B331" s="2059"/>
      <c r="C331" s="2059"/>
      <c r="D331" s="2059"/>
      <c r="E331" s="2059"/>
      <c r="F331" s="2059"/>
      <c r="G331" s="2059"/>
      <c r="H331" s="2059"/>
    </row>
    <row r="332" spans="1:8">
      <c r="A332" s="2060" t="s">
        <v>1150</v>
      </c>
      <c r="B332" s="2059"/>
      <c r="C332" s="2059"/>
      <c r="D332" s="2059"/>
      <c r="E332" s="2059"/>
      <c r="F332" s="2059"/>
      <c r="G332" s="2059"/>
      <c r="H332" s="2059"/>
    </row>
    <row r="333" spans="1:8">
      <c r="A333" s="2059"/>
      <c r="B333" s="2059"/>
      <c r="C333" s="2059"/>
      <c r="D333" s="2059"/>
      <c r="E333" s="2059"/>
      <c r="F333" s="2059"/>
      <c r="G333" s="2059"/>
      <c r="H333" s="2059"/>
    </row>
    <row r="334" spans="1:8">
      <c r="A334" s="2060" t="s">
        <v>1108</v>
      </c>
      <c r="B334" s="2059"/>
      <c r="C334" s="2059"/>
      <c r="D334" s="2059"/>
      <c r="E334" s="2059"/>
      <c r="F334" s="2059"/>
      <c r="G334" s="2059"/>
      <c r="H334" s="2059"/>
    </row>
    <row r="335" spans="1:8">
      <c r="A335" s="2060" t="s">
        <v>1109</v>
      </c>
      <c r="B335" s="2059"/>
      <c r="C335" s="2059"/>
      <c r="D335" s="2059"/>
      <c r="E335" s="2059"/>
      <c r="F335" s="2059"/>
      <c r="G335" s="2059"/>
      <c r="H335" s="2059"/>
    </row>
    <row r="336" spans="1:8">
      <c r="A336" s="2060" t="s">
        <v>1110</v>
      </c>
      <c r="B336" s="2059"/>
      <c r="C336" s="2059"/>
      <c r="D336" s="2059"/>
      <c r="E336" s="2059"/>
      <c r="F336" s="2059"/>
      <c r="G336" s="2059"/>
      <c r="H336" s="2059"/>
    </row>
    <row r="337" spans="1:8">
      <c r="A337" s="2060" t="s">
        <v>1111</v>
      </c>
      <c r="B337" s="2059"/>
      <c r="C337" s="2059"/>
      <c r="D337" s="2059"/>
      <c r="E337" s="2059"/>
      <c r="F337" s="2059"/>
      <c r="G337" s="2059"/>
      <c r="H337" s="2059"/>
    </row>
    <row r="338" spans="1:8">
      <c r="A338" s="2060" t="s">
        <v>1112</v>
      </c>
      <c r="B338" s="2059"/>
      <c r="C338" s="2059"/>
      <c r="D338" s="2059"/>
      <c r="E338" s="2059"/>
      <c r="F338" s="2059"/>
      <c r="G338" s="2059"/>
      <c r="H338" s="2059"/>
    </row>
    <row r="339" spans="1:8">
      <c r="A339" s="2060" t="s">
        <v>1113</v>
      </c>
      <c r="B339" s="2059"/>
      <c r="C339" s="2059"/>
      <c r="D339" s="2059"/>
      <c r="E339" s="2059"/>
      <c r="F339" s="2059"/>
      <c r="G339" s="2059"/>
      <c r="H339" s="2059"/>
    </row>
    <row r="340" spans="1:8">
      <c r="A340" s="2060" t="s">
        <v>1114</v>
      </c>
      <c r="B340" s="2059"/>
      <c r="C340" s="2059"/>
      <c r="D340" s="2059"/>
      <c r="E340" s="2059"/>
      <c r="F340" s="2059"/>
      <c r="G340" s="2059"/>
      <c r="H340" s="2059"/>
    </row>
    <row r="341" spans="1:8">
      <c r="A341" s="2060" t="s">
        <v>1115</v>
      </c>
      <c r="B341" s="2059"/>
      <c r="C341" s="2059"/>
      <c r="D341" s="2059"/>
      <c r="E341" s="2059"/>
      <c r="F341" s="2059"/>
      <c r="G341" s="2059"/>
      <c r="H341" s="2059"/>
    </row>
    <row r="342" spans="1:8">
      <c r="A342" s="2060" t="s">
        <v>1116</v>
      </c>
      <c r="B342" s="2059"/>
      <c r="C342" s="2059"/>
      <c r="D342" s="2059"/>
      <c r="E342" s="2059"/>
      <c r="F342" s="2059"/>
      <c r="G342" s="2059"/>
      <c r="H342" s="2059"/>
    </row>
    <row r="343" spans="1:8">
      <c r="A343" s="2060" t="s">
        <v>1117</v>
      </c>
      <c r="B343" s="2059"/>
      <c r="C343" s="2059"/>
      <c r="D343" s="2059"/>
      <c r="E343" s="2059"/>
      <c r="F343" s="2059"/>
      <c r="G343" s="2059"/>
      <c r="H343" s="2059"/>
    </row>
    <row r="344" spans="1:8">
      <c r="A344" s="2060" t="s">
        <v>1118</v>
      </c>
      <c r="B344" s="2059"/>
      <c r="C344" s="2059"/>
      <c r="D344" s="2059"/>
      <c r="E344" s="2059"/>
      <c r="F344" s="2059"/>
      <c r="G344" s="2059"/>
      <c r="H344" s="2059"/>
    </row>
    <row r="345" spans="1:8">
      <c r="A345" s="2060" t="s">
        <v>1119</v>
      </c>
      <c r="B345" s="2059"/>
      <c r="C345" s="2059"/>
      <c r="D345" s="2059"/>
      <c r="E345" s="2059"/>
      <c r="F345" s="2059"/>
      <c r="G345" s="2059"/>
      <c r="H345" s="2059"/>
    </row>
    <row r="346" spans="1:8">
      <c r="A346" s="2060" t="s">
        <v>1120</v>
      </c>
      <c r="B346" s="2059"/>
      <c r="C346" s="2059"/>
      <c r="D346" s="2059"/>
      <c r="E346" s="2059"/>
      <c r="F346" s="2059"/>
      <c r="G346" s="2059"/>
      <c r="H346" s="2059"/>
    </row>
    <row r="347" spans="1:8">
      <c r="A347" s="2060" t="s">
        <v>1121</v>
      </c>
      <c r="B347" s="2059"/>
      <c r="C347" s="2059"/>
      <c r="D347" s="2059"/>
      <c r="E347" s="2059"/>
      <c r="F347" s="2059"/>
      <c r="G347" s="2059"/>
      <c r="H347" s="2059"/>
    </row>
    <row r="348" spans="1:8">
      <c r="A348" s="2060" t="s">
        <v>1122</v>
      </c>
      <c r="B348" s="2059"/>
      <c r="C348" s="2059"/>
      <c r="D348" s="2059"/>
      <c r="E348" s="2059"/>
      <c r="F348" s="2059"/>
      <c r="G348" s="2059"/>
      <c r="H348" s="2059"/>
    </row>
    <row r="349" spans="1:8">
      <c r="A349" s="2060" t="s">
        <v>1123</v>
      </c>
      <c r="B349" s="2059"/>
      <c r="C349" s="2059"/>
      <c r="D349" s="2059"/>
      <c r="E349" s="2059"/>
      <c r="F349" s="2059"/>
      <c r="G349" s="2059"/>
      <c r="H349" s="2059"/>
    </row>
    <row r="350" spans="1:8">
      <c r="A350" s="2060" t="s">
        <v>1124</v>
      </c>
      <c r="B350" s="2059"/>
      <c r="C350" s="2059"/>
      <c r="D350" s="2059"/>
      <c r="E350" s="2059"/>
      <c r="F350" s="2059"/>
      <c r="G350" s="2059"/>
      <c r="H350" s="2059"/>
    </row>
    <row r="351" spans="1:8">
      <c r="A351" s="2060" t="s">
        <v>1125</v>
      </c>
      <c r="B351" s="2059"/>
      <c r="C351" s="2059"/>
      <c r="D351" s="2059"/>
      <c r="E351" s="2059"/>
      <c r="F351" s="2059"/>
      <c r="G351" s="2059"/>
      <c r="H351" s="2059"/>
    </row>
    <row r="352" spans="1:8">
      <c r="A352" s="2060" t="s">
        <v>1126</v>
      </c>
      <c r="B352" s="2059"/>
      <c r="C352" s="2059"/>
      <c r="D352" s="2059"/>
      <c r="E352" s="2059"/>
      <c r="F352" s="2059"/>
      <c r="G352" s="2059"/>
      <c r="H352" s="2059"/>
    </row>
    <row r="353" spans="1:8">
      <c r="A353" s="2060" t="s">
        <v>1127</v>
      </c>
      <c r="B353" s="2059"/>
      <c r="C353" s="2059"/>
      <c r="D353" s="2059"/>
      <c r="E353" s="2059"/>
      <c r="F353" s="2059"/>
      <c r="G353" s="2059"/>
      <c r="H353" s="2059"/>
    </row>
    <row r="354" spans="1:8">
      <c r="A354" s="2060" t="s">
        <v>1128</v>
      </c>
      <c r="B354" s="2059"/>
      <c r="C354" s="2059"/>
      <c r="D354" s="2059"/>
      <c r="E354" s="2059"/>
      <c r="F354" s="2059"/>
      <c r="G354" s="2059"/>
      <c r="H354" s="2059"/>
    </row>
    <row r="355" spans="1:8">
      <c r="A355" s="2060" t="s">
        <v>1129</v>
      </c>
      <c r="B355" s="2059"/>
      <c r="C355" s="2059"/>
      <c r="D355" s="2059"/>
      <c r="E355" s="2059"/>
      <c r="F355" s="2059"/>
      <c r="G355" s="2059"/>
      <c r="H355" s="2059"/>
    </row>
    <row r="356" spans="1:8">
      <c r="A356" s="2060" t="s">
        <v>1130</v>
      </c>
      <c r="B356" s="2059"/>
      <c r="C356" s="2059"/>
      <c r="D356" s="2059"/>
      <c r="E356" s="2059"/>
      <c r="F356" s="2059"/>
      <c r="G356" s="2059"/>
      <c r="H356" s="2059"/>
    </row>
    <row r="357" spans="1:8">
      <c r="A357" s="2060" t="s">
        <v>1131</v>
      </c>
      <c r="B357" s="2059"/>
      <c r="C357" s="2059"/>
      <c r="D357" s="2059"/>
      <c r="E357" s="2059"/>
      <c r="F357" s="2059"/>
      <c r="G357" s="2059"/>
      <c r="H357" s="2059"/>
    </row>
    <row r="358" spans="1:8">
      <c r="A358" s="2060" t="s">
        <v>1132</v>
      </c>
      <c r="B358" s="2059"/>
      <c r="C358" s="2059"/>
      <c r="D358" s="2059"/>
      <c r="E358" s="2059"/>
      <c r="F358" s="2059"/>
      <c r="G358" s="2059"/>
      <c r="H358" s="2059"/>
    </row>
    <row r="359" spans="1:8">
      <c r="A359" s="2060" t="s">
        <v>1133</v>
      </c>
      <c r="B359" s="2059"/>
      <c r="C359" s="2059"/>
      <c r="D359" s="2059"/>
      <c r="E359" s="2059"/>
      <c r="F359" s="2059"/>
      <c r="G359" s="2059"/>
      <c r="H359" s="2059"/>
    </row>
    <row r="360" spans="1:8">
      <c r="A360" s="2060" t="s">
        <v>1134</v>
      </c>
      <c r="B360" s="2059"/>
      <c r="C360" s="2059"/>
      <c r="D360" s="2059"/>
      <c r="E360" s="2059"/>
      <c r="F360" s="2059"/>
      <c r="G360" s="2059"/>
      <c r="H360" s="2059"/>
    </row>
    <row r="361" spans="1:8">
      <c r="A361" s="2060" t="s">
        <v>1135</v>
      </c>
      <c r="B361" s="2059"/>
      <c r="C361" s="2059"/>
      <c r="D361" s="2059"/>
      <c r="E361" s="2059"/>
      <c r="F361" s="2059"/>
      <c r="G361" s="2059"/>
      <c r="H361" s="2059"/>
    </row>
    <row r="362" spans="1:8">
      <c r="A362" s="2060" t="s">
        <v>1136</v>
      </c>
      <c r="B362" s="2059"/>
      <c r="C362" s="2059"/>
      <c r="D362" s="2059"/>
      <c r="E362" s="2059"/>
      <c r="F362" s="2059"/>
      <c r="G362" s="2059"/>
      <c r="H362" s="2059"/>
    </row>
    <row r="363" spans="1:8">
      <c r="A363" s="2060" t="s">
        <v>1137</v>
      </c>
      <c r="B363" s="2059"/>
      <c r="C363" s="2059"/>
      <c r="D363" s="2059"/>
      <c r="E363" s="2059"/>
      <c r="F363" s="2059"/>
      <c r="G363" s="2059"/>
      <c r="H363" s="2059"/>
    </row>
    <row r="364" spans="1:8">
      <c r="A364" s="2060" t="s">
        <v>1138</v>
      </c>
      <c r="B364" s="2059"/>
      <c r="C364" s="2059"/>
      <c r="D364" s="2059"/>
      <c r="E364" s="2059"/>
      <c r="F364" s="2059"/>
      <c r="G364" s="2059"/>
      <c r="H364" s="2059"/>
    </row>
    <row r="365" spans="1:8">
      <c r="A365" s="2060" t="s">
        <v>1139</v>
      </c>
      <c r="B365" s="2059"/>
      <c r="C365" s="2059"/>
      <c r="D365" s="2059"/>
      <c r="E365" s="2059"/>
      <c r="F365" s="2059"/>
      <c r="G365" s="2059"/>
      <c r="H365" s="2059"/>
    </row>
    <row r="366" spans="1:8">
      <c r="A366" s="2060" t="s">
        <v>1140</v>
      </c>
      <c r="B366" s="2059"/>
      <c r="C366" s="2059"/>
      <c r="D366" s="2059"/>
      <c r="E366" s="2059"/>
      <c r="F366" s="2059"/>
      <c r="G366" s="2059"/>
      <c r="H366" s="2059"/>
    </row>
    <row r="367" spans="1:8">
      <c r="A367" s="2060" t="s">
        <v>1141</v>
      </c>
      <c r="B367" s="2059"/>
      <c r="C367" s="2059"/>
      <c r="D367" s="2059"/>
      <c r="E367" s="2059"/>
      <c r="F367" s="2059"/>
      <c r="G367" s="2059"/>
      <c r="H367" s="2059"/>
    </row>
    <row r="368" spans="1:8">
      <c r="A368" s="2060" t="s">
        <v>1142</v>
      </c>
      <c r="B368" s="2059"/>
      <c r="C368" s="2059"/>
      <c r="D368" s="2059"/>
      <c r="E368" s="2059"/>
      <c r="F368" s="2059"/>
      <c r="G368" s="2059"/>
      <c r="H368" s="2059"/>
    </row>
    <row r="369" spans="1:8">
      <c r="A369" s="2059"/>
      <c r="B369" s="2059"/>
      <c r="C369" s="2059"/>
      <c r="D369" s="2059"/>
      <c r="E369" s="2059"/>
      <c r="F369" s="2059"/>
      <c r="G369" s="2059"/>
      <c r="H369" s="2059"/>
    </row>
    <row r="370" spans="1:8">
      <c r="A370" s="2060" t="s">
        <v>1100</v>
      </c>
      <c r="B370" s="2059"/>
      <c r="C370" s="2059"/>
      <c r="D370" s="2059"/>
      <c r="E370" s="2059"/>
      <c r="F370" s="2059"/>
      <c r="G370" s="2059"/>
      <c r="H370" s="2059"/>
    </row>
    <row r="371" spans="1:8">
      <c r="A371" s="2060" t="s">
        <v>1104</v>
      </c>
      <c r="B371" s="2059"/>
      <c r="C371" s="2059"/>
      <c r="D371" s="2059"/>
      <c r="E371" s="2059"/>
      <c r="F371" s="2059"/>
      <c r="G371" s="2059"/>
      <c r="H371" s="2059"/>
    </row>
    <row r="372" spans="1:8">
      <c r="A372" s="2060" t="s">
        <v>1105</v>
      </c>
      <c r="B372" s="2059"/>
      <c r="C372" s="2059"/>
      <c r="D372" s="2059"/>
      <c r="E372" s="2059"/>
      <c r="F372" s="2059"/>
      <c r="G372" s="2059"/>
      <c r="H372" s="2059"/>
    </row>
    <row r="373" spans="1:8">
      <c r="A373" s="2060" t="s">
        <v>1106</v>
      </c>
      <c r="B373" s="2059"/>
      <c r="C373" s="2059"/>
      <c r="D373" s="2059"/>
      <c r="E373" s="2059"/>
      <c r="F373" s="2059"/>
      <c r="G373" s="2059"/>
      <c r="H373" s="2059"/>
    </row>
    <row r="374" spans="1:8">
      <c r="A374" s="2060" t="s">
        <v>1107</v>
      </c>
      <c r="B374" s="2059"/>
      <c r="C374" s="2059"/>
      <c r="D374" s="2059"/>
      <c r="E374" s="2059"/>
      <c r="F374" s="2059"/>
      <c r="G374" s="2059"/>
      <c r="H374" s="2059"/>
    </row>
    <row r="375" spans="1:8">
      <c r="A375" s="2059"/>
      <c r="B375" s="2059"/>
      <c r="C375" s="2059"/>
      <c r="D375" s="2059"/>
      <c r="E375" s="2059"/>
      <c r="F375" s="2059"/>
      <c r="G375" s="2059"/>
      <c r="H375" s="2059"/>
    </row>
    <row r="376" spans="1:8">
      <c r="A376" s="2060" t="s">
        <v>1100</v>
      </c>
      <c r="B376" s="2059"/>
      <c r="C376" s="2059"/>
      <c r="D376" s="2059"/>
      <c r="E376" s="2059"/>
      <c r="F376" s="2059"/>
      <c r="G376" s="2059"/>
      <c r="H376" s="2059"/>
    </row>
    <row r="377" spans="1:8">
      <c r="A377" s="2060" t="s">
        <v>1101</v>
      </c>
      <c r="B377" s="2059"/>
      <c r="C377" s="2059"/>
      <c r="D377" s="2059"/>
      <c r="E377" s="2059"/>
      <c r="F377" s="2059"/>
      <c r="G377" s="2059"/>
      <c r="H377" s="2059"/>
    </row>
    <row r="378" spans="1:8">
      <c r="A378" s="2060" t="s">
        <v>1102</v>
      </c>
      <c r="B378" s="2059"/>
      <c r="C378" s="2059"/>
      <c r="D378" s="2059"/>
      <c r="E378" s="2059"/>
      <c r="F378" s="2059"/>
      <c r="G378" s="2059"/>
      <c r="H378" s="2059"/>
    </row>
    <row r="379" spans="1:8">
      <c r="A379" s="2060" t="s">
        <v>1103</v>
      </c>
      <c r="B379" s="2059"/>
      <c r="C379" s="2059"/>
      <c r="D379" s="2059"/>
      <c r="E379" s="2059"/>
      <c r="F379" s="2059"/>
      <c r="G379" s="2059"/>
      <c r="H379" s="2059"/>
    </row>
    <row r="380" spans="1:8">
      <c r="A380" s="2059"/>
      <c r="B380" s="2059"/>
      <c r="C380" s="2059"/>
      <c r="D380" s="2059"/>
      <c r="E380" s="2059"/>
      <c r="F380" s="2059"/>
      <c r="G380" s="2059"/>
      <c r="H380" s="2059"/>
    </row>
    <row r="381" spans="1:8">
      <c r="A381" s="2060" t="s">
        <v>1094</v>
      </c>
      <c r="B381" s="2059"/>
      <c r="C381" s="2059"/>
      <c r="D381" s="2059"/>
      <c r="E381" s="2059"/>
      <c r="F381" s="2059"/>
      <c r="G381" s="2059"/>
      <c r="H381" s="2059"/>
    </row>
    <row r="382" spans="1:8">
      <c r="A382" s="2060" t="s">
        <v>1095</v>
      </c>
      <c r="B382" s="2059"/>
      <c r="C382" s="2059"/>
      <c r="D382" s="2059"/>
      <c r="E382" s="2059"/>
      <c r="F382" s="2059"/>
      <c r="G382" s="2059"/>
      <c r="H382" s="2059"/>
    </row>
    <row r="383" spans="1:8">
      <c r="A383" s="2060" t="s">
        <v>1096</v>
      </c>
      <c r="B383" s="2059"/>
      <c r="C383" s="2059"/>
      <c r="D383" s="2059"/>
      <c r="E383" s="2059"/>
      <c r="F383" s="2059"/>
      <c r="G383" s="2059"/>
      <c r="H383" s="2059"/>
    </row>
    <row r="384" spans="1:8">
      <c r="A384" s="2060" t="s">
        <v>1097</v>
      </c>
      <c r="B384" s="2059"/>
      <c r="C384" s="2059"/>
      <c r="D384" s="2059"/>
      <c r="E384" s="2059"/>
      <c r="F384" s="2059"/>
      <c r="G384" s="2059"/>
      <c r="H384" s="2059"/>
    </row>
    <row r="385" spans="1:8">
      <c r="A385" s="2060" t="s">
        <v>1098</v>
      </c>
      <c r="B385" s="2059"/>
      <c r="C385" s="2059"/>
      <c r="D385" s="2059"/>
      <c r="E385" s="2059"/>
      <c r="F385" s="2059"/>
      <c r="G385" s="2059"/>
      <c r="H385" s="2059"/>
    </row>
    <row r="386" spans="1:8">
      <c r="A386" s="2060" t="s">
        <v>1099</v>
      </c>
      <c r="B386" s="2059"/>
      <c r="C386" s="2059"/>
      <c r="D386" s="2059"/>
      <c r="E386" s="2059"/>
      <c r="F386" s="2059"/>
      <c r="G386" s="2059"/>
      <c r="H386" s="2059"/>
    </row>
    <row r="387" spans="1:8">
      <c r="A387" s="2059"/>
      <c r="B387" s="2059"/>
      <c r="C387" s="2059"/>
      <c r="D387" s="2059"/>
      <c r="E387" s="2059"/>
      <c r="F387" s="2059"/>
      <c r="G387" s="2059"/>
      <c r="H387" s="2059"/>
    </row>
    <row r="388" spans="1:8">
      <c r="A388" s="2060" t="s">
        <v>1089</v>
      </c>
      <c r="B388" s="2059"/>
      <c r="C388" s="2059"/>
      <c r="D388" s="2059"/>
      <c r="E388" s="2059"/>
      <c r="F388" s="2059"/>
      <c r="G388" s="2059"/>
      <c r="H388" s="2059"/>
    </row>
    <row r="389" spans="1:8">
      <c r="A389" s="2060" t="s">
        <v>1090</v>
      </c>
      <c r="B389" s="2059"/>
      <c r="C389" s="2059"/>
      <c r="D389" s="2059"/>
      <c r="E389" s="2059"/>
      <c r="F389" s="2059"/>
      <c r="G389" s="2059"/>
      <c r="H389" s="2059"/>
    </row>
    <row r="390" spans="1:8">
      <c r="A390" s="2060" t="s">
        <v>1091</v>
      </c>
      <c r="B390" s="2059"/>
      <c r="C390" s="2059"/>
      <c r="D390" s="2059"/>
      <c r="E390" s="2059"/>
      <c r="F390" s="2059"/>
      <c r="G390" s="2059"/>
      <c r="H390" s="2059"/>
    </row>
    <row r="391" spans="1:8">
      <c r="A391" s="2060" t="s">
        <v>1092</v>
      </c>
      <c r="B391" s="2059"/>
      <c r="C391" s="2059"/>
      <c r="D391" s="2059"/>
      <c r="E391" s="2059"/>
      <c r="F391" s="2059"/>
      <c r="G391" s="2059"/>
      <c r="H391" s="2059"/>
    </row>
    <row r="392" spans="1:8">
      <c r="A392" s="2060" t="s">
        <v>1093</v>
      </c>
      <c r="B392" s="2059"/>
      <c r="C392" s="2059"/>
      <c r="D392" s="2059"/>
      <c r="E392" s="2059"/>
      <c r="F392" s="2059"/>
      <c r="G392" s="2059"/>
      <c r="H392" s="2059"/>
    </row>
    <row r="393" spans="1:8">
      <c r="A393" s="2059"/>
      <c r="B393" s="2059"/>
      <c r="C393" s="2059"/>
      <c r="D393" s="2059"/>
      <c r="E393" s="2059"/>
      <c r="F393" s="2059"/>
      <c r="G393" s="2059"/>
      <c r="H393" s="2059"/>
    </row>
    <row r="394" spans="1:8">
      <c r="A394" s="2060" t="s">
        <v>1087</v>
      </c>
      <c r="B394" s="2059"/>
      <c r="C394" s="2059"/>
      <c r="D394" s="2059"/>
      <c r="E394" s="2059"/>
      <c r="F394" s="2059"/>
      <c r="G394" s="2059"/>
      <c r="H394" s="2059"/>
    </row>
    <row r="395" spans="1:8">
      <c r="A395" s="2060" t="s">
        <v>1088</v>
      </c>
      <c r="B395" s="2059"/>
      <c r="C395" s="2059"/>
      <c r="D395" s="2059"/>
      <c r="E395" s="2059"/>
      <c r="F395" s="2059"/>
      <c r="G395" s="2059"/>
      <c r="H395" s="2059"/>
    </row>
    <row r="397" spans="1:8">
      <c r="A397" s="2055" t="s">
        <v>1347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72"/>
  <sheetViews>
    <sheetView zoomScale="85" zoomScaleNormal="85" workbookViewId="0"/>
  </sheetViews>
  <sheetFormatPr defaultRowHeight="12.75"/>
  <cols>
    <col min="2" max="2" width="38.42578125" customWidth="1"/>
    <col min="3" max="3" width="12.85546875" customWidth="1"/>
    <col min="7" max="7" width="14.7109375" customWidth="1"/>
  </cols>
  <sheetData>
    <row r="1" spans="1:29">
      <c r="A1" s="116"/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</row>
    <row r="2" spans="1:29" ht="28.5" customHeight="1">
      <c r="A2" s="116"/>
      <c r="B2" s="1422" t="s">
        <v>376</v>
      </c>
      <c r="C2" s="116"/>
      <c r="D2" s="116"/>
      <c r="E2" s="116"/>
      <c r="F2" s="116"/>
      <c r="G2" s="116"/>
      <c r="H2" s="116"/>
      <c r="I2" s="116"/>
      <c r="J2" s="116"/>
      <c r="K2" s="116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</row>
    <row r="3" spans="1:29" ht="15.75">
      <c r="A3" s="116"/>
      <c r="B3" s="227" t="s">
        <v>736</v>
      </c>
      <c r="C3" s="227" t="s">
        <v>798</v>
      </c>
      <c r="D3" s="116"/>
      <c r="E3" s="116"/>
      <c r="F3" s="116"/>
      <c r="G3" s="116"/>
      <c r="H3" s="116"/>
      <c r="I3" s="116"/>
      <c r="J3" s="116"/>
      <c r="K3" s="116"/>
      <c r="L3" s="563"/>
      <c r="M3" s="563"/>
      <c r="N3" s="563"/>
      <c r="O3" s="563"/>
      <c r="P3" s="563"/>
      <c r="Q3" s="563"/>
      <c r="R3" s="563"/>
      <c r="S3" s="563"/>
      <c r="T3" s="563"/>
      <c r="U3" s="563"/>
      <c r="V3" s="563"/>
      <c r="W3" s="563"/>
      <c r="X3" s="563"/>
      <c r="Y3" s="563"/>
      <c r="Z3" s="563"/>
      <c r="AA3" s="563"/>
      <c r="AB3" s="563"/>
      <c r="AC3" s="563"/>
    </row>
    <row r="4" spans="1:29" ht="15.75">
      <c r="A4" s="116"/>
      <c r="B4" s="227" t="s">
        <v>710</v>
      </c>
      <c r="C4" s="1641" t="s">
        <v>1028</v>
      </c>
      <c r="D4" s="116"/>
      <c r="E4" s="116"/>
      <c r="F4" s="116"/>
      <c r="G4" s="116"/>
      <c r="H4" s="116"/>
      <c r="I4" s="116"/>
      <c r="J4" s="116"/>
      <c r="K4" s="116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</row>
    <row r="5" spans="1:29" ht="15.75">
      <c r="A5" s="116"/>
      <c r="B5" s="227" t="s">
        <v>711</v>
      </c>
      <c r="C5" s="228">
        <f>Valuation!basept</f>
        <v>81</v>
      </c>
      <c r="D5" s="116"/>
      <c r="E5" s="116"/>
      <c r="F5" s="116"/>
      <c r="G5" s="116"/>
      <c r="H5" s="116"/>
      <c r="I5" s="116"/>
      <c r="J5" s="116"/>
      <c r="K5" s="116"/>
      <c r="L5" s="563"/>
      <c r="M5" s="563"/>
      <c r="N5" s="563"/>
      <c r="O5" s="563"/>
      <c r="P5" s="563"/>
      <c r="Q5" s="563"/>
      <c r="R5" s="563"/>
      <c r="S5" s="563"/>
      <c r="T5" s="563"/>
      <c r="U5" s="563"/>
      <c r="V5" s="563"/>
      <c r="W5" s="563"/>
      <c r="X5" s="563"/>
      <c r="Y5" s="563"/>
      <c r="Z5" s="563"/>
      <c r="AA5" s="563"/>
      <c r="AB5" s="563"/>
      <c r="AC5" s="563"/>
    </row>
    <row r="6" spans="1:29" ht="15.75">
      <c r="A6" s="116"/>
      <c r="B6" s="227" t="s">
        <v>712</v>
      </c>
      <c r="C6" s="229">
        <v>43202</v>
      </c>
      <c r="D6" s="116"/>
      <c r="E6" s="116"/>
      <c r="F6" s="116"/>
      <c r="G6" s="116"/>
      <c r="H6" s="116"/>
      <c r="I6" s="116"/>
      <c r="J6" s="116"/>
      <c r="K6" s="116"/>
      <c r="L6" s="563"/>
      <c r="M6" s="563"/>
      <c r="N6" s="563"/>
      <c r="O6" s="563"/>
      <c r="P6" s="563"/>
      <c r="Q6" s="563"/>
      <c r="R6" s="563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</row>
    <row r="7" spans="1:29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563"/>
      <c r="M7" s="563"/>
      <c r="N7" s="563"/>
      <c r="O7" s="563"/>
      <c r="P7" s="563"/>
      <c r="Q7" s="563"/>
      <c r="R7" s="563"/>
      <c r="S7" s="563"/>
      <c r="T7" s="563"/>
      <c r="U7" s="563"/>
      <c r="V7" s="563"/>
      <c r="W7" s="563"/>
      <c r="X7" s="563"/>
      <c r="Y7" s="563"/>
      <c r="Z7" s="563"/>
      <c r="AA7" s="563"/>
      <c r="AB7" s="563"/>
      <c r="AC7" s="563"/>
    </row>
    <row r="8" spans="1:29">
      <c r="A8" s="555"/>
      <c r="B8" s="556"/>
      <c r="C8" s="556"/>
      <c r="D8" s="556"/>
      <c r="E8" s="556"/>
      <c r="F8" s="556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</row>
    <row r="9" spans="1:29">
      <c r="A9" s="555"/>
      <c r="B9" s="556"/>
      <c r="C9" s="556"/>
      <c r="D9" s="556"/>
      <c r="E9" s="556"/>
      <c r="F9" s="556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</row>
    <row r="10" spans="1:29" ht="15.75">
      <c r="A10" s="555"/>
      <c r="B10" s="230" t="s">
        <v>713</v>
      </c>
      <c r="C10" s="230" t="s">
        <v>885</v>
      </c>
      <c r="D10" s="555"/>
      <c r="E10" s="557"/>
      <c r="F10" s="230"/>
      <c r="G10" s="230" t="s">
        <v>945</v>
      </c>
      <c r="H10" s="557"/>
      <c r="I10" s="230"/>
      <c r="J10" s="230"/>
      <c r="K10" s="230" t="s">
        <v>966</v>
      </c>
      <c r="L10" s="230"/>
      <c r="M10" s="230"/>
      <c r="N10" s="230"/>
      <c r="O10" s="558"/>
      <c r="P10" s="230"/>
      <c r="Q10" s="559"/>
      <c r="R10" s="559"/>
      <c r="S10" s="555"/>
      <c r="T10" s="230"/>
      <c r="U10" s="555"/>
      <c r="V10" s="555"/>
      <c r="W10" s="555"/>
      <c r="X10" s="555"/>
      <c r="Y10" s="555"/>
      <c r="Z10" s="555"/>
      <c r="AA10" s="555"/>
      <c r="AB10" s="555"/>
      <c r="AC10" s="555"/>
    </row>
    <row r="11" spans="1:29" ht="15.75">
      <c r="A11" s="555"/>
      <c r="B11" s="230" t="s">
        <v>714</v>
      </c>
      <c r="C11" s="230" t="s">
        <v>886</v>
      </c>
      <c r="D11" s="555"/>
      <c r="E11" s="557"/>
      <c r="F11" s="230"/>
      <c r="G11" s="230" t="s">
        <v>946</v>
      </c>
      <c r="H11" s="557"/>
      <c r="I11" s="230"/>
      <c r="J11" s="230"/>
      <c r="K11" s="230" t="s">
        <v>967</v>
      </c>
      <c r="L11" s="230"/>
      <c r="M11" s="230"/>
      <c r="N11" s="230"/>
      <c r="O11" s="558"/>
      <c r="P11" s="230"/>
      <c r="Q11" s="559"/>
      <c r="R11" s="559"/>
      <c r="S11" s="555"/>
      <c r="T11" s="230"/>
      <c r="U11" s="555"/>
      <c r="V11" s="555"/>
      <c r="W11" s="555"/>
      <c r="X11" s="555"/>
      <c r="Y11" s="555"/>
      <c r="Z11" s="555"/>
      <c r="AA11" s="555"/>
      <c r="AB11" s="555"/>
      <c r="AC11" s="555"/>
    </row>
    <row r="12" spans="1:29" ht="15.75">
      <c r="A12" s="555"/>
      <c r="B12" s="230" t="s">
        <v>715</v>
      </c>
      <c r="C12" s="230" t="s">
        <v>887</v>
      </c>
      <c r="D12" s="555"/>
      <c r="E12" s="560"/>
      <c r="F12" s="230"/>
      <c r="G12" s="230" t="s">
        <v>947</v>
      </c>
      <c r="H12" s="560"/>
      <c r="I12" s="230"/>
      <c r="J12" s="230"/>
      <c r="K12" s="230" t="s">
        <v>968</v>
      </c>
      <c r="L12" s="230"/>
      <c r="M12" s="230"/>
      <c r="N12" s="230"/>
      <c r="O12" s="559"/>
      <c r="P12" s="230"/>
      <c r="Q12" s="559"/>
      <c r="R12" s="559"/>
      <c r="S12" s="555"/>
      <c r="T12" s="230"/>
      <c r="U12" s="555"/>
      <c r="V12" s="555"/>
      <c r="W12" s="555"/>
      <c r="X12" s="555"/>
      <c r="Y12" s="555"/>
      <c r="Z12" s="555"/>
      <c r="AA12" s="555"/>
      <c r="AB12" s="555"/>
      <c r="AC12" s="555"/>
    </row>
    <row r="13" spans="1:29">
      <c r="A13" s="555"/>
      <c r="B13" s="561"/>
      <c r="C13" s="561"/>
      <c r="D13" s="561"/>
      <c r="E13" s="561"/>
      <c r="F13" s="556"/>
      <c r="G13" s="561"/>
      <c r="H13" s="555"/>
      <c r="I13" s="555"/>
      <c r="J13" s="555"/>
      <c r="K13" s="555"/>
      <c r="L13" s="561"/>
      <c r="M13" s="561"/>
      <c r="N13" s="561"/>
      <c r="O13" s="561"/>
      <c r="P13" s="561"/>
      <c r="Q13" s="561"/>
      <c r="R13" s="561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</row>
    <row r="14" spans="1:29">
      <c r="A14" s="555"/>
      <c r="B14" s="555"/>
      <c r="C14" s="555"/>
      <c r="D14" s="555"/>
      <c r="E14" s="555"/>
      <c r="F14" s="555"/>
      <c r="G14" s="555"/>
      <c r="H14" s="555"/>
      <c r="I14" s="555"/>
      <c r="J14" s="555"/>
      <c r="K14" s="555"/>
      <c r="L14" s="555"/>
      <c r="M14" s="555"/>
      <c r="N14" s="555"/>
      <c r="O14" s="555"/>
      <c r="P14" s="555"/>
      <c r="Q14" s="555"/>
      <c r="R14" s="555"/>
      <c r="S14" s="555"/>
      <c r="T14" s="555"/>
      <c r="U14" s="555"/>
      <c r="V14" s="555"/>
      <c r="W14" s="555"/>
      <c r="X14" s="555"/>
      <c r="Y14" s="555"/>
      <c r="Z14" s="555"/>
      <c r="AA14" s="555"/>
      <c r="AB14" s="555"/>
      <c r="AC14" s="555"/>
    </row>
    <row r="15" spans="1:29">
      <c r="A15" s="555"/>
      <c r="B15" s="555"/>
      <c r="C15" s="555"/>
      <c r="D15" s="555"/>
      <c r="E15" s="555"/>
      <c r="F15" s="555"/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</row>
    <row r="16" spans="1:29">
      <c r="A16" s="555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</row>
    <row r="17" spans="1:29">
      <c r="A17" s="555"/>
      <c r="B17" s="555"/>
      <c r="C17" s="555"/>
      <c r="D17" s="555"/>
      <c r="E17" s="555"/>
      <c r="F17" s="555"/>
      <c r="G17" s="555"/>
      <c r="H17" s="555"/>
      <c r="I17" s="555"/>
      <c r="J17" s="555"/>
      <c r="K17" s="555"/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</row>
    <row r="18" spans="1:29">
      <c r="A18" s="555"/>
      <c r="B18" s="555"/>
      <c r="C18" s="555"/>
      <c r="D18" s="555"/>
      <c r="E18" s="555"/>
      <c r="F18" s="555"/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</row>
    <row r="19" spans="1:29">
      <c r="A19" s="555"/>
      <c r="B19" s="555"/>
      <c r="C19" s="555"/>
      <c r="D19" s="555"/>
      <c r="E19" s="555"/>
      <c r="F19" s="555"/>
      <c r="G19" s="555"/>
      <c r="H19" s="555"/>
      <c r="I19" s="555"/>
      <c r="J19" s="555"/>
      <c r="K19" s="555"/>
      <c r="L19" s="555"/>
      <c r="M19" s="555"/>
      <c r="N19" s="555"/>
      <c r="O19" s="555"/>
      <c r="P19" s="555"/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</row>
    <row r="20" spans="1:29">
      <c r="A20" s="555"/>
      <c r="B20" s="562"/>
      <c r="C20" s="555"/>
      <c r="D20" s="555"/>
      <c r="E20" s="555"/>
      <c r="F20" s="555"/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</row>
    <row r="21" spans="1:29">
      <c r="A21" s="555"/>
      <c r="B21" s="555"/>
      <c r="C21" s="555"/>
      <c r="D21" s="555"/>
      <c r="E21" s="555"/>
      <c r="F21" s="555"/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</row>
    <row r="22" spans="1:29">
      <c r="A22" s="555"/>
      <c r="B22" s="555"/>
      <c r="C22" s="555"/>
      <c r="D22" s="555"/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</row>
    <row r="23" spans="1:29">
      <c r="A23" s="555"/>
      <c r="B23" s="555"/>
      <c r="C23" s="555"/>
      <c r="D23" s="555"/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</row>
    <row r="24" spans="1:29">
      <c r="A24" s="555"/>
      <c r="B24" s="555"/>
      <c r="C24" s="555"/>
      <c r="D24" s="555"/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</row>
    <row r="25" spans="1:29">
      <c r="A25" s="555"/>
      <c r="B25" s="555"/>
      <c r="C25" s="555"/>
      <c r="D25" s="555"/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</row>
    <row r="26" spans="1:29">
      <c r="A26" s="555"/>
      <c r="B26" s="555"/>
      <c r="C26" s="555"/>
      <c r="D26" s="555"/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</row>
    <row r="27" spans="1:29">
      <c r="A27" s="555"/>
      <c r="B27" s="555"/>
      <c r="C27" s="555"/>
      <c r="D27" s="555"/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</row>
    <row r="28" spans="1:29">
      <c r="A28" s="555"/>
      <c r="B28" s="555"/>
      <c r="C28" s="555"/>
      <c r="D28" s="555"/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</row>
    <row r="29" spans="1:29">
      <c r="A29" s="555"/>
      <c r="B29" s="555"/>
      <c r="C29" s="555"/>
      <c r="D29" s="555"/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</row>
    <row r="30" spans="1:29">
      <c r="A30" s="555"/>
      <c r="B30" s="555"/>
      <c r="C30" s="555"/>
      <c r="D30" s="555"/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</row>
    <row r="31" spans="1:29">
      <c r="A31" s="555"/>
      <c r="B31" s="555"/>
      <c r="C31" s="555"/>
      <c r="D31" s="555"/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</row>
    <row r="32" spans="1:29">
      <c r="A32" s="555"/>
      <c r="B32" s="555"/>
      <c r="C32" s="555"/>
      <c r="D32" s="555"/>
      <c r="E32" s="555"/>
      <c r="F32" s="555"/>
      <c r="G32" s="555"/>
      <c r="H32" s="555"/>
      <c r="I32" s="555"/>
      <c r="J32" s="555"/>
      <c r="K32" s="555"/>
      <c r="L32" s="555"/>
      <c r="M32" s="555"/>
      <c r="N32" s="555"/>
      <c r="O32" s="555"/>
      <c r="P32" s="555"/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</row>
    <row r="33" spans="1:29">
      <c r="A33" s="555"/>
      <c r="B33" s="555"/>
      <c r="C33" s="555"/>
      <c r="D33" s="555"/>
      <c r="E33" s="555"/>
      <c r="F33" s="555"/>
      <c r="G33" s="555"/>
      <c r="H33" s="555"/>
      <c r="I33" s="555"/>
      <c r="J33" s="555"/>
      <c r="K33" s="555"/>
      <c r="L33" s="555"/>
      <c r="M33" s="555"/>
      <c r="N33" s="555"/>
      <c r="O33" s="555"/>
      <c r="P33" s="555"/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</row>
    <row r="34" spans="1:29">
      <c r="A34" s="555"/>
      <c r="B34" s="555"/>
      <c r="C34" s="555"/>
      <c r="D34" s="555"/>
      <c r="E34" s="555"/>
      <c r="F34" s="555"/>
      <c r="G34" s="555"/>
      <c r="H34" s="555"/>
      <c r="I34" s="555"/>
      <c r="J34" s="555"/>
      <c r="K34" s="555"/>
      <c r="L34" s="555"/>
      <c r="M34" s="555"/>
      <c r="N34" s="555"/>
      <c r="O34" s="555"/>
      <c r="P34" s="555"/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</row>
    <row r="35" spans="1:29">
      <c r="A35" s="555"/>
      <c r="B35" s="555"/>
      <c r="C35" s="555"/>
      <c r="D35" s="555"/>
      <c r="E35" s="555"/>
      <c r="F35" s="555"/>
      <c r="G35" s="555"/>
      <c r="H35" s="555"/>
      <c r="I35" s="555"/>
      <c r="J35" s="555"/>
      <c r="K35" s="555"/>
      <c r="L35" s="555"/>
      <c r="M35" s="555"/>
      <c r="N35" s="555"/>
      <c r="O35" s="555"/>
      <c r="P35" s="555"/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</row>
    <row r="36" spans="1:29">
      <c r="A36" s="555"/>
      <c r="B36" s="555"/>
      <c r="C36" s="555"/>
      <c r="D36" s="555"/>
      <c r="E36" s="555"/>
      <c r="F36" s="555"/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</row>
    <row r="37" spans="1:29">
      <c r="A37" s="555"/>
      <c r="B37" s="555"/>
      <c r="C37" s="555"/>
      <c r="D37" s="555"/>
      <c r="E37" s="555"/>
      <c r="F37" s="555"/>
      <c r="G37" s="555"/>
      <c r="H37" s="555"/>
      <c r="I37" s="555"/>
      <c r="J37" s="555"/>
      <c r="K37" s="555"/>
      <c r="L37" s="555"/>
      <c r="M37" s="555"/>
      <c r="N37" s="555"/>
      <c r="O37" s="555"/>
      <c r="P37" s="555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</row>
    <row r="38" spans="1:29">
      <c r="A38" s="555"/>
      <c r="B38" s="555"/>
      <c r="C38" s="555"/>
      <c r="D38" s="555"/>
      <c r="E38" s="555"/>
      <c r="F38" s="555"/>
      <c r="G38" s="555"/>
      <c r="H38" s="555"/>
      <c r="I38" s="555"/>
      <c r="J38" s="555"/>
      <c r="K38" s="555"/>
      <c r="L38" s="555"/>
      <c r="M38" s="555"/>
      <c r="N38" s="555"/>
      <c r="O38" s="555"/>
      <c r="P38" s="555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</row>
    <row r="39" spans="1:29">
      <c r="A39" s="555"/>
      <c r="B39" s="555"/>
      <c r="C39" s="555"/>
      <c r="D39" s="555"/>
      <c r="E39" s="555"/>
      <c r="F39" s="555"/>
      <c r="G39" s="555"/>
      <c r="H39" s="555"/>
      <c r="I39" s="555"/>
      <c r="J39" s="555"/>
      <c r="K39" s="555"/>
      <c r="L39" s="555"/>
      <c r="M39" s="555"/>
      <c r="N39" s="555"/>
      <c r="O39" s="555"/>
      <c r="P39" s="555"/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</row>
    <row r="40" spans="1:29">
      <c r="A40" s="555"/>
      <c r="B40" s="555"/>
      <c r="C40" s="555"/>
      <c r="D40" s="555"/>
      <c r="E40" s="555"/>
      <c r="F40" s="555"/>
      <c r="G40" s="555"/>
      <c r="H40" s="555"/>
      <c r="I40" s="555"/>
      <c r="J40" s="555"/>
      <c r="K40" s="555"/>
      <c r="L40" s="555"/>
      <c r="M40" s="555"/>
      <c r="N40" s="555"/>
      <c r="O40" s="555"/>
      <c r="P40" s="555"/>
      <c r="Q40" s="555"/>
      <c r="R40" s="555"/>
      <c r="S40" s="555"/>
      <c r="T40" s="555"/>
      <c r="U40" s="555"/>
      <c r="V40" s="555"/>
      <c r="W40" s="555"/>
      <c r="X40" s="555"/>
      <c r="Y40" s="555"/>
      <c r="Z40" s="555"/>
      <c r="AA40" s="555"/>
      <c r="AB40" s="555"/>
      <c r="AC40" s="555"/>
    </row>
    <row r="41" spans="1:29">
      <c r="A41" s="555"/>
      <c r="B41" s="555"/>
      <c r="C41" s="555"/>
      <c r="D41" s="555"/>
      <c r="E41" s="555"/>
      <c r="F41" s="555"/>
      <c r="G41" s="555"/>
      <c r="H41" s="555"/>
      <c r="I41" s="555"/>
      <c r="J41" s="555"/>
      <c r="K41" s="555"/>
      <c r="L41" s="555"/>
      <c r="M41" s="555"/>
      <c r="N41" s="555"/>
      <c r="O41" s="555"/>
      <c r="P41" s="555"/>
      <c r="Q41" s="555"/>
      <c r="R41" s="555"/>
      <c r="S41" s="555"/>
      <c r="T41" s="555"/>
      <c r="U41" s="555"/>
      <c r="V41" s="555"/>
      <c r="W41" s="555"/>
      <c r="X41" s="555"/>
      <c r="Y41" s="555"/>
      <c r="Z41" s="555"/>
      <c r="AA41" s="555"/>
      <c r="AB41" s="555"/>
      <c r="AC41" s="555"/>
    </row>
    <row r="42" spans="1:29">
      <c r="A42" s="555"/>
      <c r="B42" s="555"/>
      <c r="C42" s="555"/>
      <c r="D42" s="555"/>
      <c r="E42" s="555"/>
      <c r="F42" s="555"/>
      <c r="G42" s="555"/>
      <c r="H42" s="555"/>
      <c r="I42" s="555"/>
      <c r="J42" s="555"/>
      <c r="K42" s="555"/>
      <c r="L42" s="555"/>
      <c r="M42" s="555"/>
      <c r="N42" s="555"/>
      <c r="O42" s="555"/>
      <c r="P42" s="555"/>
      <c r="Q42" s="555"/>
      <c r="R42" s="555"/>
      <c r="S42" s="555"/>
      <c r="T42" s="555"/>
      <c r="U42" s="555"/>
      <c r="V42" s="555"/>
      <c r="W42" s="555"/>
      <c r="X42" s="555"/>
      <c r="Y42" s="555"/>
      <c r="Z42" s="555"/>
      <c r="AA42" s="555"/>
      <c r="AB42" s="555"/>
      <c r="AC42" s="555"/>
    </row>
    <row r="43" spans="1:29">
      <c r="A43" s="555"/>
      <c r="B43" s="555"/>
      <c r="C43" s="555"/>
      <c r="D43" s="555"/>
      <c r="E43" s="555"/>
      <c r="F43" s="555"/>
      <c r="G43" s="555"/>
      <c r="H43" s="555"/>
      <c r="I43" s="555"/>
      <c r="J43" s="555"/>
      <c r="K43" s="555"/>
      <c r="L43" s="555"/>
      <c r="M43" s="555"/>
      <c r="N43" s="555"/>
      <c r="O43" s="555"/>
      <c r="P43" s="555"/>
      <c r="Q43" s="555"/>
      <c r="R43" s="555"/>
      <c r="S43" s="555"/>
      <c r="T43" s="555"/>
      <c r="U43" s="555"/>
      <c r="V43" s="555"/>
      <c r="W43" s="555"/>
      <c r="X43" s="555"/>
      <c r="Y43" s="555"/>
      <c r="Z43" s="555"/>
      <c r="AA43" s="555"/>
      <c r="AB43" s="555"/>
      <c r="AC43" s="555"/>
    </row>
    <row r="44" spans="1:29">
      <c r="A44" s="555"/>
      <c r="B44" s="555"/>
      <c r="C44" s="555"/>
      <c r="D44" s="555"/>
      <c r="E44" s="555"/>
      <c r="F44" s="555"/>
      <c r="G44" s="555"/>
      <c r="H44" s="555"/>
      <c r="I44" s="555"/>
      <c r="J44" s="555"/>
      <c r="K44" s="555"/>
      <c r="L44" s="555"/>
      <c r="M44" s="555"/>
      <c r="N44" s="555"/>
      <c r="O44" s="555"/>
      <c r="P44" s="555"/>
      <c r="Q44" s="555"/>
      <c r="R44" s="555"/>
      <c r="S44" s="555"/>
      <c r="T44" s="555"/>
      <c r="U44" s="555"/>
      <c r="V44" s="555"/>
      <c r="W44" s="555"/>
      <c r="X44" s="555"/>
      <c r="Y44" s="555"/>
      <c r="Z44" s="555"/>
      <c r="AA44" s="555"/>
      <c r="AB44" s="555"/>
      <c r="AC44" s="555"/>
    </row>
    <row r="45" spans="1:29">
      <c r="A45" s="555"/>
      <c r="B45" s="555"/>
      <c r="C45" s="555"/>
      <c r="D45" s="555"/>
      <c r="E45" s="555"/>
      <c r="F45" s="555"/>
      <c r="G45" s="555"/>
      <c r="H45" s="555"/>
      <c r="I45" s="555"/>
      <c r="J45" s="555"/>
      <c r="K45" s="555"/>
      <c r="L45" s="555"/>
      <c r="M45" s="555"/>
      <c r="N45" s="555"/>
      <c r="O45" s="555"/>
      <c r="P45" s="555"/>
      <c r="Q45" s="555"/>
      <c r="R45" s="555"/>
      <c r="S45" s="555"/>
      <c r="T45" s="555"/>
      <c r="U45" s="555"/>
      <c r="V45" s="555"/>
      <c r="W45" s="555"/>
      <c r="X45" s="555"/>
      <c r="Y45" s="555"/>
      <c r="Z45" s="555"/>
      <c r="AA45" s="555"/>
      <c r="AB45" s="555"/>
      <c r="AC45" s="555"/>
    </row>
    <row r="46" spans="1:29">
      <c r="A46" s="555"/>
      <c r="B46" s="555"/>
      <c r="C46" s="555"/>
      <c r="D46" s="555"/>
      <c r="E46" s="555"/>
      <c r="F46" s="555"/>
      <c r="G46" s="555"/>
      <c r="H46" s="555"/>
      <c r="I46" s="555"/>
      <c r="J46" s="555"/>
      <c r="K46" s="555"/>
      <c r="L46" s="555"/>
      <c r="M46" s="555"/>
      <c r="N46" s="555"/>
      <c r="O46" s="555"/>
      <c r="P46" s="555"/>
      <c r="Q46" s="555"/>
      <c r="R46" s="555"/>
      <c r="S46" s="555"/>
      <c r="T46" s="555"/>
      <c r="U46" s="555"/>
      <c r="V46" s="555"/>
      <c r="W46" s="555"/>
      <c r="X46" s="555"/>
      <c r="Y46" s="555"/>
      <c r="Z46" s="555"/>
      <c r="AA46" s="555"/>
      <c r="AB46" s="555"/>
      <c r="AC46" s="555"/>
    </row>
    <row r="47" spans="1:29">
      <c r="A47" s="555"/>
      <c r="B47" s="555"/>
      <c r="C47" s="555"/>
      <c r="D47" s="555"/>
      <c r="E47" s="555"/>
      <c r="F47" s="555"/>
      <c r="G47" s="555"/>
      <c r="H47" s="555"/>
      <c r="I47" s="555"/>
      <c r="J47" s="555"/>
      <c r="K47" s="555"/>
      <c r="L47" s="555"/>
      <c r="M47" s="555"/>
      <c r="N47" s="555"/>
      <c r="O47" s="555"/>
      <c r="P47" s="555"/>
      <c r="Q47" s="555"/>
      <c r="R47" s="555"/>
      <c r="S47" s="555"/>
      <c r="T47" s="555"/>
      <c r="U47" s="555"/>
      <c r="V47" s="555"/>
      <c r="W47" s="555"/>
      <c r="X47" s="555"/>
      <c r="Y47" s="555"/>
      <c r="Z47" s="555"/>
      <c r="AA47" s="555"/>
      <c r="AB47" s="555"/>
      <c r="AC47" s="555"/>
    </row>
    <row r="48" spans="1:29">
      <c r="A48" s="555"/>
      <c r="B48" s="555"/>
      <c r="C48" s="555"/>
      <c r="D48" s="555"/>
      <c r="E48" s="555"/>
      <c r="F48" s="555"/>
      <c r="G48" s="555"/>
      <c r="H48" s="555"/>
      <c r="I48" s="555"/>
      <c r="J48" s="555"/>
      <c r="K48" s="555"/>
      <c r="L48" s="555"/>
      <c r="M48" s="555"/>
      <c r="N48" s="555"/>
      <c r="O48" s="555"/>
      <c r="P48" s="555"/>
      <c r="Q48" s="555"/>
      <c r="R48" s="555"/>
      <c r="S48" s="555"/>
      <c r="T48" s="555"/>
      <c r="U48" s="555"/>
      <c r="V48" s="555"/>
      <c r="W48" s="555"/>
      <c r="X48" s="555"/>
      <c r="Y48" s="555"/>
      <c r="Z48" s="555"/>
      <c r="AA48" s="555"/>
      <c r="AB48" s="555"/>
      <c r="AC48" s="555"/>
    </row>
    <row r="49" spans="1:29">
      <c r="A49" s="555"/>
      <c r="B49" s="555"/>
      <c r="C49" s="555"/>
      <c r="D49" s="555"/>
      <c r="E49" s="555"/>
      <c r="F49" s="555"/>
      <c r="G49" s="555"/>
      <c r="H49" s="555"/>
      <c r="I49" s="555"/>
      <c r="J49" s="555"/>
      <c r="K49" s="555"/>
      <c r="L49" s="555"/>
      <c r="M49" s="555"/>
      <c r="N49" s="555"/>
      <c r="O49" s="555"/>
      <c r="P49" s="555"/>
      <c r="Q49" s="555"/>
      <c r="R49" s="555"/>
      <c r="S49" s="555"/>
      <c r="T49" s="555"/>
      <c r="U49" s="555"/>
      <c r="V49" s="555"/>
      <c r="W49" s="555"/>
      <c r="X49" s="555"/>
      <c r="Y49" s="555"/>
      <c r="Z49" s="555"/>
      <c r="AA49" s="555"/>
      <c r="AB49" s="555"/>
      <c r="AC49" s="555"/>
    </row>
    <row r="50" spans="1:29">
      <c r="A50" s="555"/>
      <c r="B50" s="555"/>
      <c r="C50" s="555"/>
      <c r="D50" s="555"/>
      <c r="E50" s="555"/>
      <c r="F50" s="555"/>
      <c r="G50" s="555"/>
      <c r="H50" s="555"/>
      <c r="I50" s="555"/>
      <c r="J50" s="555"/>
      <c r="K50" s="555"/>
      <c r="L50" s="555"/>
      <c r="M50" s="555"/>
      <c r="N50" s="555"/>
      <c r="O50" s="555"/>
      <c r="P50" s="555"/>
      <c r="Q50" s="555"/>
      <c r="R50" s="555"/>
      <c r="S50" s="555"/>
      <c r="T50" s="555"/>
      <c r="U50" s="555"/>
      <c r="V50" s="555"/>
      <c r="W50" s="555"/>
      <c r="X50" s="555"/>
      <c r="Y50" s="555"/>
      <c r="Z50" s="555"/>
      <c r="AA50" s="555"/>
      <c r="AB50" s="555"/>
      <c r="AC50" s="555"/>
    </row>
    <row r="51" spans="1:29">
      <c r="A51" s="555"/>
      <c r="B51" s="555"/>
      <c r="C51" s="555"/>
      <c r="D51" s="555"/>
      <c r="E51" s="555"/>
      <c r="F51" s="555"/>
      <c r="G51" s="555"/>
      <c r="H51" s="555"/>
      <c r="I51" s="555"/>
      <c r="J51" s="555"/>
      <c r="K51" s="555"/>
      <c r="L51" s="555"/>
      <c r="M51" s="555"/>
      <c r="N51" s="555"/>
      <c r="O51" s="555"/>
      <c r="P51" s="555"/>
      <c r="Q51" s="555"/>
      <c r="R51" s="555"/>
      <c r="S51" s="555"/>
      <c r="T51" s="555"/>
      <c r="U51" s="555"/>
      <c r="V51" s="555"/>
      <c r="W51" s="555"/>
      <c r="X51" s="555"/>
      <c r="Y51" s="555"/>
      <c r="Z51" s="555"/>
      <c r="AA51" s="555"/>
      <c r="AB51" s="555"/>
      <c r="AC51" s="555"/>
    </row>
    <row r="52" spans="1:29">
      <c r="A52" s="555"/>
      <c r="B52" s="555"/>
      <c r="C52" s="555"/>
      <c r="D52" s="555"/>
      <c r="E52" s="555"/>
      <c r="F52" s="555"/>
      <c r="G52" s="555"/>
      <c r="H52" s="555"/>
      <c r="I52" s="555"/>
      <c r="J52" s="555"/>
      <c r="K52" s="555"/>
      <c r="L52" s="555"/>
      <c r="M52" s="555"/>
      <c r="N52" s="555"/>
      <c r="O52" s="555"/>
      <c r="P52" s="555"/>
      <c r="Q52" s="555"/>
      <c r="R52" s="555"/>
      <c r="S52" s="555"/>
      <c r="T52" s="555"/>
      <c r="U52" s="555"/>
      <c r="V52" s="555"/>
      <c r="W52" s="555"/>
      <c r="X52" s="555"/>
      <c r="Y52" s="555"/>
      <c r="Z52" s="555"/>
      <c r="AA52" s="555"/>
      <c r="AB52" s="555"/>
      <c r="AC52" s="555"/>
    </row>
    <row r="53" spans="1:29">
      <c r="A53" s="555"/>
      <c r="B53" s="555"/>
      <c r="C53" s="555"/>
      <c r="D53" s="555"/>
      <c r="E53" s="555"/>
      <c r="F53" s="555"/>
      <c r="G53" s="555"/>
      <c r="H53" s="555"/>
      <c r="I53" s="555"/>
      <c r="J53" s="555"/>
      <c r="K53" s="555"/>
      <c r="L53" s="555"/>
      <c r="M53" s="555"/>
      <c r="N53" s="555"/>
      <c r="O53" s="555"/>
      <c r="P53" s="555"/>
      <c r="Q53" s="555"/>
      <c r="R53" s="555"/>
      <c r="S53" s="555"/>
      <c r="T53" s="555"/>
      <c r="U53" s="555"/>
      <c r="V53" s="555"/>
      <c r="W53" s="555"/>
      <c r="X53" s="555"/>
      <c r="Y53" s="555"/>
      <c r="Z53" s="555"/>
      <c r="AA53" s="555"/>
      <c r="AB53" s="555"/>
      <c r="AC53" s="555"/>
    </row>
    <row r="54" spans="1:29">
      <c r="A54" s="555"/>
      <c r="B54" s="555"/>
      <c r="C54" s="555"/>
      <c r="D54" s="555"/>
      <c r="E54" s="555"/>
      <c r="F54" s="555"/>
      <c r="G54" s="555"/>
      <c r="H54" s="555"/>
      <c r="I54" s="555"/>
      <c r="J54" s="555"/>
      <c r="K54" s="555"/>
      <c r="L54" s="555"/>
      <c r="M54" s="555"/>
      <c r="N54" s="555"/>
      <c r="O54" s="555"/>
      <c r="P54" s="555"/>
      <c r="Q54" s="555"/>
      <c r="R54" s="555"/>
      <c r="S54" s="555"/>
      <c r="T54" s="555"/>
      <c r="U54" s="555"/>
      <c r="V54" s="555"/>
      <c r="W54" s="555"/>
      <c r="X54" s="555"/>
      <c r="Y54" s="555"/>
      <c r="Z54" s="555"/>
      <c r="AA54" s="555"/>
      <c r="AB54" s="555"/>
      <c r="AC54" s="555"/>
    </row>
    <row r="55" spans="1:29">
      <c r="A55" s="555"/>
      <c r="B55" s="555"/>
      <c r="C55" s="555"/>
      <c r="D55" s="555"/>
      <c r="E55" s="555"/>
      <c r="F55" s="555"/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555"/>
      <c r="T55" s="555"/>
      <c r="U55" s="555"/>
      <c r="V55" s="555"/>
      <c r="W55" s="555"/>
      <c r="X55" s="555"/>
      <c r="Y55" s="555"/>
      <c r="Z55" s="555"/>
      <c r="AA55" s="555"/>
      <c r="AB55" s="555"/>
      <c r="AC55" s="555"/>
    </row>
    <row r="56" spans="1:29">
      <c r="A56" s="555"/>
      <c r="B56" s="555"/>
      <c r="C56" s="555"/>
      <c r="D56" s="555"/>
      <c r="E56" s="555"/>
      <c r="F56" s="555"/>
      <c r="G56" s="555"/>
      <c r="H56" s="555"/>
      <c r="I56" s="555"/>
      <c r="J56" s="555"/>
      <c r="K56" s="555"/>
      <c r="L56" s="555"/>
      <c r="M56" s="555"/>
      <c r="N56" s="555"/>
      <c r="O56" s="555"/>
      <c r="P56" s="555"/>
      <c r="Q56" s="555"/>
      <c r="R56" s="555"/>
      <c r="S56" s="555"/>
      <c r="T56" s="555"/>
      <c r="U56" s="555"/>
      <c r="V56" s="555"/>
      <c r="W56" s="555"/>
      <c r="X56" s="555"/>
      <c r="Y56" s="555"/>
      <c r="Z56" s="555"/>
      <c r="AA56" s="555"/>
      <c r="AB56" s="555"/>
      <c r="AC56" s="555"/>
    </row>
    <row r="57" spans="1:29">
      <c r="A57" s="555"/>
      <c r="B57" s="555"/>
      <c r="C57" s="555"/>
      <c r="D57" s="555"/>
      <c r="E57" s="555"/>
      <c r="F57" s="555"/>
      <c r="G57" s="555"/>
      <c r="H57" s="555"/>
      <c r="I57" s="555"/>
      <c r="J57" s="555"/>
      <c r="K57" s="555"/>
      <c r="L57" s="555"/>
      <c r="M57" s="555"/>
      <c r="N57" s="555"/>
      <c r="O57" s="555"/>
      <c r="P57" s="555"/>
      <c r="Q57" s="555"/>
      <c r="R57" s="555"/>
      <c r="S57" s="555"/>
      <c r="T57" s="555"/>
      <c r="U57" s="555"/>
      <c r="V57" s="555"/>
      <c r="W57" s="555"/>
      <c r="X57" s="555"/>
      <c r="Y57" s="555"/>
      <c r="Z57" s="555"/>
      <c r="AA57" s="555"/>
      <c r="AB57" s="555"/>
      <c r="AC57" s="555"/>
    </row>
    <row r="58" spans="1:29">
      <c r="A58" s="555"/>
      <c r="B58" s="555"/>
      <c r="C58" s="555"/>
      <c r="D58" s="555"/>
      <c r="E58" s="555"/>
      <c r="F58" s="555"/>
      <c r="G58" s="555"/>
      <c r="H58" s="555"/>
      <c r="I58" s="555"/>
      <c r="J58" s="555"/>
      <c r="K58" s="555"/>
      <c r="L58" s="555"/>
      <c r="M58" s="555"/>
      <c r="N58" s="555"/>
      <c r="O58" s="555"/>
      <c r="P58" s="555"/>
      <c r="Q58" s="555"/>
      <c r="R58" s="555"/>
      <c r="S58" s="555"/>
      <c r="T58" s="555"/>
      <c r="U58" s="555"/>
      <c r="V58" s="555"/>
      <c r="W58" s="555"/>
      <c r="X58" s="555"/>
      <c r="Y58" s="555"/>
      <c r="Z58" s="555"/>
      <c r="AA58" s="555"/>
      <c r="AB58" s="555"/>
      <c r="AC58" s="555"/>
    </row>
    <row r="59" spans="1:29">
      <c r="A59" s="555"/>
      <c r="B59" s="555"/>
      <c r="C59" s="555"/>
      <c r="D59" s="555"/>
      <c r="E59" s="555"/>
      <c r="F59" s="555"/>
      <c r="G59" s="555"/>
      <c r="H59" s="555"/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5"/>
      <c r="V59" s="555"/>
      <c r="W59" s="555"/>
      <c r="X59" s="555"/>
      <c r="Y59" s="555"/>
      <c r="Z59" s="555"/>
      <c r="AA59" s="555"/>
      <c r="AB59" s="555"/>
      <c r="AC59" s="555"/>
    </row>
    <row r="60" spans="1:29">
      <c r="A60" s="555"/>
      <c r="B60" s="555"/>
      <c r="C60" s="555"/>
      <c r="D60" s="555"/>
      <c r="E60" s="555"/>
      <c r="F60" s="555"/>
      <c r="G60" s="555"/>
      <c r="H60" s="555"/>
      <c r="I60" s="555"/>
      <c r="J60" s="555"/>
      <c r="K60" s="555"/>
      <c r="L60" s="555"/>
      <c r="M60" s="555"/>
      <c r="N60" s="555"/>
      <c r="O60" s="555"/>
      <c r="P60" s="555"/>
      <c r="Q60" s="555"/>
      <c r="R60" s="555"/>
      <c r="S60" s="555"/>
      <c r="T60" s="555"/>
      <c r="U60" s="555"/>
      <c r="V60" s="555"/>
      <c r="W60" s="555"/>
      <c r="X60" s="555"/>
      <c r="Y60" s="555"/>
      <c r="Z60" s="555"/>
      <c r="AA60" s="555"/>
      <c r="AB60" s="555"/>
      <c r="AC60" s="555"/>
    </row>
    <row r="61" spans="1:29">
      <c r="A61" s="555"/>
      <c r="B61" s="555"/>
      <c r="C61" s="555"/>
      <c r="D61" s="555"/>
      <c r="E61" s="555"/>
      <c r="F61" s="555"/>
      <c r="G61" s="555"/>
      <c r="H61" s="555"/>
      <c r="I61" s="555"/>
      <c r="J61" s="555"/>
      <c r="K61" s="555"/>
      <c r="L61" s="555"/>
      <c r="M61" s="555"/>
      <c r="N61" s="555"/>
      <c r="O61" s="555"/>
      <c r="P61" s="555"/>
      <c r="Q61" s="555"/>
      <c r="R61" s="555"/>
      <c r="S61" s="555"/>
      <c r="T61" s="555"/>
      <c r="U61" s="555"/>
      <c r="V61" s="555"/>
      <c r="W61" s="555"/>
      <c r="X61" s="555"/>
      <c r="Y61" s="555"/>
      <c r="Z61" s="555"/>
      <c r="AA61" s="555"/>
      <c r="AB61" s="555"/>
      <c r="AC61" s="555"/>
    </row>
    <row r="62" spans="1:29">
      <c r="A62" s="555"/>
      <c r="B62" s="555"/>
      <c r="C62" s="555"/>
      <c r="D62" s="555"/>
      <c r="E62" s="555"/>
      <c r="F62" s="555"/>
      <c r="G62" s="555"/>
      <c r="H62" s="555"/>
      <c r="I62" s="555"/>
      <c r="J62" s="555"/>
      <c r="K62" s="555"/>
      <c r="L62" s="555"/>
      <c r="M62" s="555"/>
      <c r="N62" s="555"/>
      <c r="O62" s="555"/>
      <c r="P62" s="555"/>
      <c r="Q62" s="555"/>
      <c r="R62" s="555"/>
      <c r="S62" s="555"/>
      <c r="T62" s="555"/>
      <c r="U62" s="555"/>
      <c r="V62" s="555"/>
      <c r="W62" s="555"/>
      <c r="X62" s="555"/>
      <c r="Y62" s="555"/>
      <c r="Z62" s="555"/>
      <c r="AA62" s="555"/>
      <c r="AB62" s="555"/>
      <c r="AC62" s="555"/>
    </row>
    <row r="63" spans="1:29">
      <c r="A63" s="555"/>
      <c r="B63" s="555"/>
      <c r="C63" s="555"/>
      <c r="D63" s="555"/>
      <c r="E63" s="555"/>
      <c r="F63" s="555"/>
      <c r="G63" s="555"/>
      <c r="H63" s="555"/>
      <c r="I63" s="555"/>
      <c r="J63" s="555"/>
      <c r="K63" s="555"/>
      <c r="L63" s="555"/>
      <c r="M63" s="555"/>
      <c r="N63" s="555"/>
      <c r="O63" s="555"/>
      <c r="P63" s="555"/>
      <c r="Q63" s="555"/>
      <c r="R63" s="555"/>
      <c r="S63" s="555"/>
      <c r="T63" s="555"/>
      <c r="U63" s="555"/>
      <c r="V63" s="555"/>
      <c r="W63" s="555"/>
      <c r="X63" s="555"/>
      <c r="Y63" s="555"/>
      <c r="Z63" s="555"/>
      <c r="AA63" s="555"/>
      <c r="AB63" s="555"/>
      <c r="AC63" s="555"/>
    </row>
    <row r="64" spans="1:29">
      <c r="A64" s="555"/>
      <c r="B64" s="555"/>
      <c r="C64" s="555"/>
      <c r="D64" s="555"/>
      <c r="E64" s="555"/>
      <c r="F64" s="555"/>
      <c r="G64" s="555"/>
      <c r="H64" s="555"/>
      <c r="I64" s="555"/>
      <c r="J64" s="555"/>
      <c r="K64" s="555"/>
      <c r="L64" s="555"/>
      <c r="M64" s="555"/>
      <c r="N64" s="555"/>
      <c r="O64" s="555"/>
      <c r="P64" s="555"/>
      <c r="Q64" s="555"/>
      <c r="R64" s="555"/>
      <c r="S64" s="555"/>
      <c r="T64" s="555"/>
      <c r="U64" s="555"/>
      <c r="V64" s="555"/>
      <c r="W64" s="555"/>
      <c r="X64" s="555"/>
      <c r="Y64" s="555"/>
      <c r="Z64" s="555"/>
      <c r="AA64" s="555"/>
      <c r="AB64" s="555"/>
      <c r="AC64" s="555"/>
    </row>
    <row r="65" spans="1:29">
      <c r="A65" s="555"/>
      <c r="B65" s="555"/>
      <c r="C65" s="555"/>
      <c r="D65" s="555"/>
      <c r="E65" s="555"/>
      <c r="F65" s="555"/>
      <c r="G65" s="555"/>
      <c r="H65" s="555"/>
      <c r="I65" s="555"/>
      <c r="J65" s="555"/>
      <c r="K65" s="555"/>
      <c r="L65" s="555"/>
      <c r="M65" s="555"/>
      <c r="N65" s="555"/>
      <c r="O65" s="555"/>
      <c r="P65" s="555"/>
      <c r="Q65" s="555"/>
      <c r="R65" s="555"/>
      <c r="S65" s="555"/>
      <c r="T65" s="555"/>
      <c r="U65" s="555"/>
      <c r="V65" s="555"/>
      <c r="W65" s="555"/>
      <c r="X65" s="555"/>
      <c r="Y65" s="555"/>
      <c r="Z65" s="555"/>
      <c r="AA65" s="555"/>
      <c r="AB65" s="555"/>
      <c r="AC65" s="555"/>
    </row>
    <row r="66" spans="1:29">
      <c r="A66" s="555"/>
      <c r="B66" s="555"/>
      <c r="C66" s="555"/>
      <c r="D66" s="555"/>
      <c r="E66" s="555"/>
      <c r="F66" s="555"/>
      <c r="G66" s="555"/>
      <c r="H66" s="555"/>
      <c r="I66" s="555"/>
      <c r="J66" s="555"/>
      <c r="K66" s="555"/>
      <c r="L66" s="555"/>
      <c r="M66" s="555"/>
      <c r="N66" s="555"/>
      <c r="O66" s="555"/>
      <c r="P66" s="555"/>
      <c r="Q66" s="555"/>
      <c r="R66" s="555"/>
      <c r="S66" s="555"/>
      <c r="T66" s="555"/>
      <c r="U66" s="555"/>
      <c r="V66" s="555"/>
      <c r="W66" s="555"/>
      <c r="X66" s="555"/>
      <c r="Y66" s="555"/>
      <c r="Z66" s="555"/>
      <c r="AA66" s="555"/>
      <c r="AB66" s="555"/>
      <c r="AC66" s="555"/>
    </row>
    <row r="67" spans="1:29">
      <c r="A67" s="555"/>
      <c r="B67" s="555"/>
      <c r="C67" s="555"/>
      <c r="D67" s="555"/>
      <c r="E67" s="555"/>
      <c r="F67" s="555"/>
      <c r="G67" s="555"/>
      <c r="H67" s="555"/>
      <c r="I67" s="555"/>
      <c r="J67" s="555"/>
      <c r="K67" s="555"/>
      <c r="L67" s="555"/>
      <c r="M67" s="555"/>
      <c r="N67" s="555"/>
      <c r="O67" s="555"/>
      <c r="P67" s="555"/>
      <c r="Q67" s="555"/>
      <c r="R67" s="555"/>
      <c r="S67" s="555"/>
      <c r="T67" s="555"/>
      <c r="U67" s="555"/>
      <c r="V67" s="555"/>
      <c r="W67" s="555"/>
      <c r="X67" s="555"/>
      <c r="Y67" s="555"/>
      <c r="Z67" s="555"/>
      <c r="AA67" s="555"/>
      <c r="AB67" s="555"/>
      <c r="AC67" s="555"/>
    </row>
    <row r="68" spans="1:29">
      <c r="A68" s="555"/>
      <c r="B68" s="555"/>
      <c r="C68" s="555"/>
      <c r="D68" s="555"/>
      <c r="E68" s="555"/>
      <c r="F68" s="555"/>
      <c r="G68" s="555"/>
      <c r="H68" s="555"/>
      <c r="I68" s="555"/>
      <c r="J68" s="555"/>
      <c r="K68" s="555"/>
      <c r="L68" s="555"/>
      <c r="M68" s="555"/>
      <c r="N68" s="555"/>
      <c r="O68" s="555"/>
      <c r="P68" s="555"/>
      <c r="Q68" s="555"/>
      <c r="R68" s="555"/>
      <c r="S68" s="555"/>
      <c r="T68" s="555"/>
      <c r="U68" s="555"/>
      <c r="V68" s="555"/>
      <c r="W68" s="555"/>
      <c r="X68" s="555"/>
      <c r="Y68" s="555"/>
      <c r="Z68" s="555"/>
      <c r="AA68" s="555"/>
      <c r="AB68" s="555"/>
      <c r="AC68" s="555"/>
    </row>
    <row r="69" spans="1:29">
      <c r="A69" s="555"/>
      <c r="B69" s="555"/>
      <c r="C69" s="555"/>
      <c r="D69" s="555"/>
      <c r="E69" s="555"/>
      <c r="F69" s="555"/>
      <c r="G69" s="555"/>
      <c r="H69" s="555"/>
      <c r="I69" s="555"/>
      <c r="J69" s="555"/>
      <c r="K69" s="555"/>
      <c r="L69" s="555"/>
      <c r="M69" s="555"/>
      <c r="N69" s="555"/>
      <c r="O69" s="555"/>
      <c r="P69" s="555"/>
      <c r="Q69" s="555"/>
      <c r="R69" s="555"/>
      <c r="S69" s="555"/>
      <c r="T69" s="555"/>
      <c r="U69" s="555"/>
      <c r="V69" s="555"/>
      <c r="W69" s="555"/>
      <c r="X69" s="555"/>
      <c r="Y69" s="555"/>
      <c r="Z69" s="555"/>
      <c r="AA69" s="555"/>
      <c r="AB69" s="555"/>
      <c r="AC69" s="555"/>
    </row>
    <row r="70" spans="1:29">
      <c r="A70" s="555"/>
      <c r="B70" s="555"/>
      <c r="C70" s="555"/>
      <c r="D70" s="555"/>
      <c r="E70" s="555"/>
      <c r="F70" s="555"/>
      <c r="G70" s="555"/>
      <c r="H70" s="555"/>
      <c r="I70" s="555"/>
      <c r="J70" s="555"/>
      <c r="K70" s="555"/>
      <c r="L70" s="555"/>
      <c r="M70" s="555"/>
      <c r="N70" s="555"/>
      <c r="O70" s="555"/>
      <c r="P70" s="555"/>
      <c r="Q70" s="555"/>
      <c r="R70" s="555"/>
      <c r="S70" s="555"/>
      <c r="T70" s="555"/>
      <c r="U70" s="555"/>
      <c r="V70" s="555"/>
      <c r="W70" s="555"/>
      <c r="X70" s="555"/>
      <c r="Y70" s="555"/>
      <c r="Z70" s="555"/>
      <c r="AA70" s="555"/>
      <c r="AB70" s="555"/>
      <c r="AC70" s="555"/>
    </row>
    <row r="71" spans="1:29">
      <c r="A71" s="555"/>
      <c r="B71" s="555"/>
      <c r="C71" s="555"/>
      <c r="D71" s="555"/>
      <c r="E71" s="555"/>
      <c r="F71" s="555"/>
      <c r="G71" s="555"/>
      <c r="H71" s="555"/>
      <c r="I71" s="555"/>
      <c r="J71" s="555"/>
      <c r="K71" s="555"/>
      <c r="L71" s="555"/>
      <c r="M71" s="555"/>
      <c r="N71" s="555"/>
      <c r="O71" s="555"/>
      <c r="P71" s="555"/>
      <c r="Q71" s="555"/>
      <c r="R71" s="555"/>
      <c r="S71" s="555"/>
      <c r="T71" s="555"/>
      <c r="U71" s="555"/>
      <c r="V71" s="555"/>
      <c r="W71" s="555"/>
      <c r="X71" s="555"/>
      <c r="Y71" s="555"/>
      <c r="Z71" s="555"/>
      <c r="AA71" s="555"/>
      <c r="AB71" s="555"/>
      <c r="AC71" s="555"/>
    </row>
    <row r="72" spans="1:29">
      <c r="A72" s="555"/>
      <c r="B72" s="555"/>
      <c r="C72" s="555"/>
      <c r="D72" s="555"/>
      <c r="E72" s="555"/>
      <c r="F72" s="555"/>
      <c r="G72" s="555"/>
      <c r="H72" s="555"/>
      <c r="I72" s="555"/>
      <c r="J72" s="555"/>
      <c r="K72" s="555"/>
      <c r="L72" s="555"/>
      <c r="M72" s="555"/>
      <c r="N72" s="555"/>
      <c r="O72" s="555"/>
      <c r="P72" s="555"/>
      <c r="Q72" s="555"/>
      <c r="R72" s="555"/>
      <c r="S72" s="555"/>
      <c r="T72" s="555"/>
      <c r="U72" s="555"/>
      <c r="V72" s="555"/>
      <c r="W72" s="555"/>
      <c r="X72" s="555"/>
      <c r="Y72" s="555"/>
      <c r="Z72" s="555"/>
      <c r="AA72" s="555"/>
      <c r="AB72" s="555"/>
      <c r="AC72" s="555"/>
    </row>
  </sheetData>
  <phoneticPr fontId="2" type="noConversion"/>
  <hyperlinks>
    <hyperlink ref="C12" r:id="rId1" display="michael.dandurand@morganstanley.com"/>
  </hyperlinks>
  <pageMargins left="0.75" right="0.75" top="1" bottom="1" header="0.5" footer="0.5"/>
  <pageSetup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FP207"/>
  <sheetViews>
    <sheetView zoomScale="85" zoomScaleNormal="85" workbookViewId="0">
      <pane ySplit="4" topLeftCell="A5" activePane="bottomLeft" state="frozen"/>
      <selection activeCell="CG20" sqref="CG20"/>
      <selection pane="bottomLeft" activeCell="A5" sqref="A5"/>
    </sheetView>
  </sheetViews>
  <sheetFormatPr defaultColWidth="9.28515625" defaultRowHeight="12.75" outlineLevelCol="1"/>
  <cols>
    <col min="1" max="2" width="2.7109375" style="736" customWidth="1"/>
    <col min="3" max="3" width="42.140625" style="736" customWidth="1"/>
    <col min="4" max="4" width="2.7109375" style="736" customWidth="1"/>
    <col min="5" max="23" width="1.7109375" style="736" hidden="1" customWidth="1" outlineLevel="1"/>
    <col min="24" max="24" width="9.28515625" style="736" hidden="1" customWidth="1" collapsed="1"/>
    <col min="25" max="28" width="1.7109375" style="736" hidden="1" customWidth="1" outlineLevel="1"/>
    <col min="29" max="29" width="9.28515625" style="736" hidden="1" customWidth="1" collapsed="1"/>
    <col min="30" max="33" width="1.7109375" style="736" hidden="1" customWidth="1" outlineLevel="1"/>
    <col min="34" max="34" width="9.28515625" style="736" customWidth="1" collapsed="1"/>
    <col min="35" max="37" width="1.7109375" style="736" hidden="1" customWidth="1" outlineLevel="1"/>
    <col min="38" max="38" width="2.140625" style="736" hidden="1" customWidth="1" outlineLevel="1"/>
    <col min="39" max="39" width="9.42578125" style="736" customWidth="1" collapsed="1"/>
    <col min="40" max="42" width="1.7109375" style="736" hidden="1" customWidth="1" outlineLevel="1"/>
    <col min="43" max="43" width="2.140625" style="736" hidden="1" customWidth="1" outlineLevel="1"/>
    <col min="44" max="44" width="9.140625" style="736" customWidth="1" collapsed="1"/>
    <col min="45" max="47" width="1.7109375" style="736" hidden="1" customWidth="1" outlineLevel="1"/>
    <col min="48" max="48" width="2.140625" style="736" hidden="1" customWidth="1" outlineLevel="1"/>
    <col min="49" max="49" width="9.140625" style="736" customWidth="1" collapsed="1"/>
    <col min="50" max="52" width="1.7109375" style="736" hidden="1" customWidth="1" outlineLevel="1"/>
    <col min="53" max="53" width="2.140625" style="736" hidden="1" customWidth="1" outlineLevel="1"/>
    <col min="54" max="54" width="9.140625" style="736" customWidth="1" collapsed="1"/>
    <col min="55" max="57" width="1.7109375" style="736" hidden="1" customWidth="1" outlineLevel="1"/>
    <col min="58" max="58" width="2.140625" style="736" hidden="1" customWidth="1" outlineLevel="1"/>
    <col min="59" max="59" width="9.140625" style="736" customWidth="1" collapsed="1"/>
    <col min="60" max="62" width="1.7109375" style="736" hidden="1" customWidth="1" outlineLevel="1"/>
    <col min="63" max="63" width="2.140625" style="736" hidden="1" customWidth="1" outlineLevel="1"/>
    <col min="64" max="64" width="9.140625" style="736" customWidth="1" collapsed="1"/>
    <col min="65" max="67" width="1.7109375" style="736" hidden="1" customWidth="1" outlineLevel="1"/>
    <col min="68" max="68" width="2.140625" style="736" hidden="1" customWidth="1" outlineLevel="1"/>
    <col min="69" max="69" width="9.140625" style="736" customWidth="1" collapsed="1"/>
    <col min="70" max="70" width="9.140625" style="736" customWidth="1"/>
    <col min="71" max="72" width="2.7109375" style="736" customWidth="1"/>
    <col min="73" max="73" width="39.7109375" style="736" customWidth="1"/>
    <col min="74" max="74" width="2.7109375" style="736" customWidth="1"/>
    <col min="75" max="75" width="9.28515625" style="736" customWidth="1"/>
    <col min="76" max="79" width="9.28515625" style="736" hidden="1" customWidth="1" outlineLevel="1"/>
    <col min="80" max="80" width="9.28515625" style="736" customWidth="1" collapsed="1"/>
    <col min="81" max="84" width="9.28515625" style="736" hidden="1" customWidth="1" outlineLevel="1"/>
    <col min="85" max="85" width="9.28515625" style="736" customWidth="1" collapsed="1"/>
    <col min="86" max="89" width="9.28515625" style="736" hidden="1" customWidth="1" outlineLevel="1"/>
    <col min="90" max="90" width="9.28515625" style="736" customWidth="1" collapsed="1"/>
    <col min="91" max="94" width="9.28515625" style="736" hidden="1" customWidth="1" outlineLevel="1"/>
    <col min="95" max="95" width="9.28515625" style="736" customWidth="1" collapsed="1"/>
    <col min="96" max="99" width="9.28515625" style="736" hidden="1" customWidth="1" outlineLevel="1"/>
    <col min="100" max="100" width="9.28515625" style="736" customWidth="1" collapsed="1"/>
    <col min="101" max="104" width="9.28515625" style="736" hidden="1" customWidth="1" outlineLevel="1"/>
    <col min="105" max="105" width="9.28515625" style="736" customWidth="1" collapsed="1"/>
    <col min="106" max="109" width="9.28515625" style="736" hidden="1" customWidth="1" outlineLevel="1"/>
    <col min="110" max="110" width="9.28515625" style="736" customWidth="1" collapsed="1"/>
    <col min="111" max="114" width="9.28515625" style="736" hidden="1" customWidth="1" outlineLevel="1"/>
    <col min="115" max="115" width="9.28515625" style="736" customWidth="1" collapsed="1"/>
    <col min="116" max="120" width="9.28515625" style="736" customWidth="1"/>
    <col min="121" max="121" width="20" style="736" customWidth="1"/>
    <col min="122" max="165" width="9.28515625" style="736" customWidth="1"/>
    <col min="166" max="166" width="42.85546875" hidden="1" customWidth="1" outlineLevel="1"/>
    <col min="167" max="171" width="9.28515625" hidden="1" customWidth="1" outlineLevel="1"/>
    <col min="172" max="172" width="9.28515625" style="736" customWidth="1" collapsed="1"/>
    <col min="173" max="16384" width="9.28515625" style="736"/>
  </cols>
  <sheetData>
    <row r="1" spans="1:141" ht="15" customHeight="1">
      <c r="A1" s="733"/>
      <c r="B1" s="733"/>
      <c r="C1" s="733"/>
      <c r="D1" s="734"/>
      <c r="E1" s="735"/>
      <c r="F1" s="735"/>
      <c r="G1" s="735"/>
      <c r="H1" s="735"/>
      <c r="I1" s="735"/>
      <c r="J1" s="735"/>
      <c r="K1" s="735"/>
      <c r="L1" s="735"/>
      <c r="M1" s="735"/>
      <c r="N1" s="735"/>
      <c r="O1" s="735"/>
      <c r="P1" s="735"/>
      <c r="Q1" s="735"/>
      <c r="R1" s="735"/>
      <c r="S1" s="735"/>
      <c r="T1" s="735"/>
      <c r="U1" s="735"/>
      <c r="V1" s="735"/>
      <c r="W1" s="735"/>
      <c r="X1" s="735"/>
      <c r="Y1" s="735"/>
      <c r="Z1" s="735"/>
      <c r="AA1" s="735"/>
      <c r="AB1" s="735"/>
      <c r="AC1" s="735"/>
      <c r="AD1" s="735"/>
      <c r="AE1" s="735"/>
      <c r="AF1" s="735"/>
      <c r="AG1" s="735"/>
      <c r="AH1" s="735"/>
      <c r="AI1" s="735"/>
      <c r="AJ1" s="735"/>
      <c r="AK1" s="735"/>
      <c r="AL1" s="735"/>
      <c r="AM1" s="735"/>
      <c r="AN1" s="735"/>
      <c r="AO1" s="735"/>
      <c r="AP1" s="735"/>
      <c r="AQ1" s="735"/>
      <c r="AR1" s="735"/>
      <c r="AS1" s="735"/>
      <c r="AT1" s="735"/>
      <c r="AU1" s="735"/>
      <c r="AV1" s="735"/>
      <c r="AW1" s="735"/>
      <c r="AX1" s="735"/>
      <c r="AY1" s="735"/>
      <c r="AZ1" s="735"/>
      <c r="BA1" s="735"/>
      <c r="BB1" s="735"/>
      <c r="BC1" s="735"/>
      <c r="BD1" s="735"/>
      <c r="BE1" s="735"/>
      <c r="BF1" s="735"/>
      <c r="BG1" s="735"/>
      <c r="BH1" s="735"/>
      <c r="BI1" s="735"/>
      <c r="BJ1" s="735"/>
      <c r="BK1" s="735"/>
      <c r="BL1" s="735"/>
      <c r="BM1" s="735"/>
      <c r="BN1" s="735"/>
      <c r="BO1" s="735"/>
      <c r="BP1" s="735"/>
      <c r="BQ1" s="735"/>
      <c r="BR1" s="735"/>
      <c r="BS1" s="735"/>
      <c r="BT1" s="735"/>
      <c r="BU1" s="735"/>
      <c r="BV1" s="735"/>
      <c r="BW1" s="735"/>
      <c r="BX1" s="735"/>
      <c r="BY1" s="735"/>
      <c r="BZ1" s="735"/>
      <c r="CA1" s="735"/>
      <c r="CB1" s="735"/>
      <c r="CC1" s="735"/>
      <c r="CD1" s="735"/>
      <c r="CE1" s="735"/>
      <c r="CF1" s="735"/>
      <c r="CG1" s="735"/>
      <c r="CH1" s="735"/>
      <c r="CI1" s="735"/>
      <c r="CJ1" s="735"/>
      <c r="CK1" s="735"/>
      <c r="CL1" s="735"/>
      <c r="CM1" s="735"/>
      <c r="CN1" s="735"/>
      <c r="CO1" s="735"/>
      <c r="CP1" s="735"/>
      <c r="CQ1" s="735"/>
      <c r="CR1" s="735"/>
      <c r="CS1" s="735"/>
      <c r="CT1" s="735"/>
      <c r="CU1" s="735"/>
      <c r="CV1" s="735"/>
      <c r="CW1" s="735"/>
      <c r="CX1" s="735"/>
      <c r="CY1" s="735"/>
      <c r="CZ1" s="735"/>
      <c r="DA1" s="735"/>
      <c r="DB1" s="735"/>
      <c r="DC1" s="735"/>
      <c r="DD1" s="735"/>
      <c r="DE1" s="735"/>
      <c r="DF1" s="735"/>
      <c r="DG1" s="735"/>
      <c r="DH1" s="735"/>
      <c r="DI1" s="735"/>
      <c r="DJ1" s="735"/>
      <c r="DK1" s="735"/>
      <c r="DL1" s="735"/>
      <c r="DM1" s="735"/>
      <c r="DN1" s="735"/>
      <c r="DO1" s="735"/>
      <c r="DP1" s="735"/>
    </row>
    <row r="2" spans="1:141" ht="15" customHeight="1">
      <c r="A2" s="733"/>
      <c r="B2" s="733" t="str">
        <f>Cover!B2</f>
        <v>Entergy Corporation</v>
      </c>
      <c r="C2" s="733"/>
      <c r="D2" s="734"/>
      <c r="E2" s="735"/>
      <c r="F2" s="735"/>
      <c r="G2" s="735"/>
      <c r="H2" s="735"/>
      <c r="I2" s="735"/>
      <c r="J2" s="735"/>
      <c r="K2" s="735"/>
      <c r="L2" s="735"/>
      <c r="M2" s="735"/>
      <c r="N2" s="737"/>
      <c r="O2" s="735"/>
      <c r="P2" s="735"/>
      <c r="Q2" s="735"/>
      <c r="R2" s="735"/>
      <c r="S2" s="735"/>
      <c r="T2" s="735"/>
      <c r="U2" s="735"/>
      <c r="V2" s="735"/>
      <c r="W2" s="735"/>
      <c r="X2" s="735"/>
      <c r="Y2" s="735"/>
      <c r="Z2" s="735"/>
      <c r="AA2" s="735"/>
      <c r="AB2" s="735"/>
      <c r="AC2" s="735"/>
      <c r="AD2" s="735"/>
      <c r="AE2" s="735"/>
      <c r="AF2" s="735"/>
      <c r="AG2" s="735"/>
      <c r="AH2" s="735"/>
      <c r="AI2" s="735"/>
      <c r="AJ2" s="735"/>
      <c r="AK2" s="735"/>
      <c r="AL2" s="735"/>
      <c r="AM2" s="735"/>
      <c r="AN2" s="735"/>
      <c r="AO2" s="735"/>
      <c r="AP2" s="735"/>
      <c r="AQ2" s="735"/>
      <c r="AR2" s="735"/>
      <c r="AS2" s="735"/>
      <c r="AT2" s="735"/>
      <c r="AU2" s="735"/>
      <c r="AV2" s="735"/>
      <c r="AW2" s="735"/>
      <c r="AX2" s="735"/>
      <c r="AY2" s="735"/>
      <c r="AZ2" s="735"/>
      <c r="BA2" s="735"/>
      <c r="BB2" s="735"/>
      <c r="BC2" s="735"/>
      <c r="BD2" s="735"/>
      <c r="BE2" s="735"/>
      <c r="BF2" s="735"/>
      <c r="BG2" s="735"/>
      <c r="BH2" s="735"/>
      <c r="BI2" s="735"/>
      <c r="BJ2" s="735"/>
      <c r="BK2" s="735"/>
      <c r="BL2" s="735"/>
      <c r="BM2" s="735"/>
      <c r="BN2" s="735"/>
      <c r="BO2" s="735"/>
      <c r="BP2" s="735"/>
      <c r="BQ2" s="735"/>
      <c r="BR2" s="735"/>
      <c r="BS2" s="735"/>
      <c r="BT2" s="735"/>
      <c r="BU2" s="735"/>
      <c r="BV2" s="735"/>
      <c r="BW2" s="735"/>
      <c r="BX2" s="735"/>
      <c r="BY2" s="735"/>
      <c r="BZ2" s="735"/>
      <c r="CA2" s="735"/>
      <c r="CB2" s="735"/>
      <c r="CC2" s="735"/>
      <c r="CD2" s="735"/>
      <c r="CE2" s="735"/>
      <c r="CF2" s="735"/>
      <c r="CG2" s="735"/>
      <c r="CH2" s="735"/>
      <c r="CI2" s="735"/>
      <c r="CJ2" s="735"/>
      <c r="CK2" s="735"/>
      <c r="CL2" s="735"/>
      <c r="CM2" s="735"/>
      <c r="CN2" s="735"/>
      <c r="CO2" s="735"/>
      <c r="CP2" s="735"/>
      <c r="CQ2" s="735"/>
      <c r="CR2" s="735"/>
      <c r="CS2" s="735"/>
      <c r="CT2" s="735"/>
      <c r="CU2" s="735"/>
      <c r="CV2" s="735"/>
      <c r="CW2" s="735"/>
      <c r="CX2" s="735"/>
      <c r="CY2" s="735"/>
      <c r="CZ2" s="735"/>
      <c r="DA2" s="735"/>
      <c r="DB2" s="735"/>
      <c r="DC2" s="735"/>
      <c r="DD2" s="735"/>
      <c r="DE2" s="735"/>
      <c r="DF2" s="735"/>
      <c r="DG2" s="735"/>
      <c r="DH2" s="735"/>
      <c r="DI2" s="735"/>
      <c r="DJ2" s="735"/>
      <c r="DK2" s="735"/>
      <c r="DL2" s="735"/>
      <c r="DM2" s="735"/>
      <c r="DN2" s="735"/>
      <c r="DO2" s="735"/>
      <c r="DP2" s="735"/>
    </row>
    <row r="3" spans="1:141" ht="15" customHeight="1">
      <c r="A3" s="738"/>
      <c r="B3" s="739" t="s">
        <v>628</v>
      </c>
      <c r="C3" s="739"/>
      <c r="D3" s="735"/>
      <c r="E3" s="735"/>
      <c r="F3" s="735"/>
      <c r="G3" s="735"/>
      <c r="H3" s="735"/>
      <c r="I3" s="735"/>
      <c r="J3" s="735"/>
      <c r="K3" s="735"/>
      <c r="L3" s="735"/>
      <c r="M3" s="735"/>
      <c r="N3" s="735"/>
      <c r="O3" s="735"/>
      <c r="P3" s="735"/>
      <c r="Q3" s="735"/>
      <c r="R3" s="735"/>
      <c r="S3" s="735"/>
      <c r="T3" s="735"/>
      <c r="U3" s="735"/>
      <c r="V3" s="735"/>
      <c r="W3" s="735"/>
      <c r="X3" s="735"/>
      <c r="Y3" s="735"/>
      <c r="Z3" s="735"/>
      <c r="AA3" s="735"/>
      <c r="AB3" s="735"/>
      <c r="AC3" s="735"/>
      <c r="AD3" s="735"/>
      <c r="AE3" s="735"/>
      <c r="AF3" s="735"/>
      <c r="AG3" s="735"/>
      <c r="AH3" s="735"/>
      <c r="AI3" s="735"/>
      <c r="AJ3" s="735"/>
      <c r="AK3" s="735"/>
      <c r="AL3" s="735"/>
      <c r="AM3" s="735"/>
      <c r="AN3" s="735"/>
      <c r="AO3" s="735"/>
      <c r="AP3" s="735"/>
      <c r="AQ3" s="735"/>
      <c r="AR3" s="735"/>
      <c r="AS3" s="735"/>
      <c r="AT3" s="735"/>
      <c r="AU3" s="735"/>
      <c r="AV3" s="735"/>
      <c r="AW3" s="735"/>
      <c r="AX3" s="735"/>
      <c r="AY3" s="735"/>
      <c r="AZ3" s="735"/>
      <c r="BA3" s="735"/>
      <c r="BB3" s="735"/>
      <c r="BC3" s="735"/>
      <c r="BD3" s="735"/>
      <c r="BE3" s="735"/>
      <c r="BF3" s="735"/>
      <c r="BG3" s="735"/>
      <c r="BH3" s="735"/>
      <c r="BI3" s="735"/>
      <c r="BJ3" s="735"/>
      <c r="BK3" s="735"/>
      <c r="BL3" s="735"/>
      <c r="BM3" s="735"/>
      <c r="BN3" s="735"/>
      <c r="BO3" s="735"/>
      <c r="BP3" s="735"/>
      <c r="BQ3" s="735"/>
      <c r="BR3" s="735"/>
      <c r="BS3" s="735"/>
      <c r="BT3" s="735"/>
      <c r="BU3" s="735"/>
      <c r="BV3" s="735"/>
      <c r="BW3" s="735"/>
      <c r="BX3" s="735"/>
      <c r="BY3" s="735"/>
      <c r="BZ3" s="735"/>
      <c r="CA3" s="735"/>
      <c r="CB3" s="735"/>
      <c r="CC3" s="735"/>
      <c r="CD3" s="735"/>
      <c r="CE3" s="735"/>
      <c r="CF3" s="735"/>
      <c r="CG3" s="735"/>
      <c r="CH3" s="735"/>
      <c r="CI3" s="735"/>
      <c r="CJ3" s="735"/>
      <c r="CK3" s="735"/>
      <c r="CL3" s="735"/>
      <c r="CM3" s="735"/>
      <c r="CN3" s="735"/>
      <c r="CO3" s="735"/>
      <c r="CP3" s="735"/>
      <c r="CQ3" s="735"/>
      <c r="CR3" s="735"/>
      <c r="CS3" s="735"/>
      <c r="CT3" s="735"/>
      <c r="CU3" s="735"/>
      <c r="CV3" s="735"/>
      <c r="CW3" s="735"/>
      <c r="CX3" s="735"/>
      <c r="CY3" s="735"/>
      <c r="CZ3" s="735"/>
      <c r="DA3" s="735"/>
      <c r="DB3" s="735"/>
      <c r="DC3" s="735"/>
      <c r="DD3" s="735"/>
      <c r="DE3" s="735"/>
      <c r="DF3" s="735"/>
      <c r="DG3" s="735"/>
      <c r="DH3" s="735"/>
      <c r="DI3" s="735"/>
      <c r="DJ3" s="735"/>
      <c r="DK3" s="735"/>
      <c r="DL3" s="735"/>
      <c r="DM3" s="735"/>
      <c r="DN3" s="735"/>
      <c r="DO3" s="735"/>
      <c r="DP3" s="735"/>
    </row>
    <row r="4" spans="1:141">
      <c r="A4" s="740"/>
      <c r="B4" s="741" t="s">
        <v>321</v>
      </c>
      <c r="C4" s="741"/>
      <c r="D4" s="740"/>
      <c r="E4" s="742"/>
      <c r="F4" s="742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2"/>
      <c r="AP4" s="742"/>
      <c r="AQ4" s="742"/>
      <c r="AR4" s="742"/>
      <c r="AS4" s="742"/>
      <c r="AT4" s="742"/>
      <c r="AU4" s="742"/>
      <c r="AV4" s="742"/>
      <c r="AW4" s="742"/>
      <c r="AX4" s="742"/>
      <c r="AY4" s="742"/>
      <c r="AZ4" s="742"/>
      <c r="BA4" s="742"/>
      <c r="BB4" s="742"/>
      <c r="BC4" s="742"/>
      <c r="BD4" s="742"/>
      <c r="BE4" s="742"/>
      <c r="BF4" s="742"/>
      <c r="BG4" s="742"/>
      <c r="BH4" s="742"/>
      <c r="BI4" s="742"/>
      <c r="BJ4" s="742"/>
      <c r="BK4" s="742"/>
      <c r="BL4" s="742"/>
      <c r="BM4" s="742"/>
      <c r="BN4" s="742"/>
      <c r="BO4" s="742"/>
      <c r="BP4" s="742"/>
      <c r="BQ4" s="742"/>
      <c r="BR4" s="742"/>
      <c r="BS4" s="742"/>
      <c r="BT4" s="742"/>
      <c r="BU4" s="742"/>
      <c r="BV4" s="742"/>
      <c r="BW4" s="742"/>
      <c r="BX4" s="742"/>
      <c r="BY4" s="742"/>
      <c r="BZ4" s="742"/>
      <c r="CA4" s="742"/>
      <c r="CB4" s="742"/>
      <c r="CC4" s="742"/>
      <c r="CD4" s="742"/>
      <c r="CE4" s="742"/>
      <c r="CF4" s="742"/>
      <c r="CG4" s="742"/>
      <c r="CH4" s="742"/>
      <c r="CI4" s="742"/>
      <c r="CJ4" s="742"/>
      <c r="CK4" s="742"/>
      <c r="CL4" s="742"/>
      <c r="CM4" s="742"/>
      <c r="CN4" s="742"/>
      <c r="CO4" s="742"/>
      <c r="CP4" s="742"/>
      <c r="CQ4" s="742"/>
      <c r="CR4" s="742"/>
      <c r="CS4" s="742"/>
      <c r="CT4" s="742"/>
      <c r="CU4" s="742"/>
      <c r="CV4" s="742"/>
      <c r="CW4" s="742"/>
      <c r="CX4" s="742"/>
      <c r="CY4" s="742"/>
      <c r="CZ4" s="742"/>
      <c r="DA4" s="742"/>
      <c r="DB4" s="742"/>
      <c r="DC4" s="742"/>
      <c r="DD4" s="742"/>
      <c r="DE4" s="742"/>
      <c r="DF4" s="742"/>
      <c r="DG4" s="742"/>
      <c r="DH4" s="742"/>
      <c r="DI4" s="742"/>
      <c r="DJ4" s="742"/>
      <c r="DK4" s="742"/>
      <c r="DL4" s="742"/>
      <c r="DM4" s="742"/>
      <c r="DN4" s="742"/>
      <c r="DO4" s="742"/>
      <c r="DP4" s="742"/>
    </row>
    <row r="5" spans="1:141">
      <c r="A5" s="743"/>
      <c r="B5" s="743"/>
      <c r="C5" s="744"/>
      <c r="D5" s="745"/>
      <c r="E5" s="746"/>
      <c r="F5" s="746"/>
      <c r="G5" s="746"/>
      <c r="H5" s="746"/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6"/>
      <c r="Z5" s="746"/>
      <c r="AA5" s="746"/>
      <c r="AB5" s="746"/>
      <c r="AC5" s="761"/>
      <c r="AD5" s="761"/>
      <c r="AE5" s="761"/>
      <c r="AF5" s="761"/>
      <c r="AG5" s="761"/>
      <c r="AH5" s="761"/>
      <c r="AI5" s="761"/>
      <c r="AJ5" s="761"/>
      <c r="AK5" s="761"/>
      <c r="AL5" s="761"/>
      <c r="AM5" s="761"/>
      <c r="AN5" s="781"/>
      <c r="AO5" s="781"/>
      <c r="AP5" s="781"/>
      <c r="AQ5" s="781"/>
      <c r="AR5" s="761"/>
      <c r="AS5" s="781"/>
      <c r="AT5" s="781"/>
      <c r="AU5" s="781"/>
      <c r="AV5" s="781"/>
      <c r="AW5" s="761"/>
      <c r="AX5" s="781"/>
      <c r="AY5" s="781"/>
      <c r="AZ5" s="781"/>
      <c r="BA5" s="781"/>
      <c r="BB5" s="761"/>
      <c r="BC5" s="781"/>
      <c r="BD5" s="781"/>
      <c r="BE5" s="781"/>
      <c r="BF5" s="781"/>
      <c r="BG5" s="761"/>
      <c r="BH5" s="781"/>
      <c r="BI5" s="781"/>
      <c r="BJ5" s="781"/>
      <c r="BK5" s="781"/>
      <c r="BL5" s="761"/>
      <c r="BM5" s="781"/>
      <c r="BN5" s="781"/>
      <c r="BO5" s="781"/>
      <c r="BP5" s="781"/>
      <c r="BQ5" s="761"/>
      <c r="BR5" s="746"/>
      <c r="BS5" s="746"/>
      <c r="BT5" s="746"/>
      <c r="BU5" s="746"/>
      <c r="BV5" s="746"/>
      <c r="BW5" s="746"/>
      <c r="BX5" s="746"/>
      <c r="BY5" s="746"/>
      <c r="BZ5" s="746"/>
      <c r="CA5" s="746"/>
      <c r="CB5" s="746"/>
      <c r="CC5" s="746"/>
      <c r="CD5" s="746"/>
      <c r="CE5" s="746"/>
      <c r="CF5" s="746"/>
      <c r="CG5" s="746"/>
      <c r="CH5" s="746"/>
      <c r="CI5" s="746"/>
      <c r="CJ5" s="746"/>
      <c r="CK5" s="746"/>
      <c r="CM5" s="746"/>
      <c r="CN5" s="746"/>
      <c r="CO5" s="746"/>
      <c r="CP5" s="746"/>
      <c r="CQ5" s="746"/>
      <c r="CR5" s="746"/>
      <c r="CS5" s="746"/>
      <c r="CT5" s="746"/>
      <c r="CU5" s="746"/>
      <c r="CV5" s="1432"/>
      <c r="CW5" s="746"/>
      <c r="CX5" s="746"/>
      <c r="CY5" s="746"/>
      <c r="CZ5" s="746"/>
      <c r="DA5" s="1432"/>
      <c r="DB5" s="746"/>
      <c r="DC5" s="746"/>
      <c r="DD5" s="746"/>
      <c r="DE5" s="746"/>
      <c r="DF5" s="1432"/>
      <c r="DG5" s="746"/>
      <c r="DH5" s="746"/>
      <c r="DI5" s="746"/>
      <c r="DJ5" s="746"/>
      <c r="DK5" s="1432"/>
      <c r="DL5" s="746"/>
      <c r="DM5" s="746"/>
      <c r="DN5" s="746"/>
      <c r="DO5" s="746"/>
      <c r="DP5" s="746"/>
    </row>
    <row r="6" spans="1:141">
      <c r="B6" s="749" t="s">
        <v>473</v>
      </c>
      <c r="C6" s="749"/>
      <c r="D6" s="750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  <c r="U6" s="751"/>
      <c r="V6" s="751"/>
      <c r="W6" s="751"/>
      <c r="X6" s="751" t="s">
        <v>110</v>
      </c>
      <c r="Y6" s="751"/>
      <c r="Z6" s="751"/>
      <c r="AA6" s="751"/>
      <c r="AB6" s="751"/>
      <c r="AC6" s="751" t="s">
        <v>799</v>
      </c>
      <c r="AD6" s="751"/>
      <c r="AE6" s="751"/>
      <c r="AF6" s="751"/>
      <c r="AG6" s="751"/>
      <c r="AH6" s="751" t="s">
        <v>893</v>
      </c>
      <c r="AI6" s="751"/>
      <c r="AJ6" s="751"/>
      <c r="AK6" s="751"/>
      <c r="AL6" s="751"/>
      <c r="AM6" s="751" t="s">
        <v>948</v>
      </c>
      <c r="AN6" s="752"/>
      <c r="AO6" s="752"/>
      <c r="AP6" s="752"/>
      <c r="AQ6" s="752"/>
      <c r="AR6" s="751" t="s">
        <v>1009</v>
      </c>
      <c r="AS6" s="752"/>
      <c r="AT6" s="752"/>
      <c r="AU6" s="752"/>
      <c r="AV6" s="752"/>
      <c r="AW6" s="751" t="s">
        <v>1038</v>
      </c>
      <c r="AX6" s="752"/>
      <c r="AY6" s="752"/>
      <c r="AZ6" s="752"/>
      <c r="BA6" s="752"/>
      <c r="BB6" s="751" t="s">
        <v>136</v>
      </c>
      <c r="BC6" s="752"/>
      <c r="BD6" s="752"/>
      <c r="BE6" s="752"/>
      <c r="BF6" s="752"/>
      <c r="BG6" s="751" t="s">
        <v>913</v>
      </c>
      <c r="BH6" s="752"/>
      <c r="BI6" s="752"/>
      <c r="BJ6" s="752"/>
      <c r="BK6" s="752"/>
      <c r="BL6" s="751" t="s">
        <v>908</v>
      </c>
      <c r="BM6" s="752"/>
      <c r="BN6" s="752"/>
      <c r="BO6" s="752"/>
      <c r="BP6" s="752"/>
      <c r="BQ6" s="751" t="s">
        <v>992</v>
      </c>
      <c r="BT6" s="749" t="s">
        <v>634</v>
      </c>
      <c r="BU6" s="749"/>
      <c r="BV6" s="750"/>
      <c r="CB6" s="751" t="s">
        <v>635</v>
      </c>
      <c r="CC6" s="751"/>
      <c r="CD6" s="751"/>
      <c r="CE6" s="751"/>
      <c r="CF6" s="751"/>
      <c r="CG6" s="751" t="s">
        <v>636</v>
      </c>
      <c r="CH6" s="751"/>
      <c r="CI6" s="751"/>
      <c r="CJ6" s="751"/>
      <c r="CK6" s="751"/>
      <c r="CL6" s="751" t="s">
        <v>637</v>
      </c>
      <c r="CM6" s="751"/>
      <c r="CN6" s="751"/>
      <c r="CO6" s="751"/>
      <c r="CP6" s="751"/>
      <c r="CQ6" s="753"/>
      <c r="CR6" s="751"/>
      <c r="CS6" s="751"/>
      <c r="CT6" s="751"/>
      <c r="CU6" s="751"/>
      <c r="CV6" s="765"/>
      <c r="CW6" s="751"/>
      <c r="CX6" s="751"/>
      <c r="CY6" s="751"/>
      <c r="CZ6" s="751"/>
      <c r="DA6" s="765"/>
      <c r="DB6" s="751"/>
      <c r="DC6" s="751"/>
      <c r="DD6" s="751"/>
      <c r="DE6" s="751"/>
      <c r="DF6" s="765"/>
      <c r="DG6" s="751"/>
      <c r="DH6" s="751"/>
      <c r="DI6" s="751"/>
      <c r="DJ6" s="751"/>
      <c r="DK6" s="765"/>
      <c r="DL6" s="1432"/>
      <c r="DM6" s="1432"/>
      <c r="DN6" s="746"/>
      <c r="DO6" s="746"/>
      <c r="DP6" s="746"/>
      <c r="DQ6" s="1758" t="s">
        <v>934</v>
      </c>
      <c r="DR6"/>
      <c r="DS6"/>
      <c r="DT6" s="751">
        <v>2015</v>
      </c>
      <c r="DU6" s="1759">
        <f>+DT6+1</f>
        <v>2016</v>
      </c>
      <c r="DV6" s="1759">
        <f t="shared" ref="DV6:EK6" si="0">+DU6+1</f>
        <v>2017</v>
      </c>
      <c r="DW6" s="1759">
        <f t="shared" si="0"/>
        <v>2018</v>
      </c>
      <c r="DX6" s="1759">
        <f t="shared" si="0"/>
        <v>2019</v>
      </c>
      <c r="DY6" s="1759">
        <f t="shared" si="0"/>
        <v>2020</v>
      </c>
      <c r="DZ6" s="1759">
        <f t="shared" si="0"/>
        <v>2021</v>
      </c>
      <c r="EA6" s="1759">
        <f t="shared" si="0"/>
        <v>2022</v>
      </c>
      <c r="EB6" s="1759">
        <f t="shared" si="0"/>
        <v>2023</v>
      </c>
      <c r="EC6" s="1759">
        <f t="shared" si="0"/>
        <v>2024</v>
      </c>
      <c r="ED6" s="1759">
        <f t="shared" si="0"/>
        <v>2025</v>
      </c>
      <c r="EE6" s="1759">
        <f t="shared" si="0"/>
        <v>2026</v>
      </c>
      <c r="EF6" s="1759">
        <f t="shared" si="0"/>
        <v>2027</v>
      </c>
      <c r="EG6" s="1759">
        <f t="shared" si="0"/>
        <v>2028</v>
      </c>
      <c r="EH6" s="1759">
        <f t="shared" si="0"/>
        <v>2029</v>
      </c>
      <c r="EI6" s="1759">
        <f t="shared" si="0"/>
        <v>2030</v>
      </c>
      <c r="EJ6" s="1759">
        <f t="shared" si="0"/>
        <v>2031</v>
      </c>
      <c r="EK6" s="1759">
        <f t="shared" si="0"/>
        <v>2032</v>
      </c>
    </row>
    <row r="7" spans="1:141">
      <c r="C7" s="736" t="s">
        <v>474</v>
      </c>
      <c r="N7" s="754"/>
      <c r="S7" s="754"/>
      <c r="T7" s="754">
        <f>Financial!O9</f>
        <v>0</v>
      </c>
      <c r="U7" s="754">
        <f>Financial!P9</f>
        <v>0</v>
      </c>
      <c r="V7" s="754">
        <f>Financial!Q9</f>
        <v>0</v>
      </c>
      <c r="W7" s="754">
        <f>Financial!R9</f>
        <v>0</v>
      </c>
      <c r="X7" s="754">
        <f>Financial!X9</f>
        <v>5.5142704357404666</v>
      </c>
      <c r="Y7" s="754"/>
      <c r="Z7" s="754"/>
      <c r="AA7" s="754"/>
      <c r="AB7" s="754"/>
      <c r="AC7" s="754">
        <f>Financial!AC9</f>
        <v>4.8041892721302144</v>
      </c>
      <c r="AD7" s="754"/>
      <c r="AE7" s="754"/>
      <c r="AF7" s="754"/>
      <c r="AG7" s="754"/>
      <c r="AH7" s="754">
        <f>Financial!AH9</f>
        <v>4.6409454051299877</v>
      </c>
      <c r="AI7" s="754">
        <f>Financial!AD9</f>
        <v>0</v>
      </c>
      <c r="AJ7" s="754">
        <f>Financial!AE9</f>
        <v>0</v>
      </c>
      <c r="AK7" s="754">
        <f>Financial!AF9</f>
        <v>0</v>
      </c>
      <c r="AL7" s="754">
        <f>Financial!AG9</f>
        <v>0</v>
      </c>
      <c r="AM7" s="754">
        <f>Financial!AM9</f>
        <v>6.121761958369107</v>
      </c>
      <c r="AR7" s="754">
        <f>Financial!AR9</f>
        <v>6.3403908396011168</v>
      </c>
      <c r="AW7" s="754">
        <f>Financial!AW9</f>
        <v>5.2194330132457329</v>
      </c>
      <c r="BB7" s="754">
        <f>Financial!BB9</f>
        <v>5.7781115037731023</v>
      </c>
      <c r="BG7" s="754">
        <f>Financial!BG9</f>
        <v>6.1876549092590487</v>
      </c>
      <c r="BL7" s="754">
        <f>Financial!BL9</f>
        <v>6.5602326305227807</v>
      </c>
      <c r="BQ7" s="754">
        <f>Financial!BQ9</f>
        <v>6.9216476939154878</v>
      </c>
      <c r="BU7" s="736" t="s">
        <v>638</v>
      </c>
      <c r="CB7" s="1652" t="s">
        <v>913</v>
      </c>
      <c r="CC7" s="1652"/>
      <c r="CD7" s="1652"/>
      <c r="CE7" s="1652"/>
      <c r="CF7" s="1652"/>
      <c r="CG7" s="1652" t="s">
        <v>913</v>
      </c>
      <c r="CH7" s="1652"/>
      <c r="CI7" s="1652"/>
      <c r="CJ7" s="1652"/>
      <c r="CK7" s="1652"/>
      <c r="CL7" s="1652" t="s">
        <v>913</v>
      </c>
      <c r="CM7" s="755"/>
      <c r="CN7" s="755"/>
      <c r="CO7" s="755"/>
      <c r="CP7" s="755"/>
      <c r="CQ7" s="756"/>
      <c r="CR7" s="755"/>
      <c r="CS7" s="755"/>
      <c r="CT7" s="755"/>
      <c r="CU7" s="755"/>
      <c r="CW7" s="755"/>
      <c r="CX7" s="755"/>
      <c r="CY7" s="755"/>
      <c r="CZ7" s="755"/>
      <c r="DB7" s="755"/>
      <c r="DC7" s="755"/>
      <c r="DD7" s="755"/>
      <c r="DE7" s="755"/>
      <c r="DG7" s="755"/>
      <c r="DH7" s="755"/>
      <c r="DI7" s="755"/>
      <c r="DJ7" s="755"/>
      <c r="DL7" s="1433"/>
      <c r="DP7" s="757"/>
      <c r="DQ7" s="1760" t="s">
        <v>232</v>
      </c>
      <c r="DR7" s="1761"/>
      <c r="DS7"/>
      <c r="DT7" s="1762">
        <f>ETR!AM34</f>
        <v>-799.66099999999824</v>
      </c>
      <c r="DU7" s="1762">
        <f>ETR!AR34</f>
        <v>-1381.7619999999997</v>
      </c>
      <c r="DV7" s="1762">
        <f>ETR!AW34</f>
        <v>967.92300000000148</v>
      </c>
      <c r="DW7" s="1762">
        <f>ETR!BB34</f>
        <v>1504.5020420482892</v>
      </c>
      <c r="DX7" s="1762">
        <f>ETR!BG34</f>
        <v>1551.727301384537</v>
      </c>
      <c r="DY7" s="1762">
        <f>ETR!BL34</f>
        <v>1612.9510003456619</v>
      </c>
      <c r="DZ7" s="1762">
        <f>ETR!BQ34</f>
        <v>1564.7727832900807</v>
      </c>
      <c r="EA7" s="1763">
        <f>+DZ7</f>
        <v>1564.7727832900807</v>
      </c>
      <c r="EB7" s="1763">
        <f>+EA7</f>
        <v>1564.7727832900807</v>
      </c>
      <c r="EC7" s="1763">
        <f>+EB7</f>
        <v>1564.7727832900807</v>
      </c>
      <c r="ED7" s="1763">
        <f t="shared" ref="EB7:EK9" si="1">+EC7</f>
        <v>1564.7727832900807</v>
      </c>
      <c r="EE7" s="1763">
        <f t="shared" si="1"/>
        <v>1564.7727832900807</v>
      </c>
      <c r="EF7" s="1763">
        <f t="shared" si="1"/>
        <v>1564.7727832900807</v>
      </c>
      <c r="EG7" s="1763">
        <f t="shared" si="1"/>
        <v>1564.7727832900807</v>
      </c>
      <c r="EH7" s="1763">
        <f t="shared" si="1"/>
        <v>1564.7727832900807</v>
      </c>
      <c r="EI7" s="1763">
        <f t="shared" si="1"/>
        <v>1564.7727832900807</v>
      </c>
      <c r="EJ7" s="1763">
        <f t="shared" si="1"/>
        <v>1564.7727832900807</v>
      </c>
      <c r="EK7" s="1763">
        <f t="shared" si="1"/>
        <v>1564.7727832900807</v>
      </c>
    </row>
    <row r="8" spans="1:141">
      <c r="C8" s="736" t="s">
        <v>69</v>
      </c>
      <c r="N8" s="754"/>
      <c r="S8" s="754"/>
      <c r="T8" s="754">
        <f>Financial!O10</f>
        <v>0</v>
      </c>
      <c r="U8" s="754">
        <f>Financial!P10</f>
        <v>0</v>
      </c>
      <c r="V8" s="754">
        <f>Financial!Q10</f>
        <v>0</v>
      </c>
      <c r="W8" s="754">
        <f>Financial!R10</f>
        <v>0</v>
      </c>
      <c r="X8" s="754">
        <f>Financial!X10</f>
        <v>1.4849252604535221</v>
      </c>
      <c r="Y8" s="754"/>
      <c r="Z8" s="754"/>
      <c r="AA8" s="754"/>
      <c r="AB8" s="754"/>
      <c r="AC8" s="754">
        <f>Financial!AC10</f>
        <v>1.4710444732161656</v>
      </c>
      <c r="AD8" s="754"/>
      <c r="AE8" s="754"/>
      <c r="AF8" s="754"/>
      <c r="AG8" s="754"/>
      <c r="AH8" s="754">
        <f>Financial!AH10</f>
        <v>2.1860222377108753</v>
      </c>
      <c r="AI8" s="754">
        <f>Financial!AD10</f>
        <v>0</v>
      </c>
      <c r="AJ8" s="754">
        <f>Financial!AE10</f>
        <v>0</v>
      </c>
      <c r="AK8" s="754">
        <f>Financial!AF10</f>
        <v>0</v>
      </c>
      <c r="AL8" s="754">
        <f>Financial!AG10</f>
        <v>0</v>
      </c>
      <c r="AM8" s="754">
        <f>Financial!AM10</f>
        <v>1.0305824056383917</v>
      </c>
      <c r="AN8" s="758"/>
      <c r="AO8" s="758"/>
      <c r="AP8" s="758"/>
      <c r="AQ8" s="758"/>
      <c r="AR8" s="754">
        <f>Financial!AR10</f>
        <v>2.0123916025465602</v>
      </c>
      <c r="AS8" s="758"/>
      <c r="AT8" s="758"/>
      <c r="AU8" s="758"/>
      <c r="AV8" s="758"/>
      <c r="AW8" s="754">
        <f>Financial!AW10</f>
        <v>3.2435489157826356</v>
      </c>
      <c r="AX8" s="758"/>
      <c r="AY8" s="758"/>
      <c r="AZ8" s="758"/>
      <c r="BA8" s="758"/>
      <c r="BB8" s="754">
        <f>Financial!BB10</f>
        <v>1.4088481105915296</v>
      </c>
      <c r="BC8" s="758"/>
      <c r="BD8" s="758"/>
      <c r="BE8" s="758"/>
      <c r="BF8" s="758"/>
      <c r="BG8" s="754">
        <f>Financial!BG10</f>
        <v>0.70199487989637377</v>
      </c>
      <c r="BH8" s="758"/>
      <c r="BI8" s="758"/>
      <c r="BJ8" s="758"/>
      <c r="BK8" s="758"/>
      <c r="BL8" s="754">
        <f>Financial!BL10</f>
        <v>0.5985522181116647</v>
      </c>
      <c r="BM8" s="758"/>
      <c r="BN8" s="758"/>
      <c r="BO8" s="758"/>
      <c r="BP8" s="758"/>
      <c r="BQ8" s="754">
        <f>Financial!BQ10</f>
        <v>0.12052971082927283</v>
      </c>
      <c r="BR8" s="754"/>
      <c r="BU8" s="773" t="s">
        <v>474</v>
      </c>
      <c r="CB8" s="759"/>
      <c r="CC8" s="759"/>
      <c r="CD8" s="759"/>
      <c r="CE8" s="759"/>
      <c r="CF8" s="759"/>
      <c r="CG8" s="760"/>
      <c r="CH8" s="759"/>
      <c r="CI8" s="759"/>
      <c r="CJ8" s="759"/>
      <c r="CK8" s="759"/>
      <c r="CL8" s="759">
        <f>+(BG47*BG49*0.098)/BG55</f>
        <v>5.9371627812573005</v>
      </c>
      <c r="CM8" s="759"/>
      <c r="CN8" s="759"/>
      <c r="CO8" s="759"/>
      <c r="CP8" s="759"/>
      <c r="CQ8" s="761"/>
      <c r="CR8" s="759"/>
      <c r="CS8" s="759"/>
      <c r="CT8" s="759"/>
      <c r="CU8" s="759"/>
      <c r="CW8" s="759"/>
      <c r="CX8" s="759"/>
      <c r="CY8" s="759"/>
      <c r="CZ8" s="759"/>
      <c r="DB8" s="759"/>
      <c r="DC8" s="759"/>
      <c r="DD8" s="759"/>
      <c r="DE8" s="759"/>
      <c r="DG8" s="759"/>
      <c r="DH8" s="759"/>
      <c r="DI8" s="759"/>
      <c r="DJ8" s="759"/>
      <c r="DL8" s="93"/>
      <c r="DP8" s="762"/>
      <c r="DQ8" t="s">
        <v>382</v>
      </c>
      <c r="DR8"/>
      <c r="DS8"/>
      <c r="DT8" s="1764">
        <f>ETR!AM99</f>
        <v>0.75499108116899671</v>
      </c>
      <c r="DU8" s="1764">
        <f>ETR!AW99</f>
        <v>0.62161806068729952</v>
      </c>
      <c r="DV8" s="1764">
        <f>+DU8</f>
        <v>0.62161806068729952</v>
      </c>
      <c r="DW8" s="1764">
        <f t="shared" ref="DW8:EI8" si="2">+DV8</f>
        <v>0.62161806068729952</v>
      </c>
      <c r="DX8" s="1764">
        <f t="shared" si="2"/>
        <v>0.62161806068729952</v>
      </c>
      <c r="DY8" s="1764">
        <f t="shared" si="2"/>
        <v>0.62161806068729952</v>
      </c>
      <c r="DZ8" s="1764">
        <f t="shared" si="2"/>
        <v>0.62161806068729952</v>
      </c>
      <c r="EA8" s="1764">
        <f t="shared" si="2"/>
        <v>0.62161806068729952</v>
      </c>
      <c r="EB8" s="1764">
        <f t="shared" si="2"/>
        <v>0.62161806068729952</v>
      </c>
      <c r="EC8" s="1764">
        <f t="shared" si="2"/>
        <v>0.62161806068729952</v>
      </c>
      <c r="ED8" s="1764">
        <f t="shared" si="2"/>
        <v>0.62161806068729952</v>
      </c>
      <c r="EE8" s="1764">
        <f t="shared" si="2"/>
        <v>0.62161806068729952</v>
      </c>
      <c r="EF8" s="1764">
        <f t="shared" si="2"/>
        <v>0.62161806068729952</v>
      </c>
      <c r="EG8" s="1764">
        <f t="shared" si="2"/>
        <v>0.62161806068729952</v>
      </c>
      <c r="EH8" s="1764">
        <f t="shared" si="2"/>
        <v>0.62161806068729952</v>
      </c>
      <c r="EI8" s="1764">
        <f t="shared" si="2"/>
        <v>0.62161806068729952</v>
      </c>
      <c r="EJ8" s="1764">
        <f t="shared" si="1"/>
        <v>0.62161806068729952</v>
      </c>
      <c r="EK8" s="1764">
        <f t="shared" si="1"/>
        <v>0.62161806068729952</v>
      </c>
    </row>
    <row r="9" spans="1:141">
      <c r="C9" s="736" t="s">
        <v>475</v>
      </c>
      <c r="N9" s="754"/>
      <c r="S9" s="754"/>
      <c r="T9" s="754">
        <f>Financial!O11</f>
        <v>0</v>
      </c>
      <c r="U9" s="754">
        <f>Financial!P11</f>
        <v>0</v>
      </c>
      <c r="V9" s="754">
        <f>Financial!Q11</f>
        <v>0</v>
      </c>
      <c r="W9" s="754">
        <f>Financial!R11</f>
        <v>0</v>
      </c>
      <c r="X9" s="754">
        <f>Financial!X11</f>
        <v>-0.76374963278022256</v>
      </c>
      <c r="Y9" s="754"/>
      <c r="Z9" s="754"/>
      <c r="AA9" s="754"/>
      <c r="AB9" s="754"/>
      <c r="AC9" s="754">
        <f>Financial!AC11</f>
        <v>-0.915431672886442</v>
      </c>
      <c r="AD9" s="754"/>
      <c r="AE9" s="754"/>
      <c r="AF9" s="754"/>
      <c r="AG9" s="754"/>
      <c r="AH9" s="754">
        <f>Financial!AH11</f>
        <v>-1.0025686245217114</v>
      </c>
      <c r="AI9" s="754">
        <f>Financial!AD11</f>
        <v>0</v>
      </c>
      <c r="AJ9" s="754">
        <f>Financial!AE11</f>
        <v>0</v>
      </c>
      <c r="AK9" s="754">
        <f>Financial!AF11</f>
        <v>0</v>
      </c>
      <c r="AL9" s="754">
        <f>Financial!AG11</f>
        <v>0</v>
      </c>
      <c r="AM9" s="754">
        <f>Financial!AM11</f>
        <v>-1.1479918700880347</v>
      </c>
      <c r="AN9" s="763"/>
      <c r="AO9" s="763"/>
      <c r="AP9" s="763"/>
      <c r="AQ9" s="763"/>
      <c r="AR9" s="754">
        <f>Financial!AR11</f>
        <v>-1.2438727620760597</v>
      </c>
      <c r="AS9" s="763"/>
      <c r="AT9" s="763"/>
      <c r="AU9" s="763"/>
      <c r="AV9" s="763"/>
      <c r="AW9" s="754">
        <f>Financial!AW11</f>
        <v>-1.2610234796910997</v>
      </c>
      <c r="AX9" s="763"/>
      <c r="AY9" s="763"/>
      <c r="AZ9" s="763"/>
      <c r="BA9" s="763"/>
      <c r="BB9" s="754">
        <f>Financial!BB11</f>
        <v>-1.2655521344746368</v>
      </c>
      <c r="BC9" s="763"/>
      <c r="BD9" s="763"/>
      <c r="BE9" s="763"/>
      <c r="BF9" s="763"/>
      <c r="BG9" s="754">
        <f>Financial!BG11</f>
        <v>-1.3752437781102769</v>
      </c>
      <c r="BH9" s="763"/>
      <c r="BI9" s="763"/>
      <c r="BJ9" s="763"/>
      <c r="BK9" s="763"/>
      <c r="BL9" s="754">
        <f>Financial!BL11</f>
        <v>-1.4528047240968656</v>
      </c>
      <c r="BM9" s="763"/>
      <c r="BN9" s="763"/>
      <c r="BO9" s="763"/>
      <c r="BP9" s="763"/>
      <c r="BQ9" s="754">
        <f>Financial!BQ11</f>
        <v>-1.4849686643779094</v>
      </c>
      <c r="BU9" s="773" t="s">
        <v>221</v>
      </c>
      <c r="CB9" s="754"/>
      <c r="CG9" s="754"/>
      <c r="CL9" s="754">
        <f>+BG53/BG55</f>
        <v>-0.78804358888556991</v>
      </c>
      <c r="CV9" s="754"/>
      <c r="DA9" s="754"/>
      <c r="DF9" s="754"/>
      <c r="DK9" s="754"/>
      <c r="DL9" s="754"/>
      <c r="DP9" s="762"/>
      <c r="DQ9" t="s">
        <v>935</v>
      </c>
      <c r="DR9"/>
      <c r="DS9"/>
      <c r="DT9" s="1765">
        <v>0.05</v>
      </c>
      <c r="DU9" s="1765">
        <v>0.05</v>
      </c>
      <c r="DV9" s="1764">
        <f>+DU9</f>
        <v>0.05</v>
      </c>
      <c r="DW9" s="1764">
        <f>+DV9</f>
        <v>0.05</v>
      </c>
      <c r="DX9" s="1764">
        <f>+DW9</f>
        <v>0.05</v>
      </c>
      <c r="DY9" s="1764">
        <f>+DX9</f>
        <v>0.05</v>
      </c>
      <c r="DZ9" s="1764">
        <f>+DY9</f>
        <v>0.05</v>
      </c>
      <c r="EA9" s="1764">
        <f>+DZ9</f>
        <v>0.05</v>
      </c>
      <c r="EB9" s="1764">
        <f t="shared" si="1"/>
        <v>0.05</v>
      </c>
      <c r="EC9" s="1764">
        <f t="shared" si="1"/>
        <v>0.05</v>
      </c>
      <c r="ED9" s="1764">
        <f t="shared" si="1"/>
        <v>0.05</v>
      </c>
      <c r="EE9" s="1764">
        <f t="shared" si="1"/>
        <v>0.05</v>
      </c>
      <c r="EF9" s="1764">
        <f t="shared" si="1"/>
        <v>0.05</v>
      </c>
      <c r="EG9" s="1764">
        <f t="shared" si="1"/>
        <v>0.05</v>
      </c>
      <c r="EH9" s="1764">
        <f t="shared" si="1"/>
        <v>0.05</v>
      </c>
      <c r="EI9" s="1764">
        <f t="shared" si="1"/>
        <v>0.05</v>
      </c>
      <c r="EJ9" s="1764">
        <f t="shared" si="1"/>
        <v>0.05</v>
      </c>
      <c r="EK9" s="1764">
        <f t="shared" si="1"/>
        <v>0.05</v>
      </c>
    </row>
    <row r="10" spans="1:141" collapsed="1">
      <c r="C10" s="765" t="s">
        <v>70</v>
      </c>
      <c r="D10" s="765"/>
      <c r="E10" s="765"/>
      <c r="F10" s="765"/>
      <c r="G10" s="765"/>
      <c r="H10" s="765"/>
      <c r="I10" s="765"/>
      <c r="J10" s="765"/>
      <c r="K10" s="765"/>
      <c r="L10" s="765"/>
      <c r="M10" s="765"/>
      <c r="N10" s="766"/>
      <c r="O10" s="766"/>
      <c r="P10" s="766"/>
      <c r="Q10" s="766"/>
      <c r="R10" s="766"/>
      <c r="S10" s="766"/>
      <c r="T10" s="766"/>
      <c r="U10" s="766"/>
      <c r="V10" s="766"/>
      <c r="W10" s="766"/>
      <c r="X10" s="766">
        <f>SUM(X7:X9)</f>
        <v>6.2354460634137663</v>
      </c>
      <c r="Y10" s="766"/>
      <c r="Z10" s="766"/>
      <c r="AA10" s="766"/>
      <c r="AB10" s="766"/>
      <c r="AC10" s="766">
        <f>SUM(AC7:AC9)</f>
        <v>5.3598020724599387</v>
      </c>
      <c r="AD10" s="766"/>
      <c r="AE10" s="766"/>
      <c r="AF10" s="766"/>
      <c r="AG10" s="766"/>
      <c r="AH10" s="766">
        <f>SUM(AH7:AH9)</f>
        <v>5.8243990183191521</v>
      </c>
      <c r="AI10" s="766"/>
      <c r="AJ10" s="766"/>
      <c r="AK10" s="766"/>
      <c r="AL10" s="766"/>
      <c r="AM10" s="766">
        <f>SUM(AM7:AM9)</f>
        <v>6.0043524939194644</v>
      </c>
      <c r="AN10" s="767"/>
      <c r="AO10" s="767"/>
      <c r="AP10" s="767"/>
      <c r="AQ10" s="767"/>
      <c r="AR10" s="766">
        <f>SUM(AR7:AR9)</f>
        <v>7.1089096800716183</v>
      </c>
      <c r="AS10" s="767"/>
      <c r="AT10" s="767"/>
      <c r="AU10" s="767"/>
      <c r="AV10" s="767"/>
      <c r="AW10" s="766">
        <f>SUM(AW7:AW9)</f>
        <v>7.2019584493372681</v>
      </c>
      <c r="AX10" s="767"/>
      <c r="AY10" s="767"/>
      <c r="AZ10" s="767"/>
      <c r="BA10" s="767"/>
      <c r="BB10" s="766">
        <f>SUM(BB7:BB9)</f>
        <v>5.9214074798899947</v>
      </c>
      <c r="BC10" s="767"/>
      <c r="BD10" s="767"/>
      <c r="BE10" s="767"/>
      <c r="BF10" s="767"/>
      <c r="BG10" s="766">
        <f>SUM(BG7:BG9)</f>
        <v>5.5144060110451454</v>
      </c>
      <c r="BH10" s="767"/>
      <c r="BI10" s="767"/>
      <c r="BJ10" s="767"/>
      <c r="BK10" s="767"/>
      <c r="BL10" s="766">
        <f>SUM(BL7:BL9)</f>
        <v>5.7059801245375796</v>
      </c>
      <c r="BM10" s="767"/>
      <c r="BN10" s="767"/>
      <c r="BO10" s="767"/>
      <c r="BP10" s="767"/>
      <c r="BQ10" s="766">
        <f>SUM(BQ7:BQ9)</f>
        <v>5.5572087403668515</v>
      </c>
      <c r="BU10" s="765" t="s">
        <v>222</v>
      </c>
      <c r="CB10" s="2020">
        <v>4.4874999999999998</v>
      </c>
      <c r="CG10" s="780">
        <f>+BG7+BG9</f>
        <v>4.8124111311487718</v>
      </c>
      <c r="CL10" s="780">
        <f>+CL9+CL8</f>
        <v>5.1491191923717308</v>
      </c>
      <c r="CM10" s="768"/>
      <c r="CN10" s="768"/>
      <c r="CO10" s="768"/>
      <c r="CP10" s="768"/>
      <c r="CR10" s="768"/>
      <c r="CS10" s="768"/>
      <c r="CT10" s="768"/>
      <c r="CU10" s="768"/>
      <c r="CV10" s="761"/>
      <c r="CW10" s="768"/>
      <c r="CX10" s="768"/>
      <c r="CY10" s="768"/>
      <c r="CZ10" s="768"/>
      <c r="DA10" s="761"/>
      <c r="DB10" s="768"/>
      <c r="DC10" s="768"/>
      <c r="DD10" s="768"/>
      <c r="DE10" s="768"/>
      <c r="DF10" s="761"/>
      <c r="DG10" s="768"/>
      <c r="DH10" s="768"/>
      <c r="DI10" s="768"/>
      <c r="DJ10" s="768"/>
      <c r="DK10" s="761"/>
      <c r="DL10" s="770"/>
      <c r="DQ10" s="1595" t="s">
        <v>936</v>
      </c>
      <c r="DR10"/>
      <c r="DS10"/>
      <c r="DT10" s="1766">
        <f t="shared" ref="DT10:EK10" si="3">+DT8-DT9</f>
        <v>0.70499108116899667</v>
      </c>
      <c r="DU10" s="1766">
        <f t="shared" si="3"/>
        <v>0.57161806068729948</v>
      </c>
      <c r="DV10" s="1766">
        <f t="shared" si="3"/>
        <v>0.57161806068729948</v>
      </c>
      <c r="DW10" s="1766">
        <f t="shared" si="3"/>
        <v>0.57161806068729948</v>
      </c>
      <c r="DX10" s="1766">
        <f t="shared" si="3"/>
        <v>0.57161806068729948</v>
      </c>
      <c r="DY10" s="1766">
        <f t="shared" si="3"/>
        <v>0.57161806068729948</v>
      </c>
      <c r="DZ10" s="1766">
        <f t="shared" ref="DZ10" si="4">+DZ8-DZ9</f>
        <v>0.57161806068729948</v>
      </c>
      <c r="EA10" s="1766">
        <f t="shared" si="3"/>
        <v>0.57161806068729948</v>
      </c>
      <c r="EB10" s="1766">
        <f t="shared" si="3"/>
        <v>0.57161806068729948</v>
      </c>
      <c r="EC10" s="1766">
        <f t="shared" si="3"/>
        <v>0.57161806068729948</v>
      </c>
      <c r="ED10" s="1766">
        <f t="shared" si="3"/>
        <v>0.57161806068729948</v>
      </c>
      <c r="EE10" s="1766">
        <f t="shared" si="3"/>
        <v>0.57161806068729948</v>
      </c>
      <c r="EF10" s="1766">
        <f t="shared" si="3"/>
        <v>0.57161806068729948</v>
      </c>
      <c r="EG10" s="1766">
        <f t="shared" si="3"/>
        <v>0.57161806068729948</v>
      </c>
      <c r="EH10" s="1766">
        <f t="shared" si="3"/>
        <v>0.57161806068729948</v>
      </c>
      <c r="EI10" s="1766">
        <f t="shared" si="3"/>
        <v>0.57161806068729948</v>
      </c>
      <c r="EJ10" s="1766">
        <f t="shared" si="3"/>
        <v>0.57161806068729948</v>
      </c>
      <c r="EK10" s="1766">
        <f t="shared" si="3"/>
        <v>0.57161806068729948</v>
      </c>
    </row>
    <row r="11" spans="1:141">
      <c r="C11" s="771" t="s">
        <v>476</v>
      </c>
      <c r="X11" s="772"/>
      <c r="Y11" s="773"/>
      <c r="Z11" s="773"/>
      <c r="AA11" s="773"/>
      <c r="AB11" s="773"/>
      <c r="AC11" s="1400"/>
      <c r="AD11" s="1401"/>
      <c r="AE11" s="1401"/>
      <c r="AF11" s="1401"/>
      <c r="AG11" s="1401"/>
      <c r="AH11" s="1400"/>
      <c r="AI11" s="1401">
        <v>5.4009999999999998</v>
      </c>
      <c r="AJ11" s="1401">
        <v>5.633</v>
      </c>
      <c r="AK11" s="1401"/>
      <c r="AL11" s="1401"/>
      <c r="AM11" s="1400"/>
      <c r="AN11" s="1402"/>
      <c r="AO11" s="1402"/>
      <c r="AP11" s="1402"/>
      <c r="AQ11" s="1402"/>
      <c r="AR11" s="1904" t="s">
        <v>1003</v>
      </c>
      <c r="AS11">
        <v>3.7240000000000002</v>
      </c>
      <c r="AT11">
        <v>3.923</v>
      </c>
      <c r="AU11"/>
      <c r="AV11"/>
      <c r="AW11" s="1904" t="s">
        <v>1004</v>
      </c>
      <c r="AX11" s="1904"/>
      <c r="AY11" s="1904"/>
      <c r="AZ11" s="1904"/>
      <c r="BA11" s="1904"/>
      <c r="BB11" s="1904" t="s">
        <v>1005</v>
      </c>
      <c r="BC11" s="1904"/>
      <c r="BD11" s="1904"/>
      <c r="BE11" s="1904"/>
      <c r="BF11" s="1904"/>
      <c r="BG11" s="1904" t="s">
        <v>1006</v>
      </c>
      <c r="BH11" s="1402"/>
      <c r="BI11" s="1402"/>
      <c r="BJ11" s="1402"/>
      <c r="BK11" s="1402"/>
      <c r="BL11" s="1904" t="s">
        <v>1007</v>
      </c>
      <c r="BM11" s="1975"/>
      <c r="BN11" s="1975"/>
      <c r="BO11" s="1975"/>
      <c r="BP11" s="1975"/>
      <c r="BQ11" s="1904"/>
      <c r="CM11" s="775"/>
      <c r="CN11" s="775"/>
      <c r="CO11" s="775"/>
      <c r="CP11" s="775"/>
      <c r="CR11" s="775"/>
      <c r="CS11" s="775"/>
      <c r="CT11" s="775"/>
      <c r="CU11" s="775"/>
      <c r="CW11" s="775"/>
      <c r="CX11" s="775"/>
      <c r="CY11" s="775"/>
      <c r="CZ11" s="775"/>
      <c r="DB11" s="775"/>
      <c r="DC11" s="775"/>
      <c r="DD11" s="775"/>
      <c r="DE11" s="775"/>
      <c r="DG11" s="775"/>
      <c r="DH11" s="775"/>
      <c r="DI11" s="775"/>
      <c r="DJ11" s="775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</row>
    <row r="12" spans="1:141">
      <c r="AC12" s="1584"/>
      <c r="AD12" s="761"/>
      <c r="AE12" s="761"/>
      <c r="AF12" s="761"/>
      <c r="AG12" s="761"/>
      <c r="AH12" s="1584"/>
      <c r="AI12" s="761"/>
      <c r="AJ12" s="761"/>
      <c r="AK12" s="761"/>
      <c r="AL12" s="761"/>
      <c r="AM12" s="1430"/>
      <c r="AN12" s="778"/>
      <c r="AO12" s="778"/>
      <c r="AP12" s="778"/>
      <c r="AQ12" s="778"/>
      <c r="AR12" s="766"/>
      <c r="AS12" s="767"/>
      <c r="AT12" s="767"/>
      <c r="AU12" s="767"/>
      <c r="AV12" s="767"/>
      <c r="AW12" s="766"/>
      <c r="AX12" s="767"/>
      <c r="AY12" s="767"/>
      <c r="AZ12" s="767"/>
      <c r="BA12" s="767"/>
      <c r="BB12" s="766"/>
      <c r="BC12" s="767"/>
      <c r="BD12" s="767"/>
      <c r="BE12" s="767"/>
      <c r="BF12" s="767"/>
      <c r="BG12" s="766"/>
      <c r="BH12" s="767"/>
      <c r="BI12" s="767"/>
      <c r="BJ12" s="767"/>
      <c r="BK12" s="767"/>
      <c r="BL12" s="766"/>
      <c r="BM12" s="767"/>
      <c r="BN12" s="767"/>
      <c r="BO12" s="767"/>
      <c r="BP12" s="767"/>
      <c r="BQ12" s="766"/>
      <c r="BT12" s="765"/>
      <c r="BU12" s="736" t="s">
        <v>632</v>
      </c>
      <c r="CB12" s="768">
        <f>+CG12</f>
        <v>17.600000000000001</v>
      </c>
      <c r="CC12" s="768"/>
      <c r="CD12" s="768"/>
      <c r="CE12" s="768"/>
      <c r="CF12" s="768"/>
      <c r="CG12" s="769">
        <f>BG58</f>
        <v>17.600000000000001</v>
      </c>
      <c r="CH12" s="768"/>
      <c r="CI12" s="768"/>
      <c r="CJ12" s="768"/>
      <c r="CK12" s="768"/>
      <c r="CL12" s="769">
        <f>+CG12</f>
        <v>17.600000000000001</v>
      </c>
      <c r="CM12" s="769"/>
      <c r="CN12" s="769"/>
      <c r="CO12" s="769"/>
      <c r="CP12" s="769"/>
      <c r="CR12" s="769"/>
      <c r="CS12" s="769"/>
      <c r="CT12" s="769"/>
      <c r="CU12" s="769"/>
      <c r="CV12" s="761"/>
      <c r="CW12" s="769"/>
      <c r="CX12" s="769"/>
      <c r="CY12" s="769"/>
      <c r="CZ12" s="769"/>
      <c r="DB12" s="769"/>
      <c r="DC12" s="769"/>
      <c r="DD12" s="769"/>
      <c r="DE12" s="769"/>
      <c r="DG12" s="769"/>
      <c r="DH12" s="769"/>
      <c r="DI12" s="769"/>
      <c r="DJ12" s="769"/>
      <c r="DQ12" s="1595" t="s">
        <v>340</v>
      </c>
      <c r="DR12"/>
      <c r="DS12"/>
      <c r="DT12" s="39">
        <f>DT9*DT7</f>
        <v>-39.983049999999913</v>
      </c>
      <c r="DU12" s="39">
        <f>DU9*DU7</f>
        <v>-69.088099999999983</v>
      </c>
      <c r="DV12" s="39">
        <f>DV9*DV7</f>
        <v>48.396150000000077</v>
      </c>
      <c r="DW12" s="39">
        <f t="shared" ref="DW12:EK12" si="5">DW9*DW7</f>
        <v>75.225102102414468</v>
      </c>
      <c r="DX12" s="39">
        <f t="shared" si="5"/>
        <v>77.586365069226858</v>
      </c>
      <c r="DY12" s="39">
        <f t="shared" si="5"/>
        <v>80.647550017283095</v>
      </c>
      <c r="DZ12" s="39">
        <f t="shared" ref="DZ12" si="6">DZ9*DZ7</f>
        <v>78.238639164504036</v>
      </c>
      <c r="EA12" s="39">
        <f t="shared" si="5"/>
        <v>78.238639164504036</v>
      </c>
      <c r="EB12" s="39">
        <f t="shared" si="5"/>
        <v>78.238639164504036</v>
      </c>
      <c r="EC12" s="39">
        <f t="shared" si="5"/>
        <v>78.238639164504036</v>
      </c>
      <c r="ED12" s="39">
        <f t="shared" si="5"/>
        <v>78.238639164504036</v>
      </c>
      <c r="EE12" s="39">
        <f t="shared" si="5"/>
        <v>78.238639164504036</v>
      </c>
      <c r="EF12" s="39">
        <f t="shared" si="5"/>
        <v>78.238639164504036</v>
      </c>
      <c r="EG12" s="39">
        <f t="shared" si="5"/>
        <v>78.238639164504036</v>
      </c>
      <c r="EH12" s="39">
        <f t="shared" si="5"/>
        <v>78.238639164504036</v>
      </c>
      <c r="EI12" s="39">
        <f t="shared" si="5"/>
        <v>78.238639164504036</v>
      </c>
      <c r="EJ12" s="39">
        <f t="shared" si="5"/>
        <v>78.238639164504036</v>
      </c>
      <c r="EK12" s="39">
        <f t="shared" si="5"/>
        <v>78.238639164504036</v>
      </c>
    </row>
    <row r="13" spans="1:141" collapsed="1">
      <c r="C13" s="736" t="s">
        <v>632</v>
      </c>
      <c r="J13" s="776"/>
      <c r="K13" s="776"/>
      <c r="L13" s="776"/>
      <c r="M13" s="776"/>
      <c r="N13" s="776"/>
      <c r="O13" s="776"/>
      <c r="P13" s="776"/>
      <c r="Q13" s="776"/>
      <c r="R13" s="776"/>
      <c r="S13" s="777"/>
      <c r="T13" s="776"/>
      <c r="U13" s="776"/>
      <c r="V13" s="776"/>
      <c r="W13" s="776"/>
      <c r="X13" s="777"/>
      <c r="Y13" s="776"/>
      <c r="Z13" s="776"/>
      <c r="AA13" s="776"/>
      <c r="AB13" s="776"/>
      <c r="AC13" s="1585"/>
      <c r="AD13" s="776"/>
      <c r="AE13" s="776"/>
      <c r="AF13" s="776"/>
      <c r="AG13" s="776"/>
      <c r="AH13" s="777"/>
      <c r="AI13" s="779"/>
      <c r="AJ13" s="779"/>
      <c r="AK13" s="779"/>
      <c r="AL13" s="779"/>
      <c r="AM13" s="777">
        <v>13.3</v>
      </c>
      <c r="AR13" s="777">
        <v>13.3</v>
      </c>
      <c r="AS13" s="777">
        <v>13.3</v>
      </c>
      <c r="AT13" s="777">
        <v>13.3</v>
      </c>
      <c r="AU13" s="777">
        <v>13.3</v>
      </c>
      <c r="AV13" s="777">
        <v>13.3</v>
      </c>
      <c r="AW13" s="777">
        <v>13.3</v>
      </c>
      <c r="AX13" s="777">
        <v>13.3</v>
      </c>
      <c r="AY13" s="777">
        <v>13.3</v>
      </c>
      <c r="AZ13" s="777">
        <v>13.3</v>
      </c>
      <c r="BA13" s="777">
        <v>13.3</v>
      </c>
      <c r="BB13" s="777">
        <v>13.3</v>
      </c>
      <c r="BC13" s="777">
        <v>13.3</v>
      </c>
      <c r="BD13" s="777">
        <v>13.3</v>
      </c>
      <c r="BE13" s="777">
        <v>13.3</v>
      </c>
      <c r="BF13" s="777">
        <v>13.3</v>
      </c>
      <c r="BG13" s="777">
        <v>13.3</v>
      </c>
      <c r="BH13" s="777">
        <v>13.3</v>
      </c>
      <c r="BI13" s="777">
        <v>13.3</v>
      </c>
      <c r="BJ13" s="777">
        <v>13.3</v>
      </c>
      <c r="BK13" s="777">
        <v>13.3</v>
      </c>
      <c r="BL13" s="777">
        <v>13.3</v>
      </c>
      <c r="BM13" s="777">
        <v>13.3</v>
      </c>
      <c r="BN13" s="777">
        <v>13.3</v>
      </c>
      <c r="BO13" s="777">
        <v>13.3</v>
      </c>
      <c r="BP13" s="777">
        <v>13.3</v>
      </c>
      <c r="BQ13" s="777">
        <v>13.3</v>
      </c>
      <c r="BT13" s="765"/>
      <c r="BU13" s="736" t="s">
        <v>477</v>
      </c>
      <c r="CB13" s="775">
        <v>-0.1</v>
      </c>
      <c r="CC13" s="775"/>
      <c r="CD13" s="775"/>
      <c r="CE13" s="775"/>
      <c r="CF13" s="775"/>
      <c r="CG13" s="775">
        <v>-0.05</v>
      </c>
      <c r="CH13" s="775"/>
      <c r="CI13" s="775"/>
      <c r="CJ13" s="775"/>
      <c r="CK13" s="775"/>
      <c r="CL13" s="775">
        <v>-0.05</v>
      </c>
      <c r="CM13" s="780"/>
      <c r="CN13" s="780"/>
      <c r="CO13" s="780"/>
      <c r="CP13" s="780"/>
      <c r="CR13" s="780"/>
      <c r="CS13" s="780"/>
      <c r="CT13" s="780"/>
      <c r="CU13" s="780"/>
      <c r="CV13" s="761"/>
      <c r="CW13" s="780"/>
      <c r="CX13" s="780"/>
      <c r="CY13" s="780"/>
      <c r="CZ13" s="780"/>
      <c r="DB13" s="780"/>
      <c r="DC13" s="780"/>
      <c r="DD13" s="780"/>
      <c r="DE13" s="780"/>
      <c r="DG13" s="780"/>
      <c r="DH13" s="780"/>
      <c r="DI13" s="780"/>
      <c r="DJ13" s="780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</row>
    <row r="14" spans="1:141">
      <c r="C14" s="736" t="s">
        <v>477</v>
      </c>
      <c r="J14" s="779"/>
      <c r="K14" s="779"/>
      <c r="L14" s="779"/>
      <c r="M14" s="779"/>
      <c r="N14" s="779"/>
      <c r="O14" s="779"/>
      <c r="P14" s="779"/>
      <c r="Q14" s="779"/>
      <c r="R14" s="779"/>
      <c r="S14" s="775"/>
      <c r="T14" s="779"/>
      <c r="U14" s="779"/>
      <c r="V14" s="779"/>
      <c r="W14" s="779"/>
      <c r="X14" s="775"/>
      <c r="Y14" s="779"/>
      <c r="Z14" s="779"/>
      <c r="AA14" s="779"/>
      <c r="AB14" s="779"/>
      <c r="AC14" s="775"/>
      <c r="AD14" s="779"/>
      <c r="AE14" s="779"/>
      <c r="AF14" s="779"/>
      <c r="AG14" s="779"/>
      <c r="AH14" s="775"/>
      <c r="AI14" s="769"/>
      <c r="AJ14" s="769"/>
      <c r="AK14" s="769"/>
      <c r="AL14" s="769"/>
      <c r="AM14" s="775">
        <v>-0.05</v>
      </c>
      <c r="AN14" s="781"/>
      <c r="AO14" s="781"/>
      <c r="AP14" s="781"/>
      <c r="AQ14" s="781"/>
      <c r="AR14" s="775">
        <v>-0.05</v>
      </c>
      <c r="AS14" s="781"/>
      <c r="AT14" s="781"/>
      <c r="AU14" s="781"/>
      <c r="AV14" s="781"/>
      <c r="AW14" s="775">
        <v>-0.05</v>
      </c>
      <c r="AX14" s="781"/>
      <c r="AY14" s="781"/>
      <c r="AZ14" s="781"/>
      <c r="BA14" s="781"/>
      <c r="BB14" s="775">
        <v>-0.05</v>
      </c>
      <c r="BC14" s="781"/>
      <c r="BD14" s="781"/>
      <c r="BE14" s="781"/>
      <c r="BF14" s="781"/>
      <c r="BG14" s="775">
        <v>-0.05</v>
      </c>
      <c r="BH14" s="781"/>
      <c r="BI14" s="781"/>
      <c r="BJ14" s="781"/>
      <c r="BK14" s="781"/>
      <c r="BL14" s="775">
        <v>-0.05</v>
      </c>
      <c r="BM14" s="781"/>
      <c r="BN14" s="781"/>
      <c r="BO14" s="781"/>
      <c r="BP14" s="781"/>
      <c r="BQ14" s="775">
        <v>-0.05</v>
      </c>
      <c r="BT14" s="765"/>
      <c r="BU14" s="736" t="s">
        <v>478</v>
      </c>
      <c r="CB14" s="769">
        <f>+CB12*(1+CB13)</f>
        <v>15.840000000000002</v>
      </c>
      <c r="CC14" s="769"/>
      <c r="CD14" s="769"/>
      <c r="CE14" s="769"/>
      <c r="CF14" s="769"/>
      <c r="CG14" s="769">
        <f>+CG12*(1+CG13)</f>
        <v>16.72</v>
      </c>
      <c r="CH14" s="769"/>
      <c r="CI14" s="769"/>
      <c r="CJ14" s="769"/>
      <c r="CK14" s="769"/>
      <c r="CL14" s="769">
        <f>+CL12*(1+CL13)</f>
        <v>16.72</v>
      </c>
      <c r="CQ14" s="782"/>
      <c r="DL14" s="770"/>
      <c r="DM14" s="1444"/>
      <c r="DQ14" s="1767" t="s">
        <v>937</v>
      </c>
      <c r="DR14" s="787"/>
      <c r="DS14" s="99">
        <f>(1900)*0.35</f>
        <v>665</v>
      </c>
      <c r="DT14" s="1925">
        <f>3600*0.35</f>
        <v>1260</v>
      </c>
      <c r="DU14" s="1925">
        <f>(6700)*0.35</f>
        <v>2345</v>
      </c>
      <c r="DV14" s="1768">
        <f>MAX(0,DU14-DV15)</f>
        <v>1791.7177318453662</v>
      </c>
      <c r="DW14" s="1768">
        <f t="shared" ref="DW14:EK14" si="7">MAX(0,DV14-DW15)</f>
        <v>931.71719226964115</v>
      </c>
      <c r="DX14" s="1768">
        <f t="shared" si="7"/>
        <v>44.72184153667547</v>
      </c>
      <c r="DY14" s="1768">
        <f t="shared" si="7"/>
        <v>0</v>
      </c>
      <c r="DZ14" s="1768">
        <f t="shared" si="7"/>
        <v>0</v>
      </c>
      <c r="EA14" s="1768">
        <f t="shared" si="7"/>
        <v>0</v>
      </c>
      <c r="EB14" s="1768">
        <f t="shared" si="7"/>
        <v>0</v>
      </c>
      <c r="EC14" s="1768">
        <f t="shared" si="7"/>
        <v>0</v>
      </c>
      <c r="ED14" s="1768">
        <f t="shared" si="7"/>
        <v>0</v>
      </c>
      <c r="EE14" s="1768">
        <f>MAX(0,ED14-EE15)</f>
        <v>0</v>
      </c>
      <c r="EF14" s="1768">
        <f t="shared" si="7"/>
        <v>0</v>
      </c>
      <c r="EG14" s="1768">
        <f t="shared" si="7"/>
        <v>0</v>
      </c>
      <c r="EH14" s="1768">
        <f t="shared" si="7"/>
        <v>0</v>
      </c>
      <c r="EI14" s="1768">
        <f t="shared" si="7"/>
        <v>0</v>
      </c>
      <c r="EJ14" s="1768">
        <f t="shared" si="7"/>
        <v>0</v>
      </c>
      <c r="EK14" s="1768">
        <f t="shared" si="7"/>
        <v>0</v>
      </c>
    </row>
    <row r="15" spans="1:141" collapsed="1">
      <c r="A15" s="783"/>
      <c r="B15" s="783"/>
      <c r="C15" s="765" t="s">
        <v>478</v>
      </c>
      <c r="D15" s="765"/>
      <c r="E15" s="765"/>
      <c r="F15" s="765"/>
      <c r="G15" s="765"/>
      <c r="H15" s="765"/>
      <c r="I15" s="765"/>
      <c r="J15" s="784"/>
      <c r="K15" s="784"/>
      <c r="L15" s="784"/>
      <c r="M15" s="784"/>
      <c r="N15" s="784"/>
      <c r="O15" s="784"/>
      <c r="P15" s="784"/>
      <c r="Q15" s="784"/>
      <c r="R15" s="784"/>
      <c r="S15" s="784"/>
      <c r="T15" s="784"/>
      <c r="U15" s="784"/>
      <c r="V15" s="784"/>
      <c r="W15" s="784"/>
      <c r="X15" s="784"/>
      <c r="Y15" s="784"/>
      <c r="Z15" s="784"/>
      <c r="AA15" s="784"/>
      <c r="AB15" s="784"/>
      <c r="AC15" s="784"/>
      <c r="AD15" s="784"/>
      <c r="AE15" s="784"/>
      <c r="AF15" s="784"/>
      <c r="AG15" s="784"/>
      <c r="AH15" s="784"/>
      <c r="AM15" s="784">
        <f>+AM13*(1+AM14)</f>
        <v>12.635</v>
      </c>
      <c r="AN15" s="781"/>
      <c r="AO15" s="781"/>
      <c r="AP15" s="781"/>
      <c r="AQ15" s="781"/>
      <c r="AR15" s="784">
        <f>+AR13*(1+AR14)</f>
        <v>12.635</v>
      </c>
      <c r="AS15" s="781"/>
      <c r="AT15" s="781"/>
      <c r="AU15" s="781"/>
      <c r="AV15" s="781"/>
      <c r="AW15" s="784">
        <f>+AW13*(1+AW14)</f>
        <v>12.635</v>
      </c>
      <c r="AX15" s="781"/>
      <c r="AY15" s="781"/>
      <c r="AZ15" s="781"/>
      <c r="BA15" s="781"/>
      <c r="BB15" s="784">
        <f>+BB13*(1+BB14)</f>
        <v>12.635</v>
      </c>
      <c r="BC15" s="781"/>
      <c r="BD15" s="781"/>
      <c r="BE15" s="781"/>
      <c r="BF15" s="781"/>
      <c r="BG15" s="784">
        <f>+BG13*(1+BG14)</f>
        <v>12.635</v>
      </c>
      <c r="BH15" s="781"/>
      <c r="BI15" s="781"/>
      <c r="BJ15" s="781"/>
      <c r="BK15" s="781"/>
      <c r="BL15" s="784">
        <f>+BL13*(1+BL14)</f>
        <v>12.635</v>
      </c>
      <c r="BM15" s="781"/>
      <c r="BN15" s="781"/>
      <c r="BO15" s="781"/>
      <c r="BP15" s="781"/>
      <c r="BQ15" s="784">
        <f>+BQ13*(1+BQ14)</f>
        <v>12.635</v>
      </c>
      <c r="CM15" s="785"/>
      <c r="CN15" s="785"/>
      <c r="CO15" s="785"/>
      <c r="CP15" s="785"/>
      <c r="CQ15" s="787"/>
      <c r="CR15" s="785"/>
      <c r="CS15" s="785"/>
      <c r="CT15" s="785"/>
      <c r="CU15" s="785"/>
      <c r="CV15" s="1410"/>
      <c r="CW15" s="785"/>
      <c r="CX15" s="785"/>
      <c r="CY15" s="785"/>
      <c r="CZ15" s="785"/>
      <c r="DA15" s="1410"/>
      <c r="DB15" s="785"/>
      <c r="DC15" s="785"/>
      <c r="DD15" s="785"/>
      <c r="DE15" s="785"/>
      <c r="DF15" s="1410"/>
      <c r="DG15" s="785"/>
      <c r="DH15" s="785"/>
      <c r="DI15" s="785"/>
      <c r="DJ15" s="785"/>
      <c r="DK15" s="1410"/>
      <c r="DL15" s="787"/>
      <c r="DM15" s="787"/>
      <c r="DQ15" s="1769" t="s">
        <v>938</v>
      </c>
      <c r="DR15" s="787"/>
      <c r="DS15"/>
      <c r="DT15" s="39">
        <f>IF(DS14=0,0,MIN(DT10*DT7,DS14))</f>
        <v>-563.75387295867984</v>
      </c>
      <c r="DU15" s="39">
        <f>IF(DT14=0,0,MIN(DU10*DU7,DT14))</f>
        <v>-789.84011477140416</v>
      </c>
      <c r="DV15" s="39">
        <f>IF(DU14=0,0,MIN(DV10*DV7,DU14))</f>
        <v>553.28226815463381</v>
      </c>
      <c r="DW15" s="39">
        <f>IF(DV14=0,0,MIN(DW10*DW7,DV14))</f>
        <v>860.00053957572504</v>
      </c>
      <c r="DX15" s="39">
        <f t="shared" ref="DX15:EK15" si="8">IF(DW14=0,0,MIN(DX10*DX7,DW14))</f>
        <v>886.99535073296568</v>
      </c>
      <c r="DY15" s="39">
        <f t="shared" si="8"/>
        <v>44.72184153667547</v>
      </c>
      <c r="DZ15" s="39">
        <f t="shared" si="8"/>
        <v>0</v>
      </c>
      <c r="EA15" s="39">
        <f t="shared" si="8"/>
        <v>0</v>
      </c>
      <c r="EB15" s="39">
        <f t="shared" si="8"/>
        <v>0</v>
      </c>
      <c r="EC15" s="39">
        <f t="shared" si="8"/>
        <v>0</v>
      </c>
      <c r="ED15" s="39">
        <f t="shared" si="8"/>
        <v>0</v>
      </c>
      <c r="EE15" s="39">
        <f t="shared" si="8"/>
        <v>0</v>
      </c>
      <c r="EF15" s="39">
        <f t="shared" si="8"/>
        <v>0</v>
      </c>
      <c r="EG15" s="39">
        <f t="shared" si="8"/>
        <v>0</v>
      </c>
      <c r="EH15" s="39">
        <f t="shared" si="8"/>
        <v>0</v>
      </c>
      <c r="EI15" s="39">
        <f t="shared" si="8"/>
        <v>0</v>
      </c>
      <c r="EJ15" s="39">
        <f t="shared" si="8"/>
        <v>0</v>
      </c>
      <c r="EK15" s="39">
        <f t="shared" si="8"/>
        <v>0</v>
      </c>
    </row>
    <row r="16" spans="1:141">
      <c r="BU16" s="765" t="s">
        <v>223</v>
      </c>
      <c r="BV16" s="765"/>
      <c r="CB16" s="780">
        <f>+CB14*CB10</f>
        <v>71.082000000000008</v>
      </c>
      <c r="CC16" s="780"/>
      <c r="CD16" s="780"/>
      <c r="CE16" s="780"/>
      <c r="CF16" s="780"/>
      <c r="CG16" s="780">
        <f>+CG14*CG10</f>
        <v>80.463514112807459</v>
      </c>
      <c r="CH16" s="780"/>
      <c r="CI16" s="780"/>
      <c r="CJ16" s="780"/>
      <c r="CK16" s="780"/>
      <c r="CL16" s="780">
        <f>+CL14*CL10</f>
        <v>86.093272896455332</v>
      </c>
      <c r="DQ16" s="787" t="s">
        <v>977</v>
      </c>
      <c r="DR16" s="787"/>
      <c r="DS16" s="787"/>
      <c r="DT16"/>
      <c r="DU16" s="1955"/>
      <c r="DV16" s="1955">
        <v>299.6269813698068</v>
      </c>
      <c r="DW16" s="1955">
        <v>484.83613409708977</v>
      </c>
      <c r="DX16" s="1768">
        <v>488.03772919885415</v>
      </c>
      <c r="DY16" s="1768">
        <v>442.96253476099014</v>
      </c>
      <c r="DZ16" s="1768">
        <v>409.44962840306908</v>
      </c>
      <c r="EA16" s="1768">
        <v>220.08699217019006</v>
      </c>
      <c r="EB16"/>
      <c r="EC16"/>
      <c r="ED16"/>
      <c r="EE16"/>
      <c r="EF16" s="787"/>
      <c r="EG16"/>
      <c r="EH16"/>
      <c r="EI16"/>
      <c r="EJ16" s="787"/>
      <c r="EK16" s="787"/>
    </row>
    <row r="17" spans="2:152" collapsed="1">
      <c r="C17" s="788" t="s">
        <v>597</v>
      </c>
      <c r="D17" s="789"/>
      <c r="E17" s="789"/>
      <c r="F17" s="789"/>
      <c r="G17" s="789"/>
      <c r="H17" s="789"/>
      <c r="I17" s="789"/>
      <c r="J17" s="790"/>
      <c r="K17" s="790"/>
      <c r="L17" s="790"/>
      <c r="M17" s="790"/>
      <c r="N17" s="790"/>
      <c r="O17" s="790"/>
      <c r="P17" s="790"/>
      <c r="Q17" s="790"/>
      <c r="R17" s="790"/>
      <c r="S17" s="790"/>
      <c r="T17" s="790"/>
      <c r="U17" s="790"/>
      <c r="V17" s="790"/>
      <c r="W17" s="790"/>
      <c r="X17" s="790"/>
      <c r="Y17" s="790"/>
      <c r="Z17" s="790"/>
      <c r="AA17" s="790"/>
      <c r="AB17" s="790"/>
      <c r="AC17" s="790"/>
      <c r="AD17" s="790"/>
      <c r="AE17" s="790"/>
      <c r="AF17" s="790"/>
      <c r="AG17" s="790"/>
      <c r="AH17" s="790"/>
      <c r="AI17" s="791"/>
      <c r="AJ17" s="791"/>
      <c r="AK17" s="791"/>
      <c r="AL17" s="791"/>
      <c r="AM17" s="790">
        <f>AM15*AM10</f>
        <v>75.864993760672434</v>
      </c>
      <c r="AN17" s="1107"/>
      <c r="AO17" s="791"/>
      <c r="AP17" s="791"/>
      <c r="AQ17" s="791"/>
      <c r="AR17" s="790">
        <f>AR15*AR10</f>
        <v>89.821073807704892</v>
      </c>
      <c r="AS17" s="1107"/>
      <c r="AT17" s="1107"/>
      <c r="AU17" s="1107"/>
      <c r="AV17" s="1107"/>
      <c r="AW17" s="790">
        <f>AW15*AW10</f>
        <v>90.996745007376376</v>
      </c>
      <c r="AX17" s="790">
        <f t="shared" ref="AX17:BG17" si="9">AX15*AX10</f>
        <v>0</v>
      </c>
      <c r="AY17" s="790">
        <f t="shared" si="9"/>
        <v>0</v>
      </c>
      <c r="AZ17" s="790">
        <f t="shared" si="9"/>
        <v>0</v>
      </c>
      <c r="BA17" s="790">
        <f t="shared" si="9"/>
        <v>0</v>
      </c>
      <c r="BB17" s="790">
        <f t="shared" si="9"/>
        <v>74.816983508410075</v>
      </c>
      <c r="BC17" s="790">
        <f t="shared" si="9"/>
        <v>0</v>
      </c>
      <c r="BD17" s="790">
        <f t="shared" si="9"/>
        <v>0</v>
      </c>
      <c r="BE17" s="790">
        <f t="shared" si="9"/>
        <v>0</v>
      </c>
      <c r="BF17" s="790">
        <f t="shared" si="9"/>
        <v>0</v>
      </c>
      <c r="BG17" s="790">
        <f t="shared" si="9"/>
        <v>69.674519949555417</v>
      </c>
      <c r="BH17" s="1107"/>
      <c r="BI17" s="1107"/>
      <c r="BJ17" s="1107"/>
      <c r="BK17" s="1107"/>
      <c r="BL17" s="790">
        <f t="shared" ref="BL17" si="10">BL15*BL10</f>
        <v>72.095058873532324</v>
      </c>
      <c r="BM17" s="1107"/>
      <c r="BN17" s="1107"/>
      <c r="BO17" s="1107"/>
      <c r="BP17" s="1107"/>
      <c r="BQ17" s="792">
        <f>BQ15*BQ10</f>
        <v>70.215332434535171</v>
      </c>
      <c r="CG17" s="761"/>
      <c r="CL17" s="761"/>
      <c r="CM17" s="790"/>
      <c r="CN17" s="790"/>
      <c r="CO17" s="790"/>
      <c r="CP17" s="790"/>
      <c r="CQ17" s="793"/>
      <c r="CR17" s="790"/>
      <c r="CS17" s="790"/>
      <c r="CT17" s="790"/>
      <c r="CU17" s="790"/>
      <c r="CW17" s="790"/>
      <c r="CX17" s="790"/>
      <c r="CY17" s="790"/>
      <c r="CZ17" s="790"/>
      <c r="DB17" s="790"/>
      <c r="DC17" s="790"/>
      <c r="DD17" s="790"/>
      <c r="DE17" s="790"/>
      <c r="DG17" s="790"/>
      <c r="DH17" s="790"/>
      <c r="DI17" s="790"/>
      <c r="DJ17" s="790"/>
      <c r="DQ17" s="1770" t="s">
        <v>939</v>
      </c>
      <c r="DR17" s="787"/>
      <c r="DS17" s="787"/>
      <c r="DT17" s="39">
        <f>NPV($DT$47,DT15:$EK$15)</f>
        <v>457.63577137515216</v>
      </c>
      <c r="DU17" s="39">
        <f>NPV($DT$47,DU15:$EK$15)</f>
        <v>1062.5768637575957</v>
      </c>
      <c r="DV17" s="39">
        <f>Valuation!DV16</f>
        <v>299.6269813698068</v>
      </c>
      <c r="DW17" s="39">
        <f>NPV($DT$47,DW15:$EK$15)</f>
        <v>1570.0910287765962</v>
      </c>
      <c r="DX17" s="39">
        <f>NPV($DT$47,DX15:$EA$15)</f>
        <v>851.39868179076507</v>
      </c>
      <c r="DY17" s="39">
        <f>NPV($DT$47,DY15:$EA$15)</f>
        <v>41.029212418968321</v>
      </c>
      <c r="DZ17" s="39">
        <f>NPV($DT$47,DZ15:$EA$15)</f>
        <v>0</v>
      </c>
      <c r="EA17"/>
      <c r="EB17"/>
      <c r="EC17"/>
      <c r="ED17"/>
      <c r="EE17"/>
      <c r="EF17" s="787"/>
      <c r="EG17"/>
      <c r="EH17"/>
      <c r="EI17"/>
      <c r="EJ17" s="787"/>
      <c r="EK17" s="787"/>
    </row>
    <row r="18" spans="2:152" collapsed="1">
      <c r="C18" s="736" t="s">
        <v>225</v>
      </c>
      <c r="E18" s="794"/>
      <c r="F18" s="794"/>
      <c r="G18" s="794"/>
      <c r="H18" s="794"/>
      <c r="I18" s="794"/>
      <c r="J18" s="794"/>
      <c r="K18" s="794"/>
      <c r="L18" s="794"/>
      <c r="M18" s="794"/>
      <c r="N18" s="794"/>
      <c r="O18" s="794"/>
      <c r="P18" s="794"/>
      <c r="Q18" s="794"/>
      <c r="R18" s="794"/>
      <c r="S18" s="795"/>
      <c r="T18" s="794"/>
      <c r="U18" s="794"/>
      <c r="V18" s="794"/>
      <c r="W18" s="794"/>
      <c r="Y18" s="761"/>
      <c r="Z18" s="761"/>
      <c r="AA18" s="761"/>
      <c r="AB18" s="761"/>
      <c r="AD18" s="761"/>
      <c r="AE18" s="761"/>
      <c r="AF18" s="761"/>
      <c r="AG18" s="761"/>
      <c r="AH18" s="761"/>
      <c r="AM18" s="761">
        <f>AR18</f>
        <v>77.16</v>
      </c>
      <c r="AN18" s="796"/>
      <c r="AR18" s="761">
        <f>AW18</f>
        <v>77.16</v>
      </c>
      <c r="AS18" s="796"/>
      <c r="AT18" s="796"/>
      <c r="AU18" s="796"/>
      <c r="AV18" s="796"/>
      <c r="AW18" s="761">
        <f>BB18</f>
        <v>77.16</v>
      </c>
      <c r="AX18" s="796"/>
      <c r="AY18" s="796"/>
      <c r="AZ18" s="796"/>
      <c r="BA18" s="796"/>
      <c r="BB18" s="761">
        <f>BG18</f>
        <v>77.16</v>
      </c>
      <c r="BC18" s="796"/>
      <c r="BD18" s="796"/>
      <c r="BE18" s="796"/>
      <c r="BF18" s="796"/>
      <c r="BG18" s="761">
        <f>BL18</f>
        <v>77.16</v>
      </c>
      <c r="BH18" s="796"/>
      <c r="BI18" s="796"/>
      <c r="BJ18" s="796"/>
      <c r="BK18" s="796"/>
      <c r="BL18" s="761">
        <f>BQ18</f>
        <v>77.16</v>
      </c>
      <c r="BM18" s="796"/>
      <c r="BN18" s="796"/>
      <c r="BO18" s="796"/>
      <c r="BP18" s="796"/>
      <c r="BQ18" s="1903">
        <v>77.16</v>
      </c>
      <c r="BT18" s="764"/>
      <c r="BU18" s="765" t="s">
        <v>985</v>
      </c>
      <c r="BV18" s="765"/>
      <c r="CB18" s="1437">
        <v>0</v>
      </c>
      <c r="CC18" s="785"/>
      <c r="CD18" s="785"/>
      <c r="CE18" s="785"/>
      <c r="CF18" s="785"/>
      <c r="CG18" s="1437">
        <v>0.27</v>
      </c>
      <c r="CH18" s="785"/>
      <c r="CI18" s="785"/>
      <c r="CJ18" s="785"/>
      <c r="CK18" s="785"/>
      <c r="CL18" s="785">
        <v>0.28000000000000003</v>
      </c>
      <c r="CM18" s="232"/>
      <c r="CN18" s="232"/>
      <c r="CO18" s="232"/>
      <c r="CP18" s="232"/>
      <c r="CQ18" s="793"/>
      <c r="CR18" s="232"/>
      <c r="CS18" s="232"/>
      <c r="CT18" s="232"/>
      <c r="CU18" s="232"/>
      <c r="CV18" s="761"/>
      <c r="CW18" s="232"/>
      <c r="CX18" s="232"/>
      <c r="CY18" s="232"/>
      <c r="CZ18" s="232"/>
      <c r="DA18" s="761"/>
      <c r="DB18" s="232"/>
      <c r="DC18" s="232"/>
      <c r="DD18" s="232"/>
      <c r="DE18" s="232"/>
      <c r="DF18" s="761"/>
      <c r="DG18" s="232"/>
      <c r="DH18" s="232"/>
      <c r="DI18" s="232"/>
      <c r="DJ18" s="232"/>
      <c r="DK18" s="761"/>
      <c r="DR18" s="770"/>
      <c r="DS18" s="770"/>
      <c r="DT18" s="798"/>
      <c r="DV18" s="801"/>
    </row>
    <row r="19" spans="2:152">
      <c r="C19" s="736" t="s">
        <v>639</v>
      </c>
      <c r="S19" s="748"/>
      <c r="X19" s="748"/>
      <c r="AC19" s="748"/>
      <c r="AH19" s="748"/>
      <c r="AI19" s="799"/>
      <c r="AJ19" s="799"/>
      <c r="AK19" s="799"/>
      <c r="AL19" s="799"/>
      <c r="AM19" s="748">
        <f>+AM17/AM18-1</f>
        <v>-1.6783388275370181E-2</v>
      </c>
      <c r="AN19" s="762"/>
      <c r="AO19" s="799"/>
      <c r="AP19" s="799"/>
      <c r="AQ19" s="799"/>
      <c r="AR19" s="748">
        <f>+AR17/AR18-1</f>
        <v>0.16408856671468253</v>
      </c>
      <c r="AS19" s="762"/>
      <c r="AT19" s="762"/>
      <c r="AU19" s="762"/>
      <c r="AV19" s="762"/>
      <c r="AW19" s="748">
        <f>+AW17/AW18-1</f>
        <v>0.17932536297792101</v>
      </c>
      <c r="AX19" s="762"/>
      <c r="AY19" s="762"/>
      <c r="AZ19" s="762"/>
      <c r="BA19" s="762"/>
      <c r="BB19" s="748">
        <f>+BB17/BB18-1</f>
        <v>-3.0365688071409047E-2</v>
      </c>
      <c r="BC19" s="762"/>
      <c r="BD19" s="762"/>
      <c r="BE19" s="762"/>
      <c r="BF19" s="762"/>
      <c r="BG19" s="748">
        <f>+BG17/BG18-1</f>
        <v>-9.7012442333392679E-2</v>
      </c>
      <c r="BH19" s="762"/>
      <c r="BI19" s="762"/>
      <c r="BJ19" s="762"/>
      <c r="BK19" s="762"/>
      <c r="BL19" s="748">
        <f>+BL17/BL18-1</f>
        <v>-6.5642057108186491E-2</v>
      </c>
      <c r="BM19" s="762"/>
      <c r="BN19" s="762"/>
      <c r="BO19" s="762"/>
      <c r="BP19" s="762"/>
      <c r="BQ19" s="748">
        <f>+BQ17/BQ18-1</f>
        <v>-9.0003467670617288E-2</v>
      </c>
      <c r="BT19" s="764"/>
      <c r="BU19" s="765" t="s">
        <v>882</v>
      </c>
      <c r="BV19" s="765"/>
      <c r="CB19" s="1437">
        <v>0</v>
      </c>
      <c r="CC19" s="785"/>
      <c r="CD19" s="785"/>
      <c r="CE19" s="785"/>
      <c r="CF19" s="785"/>
      <c r="CG19" s="786">
        <f ca="1">BW79</f>
        <v>1.3753020940393918E-3</v>
      </c>
      <c r="CH19" s="785"/>
      <c r="CI19" s="785"/>
      <c r="CJ19" s="785"/>
      <c r="CK19" s="785"/>
      <c r="CL19" s="785">
        <v>0.74</v>
      </c>
      <c r="CM19" s="1637"/>
      <c r="CN19" s="1637"/>
      <c r="CO19" s="1637"/>
      <c r="CP19" s="1637"/>
      <c r="CQ19" s="793"/>
      <c r="CR19" s="1637"/>
      <c r="CS19" s="1637"/>
      <c r="CT19" s="1637"/>
      <c r="CU19" s="1637"/>
      <c r="CV19" s="761"/>
      <c r="CW19" s="1637"/>
      <c r="CX19" s="1637"/>
      <c r="CY19" s="1637"/>
      <c r="CZ19" s="1637"/>
      <c r="DA19" s="761"/>
      <c r="DB19" s="1637"/>
      <c r="DC19" s="1637"/>
      <c r="DD19" s="1637"/>
      <c r="DE19" s="1637"/>
      <c r="DF19" s="761"/>
      <c r="DG19" s="1637"/>
      <c r="DH19" s="1637"/>
      <c r="DI19" s="1637"/>
      <c r="DJ19" s="1637"/>
      <c r="DK19" s="761"/>
      <c r="DQ19" s="989" t="s">
        <v>940</v>
      </c>
      <c r="DR19" s="801"/>
      <c r="DS19" s="801">
        <f>(1971-1200)</f>
        <v>771</v>
      </c>
      <c r="DT19" s="1771"/>
      <c r="DU19" s="1771"/>
      <c r="DV19" s="1771">
        <f t="shared" ref="DV19:EB19" si="11">100+18</f>
        <v>118</v>
      </c>
      <c r="DW19" s="1771">
        <f t="shared" si="11"/>
        <v>118</v>
      </c>
      <c r="DX19" s="1771">
        <f t="shared" si="11"/>
        <v>118</v>
      </c>
      <c r="DY19" s="1771">
        <f t="shared" si="11"/>
        <v>118</v>
      </c>
      <c r="DZ19" s="1771">
        <f t="shared" si="11"/>
        <v>118</v>
      </c>
      <c r="EA19" s="1771">
        <f t="shared" si="11"/>
        <v>118</v>
      </c>
      <c r="EB19" s="1771">
        <f t="shared" si="11"/>
        <v>118</v>
      </c>
      <c r="EC19" s="1771">
        <f>71+18</f>
        <v>89</v>
      </c>
      <c r="ED19" s="1981">
        <v>18</v>
      </c>
      <c r="EE19" s="1981">
        <v>18</v>
      </c>
    </row>
    <row r="20" spans="2:152" collapsed="1">
      <c r="C20" s="736" t="s">
        <v>377</v>
      </c>
      <c r="S20" s="802"/>
      <c r="T20" s="783"/>
      <c r="U20" s="783"/>
      <c r="V20" s="783"/>
      <c r="W20" s="783"/>
      <c r="X20" s="799"/>
      <c r="Y20" s="799"/>
      <c r="Z20" s="799"/>
      <c r="AA20" s="799"/>
      <c r="AB20" s="799"/>
      <c r="AD20" s="799"/>
      <c r="AE20" s="799"/>
      <c r="AF20" s="799"/>
      <c r="AG20" s="799"/>
      <c r="AH20" s="799"/>
      <c r="AI20" s="762"/>
      <c r="AJ20" s="762"/>
      <c r="AK20" s="762"/>
      <c r="AL20" s="762"/>
      <c r="AM20" s="799">
        <f>+AR20</f>
        <v>4.6397096941420427E-2</v>
      </c>
      <c r="AN20" s="762"/>
      <c r="AO20" s="762"/>
      <c r="AP20" s="762"/>
      <c r="AQ20" s="762"/>
      <c r="AR20" s="799">
        <f>+AW20</f>
        <v>4.6397096941420427E-2</v>
      </c>
      <c r="AS20" s="762"/>
      <c r="AT20" s="762"/>
      <c r="AU20" s="762"/>
      <c r="AV20" s="762"/>
      <c r="AW20" s="799">
        <f>+BB20</f>
        <v>4.6397096941420427E-2</v>
      </c>
      <c r="AX20" s="762"/>
      <c r="AY20" s="762"/>
      <c r="AZ20" s="762"/>
      <c r="BA20" s="762"/>
      <c r="BB20" s="802">
        <f>Financial!BB32</f>
        <v>4.6397096941420427E-2</v>
      </c>
      <c r="BC20" s="762"/>
      <c r="BD20" s="762"/>
      <c r="BE20" s="762"/>
      <c r="BF20" s="762"/>
      <c r="BG20" s="802">
        <f>Financial!BG32</f>
        <v>4.7433903576982898E-2</v>
      </c>
      <c r="BH20" s="762"/>
      <c r="BI20" s="762"/>
      <c r="BJ20" s="762"/>
      <c r="BK20" s="762"/>
      <c r="BL20" s="802">
        <f>Financial!BL32</f>
        <v>4.8470710212545363E-2</v>
      </c>
      <c r="BM20" s="762"/>
      <c r="BN20" s="762"/>
      <c r="BO20" s="762"/>
      <c r="BP20" s="762"/>
      <c r="BQ20" s="802">
        <f>Financial!BQ32</f>
        <v>4.9507516848107835E-2</v>
      </c>
      <c r="BT20" s="764"/>
      <c r="BU20" s="765"/>
      <c r="BV20" s="765"/>
      <c r="CB20" s="1437"/>
      <c r="CC20" s="785"/>
      <c r="CD20" s="785"/>
      <c r="CE20" s="785"/>
      <c r="CF20" s="785"/>
      <c r="CG20" s="786"/>
      <c r="CH20" s="785"/>
      <c r="CI20" s="785"/>
      <c r="CJ20" s="785"/>
      <c r="CK20" s="785"/>
      <c r="CL20" s="785"/>
      <c r="CM20" s="1637"/>
      <c r="CN20" s="1637"/>
      <c r="CO20" s="1637"/>
      <c r="CP20" s="1637"/>
      <c r="CQ20" s="793"/>
      <c r="CR20" s="1637"/>
      <c r="CS20" s="1637"/>
      <c r="CT20" s="1637"/>
      <c r="CU20" s="1637"/>
      <c r="CV20" s="761"/>
      <c r="CW20" s="1637"/>
      <c r="CX20" s="1637"/>
      <c r="CY20" s="1637"/>
      <c r="CZ20" s="1637"/>
      <c r="DA20" s="761"/>
      <c r="DB20" s="1637"/>
      <c r="DC20" s="1637"/>
      <c r="DD20" s="1637"/>
      <c r="DE20" s="1637"/>
      <c r="DF20" s="761"/>
      <c r="DG20" s="1637"/>
      <c r="DH20" s="1637"/>
      <c r="DI20" s="1637"/>
      <c r="DJ20" s="1637"/>
      <c r="DK20" s="761"/>
      <c r="DR20" s="801"/>
      <c r="DS20" s="801"/>
    </row>
    <row r="21" spans="2:152">
      <c r="C21" s="788" t="s">
        <v>640</v>
      </c>
      <c r="D21" s="803"/>
      <c r="E21" s="803"/>
      <c r="F21" s="803"/>
      <c r="G21" s="803"/>
      <c r="H21" s="803"/>
      <c r="I21" s="803"/>
      <c r="J21" s="803"/>
      <c r="K21" s="803"/>
      <c r="L21" s="803"/>
      <c r="M21" s="803"/>
      <c r="N21" s="803"/>
      <c r="O21" s="803"/>
      <c r="P21" s="803"/>
      <c r="Q21" s="803"/>
      <c r="R21" s="803"/>
      <c r="S21" s="804"/>
      <c r="T21" s="803"/>
      <c r="U21" s="803"/>
      <c r="V21" s="803"/>
      <c r="W21" s="803"/>
      <c r="X21" s="804"/>
      <c r="Y21" s="803"/>
      <c r="Z21" s="803"/>
      <c r="AA21" s="803"/>
      <c r="AB21" s="803"/>
      <c r="AC21" s="804"/>
      <c r="AD21" s="803"/>
      <c r="AE21" s="803"/>
      <c r="AF21" s="803"/>
      <c r="AG21" s="803"/>
      <c r="AH21" s="804"/>
      <c r="AI21" s="805"/>
      <c r="AJ21" s="805"/>
      <c r="AK21" s="805"/>
      <c r="AL21" s="805"/>
      <c r="AM21" s="804">
        <f>+AM20+AM19</f>
        <v>2.9613708666050245E-2</v>
      </c>
      <c r="AN21" s="1107"/>
      <c r="AO21" s="805"/>
      <c r="AP21" s="805"/>
      <c r="AQ21" s="805"/>
      <c r="AR21" s="804">
        <f>+AR20+AR19</f>
        <v>0.21048566365610294</v>
      </c>
      <c r="AS21" s="1107"/>
      <c r="AT21" s="1107"/>
      <c r="AU21" s="1107"/>
      <c r="AV21" s="1107"/>
      <c r="AW21" s="804">
        <f>+AW20+AW19</f>
        <v>0.22572245991934142</v>
      </c>
      <c r="AX21" s="804">
        <f t="shared" ref="AX21:BG21" si="12">+AX20+AX19</f>
        <v>0</v>
      </c>
      <c r="AY21" s="804">
        <f t="shared" si="12"/>
        <v>0</v>
      </c>
      <c r="AZ21" s="804">
        <f t="shared" si="12"/>
        <v>0</v>
      </c>
      <c r="BA21" s="804">
        <f t="shared" si="12"/>
        <v>0</v>
      </c>
      <c r="BB21" s="804">
        <f t="shared" si="12"/>
        <v>1.6031408870011379E-2</v>
      </c>
      <c r="BC21" s="804">
        <f t="shared" si="12"/>
        <v>0</v>
      </c>
      <c r="BD21" s="804">
        <f t="shared" si="12"/>
        <v>0</v>
      </c>
      <c r="BE21" s="804">
        <f t="shared" si="12"/>
        <v>0</v>
      </c>
      <c r="BF21" s="804">
        <f t="shared" si="12"/>
        <v>0</v>
      </c>
      <c r="BG21" s="804">
        <f t="shared" si="12"/>
        <v>-4.957853875640978E-2</v>
      </c>
      <c r="BH21" s="1107"/>
      <c r="BI21" s="1107"/>
      <c r="BJ21" s="1107"/>
      <c r="BK21" s="1107"/>
      <c r="BL21" s="804">
        <f t="shared" ref="BL21" si="13">+BL20+BL19</f>
        <v>-1.7171346895641128E-2</v>
      </c>
      <c r="BM21" s="1107"/>
      <c r="BN21" s="1107"/>
      <c r="BO21" s="1107"/>
      <c r="BP21" s="1107"/>
      <c r="BQ21" s="806">
        <f>+BQ20+BQ19</f>
        <v>-4.0495950822509452E-2</v>
      </c>
      <c r="BT21" s="764"/>
      <c r="BU21" s="765" t="s">
        <v>883</v>
      </c>
      <c r="BV21" s="765"/>
      <c r="CB21" s="780">
        <f>CB18*(1-CB41)+CB19*(CB41)</f>
        <v>0</v>
      </c>
      <c r="CC21" s="786"/>
      <c r="CD21" s="786"/>
      <c r="CE21" s="786"/>
      <c r="CF21" s="786"/>
      <c r="CG21" s="780">
        <f ca="1">CG18*(1-CG41)+CG19*(CG41)</f>
        <v>0.27</v>
      </c>
      <c r="CH21" s="786"/>
      <c r="CI21" s="786"/>
      <c r="CJ21" s="786"/>
      <c r="CK21" s="786"/>
      <c r="CL21" s="780">
        <f>CL18*(1-CL41)+CL19*(CL41)</f>
        <v>0.28000000000000003</v>
      </c>
      <c r="CM21" s="1637"/>
      <c r="CN21" s="1637"/>
      <c r="CO21" s="1637"/>
      <c r="CP21" s="1637"/>
      <c r="CQ21" s="793"/>
      <c r="CR21" s="1637"/>
      <c r="CS21" s="1637"/>
      <c r="CT21" s="1637"/>
      <c r="CU21" s="1637"/>
      <c r="CV21" s="761"/>
      <c r="CW21" s="1637"/>
      <c r="CX21" s="1637"/>
      <c r="CY21" s="1637"/>
      <c r="CZ21" s="1637"/>
      <c r="DA21" s="761"/>
      <c r="DB21" s="1637"/>
      <c r="DC21" s="1637"/>
      <c r="DD21" s="1637"/>
      <c r="DE21" s="1637"/>
      <c r="DF21" s="761"/>
      <c r="DG21" s="1637"/>
      <c r="DH21" s="1637"/>
      <c r="DI21" s="1637"/>
      <c r="DJ21" s="1637"/>
      <c r="DK21" s="761"/>
      <c r="DQ21" s="1770" t="s">
        <v>939</v>
      </c>
      <c r="DR21" s="787"/>
      <c r="DS21" s="787"/>
      <c r="DT21" s="39">
        <f>NPV($DT$47,DT$19:$EK19)</f>
        <v>654.44562798505353</v>
      </c>
      <c r="DU21" s="39">
        <f>NPV($DT$47,DU$19:$EK19)</f>
        <v>654.44562798505353</v>
      </c>
      <c r="DV21" s="39">
        <f>NPV($DT$47,DV$19:$EK19)</f>
        <v>654.44562798505353</v>
      </c>
      <c r="DW21" s="39">
        <f>NPV($DT$47,DW$19:$EK19)</f>
        <v>595.3457345037084</v>
      </c>
      <c r="DX21" s="809"/>
      <c r="DY21" s="809"/>
      <c r="DZ21" s="810"/>
      <c r="EA21" s="810"/>
      <c r="EB21" s="810"/>
      <c r="EC21" s="811"/>
      <c r="ED21" s="811"/>
      <c r="EE21" s="812"/>
      <c r="EF21" s="762"/>
      <c r="EG21" s="762"/>
      <c r="EH21" s="762"/>
      <c r="EI21" s="762"/>
      <c r="EJ21" s="762"/>
      <c r="EK21" s="762"/>
      <c r="EL21" s="762"/>
      <c r="EM21" s="762"/>
      <c r="EN21" s="762"/>
      <c r="EO21" s="762"/>
      <c r="EP21" s="762"/>
      <c r="EQ21" s="811"/>
      <c r="ER21" s="811"/>
      <c r="ES21" s="762"/>
      <c r="ET21" s="762"/>
      <c r="EU21" s="762"/>
      <c r="EV21" s="762"/>
    </row>
    <row r="22" spans="2:152">
      <c r="CL22" s="761"/>
      <c r="CM22" s="800"/>
      <c r="CN22" s="800"/>
      <c r="CO22" s="800"/>
      <c r="CP22" s="800"/>
      <c r="CR22" s="800"/>
      <c r="CS22" s="800"/>
      <c r="CT22" s="800"/>
      <c r="CU22" s="800"/>
      <c r="CW22" s="800"/>
      <c r="CX22" s="800"/>
      <c r="CY22" s="800"/>
      <c r="CZ22" s="800"/>
      <c r="DB22" s="800"/>
      <c r="DC22" s="800"/>
      <c r="DD22" s="800"/>
      <c r="DE22" s="800"/>
      <c r="DG22" s="800"/>
      <c r="DH22" s="800"/>
      <c r="DI22" s="800"/>
      <c r="DJ22" s="800"/>
      <c r="DW22" s="809"/>
      <c r="DX22" s="809"/>
      <c r="DY22" s="809"/>
      <c r="DZ22" s="810"/>
      <c r="EA22" s="810"/>
      <c r="EB22" s="810"/>
      <c r="EC22" s="811"/>
      <c r="ED22" s="811"/>
      <c r="EE22" s="812"/>
      <c r="EF22" s="762"/>
      <c r="EG22" s="762"/>
      <c r="EH22" s="762"/>
      <c r="EI22" s="762"/>
      <c r="EJ22" s="762"/>
      <c r="EK22" s="762"/>
      <c r="EL22" s="762"/>
      <c r="EM22" s="762"/>
      <c r="EN22" s="762"/>
      <c r="EO22" s="762"/>
      <c r="EP22" s="762"/>
      <c r="EQ22" s="811"/>
      <c r="ER22" s="811"/>
      <c r="ES22" s="762"/>
      <c r="ET22" s="762"/>
      <c r="EU22" s="762"/>
      <c r="EV22" s="762"/>
    </row>
    <row r="23" spans="2:152">
      <c r="C23" s="736" t="s">
        <v>481</v>
      </c>
      <c r="X23" s="747"/>
      <c r="AC23" s="747"/>
      <c r="AH23" s="747">
        <f>EWC!AH173</f>
        <v>0.74</v>
      </c>
      <c r="AM23" s="747">
        <f>EWC!AM173</f>
        <v>0.86</v>
      </c>
      <c r="AR23" s="747">
        <f>EWC!AR173</f>
        <v>0.88</v>
      </c>
      <c r="AW23" s="747">
        <f>EWC!AW173</f>
        <v>0.88</v>
      </c>
      <c r="BB23" s="747">
        <f>EWC!BB173</f>
        <v>0.98</v>
      </c>
      <c r="BG23" s="747">
        <f>EWC!BG173</f>
        <v>0.91</v>
      </c>
      <c r="BL23" s="747">
        <f>EWC!BL173</f>
        <v>0.51</v>
      </c>
      <c r="BQ23" s="747">
        <f>EWC!BQ173</f>
        <v>0.74</v>
      </c>
      <c r="BU23" s="788" t="s">
        <v>480</v>
      </c>
      <c r="BV23" s="789"/>
      <c r="BW23" s="789"/>
      <c r="CB23" s="790">
        <f>+CB16+CB21</f>
        <v>71.082000000000008</v>
      </c>
      <c r="CC23" s="790"/>
      <c r="CD23" s="790"/>
      <c r="CE23" s="790"/>
      <c r="CF23" s="790"/>
      <c r="CG23" s="790">
        <f ca="1">+CG16+CG21</f>
        <v>80.733514112807455</v>
      </c>
      <c r="CH23" s="790"/>
      <c r="CI23" s="790"/>
      <c r="CJ23" s="790"/>
      <c r="CK23" s="790"/>
      <c r="CL23" s="792">
        <f>+CL16+CL21</f>
        <v>86.373272896455333</v>
      </c>
      <c r="CM23" s="761"/>
      <c r="CN23" s="761"/>
      <c r="CO23" s="761"/>
      <c r="CP23" s="761"/>
      <c r="CQ23" s="807"/>
      <c r="CR23" s="761"/>
      <c r="CS23" s="761"/>
      <c r="CT23" s="761"/>
      <c r="CU23" s="761"/>
      <c r="CV23" s="761"/>
      <c r="CW23" s="761"/>
      <c r="CX23" s="761"/>
      <c r="CY23" s="761"/>
      <c r="CZ23" s="761"/>
      <c r="DA23" s="761"/>
      <c r="DB23" s="761"/>
      <c r="DC23" s="761"/>
      <c r="DD23" s="761"/>
      <c r="DE23" s="761"/>
      <c r="DF23" s="761"/>
      <c r="DG23" s="761"/>
      <c r="DH23" s="761"/>
      <c r="DI23" s="761"/>
      <c r="DJ23" s="761"/>
      <c r="DK23" s="761"/>
      <c r="DQ23" s="736" t="s">
        <v>941</v>
      </c>
      <c r="DT23" s="801">
        <f>DT17-DT21</f>
        <v>-196.80985660990137</v>
      </c>
      <c r="DU23" s="801">
        <f>DU17-DU21</f>
        <v>408.13123577254214</v>
      </c>
      <c r="DV23" s="801">
        <f>DV17-DV21</f>
        <v>-354.81864661524673</v>
      </c>
      <c r="DW23" s="801">
        <f>DW17-DW21</f>
        <v>974.7452942728878</v>
      </c>
      <c r="DX23" s="809"/>
      <c r="DY23" s="809"/>
      <c r="DZ23" s="810"/>
      <c r="EA23" s="810"/>
      <c r="EB23" s="810"/>
      <c r="EC23" s="811"/>
      <c r="ED23" s="811"/>
      <c r="EE23" s="812"/>
      <c r="EF23" s="762"/>
      <c r="EG23" s="762"/>
      <c r="EH23" s="762"/>
      <c r="EI23" s="762"/>
      <c r="EJ23" s="762"/>
      <c r="EK23" s="762"/>
      <c r="EL23" s="762"/>
      <c r="EM23" s="762"/>
      <c r="EN23" s="762"/>
      <c r="EO23" s="762"/>
      <c r="EP23" s="762"/>
      <c r="EQ23" s="811"/>
      <c r="ER23" s="811"/>
      <c r="ES23" s="762"/>
      <c r="ET23" s="762"/>
      <c r="EU23" s="762"/>
      <c r="EV23" s="762"/>
    </row>
    <row r="24" spans="2:152">
      <c r="C24" s="736" t="s">
        <v>482</v>
      </c>
      <c r="X24" s="761"/>
      <c r="AC24" s="754"/>
      <c r="AD24" s="754"/>
      <c r="AE24" s="754"/>
      <c r="AF24" s="754"/>
      <c r="AG24" s="754"/>
      <c r="AH24" s="754">
        <f>EWC!AH183*(1-38%)/ETR!AH47</f>
        <v>-1.2073379386000351</v>
      </c>
      <c r="AI24" s="754"/>
      <c r="AJ24" s="754"/>
      <c r="AK24" s="754"/>
      <c r="AL24" s="754"/>
      <c r="AM24" s="754">
        <f>EWC!AM183*(1-38%)/ETR!AM47</f>
        <v>1.0912194053527855</v>
      </c>
      <c r="AN24" s="754"/>
      <c r="AO24" s="754"/>
      <c r="AP24" s="754"/>
      <c r="AQ24" s="754"/>
      <c r="AR24" s="754">
        <f>EWC!AR183*(1-38%)/ETR!AR47</f>
        <v>1.1474076336804386</v>
      </c>
      <c r="AS24" s="754"/>
      <c r="AT24" s="754"/>
      <c r="AU24" s="754"/>
      <c r="AV24" s="754"/>
      <c r="AW24" s="754">
        <f>EWC!AW183*(1-38%)/ETR!AW47</f>
        <v>0.18321524723499544</v>
      </c>
      <c r="AX24" s="754"/>
      <c r="AY24" s="754"/>
      <c r="AZ24" s="754"/>
      <c r="BA24" s="754"/>
      <c r="BB24" s="754">
        <f>EWC!BB183*(1-38%)/ETR!BB47</f>
        <v>-0.35860638769633224</v>
      </c>
      <c r="BC24" s="754"/>
      <c r="BD24" s="754"/>
      <c r="BE24" s="754"/>
      <c r="BF24" s="754"/>
      <c r="BG24" s="754">
        <f>EWC!BG183*(1-38%)/ETR!BG47</f>
        <v>-0.33123704265820547</v>
      </c>
      <c r="BH24" s="754"/>
      <c r="BI24" s="754"/>
      <c r="BJ24" s="754"/>
      <c r="BK24" s="754"/>
      <c r="BL24" s="754">
        <f>EWC!BL183*(1-38%)/ETR!BL47</f>
        <v>-4.431089479356904E-2</v>
      </c>
      <c r="BM24" s="754"/>
      <c r="BN24" s="754"/>
      <c r="BO24" s="754"/>
      <c r="BP24" s="754"/>
      <c r="BQ24" s="754">
        <f>EWC!BQ183*(1-38%)/ETR!BQ47</f>
        <v>0.17989591978821587</v>
      </c>
      <c r="BU24" s="797" t="s">
        <v>737</v>
      </c>
      <c r="BV24" s="783"/>
      <c r="CB24" s="232">
        <v>71</v>
      </c>
      <c r="CC24" s="232"/>
      <c r="CD24" s="232"/>
      <c r="CE24" s="232"/>
      <c r="CF24" s="232"/>
      <c r="CG24" s="232">
        <v>81</v>
      </c>
      <c r="CH24" s="232"/>
      <c r="CI24" s="232"/>
      <c r="CJ24" s="232"/>
      <c r="CK24" s="232"/>
      <c r="CL24" s="232">
        <v>86</v>
      </c>
      <c r="CM24" s="748"/>
      <c r="CN24" s="748"/>
      <c r="CO24" s="748"/>
      <c r="CP24" s="748"/>
      <c r="CQ24" s="807"/>
      <c r="CR24" s="748"/>
      <c r="CS24" s="748"/>
      <c r="CT24" s="748"/>
      <c r="CU24" s="748"/>
      <c r="CV24" s="808"/>
      <c r="CW24" s="748"/>
      <c r="CX24" s="748"/>
      <c r="CY24" s="748"/>
      <c r="CZ24" s="748"/>
      <c r="DA24" s="808"/>
      <c r="DB24" s="748"/>
      <c r="DC24" s="748"/>
      <c r="DD24" s="748"/>
      <c r="DE24" s="748"/>
      <c r="DF24" s="808"/>
      <c r="DG24" s="748"/>
      <c r="DH24" s="748"/>
      <c r="DI24" s="748"/>
      <c r="DJ24" s="748"/>
      <c r="DK24" s="808"/>
      <c r="DW24" s="809"/>
      <c r="DX24" s="809"/>
      <c r="DY24" s="809"/>
      <c r="DZ24" s="810"/>
      <c r="EA24" s="810"/>
      <c r="EB24" s="810"/>
      <c r="EC24" s="811"/>
      <c r="ED24" s="811"/>
      <c r="EE24" s="812"/>
      <c r="EF24" s="762"/>
      <c r="EG24" s="762"/>
      <c r="EH24" s="762"/>
      <c r="EI24" s="762"/>
      <c r="EJ24" s="762"/>
      <c r="EK24" s="762"/>
      <c r="EL24" s="762"/>
      <c r="EM24" s="762"/>
      <c r="EN24" s="762"/>
      <c r="EO24" s="762"/>
      <c r="EP24" s="762"/>
      <c r="EQ24" s="811"/>
      <c r="ER24" s="811"/>
      <c r="ES24" s="762"/>
      <c r="ET24" s="762"/>
      <c r="EU24" s="762"/>
      <c r="EV24" s="762"/>
    </row>
    <row r="25" spans="2:152">
      <c r="C25" s="765" t="s">
        <v>419</v>
      </c>
      <c r="D25" s="765"/>
      <c r="E25" s="765"/>
      <c r="F25" s="765"/>
      <c r="G25" s="765"/>
      <c r="H25" s="765"/>
      <c r="I25" s="765"/>
      <c r="J25" s="765"/>
      <c r="K25" s="765"/>
      <c r="L25" s="765"/>
      <c r="M25" s="765"/>
      <c r="N25" s="765"/>
      <c r="O25" s="765"/>
      <c r="P25" s="765"/>
      <c r="Q25" s="765"/>
      <c r="R25" s="765"/>
      <c r="S25" s="765"/>
      <c r="T25" s="765"/>
      <c r="U25" s="765"/>
      <c r="V25" s="765"/>
      <c r="W25" s="765"/>
      <c r="X25" s="780"/>
      <c r="Y25" s="765"/>
      <c r="Z25" s="765"/>
      <c r="AA25" s="765"/>
      <c r="AB25" s="765"/>
      <c r="AC25" s="766"/>
      <c r="AD25" s="766"/>
      <c r="AE25" s="766"/>
      <c r="AF25" s="766"/>
      <c r="AG25" s="766"/>
      <c r="AH25" s="766">
        <f>+AH8-AH24</f>
        <v>3.3933601763109102</v>
      </c>
      <c r="AI25" s="766"/>
      <c r="AJ25" s="766"/>
      <c r="AK25" s="766"/>
      <c r="AL25" s="766"/>
      <c r="AM25" s="766">
        <f>+AM8-AM24</f>
        <v>-6.0636999714393847E-2</v>
      </c>
      <c r="AN25" s="1389"/>
      <c r="AO25" s="1389"/>
      <c r="AP25" s="1389"/>
      <c r="AQ25" s="1389"/>
      <c r="AR25" s="766">
        <f>+AR8-AR24</f>
        <v>0.86498396886612161</v>
      </c>
      <c r="AS25" s="1389"/>
      <c r="AT25" s="1389"/>
      <c r="AU25" s="1389"/>
      <c r="AV25" s="1389"/>
      <c r="AW25" s="766">
        <f>+AW8-AW24</f>
        <v>3.0603336685476403</v>
      </c>
      <c r="AX25" s="1389"/>
      <c r="AY25" s="1389"/>
      <c r="AZ25" s="1389"/>
      <c r="BA25" s="1389"/>
      <c r="BB25" s="766">
        <f>+BB8-BB24</f>
        <v>1.7674544982878619</v>
      </c>
      <c r="BC25" s="1389"/>
      <c r="BD25" s="1389"/>
      <c r="BE25" s="1389"/>
      <c r="BF25" s="1389"/>
      <c r="BG25" s="766">
        <f>+BG8-BG24</f>
        <v>1.0332319225545792</v>
      </c>
      <c r="BH25" s="1389"/>
      <c r="BI25" s="1389"/>
      <c r="BJ25" s="1389"/>
      <c r="BK25" s="1389"/>
      <c r="BL25" s="766">
        <f>+BL8-BL24</f>
        <v>0.64286311290523379</v>
      </c>
      <c r="BM25" s="1389"/>
      <c r="BN25" s="1389"/>
      <c r="BO25" s="1389"/>
      <c r="BP25" s="1389"/>
      <c r="BQ25" s="766">
        <f>+BQ8-BQ24</f>
        <v>-5.936620895894304E-2</v>
      </c>
      <c r="CB25" s="800"/>
      <c r="CC25" s="800"/>
      <c r="CD25" s="800"/>
      <c r="CE25" s="800"/>
      <c r="CF25" s="800"/>
      <c r="CG25" s="1930"/>
      <c r="CH25" s="800"/>
      <c r="CI25" s="800"/>
      <c r="CJ25" s="800"/>
      <c r="CK25" s="800"/>
      <c r="CL25" s="800"/>
      <c r="CM25" s="814"/>
      <c r="CN25" s="814"/>
      <c r="CO25" s="814"/>
      <c r="CP25" s="814"/>
      <c r="CQ25" s="807"/>
      <c r="CR25" s="814"/>
      <c r="CS25" s="814"/>
      <c r="CT25" s="814"/>
      <c r="CU25" s="814"/>
      <c r="CV25" s="808"/>
      <c r="CW25" s="814"/>
      <c r="CX25" s="814"/>
      <c r="CY25" s="814"/>
      <c r="CZ25" s="814"/>
      <c r="DA25" s="808"/>
      <c r="DB25" s="814"/>
      <c r="DC25" s="814"/>
      <c r="DD25" s="814"/>
      <c r="DE25" s="814"/>
      <c r="DF25" s="808"/>
      <c r="DG25" s="814"/>
      <c r="DH25" s="814"/>
      <c r="DI25" s="814"/>
      <c r="DJ25" s="814"/>
      <c r="DK25" s="808"/>
    </row>
    <row r="26" spans="2:152">
      <c r="X26" s="761"/>
      <c r="AC26" s="761"/>
      <c r="AH26" s="761"/>
      <c r="AM26" s="761"/>
      <c r="AN26" s="761"/>
      <c r="AO26" s="761"/>
      <c r="AP26" s="761"/>
      <c r="AQ26" s="761"/>
      <c r="AR26" s="761"/>
      <c r="AS26" s="761"/>
      <c r="AT26" s="761"/>
      <c r="AU26" s="761"/>
      <c r="AV26" s="761"/>
      <c r="AW26" s="761"/>
      <c r="AX26" s="761"/>
      <c r="AY26" s="761"/>
      <c r="AZ26" s="761"/>
      <c r="BA26" s="761"/>
      <c r="BB26" s="761"/>
      <c r="BC26" s="761"/>
      <c r="BD26" s="761"/>
      <c r="BE26" s="761"/>
      <c r="BF26" s="761"/>
      <c r="BG26" s="761"/>
      <c r="BH26" s="761"/>
      <c r="BI26" s="761"/>
      <c r="BJ26" s="761"/>
      <c r="BK26" s="761"/>
      <c r="BL26" s="761"/>
      <c r="BM26" s="761"/>
      <c r="BN26" s="761"/>
      <c r="BO26" s="761"/>
      <c r="BP26" s="761"/>
      <c r="BQ26" s="761"/>
      <c r="BU26" s="736" t="s">
        <v>225</v>
      </c>
      <c r="BV26" s="765"/>
      <c r="BW26" s="1924"/>
      <c r="BX26" s="1924"/>
      <c r="BY26" s="1924"/>
      <c r="BZ26" s="1924"/>
      <c r="CA26" s="1924"/>
      <c r="CB26" s="1923">
        <f>+$AR$18</f>
        <v>77.16</v>
      </c>
      <c r="CC26" s="1923"/>
      <c r="CD26" s="1923"/>
      <c r="CE26" s="1923"/>
      <c r="CF26" s="1923"/>
      <c r="CG26" s="1923">
        <f>+$AR$18</f>
        <v>77.16</v>
      </c>
      <c r="CH26" s="1923"/>
      <c r="CI26" s="1923"/>
      <c r="CJ26" s="1923"/>
      <c r="CK26" s="1923"/>
      <c r="CL26" s="1923">
        <f>+$AR$18</f>
        <v>77.16</v>
      </c>
      <c r="CM26" s="804"/>
      <c r="CN26" s="804"/>
      <c r="CO26" s="804"/>
      <c r="CP26" s="804"/>
      <c r="CQ26" s="807"/>
      <c r="CR26" s="804"/>
      <c r="CS26" s="804"/>
      <c r="CT26" s="804"/>
      <c r="CU26" s="804"/>
      <c r="CV26" s="808"/>
      <c r="CW26" s="804"/>
      <c r="CX26" s="804"/>
      <c r="CY26" s="804"/>
      <c r="CZ26" s="804"/>
      <c r="DA26" s="808"/>
      <c r="DB26" s="804"/>
      <c r="DC26" s="804"/>
      <c r="DD26" s="804"/>
      <c r="DE26" s="804"/>
      <c r="DF26" s="808"/>
      <c r="DG26" s="804"/>
      <c r="DH26" s="804"/>
      <c r="DI26" s="804"/>
      <c r="DJ26" s="804"/>
      <c r="DK26" s="808"/>
    </row>
    <row r="27" spans="2:152">
      <c r="C27" s="1214" t="s">
        <v>263</v>
      </c>
      <c r="D27" s="1215"/>
      <c r="E27" s="1215"/>
      <c r="F27" s="1215"/>
      <c r="G27" s="1215"/>
      <c r="H27" s="1215"/>
      <c r="I27" s="1215"/>
      <c r="J27" s="1215"/>
      <c r="K27" s="1215"/>
      <c r="L27" s="1215"/>
      <c r="M27" s="1215"/>
      <c r="N27" s="1215"/>
      <c r="O27" s="1215"/>
      <c r="P27" s="1215"/>
      <c r="Q27" s="1215"/>
      <c r="R27" s="1215"/>
      <c r="S27" s="1216"/>
      <c r="T27" s="1216"/>
      <c r="U27" s="1216"/>
      <c r="V27" s="1216"/>
      <c r="W27" s="1216"/>
      <c r="X27" s="1216"/>
      <c r="Y27" s="1216"/>
      <c r="Z27" s="1216"/>
      <c r="AA27" s="1216"/>
      <c r="AB27" s="1216"/>
      <c r="AC27" s="1216"/>
      <c r="AD27" s="1216"/>
      <c r="AE27" s="1216"/>
      <c r="AF27" s="1216"/>
      <c r="AG27" s="1216"/>
      <c r="AH27" s="1216">
        <f>'Market Prices'!BI8</f>
        <v>4.3820542392418025</v>
      </c>
      <c r="AI27" s="1216"/>
      <c r="AJ27" s="1216"/>
      <c r="AK27" s="1216"/>
      <c r="AL27" s="1216"/>
      <c r="AM27" s="1216">
        <f>'Market Prices'!BJ8</f>
        <v>2.6328803023393492</v>
      </c>
      <c r="AN27" s="817"/>
      <c r="AO27" s="817"/>
      <c r="AP27" s="817"/>
      <c r="AQ27" s="817"/>
      <c r="AR27" s="761">
        <f>'Market Prices'!BK8</f>
        <v>2.5075177712685086</v>
      </c>
      <c r="AS27" s="817"/>
      <c r="AT27" s="817"/>
      <c r="AU27" s="817"/>
      <c r="AV27" s="817"/>
      <c r="AW27" s="1016">
        <f>'Market Prices'!BL8</f>
        <v>2.9824985499071941</v>
      </c>
      <c r="AX27" s="1591">
        <f>'Market Prices'!BM8</f>
        <v>2.8767841530054645</v>
      </c>
      <c r="AY27" s="1591">
        <f>'Market Prices'!BN8</f>
        <v>2.7594999999999996</v>
      </c>
      <c r="AZ27" s="1591">
        <f>'Market Prices'!BO8</f>
        <v>2.8007499999999994</v>
      </c>
      <c r="BA27" s="1591">
        <f>'Market Prices'!BQ8</f>
        <v>0</v>
      </c>
      <c r="BB27" s="1722">
        <f>'Market Prices'!BM8</f>
        <v>2.8767841530054645</v>
      </c>
      <c r="BC27" s="1591">
        <f>'Market Prices'!BS8</f>
        <v>0</v>
      </c>
      <c r="BD27" s="1591">
        <f>'Market Prices'!BT8</f>
        <v>0</v>
      </c>
      <c r="BE27" s="1591">
        <f>'Market Prices'!BU8</f>
        <v>0</v>
      </c>
      <c r="BF27" s="1591" t="str">
        <f>'Market Prices'!BV8</f>
        <v>MS Gas Assumption</v>
      </c>
      <c r="BG27" s="1722">
        <f>CG36</f>
        <v>2.75</v>
      </c>
      <c r="BH27" s="1591"/>
      <c r="BI27" s="1591"/>
      <c r="BJ27" s="1591"/>
      <c r="BK27" s="1591"/>
      <c r="BL27" s="1722">
        <f>CG36</f>
        <v>2.75</v>
      </c>
      <c r="BM27" s="1591"/>
      <c r="BN27" s="1591"/>
      <c r="BO27" s="1591"/>
      <c r="BP27" s="1591"/>
      <c r="BQ27" s="1722">
        <f>CL36</f>
        <v>3.5</v>
      </c>
      <c r="BU27" s="736" t="s">
        <v>639</v>
      </c>
      <c r="BV27" s="765"/>
      <c r="CB27" s="748">
        <f>+CB24/CB26-1</f>
        <v>-7.9834110938309943E-2</v>
      </c>
      <c r="CC27" s="748" t="e">
        <f t="shared" ref="CC27:CF27" si="14">+CC24/CC26-1</f>
        <v>#DIV/0!</v>
      </c>
      <c r="CD27" s="748" t="e">
        <f t="shared" si="14"/>
        <v>#DIV/0!</v>
      </c>
      <c r="CE27" s="748" t="e">
        <f t="shared" si="14"/>
        <v>#DIV/0!</v>
      </c>
      <c r="CF27" s="748" t="e">
        <f t="shared" si="14"/>
        <v>#DIV/0!</v>
      </c>
      <c r="CG27" s="748">
        <f>+CG24/CG26-1</f>
        <v>4.9766718506998542E-2</v>
      </c>
      <c r="CH27" s="748" t="e">
        <f t="shared" ref="CH27:CL27" si="15">+CH24/CH26-1</f>
        <v>#DIV/0!</v>
      </c>
      <c r="CI27" s="748" t="e">
        <f t="shared" si="15"/>
        <v>#DIV/0!</v>
      </c>
      <c r="CJ27" s="748" t="e">
        <f t="shared" si="15"/>
        <v>#DIV/0!</v>
      </c>
      <c r="CK27" s="748" t="e">
        <f t="shared" si="15"/>
        <v>#DIV/0!</v>
      </c>
      <c r="CL27" s="748">
        <f t="shared" si="15"/>
        <v>0.11456713322965273</v>
      </c>
      <c r="CQ27" s="807"/>
      <c r="CV27" s="807"/>
      <c r="DA27" s="807"/>
      <c r="DF27" s="807"/>
      <c r="DK27" s="807"/>
    </row>
    <row r="28" spans="2:152">
      <c r="C28" s="1215" t="s">
        <v>264</v>
      </c>
      <c r="D28" s="1215"/>
      <c r="E28" s="1215"/>
      <c r="F28" s="1215"/>
      <c r="G28" s="1215"/>
      <c r="H28" s="1215"/>
      <c r="I28" s="1215"/>
      <c r="J28" s="1215"/>
      <c r="K28" s="1215"/>
      <c r="L28" s="1215"/>
      <c r="M28" s="1215"/>
      <c r="N28" s="1215"/>
      <c r="O28" s="1215"/>
      <c r="P28" s="1215"/>
      <c r="Q28" s="1215"/>
      <c r="R28" s="1215"/>
      <c r="S28" s="1217"/>
      <c r="T28" s="1217"/>
      <c r="U28" s="1217"/>
      <c r="V28" s="1217"/>
      <c r="W28" s="1217"/>
      <c r="X28" s="1217"/>
      <c r="Y28" s="1217"/>
      <c r="Z28" s="1217"/>
      <c r="AA28" s="1217"/>
      <c r="AB28" s="1217"/>
      <c r="AC28" s="1217"/>
      <c r="AD28" s="1217"/>
      <c r="AE28" s="1217"/>
      <c r="AF28" s="1217"/>
      <c r="AG28" s="1217"/>
      <c r="AH28" s="1217">
        <v>0</v>
      </c>
      <c r="AI28" s="1217"/>
      <c r="AJ28" s="1217"/>
      <c r="AK28" s="1217"/>
      <c r="AL28" s="1217"/>
      <c r="AM28" s="1217">
        <v>0</v>
      </c>
      <c r="AR28" s="1217">
        <v>0</v>
      </c>
      <c r="AW28" s="1217">
        <v>0</v>
      </c>
      <c r="BB28" s="1217">
        <v>0</v>
      </c>
      <c r="BG28" s="1217">
        <v>0</v>
      </c>
      <c r="BL28" s="1217">
        <v>0</v>
      </c>
      <c r="BQ28" s="1217">
        <v>0</v>
      </c>
      <c r="BU28" s="736" t="s">
        <v>377</v>
      </c>
      <c r="BV28" s="813"/>
      <c r="CB28" s="814">
        <f>+CG28</f>
        <v>4.6397096941420427E-2</v>
      </c>
      <c r="CC28" s="814"/>
      <c r="CD28" s="814"/>
      <c r="CE28" s="814"/>
      <c r="CF28" s="814"/>
      <c r="CG28" s="814">
        <f>+AR20</f>
        <v>4.6397096941420427E-2</v>
      </c>
      <c r="CH28" s="814"/>
      <c r="CI28" s="814"/>
      <c r="CJ28" s="814"/>
      <c r="CK28" s="814"/>
      <c r="CL28" s="814">
        <f>+CG28</f>
        <v>4.6397096941420427E-2</v>
      </c>
      <c r="CQ28" s="1431"/>
      <c r="CV28" s="1434"/>
      <c r="DA28" s="1434"/>
      <c r="DF28" s="1434"/>
      <c r="DK28" s="1434"/>
    </row>
    <row r="29" spans="2:152">
      <c r="C29" s="1218" t="s">
        <v>262</v>
      </c>
      <c r="D29" s="1215"/>
      <c r="E29" s="1215"/>
      <c r="F29" s="1215"/>
      <c r="G29" s="1215"/>
      <c r="H29" s="1215"/>
      <c r="I29" s="1215"/>
      <c r="J29" s="1215"/>
      <c r="K29" s="1215"/>
      <c r="L29" s="1215"/>
      <c r="M29" s="1215"/>
      <c r="N29" s="1215"/>
      <c r="O29" s="1215"/>
      <c r="P29" s="1215"/>
      <c r="Q29" s="1215"/>
      <c r="R29" s="1215"/>
      <c r="S29" s="1215"/>
      <c r="T29" s="1215"/>
      <c r="U29" s="1215"/>
      <c r="V29" s="1215"/>
      <c r="W29" s="1215"/>
      <c r="X29" s="1217"/>
      <c r="Y29" s="1217"/>
      <c r="Z29" s="1217"/>
      <c r="AA29" s="1217"/>
      <c r="AB29" s="1217"/>
      <c r="AC29" s="1217"/>
      <c r="AD29" s="1217"/>
      <c r="AE29" s="1217"/>
      <c r="AF29" s="1217"/>
      <c r="AG29" s="1217"/>
      <c r="AH29" s="1217">
        <v>0</v>
      </c>
      <c r="AI29" s="1217"/>
      <c r="AJ29" s="1217"/>
      <c r="AK29" s="1217"/>
      <c r="AL29" s="1217"/>
      <c r="AM29" s="1217">
        <v>0</v>
      </c>
      <c r="AR29" s="1217">
        <v>0</v>
      </c>
      <c r="AW29" s="1217">
        <v>0</v>
      </c>
      <c r="BB29" s="1217">
        <v>0</v>
      </c>
      <c r="BG29" s="1217">
        <v>0</v>
      </c>
      <c r="BL29" s="1217">
        <v>0</v>
      </c>
      <c r="BQ29" s="1217">
        <v>0</v>
      </c>
      <c r="BU29" s="788" t="s">
        <v>640</v>
      </c>
      <c r="BV29" s="803"/>
      <c r="BW29" s="803"/>
      <c r="CB29" s="804">
        <f>+CB28+CB27</f>
        <v>-3.3437013996889517E-2</v>
      </c>
      <c r="CC29" s="804"/>
      <c r="CD29" s="804"/>
      <c r="CE29" s="804"/>
      <c r="CF29" s="804"/>
      <c r="CG29" s="804">
        <f>+CG28+CG27</f>
        <v>9.6163815448418968E-2</v>
      </c>
      <c r="CH29" s="804"/>
      <c r="CI29" s="804"/>
      <c r="CJ29" s="804"/>
      <c r="CK29" s="804"/>
      <c r="CL29" s="806">
        <f>+CL28+CL27</f>
        <v>0.16096423017107314</v>
      </c>
      <c r="CM29" s="816"/>
      <c r="CN29" s="816"/>
      <c r="CO29" s="816"/>
      <c r="CP29" s="816"/>
      <c r="CQ29" s="807"/>
      <c r="CR29" s="816"/>
      <c r="CS29" s="816"/>
      <c r="CT29" s="816"/>
      <c r="CU29" s="816"/>
      <c r="CV29" s="807"/>
      <c r="CW29" s="816"/>
      <c r="CX29" s="816"/>
      <c r="CY29" s="816"/>
      <c r="CZ29" s="816"/>
      <c r="DA29" s="807"/>
      <c r="DB29" s="816"/>
      <c r="DC29" s="816"/>
      <c r="DD29" s="816"/>
      <c r="DE29" s="816"/>
      <c r="DF29" s="807"/>
      <c r="DG29" s="816"/>
      <c r="DH29" s="816"/>
      <c r="DI29" s="816"/>
      <c r="DJ29" s="816"/>
      <c r="DK29" s="807"/>
    </row>
    <row r="30" spans="2:152">
      <c r="CM30" s="819"/>
      <c r="CN30" s="819"/>
      <c r="CO30" s="819"/>
      <c r="CP30" s="819"/>
      <c r="CQ30" s="807"/>
      <c r="CR30" s="819"/>
      <c r="CS30" s="819"/>
      <c r="CT30" s="819"/>
      <c r="CU30" s="819"/>
      <c r="CV30" s="807"/>
      <c r="CW30" s="819"/>
      <c r="CX30" s="819"/>
      <c r="CY30" s="819"/>
      <c r="CZ30" s="819"/>
      <c r="DA30" s="807"/>
      <c r="DB30" s="819"/>
      <c r="DC30" s="819"/>
      <c r="DD30" s="819"/>
      <c r="DE30" s="819"/>
      <c r="DF30" s="807"/>
      <c r="DG30" s="819"/>
      <c r="DH30" s="819"/>
      <c r="DI30" s="819"/>
      <c r="DJ30" s="819"/>
      <c r="DK30" s="807"/>
      <c r="DT30" s="748"/>
    </row>
    <row r="31" spans="2:152">
      <c r="CG31" s="1931"/>
      <c r="CM31" s="821"/>
      <c r="CN31" s="821"/>
      <c r="CO31" s="821"/>
      <c r="CP31" s="821"/>
      <c r="CQ31" s="807"/>
      <c r="CR31" s="821"/>
      <c r="CS31" s="821"/>
      <c r="CT31" s="821"/>
      <c r="CU31" s="821"/>
      <c r="CV31" s="807"/>
      <c r="CW31" s="821"/>
      <c r="CX31" s="821"/>
      <c r="CY31" s="821"/>
      <c r="CZ31" s="821"/>
      <c r="DA31" s="807"/>
      <c r="DB31" s="821"/>
      <c r="DC31" s="821"/>
      <c r="DD31" s="821"/>
      <c r="DE31" s="821"/>
      <c r="DF31" s="807"/>
      <c r="DG31" s="821"/>
      <c r="DH31" s="821"/>
      <c r="DI31" s="821"/>
      <c r="DJ31" s="821"/>
      <c r="DK31" s="807"/>
    </row>
    <row r="32" spans="2:152">
      <c r="B32" s="749" t="s">
        <v>487</v>
      </c>
      <c r="C32" s="749"/>
      <c r="D32" s="750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  <c r="U32" s="751"/>
      <c r="V32" s="751"/>
      <c r="W32" s="751"/>
      <c r="X32" s="751" t="s">
        <v>110</v>
      </c>
      <c r="Y32" s="751"/>
      <c r="Z32" s="751"/>
      <c r="AA32" s="751"/>
      <c r="AB32" s="751"/>
      <c r="AC32" s="751" t="s">
        <v>799</v>
      </c>
      <c r="AD32" s="751"/>
      <c r="AE32" s="751"/>
      <c r="AF32" s="751"/>
      <c r="AG32" s="751"/>
      <c r="AH32" s="751" t="s">
        <v>893</v>
      </c>
      <c r="AI32" s="751"/>
      <c r="AJ32" s="751"/>
      <c r="AK32" s="751"/>
      <c r="AL32" s="751"/>
      <c r="AM32" s="751" t="s">
        <v>948</v>
      </c>
      <c r="AN32" s="751"/>
      <c r="AO32" s="751"/>
      <c r="AP32" s="751"/>
      <c r="AQ32" s="751"/>
      <c r="AR32" s="751" t="s">
        <v>719</v>
      </c>
      <c r="AW32" s="751" t="s">
        <v>768</v>
      </c>
      <c r="BB32" s="751" t="s">
        <v>136</v>
      </c>
      <c r="BG32" s="751" t="s">
        <v>913</v>
      </c>
      <c r="BH32" s="752"/>
      <c r="BI32" s="752"/>
      <c r="BJ32" s="752"/>
      <c r="BK32" s="752"/>
      <c r="BL32" s="751" t="s">
        <v>908</v>
      </c>
      <c r="BM32" s="752"/>
      <c r="BN32" s="752"/>
      <c r="BO32" s="752"/>
      <c r="BP32" s="752"/>
      <c r="BQ32" s="751" t="s">
        <v>992</v>
      </c>
    </row>
    <row r="33" spans="2:152">
      <c r="C33" s="773" t="s">
        <v>420</v>
      </c>
      <c r="N33" s="787"/>
      <c r="O33" s="787"/>
      <c r="P33" s="787"/>
      <c r="Q33" s="787"/>
      <c r="R33" s="787"/>
      <c r="S33" s="787"/>
      <c r="T33" s="787"/>
      <c r="U33" s="787"/>
      <c r="V33" s="787"/>
      <c r="W33" s="787"/>
      <c r="X33" s="787">
        <f>Utility!X67</f>
        <v>-1.5495505468556381E-2</v>
      </c>
      <c r="Y33" s="787"/>
      <c r="Z33" s="787"/>
      <c r="AA33" s="787"/>
      <c r="AB33" s="787"/>
      <c r="AC33" s="787">
        <f>Utility!AC67</f>
        <v>7.2519975702070028E-3</v>
      </c>
      <c r="AD33" s="787"/>
      <c r="AE33" s="787"/>
      <c r="AF33" s="787"/>
      <c r="AG33" s="787"/>
      <c r="AH33" s="787">
        <f>Utility!AH67</f>
        <v>2.903109082305777E-2</v>
      </c>
      <c r="AI33" s="787"/>
      <c r="AJ33" s="787"/>
      <c r="AK33" s="787"/>
      <c r="AL33" s="787"/>
      <c r="AM33" s="787">
        <f>Utility!AM67</f>
        <v>1.2640879992786846E-2</v>
      </c>
      <c r="AN33" s="787"/>
      <c r="AO33" s="787"/>
      <c r="AP33" s="787"/>
      <c r="AQ33" s="787"/>
      <c r="AR33" s="787">
        <f>Utility!AR67</f>
        <v>2.5197663651257418E-3</v>
      </c>
      <c r="AS33" s="832"/>
      <c r="AT33" s="832"/>
      <c r="AU33" s="832"/>
      <c r="AV33" s="832"/>
      <c r="AW33" s="787">
        <f>Utility!AW67</f>
        <v>2.3535680980504292E-3</v>
      </c>
      <c r="AX33" s="832"/>
      <c r="AY33" s="832"/>
      <c r="AZ33" s="832"/>
      <c r="BA33" s="832"/>
      <c r="BB33" s="787">
        <f>Utility!BB67</f>
        <v>-7.0000000000000001E-3</v>
      </c>
      <c r="BC33" s="832"/>
      <c r="BD33" s="832"/>
      <c r="BE33" s="832"/>
      <c r="BF33" s="832"/>
      <c r="BG33" s="787">
        <f>Utility!BG67</f>
        <v>6.0000000000000001E-3</v>
      </c>
      <c r="BH33" s="832"/>
      <c r="BI33" s="832"/>
      <c r="BJ33" s="832"/>
      <c r="BK33" s="832"/>
      <c r="BL33" s="787">
        <f>Utility!BL67</f>
        <v>6.0000000000000001E-3</v>
      </c>
      <c r="BM33" s="832"/>
      <c r="BN33" s="832"/>
      <c r="BO33" s="832"/>
      <c r="BP33" s="832"/>
      <c r="BQ33" s="787">
        <f>Utility!BQ67</f>
        <v>6.0000000000000001E-3</v>
      </c>
    </row>
    <row r="34" spans="2:152">
      <c r="C34" s="773" t="s">
        <v>642</v>
      </c>
      <c r="N34" s="787"/>
      <c r="O34" s="787"/>
      <c r="P34" s="787"/>
      <c r="Q34" s="787"/>
      <c r="R34" s="787"/>
      <c r="S34" s="787"/>
      <c r="T34" s="787"/>
      <c r="U34" s="787"/>
      <c r="V34" s="787"/>
      <c r="W34" s="787"/>
      <c r="X34" s="787">
        <f>Utility!X78</f>
        <v>4.7141677266148818E-2</v>
      </c>
      <c r="Y34" s="787"/>
      <c r="Z34" s="787"/>
      <c r="AA34" s="787"/>
      <c r="AB34" s="787"/>
      <c r="AC34" s="787">
        <f>Utility!AC78</f>
        <v>5.5506922820829141E-2</v>
      </c>
      <c r="AD34" s="787"/>
      <c r="AE34" s="787"/>
      <c r="AF34" s="787"/>
      <c r="AG34" s="787"/>
      <c r="AH34" s="787">
        <f>Utility!AH78</f>
        <v>5.2585609496570873E-2</v>
      </c>
      <c r="AI34" s="787"/>
      <c r="AJ34" s="787"/>
      <c r="AK34" s="787"/>
      <c r="AL34" s="787"/>
      <c r="AM34" s="787">
        <f>Utility!AM78</f>
        <v>7.6594030749190356E-2</v>
      </c>
      <c r="AN34" s="787"/>
      <c r="AO34" s="787"/>
      <c r="AP34" s="787"/>
      <c r="AQ34" s="787"/>
      <c r="AR34" s="787">
        <f>Utility!AR78</f>
        <v>-3.4082048238388007E-2</v>
      </c>
      <c r="AS34" s="832"/>
      <c r="AT34" s="832"/>
      <c r="AU34" s="832"/>
      <c r="AV34" s="832"/>
      <c r="AW34" s="787">
        <f>Utility!AW78</f>
        <v>4.5845640115093955E-2</v>
      </c>
      <c r="AX34" s="832"/>
      <c r="AY34" s="832"/>
      <c r="AZ34" s="832"/>
      <c r="BA34" s="832"/>
      <c r="BB34" s="787">
        <f>Utility!BB78</f>
        <v>0</v>
      </c>
      <c r="BC34" s="832"/>
      <c r="BD34" s="832"/>
      <c r="BE34" s="832"/>
      <c r="BF34" s="832"/>
      <c r="BG34" s="787">
        <f>Utility!BG78</f>
        <v>0.01</v>
      </c>
      <c r="BH34" s="832"/>
      <c r="BI34" s="832"/>
      <c r="BJ34" s="832"/>
      <c r="BK34" s="832"/>
      <c r="BL34" s="787">
        <f>Utility!BL78</f>
        <v>0.01</v>
      </c>
      <c r="BM34" s="832"/>
      <c r="BN34" s="832"/>
      <c r="BO34" s="832"/>
      <c r="BP34" s="832"/>
      <c r="BQ34" s="787">
        <f>Utility!BQ78</f>
        <v>0.01</v>
      </c>
    </row>
    <row r="35" spans="2:152">
      <c r="BT35" s="815" t="s">
        <v>986</v>
      </c>
      <c r="BU35" s="815"/>
      <c r="BV35" s="750"/>
      <c r="CB35" s="816" t="s">
        <v>635</v>
      </c>
      <c r="CC35" s="816"/>
      <c r="CD35" s="816"/>
      <c r="CE35" s="816"/>
      <c r="CF35" s="816"/>
      <c r="CG35" s="816" t="s">
        <v>636</v>
      </c>
      <c r="CH35" s="816"/>
      <c r="CI35" s="816"/>
      <c r="CJ35" s="816"/>
      <c r="CK35" s="816"/>
      <c r="CL35" s="816" t="s">
        <v>637</v>
      </c>
      <c r="CM35" s="821"/>
      <c r="CN35" s="821"/>
      <c r="CO35" s="821"/>
      <c r="CP35" s="821"/>
      <c r="CR35" s="821"/>
      <c r="CS35" s="821"/>
      <c r="CT35" s="821"/>
      <c r="CU35" s="821"/>
      <c r="CW35" s="821"/>
      <c r="CX35" s="821"/>
      <c r="CY35" s="821"/>
      <c r="CZ35" s="821"/>
      <c r="DB35" s="821"/>
      <c r="DC35" s="821"/>
      <c r="DD35" s="821"/>
      <c r="DE35" s="821"/>
      <c r="DG35" s="821"/>
      <c r="DH35" s="821"/>
      <c r="DI35" s="821"/>
      <c r="DJ35" s="821"/>
    </row>
    <row r="36" spans="2:152">
      <c r="C36" s="773" t="s">
        <v>211</v>
      </c>
      <c r="N36" s="787"/>
      <c r="O36" s="787"/>
      <c r="P36" s="787"/>
      <c r="Q36" s="787"/>
      <c r="R36" s="787"/>
      <c r="S36" s="787"/>
      <c r="T36" s="787"/>
      <c r="U36" s="787"/>
      <c r="V36" s="787"/>
      <c r="W36" s="787"/>
      <c r="X36" s="787">
        <f>Utility!X86</f>
        <v>0.12176606615833312</v>
      </c>
      <c r="Y36" s="787"/>
      <c r="Z36" s="787"/>
      <c r="AA36" s="787"/>
      <c r="AB36" s="787"/>
      <c r="AC36" s="787">
        <f>Utility!AC86</f>
        <v>9.968873136316854E-2</v>
      </c>
      <c r="AD36" s="787"/>
      <c r="AE36" s="787"/>
      <c r="AF36" s="787"/>
      <c r="AG36" s="787"/>
      <c r="AH36" s="787">
        <f>Utility!AH86</f>
        <v>9.6714103712677538E-2</v>
      </c>
      <c r="AI36" s="787"/>
      <c r="AJ36" s="787"/>
      <c r="AK36" s="787"/>
      <c r="AL36" s="787"/>
      <c r="AM36" s="787">
        <f>Utility!AM86</f>
        <v>0.1267912888390651</v>
      </c>
      <c r="AN36" s="787"/>
      <c r="AO36" s="787"/>
      <c r="AP36" s="787"/>
      <c r="AQ36" s="787"/>
      <c r="AR36" s="787">
        <f>Utility!AR86</f>
        <v>0.12243686184331146</v>
      </c>
      <c r="AS36" s="832"/>
      <c r="AT36" s="832"/>
      <c r="AU36" s="832"/>
      <c r="AV36" s="832"/>
      <c r="AW36" s="787">
        <f>Utility!AW86</f>
        <v>8.9957018643886694E-2</v>
      </c>
      <c r="AX36" s="832"/>
      <c r="AY36" s="832"/>
      <c r="AZ36" s="832"/>
      <c r="BA36" s="832"/>
      <c r="BB36" s="787">
        <f>Utility!BB86</f>
        <v>9.2349928807497761E-2</v>
      </c>
      <c r="BC36" s="832"/>
      <c r="BD36" s="832"/>
      <c r="BE36" s="832"/>
      <c r="BF36" s="832"/>
      <c r="BG36" s="787">
        <f>Utility!BG86</f>
        <v>9.2442229190006775E-2</v>
      </c>
      <c r="BH36" s="832"/>
      <c r="BI36" s="832"/>
      <c r="BJ36" s="832"/>
      <c r="BK36" s="832"/>
      <c r="BL36" s="787">
        <f>Utility!BL86</f>
        <v>9.2259590685750972E-2</v>
      </c>
      <c r="BM36" s="832"/>
      <c r="BN36" s="832"/>
      <c r="BO36" s="832"/>
      <c r="BP36" s="832"/>
      <c r="BQ36" s="787">
        <f>Utility!BQ86</f>
        <v>9.2242654948992961E-2</v>
      </c>
      <c r="BU36" s="818" t="s">
        <v>483</v>
      </c>
      <c r="CB36" s="1978">
        <v>2.25</v>
      </c>
      <c r="CC36" s="1978"/>
      <c r="CD36" s="1978"/>
      <c r="CE36" s="1978"/>
      <c r="CF36" s="1978"/>
      <c r="CG36" s="820">
        <v>2.75</v>
      </c>
      <c r="CH36" s="1978"/>
      <c r="CI36" s="1978"/>
      <c r="CJ36" s="1978"/>
      <c r="CK36" s="1978"/>
      <c r="CL36" s="1978">
        <v>3.5</v>
      </c>
      <c r="CM36" s="821"/>
      <c r="CN36" s="821"/>
      <c r="CO36" s="821"/>
      <c r="CP36" s="821"/>
      <c r="CR36" s="821"/>
      <c r="CS36" s="821"/>
      <c r="CT36" s="821"/>
      <c r="CU36" s="821"/>
      <c r="CW36" s="821"/>
      <c r="CX36" s="821"/>
      <c r="CY36" s="821"/>
      <c r="CZ36" s="821"/>
      <c r="DB36" s="821"/>
      <c r="DC36" s="821"/>
      <c r="DD36" s="821"/>
      <c r="DE36" s="821"/>
      <c r="DG36" s="821"/>
      <c r="DH36" s="821"/>
      <c r="DI36" s="821"/>
      <c r="DJ36" s="821"/>
      <c r="DL36" s="825"/>
      <c r="DQ36" s="815" t="s">
        <v>353</v>
      </c>
      <c r="DR36" s="826"/>
      <c r="DS36" s="827"/>
      <c r="DT36" s="827"/>
      <c r="DU36" s="827"/>
      <c r="DV36" s="828"/>
      <c r="DW36" s="828"/>
      <c r="DX36" s="828"/>
      <c r="DY36" s="828"/>
      <c r="DZ36" s="828"/>
      <c r="EA36" s="828"/>
      <c r="EB36" s="762"/>
      <c r="EC36" s="783"/>
      <c r="ED36" s="783"/>
      <c r="EF36" s="762"/>
      <c r="EG36" s="762"/>
      <c r="EH36" s="762"/>
      <c r="EI36" s="762"/>
      <c r="EJ36" s="762"/>
      <c r="EK36" s="762"/>
      <c r="EL36" s="762"/>
      <c r="EM36" s="762"/>
      <c r="EN36" s="762"/>
      <c r="EO36" s="762"/>
      <c r="EP36" s="762"/>
      <c r="EQ36" s="783"/>
      <c r="ER36" s="829"/>
      <c r="ES36" s="762"/>
      <c r="ET36" s="762"/>
      <c r="EU36" s="762"/>
      <c r="EV36" s="762"/>
    </row>
    <row r="37" spans="2:152">
      <c r="C37" s="773" t="s">
        <v>194</v>
      </c>
      <c r="N37" s="787"/>
      <c r="O37" s="787"/>
      <c r="P37" s="787"/>
      <c r="Q37" s="787"/>
      <c r="R37" s="787"/>
      <c r="S37" s="787"/>
      <c r="T37" s="787"/>
      <c r="U37" s="787"/>
      <c r="V37" s="787"/>
      <c r="W37" s="787"/>
      <c r="X37" s="787">
        <f>Utility!X301</f>
        <v>0.46095742263933703</v>
      </c>
      <c r="Y37" s="787"/>
      <c r="Z37" s="787"/>
      <c r="AA37" s="787"/>
      <c r="AB37" s="787"/>
      <c r="AC37" s="787">
        <f>Utility!AC301</f>
        <v>0.46731648742341753</v>
      </c>
      <c r="AD37" s="787"/>
      <c r="AE37" s="787"/>
      <c r="AF37" s="787"/>
      <c r="AG37" s="787"/>
      <c r="AH37" s="787">
        <f>Utility!AH301</f>
        <v>0.4532612015195906</v>
      </c>
      <c r="AI37" s="787"/>
      <c r="AJ37" s="787"/>
      <c r="AK37" s="787"/>
      <c r="AL37" s="787"/>
      <c r="AM37" s="787">
        <f>Utility!AM301</f>
        <v>0.45453036909674371</v>
      </c>
      <c r="AN37" s="787"/>
      <c r="AO37" s="787"/>
      <c r="AP37" s="787"/>
      <c r="AQ37" s="787"/>
      <c r="AR37" s="787">
        <f>Utility!AR301</f>
        <v>0.46857065578955009</v>
      </c>
      <c r="AS37" s="832"/>
      <c r="AT37" s="832"/>
      <c r="AU37" s="832"/>
      <c r="AV37" s="832"/>
      <c r="AW37" s="787" t="str">
        <f>Utility!AW301</f>
        <v xml:space="preserve">       </v>
      </c>
      <c r="AX37" s="832"/>
      <c r="AY37" s="832"/>
      <c r="AZ37" s="832"/>
      <c r="BA37" s="832"/>
      <c r="BB37" s="787">
        <f>Utility!BB301</f>
        <v>0.44789518172539605</v>
      </c>
      <c r="BC37" s="832"/>
      <c r="BD37" s="832"/>
      <c r="BE37" s="832"/>
      <c r="BF37" s="832"/>
      <c r="BG37" s="787">
        <f>Utility!BG301</f>
        <v>0.44708315275139404</v>
      </c>
      <c r="BH37" s="832"/>
      <c r="BI37" s="832"/>
      <c r="BJ37" s="832"/>
      <c r="BK37" s="832"/>
      <c r="BL37" s="787">
        <f>Utility!BL301</f>
        <v>0.44134621166276655</v>
      </c>
      <c r="BM37" s="832"/>
      <c r="BN37" s="832"/>
      <c r="BO37" s="832"/>
      <c r="BP37" s="832"/>
      <c r="BQ37" s="787">
        <f>Utility!BQ301</f>
        <v>0.44416901223323318</v>
      </c>
      <c r="BU37" s="1708" t="s">
        <v>927</v>
      </c>
      <c r="CB37" s="1489">
        <v>-1</v>
      </c>
      <c r="CG37" s="1490">
        <v>0</v>
      </c>
      <c r="CL37" s="1491">
        <v>0</v>
      </c>
      <c r="CM37" s="821"/>
      <c r="CN37" s="821"/>
      <c r="CO37" s="821"/>
      <c r="CP37" s="821"/>
      <c r="CR37" s="821"/>
      <c r="CS37" s="821"/>
      <c r="CT37" s="821"/>
      <c r="CU37" s="821"/>
      <c r="CW37" s="821"/>
      <c r="CX37" s="821"/>
      <c r="CY37" s="821"/>
      <c r="CZ37" s="821"/>
      <c r="DB37" s="821"/>
      <c r="DC37" s="821"/>
      <c r="DD37" s="821"/>
      <c r="DE37" s="821"/>
      <c r="DG37" s="821"/>
      <c r="DH37" s="821"/>
      <c r="DI37" s="821"/>
      <c r="DJ37" s="821"/>
      <c r="DM37" s="825"/>
      <c r="DQ37" s="797" t="s">
        <v>488</v>
      </c>
      <c r="DU37" s="830"/>
      <c r="DV37" s="831" t="s">
        <v>334</v>
      </c>
      <c r="DW37" s="783"/>
      <c r="DX37" s="783"/>
      <c r="DY37" s="783"/>
      <c r="DZ37" s="783"/>
      <c r="EA37" s="783"/>
      <c r="EB37" s="762"/>
      <c r="EC37" s="783"/>
      <c r="ED37" s="783"/>
      <c r="EF37" s="762"/>
      <c r="EG37" s="762"/>
      <c r="EH37" s="762"/>
      <c r="EI37" s="762"/>
      <c r="EJ37" s="762"/>
      <c r="EK37" s="762"/>
      <c r="EL37" s="762"/>
      <c r="EM37" s="762"/>
      <c r="EN37" s="762"/>
      <c r="EO37" s="762"/>
      <c r="EP37" s="762"/>
      <c r="EQ37" s="783"/>
      <c r="ER37" s="829"/>
      <c r="ES37" s="762"/>
      <c r="ET37" s="762"/>
      <c r="EU37" s="762"/>
      <c r="EV37" s="762"/>
    </row>
    <row r="38" spans="2:152">
      <c r="C38" s="773"/>
      <c r="N38" s="787"/>
      <c r="O38" s="787"/>
      <c r="P38" s="787"/>
      <c r="Q38" s="787"/>
      <c r="R38" s="787"/>
      <c r="S38" s="787"/>
      <c r="T38" s="787"/>
      <c r="U38" s="787"/>
      <c r="V38" s="787"/>
      <c r="W38" s="787"/>
      <c r="X38" s="787"/>
      <c r="Y38" s="787"/>
      <c r="Z38" s="787"/>
      <c r="AA38" s="787"/>
      <c r="AB38" s="787"/>
      <c r="AC38" s="787"/>
      <c r="AD38" s="787"/>
      <c r="AE38" s="787"/>
      <c r="AF38" s="787"/>
      <c r="AG38" s="787"/>
      <c r="AH38" s="787"/>
      <c r="AI38" s="787"/>
      <c r="AJ38" s="787"/>
      <c r="AK38" s="787"/>
      <c r="AL38" s="787"/>
      <c r="AM38" s="787"/>
      <c r="AN38" s="787"/>
      <c r="AO38" s="787"/>
      <c r="AP38" s="787"/>
      <c r="AQ38" s="787"/>
      <c r="AR38" s="787"/>
      <c r="AS38" s="762"/>
      <c r="AT38" s="762"/>
      <c r="AU38" s="762"/>
      <c r="AV38" s="762"/>
      <c r="AX38" s="762"/>
      <c r="AY38" s="762"/>
      <c r="AZ38" s="762"/>
      <c r="BA38" s="762"/>
      <c r="BC38" s="762"/>
      <c r="BD38" s="762"/>
      <c r="BE38" s="762"/>
      <c r="BF38" s="762"/>
      <c r="BH38" s="762"/>
      <c r="BI38" s="762"/>
      <c r="BJ38" s="762"/>
      <c r="BK38" s="762"/>
      <c r="BM38" s="762"/>
      <c r="BN38" s="762"/>
      <c r="BO38" s="762"/>
      <c r="BP38" s="762"/>
      <c r="BU38" s="1574" t="s">
        <v>85</v>
      </c>
      <c r="CB38" s="1">
        <v>125</v>
      </c>
      <c r="CC38" s="3"/>
      <c r="CD38" s="3"/>
      <c r="CE38" s="3"/>
      <c r="CF38" s="3"/>
      <c r="CG38" s="2">
        <v>175</v>
      </c>
      <c r="CH38" s="3"/>
      <c r="CI38" s="3"/>
      <c r="CJ38" s="3"/>
      <c r="CK38" s="3"/>
      <c r="CL38" s="1">
        <v>200</v>
      </c>
      <c r="CM38" s="821"/>
      <c r="CN38" s="821"/>
      <c r="CO38" s="821"/>
      <c r="CP38" s="821"/>
      <c r="CR38" s="821"/>
      <c r="CS38" s="821"/>
      <c r="CT38" s="821"/>
      <c r="CU38" s="821"/>
      <c r="CW38" s="821"/>
      <c r="CX38" s="821"/>
      <c r="CY38" s="821"/>
      <c r="CZ38" s="821"/>
      <c r="DB38" s="821"/>
      <c r="DC38" s="821"/>
      <c r="DD38" s="821"/>
      <c r="DE38" s="821"/>
      <c r="DG38" s="821"/>
      <c r="DH38" s="821"/>
      <c r="DI38" s="821"/>
      <c r="DJ38" s="821"/>
      <c r="DL38" s="833"/>
      <c r="DM38" s="751"/>
      <c r="DN38" s="751"/>
      <c r="DO38" s="751"/>
      <c r="DP38" s="751"/>
      <c r="DQ38" s="762" t="s">
        <v>331</v>
      </c>
      <c r="DR38" s="783"/>
      <c r="DS38" s="783"/>
      <c r="DT38" s="98">
        <v>2</v>
      </c>
      <c r="DU38" s="834"/>
      <c r="DV38" s="783" t="s">
        <v>337</v>
      </c>
      <c r="DW38" s="783"/>
      <c r="DX38" s="783"/>
      <c r="DY38" s="783"/>
      <c r="DZ38" s="783"/>
      <c r="EA38" s="814">
        <f>DT47</f>
        <v>0.09</v>
      </c>
      <c r="EB38" s="762"/>
      <c r="EC38" s="783"/>
      <c r="ED38" s="783"/>
      <c r="EF38" s="762"/>
      <c r="EG38" s="762"/>
      <c r="EH38" s="762"/>
      <c r="EI38" s="762"/>
      <c r="EJ38" s="762"/>
      <c r="EK38" s="762"/>
      <c r="EL38" s="762"/>
      <c r="EM38" s="762"/>
      <c r="EN38" s="762"/>
      <c r="EO38" s="762"/>
      <c r="EP38" s="762"/>
      <c r="EQ38" s="783"/>
      <c r="ER38" s="829"/>
      <c r="ES38" s="783"/>
      <c r="ET38" s="783"/>
      <c r="EU38" s="783"/>
      <c r="EV38" s="783"/>
    </row>
    <row r="39" spans="2:152">
      <c r="C39" s="773" t="s">
        <v>421</v>
      </c>
      <c r="N39" s="787"/>
      <c r="O39" s="787"/>
      <c r="P39" s="787"/>
      <c r="Q39" s="787"/>
      <c r="R39" s="787"/>
      <c r="S39" s="787"/>
      <c r="T39" s="787"/>
      <c r="U39" s="787"/>
      <c r="V39" s="787"/>
      <c r="W39" s="787"/>
      <c r="X39" s="787">
        <f>Utility!X311</f>
        <v>0.10239111261872458</v>
      </c>
      <c r="Y39" s="787"/>
      <c r="Z39" s="787"/>
      <c r="AA39" s="787"/>
      <c r="AB39" s="787"/>
      <c r="AC39" s="787">
        <f>Utility!AC311</f>
        <v>0.10239111261872456</v>
      </c>
      <c r="AD39" s="787"/>
      <c r="AE39" s="787"/>
      <c r="AF39" s="787"/>
      <c r="AG39" s="787"/>
      <c r="AH39" s="787">
        <f>Utility!AH311</f>
        <v>9.9404470443005197E-2</v>
      </c>
      <c r="AI39" s="787"/>
      <c r="AJ39" s="787"/>
      <c r="AK39" s="787"/>
      <c r="AL39" s="787"/>
      <c r="AM39" s="787">
        <f>Utility!AM311</f>
        <v>9.9404470443005211E-2</v>
      </c>
      <c r="AN39" s="787"/>
      <c r="AO39" s="787"/>
      <c r="AP39" s="787"/>
      <c r="AQ39" s="787"/>
      <c r="AR39" s="787">
        <f>Utility!AR311</f>
        <v>0.10064414343879072</v>
      </c>
      <c r="AS39" s="762"/>
      <c r="AT39" s="762"/>
      <c r="AU39" s="762"/>
      <c r="AV39" s="762"/>
      <c r="AW39" s="787">
        <f>Utility!AW311</f>
        <v>0.10064414343879069</v>
      </c>
      <c r="AX39" s="762"/>
      <c r="AY39" s="762"/>
      <c r="AZ39" s="762"/>
      <c r="BA39" s="762"/>
      <c r="BB39" s="787">
        <f>Utility!BB311</f>
        <v>0.1006441434387907</v>
      </c>
      <c r="BC39" s="762"/>
      <c r="BD39" s="762"/>
      <c r="BE39" s="762"/>
      <c r="BF39" s="762"/>
      <c r="BG39" s="787">
        <f>Utility!BG311</f>
        <v>0.10064414343879072</v>
      </c>
      <c r="BH39" s="762"/>
      <c r="BI39" s="762"/>
      <c r="BJ39" s="762"/>
      <c r="BK39" s="762"/>
      <c r="BL39" s="787">
        <f>Utility!BL311</f>
        <v>0.1006441434387907</v>
      </c>
      <c r="BM39" s="762"/>
      <c r="BN39" s="762"/>
      <c r="BO39" s="762"/>
      <c r="BP39" s="762"/>
      <c r="BQ39" s="787">
        <f>Utility!BQ311</f>
        <v>0.10064414343879069</v>
      </c>
      <c r="BU39" s="773" t="s">
        <v>975</v>
      </c>
      <c r="CB39" s="821" t="s">
        <v>486</v>
      </c>
      <c r="CC39" s="821"/>
      <c r="CD39" s="821"/>
      <c r="CE39" s="821"/>
      <c r="CF39" s="821"/>
      <c r="CG39" s="1579" t="s">
        <v>485</v>
      </c>
      <c r="CH39" s="821"/>
      <c r="CI39" s="821"/>
      <c r="CJ39" s="821"/>
      <c r="CK39" s="821"/>
      <c r="CL39" s="821" t="s">
        <v>485</v>
      </c>
      <c r="CM39" s="821"/>
      <c r="CN39" s="821"/>
      <c r="CO39" s="821"/>
      <c r="CP39" s="821"/>
      <c r="CR39" s="821"/>
      <c r="CS39" s="821"/>
      <c r="CT39" s="821"/>
      <c r="CU39" s="821"/>
      <c r="CW39" s="821"/>
      <c r="CX39" s="821"/>
      <c r="CY39" s="821"/>
      <c r="CZ39" s="821"/>
      <c r="DB39" s="821"/>
      <c r="DC39" s="821"/>
      <c r="DD39" s="821"/>
      <c r="DE39" s="821"/>
      <c r="DG39" s="821"/>
      <c r="DH39" s="821"/>
      <c r="DI39" s="821"/>
      <c r="DJ39" s="821"/>
      <c r="DQ39" s="762" t="s">
        <v>332</v>
      </c>
      <c r="DR39" s="783"/>
      <c r="DS39" s="783"/>
      <c r="DT39" s="98">
        <v>8</v>
      </c>
      <c r="DU39" s="834"/>
      <c r="DV39" s="783" t="s">
        <v>343</v>
      </c>
      <c r="DW39" s="783"/>
      <c r="DX39" s="783"/>
      <c r="DY39" s="783"/>
      <c r="DZ39" s="783"/>
      <c r="EA39" s="835">
        <v>2</v>
      </c>
      <c r="EB39" s="762"/>
      <c r="EC39" s="783"/>
      <c r="ED39" s="783"/>
      <c r="EF39" s="762"/>
      <c r="EG39" s="111"/>
      <c r="EH39" s="762"/>
      <c r="EI39" s="762"/>
      <c r="EJ39" s="762"/>
      <c r="EK39" s="762"/>
      <c r="EL39" s="762"/>
      <c r="EM39" s="762"/>
      <c r="EN39" s="762"/>
      <c r="EO39" s="762"/>
      <c r="EP39" s="762"/>
      <c r="EQ39" s="783"/>
      <c r="ER39" s="829"/>
      <c r="ES39" s="783"/>
      <c r="ET39" s="783"/>
      <c r="EU39" s="783"/>
      <c r="EV39" s="783"/>
    </row>
    <row r="40" spans="2:152">
      <c r="C40" s="773" t="s">
        <v>195</v>
      </c>
      <c r="N40" s="787"/>
      <c r="O40" s="787"/>
      <c r="P40" s="787"/>
      <c r="Q40" s="787"/>
      <c r="R40" s="787"/>
      <c r="S40" s="787"/>
      <c r="T40" s="787"/>
      <c r="U40" s="787"/>
      <c r="V40" s="787"/>
      <c r="W40" s="787"/>
      <c r="X40" s="787">
        <f>Utility!X299</f>
        <v>0.45564298501361111</v>
      </c>
      <c r="Y40" s="787"/>
      <c r="Z40" s="787"/>
      <c r="AA40" s="787"/>
      <c r="AB40" s="787"/>
      <c r="AC40" s="787">
        <f>Utility!AC299</f>
        <v>0.45564298501361111</v>
      </c>
      <c r="AD40" s="787"/>
      <c r="AE40" s="787"/>
      <c r="AF40" s="787"/>
      <c r="AG40" s="787"/>
      <c r="AH40" s="787">
        <f>Utility!AH299</f>
        <v>0.45564298501361117</v>
      </c>
      <c r="AI40" s="787"/>
      <c r="AJ40" s="787"/>
      <c r="AK40" s="787"/>
      <c r="AL40" s="787"/>
      <c r="AM40" s="787">
        <f>Utility!AM299</f>
        <v>0.45564298501361111</v>
      </c>
      <c r="AN40" s="787"/>
      <c r="AO40" s="787"/>
      <c r="AP40" s="787"/>
      <c r="AQ40" s="787"/>
      <c r="AR40" s="787">
        <f>Utility!AR299</f>
        <v>0.45592914946593321</v>
      </c>
      <c r="AS40" s="796"/>
      <c r="AT40" s="796"/>
      <c r="AU40" s="796"/>
      <c r="AV40" s="796"/>
      <c r="AW40" s="787">
        <f>Utility!AW299</f>
        <v>0.45592914946593327</v>
      </c>
      <c r="AX40" s="796"/>
      <c r="AY40" s="796"/>
      <c r="AZ40" s="796"/>
      <c r="BA40" s="796"/>
      <c r="BB40" s="787">
        <f>Utility!BB299</f>
        <v>0.45592914946593344</v>
      </c>
      <c r="BC40" s="796"/>
      <c r="BD40" s="796"/>
      <c r="BE40" s="796"/>
      <c r="BF40" s="796"/>
      <c r="BG40" s="787">
        <f>Utility!BG299</f>
        <v>0.45592914946593338</v>
      </c>
      <c r="BH40" s="796"/>
      <c r="BI40" s="796"/>
      <c r="BJ40" s="796"/>
      <c r="BK40" s="796"/>
      <c r="BL40" s="787">
        <f>Utility!BL299</f>
        <v>0.45592914946593333</v>
      </c>
      <c r="BM40" s="796"/>
      <c r="BN40" s="796"/>
      <c r="BO40" s="796"/>
      <c r="BP40" s="796"/>
      <c r="BQ40" s="787">
        <f>Utility!BQ299</f>
        <v>0.45592914946593338</v>
      </c>
      <c r="BU40" s="818" t="s">
        <v>484</v>
      </c>
      <c r="CB40" s="821" t="s">
        <v>486</v>
      </c>
      <c r="CC40" s="821"/>
      <c r="CD40" s="821"/>
      <c r="CE40" s="821"/>
      <c r="CF40" s="821"/>
      <c r="CG40" s="1579" t="s">
        <v>486</v>
      </c>
      <c r="CH40" s="821"/>
      <c r="CI40" s="821"/>
      <c r="CJ40" s="821"/>
      <c r="CK40" s="821"/>
      <c r="CL40" s="1988" t="s">
        <v>1021</v>
      </c>
      <c r="DL40" s="801"/>
      <c r="DQ40" s="762" t="s">
        <v>489</v>
      </c>
      <c r="DR40" s="783"/>
      <c r="DS40" s="783"/>
      <c r="DT40" s="838">
        <f>DT38/DT39</f>
        <v>0.25</v>
      </c>
      <c r="DU40" s="783"/>
      <c r="DV40" s="783" t="s">
        <v>338</v>
      </c>
      <c r="DW40" s="783"/>
      <c r="DX40" s="783"/>
      <c r="DY40" s="783"/>
      <c r="DZ40" s="783"/>
      <c r="EA40" s="95">
        <v>0.02</v>
      </c>
      <c r="EB40" s="797">
        <v>1</v>
      </c>
      <c r="EC40" s="783"/>
      <c r="ED40" s="783"/>
      <c r="EF40" s="762"/>
      <c r="EG40" s="762"/>
      <c r="EH40" s="762"/>
      <c r="EI40" s="762"/>
      <c r="EJ40" s="762"/>
      <c r="EK40" s="762"/>
      <c r="EL40" s="762"/>
      <c r="EM40" s="762"/>
      <c r="EN40" s="762"/>
      <c r="EO40" s="762"/>
      <c r="EP40" s="762"/>
      <c r="EQ40" s="783"/>
      <c r="ER40" s="829"/>
      <c r="ES40" s="783"/>
      <c r="ET40" s="783"/>
      <c r="EU40" s="783"/>
      <c r="EV40" s="783"/>
    </row>
    <row r="41" spans="2:152">
      <c r="BU41" s="1638" t="s">
        <v>884</v>
      </c>
      <c r="CB41" s="1639">
        <v>0</v>
      </c>
      <c r="CC41" s="821"/>
      <c r="CD41" s="821"/>
      <c r="CE41" s="821"/>
      <c r="CF41" s="821"/>
      <c r="CG41" s="1640">
        <v>0</v>
      </c>
      <c r="CH41" s="821"/>
      <c r="CI41" s="821"/>
      <c r="CJ41" s="821"/>
      <c r="CK41" s="821"/>
      <c r="CL41" s="1639">
        <v>0</v>
      </c>
      <c r="DQ41" s="762" t="s">
        <v>490</v>
      </c>
      <c r="DR41" s="783"/>
      <c r="DS41" s="783"/>
      <c r="DT41" s="839">
        <f>(DT39-DT38)/DT39</f>
        <v>0.75</v>
      </c>
      <c r="DU41" s="783"/>
      <c r="DV41" s="783" t="s">
        <v>339</v>
      </c>
      <c r="DW41" s="783"/>
      <c r="DX41" s="783"/>
      <c r="DY41" s="783"/>
      <c r="DZ41" s="783"/>
      <c r="EA41" s="98">
        <f>DT55</f>
        <v>0.56525119457704609</v>
      </c>
      <c r="EB41" s="797">
        <v>2</v>
      </c>
      <c r="EC41" s="783"/>
      <c r="ED41" s="783"/>
      <c r="EF41" s="762"/>
      <c r="EG41" s="762"/>
      <c r="EH41" s="762"/>
      <c r="EI41" s="762"/>
      <c r="EJ41" s="762"/>
      <c r="EK41" s="762"/>
      <c r="EL41" s="762"/>
      <c r="EM41" s="762"/>
      <c r="EN41" s="762"/>
      <c r="EO41" s="762"/>
      <c r="EP41" s="762"/>
      <c r="EQ41" s="783"/>
      <c r="ER41" s="829"/>
      <c r="ES41" s="783"/>
      <c r="ET41" s="783"/>
      <c r="EU41" s="783"/>
      <c r="EV41" s="783"/>
    </row>
    <row r="42" spans="2:152">
      <c r="DQ42" s="762" t="s">
        <v>492</v>
      </c>
      <c r="DR42" s="783"/>
      <c r="DS42" s="783"/>
      <c r="DT42" s="96">
        <v>0.06</v>
      </c>
      <c r="DU42" s="783"/>
      <c r="DV42" s="783"/>
      <c r="DW42" s="783"/>
      <c r="DX42" s="783"/>
      <c r="DY42" s="783"/>
      <c r="DZ42" s="783"/>
      <c r="EA42" s="814"/>
      <c r="EB42" s="762"/>
      <c r="EC42" s="783"/>
      <c r="ED42" s="783"/>
      <c r="EF42" s="762"/>
      <c r="EG42" s="762"/>
      <c r="EH42" s="762"/>
      <c r="EI42" s="762"/>
      <c r="EJ42" s="762"/>
      <c r="EK42" s="762"/>
      <c r="EL42" s="762"/>
      <c r="EM42" s="762"/>
      <c r="EN42" s="762"/>
      <c r="EO42" s="762"/>
      <c r="EP42" s="762"/>
      <c r="EQ42" s="783"/>
      <c r="ER42" s="829"/>
      <c r="ES42" s="783"/>
      <c r="ET42" s="783"/>
      <c r="EU42" s="783"/>
      <c r="EV42" s="783"/>
    </row>
    <row r="43" spans="2:152">
      <c r="DL43" s="770"/>
      <c r="DM43" s="770"/>
      <c r="DN43" s="770"/>
      <c r="DQ43" s="762" t="s">
        <v>329</v>
      </c>
      <c r="DR43" s="783"/>
      <c r="DS43" s="783"/>
      <c r="DT43" s="96">
        <v>0.03</v>
      </c>
      <c r="DU43" s="783"/>
      <c r="EB43" s="762"/>
      <c r="EC43" s="783"/>
      <c r="ED43" s="783"/>
      <c r="EF43" s="762"/>
      <c r="EG43" s="762"/>
      <c r="EH43" s="762"/>
      <c r="EI43" s="762"/>
      <c r="EJ43" s="762"/>
      <c r="EK43" s="762"/>
      <c r="EL43" s="762"/>
      <c r="EM43" s="762"/>
      <c r="EN43" s="762"/>
      <c r="EO43" s="762"/>
      <c r="EP43" s="762"/>
      <c r="EQ43" s="783"/>
      <c r="ER43" s="829"/>
      <c r="ES43" s="783"/>
      <c r="ET43" s="783"/>
      <c r="EU43" s="783"/>
      <c r="EV43" s="783"/>
    </row>
    <row r="44" spans="2:152">
      <c r="BT44" s="815" t="s">
        <v>578</v>
      </c>
      <c r="BU44" s="815"/>
      <c r="BV44" s="750"/>
      <c r="CB44" s="1560" t="s">
        <v>574</v>
      </c>
      <c r="CC44" s="1561"/>
      <c r="CD44" s="1561"/>
      <c r="CE44" s="1561"/>
      <c r="CF44" s="1561"/>
      <c r="CG44" s="1560" t="s">
        <v>576</v>
      </c>
      <c r="CH44" s="1561"/>
      <c r="CI44" s="1561"/>
      <c r="CJ44" s="1561"/>
      <c r="CK44" s="1561"/>
      <c r="CL44" s="1560" t="s">
        <v>575</v>
      </c>
      <c r="CV44" s="801"/>
      <c r="DA44" s="801"/>
      <c r="DF44" s="801"/>
      <c r="DK44" s="801"/>
      <c r="DQ44" s="783" t="s">
        <v>330</v>
      </c>
      <c r="DR44" s="783"/>
      <c r="DS44" s="783"/>
      <c r="DT44" s="96">
        <v>0.06</v>
      </c>
      <c r="DU44" s="783"/>
      <c r="EB44" s="762"/>
      <c r="EC44" s="783"/>
      <c r="ED44" s="783"/>
      <c r="EF44" s="762"/>
      <c r="EG44" s="762"/>
      <c r="EH44" s="762"/>
      <c r="EI44" s="762"/>
      <c r="EJ44" s="762"/>
      <c r="EK44" s="762"/>
      <c r="EL44" s="762"/>
      <c r="EM44" s="762"/>
      <c r="EN44" s="762"/>
      <c r="EO44" s="762"/>
      <c r="EP44" s="762"/>
      <c r="EQ44" s="783"/>
      <c r="ER44" s="829"/>
      <c r="ES44" s="783"/>
      <c r="ET44" s="783"/>
      <c r="EU44" s="783"/>
      <c r="EV44" s="783"/>
    </row>
    <row r="45" spans="2:152">
      <c r="B45" s="1222" t="s">
        <v>265</v>
      </c>
      <c r="C45" s="749"/>
      <c r="D45" s="750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  <c r="U45" s="751"/>
      <c r="V45" s="751"/>
      <c r="W45" s="751"/>
      <c r="X45" s="751" t="s">
        <v>110</v>
      </c>
      <c r="Y45" s="751"/>
      <c r="Z45" s="751"/>
      <c r="AA45" s="751"/>
      <c r="AB45" s="751"/>
      <c r="AC45" s="751" t="s">
        <v>799</v>
      </c>
      <c r="AD45" s="751"/>
      <c r="AE45" s="751"/>
      <c r="AF45" s="751"/>
      <c r="AG45" s="751"/>
      <c r="AH45" s="751" t="s">
        <v>893</v>
      </c>
      <c r="AI45" s="751"/>
      <c r="AJ45" s="751"/>
      <c r="AK45" s="751"/>
      <c r="AL45" s="751"/>
      <c r="AM45" s="751" t="s">
        <v>948</v>
      </c>
      <c r="AN45" s="751"/>
      <c r="AO45" s="751"/>
      <c r="AP45" s="751"/>
      <c r="AQ45" s="751"/>
      <c r="AR45" s="751" t="s">
        <v>1009</v>
      </c>
      <c r="AW45" s="751" t="s">
        <v>1038</v>
      </c>
      <c r="BB45" s="751" t="s">
        <v>136</v>
      </c>
      <c r="BG45" s="751" t="s">
        <v>913</v>
      </c>
      <c r="BH45" s="752"/>
      <c r="BI45" s="752"/>
      <c r="BJ45" s="752"/>
      <c r="BK45" s="752"/>
      <c r="BL45" s="751" t="s">
        <v>908</v>
      </c>
      <c r="BM45" s="752"/>
      <c r="BN45" s="752"/>
      <c r="BO45" s="752"/>
      <c r="BP45" s="752"/>
      <c r="BQ45" s="751" t="s">
        <v>992</v>
      </c>
      <c r="BU45" s="773" t="s">
        <v>577</v>
      </c>
      <c r="CB45" s="1562">
        <v>1</v>
      </c>
      <c r="CC45" s="1563"/>
      <c r="CD45" s="1563"/>
      <c r="CE45" s="1563"/>
      <c r="CF45" s="1563"/>
      <c r="CG45" s="1562">
        <v>0</v>
      </c>
      <c r="CH45" s="1563"/>
      <c r="CI45" s="1563"/>
      <c r="CJ45" s="1563"/>
      <c r="CK45" s="1563"/>
      <c r="CL45" s="1562">
        <v>0</v>
      </c>
      <c r="DQ45" s="783" t="s">
        <v>493</v>
      </c>
      <c r="DR45" s="783"/>
      <c r="DS45" s="783"/>
      <c r="DT45" s="97">
        <v>1.3</v>
      </c>
      <c r="DU45" s="783"/>
      <c r="EB45" s="762"/>
      <c r="EC45" s="783"/>
      <c r="ED45" s="783"/>
      <c r="EF45" s="762"/>
      <c r="EG45" s="762"/>
      <c r="EH45" s="762"/>
      <c r="EI45" s="762"/>
      <c r="EJ45" s="762"/>
      <c r="EK45" s="762"/>
      <c r="EL45" s="762"/>
      <c r="EM45" s="762"/>
      <c r="EN45" s="762"/>
      <c r="EO45" s="762"/>
      <c r="EP45" s="762"/>
      <c r="EQ45" s="783"/>
      <c r="ER45" s="829"/>
      <c r="ES45" s="783"/>
      <c r="ET45" s="783"/>
      <c r="EU45" s="783"/>
      <c r="EV45" s="783"/>
    </row>
    <row r="46" spans="2:152">
      <c r="N46" s="748"/>
      <c r="O46" s="748"/>
      <c r="P46" s="748"/>
      <c r="Q46" s="748"/>
      <c r="R46" s="748"/>
      <c r="S46" s="748"/>
      <c r="T46" s="748"/>
      <c r="U46" s="748"/>
      <c r="V46" s="748"/>
      <c r="W46" s="748"/>
      <c r="X46" s="748"/>
      <c r="Y46" s="748"/>
      <c r="Z46" s="748"/>
      <c r="AA46" s="748"/>
      <c r="AB46" s="748"/>
      <c r="AC46" s="748"/>
      <c r="AD46" s="748"/>
      <c r="AE46" s="748"/>
      <c r="AF46" s="748"/>
      <c r="AG46" s="748"/>
      <c r="AH46" s="748"/>
      <c r="AI46" s="748"/>
      <c r="AJ46" s="748"/>
      <c r="AK46" s="748"/>
      <c r="AL46" s="748"/>
      <c r="AM46" s="748"/>
      <c r="AN46" s="748"/>
      <c r="AO46" s="748"/>
      <c r="AP46" s="748"/>
      <c r="AQ46" s="748"/>
      <c r="AR46" s="748"/>
      <c r="AS46" s="796"/>
      <c r="AT46" s="796"/>
      <c r="AU46" s="796"/>
      <c r="AV46" s="796"/>
      <c r="AX46" s="796"/>
      <c r="AY46" s="796"/>
      <c r="AZ46" s="796"/>
      <c r="BA46" s="796"/>
      <c r="BC46" s="796"/>
      <c r="BD46" s="796"/>
      <c r="BE46" s="796"/>
      <c r="BF46" s="796"/>
      <c r="BH46" s="796"/>
      <c r="BI46" s="796"/>
      <c r="BJ46" s="796"/>
      <c r="BK46" s="796"/>
      <c r="BM46" s="796"/>
      <c r="BN46" s="796"/>
      <c r="BO46" s="796"/>
      <c r="BP46" s="796"/>
      <c r="DQ46" s="783" t="s">
        <v>55</v>
      </c>
      <c r="DR46" s="783"/>
      <c r="DS46" s="783"/>
      <c r="DT46" s="95">
        <v>0.4</v>
      </c>
      <c r="DU46" s="783"/>
      <c r="EB46" s="762"/>
      <c r="EC46" s="783"/>
      <c r="ED46" s="783"/>
      <c r="EF46" s="762"/>
      <c r="EG46" s="762"/>
      <c r="EH46" s="762"/>
      <c r="EI46" s="762"/>
      <c r="EJ46" s="762"/>
      <c r="EK46" s="762"/>
      <c r="EL46" s="762"/>
      <c r="EM46" s="762"/>
      <c r="EN46" s="762"/>
      <c r="EO46" s="762"/>
      <c r="EP46" s="762"/>
      <c r="EQ46" s="783"/>
      <c r="ER46" s="829"/>
      <c r="ES46" s="783"/>
      <c r="ET46" s="783"/>
      <c r="EU46" s="783"/>
      <c r="EV46" s="783"/>
    </row>
    <row r="47" spans="2:152">
      <c r="C47" s="765" t="s">
        <v>212</v>
      </c>
      <c r="D47" s="765"/>
      <c r="E47" s="765"/>
      <c r="F47" s="765"/>
      <c r="G47" s="765"/>
      <c r="H47" s="765"/>
      <c r="I47" s="765"/>
      <c r="J47" s="765"/>
      <c r="K47" s="765"/>
      <c r="L47" s="765"/>
      <c r="M47" s="765"/>
      <c r="N47" s="1113"/>
      <c r="O47" s="1113"/>
      <c r="P47" s="1113"/>
      <c r="Q47" s="1113"/>
      <c r="R47" s="1113"/>
      <c r="S47" s="39"/>
      <c r="T47" s="1113"/>
      <c r="U47" s="1113"/>
      <c r="V47" s="1113"/>
      <c r="W47" s="1113"/>
      <c r="X47" s="39">
        <f>Utility!X278</f>
        <v>15754.574500000002</v>
      </c>
      <c r="Y47" s="1113"/>
      <c r="Z47" s="1113"/>
      <c r="AA47" s="1113"/>
      <c r="AB47" s="1113"/>
      <c r="AC47" s="39">
        <f>Utility!AC278</f>
        <v>16553.172500000004</v>
      </c>
      <c r="AD47" s="1113"/>
      <c r="AE47" s="1113"/>
      <c r="AF47" s="1113"/>
      <c r="AG47" s="1113"/>
      <c r="AH47" s="39">
        <f>Utility!AH278</f>
        <v>16582.619500000001</v>
      </c>
      <c r="AI47" s="1113"/>
      <c r="AJ47" s="1113"/>
      <c r="AK47" s="1113"/>
      <c r="AL47" s="1113"/>
      <c r="AM47" s="39">
        <f>Utility!AM278</f>
        <v>17151.605000000003</v>
      </c>
      <c r="AN47" s="1113"/>
      <c r="AO47" s="1113"/>
      <c r="AP47" s="1113"/>
      <c r="AQ47" s="1113"/>
      <c r="AR47" s="39">
        <f>Utility!AR278</f>
        <v>18419.174500000001</v>
      </c>
      <c r="AS47" s="1114"/>
      <c r="AT47" s="1114"/>
      <c r="AU47" s="1114"/>
      <c r="AV47" s="1114"/>
      <c r="AW47" s="39">
        <f>Utility!AW278</f>
        <v>20390.463000000003</v>
      </c>
      <c r="AX47" s="1114"/>
      <c r="AY47" s="1114"/>
      <c r="AZ47" s="1114"/>
      <c r="BA47" s="1114"/>
      <c r="BB47" s="39">
        <f>Utility!BB278</f>
        <v>22255.090424115908</v>
      </c>
      <c r="BC47" s="1114"/>
      <c r="BD47" s="1114"/>
      <c r="BE47" s="1114"/>
      <c r="BF47" s="1114"/>
      <c r="BG47" s="39">
        <f>Utility!BG278</f>
        <v>23986.95937750645</v>
      </c>
      <c r="BH47" s="1114"/>
      <c r="BI47" s="1114"/>
      <c r="BJ47" s="1114"/>
      <c r="BK47" s="1114"/>
      <c r="BL47" s="39">
        <f>Utility!BL278</f>
        <v>25633.367802205492</v>
      </c>
      <c r="BM47" s="1114"/>
      <c r="BN47" s="1114"/>
      <c r="BO47" s="1114"/>
      <c r="BP47" s="1114"/>
      <c r="BQ47" s="39">
        <f>Utility!BQ278</f>
        <v>27189.377590930671</v>
      </c>
      <c r="DQ47" s="788" t="s">
        <v>495</v>
      </c>
      <c r="DR47" s="789"/>
      <c r="DS47" s="789"/>
      <c r="DT47" s="124">
        <f>(DT40*(DT42*(1-DT46)))+(DT41*(DT43+(DT44*DT45)))</f>
        <v>0.09</v>
      </c>
      <c r="DU47" s="783"/>
      <c r="EB47" s="762"/>
      <c r="EC47" s="783"/>
      <c r="ED47" s="783"/>
      <c r="EF47" s="762"/>
      <c r="EG47" s="762"/>
      <c r="EH47" s="762"/>
      <c r="EI47" s="762"/>
      <c r="EJ47" s="762"/>
      <c r="EK47" s="762"/>
      <c r="EL47" s="762"/>
      <c r="EM47" s="762"/>
      <c r="EN47" s="762"/>
      <c r="EO47" s="762"/>
      <c r="EP47" s="762"/>
      <c r="EQ47" s="783"/>
      <c r="ER47" s="829"/>
      <c r="ES47" s="783"/>
      <c r="ET47" s="783"/>
      <c r="EU47" s="783"/>
      <c r="EV47" s="783"/>
    </row>
    <row r="48" spans="2:152">
      <c r="N48" s="748"/>
      <c r="O48" s="748"/>
      <c r="P48" s="748"/>
      <c r="Q48" s="748"/>
      <c r="R48" s="748"/>
      <c r="S48" s="748"/>
      <c r="T48" s="748"/>
      <c r="U48" s="748"/>
      <c r="V48" s="748"/>
      <c r="W48" s="748"/>
      <c r="X48" s="748"/>
      <c r="Y48" s="748"/>
      <c r="Z48" s="748"/>
      <c r="AA48" s="748"/>
      <c r="AB48" s="748"/>
      <c r="AC48" s="748"/>
      <c r="AD48" s="748"/>
      <c r="AE48" s="748"/>
      <c r="AF48" s="748"/>
      <c r="AG48" s="748"/>
      <c r="AH48" s="748"/>
      <c r="AI48" s="748"/>
      <c r="AJ48" s="748"/>
      <c r="AK48" s="748"/>
      <c r="AL48" s="748"/>
      <c r="AM48" s="748"/>
      <c r="AN48" s="748"/>
      <c r="AO48" s="748"/>
      <c r="AP48" s="748"/>
      <c r="AQ48" s="748"/>
      <c r="AR48" s="748"/>
      <c r="AS48" s="796"/>
      <c r="AT48" s="796"/>
      <c r="AU48" s="796"/>
      <c r="AV48" s="796"/>
      <c r="AW48" s="748"/>
      <c r="AX48" s="796"/>
      <c r="AY48" s="796"/>
      <c r="AZ48" s="796"/>
      <c r="BA48" s="796"/>
      <c r="BB48" s="748"/>
      <c r="BC48" s="796"/>
      <c r="BD48" s="796"/>
      <c r="BE48" s="796"/>
      <c r="BF48" s="796"/>
      <c r="BG48" s="748"/>
      <c r="BH48" s="796"/>
      <c r="BI48" s="796"/>
      <c r="BJ48" s="796"/>
      <c r="BK48" s="796"/>
      <c r="BL48" s="748"/>
      <c r="BM48" s="796"/>
      <c r="BN48" s="796"/>
      <c r="BO48" s="796"/>
      <c r="BP48" s="796"/>
      <c r="BQ48" s="748"/>
      <c r="DU48" s="783"/>
      <c r="EB48" s="762"/>
      <c r="EC48" s="783"/>
      <c r="ED48" s="783"/>
      <c r="EF48" s="762"/>
      <c r="EG48" s="762"/>
      <c r="EH48" s="762"/>
      <c r="EI48" s="762"/>
      <c r="EJ48" s="762"/>
      <c r="EK48" s="762"/>
      <c r="EL48" s="762"/>
      <c r="EM48" s="762"/>
      <c r="EN48" s="762"/>
      <c r="EO48" s="762"/>
      <c r="EP48" s="762"/>
      <c r="EQ48" s="783"/>
      <c r="ER48" s="829"/>
      <c r="ES48" s="783"/>
      <c r="ET48" s="783"/>
      <c r="EU48" s="783"/>
      <c r="EV48" s="783"/>
    </row>
    <row r="49" spans="3:152">
      <c r="C49" s="773" t="s">
        <v>629</v>
      </c>
      <c r="N49" s="748"/>
      <c r="O49" s="748"/>
      <c r="P49" s="748"/>
      <c r="Q49" s="748"/>
      <c r="R49" s="748"/>
      <c r="S49" s="1115"/>
      <c r="T49" s="1115"/>
      <c r="U49" s="1115"/>
      <c r="V49" s="1115"/>
      <c r="W49" s="1115"/>
      <c r="X49" s="1115">
        <f>X40</f>
        <v>0.45564298501361111</v>
      </c>
      <c r="Y49" s="1115"/>
      <c r="Z49" s="1115"/>
      <c r="AA49" s="1115"/>
      <c r="AB49" s="1115"/>
      <c r="AC49" s="1115">
        <f>AC40</f>
        <v>0.45564298501361111</v>
      </c>
      <c r="AD49" s="1115"/>
      <c r="AE49" s="1115"/>
      <c r="AF49" s="1115"/>
      <c r="AG49" s="1115"/>
      <c r="AH49" s="1115">
        <f>AH40</f>
        <v>0.45564298501361117</v>
      </c>
      <c r="AI49" s="1115"/>
      <c r="AJ49" s="1115"/>
      <c r="AK49" s="1115"/>
      <c r="AL49" s="1115"/>
      <c r="AM49" s="1115">
        <f>AM40</f>
        <v>0.45564298501361111</v>
      </c>
      <c r="AN49" s="1115"/>
      <c r="AO49" s="1115"/>
      <c r="AP49" s="1115"/>
      <c r="AQ49" s="1115"/>
      <c r="AR49" s="1115">
        <f>AR40</f>
        <v>0.45592914946593321</v>
      </c>
      <c r="AS49" s="1116"/>
      <c r="AT49" s="1116"/>
      <c r="AU49" s="1116"/>
      <c r="AV49" s="1116"/>
      <c r="AW49" s="1115">
        <f>AW40</f>
        <v>0.45592914946593327</v>
      </c>
      <c r="AX49" s="1116"/>
      <c r="AY49" s="1116"/>
      <c r="AZ49" s="1116"/>
      <c r="BA49" s="1116"/>
      <c r="BB49" s="1115">
        <f>BB40</f>
        <v>0.45592914946593344</v>
      </c>
      <c r="BC49" s="1116"/>
      <c r="BD49" s="1116"/>
      <c r="BE49" s="1116"/>
      <c r="BF49" s="1116"/>
      <c r="BG49" s="1115">
        <f>BG40</f>
        <v>0.45592914946593338</v>
      </c>
      <c r="BH49" s="1116"/>
      <c r="BI49" s="1116"/>
      <c r="BJ49" s="1116"/>
      <c r="BK49" s="1116"/>
      <c r="BL49" s="1115">
        <f>BL40</f>
        <v>0.45592914946593333</v>
      </c>
      <c r="BM49" s="1116"/>
      <c r="BN49" s="1116"/>
      <c r="BO49" s="1116"/>
      <c r="BP49" s="1116"/>
      <c r="BQ49" s="1115">
        <f>BQ40</f>
        <v>0.45592914946593338</v>
      </c>
      <c r="BU49" s="822">
        <f ca="1">TODAY()</f>
        <v>43203</v>
      </c>
      <c r="BV49" s="823"/>
      <c r="BW49" s="824">
        <v>41639</v>
      </c>
      <c r="BX49" s="824"/>
      <c r="BY49" s="824"/>
      <c r="BZ49" s="824"/>
      <c r="CA49" s="824"/>
      <c r="CB49" s="824">
        <v>42004</v>
      </c>
      <c r="CC49" s="824"/>
      <c r="CD49" s="824"/>
      <c r="CE49" s="824"/>
      <c r="CF49" s="824"/>
      <c r="CG49" s="824">
        <v>42369</v>
      </c>
      <c r="CH49" s="824"/>
      <c r="CI49" s="824"/>
      <c r="CJ49" s="824"/>
      <c r="CK49" s="824"/>
      <c r="CL49" s="824">
        <v>42735</v>
      </c>
      <c r="CQ49" s="824">
        <v>43100</v>
      </c>
      <c r="CV49" s="824">
        <v>43465</v>
      </c>
      <c r="DA49" s="824">
        <v>43830</v>
      </c>
      <c r="DF49" s="824">
        <v>44196</v>
      </c>
      <c r="DK49" s="824">
        <v>44196</v>
      </c>
      <c r="DQ49" s="797" t="s">
        <v>344</v>
      </c>
      <c r="DR49" s="783"/>
      <c r="DS49" s="783"/>
      <c r="EB49" s="762"/>
      <c r="EC49" s="783"/>
      <c r="ED49" s="783"/>
      <c r="EF49" s="762"/>
      <c r="EG49" s="762"/>
      <c r="EH49" s="762"/>
      <c r="EI49" s="762"/>
      <c r="EJ49" s="762"/>
      <c r="EK49" s="762"/>
      <c r="EL49" s="762"/>
      <c r="EM49" s="762"/>
      <c r="EN49" s="762"/>
      <c r="EO49" s="762"/>
      <c r="EP49" s="762"/>
      <c r="EQ49" s="783"/>
      <c r="ER49" s="829"/>
      <c r="ES49" s="783"/>
      <c r="ET49" s="783"/>
      <c r="EU49" s="783"/>
      <c r="EV49" s="783"/>
    </row>
    <row r="50" spans="3:152">
      <c r="C50" s="773" t="s">
        <v>631</v>
      </c>
      <c r="N50" s="748"/>
      <c r="O50" s="748"/>
      <c r="P50" s="748"/>
      <c r="Q50" s="748"/>
      <c r="R50" s="748"/>
      <c r="S50" s="1115"/>
      <c r="T50" s="1115"/>
      <c r="U50" s="1115"/>
      <c r="V50" s="1115"/>
      <c r="W50" s="1115"/>
      <c r="X50" s="1115">
        <f>X36</f>
        <v>0.12176606615833312</v>
      </c>
      <c r="Y50" s="1115"/>
      <c r="Z50" s="1115"/>
      <c r="AA50" s="1115"/>
      <c r="AB50" s="1115"/>
      <c r="AC50" s="1115">
        <f>AC36</f>
        <v>9.968873136316854E-2</v>
      </c>
      <c r="AD50" s="1115"/>
      <c r="AE50" s="1115"/>
      <c r="AF50" s="1115"/>
      <c r="AG50" s="1115"/>
      <c r="AH50" s="1115">
        <f>AH36</f>
        <v>9.6714103712677538E-2</v>
      </c>
      <c r="AI50" s="1115"/>
      <c r="AJ50" s="1115"/>
      <c r="AK50" s="1115"/>
      <c r="AL50" s="1115"/>
      <c r="AM50" s="1115">
        <f>AM36</f>
        <v>0.1267912888390651</v>
      </c>
      <c r="AN50" s="1115"/>
      <c r="AO50" s="1115"/>
      <c r="AP50" s="1115"/>
      <c r="AQ50" s="1115"/>
      <c r="AR50" s="1115">
        <f>AR36</f>
        <v>0.12243686184331146</v>
      </c>
      <c r="AS50" s="1116"/>
      <c r="AT50" s="1116"/>
      <c r="AU50" s="1116"/>
      <c r="AV50" s="1116"/>
      <c r="AW50" s="1115">
        <f>AW36</f>
        <v>8.9957018643886694E-2</v>
      </c>
      <c r="AX50" s="1116"/>
      <c r="AY50" s="1116"/>
      <c r="AZ50" s="1116"/>
      <c r="BA50" s="1116"/>
      <c r="BB50" s="1115">
        <f>BB36</f>
        <v>9.2349928807497761E-2</v>
      </c>
      <c r="BC50" s="1116"/>
      <c r="BD50" s="1116"/>
      <c r="BE50" s="1116"/>
      <c r="BF50" s="1116"/>
      <c r="BG50" s="1115">
        <f>BG36</f>
        <v>9.2442229190006775E-2</v>
      </c>
      <c r="BH50" s="1116"/>
      <c r="BI50" s="1116"/>
      <c r="BJ50" s="1116"/>
      <c r="BK50" s="1116"/>
      <c r="BL50" s="1115">
        <f>BL36</f>
        <v>9.2259590685750972E-2</v>
      </c>
      <c r="BM50" s="1116"/>
      <c r="BN50" s="1116"/>
      <c r="BO50" s="1116"/>
      <c r="BP50" s="1116"/>
      <c r="BQ50" s="1115">
        <f>BQ36</f>
        <v>9.2242654948992961E-2</v>
      </c>
      <c r="BT50" s="749" t="s">
        <v>731</v>
      </c>
      <c r="BU50" s="749"/>
      <c r="BV50" s="750"/>
      <c r="BW50" s="751" t="s">
        <v>799</v>
      </c>
      <c r="BX50" s="751"/>
      <c r="BY50" s="751"/>
      <c r="BZ50" s="751"/>
      <c r="CA50" s="751"/>
      <c r="CB50" s="751" t="s">
        <v>893</v>
      </c>
      <c r="CC50" s="751"/>
      <c r="CD50" s="751"/>
      <c r="CE50" s="751"/>
      <c r="CF50" s="751"/>
      <c r="CG50" s="751" t="s">
        <v>948</v>
      </c>
      <c r="CH50" s="751"/>
      <c r="CI50" s="751"/>
      <c r="CJ50" s="751"/>
      <c r="CK50" s="751"/>
      <c r="CL50" s="751" t="s">
        <v>1009</v>
      </c>
      <c r="CQ50" s="751" t="s">
        <v>1038</v>
      </c>
      <c r="CV50" s="751" t="s">
        <v>136</v>
      </c>
      <c r="DA50" s="751" t="s">
        <v>913</v>
      </c>
      <c r="DF50" s="751" t="s">
        <v>908</v>
      </c>
      <c r="DK50" s="751" t="s">
        <v>992</v>
      </c>
      <c r="DM50" s="842"/>
      <c r="DQ50" s="762" t="s">
        <v>729</v>
      </c>
      <c r="DR50" s="783"/>
      <c r="DS50" s="783"/>
      <c r="DT50" s="814">
        <f>DT47</f>
        <v>0.09</v>
      </c>
      <c r="DU50" s="783"/>
      <c r="EB50" s="762"/>
      <c r="EC50" s="783"/>
      <c r="ED50" s="783"/>
      <c r="EF50" s="762"/>
      <c r="EG50" s="762"/>
      <c r="EH50" s="762"/>
      <c r="EI50" s="762"/>
      <c r="EJ50" s="762"/>
      <c r="EK50" s="762"/>
      <c r="EL50" s="762"/>
      <c r="EM50" s="762"/>
      <c r="EN50" s="762"/>
      <c r="EO50" s="762"/>
      <c r="EP50" s="762"/>
      <c r="EQ50" s="783"/>
      <c r="ER50" s="829"/>
      <c r="ES50" s="783"/>
      <c r="ET50" s="783"/>
      <c r="EU50" s="783"/>
      <c r="EV50" s="783"/>
    </row>
    <row r="51" spans="3:152">
      <c r="C51" s="765"/>
      <c r="AH51" s="794"/>
      <c r="AM51" s="794"/>
      <c r="AR51" s="794"/>
      <c r="AS51" s="796"/>
      <c r="AT51" s="796"/>
      <c r="AU51" s="796"/>
      <c r="AV51" s="796"/>
      <c r="AW51" s="748"/>
      <c r="AX51" s="796"/>
      <c r="AY51" s="796"/>
      <c r="AZ51" s="796"/>
      <c r="BA51" s="796"/>
      <c r="BB51" s="748"/>
      <c r="BC51" s="796"/>
      <c r="BD51" s="796"/>
      <c r="BE51" s="796"/>
      <c r="BF51" s="796"/>
      <c r="BG51" s="748"/>
      <c r="BH51" s="796"/>
      <c r="BI51" s="796"/>
      <c r="BJ51" s="796"/>
      <c r="BK51" s="796"/>
      <c r="BL51" s="748"/>
      <c r="BM51" s="796"/>
      <c r="BN51" s="796"/>
      <c r="BO51" s="796"/>
      <c r="BP51" s="796"/>
      <c r="BQ51" s="748"/>
      <c r="BU51" s="773" t="s">
        <v>317</v>
      </c>
      <c r="BW51" s="770">
        <f>EWC!AC59</f>
        <v>759.48912903225823</v>
      </c>
      <c r="BX51" s="770"/>
      <c r="BY51" s="770"/>
      <c r="BZ51" s="770"/>
      <c r="CA51" s="770"/>
      <c r="CB51" s="770">
        <f>EWC!AH59</f>
        <v>1055.436548387097</v>
      </c>
      <c r="CC51" s="770"/>
      <c r="CD51" s="770"/>
      <c r="CE51" s="770"/>
      <c r="CF51" s="770"/>
      <c r="CG51" s="770">
        <f>EWC!AM59</f>
        <v>514.17981388044154</v>
      </c>
      <c r="CH51" s="770"/>
      <c r="CI51" s="770"/>
      <c r="CJ51" s="770"/>
      <c r="CK51" s="770"/>
      <c r="CL51" s="770">
        <f>EWC!AR59</f>
        <v>501.29545161290298</v>
      </c>
      <c r="CQ51" s="770">
        <f>EWC!AW59</f>
        <v>1177.3252500000001</v>
      </c>
      <c r="CV51" s="770">
        <f>EWC!BB59</f>
        <v>440.77018726244546</v>
      </c>
      <c r="DA51" s="770">
        <f>EWC!BG59</f>
        <v>402.46813886151699</v>
      </c>
      <c r="DF51" s="770">
        <f>EWC!BL59</f>
        <v>340.05331219356157</v>
      </c>
      <c r="DK51" s="770">
        <f>EWC!BQ59</f>
        <v>166.05958569460739</v>
      </c>
      <c r="DL51" s="845"/>
      <c r="DM51" s="787"/>
      <c r="DQ51" s="762" t="s">
        <v>345</v>
      </c>
      <c r="DR51" s="783"/>
      <c r="DS51" s="783"/>
      <c r="DT51" s="840">
        <f>EI61/CL51</f>
        <v>3.1013586797921455</v>
      </c>
      <c r="DU51" s="783"/>
      <c r="EB51" s="762"/>
      <c r="EC51" s="783"/>
      <c r="ED51" s="783"/>
      <c r="EF51" s="762"/>
      <c r="EG51" s="762"/>
      <c r="EH51" s="762"/>
      <c r="EI51" s="762"/>
      <c r="EJ51" s="762"/>
      <c r="EK51" s="762"/>
      <c r="EL51" s="762"/>
      <c r="EM51" s="762"/>
      <c r="EN51" s="762"/>
      <c r="EO51" s="762"/>
      <c r="EP51" s="762"/>
      <c r="EQ51" s="783"/>
      <c r="ER51" s="829"/>
      <c r="ES51" s="783"/>
      <c r="ET51" s="783"/>
      <c r="EU51" s="783"/>
      <c r="EV51" s="783"/>
    </row>
    <row r="52" spans="3:152">
      <c r="C52" s="765" t="s">
        <v>506</v>
      </c>
      <c r="N52" s="748"/>
      <c r="O52" s="748"/>
      <c r="P52" s="748"/>
      <c r="Q52" s="748"/>
      <c r="R52" s="748"/>
      <c r="S52" s="748"/>
      <c r="T52" s="748"/>
      <c r="U52" s="748"/>
      <c r="V52" s="748"/>
      <c r="W52" s="748"/>
      <c r="X52" s="748"/>
      <c r="Y52" s="748"/>
      <c r="Z52" s="748"/>
      <c r="AA52" s="748"/>
      <c r="AB52" s="748"/>
      <c r="AC52" s="39">
        <f>AC50*AC49*AC47</f>
        <v>751.88600000000133</v>
      </c>
      <c r="AD52" s="748"/>
      <c r="AE52" s="748"/>
      <c r="AF52" s="748"/>
      <c r="AG52" s="748"/>
      <c r="AH52" s="39">
        <f>AH50*AH49*AH47</f>
        <v>730.74799999999993</v>
      </c>
      <c r="AI52" s="748"/>
      <c r="AJ52" s="748"/>
      <c r="AK52" s="748"/>
      <c r="AL52" s="748"/>
      <c r="AM52" s="39">
        <f>AM50*AM49*AM47</f>
        <v>990.87500000000034</v>
      </c>
      <c r="AN52" s="748"/>
      <c r="AO52" s="748"/>
      <c r="AP52" s="748"/>
      <c r="AQ52" s="748"/>
      <c r="AR52" s="39">
        <f>AR50*AR49*AR47</f>
        <v>1028.2049999999999</v>
      </c>
      <c r="AS52" s="796"/>
      <c r="AT52" s="796"/>
      <c r="AU52" s="796"/>
      <c r="AV52" s="796"/>
      <c r="AW52" s="39">
        <f>AW50*AW49*AW47</f>
        <v>836.29499999999928</v>
      </c>
      <c r="AX52" s="796"/>
      <c r="AY52" s="796"/>
      <c r="AZ52" s="796"/>
      <c r="BA52" s="796"/>
      <c r="BB52" s="39">
        <f>BB50*BB49*BB47</f>
        <v>937.0511274334209</v>
      </c>
      <c r="BC52" s="796"/>
      <c r="BD52" s="796"/>
      <c r="BE52" s="796"/>
      <c r="BF52" s="796"/>
      <c r="BG52" s="39">
        <f>BG50*BG49*BG47</f>
        <v>1010.9809417933712</v>
      </c>
      <c r="BH52" s="796"/>
      <c r="BI52" s="796"/>
      <c r="BJ52" s="796"/>
      <c r="BK52" s="796"/>
      <c r="BL52" s="39">
        <f>BL50*BL49*BL47</f>
        <v>1078.2377975959885</v>
      </c>
      <c r="BM52" s="796"/>
      <c r="BN52" s="796"/>
      <c r="BO52" s="796"/>
      <c r="BP52" s="796"/>
      <c r="BQ52" s="39">
        <f>BQ50*BQ49*BQ47</f>
        <v>1143.4795965984865</v>
      </c>
      <c r="BU52" s="736" t="s">
        <v>349</v>
      </c>
      <c r="BW52" s="770">
        <f>EWC!AC17</f>
        <v>215.87100000000001</v>
      </c>
      <c r="BX52" s="770"/>
      <c r="BY52" s="770"/>
      <c r="BZ52" s="770"/>
      <c r="CA52" s="770"/>
      <c r="CB52" s="770">
        <f>EWC!AH17</f>
        <v>275.92399999999998</v>
      </c>
      <c r="CC52" s="770"/>
      <c r="CD52" s="770"/>
      <c r="CE52" s="770"/>
      <c r="CF52" s="770"/>
      <c r="CG52" s="770">
        <f>EWC!AM17</f>
        <v>239.03200000000001</v>
      </c>
      <c r="CH52" s="770"/>
      <c r="CI52" s="770"/>
      <c r="CJ52" s="770"/>
      <c r="CK52" s="770"/>
      <c r="CL52" s="770">
        <f>EWC!AR17</f>
        <v>199.852</v>
      </c>
      <c r="CQ52" s="770">
        <f>EWC!AW17</f>
        <v>193.12100000000001</v>
      </c>
      <c r="CV52" s="770">
        <f>EWC!BB17</f>
        <v>160</v>
      </c>
      <c r="DA52" s="770">
        <f>EWC!BG17</f>
        <v>160</v>
      </c>
      <c r="DF52" s="770">
        <f>EWC!BL17</f>
        <v>120</v>
      </c>
      <c r="DK52" s="770">
        <f>EWC!BQ17</f>
        <v>80</v>
      </c>
      <c r="DQ52" s="762" t="s">
        <v>333</v>
      </c>
      <c r="DR52" s="783"/>
      <c r="DS52" s="783"/>
      <c r="DT52" s="95">
        <v>0.82957738440291562</v>
      </c>
      <c r="DU52" s="783"/>
      <c r="EB52" s="762"/>
      <c r="EC52" s="783"/>
      <c r="ED52" s="783"/>
      <c r="EF52" s="762"/>
      <c r="EG52" s="762"/>
      <c r="EH52" s="762"/>
      <c r="EI52" s="762"/>
      <c r="EJ52" s="762"/>
      <c r="EK52" s="762"/>
      <c r="EL52" s="762"/>
      <c r="EM52" s="762"/>
      <c r="EN52" s="762"/>
      <c r="EO52" s="762"/>
      <c r="EP52" s="762"/>
      <c r="EQ52" s="783"/>
      <c r="ER52" s="829"/>
      <c r="ES52" s="783"/>
      <c r="ET52" s="783"/>
      <c r="EU52" s="783"/>
      <c r="EV52" s="783"/>
    </row>
    <row r="53" spans="3:152">
      <c r="C53" s="773" t="s">
        <v>213</v>
      </c>
      <c r="AC53" s="770">
        <f>Parent!AC39+106</f>
        <v>-57.469000000001103</v>
      </c>
      <c r="AH53" s="770">
        <f>Parent!AH39+106</f>
        <v>-74.759999999999195</v>
      </c>
      <c r="AM53" s="770">
        <f>Parent!AM39+106</f>
        <v>-99.692999999999472</v>
      </c>
      <c r="AR53" s="770">
        <f>Parent!AR39+106</f>
        <v>-116.51099999999892</v>
      </c>
      <c r="AW53" s="770">
        <f>Parent!AW39+106</f>
        <v>-121.66000000000005</v>
      </c>
      <c r="BB53" s="770">
        <f>Parent!BB39+106</f>
        <v>-122.45450106450181</v>
      </c>
      <c r="BG53" s="770">
        <f>Parent!BG39+106</f>
        <v>-142.25577912731995</v>
      </c>
      <c r="BL53" s="770">
        <f>Parent!BL39+106</f>
        <v>-156.25689906127872</v>
      </c>
      <c r="BQ53" s="770">
        <f>Parent!BQ39+106</f>
        <v>-162.0630580720449</v>
      </c>
      <c r="BU53" s="736" t="s">
        <v>324</v>
      </c>
      <c r="BW53" s="770">
        <f>+EWC!AC28</f>
        <v>16.323</v>
      </c>
      <c r="BX53" s="770"/>
      <c r="BY53" s="770"/>
      <c r="BZ53" s="770"/>
      <c r="CA53" s="770"/>
      <c r="CB53" s="770">
        <f>+EWC!AH28</f>
        <v>16.646000000000001</v>
      </c>
      <c r="CC53" s="770"/>
      <c r="CD53" s="770"/>
      <c r="CE53" s="770"/>
      <c r="CF53" s="770"/>
      <c r="CG53" s="770">
        <f>+EWC!AM28</f>
        <v>26.788</v>
      </c>
      <c r="CH53" s="770"/>
      <c r="CI53" s="770"/>
      <c r="CJ53" s="770"/>
      <c r="CK53" s="770"/>
      <c r="CL53" s="770">
        <f>+EWC!AR28</f>
        <v>22.858000000000001</v>
      </c>
      <c r="CQ53" s="770">
        <f>+EWC!AW28</f>
        <v>23.713999999999999</v>
      </c>
      <c r="CV53" s="770">
        <f>+EWC!BB28</f>
        <v>25.225223791370166</v>
      </c>
      <c r="DA53" s="770">
        <f>+EWC!BG28</f>
        <v>23.484593242576061</v>
      </c>
      <c r="DF53" s="770">
        <f>+EWC!BL28</f>
        <v>21.733384925369364</v>
      </c>
      <c r="DK53" s="770">
        <f>+EWC!BQ28</f>
        <v>22.105797710963337</v>
      </c>
      <c r="DN53" s="787"/>
      <c r="DQ53" s="762" t="s">
        <v>347</v>
      </c>
      <c r="DR53" s="783"/>
      <c r="DS53" s="783"/>
      <c r="DT53" s="95">
        <f>0.015</f>
        <v>1.4999999999999999E-2</v>
      </c>
      <c r="DU53" s="783"/>
      <c r="EB53" s="762"/>
      <c r="EC53" s="783"/>
      <c r="ED53" s="783"/>
      <c r="EF53" s="762"/>
      <c r="EG53" s="762"/>
      <c r="EH53" s="762"/>
      <c r="EI53" s="762"/>
      <c r="EJ53" s="762"/>
      <c r="EK53" s="762"/>
      <c r="EL53" s="762"/>
      <c r="EM53" s="762"/>
      <c r="EN53" s="762"/>
      <c r="EO53" s="762"/>
      <c r="EP53" s="762"/>
      <c r="EQ53" s="783"/>
      <c r="ER53" s="829"/>
      <c r="ES53" s="783"/>
      <c r="ET53" s="783"/>
      <c r="EU53" s="783"/>
      <c r="EV53" s="783"/>
    </row>
    <row r="54" spans="3:152">
      <c r="BU54" s="773" t="s">
        <v>336</v>
      </c>
      <c r="BV54" s="836"/>
      <c r="BW54" s="837">
        <f>(BW51-BW52+BW53)*$DT$46</f>
        <v>223.9764516129033</v>
      </c>
      <c r="BX54" s="837"/>
      <c r="BY54" s="837"/>
      <c r="BZ54" s="837"/>
      <c r="CA54" s="837"/>
      <c r="CB54" s="837">
        <f>(CB51-CB52+CB53)*$DT$46</f>
        <v>318.46341935483883</v>
      </c>
      <c r="CC54" s="837"/>
      <c r="CD54" s="837"/>
      <c r="CE54" s="837"/>
      <c r="CF54" s="837"/>
      <c r="CG54" s="837">
        <f>(CG51-CG52+CG53)*$DT$46</f>
        <v>120.77432555217661</v>
      </c>
      <c r="CH54" s="837"/>
      <c r="CI54" s="837"/>
      <c r="CJ54" s="837"/>
      <c r="CK54" s="837"/>
      <c r="CL54" s="837">
        <f>(CL51-CL52+CL53)*$DT$46</f>
        <v>129.72058064516122</v>
      </c>
      <c r="CQ54" s="837">
        <f>(CQ51-CQ52+CQ53)*$DT$46</f>
        <v>403.16730000000007</v>
      </c>
      <c r="CV54" s="837">
        <f>(CV51-CV52+CV53)*$DT$46</f>
        <v>122.39816442152626</v>
      </c>
      <c r="DA54" s="837">
        <f>(DA51-DA52+DA53)*$DT$46</f>
        <v>106.38109284163723</v>
      </c>
      <c r="DF54" s="837">
        <f>(DF51-DF52+DF53)*$DT$46</f>
        <v>96.714678847572372</v>
      </c>
      <c r="DK54" s="837">
        <f>(DK51-DK52+DK53)*$DT$46</f>
        <v>43.266153362228295</v>
      </c>
      <c r="DQ54" s="762" t="s">
        <v>346</v>
      </c>
      <c r="DR54" s="783"/>
      <c r="DS54" s="783"/>
      <c r="DT54" s="840">
        <f>DT38</f>
        <v>2</v>
      </c>
      <c r="DU54" s="783"/>
      <c r="EB54" s="762"/>
      <c r="EC54" s="783"/>
      <c r="ED54" s="783"/>
      <c r="EF54" s="762"/>
      <c r="EG54" s="762"/>
      <c r="EH54" s="762"/>
      <c r="EI54" s="762"/>
      <c r="EJ54" s="762"/>
      <c r="EK54" s="762"/>
      <c r="EL54" s="762"/>
      <c r="EM54" s="762"/>
      <c r="EN54" s="762"/>
      <c r="EO54" s="762"/>
      <c r="EP54" s="762"/>
      <c r="EQ54" s="783"/>
      <c r="ER54" s="829"/>
      <c r="ES54" s="783"/>
      <c r="ET54" s="783"/>
      <c r="EU54" s="783"/>
      <c r="EV54" s="783"/>
    </row>
    <row r="55" spans="3:152">
      <c r="C55" s="773" t="s">
        <v>423</v>
      </c>
      <c r="AC55" s="770">
        <f>ETR!AC47</f>
        <v>178.57040000000001</v>
      </c>
      <c r="AH55" s="770">
        <f>ETR!AH47</f>
        <v>180.296885</v>
      </c>
      <c r="AM55" s="770">
        <f>ETR!AM47</f>
        <v>179.176356</v>
      </c>
      <c r="AR55" s="770">
        <f>ETR!AR47</f>
        <v>178.88566</v>
      </c>
      <c r="AW55" s="770">
        <f>ETR!AW47</f>
        <v>180.53589299999999</v>
      </c>
      <c r="BB55" s="770">
        <f>ETR!BB47</f>
        <v>180.517653</v>
      </c>
      <c r="BG55" s="770">
        <f>ETR!BG47</f>
        <v>180.517653</v>
      </c>
      <c r="BL55" s="770">
        <f>ETR!BL47</f>
        <v>180.517653</v>
      </c>
      <c r="BQ55" s="770">
        <f>ETR!BQ47</f>
        <v>180.517653</v>
      </c>
      <c r="BU55" s="773" t="s">
        <v>951</v>
      </c>
      <c r="BV55" s="836"/>
      <c r="BW55" s="837">
        <v>0</v>
      </c>
      <c r="BX55" s="837"/>
      <c r="BY55" s="837"/>
      <c r="BZ55" s="837"/>
      <c r="CA55" s="837"/>
      <c r="CB55" s="837">
        <v>0</v>
      </c>
      <c r="CC55" s="837"/>
      <c r="CD55" s="837"/>
      <c r="CE55" s="837"/>
      <c r="CF55" s="837"/>
      <c r="CG55" s="837">
        <v>0</v>
      </c>
      <c r="CH55" s="837"/>
      <c r="CI55" s="837"/>
      <c r="CJ55" s="837"/>
      <c r="CK55" s="837"/>
      <c r="CL55" s="837">
        <f>-(EWC!AR205*EWC!AR200/1000+EWC!AR218*EWC!AR213/1000)</f>
        <v>-81.275980800000013</v>
      </c>
      <c r="CQ55" s="837">
        <f>-(8-EWC!AW200)*EWC!AW195/1000</f>
        <v>-194.01341400000001</v>
      </c>
      <c r="CV55" s="837">
        <f>-(8-EWC!BB200)*EWC!BB195/1000</f>
        <v>-194.01341400000001</v>
      </c>
      <c r="DA55" s="837">
        <f>-(8-EWC!BG200)*EWC!BG195/1000</f>
        <v>-142.57092719999997</v>
      </c>
      <c r="DF55" s="837">
        <f>-(8-EWC!BL200)*EWC!BL195/1000</f>
        <v>-98.9522592</v>
      </c>
      <c r="DK55" s="837">
        <f>-(8-EWC!BQ200)*EWC!BQ195/1000</f>
        <v>-37.7242538</v>
      </c>
      <c r="DQ55" s="788" t="s">
        <v>352</v>
      </c>
      <c r="DR55" s="789"/>
      <c r="DS55" s="789"/>
      <c r="DT55" s="846">
        <f>DW95</f>
        <v>0.56525119457704609</v>
      </c>
      <c r="DU55" s="783"/>
      <c r="EA55" s="783"/>
      <c r="EB55" s="762"/>
      <c r="EC55" s="783"/>
      <c r="ED55" s="783"/>
      <c r="EF55" s="762"/>
      <c r="EG55" s="762"/>
      <c r="EH55" s="762"/>
      <c r="EI55" s="762"/>
      <c r="EJ55" s="762"/>
      <c r="EK55" s="762"/>
      <c r="EL55" s="762"/>
      <c r="EM55" s="762"/>
      <c r="EN55" s="762"/>
      <c r="EO55" s="762"/>
      <c r="EP55" s="762"/>
      <c r="EQ55" s="783"/>
      <c r="ER55" s="829"/>
      <c r="ES55" s="783"/>
      <c r="ET55" s="783"/>
      <c r="EU55" s="783"/>
      <c r="EV55" s="783"/>
    </row>
    <row r="56" spans="3:152">
      <c r="C56" s="788" t="s">
        <v>196</v>
      </c>
      <c r="D56" s="789"/>
      <c r="E56" s="789"/>
      <c r="F56" s="789"/>
      <c r="G56" s="789"/>
      <c r="H56" s="789"/>
      <c r="I56" s="789"/>
      <c r="J56" s="789"/>
      <c r="K56" s="789"/>
      <c r="L56" s="789"/>
      <c r="M56" s="789"/>
      <c r="N56" s="804"/>
      <c r="O56" s="804"/>
      <c r="P56" s="804"/>
      <c r="Q56" s="804"/>
      <c r="R56" s="804"/>
      <c r="S56" s="804"/>
      <c r="T56" s="804"/>
      <c r="U56" s="804"/>
      <c r="V56" s="804"/>
      <c r="W56" s="804"/>
      <c r="X56" s="804"/>
      <c r="Y56" s="804"/>
      <c r="Z56" s="804"/>
      <c r="AA56" s="804"/>
      <c r="AB56" s="804"/>
      <c r="AC56" s="1117">
        <f>SUM(AC52:AC53)/AC55</f>
        <v>3.8887575992437728</v>
      </c>
      <c r="AD56" s="804"/>
      <c r="AE56" s="804"/>
      <c r="AF56" s="804"/>
      <c r="AG56" s="804"/>
      <c r="AH56" s="1117">
        <f>SUM(AH52:AH53)/AH55</f>
        <v>3.6383767806082767</v>
      </c>
      <c r="AI56" s="804"/>
      <c r="AJ56" s="804"/>
      <c r="AK56" s="804"/>
      <c r="AL56" s="804"/>
      <c r="AM56" s="1117">
        <f>SUM(AM52:AM53)/AM55</f>
        <v>4.9737700882810731</v>
      </c>
      <c r="AN56" s="804"/>
      <c r="AO56" s="804"/>
      <c r="AP56" s="804"/>
      <c r="AQ56" s="804"/>
      <c r="AR56" s="1117">
        <f>SUM(AR52:AR53)/AR55</f>
        <v>5.0965180775250571</v>
      </c>
      <c r="AS56" s="804"/>
      <c r="AT56" s="804"/>
      <c r="AU56" s="804"/>
      <c r="AV56" s="804"/>
      <c r="AW56" s="1117">
        <f>SUM(AW52:AW53)/AW55</f>
        <v>3.9584095335546334</v>
      </c>
      <c r="AX56" s="1117" t="e">
        <f t="shared" ref="AX56:BG56" si="16">SUM(AX52:AX53)/AX55</f>
        <v>#DIV/0!</v>
      </c>
      <c r="AY56" s="1117" t="e">
        <f t="shared" si="16"/>
        <v>#DIV/0!</v>
      </c>
      <c r="AZ56" s="1117" t="e">
        <f t="shared" si="16"/>
        <v>#DIV/0!</v>
      </c>
      <c r="BA56" s="1117" t="e">
        <f t="shared" si="16"/>
        <v>#DIV/0!</v>
      </c>
      <c r="BB56" s="1117">
        <f t="shared" si="16"/>
        <v>4.5125593692984642</v>
      </c>
      <c r="BC56" s="1117" t="e">
        <f t="shared" si="16"/>
        <v>#DIV/0!</v>
      </c>
      <c r="BD56" s="1117" t="e">
        <f t="shared" si="16"/>
        <v>#DIV/0!</v>
      </c>
      <c r="BE56" s="1117" t="e">
        <f t="shared" si="16"/>
        <v>#DIV/0!</v>
      </c>
      <c r="BF56" s="1117" t="e">
        <f t="shared" si="16"/>
        <v>#DIV/0!</v>
      </c>
      <c r="BG56" s="1117">
        <f t="shared" si="16"/>
        <v>4.8124111311487709</v>
      </c>
      <c r="BH56" s="804"/>
      <c r="BI56" s="804"/>
      <c r="BJ56" s="804"/>
      <c r="BK56" s="804"/>
      <c r="BL56" s="1117">
        <f t="shared" ref="BL56" si="17">SUM(BL52:BL53)/BL55</f>
        <v>5.1074279064259143</v>
      </c>
      <c r="BM56" s="804"/>
      <c r="BN56" s="804"/>
      <c r="BO56" s="804"/>
      <c r="BP56" s="804"/>
      <c r="BQ56" s="1118">
        <f>SUM(BQ52:BQ53)/BQ55</f>
        <v>5.4366790295375802</v>
      </c>
      <c r="BU56" s="765" t="s">
        <v>491</v>
      </c>
      <c r="BW56" s="39">
        <f>BW51-BW53-BW54+BW55</f>
        <v>519.18967741935489</v>
      </c>
      <c r="BX56" s="39"/>
      <c r="BY56" s="39"/>
      <c r="BZ56" s="39"/>
      <c r="CA56" s="39"/>
      <c r="CB56" s="39">
        <f>CB51-CB53-CB54+CB55</f>
        <v>720.3271290322582</v>
      </c>
      <c r="CC56" s="39"/>
      <c r="CD56" s="39"/>
      <c r="CE56" s="39"/>
      <c r="CF56" s="39"/>
      <c r="CG56" s="39">
        <f>CG51-CG53-CG54+CG55</f>
        <v>366.61748832826493</v>
      </c>
      <c r="CH56" s="39"/>
      <c r="CI56" s="39"/>
      <c r="CJ56" s="39"/>
      <c r="CK56" s="39"/>
      <c r="CL56" s="39">
        <f>CL51-CL53-CL54+CL55</f>
        <v>267.44089016774177</v>
      </c>
      <c r="CQ56" s="39">
        <f>CQ51-CQ53-CQ54+CQ55</f>
        <v>556.43053600000007</v>
      </c>
      <c r="CV56" s="39">
        <f>CV51-CV53-CV54+CV55</f>
        <v>99.13338504954902</v>
      </c>
      <c r="DA56" s="39">
        <f>DA51-DA53-DA54+DA55</f>
        <v>130.03152557730374</v>
      </c>
      <c r="DF56" s="39">
        <f>DF51-DF53-DF54+DF55</f>
        <v>122.65298922061983</v>
      </c>
      <c r="DK56" s="39">
        <f>DK51-DK53-DK54+DK55</f>
        <v>62.963380821415754</v>
      </c>
      <c r="DU56" s="783"/>
      <c r="EB56" s="762"/>
      <c r="EC56" s="783"/>
      <c r="ED56" s="783"/>
      <c r="EF56" s="762"/>
      <c r="EG56" s="762"/>
      <c r="EH56" s="762"/>
      <c r="EI56" s="762"/>
      <c r="EJ56" s="762"/>
      <c r="EK56" s="762"/>
      <c r="EL56" s="762"/>
      <c r="EM56" s="762"/>
      <c r="EN56" s="762"/>
      <c r="EO56" s="762"/>
      <c r="EP56" s="762"/>
      <c r="EQ56" s="783"/>
      <c r="ER56" s="829"/>
      <c r="ES56" s="783"/>
      <c r="ET56" s="783"/>
      <c r="EU56" s="783"/>
      <c r="EV56" s="783"/>
    </row>
    <row r="57" spans="3:152">
      <c r="N57" s="748"/>
      <c r="O57" s="748"/>
      <c r="P57" s="748"/>
      <c r="Q57" s="748"/>
      <c r="R57" s="748"/>
      <c r="S57" s="748"/>
      <c r="T57" s="748"/>
      <c r="U57" s="748"/>
      <c r="V57" s="748"/>
      <c r="W57" s="748"/>
      <c r="X57" s="748"/>
      <c r="Y57" s="748"/>
      <c r="Z57" s="748"/>
      <c r="AA57" s="748"/>
      <c r="AB57" s="748"/>
      <c r="AC57" s="748"/>
      <c r="AD57" s="748"/>
      <c r="AE57" s="748"/>
      <c r="AF57" s="748"/>
      <c r="AG57" s="748"/>
      <c r="AH57" s="748"/>
      <c r="AI57" s="748"/>
      <c r="AJ57" s="748"/>
      <c r="AK57" s="748"/>
      <c r="AL57" s="748"/>
      <c r="AM57" s="748"/>
      <c r="AN57" s="748"/>
      <c r="AO57" s="748"/>
      <c r="AP57" s="748"/>
      <c r="AQ57" s="748"/>
      <c r="AR57" s="748"/>
      <c r="AS57" s="796"/>
      <c r="AT57" s="796"/>
      <c r="AU57" s="796"/>
      <c r="AV57" s="796"/>
      <c r="AW57" s="748"/>
      <c r="AX57" s="796"/>
      <c r="AY57" s="796"/>
      <c r="AZ57" s="796"/>
      <c r="BA57" s="796"/>
      <c r="BB57" s="748"/>
      <c r="BC57" s="796"/>
      <c r="BD57" s="796"/>
      <c r="BE57" s="796"/>
      <c r="BF57" s="796"/>
      <c r="BG57" s="748"/>
      <c r="BH57" s="796"/>
      <c r="BI57" s="796"/>
      <c r="BJ57" s="796"/>
      <c r="BK57" s="796"/>
      <c r="BL57" s="748"/>
      <c r="BM57" s="796"/>
      <c r="BN57" s="796"/>
      <c r="BO57" s="796"/>
      <c r="BP57" s="796"/>
      <c r="BQ57" s="748"/>
      <c r="DU57" s="783"/>
      <c r="EB57" s="762"/>
      <c r="EC57" s="783"/>
      <c r="ED57" s="783"/>
      <c r="EF57" s="762"/>
      <c r="EG57" s="762"/>
      <c r="EH57" s="762"/>
      <c r="EI57" s="762"/>
      <c r="EJ57" s="762"/>
      <c r="EK57" s="762"/>
      <c r="EL57" s="762"/>
      <c r="EM57" s="762"/>
      <c r="EN57" s="762"/>
      <c r="EO57" s="762"/>
      <c r="EP57" s="762"/>
      <c r="EQ57" s="783"/>
      <c r="ER57" s="829"/>
      <c r="ES57" s="783"/>
      <c r="ET57" s="783"/>
      <c r="EU57" s="783"/>
      <c r="EV57" s="783"/>
    </row>
    <row r="58" spans="3:152">
      <c r="C58" s="736" t="s">
        <v>509</v>
      </c>
      <c r="J58" s="751"/>
      <c r="K58" s="751"/>
      <c r="L58" s="751"/>
      <c r="M58" s="751"/>
      <c r="N58" s="769"/>
      <c r="O58" s="769"/>
      <c r="P58" s="769"/>
      <c r="Q58" s="769"/>
      <c r="R58" s="769"/>
      <c r="S58" s="769"/>
      <c r="T58" s="769"/>
      <c r="U58" s="769"/>
      <c r="V58" s="769"/>
      <c r="W58" s="769"/>
      <c r="X58" s="855"/>
      <c r="Y58" s="855"/>
      <c r="Z58" s="855"/>
      <c r="AA58" s="855"/>
      <c r="AB58" s="855"/>
      <c r="AC58" s="855"/>
      <c r="AD58" s="855"/>
      <c r="AE58" s="855"/>
      <c r="AF58" s="855"/>
      <c r="AG58" s="855"/>
      <c r="AH58" s="855"/>
      <c r="AI58" s="855"/>
      <c r="AJ58" s="855"/>
      <c r="AK58" s="855"/>
      <c r="AL58" s="855"/>
      <c r="AM58" s="855">
        <f>AR58*1.05</f>
        <v>19.183499999999999</v>
      </c>
      <c r="AN58" s="855"/>
      <c r="AO58" s="855"/>
      <c r="AP58" s="855"/>
      <c r="AQ58" s="855"/>
      <c r="AR58" s="855">
        <f>AW58*1.05</f>
        <v>18.27</v>
      </c>
      <c r="AS58" s="752"/>
      <c r="AT58" s="752"/>
      <c r="AU58" s="752"/>
      <c r="AV58" s="752"/>
      <c r="AW58" s="855">
        <v>17.399999999999999</v>
      </c>
      <c r="AX58" s="752"/>
      <c r="AY58" s="752"/>
      <c r="AZ58" s="752"/>
      <c r="BA58" s="752"/>
      <c r="BB58" s="1932">
        <v>17.100000000000001</v>
      </c>
      <c r="BC58" s="752"/>
      <c r="BD58" s="752"/>
      <c r="BE58" s="752"/>
      <c r="BF58" s="752"/>
      <c r="BG58" s="1932">
        <v>17.600000000000001</v>
      </c>
      <c r="BH58" s="752"/>
      <c r="BI58" s="752"/>
      <c r="BJ58" s="752"/>
      <c r="BK58" s="752"/>
      <c r="BL58" s="768">
        <f>+BG58/1.05</f>
        <v>16.761904761904763</v>
      </c>
      <c r="BM58" s="752"/>
      <c r="BN58" s="752"/>
      <c r="BO58" s="752"/>
      <c r="BP58" s="752"/>
      <c r="BQ58" s="768">
        <f>+BL58/1.05</f>
        <v>15.963718820861677</v>
      </c>
      <c r="BU58" s="1127" t="s">
        <v>176</v>
      </c>
      <c r="BW58" s="997">
        <f>+EWC!AC429</f>
        <v>108.00000000000001</v>
      </c>
      <c r="BX58" s="39"/>
      <c r="BY58" s="39"/>
      <c r="BZ58" s="39"/>
      <c r="CA58" s="39"/>
      <c r="CB58" s="997">
        <f>+EWC!AH429</f>
        <v>131</v>
      </c>
      <c r="CC58" s="39"/>
      <c r="CD58" s="39"/>
      <c r="CE58" s="39"/>
      <c r="CF58" s="39"/>
      <c r="CG58" s="997">
        <f>+EWC!AM429</f>
        <v>159.78312519037465</v>
      </c>
      <c r="CH58" s="39"/>
      <c r="CI58" s="39"/>
      <c r="CJ58" s="39"/>
      <c r="CK58" s="39"/>
      <c r="CL58" s="997">
        <f>+EWC!AR429</f>
        <v>112.0767590618337</v>
      </c>
      <c r="CQ58" s="997">
        <f>+EWC!AW429</f>
        <v>94.719463904964982</v>
      </c>
      <c r="CV58" s="997">
        <f>+EWC!BB429</f>
        <v>245</v>
      </c>
      <c r="DA58" s="997">
        <f>+EWC!BG429</f>
        <v>75</v>
      </c>
      <c r="DF58" s="997">
        <f>+EWC!BL429</f>
        <v>35</v>
      </c>
      <c r="DK58" s="997">
        <f>+EWC!BQ429</f>
        <v>25</v>
      </c>
      <c r="DU58" s="783"/>
      <c r="DZ58" s="783"/>
      <c r="EB58" s="762"/>
      <c r="EC58" s="783"/>
      <c r="ED58" s="783"/>
      <c r="EF58" s="762"/>
      <c r="EG58" s="762"/>
      <c r="EH58" s="762"/>
      <c r="EI58" s="762"/>
      <c r="EJ58" s="762"/>
      <c r="EK58" s="762"/>
      <c r="EL58" s="762"/>
      <c r="EM58" s="762"/>
      <c r="EN58" s="762"/>
      <c r="EO58" s="762"/>
      <c r="EP58" s="762"/>
      <c r="EQ58" s="783"/>
      <c r="ER58" s="829"/>
      <c r="ES58" s="783"/>
      <c r="ET58" s="783"/>
      <c r="EU58" s="783"/>
      <c r="EV58" s="783"/>
    </row>
    <row r="59" spans="3:152">
      <c r="C59" s="736" t="s">
        <v>477</v>
      </c>
      <c r="J59" s="751"/>
      <c r="K59" s="751"/>
      <c r="L59" s="751"/>
      <c r="M59" s="751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8"/>
      <c r="Y59" s="858"/>
      <c r="Z59" s="858"/>
      <c r="AA59" s="858"/>
      <c r="AB59" s="858"/>
      <c r="AC59" s="858"/>
      <c r="AD59" s="858"/>
      <c r="AE59" s="858"/>
      <c r="AF59" s="858"/>
      <c r="AG59" s="858"/>
      <c r="AH59" s="858"/>
      <c r="AI59" s="858"/>
      <c r="AJ59" s="858"/>
      <c r="AK59" s="858"/>
      <c r="AL59" s="858"/>
      <c r="AM59" s="858">
        <v>0</v>
      </c>
      <c r="AN59" s="858"/>
      <c r="AO59" s="858"/>
      <c r="AP59" s="858"/>
      <c r="AQ59" s="858"/>
      <c r="AR59" s="858">
        <v>0</v>
      </c>
      <c r="AS59" s="752"/>
      <c r="AT59" s="752"/>
      <c r="AU59" s="752"/>
      <c r="AV59" s="752"/>
      <c r="AW59" s="858">
        <v>0</v>
      </c>
      <c r="AX59" s="752"/>
      <c r="AY59" s="752"/>
      <c r="AZ59" s="752"/>
      <c r="BA59" s="752"/>
      <c r="BB59" s="858">
        <v>0</v>
      </c>
      <c r="BC59" s="752"/>
      <c r="BD59" s="752"/>
      <c r="BE59" s="752"/>
      <c r="BF59" s="752"/>
      <c r="BG59" s="858">
        <v>0</v>
      </c>
      <c r="BH59" s="752"/>
      <c r="BI59" s="752"/>
      <c r="BJ59" s="752"/>
      <c r="BK59" s="752"/>
      <c r="BL59" s="858">
        <v>0</v>
      </c>
      <c r="BM59" s="752"/>
      <c r="BN59" s="752"/>
      <c r="BO59" s="752"/>
      <c r="BP59" s="752"/>
      <c r="BQ59" s="858">
        <v>0</v>
      </c>
      <c r="BU59" s="1127" t="s">
        <v>100</v>
      </c>
      <c r="BW59" s="997">
        <f>+EWC!AC430</f>
        <v>257</v>
      </c>
      <c r="BX59" s="770"/>
      <c r="BY59" s="770"/>
      <c r="BZ59" s="770"/>
      <c r="CA59" s="770"/>
      <c r="CB59" s="997">
        <f>+EWC!AH430</f>
        <v>289</v>
      </c>
      <c r="CC59" s="770"/>
      <c r="CD59" s="770"/>
      <c r="CE59" s="770"/>
      <c r="CF59" s="770"/>
      <c r="CG59" s="997">
        <f>+EWC!AM430</f>
        <v>265.21687480962532</v>
      </c>
      <c r="CH59" s="770"/>
      <c r="CI59" s="770"/>
      <c r="CJ59" s="770"/>
      <c r="CK59" s="770"/>
      <c r="CL59" s="997">
        <f>+EWC!AR430</f>
        <v>152.92324093816632</v>
      </c>
      <c r="CQ59" s="997">
        <f>+EWC!AW430</f>
        <v>135.28053609503502</v>
      </c>
      <c r="CV59" s="997">
        <f>+EWC!BB430</f>
        <v>-10</v>
      </c>
      <c r="DA59" s="997">
        <f>+EWC!BG430</f>
        <v>0</v>
      </c>
      <c r="DF59" s="997">
        <f>+EWC!BL430</f>
        <v>0</v>
      </c>
      <c r="DK59" s="997">
        <f>+EWC!BQ430</f>
        <v>0</v>
      </c>
      <c r="DU59" s="783"/>
      <c r="DZ59" s="783"/>
      <c r="EB59" s="762"/>
      <c r="EC59" s="783"/>
      <c r="ED59" s="783"/>
      <c r="EF59" s="762"/>
      <c r="EG59" s="762"/>
      <c r="EH59" s="762"/>
      <c r="EI59" s="762"/>
      <c r="EJ59" s="762"/>
      <c r="EK59" s="762"/>
      <c r="EL59" s="762"/>
      <c r="EM59" s="762"/>
      <c r="EN59" s="762"/>
      <c r="EO59" s="762"/>
      <c r="EP59" s="762"/>
      <c r="EQ59" s="783"/>
      <c r="ER59" s="829"/>
      <c r="ES59" s="783"/>
      <c r="ET59" s="783"/>
      <c r="EU59" s="783"/>
      <c r="EV59" s="783"/>
    </row>
    <row r="60" spans="3:152">
      <c r="C60" s="736" t="s">
        <v>478</v>
      </c>
      <c r="J60" s="751"/>
      <c r="K60" s="751"/>
      <c r="L60" s="751"/>
      <c r="M60" s="751"/>
      <c r="N60" s="769"/>
      <c r="O60" s="769"/>
      <c r="P60" s="769"/>
      <c r="Q60" s="769"/>
      <c r="R60" s="769"/>
      <c r="S60" s="769"/>
      <c r="T60" s="769"/>
      <c r="U60" s="769"/>
      <c r="V60" s="769"/>
      <c r="W60" s="769"/>
      <c r="X60" s="769"/>
      <c r="Y60" s="769"/>
      <c r="Z60" s="769"/>
      <c r="AA60" s="769"/>
      <c r="AB60" s="769"/>
      <c r="AC60" s="769"/>
      <c r="AD60" s="769"/>
      <c r="AE60" s="769"/>
      <c r="AF60" s="769"/>
      <c r="AG60" s="769"/>
      <c r="AH60" s="769"/>
      <c r="AI60" s="769"/>
      <c r="AJ60" s="769"/>
      <c r="AK60" s="769"/>
      <c r="AL60" s="769"/>
      <c r="AM60" s="769">
        <f>+AM58*(1+AM59)</f>
        <v>19.183499999999999</v>
      </c>
      <c r="AN60" s="769"/>
      <c r="AO60" s="769"/>
      <c r="AP60" s="769"/>
      <c r="AQ60" s="769"/>
      <c r="AR60" s="769">
        <f>+AR58*(1+AR59)</f>
        <v>18.27</v>
      </c>
      <c r="AS60" s="752"/>
      <c r="AT60" s="752"/>
      <c r="AU60" s="752"/>
      <c r="AV60" s="752"/>
      <c r="AW60" s="769">
        <f>+AW58*(1+AW59)</f>
        <v>17.399999999999999</v>
      </c>
      <c r="AX60" s="752"/>
      <c r="AY60" s="752"/>
      <c r="AZ60" s="752"/>
      <c r="BA60" s="752"/>
      <c r="BB60" s="769">
        <f>+BB58*(1+BB59)</f>
        <v>17.100000000000001</v>
      </c>
      <c r="BC60" s="752"/>
      <c r="BD60" s="752"/>
      <c r="BE60" s="752"/>
      <c r="BF60" s="752"/>
      <c r="BG60" s="769">
        <f>+BG58*(1+BG59)</f>
        <v>17.600000000000001</v>
      </c>
      <c r="BH60" s="752"/>
      <c r="BI60" s="752"/>
      <c r="BJ60" s="752"/>
      <c r="BK60" s="752"/>
      <c r="BL60" s="769">
        <f>+BL58*(1+BL59)</f>
        <v>16.761904761904763</v>
      </c>
      <c r="BM60" s="752"/>
      <c r="BN60" s="752"/>
      <c r="BO60" s="752"/>
      <c r="BP60" s="752"/>
      <c r="BQ60" s="769">
        <f>+BQ58*(1+BQ59)</f>
        <v>15.963718820861677</v>
      </c>
      <c r="BU60" s="1128" t="s">
        <v>177</v>
      </c>
      <c r="BW60" s="842">
        <f>SUM(BW58:BW59)</f>
        <v>365</v>
      </c>
      <c r="BX60" s="842"/>
      <c r="BY60" s="842"/>
      <c r="BZ60" s="842"/>
      <c r="CA60" s="842"/>
      <c r="CB60" s="842">
        <f>SUM(CB58:CB59)</f>
        <v>420</v>
      </c>
      <c r="CC60" s="842"/>
      <c r="CD60" s="842"/>
      <c r="CE60" s="842"/>
      <c r="CF60" s="842"/>
      <c r="CG60" s="842">
        <f>SUM(CG58:CG59)</f>
        <v>425</v>
      </c>
      <c r="CH60" s="842"/>
      <c r="CI60" s="842"/>
      <c r="CJ60" s="842"/>
      <c r="CK60" s="842"/>
      <c r="CL60" s="842">
        <f>SUM(CL58:CL59)</f>
        <v>265</v>
      </c>
      <c r="CQ60" s="842">
        <f>SUM(CQ58:CQ59)</f>
        <v>230</v>
      </c>
      <c r="CV60" s="842">
        <f>SUM(CV58:CV59)</f>
        <v>235</v>
      </c>
      <c r="DA60" s="842">
        <f>SUM(DA58:DA59)</f>
        <v>75</v>
      </c>
      <c r="DF60" s="842">
        <f>SUM(DF58:DF59)</f>
        <v>35</v>
      </c>
      <c r="DK60" s="842">
        <f>SUM(DK58:DK59)</f>
        <v>25</v>
      </c>
      <c r="DL60" s="825"/>
      <c r="DU60" s="783"/>
      <c r="DZ60" s="783"/>
      <c r="EB60" s="762"/>
      <c r="EC60" s="783"/>
      <c r="ED60" s="797"/>
      <c r="EE60" s="797">
        <f>+EF60-1</f>
        <v>2012</v>
      </c>
      <c r="EF60" s="797">
        <f>+EG60-1</f>
        <v>2013</v>
      </c>
      <c r="EG60" s="797">
        <f>+EH60-1</f>
        <v>2014</v>
      </c>
      <c r="EH60" s="797">
        <f>+EI60-1</f>
        <v>2015</v>
      </c>
      <c r="EI60" s="797">
        <v>2016</v>
      </c>
      <c r="EJ60" s="762"/>
      <c r="EK60" s="762"/>
      <c r="EL60" s="762"/>
      <c r="EM60" s="762"/>
      <c r="EN60" s="762"/>
      <c r="EO60" s="762"/>
      <c r="EP60" s="762"/>
      <c r="EQ60" s="783"/>
      <c r="ER60" s="829"/>
      <c r="ES60" s="783"/>
      <c r="ET60" s="783"/>
      <c r="EU60" s="783"/>
      <c r="EV60" s="783"/>
    </row>
    <row r="61" spans="3:152">
      <c r="C61" s="788" t="s">
        <v>479</v>
      </c>
      <c r="D61" s="789"/>
      <c r="E61" s="789"/>
      <c r="F61" s="789"/>
      <c r="G61" s="789"/>
      <c r="H61" s="789"/>
      <c r="I61" s="789"/>
      <c r="J61" s="790"/>
      <c r="K61" s="790"/>
      <c r="L61" s="790"/>
      <c r="M61" s="790"/>
      <c r="N61" s="790"/>
      <c r="O61" s="790"/>
      <c r="P61" s="790"/>
      <c r="Q61" s="790"/>
      <c r="R61" s="790"/>
      <c r="S61" s="790"/>
      <c r="T61" s="790"/>
      <c r="U61" s="790"/>
      <c r="V61" s="790"/>
      <c r="W61" s="790"/>
      <c r="X61" s="790"/>
      <c r="Y61" s="790"/>
      <c r="Z61" s="790"/>
      <c r="AA61" s="790"/>
      <c r="AB61" s="790"/>
      <c r="AC61" s="790"/>
      <c r="AD61" s="790"/>
      <c r="AE61" s="790"/>
      <c r="AF61" s="790"/>
      <c r="AG61" s="790"/>
      <c r="AH61" s="790"/>
      <c r="AI61" s="790"/>
      <c r="AJ61" s="790"/>
      <c r="AK61" s="790"/>
      <c r="AL61" s="790"/>
      <c r="AM61" s="790">
        <f>AM56*AM60</f>
        <v>95.414318488539962</v>
      </c>
      <c r="AN61" s="790"/>
      <c r="AO61" s="790"/>
      <c r="AP61" s="790"/>
      <c r="AQ61" s="790"/>
      <c r="AR61" s="790">
        <f>AR56*AR60</f>
        <v>93.113385276382786</v>
      </c>
      <c r="AS61" s="1119"/>
      <c r="AT61" s="1119"/>
      <c r="AU61" s="1119"/>
      <c r="AV61" s="1119"/>
      <c r="AW61" s="790">
        <f>AW56*AW60</f>
        <v>68.876325883850612</v>
      </c>
      <c r="AX61" s="790" t="e">
        <f t="shared" ref="AX61:BG61" si="18">AX56*AX60</f>
        <v>#DIV/0!</v>
      </c>
      <c r="AY61" s="790" t="e">
        <f t="shared" si="18"/>
        <v>#DIV/0!</v>
      </c>
      <c r="AZ61" s="790" t="e">
        <f t="shared" si="18"/>
        <v>#DIV/0!</v>
      </c>
      <c r="BA61" s="790" t="e">
        <f t="shared" si="18"/>
        <v>#DIV/0!</v>
      </c>
      <c r="BB61" s="790">
        <f t="shared" si="18"/>
        <v>77.16476521500374</v>
      </c>
      <c r="BC61" s="790" t="e">
        <f t="shared" si="18"/>
        <v>#DIV/0!</v>
      </c>
      <c r="BD61" s="790" t="e">
        <f t="shared" si="18"/>
        <v>#DIV/0!</v>
      </c>
      <c r="BE61" s="790" t="e">
        <f t="shared" si="18"/>
        <v>#DIV/0!</v>
      </c>
      <c r="BF61" s="790" t="e">
        <f t="shared" si="18"/>
        <v>#DIV/0!</v>
      </c>
      <c r="BG61" s="790">
        <f t="shared" si="18"/>
        <v>84.698435908218372</v>
      </c>
      <c r="BH61" s="1119"/>
      <c r="BI61" s="1119"/>
      <c r="BJ61" s="1119"/>
      <c r="BK61" s="1119"/>
      <c r="BL61" s="790">
        <f t="shared" ref="BL61" si="19">BL56*BL60</f>
        <v>85.610220145805812</v>
      </c>
      <c r="BM61" s="1119"/>
      <c r="BN61" s="1119"/>
      <c r="BO61" s="1119"/>
      <c r="BP61" s="1119"/>
      <c r="BQ61" s="792">
        <f>BQ56*BQ60</f>
        <v>86.789615346813065</v>
      </c>
      <c r="DU61" s="783"/>
      <c r="EB61" s="762"/>
      <c r="EC61" s="783"/>
      <c r="ED61" s="99"/>
      <c r="EE61" s="850">
        <f>+EWC!X420-3000</f>
        <v>1010.3760000000002</v>
      </c>
      <c r="EF61" s="801">
        <f>EE61+EWC!AC431-EWC!AC426</f>
        <v>1159.5050000000001</v>
      </c>
      <c r="EG61" s="801">
        <f>EF61+EWC!AH431-EWC!AH426</f>
        <v>1303.5810000000001</v>
      </c>
      <c r="EH61" s="801">
        <f>EG61+EWC!AM431-EWC!AM426</f>
        <v>1489.5490000000002</v>
      </c>
      <c r="EI61" s="801">
        <f>EH61+EWC!AR431-EWC!AR426</f>
        <v>1554.6970000000001</v>
      </c>
      <c r="EJ61" s="762"/>
      <c r="EK61" s="762"/>
      <c r="EL61" s="762"/>
      <c r="EM61" s="762"/>
      <c r="EN61" s="762"/>
      <c r="EO61" s="762"/>
      <c r="EP61" s="762"/>
      <c r="EQ61" s="783"/>
      <c r="ER61" s="829"/>
      <c r="ES61" s="783"/>
      <c r="ET61" s="783"/>
      <c r="EU61" s="783"/>
      <c r="EV61" s="783"/>
    </row>
    <row r="62" spans="3:152">
      <c r="AS62" s="859"/>
      <c r="AT62" s="859"/>
      <c r="AU62" s="859"/>
      <c r="AV62" s="859"/>
      <c r="AX62" s="859"/>
      <c r="AY62" s="859"/>
      <c r="AZ62" s="859"/>
      <c r="BA62" s="859"/>
      <c r="BC62" s="859"/>
      <c r="BD62" s="859"/>
      <c r="BE62" s="859"/>
      <c r="BF62" s="859"/>
      <c r="BH62" s="859"/>
      <c r="BI62" s="859"/>
      <c r="BJ62" s="859"/>
      <c r="BK62" s="859"/>
      <c r="BM62" s="859"/>
      <c r="BN62" s="859"/>
      <c r="BO62" s="859"/>
      <c r="BP62" s="859"/>
      <c r="BU62" s="764" t="s">
        <v>496</v>
      </c>
      <c r="BV62" s="764"/>
      <c r="BW62" s="844">
        <f>BW56-BW60</f>
        <v>154.18967741935489</v>
      </c>
      <c r="BX62" s="844"/>
      <c r="BY62" s="844"/>
      <c r="BZ62" s="844"/>
      <c r="CA62" s="844"/>
      <c r="CB62" s="844">
        <f>CB56-CB60</f>
        <v>300.3271290322582</v>
      </c>
      <c r="CC62" s="844"/>
      <c r="CD62" s="844"/>
      <c r="CE62" s="844"/>
      <c r="CF62" s="844"/>
      <c r="CG62" s="844">
        <f>CG56-CG60</f>
        <v>-58.382511671735074</v>
      </c>
      <c r="CH62" s="844"/>
      <c r="CI62" s="844"/>
      <c r="CJ62" s="844"/>
      <c r="CK62" s="844"/>
      <c r="CL62" s="844">
        <f>CL56-CL60</f>
        <v>2.4408901677417703</v>
      </c>
      <c r="CQ62" s="844">
        <f>CQ56-CQ60</f>
        <v>326.43053600000007</v>
      </c>
      <c r="CV62" s="844">
        <f>CV56-CV60</f>
        <v>-135.86661495045098</v>
      </c>
      <c r="DA62" s="844">
        <f>DA56-DA60</f>
        <v>55.031525577303739</v>
      </c>
      <c r="DF62" s="844">
        <f>DF56-DF60</f>
        <v>87.65298922061983</v>
      </c>
      <c r="DK62" s="844">
        <f>DK56-DK60</f>
        <v>37.963380821415754</v>
      </c>
      <c r="DU62" s="783"/>
      <c r="DV62" s="783"/>
      <c r="DW62" s="783"/>
      <c r="DX62" s="783"/>
      <c r="DY62" s="783"/>
      <c r="DZ62" s="783"/>
      <c r="EA62" s="783"/>
      <c r="EB62" s="762"/>
      <c r="EC62" s="783"/>
      <c r="ED62" s="783"/>
      <c r="EF62" s="762"/>
      <c r="EG62" s="762"/>
      <c r="EH62" s="762"/>
      <c r="EI62" s="762"/>
      <c r="EJ62" s="762"/>
      <c r="EK62" s="762"/>
      <c r="EL62" s="762"/>
      <c r="EM62" s="762"/>
      <c r="EN62" s="762"/>
      <c r="EO62" s="762"/>
      <c r="EP62" s="762"/>
      <c r="EQ62" s="783"/>
      <c r="ER62" s="829"/>
      <c r="ES62" s="783"/>
      <c r="ET62" s="783"/>
      <c r="EU62" s="783"/>
      <c r="EV62" s="783"/>
    </row>
    <row r="63" spans="3:152">
      <c r="C63" s="990" t="s">
        <v>181</v>
      </c>
      <c r="S63" s="761"/>
      <c r="X63" s="761"/>
      <c r="AC63" s="761"/>
      <c r="AH63" s="761"/>
      <c r="AM63" s="761">
        <f>+$CG$18</f>
        <v>0.27</v>
      </c>
      <c r="AR63" s="761">
        <f>+$CG$18</f>
        <v>0.27</v>
      </c>
      <c r="AS63" s="860"/>
      <c r="AT63" s="860"/>
      <c r="AU63" s="860"/>
      <c r="AV63" s="860"/>
      <c r="AW63" s="761">
        <f>+$CG$18</f>
        <v>0.27</v>
      </c>
      <c r="AX63" s="860"/>
      <c r="AY63" s="860"/>
      <c r="AZ63" s="860"/>
      <c r="BA63" s="860"/>
      <c r="BB63" s="761">
        <f>+$CG$18</f>
        <v>0.27</v>
      </c>
      <c r="BC63" s="860"/>
      <c r="BD63" s="860"/>
      <c r="BE63" s="860"/>
      <c r="BF63" s="860"/>
      <c r="BG63" s="761">
        <f>+$CG$18</f>
        <v>0.27</v>
      </c>
      <c r="BH63" s="860"/>
      <c r="BI63" s="860"/>
      <c r="BJ63" s="860"/>
      <c r="BK63" s="860"/>
      <c r="BL63" s="761">
        <f>+$CG$18</f>
        <v>0.27</v>
      </c>
      <c r="BM63" s="860"/>
      <c r="BN63" s="860"/>
      <c r="BO63" s="860"/>
      <c r="BP63" s="860"/>
      <c r="BQ63" s="761">
        <f>+$CG$18</f>
        <v>0.27</v>
      </c>
      <c r="BU63" s="765" t="s">
        <v>497</v>
      </c>
      <c r="BV63" s="765"/>
      <c r="BW63" s="842">
        <f>+BW62+(BW53*(1-40%))</f>
        <v>163.9834774193549</v>
      </c>
      <c r="BX63" s="842"/>
      <c r="BY63" s="842"/>
      <c r="BZ63" s="842"/>
      <c r="CA63" s="842"/>
      <c r="CB63" s="842">
        <f>+CB62+(CB53*(1-40%))</f>
        <v>310.31472903225819</v>
      </c>
      <c r="CC63" s="842"/>
      <c r="CD63" s="842"/>
      <c r="CE63" s="842"/>
      <c r="CF63" s="842"/>
      <c r="CG63" s="842">
        <f>+CG62+(CG53*(1-40%))</f>
        <v>-42.309711671735073</v>
      </c>
      <c r="CH63" s="842"/>
      <c r="CI63" s="842"/>
      <c r="CJ63" s="842"/>
      <c r="CK63" s="842"/>
      <c r="CL63" s="842">
        <f>+CL62+(CL53*(1-40%))</f>
        <v>16.155690167741771</v>
      </c>
      <c r="CQ63" s="842">
        <f>+CQ62+(CQ53*(1-40%))</f>
        <v>340.6589360000001</v>
      </c>
      <c r="CV63" s="842">
        <f>+CV62+(CV53*(1-40%))</f>
        <v>-120.73148067562889</v>
      </c>
      <c r="DA63" s="842">
        <f>+DA62+(DA53*(1-40%))</f>
        <v>69.122281522849377</v>
      </c>
      <c r="DF63" s="842">
        <f>+DF62+(DF53*(1-40%))</f>
        <v>100.69302017584145</v>
      </c>
      <c r="DK63" s="842">
        <f>+DK62+(DK53*(1-40%))</f>
        <v>51.226859447993753</v>
      </c>
      <c r="DU63" s="851"/>
      <c r="DV63" s="783"/>
      <c r="DW63" s="783"/>
      <c r="DX63" s="783"/>
      <c r="DY63" s="783"/>
      <c r="DZ63" s="783"/>
      <c r="EA63" s="783"/>
      <c r="EB63" s="762"/>
      <c r="EC63" s="783"/>
      <c r="ED63" s="783"/>
      <c r="EF63" s="762"/>
      <c r="EG63" s="762"/>
      <c r="EH63" s="762"/>
      <c r="EI63" s="762"/>
      <c r="EJ63" s="762"/>
      <c r="EK63" s="762"/>
      <c r="EL63" s="762"/>
      <c r="EM63" s="762"/>
      <c r="EN63" s="762"/>
      <c r="EO63" s="762"/>
      <c r="EP63" s="762"/>
      <c r="EQ63" s="783"/>
      <c r="ER63" s="829"/>
      <c r="ES63" s="783"/>
      <c r="ET63" s="783"/>
      <c r="EU63" s="783"/>
      <c r="EV63" s="783"/>
    </row>
    <row r="64" spans="3:152">
      <c r="C64" s="773" t="s">
        <v>220</v>
      </c>
      <c r="AH64" s="793"/>
      <c r="AM64" s="793">
        <v>0</v>
      </c>
      <c r="AR64" s="793">
        <v>0</v>
      </c>
      <c r="AS64" s="860"/>
      <c r="AT64" s="860"/>
      <c r="AU64" s="860"/>
      <c r="AV64" s="860"/>
      <c r="AW64" s="793">
        <v>0</v>
      </c>
      <c r="AX64" s="860"/>
      <c r="AY64" s="860"/>
      <c r="AZ64" s="860"/>
      <c r="BA64" s="860"/>
      <c r="BB64" s="793">
        <v>0</v>
      </c>
      <c r="BC64" s="860"/>
      <c r="BD64" s="860"/>
      <c r="BE64" s="860"/>
      <c r="BF64" s="860"/>
      <c r="BG64" s="793">
        <v>0</v>
      </c>
      <c r="BH64" s="860"/>
      <c r="BI64" s="860"/>
      <c r="BJ64" s="860"/>
      <c r="BK64" s="860"/>
      <c r="BL64" s="793">
        <v>0</v>
      </c>
      <c r="BM64" s="860"/>
      <c r="BN64" s="860"/>
      <c r="BO64" s="860"/>
      <c r="BP64" s="860"/>
      <c r="BQ64" s="793">
        <v>0</v>
      </c>
      <c r="BU64" s="765" t="s">
        <v>342</v>
      </c>
      <c r="BW64" s="801"/>
      <c r="BX64" s="801"/>
      <c r="BY64" s="801"/>
      <c r="BZ64" s="801"/>
      <c r="CA64" s="801"/>
      <c r="CB64" s="801"/>
      <c r="CC64" s="801"/>
      <c r="CD64" s="801"/>
      <c r="CE64" s="801"/>
      <c r="CF64" s="801"/>
      <c r="CG64" s="801"/>
      <c r="CH64" s="801"/>
      <c r="CI64" s="801"/>
      <c r="CJ64" s="801"/>
      <c r="CK64" s="801"/>
      <c r="CQ64" s="1228"/>
      <c r="CV64" s="1228"/>
      <c r="DA64" s="1228"/>
      <c r="DF64" s="1228"/>
      <c r="DK64" s="1228">
        <f>IF(EA39=2,DK51*DT55,(DK63+DK59)/(DT47-EA40))</f>
        <v>93.865379184846176</v>
      </c>
      <c r="DQ64" s="765" t="s">
        <v>155</v>
      </c>
      <c r="DR64" s="765"/>
      <c r="DS64" s="853" t="s">
        <v>317</v>
      </c>
      <c r="DT64" s="765" t="s">
        <v>340</v>
      </c>
      <c r="DU64" s="765" t="s">
        <v>730</v>
      </c>
      <c r="DV64" s="853" t="s">
        <v>226</v>
      </c>
      <c r="DW64" s="765" t="s">
        <v>351</v>
      </c>
      <c r="DX64" s="765"/>
      <c r="DY64" s="765" t="s">
        <v>348</v>
      </c>
      <c r="DZ64" s="765" t="s">
        <v>349</v>
      </c>
      <c r="EA64" s="765" t="s">
        <v>350</v>
      </c>
      <c r="ES64" s="783"/>
      <c r="ET64" s="783"/>
      <c r="EU64" s="783"/>
      <c r="EV64" s="783"/>
    </row>
    <row r="65" spans="1:152">
      <c r="C65" s="788" t="s">
        <v>219</v>
      </c>
      <c r="D65" s="789"/>
      <c r="E65" s="790"/>
      <c r="F65" s="790"/>
      <c r="G65" s="790"/>
      <c r="H65" s="790"/>
      <c r="I65" s="789"/>
      <c r="J65" s="790"/>
      <c r="K65" s="790"/>
      <c r="L65" s="790"/>
      <c r="M65" s="790"/>
      <c r="N65" s="790"/>
      <c r="O65" s="790"/>
      <c r="P65" s="790"/>
      <c r="Q65" s="790"/>
      <c r="R65" s="790"/>
      <c r="S65" s="790"/>
      <c r="T65" s="790"/>
      <c r="U65" s="790"/>
      <c r="V65" s="790"/>
      <c r="W65" s="790"/>
      <c r="X65" s="790"/>
      <c r="Y65" s="790"/>
      <c r="Z65" s="790"/>
      <c r="AA65" s="790"/>
      <c r="AB65" s="790"/>
      <c r="AC65" s="790"/>
      <c r="AD65" s="790"/>
      <c r="AE65" s="790"/>
      <c r="AF65" s="790"/>
      <c r="AG65" s="790"/>
      <c r="AH65" s="790"/>
      <c r="AI65" s="790"/>
      <c r="AJ65" s="790"/>
      <c r="AK65" s="790"/>
      <c r="AL65" s="790"/>
      <c r="AM65" s="790">
        <f>+AM63+AM61+AM64</f>
        <v>95.684318488539958</v>
      </c>
      <c r="AN65" s="790"/>
      <c r="AO65" s="790"/>
      <c r="AP65" s="790"/>
      <c r="AQ65" s="790"/>
      <c r="AR65" s="790">
        <f>+AR63+AR61+AR64</f>
        <v>93.383385276382782</v>
      </c>
      <c r="AS65" s="1391"/>
      <c r="AT65" s="1391"/>
      <c r="AU65" s="1391"/>
      <c r="AV65" s="1391"/>
      <c r="AW65" s="790">
        <f>+AW63+AW61+AW64</f>
        <v>69.146325883850608</v>
      </c>
      <c r="AX65" s="790" t="e">
        <f t="shared" ref="AX65:BG65" si="20">+AX63+AX61+AX64</f>
        <v>#DIV/0!</v>
      </c>
      <c r="AY65" s="790" t="e">
        <f t="shared" si="20"/>
        <v>#DIV/0!</v>
      </c>
      <c r="AZ65" s="790" t="e">
        <f t="shared" si="20"/>
        <v>#DIV/0!</v>
      </c>
      <c r="BA65" s="790" t="e">
        <f t="shared" si="20"/>
        <v>#DIV/0!</v>
      </c>
      <c r="BB65" s="790">
        <f t="shared" si="20"/>
        <v>77.434765215003736</v>
      </c>
      <c r="BC65" s="790" t="e">
        <f t="shared" si="20"/>
        <v>#DIV/0!</v>
      </c>
      <c r="BD65" s="790" t="e">
        <f t="shared" si="20"/>
        <v>#DIV/0!</v>
      </c>
      <c r="BE65" s="790" t="e">
        <f t="shared" si="20"/>
        <v>#DIV/0!</v>
      </c>
      <c r="BF65" s="790" t="e">
        <f t="shared" si="20"/>
        <v>#DIV/0!</v>
      </c>
      <c r="BG65" s="790">
        <f t="shared" si="20"/>
        <v>84.968435908218368</v>
      </c>
      <c r="BH65" s="1391"/>
      <c r="BI65" s="1391"/>
      <c r="BJ65" s="1391"/>
      <c r="BK65" s="1391"/>
      <c r="BL65" s="790">
        <f t="shared" ref="BL65" si="21">+BL63+BL61+BL64</f>
        <v>85.880220145805808</v>
      </c>
      <c r="BM65" s="1391"/>
      <c r="BN65" s="1391"/>
      <c r="BO65" s="1391"/>
      <c r="BP65" s="1391"/>
      <c r="BQ65" s="792">
        <f>+BQ63+BQ61+BQ64</f>
        <v>87.059615346813061</v>
      </c>
      <c r="CM65" s="842"/>
      <c r="CN65" s="842"/>
      <c r="CO65" s="842"/>
      <c r="CP65" s="842"/>
      <c r="CR65" s="842"/>
      <c r="CS65" s="842"/>
      <c r="CT65" s="842"/>
      <c r="CU65" s="842"/>
      <c r="CW65" s="842"/>
      <c r="CX65" s="842"/>
      <c r="CY65" s="842"/>
      <c r="CZ65" s="842"/>
      <c r="DB65" s="842"/>
      <c r="DC65" s="842"/>
      <c r="DD65" s="842"/>
      <c r="DE65" s="842"/>
      <c r="DG65" s="842"/>
      <c r="DH65" s="842"/>
      <c r="DI65" s="842"/>
      <c r="DJ65" s="842"/>
      <c r="DQ65" s="736">
        <v>1</v>
      </c>
      <c r="DS65" s="854">
        <f>1</f>
        <v>1</v>
      </c>
      <c r="DT65" s="825">
        <f>-$DT$46*(DS65-($DT$38*$DT$42)-EV66)</f>
        <v>-0.22604662944425968</v>
      </c>
      <c r="DU65" s="825">
        <f>DT52*DS65*-1</f>
        <v>-0.82957738440291562</v>
      </c>
      <c r="DV65" s="825">
        <f>DS65+DT65+DU65</f>
        <v>-5.5624013847175302E-2</v>
      </c>
      <c r="DW65" s="825">
        <f>DV65/(1+$DT$50)^DQ65</f>
        <v>-5.1031205364381008E-2</v>
      </c>
      <c r="DY65" s="1106">
        <v>3.7499999999999999E-2</v>
      </c>
      <c r="DZ65" s="825">
        <f t="shared" ref="DZ65:DZ85" si="22">$DT$51*$DS$65*DY65</f>
        <v>0.11630095049220546</v>
      </c>
      <c r="EA65" s="825">
        <f>$DT$52*$DS$65*DY65</f>
        <v>3.1109151915109334E-2</v>
      </c>
      <c r="ES65" s="783"/>
      <c r="ET65" s="783"/>
      <c r="EU65" s="783"/>
      <c r="EV65" s="854">
        <f t="shared" ref="EV65:EV85" si="23">SUM(DZ65:EU65)</f>
        <v>0.14741010240731478</v>
      </c>
    </row>
    <row r="66" spans="1:152">
      <c r="C66" s="736" t="s">
        <v>225</v>
      </c>
      <c r="J66" s="751"/>
      <c r="K66" s="751"/>
      <c r="L66" s="751"/>
      <c r="M66" s="751"/>
      <c r="N66" s="761"/>
      <c r="O66" s="761"/>
      <c r="P66" s="761"/>
      <c r="Q66" s="761"/>
      <c r="R66" s="761"/>
      <c r="S66" s="761"/>
      <c r="T66" s="761"/>
      <c r="U66" s="761"/>
      <c r="V66" s="761"/>
      <c r="W66" s="761"/>
      <c r="X66" s="761"/>
      <c r="Y66" s="761"/>
      <c r="Z66" s="761"/>
      <c r="AA66" s="761"/>
      <c r="AB66" s="761"/>
      <c r="AC66" s="761"/>
      <c r="AD66" s="761"/>
      <c r="AE66" s="761"/>
      <c r="AF66" s="761"/>
      <c r="AG66" s="761"/>
      <c r="AH66" s="761"/>
      <c r="AI66" s="761"/>
      <c r="AJ66" s="761"/>
      <c r="AK66" s="761"/>
      <c r="AL66" s="761"/>
      <c r="AM66" s="761">
        <f>+$AR$18</f>
        <v>77.16</v>
      </c>
      <c r="AN66" s="761"/>
      <c r="AO66" s="761"/>
      <c r="AP66" s="761"/>
      <c r="AQ66" s="761"/>
      <c r="AR66" s="761">
        <f>+$AR$18</f>
        <v>77.16</v>
      </c>
      <c r="AS66" s="88"/>
      <c r="AT66" s="88"/>
      <c r="AU66" s="88"/>
      <c r="AV66" s="88"/>
      <c r="AW66" s="761">
        <f>+$AR$18</f>
        <v>77.16</v>
      </c>
      <c r="AX66" s="88"/>
      <c r="AY66" s="88"/>
      <c r="AZ66" s="88"/>
      <c r="BA66" s="88"/>
      <c r="BB66" s="761">
        <f>+$AR$18</f>
        <v>77.16</v>
      </c>
      <c r="BC66" s="88"/>
      <c r="BD66" s="88"/>
      <c r="BE66" s="88"/>
      <c r="BF66" s="88"/>
      <c r="BG66" s="761">
        <f>+$AR$18</f>
        <v>77.16</v>
      </c>
      <c r="BH66" s="88"/>
      <c r="BI66" s="88"/>
      <c r="BJ66" s="88"/>
      <c r="BK66" s="88"/>
      <c r="BL66" s="761">
        <f>+$AR$18</f>
        <v>77.16</v>
      </c>
      <c r="BM66" s="88"/>
      <c r="BN66" s="88"/>
      <c r="BO66" s="88"/>
      <c r="BP66" s="88"/>
      <c r="BQ66" s="761">
        <f>+$AR$18</f>
        <v>77.16</v>
      </c>
      <c r="BU66" s="736" t="s">
        <v>728</v>
      </c>
      <c r="BW66" s="847">
        <f ca="1">(1/(1+$DT$47))^((BW49-$BU$49)/365)</f>
        <v>1.4466716813526206</v>
      </c>
      <c r="BX66" s="847"/>
      <c r="BY66" s="847"/>
      <c r="BZ66" s="847"/>
      <c r="CA66" s="847"/>
      <c r="CB66" s="847">
        <f ca="1">(1/(1+$DT$47))^((CB49-$BU$49)/365)</f>
        <v>1.3272217260115784</v>
      </c>
      <c r="CC66" s="847"/>
      <c r="CD66" s="847"/>
      <c r="CE66" s="847"/>
      <c r="CF66" s="847"/>
      <c r="CG66" s="847">
        <f ca="1">(1/(1+$DT$47))^((CG49-$BU$49)/365)</f>
        <v>1.2176346110197969</v>
      </c>
      <c r="CH66" s="847"/>
      <c r="CI66" s="847"/>
      <c r="CJ66" s="847"/>
      <c r="CK66" s="847"/>
      <c r="CL66" s="847">
        <f ca="1">(1/(1+$DT$47))^((CL49-$BU$49)/365)</f>
        <v>1.1168322545258667</v>
      </c>
      <c r="CM66" s="837"/>
      <c r="CN66" s="837"/>
      <c r="CO66" s="837"/>
      <c r="CP66" s="837"/>
      <c r="CQ66" s="847">
        <f ca="1">(1/(1+$DT$47))^((CQ49-$BU$49)/365)</f>
        <v>1.0246167472714374</v>
      </c>
      <c r="CR66" s="837"/>
      <c r="CS66" s="837"/>
      <c r="CT66" s="837"/>
      <c r="CU66" s="837"/>
      <c r="CV66" s="847">
        <f ca="1">(1/(1+$DT$47))^((CV49-$BU$49)/365)</f>
        <v>0.94001536446920841</v>
      </c>
      <c r="CW66" s="837"/>
      <c r="CX66" s="837"/>
      <c r="CY66" s="837"/>
      <c r="CZ66" s="837"/>
      <c r="DA66" s="847">
        <f ca="1">(1/(1+$DT$47))^((DA49-$BU$49)/365)</f>
        <v>0.86239941694422784</v>
      </c>
      <c r="DB66" s="837"/>
      <c r="DC66" s="837"/>
      <c r="DD66" s="837"/>
      <c r="DE66" s="837"/>
      <c r="DF66" s="847">
        <f ca="1">(1/(1+$DT$47))^((DF49-$BU$49)/365)</f>
        <v>0.79100534463368299</v>
      </c>
      <c r="DG66" s="837"/>
      <c r="DH66" s="837"/>
      <c r="DI66" s="837"/>
      <c r="DJ66" s="837"/>
      <c r="DK66" s="847">
        <f ca="1">(1/(1+$DT$47))^((DK49-$BU$49)/365)</f>
        <v>0.79100534463368299</v>
      </c>
      <c r="DQ66" s="736">
        <f t="shared" ref="DQ66:DQ94" si="24">DQ65+1</f>
        <v>2</v>
      </c>
      <c r="DS66" s="854">
        <f t="shared" ref="DS66:DS94" si="25">DS65*(1+$DT$53)</f>
        <v>1.0149999999999999</v>
      </c>
      <c r="DT66" s="825">
        <f t="shared" ref="DT66:DT70" si="26">-$DT$46*(DS66-($DT$38*$DT$42)-EV67)</f>
        <v>-0.21661402227941595</v>
      </c>
      <c r="DU66" s="825">
        <f>DU65</f>
        <v>-0.82957738440291562</v>
      </c>
      <c r="DV66" s="825">
        <f>DS66+DT66+DU66</f>
        <v>-3.1191406682331668E-2</v>
      </c>
      <c r="DW66" s="825">
        <f t="shared" ref="DW66:DW94" si="27">DV66/(1+$DT$50)^DQ66</f>
        <v>-2.6253182966359451E-2</v>
      </c>
      <c r="DY66" s="1106">
        <v>7.2190000000000004E-2</v>
      </c>
      <c r="DZ66" s="825">
        <f t="shared" si="22"/>
        <v>0.223887083094195</v>
      </c>
      <c r="EA66" s="825">
        <f t="shared" ref="EA66:EA85" si="28">$DT$52*$DS$65*DY66</f>
        <v>5.988719138004648E-2</v>
      </c>
      <c r="EB66" s="825">
        <f t="shared" ref="EB66:EB85" si="29">EA65</f>
        <v>3.1109151915109334E-2</v>
      </c>
      <c r="EV66" s="854">
        <f t="shared" si="23"/>
        <v>0.3148834263893508</v>
      </c>
    </row>
    <row r="67" spans="1:152">
      <c r="AS67" s="862"/>
      <c r="AT67" s="862"/>
      <c r="AU67" s="862"/>
      <c r="AV67" s="862"/>
      <c r="AX67" s="862"/>
      <c r="AY67" s="862"/>
      <c r="AZ67" s="862"/>
      <c r="BA67" s="862"/>
      <c r="BC67" s="862"/>
      <c r="BD67" s="862"/>
      <c r="BE67" s="862"/>
      <c r="BF67" s="862"/>
      <c r="BH67" s="862"/>
      <c r="BI67" s="862"/>
      <c r="BJ67" s="862"/>
      <c r="BK67" s="862"/>
      <c r="BM67" s="862"/>
      <c r="BN67" s="862"/>
      <c r="BO67" s="862"/>
      <c r="BP67" s="862"/>
      <c r="BU67" s="736" t="s">
        <v>341</v>
      </c>
      <c r="BW67" s="770">
        <f ca="1">+BW66*BW63</f>
        <v>237.23025299230764</v>
      </c>
      <c r="BX67" s="770"/>
      <c r="BY67" s="770"/>
      <c r="BZ67" s="770"/>
      <c r="CA67" s="770"/>
      <c r="CB67" s="770">
        <f ca="1">+CB66*CB63</f>
        <v>411.85645027300899</v>
      </c>
      <c r="CC67" s="770"/>
      <c r="CD67" s="770"/>
      <c r="CE67" s="770"/>
      <c r="CF67" s="770"/>
      <c r="CG67" s="770">
        <f ca="1">+CG66*CG63</f>
        <v>-51.517769313772895</v>
      </c>
      <c r="CH67" s="770"/>
      <c r="CI67" s="770"/>
      <c r="CJ67" s="770"/>
      <c r="CK67" s="770"/>
      <c r="CL67" s="770">
        <f ca="1">+CL66*SUM(CL63)</f>
        <v>18.043195873460419</v>
      </c>
      <c r="CM67" s="852"/>
      <c r="CN67" s="852"/>
      <c r="CO67" s="852"/>
      <c r="CP67" s="852"/>
      <c r="CQ67" s="770">
        <f ca="1">+CQ66*SUM(CQ63:CQ64)</f>
        <v>349.04485093326883</v>
      </c>
      <c r="CR67" s="852"/>
      <c r="CS67" s="852"/>
      <c r="CT67" s="852"/>
      <c r="CU67" s="852"/>
      <c r="CV67" s="770">
        <f ca="1">+CV66*SUM(CV63:CV64)</f>
        <v>-113.48944681020848</v>
      </c>
      <c r="CW67" s="852"/>
      <c r="CX67" s="852"/>
      <c r="CY67" s="852"/>
      <c r="CZ67" s="852"/>
      <c r="DA67" s="770">
        <f ca="1">+DA66*SUM(DA63:DA64)</f>
        <v>59.611015283160079</v>
      </c>
      <c r="DB67" s="852"/>
      <c r="DC67" s="852"/>
      <c r="DD67" s="852"/>
      <c r="DE67" s="852"/>
      <c r="DF67" s="770">
        <f ca="1">+DF66*SUM(DF63:DF64)</f>
        <v>79.648717126397869</v>
      </c>
      <c r="DG67" s="852"/>
      <c r="DH67" s="852"/>
      <c r="DI67" s="852"/>
      <c r="DJ67" s="852"/>
      <c r="DK67" s="770">
        <f ca="1">+DK66*SUM(DK63:DK64)</f>
        <v>114.76873622344212</v>
      </c>
      <c r="DQ67" s="736">
        <f t="shared" si="24"/>
        <v>3</v>
      </c>
      <c r="DS67" s="854">
        <f t="shared" si="25"/>
        <v>1.0302249999999997</v>
      </c>
      <c r="DT67" s="825">
        <f t="shared" si="26"/>
        <v>-0.20840954162517297</v>
      </c>
      <c r="DU67" s="825">
        <f>DU66</f>
        <v>-0.82957738440291562</v>
      </c>
      <c r="DV67" s="825">
        <f>DS67+DT67+DU67</f>
        <v>-7.7619260280888946E-3</v>
      </c>
      <c r="DW67" s="825">
        <f t="shared" si="27"/>
        <v>-5.993631052346236E-3</v>
      </c>
      <c r="DY67" s="1106">
        <v>6.6769999999999996E-2</v>
      </c>
      <c r="DZ67" s="825">
        <f t="shared" si="22"/>
        <v>0.20707771904972155</v>
      </c>
      <c r="EA67" s="825">
        <f t="shared" si="28"/>
        <v>5.539088195658267E-2</v>
      </c>
      <c r="EB67" s="825">
        <f t="shared" si="29"/>
        <v>5.988719138004648E-2</v>
      </c>
      <c r="EC67" s="825">
        <f t="shared" ref="EC67:EC85" si="30">EB66</f>
        <v>3.1109151915109334E-2</v>
      </c>
      <c r="EV67" s="854">
        <f t="shared" si="23"/>
        <v>0.35346494430146003</v>
      </c>
    </row>
    <row r="68" spans="1:152">
      <c r="C68" s="736" t="s">
        <v>639</v>
      </c>
      <c r="J68" s="751"/>
      <c r="K68" s="751"/>
      <c r="L68" s="751"/>
      <c r="M68" s="751"/>
      <c r="N68" s="748"/>
      <c r="O68" s="748"/>
      <c r="P68" s="748"/>
      <c r="Q68" s="748"/>
      <c r="R68" s="748"/>
      <c r="S68" s="748"/>
      <c r="T68" s="748"/>
      <c r="U68" s="748"/>
      <c r="V68" s="748"/>
      <c r="W68" s="748"/>
      <c r="X68" s="748"/>
      <c r="Y68" s="748"/>
      <c r="Z68" s="748"/>
      <c r="AA68" s="748"/>
      <c r="AB68" s="748"/>
      <c r="AC68" s="748"/>
      <c r="AD68" s="748"/>
      <c r="AE68" s="748"/>
      <c r="AF68" s="748"/>
      <c r="AG68" s="748"/>
      <c r="AH68" s="748"/>
      <c r="AI68" s="748"/>
      <c r="AJ68" s="748"/>
      <c r="AK68" s="748"/>
      <c r="AL68" s="748"/>
      <c r="AM68" s="748">
        <f>+AM65/AM66-1</f>
        <v>0.24007670410238413</v>
      </c>
      <c r="AN68" s="748"/>
      <c r="AO68" s="748"/>
      <c r="AP68" s="748"/>
      <c r="AQ68" s="748"/>
      <c r="AR68" s="748">
        <f>+AR65/AR66-1</f>
        <v>0.21025641882300139</v>
      </c>
      <c r="AS68" s="778"/>
      <c r="AT68" s="778"/>
      <c r="AU68" s="778"/>
      <c r="AV68" s="778"/>
      <c r="AW68" s="748">
        <f>+AW65/AW66-1</f>
        <v>-0.10385788123573603</v>
      </c>
      <c r="AX68" s="778"/>
      <c r="AY68" s="778"/>
      <c r="AZ68" s="778"/>
      <c r="BA68" s="778"/>
      <c r="BB68" s="748">
        <f>+BB65/BB66-1</f>
        <v>3.5609799767202244E-3</v>
      </c>
      <c r="BC68" s="778"/>
      <c r="BD68" s="778"/>
      <c r="BE68" s="778"/>
      <c r="BF68" s="778"/>
      <c r="BG68" s="748">
        <f>+BG65/BG66-1</f>
        <v>0.10119797703756306</v>
      </c>
      <c r="BH68" s="778"/>
      <c r="BI68" s="778"/>
      <c r="BJ68" s="778"/>
      <c r="BK68" s="778"/>
      <c r="BL68" s="748">
        <f>+BL65/BL66-1</f>
        <v>0.1130147763842122</v>
      </c>
      <c r="BM68" s="778"/>
      <c r="BN68" s="778"/>
      <c r="BO68" s="778"/>
      <c r="BP68" s="778"/>
      <c r="BQ68" s="748">
        <f>+BQ65/BQ66-1</f>
        <v>0.12829983601364781</v>
      </c>
      <c r="CM68" s="842"/>
      <c r="CN68" s="842"/>
      <c r="CO68" s="842"/>
      <c r="CP68" s="842"/>
      <c r="CR68" s="842"/>
      <c r="CS68" s="842"/>
      <c r="CT68" s="842"/>
      <c r="CU68" s="842"/>
      <c r="CW68" s="842"/>
      <c r="CX68" s="842"/>
      <c r="CY68" s="842"/>
      <c r="CZ68" s="842"/>
      <c r="DB68" s="842"/>
      <c r="DC68" s="842"/>
      <c r="DD68" s="842"/>
      <c r="DE68" s="842"/>
      <c r="DG68" s="842"/>
      <c r="DH68" s="842"/>
      <c r="DI68" s="842"/>
      <c r="DJ68" s="842"/>
      <c r="DQ68" s="736">
        <f t="shared" si="24"/>
        <v>4</v>
      </c>
      <c r="DS68" s="854">
        <f t="shared" si="25"/>
        <v>1.0456783749999996</v>
      </c>
      <c r="DT68" s="825">
        <f t="shared" si="26"/>
        <v>-0.20138951094649171</v>
      </c>
      <c r="DU68" s="825">
        <f>DU67</f>
        <v>-0.82957738440291562</v>
      </c>
      <c r="DV68" s="825">
        <f>DS68+DT68+DU68</f>
        <v>1.4711479650592274E-2</v>
      </c>
      <c r="DW68" s="825">
        <f t="shared" si="27"/>
        <v>1.0421983076552174E-2</v>
      </c>
      <c r="DY68" s="1106">
        <v>6.1769999999999999E-2</v>
      </c>
      <c r="DZ68" s="825">
        <f t="shared" si="22"/>
        <v>0.19157092565076084</v>
      </c>
      <c r="EA68" s="825">
        <f t="shared" si="28"/>
        <v>5.1242995034568098E-2</v>
      </c>
      <c r="EB68" s="825">
        <f t="shared" si="29"/>
        <v>5.539088195658267E-2</v>
      </c>
      <c r="EC68" s="825">
        <f t="shared" si="30"/>
        <v>5.988719138004648E-2</v>
      </c>
      <c r="ED68" s="825">
        <f t="shared" ref="ED68:ED85" si="31">EC67</f>
        <v>3.1109151915109334E-2</v>
      </c>
      <c r="EV68" s="854">
        <f t="shared" si="23"/>
        <v>0.38920114593706739</v>
      </c>
    </row>
    <row r="69" spans="1:152">
      <c r="C69" s="736" t="s">
        <v>377</v>
      </c>
      <c r="J69" s="751"/>
      <c r="K69" s="751"/>
      <c r="L69" s="751"/>
      <c r="M69" s="751"/>
      <c r="N69" s="748"/>
      <c r="O69" s="748"/>
      <c r="P69" s="748"/>
      <c r="Q69" s="748"/>
      <c r="R69" s="748"/>
      <c r="S69" s="748"/>
      <c r="T69" s="748"/>
      <c r="U69" s="748"/>
      <c r="V69" s="748"/>
      <c r="W69" s="748"/>
      <c r="X69" s="748"/>
      <c r="Y69" s="748"/>
      <c r="Z69" s="748"/>
      <c r="AA69" s="748"/>
      <c r="AB69" s="748"/>
      <c r="AC69" s="748"/>
      <c r="AD69" s="748"/>
      <c r="AE69" s="748"/>
      <c r="AF69" s="748"/>
      <c r="AG69" s="748"/>
      <c r="AH69" s="748"/>
      <c r="AI69" s="748"/>
      <c r="AJ69" s="748"/>
      <c r="AK69" s="748"/>
      <c r="AL69" s="748"/>
      <c r="AM69" s="748">
        <f>+$AR$20</f>
        <v>4.6397096941420427E-2</v>
      </c>
      <c r="AN69" s="748"/>
      <c r="AO69" s="748"/>
      <c r="AP69" s="748"/>
      <c r="AQ69" s="748"/>
      <c r="AR69" s="748">
        <f>+$AR$20</f>
        <v>4.6397096941420427E-2</v>
      </c>
      <c r="AS69" s="774"/>
      <c r="AT69" s="774"/>
      <c r="AU69" s="774"/>
      <c r="AV69" s="774"/>
      <c r="AW69" s="748">
        <f>+$AR$20</f>
        <v>4.6397096941420427E-2</v>
      </c>
      <c r="AX69" s="774"/>
      <c r="AY69" s="774"/>
      <c r="AZ69" s="774"/>
      <c r="BA69" s="774"/>
      <c r="BB69" s="748">
        <f>+$AR$20</f>
        <v>4.6397096941420427E-2</v>
      </c>
      <c r="BC69" s="774"/>
      <c r="BD69" s="774"/>
      <c r="BE69" s="774"/>
      <c r="BF69" s="774"/>
      <c r="BG69" s="748">
        <f>+$AR$20</f>
        <v>4.6397096941420427E-2</v>
      </c>
      <c r="BH69" s="774"/>
      <c r="BI69" s="774"/>
      <c r="BJ69" s="774"/>
      <c r="BK69" s="774"/>
      <c r="BL69" s="748">
        <f>+$AR$20</f>
        <v>4.6397096941420427E-2</v>
      </c>
      <c r="BM69" s="774"/>
      <c r="BN69" s="774"/>
      <c r="BO69" s="774"/>
      <c r="BP69" s="774"/>
      <c r="BQ69" s="748">
        <f>+$AR$20</f>
        <v>4.6397096941420427E-2</v>
      </c>
      <c r="BU69" s="848" t="s">
        <v>498</v>
      </c>
      <c r="BV69" s="848"/>
      <c r="BW69" s="849">
        <f ca="1">($BW$75)/BW51</f>
        <v>-0.16124125217335014</v>
      </c>
      <c r="BX69" s="849"/>
      <c r="BY69" s="849"/>
      <c r="BZ69" s="849"/>
      <c r="CA69" s="849"/>
      <c r="CB69" s="849">
        <f ca="1">($BW$75)/CB51</f>
        <v>-0.11602874503858286</v>
      </c>
      <c r="CC69" s="849"/>
      <c r="CD69" s="849"/>
      <c r="CE69" s="849"/>
      <c r="CF69" s="849"/>
      <c r="CG69" s="849">
        <f ca="1">($BW$75)/CG51</f>
        <v>-0.23816761154626609</v>
      </c>
      <c r="CH69" s="849"/>
      <c r="CI69" s="849"/>
      <c r="CJ69" s="849"/>
      <c r="CK69" s="849"/>
      <c r="CL69" s="849">
        <f ca="1">($BW$75)/CL51</f>
        <v>-0.24428902712600703</v>
      </c>
      <c r="CM69" s="770"/>
      <c r="CN69" s="770"/>
      <c r="CO69" s="770"/>
      <c r="CP69" s="770"/>
      <c r="CQ69" s="849">
        <f ca="1">($BW$75)/CQ51</f>
        <v>-0.10401626753287453</v>
      </c>
      <c r="CR69" s="770"/>
      <c r="CS69" s="770"/>
      <c r="CT69" s="770"/>
      <c r="CU69" s="770"/>
      <c r="CV69" s="849">
        <f ca="1">($BW$75)/CV51</f>
        <v>-0.27783407706813007</v>
      </c>
      <c r="CW69" s="770"/>
      <c r="CX69" s="770"/>
      <c r="CY69" s="770"/>
      <c r="CZ69" s="770"/>
      <c r="DA69" s="849">
        <f ca="1">($BW$75)/DA51</f>
        <v>-0.30427496328931847</v>
      </c>
      <c r="DB69" s="770"/>
      <c r="DC69" s="770"/>
      <c r="DD69" s="770"/>
      <c r="DE69" s="770"/>
      <c r="DF69" s="849">
        <f ca="1">($BW$75)/DF51</f>
        <v>-0.3601228801074064</v>
      </c>
      <c r="DG69" s="770"/>
      <c r="DH69" s="770"/>
      <c r="DI69" s="770"/>
      <c r="DJ69" s="770"/>
      <c r="DK69" s="849">
        <f ca="1">($BW$75)/DK51</f>
        <v>-0.73745202762591977</v>
      </c>
      <c r="DQ69" s="736">
        <f t="shared" si="24"/>
        <v>5</v>
      </c>
      <c r="DS69" s="854">
        <f t="shared" si="25"/>
        <v>1.0613635506249994</v>
      </c>
      <c r="DT69" s="825">
        <f t="shared" si="26"/>
        <v>-0.19543584135001812</v>
      </c>
      <c r="DU69" s="825">
        <f>DU68</f>
        <v>-0.82957738440291562</v>
      </c>
      <c r="DV69" s="825">
        <f t="shared" ref="DV69:DV94" si="32">DS69+DT69+DU69</f>
        <v>3.6350324872065687E-2</v>
      </c>
      <c r="DW69" s="825">
        <f t="shared" si="27"/>
        <v>2.3625217036496872E-2</v>
      </c>
      <c r="DY69" s="1106">
        <v>5.713E-2</v>
      </c>
      <c r="DZ69" s="825">
        <f t="shared" si="22"/>
        <v>0.17718062137652527</v>
      </c>
      <c r="EA69" s="825">
        <f t="shared" si="28"/>
        <v>4.7393755970938568E-2</v>
      </c>
      <c r="EB69" s="825">
        <f t="shared" si="29"/>
        <v>5.1242995034568098E-2</v>
      </c>
      <c r="EC69" s="825">
        <f t="shared" si="30"/>
        <v>5.539088195658267E-2</v>
      </c>
      <c r="ED69" s="825">
        <f t="shared" si="31"/>
        <v>5.988719138004648E-2</v>
      </c>
      <c r="EE69" s="825">
        <f t="shared" ref="EE69:EE85" si="33">ED68</f>
        <v>3.1109151915109334E-2</v>
      </c>
      <c r="EV69" s="854">
        <f t="shared" si="23"/>
        <v>0.42220459763377038</v>
      </c>
    </row>
    <row r="70" spans="1:152">
      <c r="C70" s="788" t="s">
        <v>640</v>
      </c>
      <c r="D70" s="789"/>
      <c r="E70" s="790"/>
      <c r="F70" s="790"/>
      <c r="G70" s="790"/>
      <c r="H70" s="790"/>
      <c r="I70" s="790"/>
      <c r="J70" s="790"/>
      <c r="K70" s="790"/>
      <c r="L70" s="790"/>
      <c r="M70" s="790"/>
      <c r="N70" s="790"/>
      <c r="O70" s="790"/>
      <c r="P70" s="790"/>
      <c r="Q70" s="790"/>
      <c r="R70" s="790"/>
      <c r="S70" s="790"/>
      <c r="T70" s="790"/>
      <c r="U70" s="790"/>
      <c r="V70" s="790"/>
      <c r="W70" s="790"/>
      <c r="X70" s="790"/>
      <c r="Y70" s="804"/>
      <c r="Z70" s="804"/>
      <c r="AA70" s="804"/>
      <c r="AB70" s="804"/>
      <c r="AC70" s="804"/>
      <c r="AD70" s="804"/>
      <c r="AE70" s="804"/>
      <c r="AF70" s="804"/>
      <c r="AG70" s="804"/>
      <c r="AH70" s="804"/>
      <c r="AI70" s="804"/>
      <c r="AJ70" s="804"/>
      <c r="AK70" s="804"/>
      <c r="AL70" s="804"/>
      <c r="AM70" s="804">
        <f>+AM69+AM68</f>
        <v>0.28647380104380454</v>
      </c>
      <c r="AN70" s="804"/>
      <c r="AO70" s="804"/>
      <c r="AP70" s="804"/>
      <c r="AQ70" s="804"/>
      <c r="AR70" s="804">
        <f>+AR69+AR68</f>
        <v>0.2566535157644218</v>
      </c>
      <c r="AS70" s="1390"/>
      <c r="AT70" s="1390"/>
      <c r="AU70" s="1390"/>
      <c r="AV70" s="1390"/>
      <c r="AW70" s="804">
        <f>+AW69+AW68</f>
        <v>-5.7460784294315601E-2</v>
      </c>
      <c r="AX70" s="804">
        <f t="shared" ref="AX70:BG70" si="34">+AX69+AX68</f>
        <v>0</v>
      </c>
      <c r="AY70" s="804">
        <f t="shared" si="34"/>
        <v>0</v>
      </c>
      <c r="AZ70" s="804">
        <f t="shared" si="34"/>
        <v>0</v>
      </c>
      <c r="BA70" s="804">
        <f t="shared" si="34"/>
        <v>0</v>
      </c>
      <c r="BB70" s="804">
        <f t="shared" si="34"/>
        <v>4.9958076918140651E-2</v>
      </c>
      <c r="BC70" s="804">
        <f t="shared" si="34"/>
        <v>0</v>
      </c>
      <c r="BD70" s="804">
        <f t="shared" si="34"/>
        <v>0</v>
      </c>
      <c r="BE70" s="804">
        <f t="shared" si="34"/>
        <v>0</v>
      </c>
      <c r="BF70" s="804">
        <f t="shared" si="34"/>
        <v>0</v>
      </c>
      <c r="BG70" s="804">
        <f t="shared" si="34"/>
        <v>0.14759507397898347</v>
      </c>
      <c r="BH70" s="1390"/>
      <c r="BI70" s="1390"/>
      <c r="BJ70" s="1390"/>
      <c r="BK70" s="1390"/>
      <c r="BL70" s="804">
        <f t="shared" ref="BL70" si="35">+BL69+BL68</f>
        <v>0.15941187332563261</v>
      </c>
      <c r="BM70" s="1390"/>
      <c r="BN70" s="1390"/>
      <c r="BO70" s="1390"/>
      <c r="BP70" s="1390"/>
      <c r="BQ70" s="806">
        <f>+BQ69+BQ68</f>
        <v>0.17469693295506822</v>
      </c>
      <c r="BR70" s="764"/>
      <c r="BU70" s="848" t="s">
        <v>425</v>
      </c>
      <c r="BV70" s="848"/>
      <c r="BW70" s="849">
        <f ca="1">IF($BW$77&lt;=0,0,(($BW$77))/BW62)</f>
        <v>1.5955790744830781E-3</v>
      </c>
      <c r="BX70" s="849"/>
      <c r="BY70" s="849"/>
      <c r="BZ70" s="849"/>
      <c r="CA70" s="849"/>
      <c r="CB70" s="849">
        <f ca="1">IF($BW$77&lt;=0,0,(($BW$77))/CB62)</f>
        <v>8.1917948466518121E-4</v>
      </c>
      <c r="CC70" s="849"/>
      <c r="CD70" s="849"/>
      <c r="CE70" s="849"/>
      <c r="CF70" s="849"/>
      <c r="CG70" s="849">
        <f ca="1">IF($BW$77&lt;=0,0,(($BW$77))/CG62)</f>
        <v>-4.2139643490316991E-3</v>
      </c>
      <c r="CH70" s="849"/>
      <c r="CI70" s="849"/>
      <c r="CJ70" s="849"/>
      <c r="CK70" s="849"/>
      <c r="CL70" s="849">
        <f ca="1">IF($BW$77&lt;=0,0,(($BW$77))/CL62)</f>
        <v>0.10079184473065816</v>
      </c>
      <c r="CM70" s="770"/>
      <c r="CN70" s="770"/>
      <c r="CO70" s="770"/>
      <c r="CP70" s="770"/>
      <c r="CQ70" s="849">
        <f ca="1">IF($BW$77&lt;=0,0,(($BW$77))/CQ62)</f>
        <v>7.5367282058323921E-4</v>
      </c>
      <c r="CR70" s="770"/>
      <c r="CS70" s="770"/>
      <c r="CT70" s="770"/>
      <c r="CU70" s="770"/>
      <c r="CV70" s="849">
        <f ca="1">IF($BW$77&lt;=0,0,(($BW$77))/CV62)</f>
        <v>-1.8107599345235769E-3</v>
      </c>
      <c r="CW70" s="770"/>
      <c r="CX70" s="770"/>
      <c r="CY70" s="770"/>
      <c r="CZ70" s="770"/>
      <c r="DA70" s="849">
        <f ca="1">IF($BW$77&lt;=0,0,(($BW$77))/DA62)</f>
        <v>4.4705615592289466E-3</v>
      </c>
      <c r="DB70" s="770"/>
      <c r="DC70" s="770"/>
      <c r="DD70" s="770"/>
      <c r="DE70" s="770"/>
      <c r="DF70" s="849">
        <f ca="1">IF($BW$77&lt;=0,0,(($BW$77))/DF62)</f>
        <v>2.8067704818644512E-3</v>
      </c>
      <c r="DG70" s="770"/>
      <c r="DH70" s="770"/>
      <c r="DI70" s="770"/>
      <c r="DJ70" s="770"/>
      <c r="DK70" s="849">
        <f ca="1">IF($BW$77&lt;=0,0,(($BW$77))/DK62)</f>
        <v>6.4805035133444645E-3</v>
      </c>
      <c r="DQ70" s="736">
        <f t="shared" si="24"/>
        <v>6</v>
      </c>
      <c r="DS70" s="854">
        <f t="shared" si="25"/>
        <v>1.0772840038843743</v>
      </c>
      <c r="DT70" s="825">
        <f t="shared" si="26"/>
        <v>-0.19063487317148645</v>
      </c>
      <c r="DU70" s="825">
        <f t="shared" ref="DU70:DU94" si="36">DU69</f>
        <v>-0.82957738440291562</v>
      </c>
      <c r="DV70" s="825">
        <f t="shared" si="32"/>
        <v>5.7071746309972249E-2</v>
      </c>
      <c r="DW70" s="825">
        <f t="shared" si="27"/>
        <v>3.4030017612575902E-2</v>
      </c>
      <c r="DY70" s="1106">
        <v>5.2850000000000001E-2</v>
      </c>
      <c r="DZ70" s="825">
        <f t="shared" si="22"/>
        <v>0.1639068062270149</v>
      </c>
      <c r="EA70" s="825">
        <f t="shared" si="28"/>
        <v>4.3843164765694088E-2</v>
      </c>
      <c r="EB70" s="825">
        <f t="shared" si="29"/>
        <v>4.7393755970938568E-2</v>
      </c>
      <c r="EC70" s="825">
        <f t="shared" si="30"/>
        <v>5.1242995034568098E-2</v>
      </c>
      <c r="ED70" s="825">
        <f t="shared" si="31"/>
        <v>5.539088195658267E-2</v>
      </c>
      <c r="EE70" s="825">
        <f t="shared" si="33"/>
        <v>5.988719138004648E-2</v>
      </c>
      <c r="EF70" s="825">
        <f t="shared" ref="EF70:EF85" si="37">EE69</f>
        <v>3.1109151915109334E-2</v>
      </c>
      <c r="EV70" s="854">
        <f t="shared" si="23"/>
        <v>0.45277394724995412</v>
      </c>
    </row>
    <row r="71" spans="1:152">
      <c r="AN71" s="796"/>
      <c r="AO71" s="796"/>
      <c r="AP71" s="796"/>
      <c r="AQ71" s="796"/>
      <c r="AR71" s="748"/>
      <c r="AS71" s="796"/>
      <c r="AT71" s="796"/>
      <c r="AU71" s="796"/>
      <c r="AV71" s="796"/>
      <c r="AW71" s="748"/>
      <c r="AX71" s="796"/>
      <c r="AY71" s="796"/>
      <c r="AZ71" s="796"/>
      <c r="BA71" s="796"/>
      <c r="BB71" s="748"/>
      <c r="BC71" s="796"/>
      <c r="BD71" s="796"/>
      <c r="BE71" s="796"/>
      <c r="BF71" s="796"/>
      <c r="BG71" s="748"/>
      <c r="BH71" s="796"/>
      <c r="BI71" s="796"/>
      <c r="BJ71" s="796"/>
      <c r="BK71" s="796"/>
      <c r="BL71" s="748"/>
      <c r="BM71" s="796"/>
      <c r="BN71" s="796"/>
      <c r="BO71" s="796"/>
      <c r="BP71" s="796"/>
      <c r="BQ71" s="748"/>
      <c r="BR71" s="764"/>
      <c r="DQ71" s="736">
        <f t="shared" si="24"/>
        <v>7</v>
      </c>
      <c r="DS71" s="854">
        <f t="shared" si="25"/>
        <v>1.0934432639426397</v>
      </c>
      <c r="DT71" s="825">
        <f t="shared" ref="DT71:DT94" si="38">-$DT$46*(DS71-($DT$38*$DT$42)-EV72)</f>
        <v>-0.18653432709517498</v>
      </c>
      <c r="DU71" s="825">
        <f t="shared" si="36"/>
        <v>-0.82957738440291562</v>
      </c>
      <c r="DV71" s="825">
        <f t="shared" si="32"/>
        <v>7.7331552444549145E-2</v>
      </c>
      <c r="DW71" s="825">
        <f t="shared" si="27"/>
        <v>4.2303007394065326E-2</v>
      </c>
      <c r="DY71" s="1106">
        <v>4.8800000000000003E-2</v>
      </c>
      <c r="DZ71" s="825">
        <f t="shared" si="22"/>
        <v>0.1513463035738567</v>
      </c>
      <c r="EA71" s="825">
        <f t="shared" si="28"/>
        <v>4.0483376358862282E-2</v>
      </c>
      <c r="EB71" s="825">
        <f t="shared" si="29"/>
        <v>4.3843164765694088E-2</v>
      </c>
      <c r="EC71" s="825">
        <f t="shared" si="30"/>
        <v>4.7393755970938568E-2</v>
      </c>
      <c r="ED71" s="825">
        <f t="shared" si="31"/>
        <v>5.1242995034568098E-2</v>
      </c>
      <c r="EE71" s="825">
        <f t="shared" si="33"/>
        <v>5.539088195658267E-2</v>
      </c>
      <c r="EF71" s="825">
        <f t="shared" si="37"/>
        <v>5.988719138004648E-2</v>
      </c>
      <c r="EG71" s="825">
        <f t="shared" ref="EG71:EG85" si="39">EF70</f>
        <v>3.1109151915109334E-2</v>
      </c>
      <c r="EV71" s="854">
        <f t="shared" si="23"/>
        <v>0.48069682095565819</v>
      </c>
    </row>
    <row r="72" spans="1:152">
      <c r="AN72" s="796"/>
      <c r="AO72" s="796"/>
      <c r="AP72" s="796"/>
      <c r="AQ72" s="796"/>
      <c r="AR72" s="748"/>
      <c r="AS72" s="796"/>
      <c r="AT72" s="796"/>
      <c r="AU72" s="796"/>
      <c r="AV72" s="796"/>
      <c r="AW72" s="748"/>
      <c r="AX72" s="796"/>
      <c r="AY72" s="796"/>
      <c r="AZ72" s="796"/>
      <c r="BA72" s="796"/>
      <c r="BB72" s="748"/>
      <c r="BC72" s="796"/>
      <c r="BD72" s="796"/>
      <c r="BE72" s="796"/>
      <c r="BF72" s="796"/>
      <c r="BG72" s="748"/>
      <c r="BH72" s="796"/>
      <c r="BI72" s="796"/>
      <c r="BJ72" s="796"/>
      <c r="BK72" s="796"/>
      <c r="BL72" s="748"/>
      <c r="BM72" s="796"/>
      <c r="BN72" s="796"/>
      <c r="BO72" s="796"/>
      <c r="BP72" s="796"/>
      <c r="BQ72" s="748"/>
      <c r="BU72" s="765" t="s">
        <v>499</v>
      </c>
      <c r="BV72" s="765"/>
      <c r="BW72" s="842">
        <f ca="1">SUM(CV67:DK67)</f>
        <v>140.5390218227916</v>
      </c>
      <c r="BX72" s="842"/>
      <c r="BY72" s="842"/>
      <c r="BZ72" s="842"/>
      <c r="CA72" s="842"/>
      <c r="CC72" s="842"/>
      <c r="CD72" s="842"/>
      <c r="CE72" s="842"/>
      <c r="CF72" s="842"/>
      <c r="CH72" s="842"/>
      <c r="CI72" s="842"/>
      <c r="CJ72" s="842"/>
      <c r="CK72" s="842"/>
      <c r="CM72" s="780"/>
      <c r="CN72" s="780"/>
      <c r="CO72" s="780"/>
      <c r="CP72" s="780"/>
      <c r="CR72" s="780"/>
      <c r="CS72" s="780"/>
      <c r="CT72" s="780"/>
      <c r="CU72" s="780"/>
      <c r="CW72" s="780"/>
      <c r="CX72" s="780"/>
      <c r="CY72" s="780"/>
      <c r="CZ72" s="780"/>
      <c r="DB72" s="780"/>
      <c r="DC72" s="780"/>
      <c r="DD72" s="780"/>
      <c r="DE72" s="780"/>
      <c r="DG72" s="780"/>
      <c r="DH72" s="780"/>
      <c r="DI72" s="780"/>
      <c r="DJ72" s="780"/>
      <c r="DQ72" s="736">
        <f t="shared" si="24"/>
        <v>8</v>
      </c>
      <c r="DS72" s="854">
        <f t="shared" si="25"/>
        <v>1.1098449129017791</v>
      </c>
      <c r="DT72" s="825">
        <f t="shared" si="38"/>
        <v>-0.17903301560515766</v>
      </c>
      <c r="DU72" s="825">
        <f t="shared" si="36"/>
        <v>-0.82957738440291562</v>
      </c>
      <c r="DV72" s="825">
        <f t="shared" si="32"/>
        <v>0.10123451289370589</v>
      </c>
      <c r="DW72" s="825">
        <f t="shared" si="27"/>
        <v>5.0806188360449048E-2</v>
      </c>
      <c r="DY72" s="1106">
        <v>4.5220000000000003E-2</v>
      </c>
      <c r="DZ72" s="825">
        <f t="shared" si="22"/>
        <v>0.14024343950020082</v>
      </c>
      <c r="EA72" s="825">
        <f t="shared" si="28"/>
        <v>3.751348932269985E-2</v>
      </c>
      <c r="EB72" s="825">
        <f t="shared" si="29"/>
        <v>4.0483376358862282E-2</v>
      </c>
      <c r="EC72" s="825">
        <f t="shared" si="30"/>
        <v>4.3843164765694088E-2</v>
      </c>
      <c r="ED72" s="825">
        <f t="shared" si="31"/>
        <v>4.7393755970938568E-2</v>
      </c>
      <c r="EE72" s="825">
        <f t="shared" si="33"/>
        <v>5.1242995034568098E-2</v>
      </c>
      <c r="EF72" s="825">
        <f t="shared" si="37"/>
        <v>5.539088195658267E-2</v>
      </c>
      <c r="EG72" s="825">
        <f t="shared" si="39"/>
        <v>5.988719138004648E-2</v>
      </c>
      <c r="EH72" s="825">
        <f t="shared" ref="EH72:EH85" si="40">EG71</f>
        <v>3.1109151915109334E-2</v>
      </c>
      <c r="EV72" s="854">
        <f t="shared" si="23"/>
        <v>0.50710744620470227</v>
      </c>
    </row>
    <row r="73" spans="1:152">
      <c r="AN73" s="796"/>
      <c r="AO73" s="796"/>
      <c r="AP73" s="796"/>
      <c r="AQ73" s="796"/>
      <c r="AR73" s="748"/>
      <c r="AS73" s="796"/>
      <c r="AT73" s="796"/>
      <c r="AU73" s="796"/>
      <c r="AV73" s="796"/>
      <c r="AW73" s="748"/>
      <c r="AX73" s="796"/>
      <c r="AY73" s="796"/>
      <c r="AZ73" s="796"/>
      <c r="BA73" s="796"/>
      <c r="BB73" s="748"/>
      <c r="BC73" s="796"/>
      <c r="BD73" s="796"/>
      <c r="BE73" s="796"/>
      <c r="BF73" s="796"/>
      <c r="BG73" s="748"/>
      <c r="BH73" s="796"/>
      <c r="BI73" s="796"/>
      <c r="BJ73" s="796"/>
      <c r="BK73" s="796"/>
      <c r="BL73" s="748"/>
      <c r="BM73" s="796"/>
      <c r="BN73" s="796"/>
      <c r="BO73" s="796"/>
      <c r="BP73" s="796"/>
      <c r="BQ73" s="748"/>
      <c r="BR73" s="765"/>
      <c r="BU73" s="773" t="s">
        <v>819</v>
      </c>
      <c r="BW73" s="852">
        <f>IF(CG39="Yes",-BW127,0)</f>
        <v>0</v>
      </c>
      <c r="BX73" s="837"/>
      <c r="BY73" s="837"/>
      <c r="BZ73" s="837"/>
      <c r="CA73" s="837"/>
      <c r="CC73" s="837"/>
      <c r="CD73" s="837"/>
      <c r="CE73" s="837"/>
      <c r="CF73" s="837"/>
      <c r="CH73" s="837"/>
      <c r="CI73" s="837"/>
      <c r="CJ73" s="837"/>
      <c r="CK73" s="837"/>
      <c r="DQ73" s="736">
        <f t="shared" si="24"/>
        <v>9</v>
      </c>
      <c r="DS73" s="854">
        <f t="shared" si="25"/>
        <v>1.1264925865953057</v>
      </c>
      <c r="DT73" s="825">
        <f t="shared" si="38"/>
        <v>-0.17090151167000189</v>
      </c>
      <c r="DU73" s="825">
        <f t="shared" si="36"/>
        <v>-0.82957738440291562</v>
      </c>
      <c r="DV73" s="825">
        <f t="shared" si="32"/>
        <v>0.1260136905223882</v>
      </c>
      <c r="DW73" s="825">
        <f t="shared" si="27"/>
        <v>5.8020203715877537E-2</v>
      </c>
      <c r="DY73" s="1106">
        <v>4.462E-2</v>
      </c>
      <c r="DZ73" s="825">
        <f t="shared" si="22"/>
        <v>0.13838262429232553</v>
      </c>
      <c r="EA73" s="825">
        <f t="shared" si="28"/>
        <v>3.7015742892058098E-2</v>
      </c>
      <c r="EB73" s="825">
        <f t="shared" si="29"/>
        <v>3.751348932269985E-2</v>
      </c>
      <c r="EC73" s="825">
        <f t="shared" si="30"/>
        <v>4.0483376358862282E-2</v>
      </c>
      <c r="ED73" s="825">
        <f t="shared" si="31"/>
        <v>4.3843164765694088E-2</v>
      </c>
      <c r="EE73" s="825">
        <f t="shared" si="33"/>
        <v>4.7393755970938568E-2</v>
      </c>
      <c r="EF73" s="825">
        <f t="shared" si="37"/>
        <v>5.1242995034568098E-2</v>
      </c>
      <c r="EG73" s="825">
        <f t="shared" si="39"/>
        <v>5.539088195658267E-2</v>
      </c>
      <c r="EH73" s="825">
        <f t="shared" si="40"/>
        <v>5.988719138004648E-2</v>
      </c>
      <c r="EI73" s="825">
        <f t="shared" ref="EI73:EI85" si="41">EH72</f>
        <v>3.1109151915109334E-2</v>
      </c>
      <c r="EV73" s="854">
        <f t="shared" si="23"/>
        <v>0.54226237388888499</v>
      </c>
    </row>
    <row r="74" spans="1:152">
      <c r="AN74" s="796"/>
      <c r="AO74" s="796"/>
      <c r="AP74" s="796"/>
      <c r="AQ74" s="796"/>
      <c r="AR74" s="748"/>
      <c r="AS74" s="796"/>
      <c r="AT74" s="796"/>
      <c r="AU74" s="796"/>
      <c r="AV74" s="796"/>
      <c r="AW74" s="748"/>
      <c r="AX74" s="796"/>
      <c r="AY74" s="796"/>
      <c r="AZ74" s="796"/>
      <c r="BA74" s="796"/>
      <c r="BB74" s="748"/>
      <c r="BC74" s="796"/>
      <c r="BD74" s="796"/>
      <c r="BE74" s="796"/>
      <c r="BF74" s="796"/>
      <c r="BG74" s="748"/>
      <c r="BH74" s="796"/>
      <c r="BI74" s="796"/>
      <c r="BJ74" s="796"/>
      <c r="BK74" s="796"/>
      <c r="BL74" s="748"/>
      <c r="BM74" s="796"/>
      <c r="BN74" s="796"/>
      <c r="BO74" s="796"/>
      <c r="BP74" s="796"/>
      <c r="BQ74" s="748"/>
      <c r="BU74" s="773" t="s">
        <v>335</v>
      </c>
      <c r="BW74" s="852">
        <v>-263</v>
      </c>
      <c r="BX74" s="852"/>
      <c r="BY74" s="852"/>
      <c r="BZ74" s="852"/>
      <c r="CA74" s="852"/>
      <c r="CB74" s="801"/>
      <c r="CC74" s="852"/>
      <c r="CD74" s="852"/>
      <c r="CE74" s="852"/>
      <c r="CF74" s="852"/>
      <c r="CH74" s="852"/>
      <c r="CI74" s="852"/>
      <c r="CJ74" s="852"/>
      <c r="CK74" s="852"/>
      <c r="DQ74" s="736">
        <f t="shared" si="24"/>
        <v>10</v>
      </c>
      <c r="DS74" s="854">
        <f t="shared" si="25"/>
        <v>1.1433899753942351</v>
      </c>
      <c r="DT74" s="825">
        <f t="shared" si="38"/>
        <v>-0.16284176459803112</v>
      </c>
      <c r="DU74" s="825">
        <f t="shared" si="36"/>
        <v>-0.82957738440291562</v>
      </c>
      <c r="DV74" s="825">
        <f t="shared" si="32"/>
        <v>0.1509708263932884</v>
      </c>
      <c r="DW74" s="825">
        <f t="shared" si="27"/>
        <v>6.377170859449792E-2</v>
      </c>
      <c r="DY74" s="1106">
        <v>4.4609999999999997E-2</v>
      </c>
      <c r="DZ74" s="825">
        <f t="shared" si="22"/>
        <v>0.13835161070552759</v>
      </c>
      <c r="EA74" s="825">
        <f t="shared" si="28"/>
        <v>3.7007447118214062E-2</v>
      </c>
      <c r="EB74" s="825">
        <f t="shared" si="29"/>
        <v>3.7015742892058098E-2</v>
      </c>
      <c r="EC74" s="825">
        <f t="shared" si="30"/>
        <v>3.751348932269985E-2</v>
      </c>
      <c r="ED74" s="825">
        <f t="shared" si="31"/>
        <v>4.0483376358862282E-2</v>
      </c>
      <c r="EE74" s="825">
        <f t="shared" si="33"/>
        <v>4.3843164765694088E-2</v>
      </c>
      <c r="EF74" s="825">
        <f t="shared" si="37"/>
        <v>4.7393755970938568E-2</v>
      </c>
      <c r="EG74" s="825">
        <f t="shared" si="39"/>
        <v>5.1242995034568098E-2</v>
      </c>
      <c r="EH74" s="825">
        <f t="shared" si="40"/>
        <v>5.539088195658267E-2</v>
      </c>
      <c r="EI74" s="825">
        <f t="shared" si="41"/>
        <v>5.988719138004648E-2</v>
      </c>
      <c r="EJ74" s="825">
        <f t="shared" ref="EJ74:EJ85" si="42">EI73</f>
        <v>3.1109151915109334E-2</v>
      </c>
      <c r="EV74" s="854">
        <f t="shared" si="23"/>
        <v>0.57923880742030109</v>
      </c>
    </row>
    <row r="75" spans="1:152">
      <c r="AN75" s="796"/>
      <c r="AO75" s="796"/>
      <c r="AP75" s="796"/>
      <c r="AQ75" s="796"/>
      <c r="AR75" s="748"/>
      <c r="AS75" s="796"/>
      <c r="AT75" s="796"/>
      <c r="AU75" s="796"/>
      <c r="AV75" s="796"/>
      <c r="AW75" s="748"/>
      <c r="AX75" s="796"/>
      <c r="AY75" s="796"/>
      <c r="AZ75" s="796"/>
      <c r="BA75" s="796"/>
      <c r="BB75" s="748"/>
      <c r="BC75" s="796"/>
      <c r="BD75" s="796"/>
      <c r="BE75" s="796"/>
      <c r="BF75" s="796"/>
      <c r="BG75" s="748"/>
      <c r="BH75" s="796"/>
      <c r="BI75" s="796"/>
      <c r="BJ75" s="796"/>
      <c r="BK75" s="796"/>
      <c r="BL75" s="748"/>
      <c r="BM75" s="796"/>
      <c r="BN75" s="796"/>
      <c r="BO75" s="796"/>
      <c r="BP75" s="796"/>
      <c r="BQ75" s="748"/>
      <c r="BU75" s="765" t="s">
        <v>78</v>
      </c>
      <c r="BW75" s="842">
        <f ca="1">+BW72+BW73+BW74</f>
        <v>-122.4609781772084</v>
      </c>
      <c r="BX75" s="842"/>
      <c r="BY75" s="842"/>
      <c r="BZ75" s="842"/>
      <c r="CA75" s="842"/>
      <c r="CC75" s="842"/>
      <c r="CD75" s="842"/>
      <c r="CE75" s="842"/>
      <c r="CF75" s="842"/>
      <c r="CH75" s="842"/>
      <c r="CI75" s="842"/>
      <c r="CJ75" s="842"/>
      <c r="CK75" s="842"/>
      <c r="DQ75" s="736">
        <f t="shared" si="24"/>
        <v>11</v>
      </c>
      <c r="DS75" s="854">
        <f t="shared" si="25"/>
        <v>1.1605408250251485</v>
      </c>
      <c r="DT75" s="825">
        <f t="shared" si="38"/>
        <v>-0.15491153103783009</v>
      </c>
      <c r="DU75" s="825">
        <f t="shared" si="36"/>
        <v>-0.82957738440291562</v>
      </c>
      <c r="DV75" s="825">
        <f t="shared" si="32"/>
        <v>0.17605190958440275</v>
      </c>
      <c r="DW75" s="825">
        <f t="shared" si="27"/>
        <v>6.8225898333095822E-2</v>
      </c>
      <c r="DY75" s="1106">
        <v>4.462E-2</v>
      </c>
      <c r="DZ75" s="825">
        <f t="shared" si="22"/>
        <v>0.13838262429232553</v>
      </c>
      <c r="EA75" s="825">
        <f t="shared" si="28"/>
        <v>3.7015742892058098E-2</v>
      </c>
      <c r="EB75" s="825">
        <f t="shared" si="29"/>
        <v>3.7007447118214062E-2</v>
      </c>
      <c r="EC75" s="825">
        <f t="shared" si="30"/>
        <v>3.7015742892058098E-2</v>
      </c>
      <c r="ED75" s="825">
        <f t="shared" si="31"/>
        <v>3.751348932269985E-2</v>
      </c>
      <c r="EE75" s="825">
        <f t="shared" si="33"/>
        <v>4.0483376358862282E-2</v>
      </c>
      <c r="EF75" s="825">
        <f t="shared" si="37"/>
        <v>4.3843164765694088E-2</v>
      </c>
      <c r="EG75" s="825">
        <f t="shared" si="39"/>
        <v>4.7393755970938568E-2</v>
      </c>
      <c r="EH75" s="825">
        <f t="shared" si="40"/>
        <v>5.1242995034568098E-2</v>
      </c>
      <c r="EI75" s="825">
        <f t="shared" si="41"/>
        <v>5.539088195658267E-2</v>
      </c>
      <c r="EJ75" s="825">
        <f t="shared" si="42"/>
        <v>5.988719138004648E-2</v>
      </c>
      <c r="EK75" s="825">
        <f t="shared" ref="EK75:EK85" si="43">EJ74</f>
        <v>3.1109151915109334E-2</v>
      </c>
      <c r="EV75" s="854">
        <f t="shared" si="23"/>
        <v>0.61628556389915723</v>
      </c>
    </row>
    <row r="76" spans="1:152">
      <c r="AN76" s="796"/>
      <c r="AO76" s="796"/>
      <c r="AP76" s="796"/>
      <c r="AQ76" s="796"/>
      <c r="AS76" s="796"/>
      <c r="AT76" s="796"/>
      <c r="AU76" s="796"/>
      <c r="AV76" s="796"/>
      <c r="AX76" s="796"/>
      <c r="AY76" s="796"/>
      <c r="AZ76" s="796"/>
      <c r="BA76" s="796"/>
      <c r="BC76" s="796"/>
      <c r="BD76" s="796"/>
      <c r="BE76" s="796"/>
      <c r="BF76" s="796"/>
      <c r="BH76" s="796"/>
      <c r="BI76" s="796"/>
      <c r="BJ76" s="796"/>
      <c r="BK76" s="796"/>
      <c r="BM76" s="796"/>
      <c r="BN76" s="796"/>
      <c r="BO76" s="796"/>
      <c r="BP76" s="796"/>
      <c r="BU76" s="773" t="s">
        <v>178</v>
      </c>
      <c r="BW76" s="1977">
        <f>EWC!AW483-EWC!AW479</f>
        <v>-122.70700000000002</v>
      </c>
      <c r="BX76" s="770"/>
      <c r="BY76" s="770"/>
      <c r="BZ76" s="770"/>
      <c r="CA76" s="770"/>
      <c r="CC76" s="770"/>
      <c r="CD76" s="770"/>
      <c r="CE76" s="770"/>
      <c r="CF76" s="770"/>
      <c r="CH76" s="770"/>
      <c r="CI76" s="770"/>
      <c r="CJ76" s="770"/>
      <c r="CK76" s="770"/>
      <c r="DQ76" s="736">
        <f t="shared" si="24"/>
        <v>12</v>
      </c>
      <c r="DS76" s="854">
        <f t="shared" si="25"/>
        <v>1.1779489374005256</v>
      </c>
      <c r="DT76" s="825">
        <f t="shared" si="38"/>
        <v>-0.14707179714069527</v>
      </c>
      <c r="DU76" s="825">
        <f t="shared" si="36"/>
        <v>-0.82957738440291562</v>
      </c>
      <c r="DV76" s="825">
        <f t="shared" si="32"/>
        <v>0.20129975585691484</v>
      </c>
      <c r="DW76" s="825">
        <f t="shared" si="27"/>
        <v>7.1569053362027263E-2</v>
      </c>
      <c r="DY76" s="1106">
        <v>4.4609999999999997E-2</v>
      </c>
      <c r="DZ76" s="825">
        <f t="shared" si="22"/>
        <v>0.13835161070552759</v>
      </c>
      <c r="EA76" s="825">
        <f t="shared" si="28"/>
        <v>3.7007447118214062E-2</v>
      </c>
      <c r="EB76" s="825">
        <f t="shared" si="29"/>
        <v>3.7015742892058098E-2</v>
      </c>
      <c r="EC76" s="825">
        <f t="shared" si="30"/>
        <v>3.7007447118214062E-2</v>
      </c>
      <c r="ED76" s="825">
        <f t="shared" si="31"/>
        <v>3.7015742892058098E-2</v>
      </c>
      <c r="EE76" s="825">
        <f t="shared" si="33"/>
        <v>3.751348932269985E-2</v>
      </c>
      <c r="EF76" s="825">
        <f t="shared" si="37"/>
        <v>4.0483376358862282E-2</v>
      </c>
      <c r="EG76" s="825">
        <f t="shared" si="39"/>
        <v>4.3843164765694088E-2</v>
      </c>
      <c r="EH76" s="825">
        <f t="shared" si="40"/>
        <v>4.7393755970938568E-2</v>
      </c>
      <c r="EI76" s="825">
        <f t="shared" si="41"/>
        <v>5.1242995034568098E-2</v>
      </c>
      <c r="EJ76" s="825">
        <f t="shared" si="42"/>
        <v>5.539088195658267E-2</v>
      </c>
      <c r="EK76" s="825">
        <f t="shared" si="43"/>
        <v>5.988719138004648E-2</v>
      </c>
      <c r="EL76" s="825">
        <f t="shared" ref="EL76:EL85" si="44">EK75</f>
        <v>3.1109151915109334E-2</v>
      </c>
      <c r="EV76" s="854">
        <f t="shared" si="23"/>
        <v>0.65326199743057345</v>
      </c>
    </row>
    <row r="77" spans="1:152">
      <c r="AN77" s="796"/>
      <c r="AO77" s="796"/>
      <c r="AP77" s="796"/>
      <c r="AQ77" s="796"/>
      <c r="AS77" s="796"/>
      <c r="AT77" s="796"/>
      <c r="AU77" s="796"/>
      <c r="AV77" s="796"/>
      <c r="AX77" s="796"/>
      <c r="AY77" s="796"/>
      <c r="AZ77" s="796"/>
      <c r="BA77" s="796"/>
      <c r="BC77" s="796"/>
      <c r="BD77" s="796"/>
      <c r="BE77" s="796"/>
      <c r="BF77" s="796"/>
      <c r="BH77" s="796"/>
      <c r="BI77" s="796"/>
      <c r="BJ77" s="796"/>
      <c r="BK77" s="796"/>
      <c r="BM77" s="796"/>
      <c r="BN77" s="796"/>
      <c r="BO77" s="796"/>
      <c r="BP77" s="796"/>
      <c r="BU77" s="765" t="s">
        <v>500</v>
      </c>
      <c r="BW77" s="39">
        <f ca="1">MAX(0,BW75-BW76)</f>
        <v>0.24602182279161866</v>
      </c>
      <c r="BX77" s="39"/>
      <c r="BY77" s="39"/>
      <c r="BZ77" s="39"/>
      <c r="CA77" s="39"/>
      <c r="CC77" s="39"/>
      <c r="CD77" s="39"/>
      <c r="CE77" s="39"/>
      <c r="CF77" s="39"/>
      <c r="CH77" s="39"/>
      <c r="CI77" s="39"/>
      <c r="CJ77" s="39"/>
      <c r="CK77" s="39"/>
      <c r="DQ77" s="736">
        <f t="shared" si="24"/>
        <v>13</v>
      </c>
      <c r="DS77" s="854">
        <f t="shared" si="25"/>
        <v>1.1956181714615335</v>
      </c>
      <c r="DT77" s="825">
        <f t="shared" si="38"/>
        <v>-0.13933651191781277</v>
      </c>
      <c r="DU77" s="825">
        <f t="shared" si="36"/>
        <v>-0.82957738440291562</v>
      </c>
      <c r="DV77" s="825">
        <f t="shared" si="32"/>
        <v>0.22670427514080516</v>
      </c>
      <c r="DW77" s="825">
        <f t="shared" si="27"/>
        <v>7.3946093708271987E-2</v>
      </c>
      <c r="DY77" s="1106">
        <v>4.4609999999999997E-2</v>
      </c>
      <c r="DZ77" s="825">
        <f t="shared" si="22"/>
        <v>0.13835161070552759</v>
      </c>
      <c r="EA77" s="825">
        <f t="shared" si="28"/>
        <v>3.7007447118214062E-2</v>
      </c>
      <c r="EB77" s="825">
        <f t="shared" si="29"/>
        <v>3.7007447118214062E-2</v>
      </c>
      <c r="EC77" s="825">
        <f t="shared" si="30"/>
        <v>3.7015742892058098E-2</v>
      </c>
      <c r="ED77" s="825">
        <f t="shared" si="31"/>
        <v>3.7007447118214062E-2</v>
      </c>
      <c r="EE77" s="825">
        <f t="shared" si="33"/>
        <v>3.7015742892058098E-2</v>
      </c>
      <c r="EF77" s="825">
        <f t="shared" si="37"/>
        <v>3.751348932269985E-2</v>
      </c>
      <c r="EG77" s="825">
        <f t="shared" si="39"/>
        <v>4.0483376358862282E-2</v>
      </c>
      <c r="EH77" s="825">
        <f t="shared" si="40"/>
        <v>4.3843164765694088E-2</v>
      </c>
      <c r="EI77" s="825">
        <f t="shared" si="41"/>
        <v>4.7393755970938568E-2</v>
      </c>
      <c r="EJ77" s="825">
        <f t="shared" si="42"/>
        <v>5.1242995034568098E-2</v>
      </c>
      <c r="EK77" s="825">
        <f t="shared" si="43"/>
        <v>5.539088195658267E-2</v>
      </c>
      <c r="EL77" s="825">
        <f t="shared" si="44"/>
        <v>5.988719138004648E-2</v>
      </c>
      <c r="EM77" s="825">
        <f t="shared" ref="EM77:EM85" si="45">EL76</f>
        <v>3.1109151915109334E-2</v>
      </c>
      <c r="EV77" s="854">
        <f t="shared" si="23"/>
        <v>0.69026944454878758</v>
      </c>
    </row>
    <row r="78" spans="1:152">
      <c r="AN78" s="762"/>
      <c r="AO78" s="762"/>
      <c r="AP78" s="762"/>
      <c r="AQ78" s="762"/>
      <c r="AS78" s="762"/>
      <c r="AT78" s="762"/>
      <c r="AU78" s="762"/>
      <c r="AV78" s="762"/>
      <c r="AX78" s="762"/>
      <c r="AY78" s="762"/>
      <c r="AZ78" s="762"/>
      <c r="BA78" s="762"/>
      <c r="BC78" s="762"/>
      <c r="BD78" s="762"/>
      <c r="BE78" s="762"/>
      <c r="BF78" s="762"/>
      <c r="BH78" s="762"/>
      <c r="BI78" s="762"/>
      <c r="BJ78" s="762"/>
      <c r="BK78" s="762"/>
      <c r="BM78" s="762"/>
      <c r="BN78" s="762"/>
      <c r="BO78" s="762"/>
      <c r="BP78" s="762"/>
      <c r="DQ78" s="736">
        <f t="shared" si="24"/>
        <v>14</v>
      </c>
      <c r="DS78" s="854">
        <f t="shared" si="25"/>
        <v>1.2135524440334564</v>
      </c>
      <c r="DT78" s="825">
        <f t="shared" si="38"/>
        <v>-0.13170724209929638</v>
      </c>
      <c r="DU78" s="825">
        <f t="shared" si="36"/>
        <v>-0.82957738440291562</v>
      </c>
      <c r="DV78" s="825">
        <f t="shared" si="32"/>
        <v>0.25226781753124439</v>
      </c>
      <c r="DW78" s="825">
        <f t="shared" si="27"/>
        <v>7.5490252637385485E-2</v>
      </c>
      <c r="DY78" s="1106">
        <v>4.4609999999999997E-2</v>
      </c>
      <c r="DZ78" s="825">
        <f t="shared" si="22"/>
        <v>0.13835161070552759</v>
      </c>
      <c r="EA78" s="825">
        <f t="shared" si="28"/>
        <v>3.7007447118214062E-2</v>
      </c>
      <c r="EB78" s="825">
        <f t="shared" si="29"/>
        <v>3.7007447118214062E-2</v>
      </c>
      <c r="EC78" s="825">
        <f t="shared" si="30"/>
        <v>3.7007447118214062E-2</v>
      </c>
      <c r="ED78" s="825">
        <f t="shared" si="31"/>
        <v>3.7015742892058098E-2</v>
      </c>
      <c r="EE78" s="825">
        <f t="shared" si="33"/>
        <v>3.7007447118214062E-2</v>
      </c>
      <c r="EF78" s="825">
        <f t="shared" si="37"/>
        <v>3.7015742892058098E-2</v>
      </c>
      <c r="EG78" s="825">
        <f t="shared" si="39"/>
        <v>3.751348932269985E-2</v>
      </c>
      <c r="EH78" s="825">
        <f t="shared" si="40"/>
        <v>4.0483376358862282E-2</v>
      </c>
      <c r="EI78" s="825">
        <f t="shared" si="41"/>
        <v>4.3843164765694088E-2</v>
      </c>
      <c r="EJ78" s="825">
        <f t="shared" si="42"/>
        <v>4.7393755970938568E-2</v>
      </c>
      <c r="EK78" s="825">
        <f t="shared" si="43"/>
        <v>5.1242995034568098E-2</v>
      </c>
      <c r="EL78" s="825">
        <f t="shared" si="44"/>
        <v>5.539088195658267E-2</v>
      </c>
      <c r="EM78" s="825">
        <f t="shared" si="45"/>
        <v>5.988719138004648E-2</v>
      </c>
      <c r="EN78" s="825">
        <f t="shared" ref="EN78:EN85" si="46">EM77</f>
        <v>3.1109151915109334E-2</v>
      </c>
      <c r="EV78" s="854">
        <f t="shared" si="23"/>
        <v>0.72727689166700149</v>
      </c>
    </row>
    <row r="79" spans="1:152">
      <c r="A79" s="764"/>
      <c r="AN79" s="762"/>
      <c r="AO79" s="762"/>
      <c r="AP79" s="762"/>
      <c r="AQ79" s="762"/>
      <c r="AS79" s="762"/>
      <c r="AT79" s="762"/>
      <c r="AU79" s="762"/>
      <c r="AV79" s="762"/>
      <c r="AX79" s="762"/>
      <c r="AY79" s="762"/>
      <c r="AZ79" s="762"/>
      <c r="BA79" s="762"/>
      <c r="BC79" s="762"/>
      <c r="BD79" s="762"/>
      <c r="BE79" s="762"/>
      <c r="BF79" s="762"/>
      <c r="BH79" s="762"/>
      <c r="BI79" s="762"/>
      <c r="BJ79" s="762"/>
      <c r="BK79" s="762"/>
      <c r="BM79" s="762"/>
      <c r="BN79" s="762"/>
      <c r="BO79" s="762"/>
      <c r="BP79" s="762"/>
      <c r="BU79" s="765" t="s">
        <v>501</v>
      </c>
      <c r="BW79" s="780">
        <f ca="1">MAX(BW77/ETR!AR47,0)</f>
        <v>1.3753020940393918E-3</v>
      </c>
      <c r="CV79" s="825"/>
      <c r="DA79" s="825"/>
      <c r="DF79" s="825"/>
      <c r="DK79" s="825"/>
      <c r="DQ79" s="736">
        <f t="shared" si="24"/>
        <v>15</v>
      </c>
      <c r="DS79" s="854">
        <f t="shared" si="25"/>
        <v>1.2317557306939582</v>
      </c>
      <c r="DT79" s="825">
        <f t="shared" si="38"/>
        <v>-0.1241855779162115</v>
      </c>
      <c r="DU79" s="825">
        <f t="shared" si="36"/>
        <v>-0.82957738440291562</v>
      </c>
      <c r="DV79" s="825">
        <f t="shared" si="32"/>
        <v>0.277992768374831</v>
      </c>
      <c r="DW79" s="825">
        <f t="shared" si="27"/>
        <v>7.6319590128837336E-2</v>
      </c>
      <c r="DY79" s="1106">
        <v>4.4609999999999997E-2</v>
      </c>
      <c r="DZ79" s="825">
        <f t="shared" si="22"/>
        <v>0.13835161070552759</v>
      </c>
      <c r="EA79" s="825">
        <f t="shared" si="28"/>
        <v>3.7007447118214062E-2</v>
      </c>
      <c r="EB79" s="825">
        <f t="shared" si="29"/>
        <v>3.7007447118214062E-2</v>
      </c>
      <c r="EC79" s="825">
        <f t="shared" si="30"/>
        <v>3.7007447118214062E-2</v>
      </c>
      <c r="ED79" s="825">
        <f t="shared" si="31"/>
        <v>3.7007447118214062E-2</v>
      </c>
      <c r="EE79" s="825">
        <f t="shared" si="33"/>
        <v>3.7015742892058098E-2</v>
      </c>
      <c r="EF79" s="825">
        <f t="shared" si="37"/>
        <v>3.7007447118214062E-2</v>
      </c>
      <c r="EG79" s="825">
        <f t="shared" si="39"/>
        <v>3.7015742892058098E-2</v>
      </c>
      <c r="EH79" s="825">
        <f t="shared" si="40"/>
        <v>3.751348932269985E-2</v>
      </c>
      <c r="EI79" s="825">
        <f t="shared" si="41"/>
        <v>4.0483376358862282E-2</v>
      </c>
      <c r="EJ79" s="825">
        <f t="shared" si="42"/>
        <v>4.3843164765694088E-2</v>
      </c>
      <c r="EK79" s="825">
        <f t="shared" si="43"/>
        <v>4.7393755970938568E-2</v>
      </c>
      <c r="EL79" s="825">
        <f t="shared" si="44"/>
        <v>5.1242995034568098E-2</v>
      </c>
      <c r="EM79" s="825">
        <f t="shared" si="45"/>
        <v>5.539088195658267E-2</v>
      </c>
      <c r="EN79" s="825">
        <f t="shared" si="46"/>
        <v>5.988719138004648E-2</v>
      </c>
      <c r="EO79" s="825">
        <f t="shared" ref="EO79:EO85" si="47">EN78</f>
        <v>3.1109151915109334E-2</v>
      </c>
      <c r="EV79" s="854">
        <f t="shared" si="23"/>
        <v>0.76428433878521562</v>
      </c>
    </row>
    <row r="80" spans="1:152">
      <c r="A80" s="764"/>
      <c r="AN80" s="762"/>
      <c r="AO80" s="762"/>
      <c r="AP80" s="762"/>
      <c r="AQ80" s="762"/>
      <c r="AS80" s="762"/>
      <c r="AT80" s="762"/>
      <c r="AU80" s="762"/>
      <c r="AV80" s="762"/>
      <c r="AX80" s="762"/>
      <c r="AY80" s="762"/>
      <c r="AZ80" s="762"/>
      <c r="BA80" s="762"/>
      <c r="BC80" s="762"/>
      <c r="BD80" s="762"/>
      <c r="BE80" s="762"/>
      <c r="BF80" s="762"/>
      <c r="BH80" s="762"/>
      <c r="BI80" s="762"/>
      <c r="BJ80" s="762"/>
      <c r="BK80" s="762"/>
      <c r="BM80" s="762"/>
      <c r="BN80" s="762"/>
      <c r="BO80" s="762"/>
      <c r="BP80" s="762"/>
      <c r="BS80" s="764"/>
      <c r="BX80" s="780"/>
      <c r="BY80" s="780"/>
      <c r="BZ80" s="780"/>
      <c r="CA80" s="780"/>
      <c r="CC80" s="780"/>
      <c r="CD80" s="780"/>
      <c r="CE80" s="780"/>
      <c r="CF80" s="780"/>
      <c r="CH80" s="780"/>
      <c r="CI80" s="780"/>
      <c r="CJ80" s="780"/>
      <c r="CK80" s="780"/>
      <c r="DQ80" s="736">
        <f t="shared" si="24"/>
        <v>16</v>
      </c>
      <c r="DS80" s="854">
        <f t="shared" si="25"/>
        <v>1.2502320666543674</v>
      </c>
      <c r="DT80" s="825">
        <f t="shared" si="38"/>
        <v>-0.11677313345308944</v>
      </c>
      <c r="DU80" s="825">
        <f t="shared" si="36"/>
        <v>-0.82957738440291562</v>
      </c>
      <c r="DV80" s="825">
        <f t="shared" si="32"/>
        <v>0.30388154879836227</v>
      </c>
      <c r="DW80" s="825">
        <f t="shared" si="27"/>
        <v>7.653857357642109E-2</v>
      </c>
      <c r="DY80" s="1106">
        <v>4.4609999999999997E-2</v>
      </c>
      <c r="DZ80" s="825">
        <f t="shared" si="22"/>
        <v>0.13835161070552759</v>
      </c>
      <c r="EA80" s="825">
        <f t="shared" si="28"/>
        <v>3.7007447118214062E-2</v>
      </c>
      <c r="EB80" s="825">
        <f t="shared" si="29"/>
        <v>3.7007447118214062E-2</v>
      </c>
      <c r="EC80" s="825">
        <f t="shared" si="30"/>
        <v>3.7007447118214062E-2</v>
      </c>
      <c r="ED80" s="825">
        <f t="shared" si="31"/>
        <v>3.7007447118214062E-2</v>
      </c>
      <c r="EE80" s="825">
        <f t="shared" si="33"/>
        <v>3.7007447118214062E-2</v>
      </c>
      <c r="EF80" s="825">
        <f t="shared" si="37"/>
        <v>3.7015742892058098E-2</v>
      </c>
      <c r="EG80" s="825">
        <f t="shared" si="39"/>
        <v>3.7007447118214062E-2</v>
      </c>
      <c r="EH80" s="825">
        <f t="shared" si="40"/>
        <v>3.7015742892058098E-2</v>
      </c>
      <c r="EI80" s="825">
        <f t="shared" si="41"/>
        <v>3.751348932269985E-2</v>
      </c>
      <c r="EJ80" s="825">
        <f t="shared" si="42"/>
        <v>4.0483376358862282E-2</v>
      </c>
      <c r="EK80" s="825">
        <f t="shared" si="43"/>
        <v>4.3843164765694088E-2</v>
      </c>
      <c r="EL80" s="825">
        <f t="shared" si="44"/>
        <v>4.7393755970938568E-2</v>
      </c>
      <c r="EM80" s="825">
        <f t="shared" si="45"/>
        <v>5.1242995034568098E-2</v>
      </c>
      <c r="EN80" s="825">
        <f t="shared" si="46"/>
        <v>5.539088195658267E-2</v>
      </c>
      <c r="EO80" s="825">
        <f t="shared" si="47"/>
        <v>5.988719138004648E-2</v>
      </c>
      <c r="EP80" s="825">
        <f t="shared" ref="EP80:EP85" si="48">EO79</f>
        <v>3.1109151915109334E-2</v>
      </c>
      <c r="EV80" s="854">
        <f t="shared" si="23"/>
        <v>0.80129178590342953</v>
      </c>
    </row>
    <row r="81" spans="1:152">
      <c r="AN81" s="796"/>
      <c r="AO81" s="796"/>
      <c r="AP81" s="796"/>
      <c r="AQ81" s="796"/>
      <c r="AS81" s="796"/>
      <c r="AT81" s="796"/>
      <c r="AU81" s="796"/>
      <c r="AV81" s="796"/>
      <c r="AX81" s="796"/>
      <c r="AY81" s="796"/>
      <c r="AZ81" s="796"/>
      <c r="BA81" s="796"/>
      <c r="BC81" s="796"/>
      <c r="BD81" s="796"/>
      <c r="BE81" s="796"/>
      <c r="BF81" s="796"/>
      <c r="BH81" s="796"/>
      <c r="BI81" s="796"/>
      <c r="BJ81" s="796"/>
      <c r="BK81" s="796"/>
      <c r="BM81" s="796"/>
      <c r="BN81" s="796"/>
      <c r="BO81" s="796"/>
      <c r="BP81" s="796"/>
      <c r="BS81" s="764"/>
      <c r="DQ81" s="736">
        <f t="shared" si="24"/>
        <v>17</v>
      </c>
      <c r="DS81" s="854">
        <f t="shared" si="25"/>
        <v>1.2689855476541827</v>
      </c>
      <c r="DT81" s="825">
        <f t="shared" si="38"/>
        <v>-0.10947154700572997</v>
      </c>
      <c r="DU81" s="825">
        <f t="shared" si="36"/>
        <v>-0.82957738440291562</v>
      </c>
      <c r="DV81" s="825">
        <f t="shared" si="32"/>
        <v>0.32993661624553716</v>
      </c>
      <c r="DW81" s="825">
        <f t="shared" si="27"/>
        <v>7.6239502046568097E-2</v>
      </c>
      <c r="DY81" s="1106">
        <v>4.4609999999999997E-2</v>
      </c>
      <c r="DZ81" s="825">
        <f t="shared" si="22"/>
        <v>0.13835161070552759</v>
      </c>
      <c r="EA81" s="825">
        <f t="shared" si="28"/>
        <v>3.7007447118214062E-2</v>
      </c>
      <c r="EB81" s="825">
        <f t="shared" si="29"/>
        <v>3.7007447118214062E-2</v>
      </c>
      <c r="EC81" s="825">
        <f t="shared" si="30"/>
        <v>3.7007447118214062E-2</v>
      </c>
      <c r="ED81" s="825">
        <f t="shared" si="31"/>
        <v>3.7007447118214062E-2</v>
      </c>
      <c r="EE81" s="825">
        <f t="shared" si="33"/>
        <v>3.7007447118214062E-2</v>
      </c>
      <c r="EF81" s="825">
        <f t="shared" si="37"/>
        <v>3.7007447118214062E-2</v>
      </c>
      <c r="EG81" s="825">
        <f t="shared" si="39"/>
        <v>3.7015742892058098E-2</v>
      </c>
      <c r="EH81" s="825">
        <f t="shared" si="40"/>
        <v>3.7007447118214062E-2</v>
      </c>
      <c r="EI81" s="825">
        <f t="shared" si="41"/>
        <v>3.7015742892058098E-2</v>
      </c>
      <c r="EJ81" s="825">
        <f t="shared" si="42"/>
        <v>3.751348932269985E-2</v>
      </c>
      <c r="EK81" s="825">
        <f t="shared" si="43"/>
        <v>4.0483376358862282E-2</v>
      </c>
      <c r="EL81" s="825">
        <f t="shared" si="44"/>
        <v>4.3843164765694088E-2</v>
      </c>
      <c r="EM81" s="825">
        <f t="shared" si="45"/>
        <v>4.7393755970938568E-2</v>
      </c>
      <c r="EN81" s="825">
        <f t="shared" si="46"/>
        <v>5.1242995034568098E-2</v>
      </c>
      <c r="EO81" s="825">
        <f t="shared" si="47"/>
        <v>5.539088195658267E-2</v>
      </c>
      <c r="EP81" s="825">
        <f t="shared" si="48"/>
        <v>5.988719138004648E-2</v>
      </c>
      <c r="EQ81" s="825">
        <f>EP80</f>
        <v>3.1109151915109334E-2</v>
      </c>
      <c r="EV81" s="854">
        <f t="shared" si="23"/>
        <v>0.83829923302164366</v>
      </c>
    </row>
    <row r="82" spans="1:152">
      <c r="A82" s="765"/>
      <c r="BT82" s="749" t="s">
        <v>179</v>
      </c>
      <c r="BU82" s="749"/>
      <c r="BV82" s="750"/>
      <c r="BW82" s="751"/>
      <c r="CB82" s="751" t="s">
        <v>893</v>
      </c>
      <c r="CG82" s="751" t="s">
        <v>948</v>
      </c>
      <c r="CL82" s="751" t="s">
        <v>1009</v>
      </c>
      <c r="CQ82" s="751" t="s">
        <v>768</v>
      </c>
      <c r="CV82" s="751" t="s">
        <v>136</v>
      </c>
      <c r="DA82" s="751" t="s">
        <v>913</v>
      </c>
      <c r="DF82" s="751" t="s">
        <v>908</v>
      </c>
      <c r="DK82" s="751" t="s">
        <v>992</v>
      </c>
      <c r="DP82" s="764"/>
      <c r="DQ82" s="736">
        <f t="shared" si="24"/>
        <v>18</v>
      </c>
      <c r="DS82" s="854">
        <f t="shared" si="25"/>
        <v>1.2880203308689953</v>
      </c>
      <c r="DT82" s="825">
        <f t="shared" si="38"/>
        <v>-0.10228248144436938</v>
      </c>
      <c r="DU82" s="825">
        <f t="shared" si="36"/>
        <v>-0.82957738440291562</v>
      </c>
      <c r="DV82" s="825">
        <f t="shared" si="32"/>
        <v>0.35616046502171017</v>
      </c>
      <c r="DW82" s="825">
        <f t="shared" si="27"/>
        <v>7.5503789073626523E-2</v>
      </c>
      <c r="DY82" s="1106">
        <v>4.4609999999999997E-2</v>
      </c>
      <c r="DZ82" s="825">
        <f t="shared" si="22"/>
        <v>0.13835161070552759</v>
      </c>
      <c r="EA82" s="825">
        <f t="shared" si="28"/>
        <v>3.7007447118214062E-2</v>
      </c>
      <c r="EB82" s="825">
        <f t="shared" si="29"/>
        <v>3.7007447118214062E-2</v>
      </c>
      <c r="EC82" s="825">
        <f t="shared" si="30"/>
        <v>3.7007447118214062E-2</v>
      </c>
      <c r="ED82" s="825">
        <f t="shared" si="31"/>
        <v>3.7007447118214062E-2</v>
      </c>
      <c r="EE82" s="825">
        <f t="shared" si="33"/>
        <v>3.7007447118214062E-2</v>
      </c>
      <c r="EF82" s="825">
        <f t="shared" si="37"/>
        <v>3.7007447118214062E-2</v>
      </c>
      <c r="EG82" s="825">
        <f t="shared" si="39"/>
        <v>3.7007447118214062E-2</v>
      </c>
      <c r="EH82" s="825">
        <f t="shared" si="40"/>
        <v>3.7015742892058098E-2</v>
      </c>
      <c r="EI82" s="825">
        <f t="shared" si="41"/>
        <v>3.7007447118214062E-2</v>
      </c>
      <c r="EJ82" s="825">
        <f t="shared" si="42"/>
        <v>3.7015742892058098E-2</v>
      </c>
      <c r="EK82" s="825">
        <f t="shared" si="43"/>
        <v>3.751348932269985E-2</v>
      </c>
      <c r="EL82" s="825">
        <f t="shared" si="44"/>
        <v>4.0483376358862282E-2</v>
      </c>
      <c r="EM82" s="825">
        <f t="shared" si="45"/>
        <v>4.3843164765694088E-2</v>
      </c>
      <c r="EN82" s="825">
        <f t="shared" si="46"/>
        <v>4.7393755970938568E-2</v>
      </c>
      <c r="EO82" s="825">
        <f t="shared" si="47"/>
        <v>5.1242995034568098E-2</v>
      </c>
      <c r="EP82" s="825">
        <f t="shared" si="48"/>
        <v>5.539088195658267E-2</v>
      </c>
      <c r="EQ82" s="825">
        <f>EP81</f>
        <v>5.988719138004648E-2</v>
      </c>
      <c r="ER82" s="825">
        <f>EQ81</f>
        <v>3.1109151915109334E-2</v>
      </c>
      <c r="EV82" s="854">
        <f t="shared" si="23"/>
        <v>0.87530668013985768</v>
      </c>
    </row>
    <row r="83" spans="1:152">
      <c r="BS83" s="765"/>
      <c r="BU83" s="773" t="s">
        <v>823</v>
      </c>
      <c r="BW83" s="801"/>
      <c r="CB83" s="801">
        <f>+CB51</f>
        <v>1055.436548387097</v>
      </c>
      <c r="CG83" s="801">
        <f>+CG51</f>
        <v>514.17981388044154</v>
      </c>
      <c r="CL83" s="801">
        <f>+CL51</f>
        <v>501.29545161290298</v>
      </c>
      <c r="CQ83" s="801">
        <f>+CQ51</f>
        <v>1177.3252500000001</v>
      </c>
      <c r="CV83" s="801">
        <f>+CV51</f>
        <v>440.77018726244546</v>
      </c>
      <c r="DA83" s="801">
        <f>+DA51</f>
        <v>402.46813886151699</v>
      </c>
      <c r="DF83" s="801">
        <f>+DF51</f>
        <v>340.05331219356157</v>
      </c>
      <c r="DK83" s="801">
        <f>+DK51</f>
        <v>166.05958569460739</v>
      </c>
      <c r="DP83" s="764"/>
      <c r="DQ83" s="736">
        <f t="shared" si="24"/>
        <v>19</v>
      </c>
      <c r="DS83" s="854">
        <f t="shared" si="25"/>
        <v>1.3073406358320301</v>
      </c>
      <c r="DT83" s="825">
        <f t="shared" si="38"/>
        <v>-9.5207624582297701E-2</v>
      </c>
      <c r="DU83" s="825">
        <f t="shared" si="36"/>
        <v>-0.82957738440291562</v>
      </c>
      <c r="DV83" s="825">
        <f t="shared" si="32"/>
        <v>0.38255562684681677</v>
      </c>
      <c r="DW83" s="825">
        <f t="shared" si="27"/>
        <v>7.4403117569544569E-2</v>
      </c>
      <c r="DY83" s="1106">
        <v>4.4609999999999997E-2</v>
      </c>
      <c r="DZ83" s="825">
        <f t="shared" si="22"/>
        <v>0.13835161070552759</v>
      </c>
      <c r="EA83" s="825">
        <f t="shared" si="28"/>
        <v>3.7007447118214062E-2</v>
      </c>
      <c r="EB83" s="825">
        <f t="shared" si="29"/>
        <v>3.7007447118214062E-2</v>
      </c>
      <c r="EC83" s="825">
        <f t="shared" si="30"/>
        <v>3.7007447118214062E-2</v>
      </c>
      <c r="ED83" s="825">
        <f t="shared" si="31"/>
        <v>3.7007447118214062E-2</v>
      </c>
      <c r="EE83" s="825">
        <f t="shared" si="33"/>
        <v>3.7007447118214062E-2</v>
      </c>
      <c r="EF83" s="825">
        <f t="shared" si="37"/>
        <v>3.7007447118214062E-2</v>
      </c>
      <c r="EG83" s="825">
        <f t="shared" si="39"/>
        <v>3.7007447118214062E-2</v>
      </c>
      <c r="EH83" s="825">
        <f t="shared" si="40"/>
        <v>3.7007447118214062E-2</v>
      </c>
      <c r="EI83" s="825">
        <f t="shared" si="41"/>
        <v>3.7015742892058098E-2</v>
      </c>
      <c r="EJ83" s="825">
        <f t="shared" si="42"/>
        <v>3.7007447118214062E-2</v>
      </c>
      <c r="EK83" s="825">
        <f t="shared" si="43"/>
        <v>3.7015742892058098E-2</v>
      </c>
      <c r="EL83" s="825">
        <f t="shared" si="44"/>
        <v>3.751348932269985E-2</v>
      </c>
      <c r="EM83" s="825">
        <f t="shared" si="45"/>
        <v>4.0483376358862282E-2</v>
      </c>
      <c r="EN83" s="825">
        <f t="shared" si="46"/>
        <v>4.3843164765694088E-2</v>
      </c>
      <c r="EO83" s="825">
        <f t="shared" si="47"/>
        <v>4.7393755970938568E-2</v>
      </c>
      <c r="EP83" s="825">
        <f t="shared" si="48"/>
        <v>5.1242995034568098E-2</v>
      </c>
      <c r="EQ83" s="825">
        <f>EP82</f>
        <v>5.539088195658267E-2</v>
      </c>
      <c r="ER83" s="825">
        <f>EQ82</f>
        <v>5.988719138004648E-2</v>
      </c>
      <c r="ES83" s="825">
        <f>ER82</f>
        <v>3.1109151915109334E-2</v>
      </c>
      <c r="EV83" s="854">
        <f t="shared" si="23"/>
        <v>0.91231412725807171</v>
      </c>
    </row>
    <row r="84" spans="1:152">
      <c r="BU84" s="736" t="s">
        <v>482</v>
      </c>
      <c r="BW84" s="843"/>
      <c r="CB84" s="843">
        <f>EWC!AH132</f>
        <v>-351.09559592243158</v>
      </c>
      <c r="CG84" s="843">
        <f>EWC!AM132</f>
        <v>315.3559945929016</v>
      </c>
      <c r="CL84" s="843">
        <f>EWC!AR132</f>
        <v>331.05608361284436</v>
      </c>
      <c r="CQ84" s="843">
        <f>EWC!AW132</f>
        <v>53.349884307718838</v>
      </c>
      <c r="CV84" s="843">
        <f>EWC!BB132</f>
        <v>-104.41094106088704</v>
      </c>
      <c r="DA84" s="843">
        <f>EWC!BG132</f>
        <v>-96.442150850516342</v>
      </c>
      <c r="DF84" s="843">
        <f>EWC!BL132</f>
        <v>-12.901449565266134</v>
      </c>
      <c r="DK84" s="843">
        <f>EWC!BQ132</f>
        <v>52.378047136201587</v>
      </c>
      <c r="DQ84" s="736">
        <f t="shared" si="24"/>
        <v>20</v>
      </c>
      <c r="DS84" s="854">
        <f t="shared" si="25"/>
        <v>1.3269507453695104</v>
      </c>
      <c r="DT84" s="825">
        <f t="shared" si="38"/>
        <v>-0.12331263924262421</v>
      </c>
      <c r="DU84" s="825">
        <f t="shared" si="36"/>
        <v>-0.82957738440291562</v>
      </c>
      <c r="DV84" s="825">
        <f t="shared" si="32"/>
        <v>0.37406072172397054</v>
      </c>
      <c r="DW84" s="825">
        <f t="shared" si="27"/>
        <v>6.6743987409805056E-2</v>
      </c>
      <c r="DY84" s="1106">
        <v>4.4609999999999997E-2</v>
      </c>
      <c r="DZ84" s="825">
        <f t="shared" si="22"/>
        <v>0.13835161070552759</v>
      </c>
      <c r="EA84" s="825">
        <f t="shared" si="28"/>
        <v>3.7007447118214062E-2</v>
      </c>
      <c r="EB84" s="825">
        <f t="shared" si="29"/>
        <v>3.7007447118214062E-2</v>
      </c>
      <c r="EC84" s="825">
        <f t="shared" si="30"/>
        <v>3.7007447118214062E-2</v>
      </c>
      <c r="ED84" s="825">
        <f t="shared" si="31"/>
        <v>3.7007447118214062E-2</v>
      </c>
      <c r="EE84" s="825">
        <f t="shared" si="33"/>
        <v>3.7007447118214062E-2</v>
      </c>
      <c r="EF84" s="825">
        <f t="shared" si="37"/>
        <v>3.7007447118214062E-2</v>
      </c>
      <c r="EG84" s="825">
        <f t="shared" si="39"/>
        <v>3.7007447118214062E-2</v>
      </c>
      <c r="EH84" s="825">
        <f t="shared" si="40"/>
        <v>3.7007447118214062E-2</v>
      </c>
      <c r="EI84" s="825">
        <f t="shared" si="41"/>
        <v>3.7007447118214062E-2</v>
      </c>
      <c r="EJ84" s="825">
        <f t="shared" si="42"/>
        <v>3.7015742892058098E-2</v>
      </c>
      <c r="EK84" s="825">
        <f t="shared" si="43"/>
        <v>3.7007447118214062E-2</v>
      </c>
      <c r="EL84" s="825">
        <f t="shared" si="44"/>
        <v>3.7015742892058098E-2</v>
      </c>
      <c r="EM84" s="825">
        <f t="shared" si="45"/>
        <v>3.751348932269985E-2</v>
      </c>
      <c r="EN84" s="825">
        <f t="shared" si="46"/>
        <v>4.0483376358862282E-2</v>
      </c>
      <c r="EO84" s="825">
        <f t="shared" si="47"/>
        <v>4.3843164765694088E-2</v>
      </c>
      <c r="EP84" s="825">
        <f t="shared" si="48"/>
        <v>4.7393755970938568E-2</v>
      </c>
      <c r="EQ84" s="825">
        <f>EP83</f>
        <v>5.1242995034568098E-2</v>
      </c>
      <c r="ER84" s="825">
        <f>EQ83</f>
        <v>5.539088195658267E-2</v>
      </c>
      <c r="ES84" s="825">
        <f>ER83</f>
        <v>5.988719138004648E-2</v>
      </c>
      <c r="ET84" s="825">
        <f>ES83</f>
        <v>3.1109151915109334E-2</v>
      </c>
      <c r="EV84" s="854">
        <f t="shared" si="23"/>
        <v>0.94932157437628573</v>
      </c>
    </row>
    <row r="85" spans="1:152">
      <c r="BU85" s="765" t="s">
        <v>56</v>
      </c>
      <c r="BV85" s="765"/>
      <c r="BW85" s="842"/>
      <c r="CB85" s="842">
        <f>+CB83-CB84</f>
        <v>1406.5321443095286</v>
      </c>
      <c r="CG85" s="842">
        <f>+CG83-CG84</f>
        <v>198.82381928753995</v>
      </c>
      <c r="CL85" s="842">
        <f>+CL83-CL84</f>
        <v>170.23936800005862</v>
      </c>
      <c r="CQ85" s="842">
        <f>+CQ83-CQ84</f>
        <v>1123.9753656922812</v>
      </c>
      <c r="CV85" s="842">
        <f>+CV83-CV84</f>
        <v>545.18112832333247</v>
      </c>
      <c r="DA85" s="842">
        <f>+DA83-DA84</f>
        <v>498.91028971203332</v>
      </c>
      <c r="DF85" s="842">
        <f>+DF83-DF84</f>
        <v>352.95476175882771</v>
      </c>
      <c r="DK85" s="842">
        <f>+DK83-DK84</f>
        <v>113.6815385584058</v>
      </c>
      <c r="DP85" s="765"/>
      <c r="DQ85" s="736">
        <f t="shared" si="24"/>
        <v>21</v>
      </c>
      <c r="DS85" s="854">
        <f t="shared" si="25"/>
        <v>1.3468550065500529</v>
      </c>
      <c r="DT85" s="825">
        <f t="shared" si="38"/>
        <v>-0.49074200262002121</v>
      </c>
      <c r="DU85" s="825">
        <f t="shared" si="36"/>
        <v>-0.82957738440291562</v>
      </c>
      <c r="DV85" s="825">
        <f t="shared" si="32"/>
        <v>2.6535619527116028E-2</v>
      </c>
      <c r="DW85" s="825">
        <f t="shared" si="27"/>
        <v>4.3438295441715702E-3</v>
      </c>
      <c r="DY85" s="1106">
        <v>2.231E-2</v>
      </c>
      <c r="DZ85" s="825">
        <f t="shared" si="22"/>
        <v>6.9191312146162767E-2</v>
      </c>
      <c r="EA85" s="825">
        <f t="shared" si="28"/>
        <v>1.8507871446029049E-2</v>
      </c>
      <c r="EB85" s="825">
        <f t="shared" si="29"/>
        <v>3.7007447118214062E-2</v>
      </c>
      <c r="EC85" s="825">
        <f t="shared" si="30"/>
        <v>3.7007447118214062E-2</v>
      </c>
      <c r="ED85" s="825">
        <f t="shared" si="31"/>
        <v>3.7007447118214062E-2</v>
      </c>
      <c r="EE85" s="825">
        <f t="shared" si="33"/>
        <v>3.7007447118214062E-2</v>
      </c>
      <c r="EF85" s="825">
        <f t="shared" si="37"/>
        <v>3.7007447118214062E-2</v>
      </c>
      <c r="EG85" s="825">
        <f t="shared" si="39"/>
        <v>3.7007447118214062E-2</v>
      </c>
      <c r="EH85" s="825">
        <f t="shared" si="40"/>
        <v>3.7007447118214062E-2</v>
      </c>
      <c r="EI85" s="825">
        <f t="shared" si="41"/>
        <v>3.7007447118214062E-2</v>
      </c>
      <c r="EJ85" s="825">
        <f t="shared" si="42"/>
        <v>3.7007447118214062E-2</v>
      </c>
      <c r="EK85" s="825">
        <f t="shared" si="43"/>
        <v>3.7015742892058098E-2</v>
      </c>
      <c r="EL85" s="825">
        <f t="shared" si="44"/>
        <v>3.7007447118214062E-2</v>
      </c>
      <c r="EM85" s="825">
        <f t="shared" si="45"/>
        <v>3.7015742892058098E-2</v>
      </c>
      <c r="EN85" s="825">
        <f t="shared" si="46"/>
        <v>3.751348932269985E-2</v>
      </c>
      <c r="EO85" s="825">
        <f t="shared" si="47"/>
        <v>4.0483376358862282E-2</v>
      </c>
      <c r="EP85" s="825">
        <f t="shared" si="48"/>
        <v>4.3843164765694088E-2</v>
      </c>
      <c r="EQ85" s="825">
        <f>EP84</f>
        <v>4.7393755970938568E-2</v>
      </c>
      <c r="ER85" s="825">
        <f>EQ84</f>
        <v>5.1242995034568098E-2</v>
      </c>
      <c r="ES85" s="825">
        <f>ER84</f>
        <v>5.539088195658267E-2</v>
      </c>
      <c r="ET85" s="825">
        <f>ES84</f>
        <v>5.988719138004648E-2</v>
      </c>
      <c r="EU85" s="825">
        <f>ET84</f>
        <v>3.1109151915109334E-2</v>
      </c>
      <c r="EV85" s="854">
        <f t="shared" si="23"/>
        <v>0.89866914726295</v>
      </c>
    </row>
    <row r="86" spans="1:152">
      <c r="DQ86" s="736">
        <f t="shared" si="24"/>
        <v>22</v>
      </c>
      <c r="DS86" s="854">
        <f t="shared" si="25"/>
        <v>1.3670578316483035</v>
      </c>
      <c r="DT86" s="825">
        <f t="shared" si="38"/>
        <v>-0.49882313265932138</v>
      </c>
      <c r="DU86" s="825">
        <f t="shared" si="36"/>
        <v>-0.82957738440291562</v>
      </c>
      <c r="DV86" s="825">
        <f t="shared" si="32"/>
        <v>3.8657314586066582E-2</v>
      </c>
      <c r="DW86" s="825">
        <f t="shared" si="27"/>
        <v>5.8056216128144671E-3</v>
      </c>
      <c r="ES86" s="825"/>
      <c r="ET86" s="825"/>
      <c r="EV86" s="854"/>
    </row>
    <row r="87" spans="1:152">
      <c r="BU87" s="736" t="s">
        <v>502</v>
      </c>
      <c r="BW87" s="855"/>
      <c r="CB87" s="855">
        <v>3</v>
      </c>
      <c r="CG87" s="855">
        <v>3</v>
      </c>
      <c r="CL87" s="855">
        <v>3</v>
      </c>
      <c r="CQ87" s="855">
        <v>3</v>
      </c>
      <c r="CV87" s="855">
        <v>3</v>
      </c>
      <c r="DA87" s="855">
        <v>3</v>
      </c>
      <c r="DF87" s="855">
        <v>3</v>
      </c>
      <c r="DK87" s="855">
        <v>3</v>
      </c>
      <c r="DQ87" s="736">
        <f t="shared" si="24"/>
        <v>23</v>
      </c>
      <c r="DS87" s="854">
        <f t="shared" si="25"/>
        <v>1.387563699123028</v>
      </c>
      <c r="DT87" s="825">
        <f t="shared" si="38"/>
        <v>-0.50702547964921119</v>
      </c>
      <c r="DU87" s="825">
        <f t="shared" si="36"/>
        <v>-0.82957738440291562</v>
      </c>
      <c r="DV87" s="825">
        <f t="shared" si="32"/>
        <v>5.0960835070901211E-2</v>
      </c>
      <c r="DW87" s="825">
        <f t="shared" si="27"/>
        <v>7.0214544583544159E-3</v>
      </c>
      <c r="ES87" s="825"/>
      <c r="ET87" s="825"/>
      <c r="EU87" s="825"/>
      <c r="EV87" s="854"/>
    </row>
    <row r="88" spans="1:152">
      <c r="BU88" s="765" t="s">
        <v>503</v>
      </c>
      <c r="BW88" s="39"/>
      <c r="CB88" s="39">
        <f>+CB85*CB87</f>
        <v>4219.5964329285853</v>
      </c>
      <c r="CG88" s="39">
        <f>+CG85*CG87</f>
        <v>596.4714578626199</v>
      </c>
      <c r="CL88" s="39">
        <f>+CL85*CL87</f>
        <v>510.71810400017586</v>
      </c>
      <c r="CQ88" s="39">
        <f>+CQ85*CQ87</f>
        <v>3371.9260970768437</v>
      </c>
      <c r="CV88" s="39">
        <f>+CV85*CV87</f>
        <v>1635.5433849699975</v>
      </c>
      <c r="DA88" s="39">
        <f>+DA85*DA87</f>
        <v>1496.7308691361</v>
      </c>
      <c r="DF88" s="39">
        <f>+DF85*DF87</f>
        <v>1058.8642852764831</v>
      </c>
      <c r="DK88" s="39">
        <f>+DK85*DK87</f>
        <v>341.04461567521741</v>
      </c>
      <c r="DQ88" s="736">
        <f t="shared" si="24"/>
        <v>24</v>
      </c>
      <c r="DS88" s="854">
        <f t="shared" si="25"/>
        <v>1.4083771546098733</v>
      </c>
      <c r="DT88" s="825">
        <f t="shared" si="38"/>
        <v>-0.5153508618439494</v>
      </c>
      <c r="DU88" s="825">
        <f t="shared" si="36"/>
        <v>-0.82957738440291562</v>
      </c>
      <c r="DV88" s="825">
        <f t="shared" si="32"/>
        <v>6.3448908363008316E-2</v>
      </c>
      <c r="DW88" s="825">
        <f t="shared" si="27"/>
        <v>8.0202555025671481E-3</v>
      </c>
    </row>
    <row r="89" spans="1:152">
      <c r="DL89" s="856"/>
      <c r="DQ89" s="736">
        <f t="shared" si="24"/>
        <v>25</v>
      </c>
      <c r="DS89" s="854">
        <f t="shared" si="25"/>
        <v>1.4295028119290214</v>
      </c>
      <c r="DT89" s="825">
        <f t="shared" si="38"/>
        <v>-0.52380112477160867</v>
      </c>
      <c r="DU89" s="825">
        <f t="shared" si="36"/>
        <v>-0.82957738440291562</v>
      </c>
      <c r="DV89" s="825">
        <f t="shared" si="32"/>
        <v>7.6124302754497108E-2</v>
      </c>
      <c r="DW89" s="825">
        <f t="shared" si="27"/>
        <v>8.8279706235448487E-3</v>
      </c>
    </row>
    <row r="90" spans="1:152">
      <c r="AN90" s="863"/>
      <c r="AO90" s="863"/>
      <c r="AP90" s="863"/>
      <c r="AQ90" s="863"/>
      <c r="AS90" s="863"/>
      <c r="AT90" s="863"/>
      <c r="AU90" s="863"/>
      <c r="AV90" s="863"/>
      <c r="AX90" s="863"/>
      <c r="AY90" s="863"/>
      <c r="AZ90" s="863"/>
      <c r="BA90" s="863"/>
      <c r="BC90" s="863"/>
      <c r="BD90" s="863"/>
      <c r="BE90" s="863"/>
      <c r="BF90" s="863"/>
      <c r="BH90" s="863"/>
      <c r="BI90" s="863"/>
      <c r="BJ90" s="863"/>
      <c r="BK90" s="863"/>
      <c r="BM90" s="863"/>
      <c r="BN90" s="863"/>
      <c r="BO90" s="863"/>
      <c r="BP90" s="863"/>
      <c r="BU90" s="764" t="s">
        <v>504</v>
      </c>
      <c r="BW90" s="837"/>
      <c r="CB90" s="837">
        <f>SUM(CB84:$DA84)*0.9</f>
        <v>133.03194721166687</v>
      </c>
      <c r="CG90" s="837">
        <f>SUM(CG84:$DA84)*0.9</f>
        <v>449.01798354185536</v>
      </c>
      <c r="CL90" s="837">
        <f>SUM(CL84:$DA84)*0.9</f>
        <v>165.19758840824386</v>
      </c>
      <c r="CQ90" s="837">
        <f>SUM(CQ84:$DA84)*0.9</f>
        <v>-132.75288684331608</v>
      </c>
      <c r="CV90" s="837">
        <f>SUM(CV84:$DA84)*0.9</f>
        <v>-180.76778272026306</v>
      </c>
      <c r="CW90" s="1683"/>
      <c r="CX90" s="1683"/>
      <c r="CY90" s="1683"/>
      <c r="CZ90" s="1683"/>
      <c r="DA90" s="837">
        <f>SUM(DA84:$DA84)*0.9</f>
        <v>-86.797935765464715</v>
      </c>
      <c r="DB90" s="1683"/>
      <c r="DC90" s="1683"/>
      <c r="DD90" s="1683"/>
      <c r="DE90" s="1683"/>
      <c r="DF90" s="837">
        <f>SUM($DF84:DF84)*0.9</f>
        <v>-11.611304608739522</v>
      </c>
      <c r="DG90" s="1683"/>
      <c r="DH90" s="1683"/>
      <c r="DI90" s="1683"/>
      <c r="DJ90" s="1683"/>
      <c r="DK90" s="837">
        <f>SUM($DF84:DK84)*0.9</f>
        <v>35.528937813841907</v>
      </c>
      <c r="DL90" s="856"/>
      <c r="DQ90" s="736">
        <f t="shared" si="24"/>
        <v>26</v>
      </c>
      <c r="DS90" s="854">
        <f t="shared" si="25"/>
        <v>1.4509453541079567</v>
      </c>
      <c r="DT90" s="825">
        <f t="shared" si="38"/>
        <v>-0.53237814164318265</v>
      </c>
      <c r="DU90" s="825">
        <f t="shared" si="36"/>
        <v>-0.82957738440291562</v>
      </c>
      <c r="DV90" s="825">
        <f t="shared" si="32"/>
        <v>8.89898280618584E-2</v>
      </c>
      <c r="DW90" s="825">
        <f t="shared" si="27"/>
        <v>9.4678511437733311E-3</v>
      </c>
    </row>
    <row r="91" spans="1:152">
      <c r="AN91" s="752"/>
      <c r="AO91" s="752"/>
      <c r="AP91" s="752"/>
      <c r="AQ91" s="752"/>
      <c r="AS91" s="752"/>
      <c r="AT91" s="752"/>
      <c r="AU91" s="752"/>
      <c r="AV91" s="752"/>
      <c r="AX91" s="752"/>
      <c r="AY91" s="752"/>
      <c r="AZ91" s="752"/>
      <c r="BA91" s="752"/>
      <c r="BC91" s="752"/>
      <c r="BD91" s="752"/>
      <c r="BE91" s="752"/>
      <c r="BF91" s="752"/>
      <c r="BH91" s="752"/>
      <c r="BI91" s="752"/>
      <c r="BJ91" s="752"/>
      <c r="BK91" s="752"/>
      <c r="BM91" s="752"/>
      <c r="BN91" s="752"/>
      <c r="BO91" s="752"/>
      <c r="BP91" s="752"/>
      <c r="BU91" s="765" t="s">
        <v>505</v>
      </c>
      <c r="BW91" s="842"/>
      <c r="CB91" s="842">
        <f>+CB90+CB88</f>
        <v>4352.6283801402524</v>
      </c>
      <c r="CG91" s="842">
        <f>+CG90+CG88</f>
        <v>1045.4894414044752</v>
      </c>
      <c r="CL91" s="842">
        <f>+CL90+CL88</f>
        <v>675.91569240841977</v>
      </c>
      <c r="CQ91" s="842">
        <f>+CQ90+CQ88</f>
        <v>3239.1732102335277</v>
      </c>
      <c r="CV91" s="842">
        <f>+CV90+CV88</f>
        <v>1454.7756022497344</v>
      </c>
      <c r="DA91" s="842">
        <f>+DA90+DA88</f>
        <v>1409.9329333706353</v>
      </c>
      <c r="DF91" s="842">
        <f>+DF90+DF88</f>
        <v>1047.2529806677435</v>
      </c>
      <c r="DK91" s="842">
        <f>+DK90+DK88</f>
        <v>376.57355348905935</v>
      </c>
      <c r="DQ91" s="736">
        <f t="shared" si="24"/>
        <v>27</v>
      </c>
      <c r="DS91" s="854">
        <f t="shared" si="25"/>
        <v>1.472709534419576</v>
      </c>
      <c r="DT91" s="825">
        <f t="shared" si="38"/>
        <v>-0.54108381376783043</v>
      </c>
      <c r="DU91" s="825">
        <f t="shared" si="36"/>
        <v>-0.82957738440291562</v>
      </c>
      <c r="DV91" s="825">
        <f t="shared" si="32"/>
        <v>0.10204833624882992</v>
      </c>
      <c r="DW91" s="825">
        <f t="shared" si="27"/>
        <v>9.9607143142231395E-3</v>
      </c>
    </row>
    <row r="92" spans="1:152">
      <c r="CH92" s="764"/>
      <c r="CI92" s="764"/>
      <c r="CJ92" s="764"/>
      <c r="CK92" s="764"/>
      <c r="DQ92" s="736">
        <f t="shared" si="24"/>
        <v>28</v>
      </c>
      <c r="DS92" s="854">
        <f t="shared" si="25"/>
        <v>1.4948001774358695</v>
      </c>
      <c r="DT92" s="825">
        <f t="shared" si="38"/>
        <v>-0.54992007097434781</v>
      </c>
      <c r="DU92" s="825">
        <f t="shared" si="36"/>
        <v>-0.82957738440291562</v>
      </c>
      <c r="DV92" s="825">
        <f t="shared" si="32"/>
        <v>0.11530272205860603</v>
      </c>
      <c r="DW92" s="825">
        <f t="shared" si="27"/>
        <v>1.032517967604921E-2</v>
      </c>
    </row>
    <row r="93" spans="1:152">
      <c r="BU93" s="764" t="s">
        <v>180</v>
      </c>
      <c r="BW93" s="770"/>
      <c r="CB93" s="770">
        <f>+EWC!AH483-EWC!AH479</f>
        <v>-114.86500000000001</v>
      </c>
      <c r="CG93" s="770">
        <f>+EWC!AM483-EWC!AM479</f>
        <v>-348.42799999999994</v>
      </c>
      <c r="CL93" s="770">
        <f>+EWC!AR483-EWC!AR479</f>
        <v>-372.488</v>
      </c>
      <c r="CQ93" s="770">
        <f>+EWC!AW483-EWC!AW479</f>
        <v>-122.70700000000002</v>
      </c>
      <c r="CV93" s="770">
        <f>+EWC!BB483-EWC!BB479</f>
        <v>-184.02895435746757</v>
      </c>
      <c r="DA93" s="770">
        <f>+EWC!BG483-EWC!BG479</f>
        <v>-277.75142249437766</v>
      </c>
      <c r="DF93" s="770">
        <f>+EWC!BL483-EWC!BL479</f>
        <v>-352.80066410583953</v>
      </c>
      <c r="DK93" s="770">
        <f>+EWC!BQ483-EWC!BQ479</f>
        <v>-311.55840462150849</v>
      </c>
      <c r="DQ93" s="736">
        <f t="shared" si="24"/>
        <v>29</v>
      </c>
      <c r="DS93" s="854">
        <f t="shared" si="25"/>
        <v>1.5172221800974073</v>
      </c>
      <c r="DT93" s="825">
        <f t="shared" si="38"/>
        <v>-0.55888887203896298</v>
      </c>
      <c r="DU93" s="825">
        <f t="shared" si="36"/>
        <v>-0.82957738440291562</v>
      </c>
      <c r="DV93" s="825">
        <f t="shared" si="32"/>
        <v>0.12875592365552868</v>
      </c>
      <c r="DW93" s="825">
        <f t="shared" si="27"/>
        <v>1.0577883471554736E-2</v>
      </c>
    </row>
    <row r="94" spans="1:152">
      <c r="BU94" s="765" t="s">
        <v>500</v>
      </c>
      <c r="BW94" s="842"/>
      <c r="CB94" s="842">
        <f>+CB91-CB93</f>
        <v>4467.4933801402522</v>
      </c>
      <c r="CG94" s="842">
        <f>+CG91-CG93</f>
        <v>1393.9174414044751</v>
      </c>
      <c r="CH94" s="848"/>
      <c r="CI94" s="848"/>
      <c r="CJ94" s="848"/>
      <c r="CK94" s="848"/>
      <c r="CL94" s="842">
        <f>+CL91-CL93</f>
        <v>1048.4036924084198</v>
      </c>
      <c r="CQ94" s="842">
        <f>+CQ91-CQ93</f>
        <v>3361.8802102335276</v>
      </c>
      <c r="CV94" s="842">
        <f>+CV91-CV93</f>
        <v>1638.8045566072019</v>
      </c>
      <c r="DA94" s="842">
        <f>+DA91-DA93</f>
        <v>1687.684355865013</v>
      </c>
      <c r="DF94" s="842">
        <f>+DF91-DF93</f>
        <v>1400.0536447735831</v>
      </c>
      <c r="DK94" s="842">
        <f>+DK91-DK93</f>
        <v>688.13195811056789</v>
      </c>
      <c r="DL94" s="824"/>
      <c r="DQ94" s="736">
        <f t="shared" si="24"/>
        <v>30</v>
      </c>
      <c r="DS94" s="854">
        <f t="shared" si="25"/>
        <v>1.5399805127988682</v>
      </c>
      <c r="DT94" s="825">
        <f t="shared" si="38"/>
        <v>-0.56799220511954729</v>
      </c>
      <c r="DU94" s="825">
        <f t="shared" si="36"/>
        <v>-0.82957738440291562</v>
      </c>
      <c r="DV94" s="825">
        <f t="shared" si="32"/>
        <v>0.14241092327640525</v>
      </c>
      <c r="DW94" s="825">
        <f t="shared" si="27"/>
        <v>1.0733673084386249E-2</v>
      </c>
    </row>
    <row r="95" spans="1:152">
      <c r="DL95" s="751"/>
      <c r="DM95" s="1440">
        <v>0.7</v>
      </c>
      <c r="DN95" s="773" t="s">
        <v>924</v>
      </c>
      <c r="DW95" s="861">
        <f>SUM(DW65:DW79)</f>
        <v>0.56525119457704609</v>
      </c>
    </row>
    <row r="96" spans="1:152">
      <c r="BU96" s="764" t="s">
        <v>507</v>
      </c>
      <c r="BW96" s="856"/>
      <c r="BX96" s="764"/>
      <c r="BY96" s="764"/>
      <c r="BZ96" s="764"/>
      <c r="CA96" s="764"/>
      <c r="CB96" s="856">
        <f>+AH55</f>
        <v>180.296885</v>
      </c>
      <c r="CC96" s="764"/>
      <c r="CD96" s="764"/>
      <c r="CE96" s="764"/>
      <c r="CF96" s="764"/>
      <c r="CG96" s="856">
        <f>+AM55</f>
        <v>179.176356</v>
      </c>
      <c r="CL96" s="856">
        <f>+AR55</f>
        <v>178.88566</v>
      </c>
      <c r="CQ96" s="856">
        <f>+AW55</f>
        <v>180.53589299999999</v>
      </c>
      <c r="CV96" s="856">
        <f>+BB55</f>
        <v>180.517653</v>
      </c>
      <c r="DA96" s="856">
        <f>+BG55</f>
        <v>180.517653</v>
      </c>
      <c r="DF96" s="856">
        <f>+BL55</f>
        <v>180.517653</v>
      </c>
      <c r="DK96" s="856">
        <f>+BQ55</f>
        <v>180.517653</v>
      </c>
      <c r="DL96" s="1439"/>
    </row>
    <row r="97" spans="2:119">
      <c r="BU97" s="765" t="s">
        <v>508</v>
      </c>
      <c r="BW97" s="766"/>
      <c r="BX97" s="764"/>
      <c r="BY97" s="764"/>
      <c r="BZ97" s="764"/>
      <c r="CA97" s="764"/>
      <c r="CB97" s="766">
        <f>+CB94/CB96</f>
        <v>24.778538908979222</v>
      </c>
      <c r="CC97" s="764"/>
      <c r="CD97" s="764"/>
      <c r="CE97" s="764"/>
      <c r="CF97" s="764"/>
      <c r="CG97" s="766">
        <f>+CG94/CG96</f>
        <v>7.7795836042366835</v>
      </c>
      <c r="CL97" s="766">
        <f>+CL94/CL96</f>
        <v>5.8607475434778831</v>
      </c>
      <c r="CQ97" s="766">
        <f>+CQ94/CQ96</f>
        <v>18.621672147119952</v>
      </c>
      <c r="CV97" s="766">
        <f>+CV94/CV96</f>
        <v>9.0783617522835947</v>
      </c>
      <c r="DA97" s="766">
        <f>+DA94/DA96</f>
        <v>9.3491374822218241</v>
      </c>
      <c r="DF97" s="766">
        <f>+DF94/DF96</f>
        <v>7.7557713692055543</v>
      </c>
      <c r="DK97" s="766">
        <f>+DK94/DK96</f>
        <v>3.8119926039065439</v>
      </c>
      <c r="DL97" s="1439"/>
      <c r="DM97" s="1439"/>
      <c r="DN97" s="764"/>
    </row>
    <row r="98" spans="2:119">
      <c r="DL98" s="801"/>
      <c r="DM98" s="1438">
        <v>22</v>
      </c>
      <c r="DN98" s="1443" t="s">
        <v>871</v>
      </c>
      <c r="DO98" s="761"/>
    </row>
    <row r="99" spans="2:119">
      <c r="BW99" s="824">
        <v>41639</v>
      </c>
      <c r="BX99" s="824"/>
      <c r="BY99" s="824"/>
      <c r="BZ99" s="824"/>
      <c r="CA99" s="824"/>
      <c r="CB99" s="824">
        <v>42004</v>
      </c>
      <c r="CC99" s="824"/>
      <c r="CD99" s="824"/>
      <c r="CE99" s="824"/>
      <c r="CF99" s="824"/>
      <c r="CG99" s="824">
        <v>42369</v>
      </c>
      <c r="CH99" s="824"/>
      <c r="CI99" s="824"/>
      <c r="CJ99" s="824"/>
      <c r="CK99" s="824"/>
      <c r="CL99" s="824">
        <v>42735</v>
      </c>
      <c r="CQ99" s="824">
        <v>43100</v>
      </c>
      <c r="CV99" s="824">
        <v>43465</v>
      </c>
      <c r="DA99" s="824">
        <v>43830</v>
      </c>
      <c r="DF99" s="824">
        <v>44196</v>
      </c>
      <c r="DK99" s="824">
        <v>44196</v>
      </c>
      <c r="DL99" s="837"/>
      <c r="DM99" s="801"/>
      <c r="DN99" s="764"/>
      <c r="DO99" s="837"/>
    </row>
    <row r="100" spans="2:119">
      <c r="BT100" s="749" t="s">
        <v>134</v>
      </c>
      <c r="BU100" s="749"/>
      <c r="BW100" s="751" t="s">
        <v>799</v>
      </c>
      <c r="CB100" s="751" t="s">
        <v>654</v>
      </c>
      <c r="CG100" s="751" t="s">
        <v>948</v>
      </c>
      <c r="CL100" s="751" t="s">
        <v>1009</v>
      </c>
      <c r="CQ100" s="751" t="s">
        <v>768</v>
      </c>
      <c r="CV100" s="751" t="s">
        <v>136</v>
      </c>
      <c r="DA100" s="751" t="s">
        <v>913</v>
      </c>
      <c r="DF100" s="751" t="s">
        <v>908</v>
      </c>
      <c r="DK100" s="751" t="s">
        <v>992</v>
      </c>
      <c r="DL100" s="842"/>
      <c r="DM100" s="1441">
        <v>0.7</v>
      </c>
      <c r="DN100" s="764" t="s">
        <v>868</v>
      </c>
    </row>
    <row r="101" spans="2:119">
      <c r="BU101" s="773" t="s">
        <v>314</v>
      </c>
      <c r="BW101" s="856">
        <f>EWC!AC235+EWC!AC367</f>
        <v>743.56689067911498</v>
      </c>
      <c r="CB101" s="856">
        <f>EWC!AH235+EWC!AH367</f>
        <v>1023.0602055750675</v>
      </c>
      <c r="CC101" s="856"/>
      <c r="CD101" s="856"/>
      <c r="CE101" s="856"/>
      <c r="CF101" s="856"/>
      <c r="CG101" s="856">
        <f>EWC!AM235+EWC!AM367</f>
        <v>647.42119734672667</v>
      </c>
      <c r="CH101" s="856"/>
      <c r="CI101" s="856"/>
      <c r="CJ101" s="856"/>
      <c r="CK101" s="856"/>
      <c r="CL101" s="856">
        <f>EWC!AR235+EWC!AR367</f>
        <v>483.79812127063133</v>
      </c>
      <c r="CM101" s="856"/>
      <c r="CN101" s="856"/>
      <c r="CO101" s="856"/>
      <c r="CP101" s="856"/>
      <c r="CQ101" s="856">
        <f>EWC!AW235+EWC!AW367</f>
        <v>607.6909827957611</v>
      </c>
      <c r="CR101" s="856"/>
      <c r="CS101" s="856"/>
      <c r="CT101" s="856"/>
      <c r="CU101" s="856"/>
      <c r="CV101" s="856">
        <f>EWC!BB235+EWC!BB367</f>
        <v>761.91464834479029</v>
      </c>
      <c r="CW101" s="856"/>
      <c r="CX101" s="856"/>
      <c r="CY101" s="856"/>
      <c r="CZ101" s="856"/>
      <c r="DA101" s="856">
        <f>EWC!BG235+EWC!BG367</f>
        <v>748.41501201023107</v>
      </c>
      <c r="DB101" s="856"/>
      <c r="DC101" s="856"/>
      <c r="DD101" s="856"/>
      <c r="DE101" s="856"/>
      <c r="DF101" s="856">
        <f>EWC!BL235+EWC!BL367</f>
        <v>549.65921332331857</v>
      </c>
      <c r="DG101" s="856"/>
      <c r="DH101" s="856"/>
      <c r="DI101" s="856"/>
      <c r="DJ101" s="856"/>
      <c r="DK101" s="856">
        <f>EWC!BQ235+EWC!BQ367</f>
        <v>123.83932943148811</v>
      </c>
      <c r="DM101" s="1442">
        <v>0.7</v>
      </c>
      <c r="DN101" s="764" t="s">
        <v>869</v>
      </c>
    </row>
    <row r="102" spans="2:119">
      <c r="BU102" s="773" t="s">
        <v>135</v>
      </c>
      <c r="BW102" s="856">
        <f>$DM$98*EWC!AC231/1000</f>
        <v>354.87653519999998</v>
      </c>
      <c r="CB102" s="856">
        <f>$DM$98*EWC!AH231/1000</f>
        <v>354.87653519999998</v>
      </c>
      <c r="CC102" s="856"/>
      <c r="CD102" s="856"/>
      <c r="CE102" s="856"/>
      <c r="CF102" s="856"/>
      <c r="CG102" s="856">
        <f>$DM$98*EWC!AM231/1000</f>
        <v>354.87653519999998</v>
      </c>
      <c r="CH102" s="856"/>
      <c r="CI102" s="856"/>
      <c r="CJ102" s="856"/>
      <c r="CK102" s="856"/>
      <c r="CL102" s="856">
        <f>$DM$98*EWC!AR231/1000</f>
        <v>370.82604240000006</v>
      </c>
      <c r="CM102" s="856"/>
      <c r="CN102" s="856"/>
      <c r="CO102" s="856"/>
      <c r="CP102" s="856"/>
      <c r="CQ102" s="856">
        <f>$DM$98*EWC!AW231/1000</f>
        <v>354.87653519999998</v>
      </c>
      <c r="CR102" s="856"/>
      <c r="CS102" s="856"/>
      <c r="CT102" s="856"/>
      <c r="CU102" s="856"/>
      <c r="CV102" s="856">
        <f>$DM$98*EWC!BB231/1000</f>
        <v>354.87653519999998</v>
      </c>
      <c r="CW102" s="856"/>
      <c r="CX102" s="856"/>
      <c r="CY102" s="856"/>
      <c r="CZ102" s="856"/>
      <c r="DA102" s="856">
        <f>$DM$98*EWC!BG231/1000</f>
        <v>338.92702799999995</v>
      </c>
      <c r="DB102" s="856"/>
      <c r="DC102" s="856"/>
      <c r="DD102" s="856"/>
      <c r="DE102" s="856"/>
      <c r="DF102" s="856">
        <f>$DM$98*EWC!BL231/1000</f>
        <v>225.95135199999999</v>
      </c>
      <c r="DG102" s="856"/>
      <c r="DH102" s="856"/>
      <c r="DI102" s="856"/>
      <c r="DJ102" s="856"/>
      <c r="DK102" s="856">
        <f>$DM$98*EWC!BQ231/1000</f>
        <v>70.609797499999985</v>
      </c>
      <c r="DL102" s="801"/>
      <c r="DN102" s="764"/>
    </row>
    <row r="103" spans="2:119">
      <c r="BU103" s="773" t="s">
        <v>317</v>
      </c>
      <c r="BW103" s="856">
        <f>BW101-BW102</f>
        <v>388.690355479115</v>
      </c>
      <c r="CB103" s="856">
        <f>CB101-CB102</f>
        <v>668.18367037506755</v>
      </c>
      <c r="CG103" s="856">
        <f>CG101-CG102</f>
        <v>292.54466214672669</v>
      </c>
      <c r="CL103" s="856">
        <f>CL101-CL102</f>
        <v>112.97207887063126</v>
      </c>
      <c r="CQ103" s="856">
        <f>CQ101-CQ102</f>
        <v>252.81444759576112</v>
      </c>
      <c r="CV103" s="856">
        <f>CV101-CV102</f>
        <v>407.03811314479032</v>
      </c>
      <c r="DA103" s="856">
        <f>DA101-DA102</f>
        <v>409.48798401023112</v>
      </c>
      <c r="DF103" s="856">
        <f>DF101-DF102</f>
        <v>323.70786132331858</v>
      </c>
      <c r="DK103" s="856">
        <f>DK101-DK102</f>
        <v>53.229531931488125</v>
      </c>
      <c r="DL103" s="837"/>
      <c r="DM103" s="801"/>
      <c r="DN103" s="764"/>
    </row>
    <row r="104" spans="2:119">
      <c r="BU104" s="773" t="s">
        <v>349</v>
      </c>
      <c r="BW104" s="852">
        <f>EWC!AC17*$DM100</f>
        <v>151.1097</v>
      </c>
      <c r="CB104" s="852">
        <f>EWC!AH17*$DM100</f>
        <v>193.14679999999998</v>
      </c>
      <c r="CG104" s="852">
        <f>EWC!AM17*$DM100</f>
        <v>167.32239999999999</v>
      </c>
      <c r="CL104" s="852">
        <f>EWC!AR17*$DM100</f>
        <v>139.8964</v>
      </c>
      <c r="CQ104" s="852">
        <f>EWC!AW17*$DM100</f>
        <v>135.18469999999999</v>
      </c>
      <c r="CV104" s="852">
        <f>EWC!BB17*$DM100</f>
        <v>112</v>
      </c>
      <c r="DA104" s="852">
        <f>EWC!BG17*$DM100</f>
        <v>112</v>
      </c>
      <c r="DF104" s="852">
        <f>EWC!BL17*$DM100</f>
        <v>84</v>
      </c>
      <c r="DK104" s="852">
        <f>EWC!BQ17*$DM100</f>
        <v>56</v>
      </c>
      <c r="DL104" s="842"/>
      <c r="DM104" s="837"/>
      <c r="DN104" s="764"/>
    </row>
    <row r="105" spans="2:119">
      <c r="BU105" s="773" t="s">
        <v>867</v>
      </c>
      <c r="BW105" s="852">
        <f>EWC!AC16*$DM$101</f>
        <v>90.314000000000007</v>
      </c>
      <c r="CB105" s="852">
        <f>EWC!AH16*$DM$101</f>
        <v>91.510300000000001</v>
      </c>
      <c r="CG105" s="852">
        <f>EWC!AM16*$DM$101</f>
        <v>77.373099999999994</v>
      </c>
      <c r="CL105" s="852">
        <f>EWC!AR16*$DM$101</f>
        <v>65.991799999999998</v>
      </c>
      <c r="CQ105" s="852">
        <f>EWC!AW16*$DM$101</f>
        <v>55.731900000000003</v>
      </c>
      <c r="CV105" s="852">
        <f>EWC!BB16*$DM$101</f>
        <v>87.5</v>
      </c>
      <c r="DA105" s="852">
        <f>EWC!BG16*$DM$101</f>
        <v>70</v>
      </c>
      <c r="DF105" s="852">
        <f>EWC!BL16*$DM$101</f>
        <v>52.5</v>
      </c>
      <c r="DK105" s="852">
        <f>EWC!BQ16*$DM$101</f>
        <v>28</v>
      </c>
      <c r="DM105" s="1440">
        <v>0.57999999999999996</v>
      </c>
      <c r="DN105" s="764" t="s">
        <v>870</v>
      </c>
    </row>
    <row r="106" spans="2:119">
      <c r="BU106" s="773" t="s">
        <v>336</v>
      </c>
      <c r="BW106" s="837">
        <f>(BW101-BW102-BW104-BW105)*$DT$46</f>
        <v>58.906662191646006</v>
      </c>
      <c r="CB106" s="837">
        <f>(CB101-CB102-CB104)*$DT$46</f>
        <v>190.01474815002703</v>
      </c>
      <c r="CC106" s="837"/>
      <c r="CD106" s="837"/>
      <c r="CE106" s="837"/>
      <c r="CF106" s="837"/>
      <c r="CG106" s="837">
        <f>(CG101-CG102-CG104)*$DT$46</f>
        <v>50.088904858690682</v>
      </c>
      <c r="CH106" s="837"/>
      <c r="CI106" s="837"/>
      <c r="CJ106" s="837"/>
      <c r="CK106" s="837"/>
      <c r="CL106" s="837">
        <f>(CL101-CL102-CL104)*$DT$46</f>
        <v>-10.769728451747495</v>
      </c>
      <c r="CM106" s="837"/>
      <c r="CN106" s="837"/>
      <c r="CO106" s="837"/>
      <c r="CP106" s="837"/>
      <c r="CQ106" s="837">
        <f>(CQ101-CQ102-CQ104)*$DT$46</f>
        <v>47.051899038304455</v>
      </c>
      <c r="CR106" s="837"/>
      <c r="CS106" s="837"/>
      <c r="CT106" s="837"/>
      <c r="CU106" s="837"/>
      <c r="CV106" s="837">
        <f>(CV101-CV102-CV104)*$DT$46</f>
        <v>118.01524525791613</v>
      </c>
      <c r="CW106" s="837"/>
      <c r="CX106" s="837"/>
      <c r="CY106" s="837"/>
      <c r="CZ106" s="837"/>
      <c r="DA106" s="837">
        <f>(DA101-DA102-DA104)*$DT$46</f>
        <v>118.99519360409245</v>
      </c>
      <c r="DB106" s="837"/>
      <c r="DC106" s="837"/>
      <c r="DD106" s="837"/>
      <c r="DE106" s="837"/>
      <c r="DF106" s="837">
        <f>(DF101-DF102-DF104)*$DT$46</f>
        <v>95.883144529327438</v>
      </c>
      <c r="DG106" s="837"/>
      <c r="DH106" s="837"/>
      <c r="DI106" s="837"/>
      <c r="DJ106" s="837"/>
      <c r="DK106" s="837">
        <f>(DK101-DK102-DK104)*$DT$46</f>
        <v>-1.10818722740475</v>
      </c>
      <c r="DL106" s="842"/>
      <c r="DM106" s="842"/>
    </row>
    <row r="107" spans="2:119">
      <c r="BU107" s="765" t="s">
        <v>491</v>
      </c>
      <c r="BW107" s="842">
        <f>BW103-BW105-BW106</f>
        <v>239.46969328746897</v>
      </c>
      <c r="CB107" s="842">
        <f>CB103-CB105-CB106</f>
        <v>386.65862222504052</v>
      </c>
      <c r="CG107" s="842">
        <f>CG103-CG105-CG106</f>
        <v>165.08265728803602</v>
      </c>
      <c r="CL107" s="842">
        <f>CL103-CL105-CL106</f>
        <v>57.750007322378764</v>
      </c>
      <c r="CQ107" s="842">
        <f>CQ103-CQ105-CQ106</f>
        <v>150.03064855745669</v>
      </c>
      <c r="CV107" s="842">
        <f>CV103-CV105-CV106</f>
        <v>201.52286788687417</v>
      </c>
      <c r="DA107" s="842">
        <f>DA103-DA105-DA106</f>
        <v>220.49279040613868</v>
      </c>
      <c r="DF107" s="842">
        <f>DF103-DF105-DF106</f>
        <v>175.32471679399114</v>
      </c>
      <c r="DK107" s="842">
        <f>DK103-DK105-DK106</f>
        <v>26.337719158892874</v>
      </c>
      <c r="DM107" s="1228"/>
    </row>
    <row r="108" spans="2:119">
      <c r="B108" s="764"/>
      <c r="C108" s="764"/>
      <c r="D108" s="764"/>
      <c r="E108" s="764"/>
      <c r="F108" s="764"/>
      <c r="G108" s="764"/>
      <c r="H108" s="764"/>
      <c r="I108" s="764"/>
      <c r="J108" s="764"/>
      <c r="K108" s="764"/>
      <c r="L108" s="764"/>
      <c r="M108" s="764"/>
      <c r="N108" s="764"/>
      <c r="O108" s="764"/>
      <c r="P108" s="764"/>
      <c r="Q108" s="764"/>
      <c r="R108" s="764"/>
      <c r="S108" s="764"/>
      <c r="T108" s="764"/>
      <c r="U108" s="764"/>
      <c r="V108" s="764"/>
      <c r="W108" s="764"/>
      <c r="X108" s="764"/>
      <c r="Y108" s="764"/>
      <c r="Z108" s="764"/>
      <c r="AA108" s="764"/>
      <c r="AB108" s="764"/>
      <c r="AC108" s="764"/>
      <c r="AD108" s="764"/>
      <c r="AE108" s="764"/>
      <c r="AF108" s="764"/>
      <c r="AG108" s="764"/>
      <c r="AH108" s="764"/>
      <c r="AI108" s="764"/>
      <c r="AJ108" s="764"/>
      <c r="AK108" s="764"/>
      <c r="AL108" s="764"/>
      <c r="AM108" s="764"/>
      <c r="AN108" s="764"/>
      <c r="AO108" s="764"/>
      <c r="AP108" s="764"/>
      <c r="AQ108" s="764"/>
      <c r="AR108" s="764"/>
      <c r="AS108" s="764"/>
      <c r="AT108" s="764"/>
      <c r="AU108" s="764"/>
      <c r="AV108" s="764"/>
      <c r="AW108" s="764"/>
      <c r="AX108" s="764"/>
      <c r="AY108" s="764"/>
      <c r="AZ108" s="764"/>
      <c r="BA108" s="764"/>
      <c r="BB108" s="764"/>
      <c r="BC108" s="764"/>
      <c r="BD108" s="764"/>
      <c r="BE108" s="764"/>
      <c r="BF108" s="764"/>
      <c r="BG108" s="764"/>
      <c r="BH108" s="764"/>
      <c r="BI108" s="764"/>
      <c r="BJ108" s="764"/>
      <c r="BK108" s="764"/>
      <c r="BL108" s="764"/>
      <c r="BM108" s="764"/>
      <c r="BN108" s="764"/>
      <c r="BO108" s="764"/>
      <c r="BP108" s="764"/>
      <c r="BQ108" s="764"/>
      <c r="BU108" s="773"/>
      <c r="CB108" s="856"/>
      <c r="CG108" s="856"/>
      <c r="CL108" s="856"/>
    </row>
    <row r="109" spans="2:119">
      <c r="B109" s="764"/>
      <c r="C109" s="764"/>
      <c r="D109" s="764"/>
      <c r="E109" s="764"/>
      <c r="F109" s="764"/>
      <c r="G109" s="764"/>
      <c r="H109" s="764"/>
      <c r="I109" s="764"/>
      <c r="J109" s="764"/>
      <c r="K109" s="764"/>
      <c r="L109" s="764"/>
      <c r="M109" s="764"/>
      <c r="N109" s="764"/>
      <c r="O109" s="764"/>
      <c r="P109" s="764"/>
      <c r="Q109" s="764"/>
      <c r="R109" s="764"/>
      <c r="S109" s="764"/>
      <c r="T109" s="764"/>
      <c r="U109" s="764"/>
      <c r="V109" s="764"/>
      <c r="W109" s="764"/>
      <c r="X109" s="764"/>
      <c r="Y109" s="764"/>
      <c r="Z109" s="764"/>
      <c r="AA109" s="764"/>
      <c r="AB109" s="764"/>
      <c r="AC109" s="764"/>
      <c r="AD109" s="764"/>
      <c r="AE109" s="764"/>
      <c r="AF109" s="764"/>
      <c r="AG109" s="764"/>
      <c r="AH109" s="764"/>
      <c r="AI109" s="764"/>
      <c r="AJ109" s="764"/>
      <c r="AK109" s="764"/>
      <c r="AL109" s="764"/>
      <c r="AM109" s="764"/>
      <c r="AN109" s="764"/>
      <c r="AO109" s="764"/>
      <c r="AP109" s="764"/>
      <c r="AQ109" s="764"/>
      <c r="AR109" s="764"/>
      <c r="AS109" s="764"/>
      <c r="AT109" s="764"/>
      <c r="AU109" s="764"/>
      <c r="AV109" s="764"/>
      <c r="AW109" s="764"/>
      <c r="AX109" s="764"/>
      <c r="AY109" s="764"/>
      <c r="AZ109" s="764"/>
      <c r="BA109" s="764"/>
      <c r="BB109" s="764"/>
      <c r="BC109" s="764"/>
      <c r="BD109" s="764"/>
      <c r="BE109" s="764"/>
      <c r="BF109" s="764"/>
      <c r="BG109" s="764"/>
      <c r="BH109" s="764"/>
      <c r="BI109" s="764"/>
      <c r="BJ109" s="764"/>
      <c r="BK109" s="764"/>
      <c r="BL109" s="764"/>
      <c r="BM109" s="764"/>
      <c r="BN109" s="764"/>
      <c r="BO109" s="764"/>
      <c r="BP109" s="764"/>
      <c r="BQ109" s="764"/>
      <c r="BU109" s="1127" t="s">
        <v>176</v>
      </c>
      <c r="BW109" s="852">
        <f>EWC!AC429*Valuation!$DM$105</f>
        <v>62.64</v>
      </c>
      <c r="CB109" s="852">
        <f>EWC!AH429*Valuation!$DM$105</f>
        <v>75.97999999999999</v>
      </c>
      <c r="CG109" s="852">
        <f>EWC!AM429*Valuation!$DM$105</f>
        <v>92.674212610417285</v>
      </c>
      <c r="CL109" s="852">
        <f>EWC!AR429*Valuation!$DM$105</f>
        <v>65.00452025586354</v>
      </c>
      <c r="CQ109" s="852">
        <f>EWC!AW429*Valuation!$DM$105</f>
        <v>54.937289064879685</v>
      </c>
      <c r="CV109" s="852">
        <f>EWC!BB429*Valuation!$DM$105</f>
        <v>142.1</v>
      </c>
      <c r="DA109" s="852">
        <f>EWC!BG429*Valuation!$DM$105</f>
        <v>43.5</v>
      </c>
      <c r="DF109" s="852">
        <f>EWC!BL429*Valuation!$DM$105</f>
        <v>20.299999999999997</v>
      </c>
      <c r="DK109" s="852">
        <f>EWC!BQ429*Valuation!$DM$105</f>
        <v>14.499999999999998</v>
      </c>
    </row>
    <row r="110" spans="2:119">
      <c r="BU110" s="1127" t="s">
        <v>100</v>
      </c>
      <c r="BW110" s="837">
        <f>CB110</f>
        <v>78.462710935120299</v>
      </c>
      <c r="CB110" s="837">
        <f>CG110</f>
        <v>78.462710935120299</v>
      </c>
      <c r="CG110" s="837">
        <f>CL110</f>
        <v>78.462710935120299</v>
      </c>
      <c r="CL110" s="837">
        <f>CQ110</f>
        <v>78.462710935120299</v>
      </c>
      <c r="CQ110" s="837">
        <f>CQ59*$DM$105</f>
        <v>78.462710935120299</v>
      </c>
      <c r="CR110" s="801"/>
      <c r="CS110" s="801"/>
      <c r="CT110" s="801"/>
      <c r="CU110" s="801"/>
      <c r="CV110" s="837">
        <f>CV59*$DM$105</f>
        <v>-5.8</v>
      </c>
      <c r="CW110" s="801"/>
      <c r="CX110" s="801"/>
      <c r="CY110" s="801"/>
      <c r="CZ110" s="801"/>
      <c r="DA110" s="837">
        <f>DA59*$DM$105</f>
        <v>0</v>
      </c>
      <c r="DB110" s="801"/>
      <c r="DC110" s="801"/>
      <c r="DD110" s="801"/>
      <c r="DE110" s="801"/>
      <c r="DF110" s="837">
        <f>DF59*$DM$105</f>
        <v>0</v>
      </c>
      <c r="DG110" s="801"/>
      <c r="DH110" s="801"/>
      <c r="DI110" s="801"/>
      <c r="DJ110" s="801"/>
      <c r="DK110" s="837">
        <f>DK59*$DM$105</f>
        <v>0</v>
      </c>
      <c r="DL110" s="847"/>
      <c r="DM110" s="847"/>
      <c r="DN110" s="837"/>
    </row>
    <row r="111" spans="2:119">
      <c r="BU111" s="1128" t="s">
        <v>177</v>
      </c>
      <c r="BW111" s="842">
        <f>SUM(BW109:BW110)</f>
        <v>141.10271093512029</v>
      </c>
      <c r="CB111" s="842">
        <f>SUM(CB109:CB110)</f>
        <v>154.44271093512029</v>
      </c>
      <c r="CG111" s="842">
        <f>SUM(CG109:CG110)</f>
        <v>171.13692354553757</v>
      </c>
      <c r="CL111" s="842">
        <f>SUM(CL109:CL110)</f>
        <v>143.46723119098385</v>
      </c>
      <c r="CQ111" s="842">
        <f>SUM(CQ109:CQ110)</f>
        <v>133.39999999999998</v>
      </c>
      <c r="CV111" s="842">
        <f>SUM(CV109:CV110)</f>
        <v>136.29999999999998</v>
      </c>
      <c r="DA111" s="842">
        <f>SUM(DA109:DA110)</f>
        <v>43.5</v>
      </c>
      <c r="DF111" s="842">
        <f>SUM(DF109:DF110)</f>
        <v>20.299999999999997</v>
      </c>
      <c r="DK111" s="842">
        <f>SUM(DK109:DK110)</f>
        <v>14.499999999999998</v>
      </c>
      <c r="DL111" s="770"/>
      <c r="DM111" s="770"/>
    </row>
    <row r="113" spans="73:115">
      <c r="BU113" s="765" t="s">
        <v>261</v>
      </c>
      <c r="BV113" s="765"/>
      <c r="BW113" s="842">
        <f>BW107-BW111</f>
        <v>98.366982352348685</v>
      </c>
      <c r="BX113" s="765"/>
      <c r="BY113" s="765"/>
      <c r="BZ113" s="765"/>
      <c r="CA113" s="765"/>
      <c r="CB113" s="842">
        <f>CB107-CB111</f>
        <v>232.21591128992023</v>
      </c>
      <c r="CC113" s="765"/>
      <c r="CD113" s="765"/>
      <c r="CE113" s="765"/>
      <c r="CF113" s="765"/>
      <c r="CG113" s="842">
        <f>CG107-CG111</f>
        <v>-6.0542662575015527</v>
      </c>
      <c r="CH113" s="765"/>
      <c r="CI113" s="765"/>
      <c r="CJ113" s="765"/>
      <c r="CK113" s="765"/>
      <c r="CL113" s="842">
        <f>CL107-CL111</f>
        <v>-85.717223868605089</v>
      </c>
      <c r="CM113" s="765"/>
      <c r="CN113" s="765"/>
      <c r="CO113" s="765"/>
      <c r="CP113" s="765"/>
      <c r="CQ113" s="842">
        <f>CQ107-CQ111</f>
        <v>16.630648557456709</v>
      </c>
      <c r="CR113" s="765"/>
      <c r="CS113" s="765"/>
      <c r="CT113" s="765"/>
      <c r="CU113" s="765"/>
      <c r="CV113" s="842">
        <f>CV107-CV111</f>
        <v>65.222867886874184</v>
      </c>
      <c r="CW113" s="765"/>
      <c r="CX113" s="765"/>
      <c r="CY113" s="765"/>
      <c r="CZ113" s="765"/>
      <c r="DA113" s="842">
        <f>DA107-DA111</f>
        <v>176.99279040613868</v>
      </c>
      <c r="DB113" s="765"/>
      <c r="DC113" s="765"/>
      <c r="DD113" s="765"/>
      <c r="DE113" s="765"/>
      <c r="DF113" s="842">
        <f>DF107-DF111</f>
        <v>155.02471679399116</v>
      </c>
      <c r="DG113" s="765"/>
      <c r="DH113" s="765"/>
      <c r="DI113" s="765"/>
      <c r="DJ113" s="765"/>
      <c r="DK113" s="842">
        <f>DK107-DK111</f>
        <v>11.837719158892876</v>
      </c>
    </row>
    <row r="114" spans="73:115">
      <c r="BU114" s="765" t="s">
        <v>342</v>
      </c>
      <c r="CB114" s="842"/>
      <c r="CV114" s="1228"/>
      <c r="DA114" s="1228"/>
      <c r="DF114" s="1228"/>
      <c r="DK114" s="1228">
        <f>IF($EA$39=2,DK103*$DT$55,(DK113)/($DT$47-$EA$40))</f>
        <v>30.088056511050681</v>
      </c>
    </row>
    <row r="115" spans="73:115">
      <c r="BU115" s="765"/>
    </row>
    <row r="116" spans="73:115">
      <c r="BU116" s="736" t="s">
        <v>728</v>
      </c>
      <c r="BW116" s="847">
        <f ca="1">(1/(1+$DT$47))^((BW99-$BU$49)/365)</f>
        <v>1.4466716813526206</v>
      </c>
      <c r="BX116" s="847"/>
      <c r="BY116" s="847"/>
      <c r="BZ116" s="847"/>
      <c r="CA116" s="847"/>
      <c r="CB116" s="847">
        <f ca="1">(1/(1+$DT$47))^((CB99-$BU$49)/365)</f>
        <v>1.3272217260115784</v>
      </c>
      <c r="CC116" s="847"/>
      <c r="CD116" s="847"/>
      <c r="CE116" s="847"/>
      <c r="CF116" s="847"/>
      <c r="CG116" s="847">
        <f ca="1">(1/(1+$DT$47))^((CG99-$BU$49)/365)</f>
        <v>1.2176346110197969</v>
      </c>
      <c r="CH116" s="847"/>
      <c r="CI116" s="847"/>
      <c r="CJ116" s="847"/>
      <c r="CK116" s="847"/>
      <c r="CL116" s="847">
        <f ca="1">(1/(1+$DT$47))^((CL99-$BU$49)/365)</f>
        <v>1.1168322545258667</v>
      </c>
      <c r="CM116" s="837"/>
      <c r="CN116" s="837"/>
      <c r="CO116" s="837"/>
      <c r="CP116" s="837"/>
      <c r="CQ116" s="847">
        <f ca="1">(1/(1+$DT$47))^((CQ99-$BU$49)/365)</f>
        <v>1.0246167472714374</v>
      </c>
      <c r="CR116" s="837"/>
      <c r="CS116" s="837"/>
      <c r="CT116" s="837"/>
      <c r="CU116" s="837"/>
      <c r="CV116" s="847">
        <f ca="1">(1/(1+$DT$47))^((CV99-$BU$49)/365)</f>
        <v>0.94001536446920841</v>
      </c>
      <c r="CW116" s="837"/>
      <c r="CX116" s="837"/>
      <c r="CY116" s="837"/>
      <c r="CZ116" s="837"/>
      <c r="DA116" s="847">
        <f ca="1">(1/(1+$DT$47))^((DA99-$BU$49)/365)</f>
        <v>0.86239941694422784</v>
      </c>
      <c r="DB116" s="837"/>
      <c r="DC116" s="837"/>
      <c r="DD116" s="837"/>
      <c r="DE116" s="837"/>
      <c r="DF116" s="847">
        <f ca="1">(1/(1+$DT$47))^((DF99-$BU$49)/365)</f>
        <v>0.79100534463368299</v>
      </c>
      <c r="DG116" s="837"/>
      <c r="DH116" s="837"/>
      <c r="DI116" s="837"/>
      <c r="DJ116" s="837"/>
      <c r="DK116" s="847">
        <f ca="1">(1/(1+$DT$47))^((DK99-$BU$49)/365)</f>
        <v>0.79100534463368299</v>
      </c>
    </row>
    <row r="117" spans="73:115">
      <c r="BU117" s="736" t="s">
        <v>341</v>
      </c>
      <c r="BW117" s="770">
        <f ca="1">BW113*BW116</f>
        <v>142.30472774925582</v>
      </c>
      <c r="CB117" s="770">
        <f ca="1">CB113*CB116</f>
        <v>308.20200258955953</v>
      </c>
      <c r="CG117" s="770">
        <f ca="1">CG113*CG116</f>
        <v>-7.3718841394631847</v>
      </c>
      <c r="CL117" s="770">
        <f ca="1">CL113*CL116</f>
        <v>-95.731760384872658</v>
      </c>
      <c r="CQ117" s="770">
        <f ca="1">CQ113*CQ116</f>
        <v>17.040041029955717</v>
      </c>
      <c r="CV117" s="770">
        <f ca="1">CV113*CV116</f>
        <v>61.310497928407067</v>
      </c>
      <c r="DA117" s="770">
        <f ca="1">DA113*DA116</f>
        <v>152.63847924958591</v>
      </c>
      <c r="DF117" s="770">
        <f ca="1">DF113*DF116</f>
        <v>122.62537953437008</v>
      </c>
      <c r="DK117" s="770">
        <f ca="1">DK113*DK116</f>
        <v>9.3636991229568114</v>
      </c>
    </row>
    <row r="118" spans="73:115">
      <c r="CV118" s="843"/>
      <c r="DA118" s="770"/>
      <c r="DF118" s="770"/>
      <c r="DK118" s="770">
        <f ca="1">DK114*DK116</f>
        <v>23.799813509881375</v>
      </c>
    </row>
    <row r="119" spans="73:115">
      <c r="BU119" s="765" t="s">
        <v>499</v>
      </c>
      <c r="BW119" s="801">
        <f ca="1">SUM(CV117:DK117)+DK118</f>
        <v>369.73786934520126</v>
      </c>
    </row>
    <row r="120" spans="73:115">
      <c r="BU120" s="773"/>
    </row>
    <row r="121" spans="73:115">
      <c r="BU121" s="765" t="s">
        <v>78</v>
      </c>
      <c r="BW121" s="801">
        <f ca="1">BW119</f>
        <v>369.73786934520126</v>
      </c>
    </row>
    <row r="122" spans="73:115">
      <c r="BU122" s="773" t="s">
        <v>178</v>
      </c>
      <c r="BW122" s="852">
        <v>0</v>
      </c>
      <c r="CV122" s="825"/>
      <c r="DA122" s="825"/>
      <c r="DF122" s="825"/>
      <c r="DK122" s="825"/>
    </row>
    <row r="123" spans="73:115">
      <c r="BU123" s="765" t="s">
        <v>500</v>
      </c>
      <c r="BW123" s="801">
        <f ca="1">BW121-BW122</f>
        <v>369.73786934520126</v>
      </c>
    </row>
    <row r="125" spans="73:115">
      <c r="BU125" s="765" t="s">
        <v>501</v>
      </c>
      <c r="BW125" s="780">
        <f ca="1">MAX(BW123/ETR!AM47,0)</f>
        <v>2.0635416279210483</v>
      </c>
    </row>
    <row r="127" spans="73:115">
      <c r="BU127" s="773" t="s">
        <v>974</v>
      </c>
      <c r="BW127" s="1720">
        <f ca="1">DK118+DK117</f>
        <v>33.163512632838184</v>
      </c>
    </row>
    <row r="128" spans="73:115">
      <c r="BU128" s="765" t="s">
        <v>976</v>
      </c>
      <c r="BW128" s="780">
        <f ca="1">MAX(BW127/ETR!AM47,0)</f>
        <v>0.18508866556499332</v>
      </c>
    </row>
    <row r="200" spans="72:114" customFormat="1"/>
    <row r="205" spans="72:114"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</row>
    <row r="206" spans="72:114"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 s="864"/>
      <c r="CX206" s="864"/>
      <c r="CY206" s="864"/>
      <c r="CZ206" s="864"/>
      <c r="DB206" s="864"/>
      <c r="DC206" s="864"/>
      <c r="DD206" s="864"/>
      <c r="DE206" s="864"/>
      <c r="DG206" s="864"/>
      <c r="DH206" s="864"/>
      <c r="DI206" s="864"/>
      <c r="DJ206" s="864"/>
    </row>
    <row r="207" spans="72:114"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</row>
  </sheetData>
  <phoneticPr fontId="2" type="noConversion"/>
  <pageMargins left="0.1" right="0.03" top="0.08" bottom="7.0000000000000007E-2" header="0" footer="0"/>
  <pageSetup scale="48" orientation="portrait" r:id="rId1"/>
  <headerFooter alignWithMargins="0"/>
  <colBreaks count="1" manualBreakCount="1">
    <brk id="99" max="1048575" man="1"/>
  </colBreaks>
  <cellWatches>
    <cellWatch r="CG23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EB66"/>
  <sheetViews>
    <sheetView zoomScale="85" zoomScaleNormal="85" workbookViewId="0">
      <pane ySplit="5" topLeftCell="A6" activePane="bottomLeft" state="frozen"/>
      <selection activeCell="CG20" sqref="CG20"/>
      <selection pane="bottomLeft" activeCell="A6" sqref="A6"/>
    </sheetView>
  </sheetViews>
  <sheetFormatPr defaultRowHeight="12.75" outlineLevelCol="1"/>
  <cols>
    <col min="1" max="2" width="2.5703125" style="736" customWidth="1"/>
    <col min="3" max="3" width="40.7109375" style="736" customWidth="1"/>
    <col min="4" max="4" width="2.7109375" style="736" customWidth="1"/>
    <col min="5" max="13" width="1.7109375" style="736" hidden="1" customWidth="1" outlineLevel="1"/>
    <col min="14" max="14" width="8.28515625" style="736" hidden="1" customWidth="1" outlineLevel="1"/>
    <col min="15" max="18" width="1.7109375" style="736" hidden="1" customWidth="1" outlineLevel="1"/>
    <col min="19" max="19" width="0" style="736" hidden="1" customWidth="1" collapsed="1"/>
    <col min="20" max="22" width="1.7109375" style="736" hidden="1" customWidth="1" outlineLevel="1"/>
    <col min="23" max="23" width="7.5703125" style="736" hidden="1" customWidth="1" outlineLevel="1"/>
    <col min="24" max="24" width="8.28515625" style="736" hidden="1" customWidth="1" collapsed="1"/>
    <col min="25" max="28" width="1.7109375" style="736" hidden="1" customWidth="1" outlineLevel="1"/>
    <col min="29" max="29" width="8.28515625" style="736" hidden="1" customWidth="1" collapsed="1"/>
    <col min="30" max="33" width="1.7109375" style="736" hidden="1" customWidth="1" outlineLevel="1"/>
    <col min="34" max="34" width="8.28515625" style="736" customWidth="1" collapsed="1"/>
    <col min="35" max="38" width="1.7109375" style="736" hidden="1" customWidth="1" outlineLevel="1"/>
    <col min="39" max="39" width="8.28515625" style="736" customWidth="1" collapsed="1"/>
    <col min="40" max="43" width="1.7109375" style="736" hidden="1" customWidth="1" outlineLevel="1"/>
    <col min="44" max="44" width="8.28515625" style="736" customWidth="1" collapsed="1"/>
    <col min="45" max="48" width="1.7109375" style="736" hidden="1" customWidth="1" outlineLevel="1"/>
    <col min="49" max="49" width="8.28515625" style="736" customWidth="1" collapsed="1"/>
    <col min="50" max="53" width="1.7109375" style="736" hidden="1" customWidth="1" outlineLevel="1"/>
    <col min="54" max="54" width="8.28515625" style="736" customWidth="1" collapsed="1"/>
    <col min="55" max="58" width="1.7109375" style="736" hidden="1" customWidth="1" outlineLevel="1"/>
    <col min="59" max="59" width="8.28515625" style="736" customWidth="1" collapsed="1"/>
    <col min="60" max="63" width="1.7109375" style="736" hidden="1" customWidth="1" outlineLevel="1"/>
    <col min="64" max="64" width="8.28515625" style="736" customWidth="1" collapsed="1"/>
    <col min="65" max="68" width="1.7109375" style="736" hidden="1" customWidth="1" outlineLevel="1"/>
    <col min="69" max="69" width="8.28515625" style="736" customWidth="1" collapsed="1"/>
    <col min="70" max="70" width="2.7109375" style="736" customWidth="1"/>
    <col min="71" max="71" width="40.7109375" style="736" customWidth="1"/>
    <col min="72" max="72" width="2.7109375" style="736" customWidth="1"/>
    <col min="73" max="76" width="1.7109375" style="736" hidden="1" customWidth="1" outlineLevel="1"/>
    <col min="77" max="77" width="8.28515625" style="736" hidden="1" customWidth="1" outlineLevel="1"/>
    <col min="78" max="81" width="1.7109375" style="736" hidden="1" customWidth="1" outlineLevel="1"/>
    <col min="82" max="82" width="8.28515625" style="736" hidden="1" customWidth="1" collapsed="1"/>
    <col min="83" max="86" width="1.7109375" style="736" hidden="1" customWidth="1" outlineLevel="1"/>
    <col min="87" max="87" width="8.28515625" style="736" hidden="1" customWidth="1" collapsed="1"/>
    <col min="88" max="91" width="1.7109375" style="736" hidden="1" customWidth="1" outlineLevel="1"/>
    <col min="92" max="92" width="8.28515625" style="736" hidden="1" customWidth="1" collapsed="1"/>
    <col min="93" max="96" width="1.7109375" style="736" hidden="1" customWidth="1" outlineLevel="1"/>
    <col min="97" max="97" width="8.28515625" style="736" customWidth="1" collapsed="1"/>
    <col min="98" max="101" width="1.7109375" style="736" hidden="1" customWidth="1" outlineLevel="1"/>
    <col min="102" max="102" width="8.28515625" style="736" customWidth="1" collapsed="1"/>
    <col min="103" max="106" width="1.7109375" style="736" hidden="1" customWidth="1" outlineLevel="1"/>
    <col min="107" max="107" width="8.28515625" style="736" customWidth="1" collapsed="1"/>
    <col min="108" max="111" width="1.7109375" style="736" hidden="1" customWidth="1" outlineLevel="1"/>
    <col min="112" max="112" width="8.28515625" style="736" customWidth="1" collapsed="1"/>
    <col min="113" max="116" width="1.7109375" style="736" hidden="1" customWidth="1" outlineLevel="1"/>
    <col min="117" max="117" width="8.28515625" style="736" customWidth="1" collapsed="1"/>
    <col min="118" max="121" width="1.7109375" style="736" hidden="1" customWidth="1" outlineLevel="1"/>
    <col min="122" max="122" width="8.28515625" style="736" customWidth="1" collapsed="1"/>
    <col min="123" max="126" width="1.7109375" style="736" hidden="1" customWidth="1" outlineLevel="1"/>
    <col min="127" max="127" width="8.28515625" style="736" customWidth="1" collapsed="1"/>
    <col min="128" max="131" width="1.7109375" style="736" hidden="1" customWidth="1" outlineLevel="1"/>
    <col min="132" max="132" width="8.28515625" style="736" customWidth="1" collapsed="1"/>
    <col min="133" max="16384" width="9.140625" style="736"/>
  </cols>
  <sheetData>
    <row r="1" spans="1:132" ht="15" customHeight="1">
      <c r="A1" s="733"/>
      <c r="B1" s="733"/>
      <c r="C1" s="734"/>
      <c r="D1" s="735"/>
      <c r="E1" s="735"/>
      <c r="F1" s="735"/>
      <c r="G1" s="735"/>
      <c r="H1" s="735"/>
      <c r="I1" s="735"/>
      <c r="J1" s="735"/>
      <c r="K1" s="735"/>
      <c r="L1" s="735"/>
      <c r="M1" s="735"/>
      <c r="N1" s="735"/>
      <c r="O1" s="735"/>
      <c r="P1" s="735"/>
      <c r="Q1" s="735"/>
      <c r="R1" s="735"/>
      <c r="S1" s="735"/>
      <c r="T1" s="735"/>
      <c r="U1" s="735"/>
      <c r="V1" s="735"/>
      <c r="W1" s="735"/>
      <c r="X1" s="735"/>
      <c r="Y1" s="735"/>
      <c r="Z1" s="735"/>
      <c r="AA1" s="735"/>
      <c r="AB1" s="735"/>
      <c r="AC1" s="735"/>
      <c r="AD1" s="735"/>
      <c r="AE1" s="735"/>
      <c r="AF1" s="735"/>
      <c r="AG1" s="735"/>
      <c r="AH1" s="735"/>
      <c r="AI1" s="735"/>
      <c r="AJ1" s="735"/>
      <c r="AK1" s="735"/>
      <c r="AL1" s="735"/>
      <c r="AM1" s="735"/>
      <c r="AN1" s="735"/>
      <c r="AO1" s="735"/>
      <c r="AP1" s="735"/>
      <c r="AQ1" s="735"/>
      <c r="AR1" s="735"/>
      <c r="AS1" s="735"/>
      <c r="AT1" s="735"/>
      <c r="AU1" s="735"/>
      <c r="AV1" s="735"/>
      <c r="AW1" s="735"/>
      <c r="AX1" s="735"/>
      <c r="AY1" s="735"/>
      <c r="AZ1" s="735"/>
      <c r="BA1" s="735"/>
      <c r="BB1" s="735"/>
      <c r="BC1" s="735"/>
      <c r="BD1" s="735"/>
      <c r="BE1" s="735"/>
      <c r="BF1" s="735"/>
      <c r="BG1" s="735"/>
      <c r="BH1" s="735"/>
      <c r="BI1" s="735"/>
      <c r="BJ1" s="735"/>
      <c r="BK1" s="735"/>
      <c r="BL1" s="735"/>
      <c r="BM1" s="735"/>
      <c r="BN1" s="735"/>
      <c r="BO1" s="735"/>
      <c r="BP1" s="735"/>
      <c r="BQ1" s="735"/>
      <c r="BR1" s="735"/>
      <c r="BS1" s="735"/>
      <c r="BT1" s="735"/>
      <c r="BU1" s="735"/>
      <c r="BV1" s="735"/>
      <c r="BW1" s="735"/>
      <c r="BX1" s="735"/>
      <c r="BY1" s="735"/>
      <c r="BZ1" s="735"/>
      <c r="CA1" s="735"/>
      <c r="CB1" s="735"/>
      <c r="CC1" s="735"/>
      <c r="CD1" s="735"/>
      <c r="CE1" s="735"/>
      <c r="CF1" s="735"/>
      <c r="CG1" s="735"/>
      <c r="CH1" s="735"/>
      <c r="CI1" s="735"/>
      <c r="CJ1" s="735"/>
      <c r="CK1" s="735"/>
      <c r="CL1" s="735"/>
      <c r="CM1" s="735"/>
      <c r="CN1" s="735"/>
      <c r="CO1" s="735"/>
      <c r="CP1" s="735"/>
      <c r="CQ1" s="735"/>
      <c r="CR1" s="735"/>
      <c r="CS1" s="735"/>
      <c r="CT1" s="735"/>
      <c r="CU1" s="735"/>
      <c r="CV1" s="735"/>
      <c r="CW1" s="735"/>
      <c r="CX1" s="735"/>
      <c r="CY1" s="735"/>
      <c r="CZ1" s="735"/>
      <c r="DA1" s="735"/>
      <c r="DB1" s="735"/>
      <c r="DC1" s="735"/>
      <c r="DD1" s="735"/>
      <c r="DE1" s="735"/>
      <c r="DF1" s="735"/>
      <c r="DG1" s="735"/>
      <c r="DH1" s="735"/>
      <c r="DI1" s="735"/>
      <c r="DJ1" s="735"/>
      <c r="DK1" s="735"/>
      <c r="DL1" s="735"/>
      <c r="DM1" s="735"/>
      <c r="DN1" s="735"/>
      <c r="DO1" s="735"/>
      <c r="DP1" s="735"/>
      <c r="DQ1" s="735"/>
      <c r="DR1" s="735"/>
      <c r="DS1" s="735"/>
      <c r="DT1" s="735"/>
      <c r="DU1" s="735"/>
      <c r="DV1" s="735"/>
      <c r="DW1" s="735"/>
      <c r="DX1" s="735"/>
      <c r="DY1" s="735"/>
      <c r="DZ1" s="735"/>
      <c r="EA1" s="735"/>
      <c r="EB1" s="735"/>
    </row>
    <row r="2" spans="1:132" ht="15" customHeight="1">
      <c r="A2" s="733"/>
      <c r="B2" s="733" t="str">
        <f>Cover!B2</f>
        <v>Entergy Corporation</v>
      </c>
      <c r="C2" s="733"/>
      <c r="D2" s="735"/>
      <c r="E2" s="735"/>
      <c r="F2" s="735"/>
      <c r="G2" s="735"/>
      <c r="H2" s="735"/>
      <c r="I2" s="735"/>
      <c r="J2" s="735"/>
      <c r="K2" s="735"/>
      <c r="L2" s="735"/>
      <c r="M2" s="735"/>
      <c r="N2" s="735"/>
      <c r="O2" s="735"/>
      <c r="P2" s="735"/>
      <c r="Q2" s="735"/>
      <c r="R2" s="735"/>
      <c r="S2" s="735"/>
      <c r="T2" s="735"/>
      <c r="U2" s="735"/>
      <c r="V2" s="735"/>
      <c r="W2" s="735"/>
      <c r="X2" s="735"/>
      <c r="Y2" s="735"/>
      <c r="Z2" s="735"/>
      <c r="AA2" s="735"/>
      <c r="AB2" s="735"/>
      <c r="AC2" s="735"/>
      <c r="AD2" s="735"/>
      <c r="AE2" s="735"/>
      <c r="AF2" s="735"/>
      <c r="AG2" s="735"/>
      <c r="AH2" s="735"/>
      <c r="AI2" s="735"/>
      <c r="AJ2" s="735"/>
      <c r="AK2" s="735"/>
      <c r="AL2" s="735"/>
      <c r="AM2" s="735"/>
      <c r="AN2" s="735"/>
      <c r="AO2" s="735"/>
      <c r="AP2" s="735"/>
      <c r="AQ2" s="735"/>
      <c r="AR2" s="735"/>
      <c r="AS2" s="735"/>
      <c r="AT2" s="735"/>
      <c r="AU2" s="735"/>
      <c r="AV2" s="735"/>
      <c r="AW2" s="735"/>
      <c r="AX2" s="735"/>
      <c r="AY2" s="735"/>
      <c r="AZ2" s="735"/>
      <c r="BA2" s="735"/>
      <c r="BB2" s="735"/>
      <c r="BC2" s="735"/>
      <c r="BD2" s="735"/>
      <c r="BE2" s="735"/>
      <c r="BF2" s="735"/>
      <c r="BG2" s="735"/>
      <c r="BH2" s="735"/>
      <c r="BI2" s="735"/>
      <c r="BJ2" s="735"/>
      <c r="BK2" s="735"/>
      <c r="BL2" s="735"/>
      <c r="BM2" s="735"/>
      <c r="BN2" s="735"/>
      <c r="BO2" s="735"/>
      <c r="BP2" s="735"/>
      <c r="BQ2" s="735"/>
      <c r="BR2" s="735"/>
      <c r="BS2" s="735"/>
      <c r="BT2" s="735"/>
      <c r="BU2" s="735"/>
      <c r="BV2" s="735"/>
      <c r="BW2" s="735"/>
      <c r="BX2" s="735"/>
      <c r="BY2" s="735"/>
      <c r="BZ2" s="735"/>
      <c r="CA2" s="735"/>
      <c r="CB2" s="735"/>
      <c r="CC2" s="735"/>
      <c r="CD2" s="735"/>
      <c r="CE2" s="735"/>
      <c r="CF2" s="735"/>
      <c r="CG2" s="735"/>
      <c r="CH2" s="735"/>
      <c r="CI2" s="735"/>
      <c r="CJ2" s="735"/>
      <c r="CK2" s="735"/>
      <c r="CL2" s="735"/>
      <c r="CM2" s="735"/>
      <c r="CN2" s="735"/>
      <c r="CO2" s="735"/>
      <c r="CP2" s="735"/>
      <c r="CQ2" s="735"/>
      <c r="CR2" s="735"/>
      <c r="CS2" s="735"/>
      <c r="CT2" s="735"/>
      <c r="CU2" s="735"/>
      <c r="CV2" s="735"/>
      <c r="CW2" s="735"/>
      <c r="CX2" s="735"/>
      <c r="CY2" s="735"/>
      <c r="CZ2" s="735"/>
      <c r="DA2" s="735"/>
      <c r="DB2" s="735"/>
      <c r="DC2" s="735"/>
      <c r="DD2" s="735"/>
      <c r="DE2" s="735"/>
      <c r="DF2" s="735"/>
      <c r="DG2" s="735"/>
      <c r="DH2" s="735"/>
      <c r="DI2" s="735"/>
      <c r="DJ2" s="735"/>
      <c r="DK2" s="735"/>
      <c r="DL2" s="735"/>
      <c r="DM2" s="735"/>
      <c r="DN2" s="735"/>
      <c r="DO2" s="735"/>
      <c r="DP2" s="735"/>
      <c r="DQ2" s="735"/>
      <c r="DR2" s="735"/>
      <c r="DS2" s="735"/>
      <c r="DT2" s="735"/>
      <c r="DU2" s="735"/>
      <c r="DV2" s="735"/>
      <c r="DW2" s="735"/>
      <c r="DX2" s="735"/>
      <c r="DY2" s="735"/>
      <c r="DZ2" s="735"/>
      <c r="EA2" s="735"/>
      <c r="EB2" s="735"/>
    </row>
    <row r="3" spans="1:132" ht="15" customHeight="1">
      <c r="A3" s="739"/>
      <c r="B3" s="739" t="s">
        <v>641</v>
      </c>
      <c r="C3" s="739"/>
      <c r="D3" s="735"/>
      <c r="E3" s="735"/>
      <c r="F3" s="735"/>
      <c r="G3" s="735"/>
      <c r="H3" s="735"/>
      <c r="I3" s="735"/>
      <c r="J3" s="735"/>
      <c r="K3" s="735"/>
      <c r="L3" s="735"/>
      <c r="M3" s="735"/>
      <c r="N3" s="735"/>
      <c r="O3" s="735"/>
      <c r="P3" s="735"/>
      <c r="Q3" s="735"/>
      <c r="R3" s="735"/>
      <c r="S3" s="735"/>
      <c r="T3" s="735"/>
      <c r="U3" s="735"/>
      <c r="V3" s="735"/>
      <c r="W3" s="735"/>
      <c r="X3" s="735"/>
      <c r="Y3" s="735"/>
      <c r="Z3" s="735"/>
      <c r="AA3" s="735"/>
      <c r="AB3" s="735"/>
      <c r="AC3" s="735"/>
      <c r="AD3" s="735"/>
      <c r="AE3" s="735"/>
      <c r="AF3" s="735"/>
      <c r="AG3" s="735"/>
      <c r="AH3" s="735"/>
      <c r="AI3" s="735"/>
      <c r="AJ3" s="735"/>
      <c r="AK3" s="735"/>
      <c r="AL3" s="735"/>
      <c r="AM3" s="735"/>
      <c r="AN3" s="735"/>
      <c r="AO3" s="735"/>
      <c r="AP3" s="735"/>
      <c r="AQ3" s="735"/>
      <c r="AR3" s="735"/>
      <c r="AS3" s="735"/>
      <c r="AT3" s="735"/>
      <c r="AU3" s="735"/>
      <c r="AV3" s="735"/>
      <c r="AW3" s="735"/>
      <c r="AX3" s="735"/>
      <c r="AY3" s="735"/>
      <c r="AZ3" s="735"/>
      <c r="BA3" s="735"/>
      <c r="BB3" s="735"/>
      <c r="BC3" s="735"/>
      <c r="BD3" s="735"/>
      <c r="BE3" s="735"/>
      <c r="BF3" s="735"/>
      <c r="BG3" s="735"/>
      <c r="BH3" s="735"/>
      <c r="BI3" s="735"/>
      <c r="BJ3" s="735"/>
      <c r="BK3" s="735"/>
      <c r="BL3" s="735"/>
      <c r="BM3" s="735"/>
      <c r="BN3" s="735"/>
      <c r="BO3" s="735"/>
      <c r="BP3" s="735"/>
      <c r="BQ3" s="735"/>
      <c r="BR3" s="735"/>
      <c r="BS3" s="735"/>
      <c r="BT3" s="735"/>
      <c r="BU3" s="735"/>
      <c r="BV3" s="735"/>
      <c r="BW3" s="735"/>
      <c r="BX3" s="735"/>
      <c r="BY3" s="735"/>
      <c r="BZ3" s="735"/>
      <c r="CA3" s="735"/>
      <c r="CB3" s="735"/>
      <c r="CC3" s="735"/>
      <c r="CD3" s="735"/>
      <c r="CE3" s="735"/>
      <c r="CF3" s="735"/>
      <c r="CG3" s="735"/>
      <c r="CH3" s="735"/>
      <c r="CI3" s="735"/>
      <c r="CJ3" s="735"/>
      <c r="CK3" s="735"/>
      <c r="CL3" s="735"/>
      <c r="CM3" s="735"/>
      <c r="CN3" s="735"/>
      <c r="CO3" s="735"/>
      <c r="CP3" s="735"/>
      <c r="CQ3" s="735"/>
      <c r="CR3" s="735"/>
      <c r="CS3" s="735"/>
      <c r="CT3" s="735"/>
      <c r="CU3" s="735"/>
      <c r="CV3" s="735"/>
      <c r="CW3" s="735"/>
      <c r="CX3" s="735"/>
      <c r="CY3" s="735"/>
      <c r="CZ3" s="735"/>
      <c r="DA3" s="735"/>
      <c r="DB3" s="735"/>
      <c r="DC3" s="735"/>
      <c r="DD3" s="735"/>
      <c r="DE3" s="735"/>
      <c r="DF3" s="735"/>
      <c r="DG3" s="735"/>
      <c r="DH3" s="735"/>
      <c r="DI3" s="735"/>
      <c r="DJ3" s="735"/>
      <c r="DK3" s="735"/>
      <c r="DL3" s="735"/>
      <c r="DM3" s="735"/>
      <c r="DN3" s="735"/>
      <c r="DO3" s="735"/>
      <c r="DP3" s="735"/>
      <c r="DQ3" s="735"/>
      <c r="DR3" s="735"/>
      <c r="DS3" s="735"/>
      <c r="DT3" s="735"/>
      <c r="DU3" s="735"/>
      <c r="DV3" s="735"/>
      <c r="DW3" s="735"/>
      <c r="DX3" s="735"/>
      <c r="DY3" s="735"/>
      <c r="DZ3" s="735"/>
      <c r="EA3" s="735"/>
      <c r="EB3" s="735"/>
    </row>
    <row r="4" spans="1:132">
      <c r="A4" s="741"/>
      <c r="B4" s="741" t="s">
        <v>243</v>
      </c>
      <c r="C4" s="741"/>
      <c r="D4" s="742"/>
      <c r="E4" s="742"/>
      <c r="F4" s="742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2"/>
      <c r="AP4" s="742"/>
      <c r="AQ4" s="742"/>
      <c r="AR4" s="742"/>
      <c r="AS4" s="742"/>
      <c r="AT4" s="742"/>
      <c r="AU4" s="742"/>
      <c r="AV4" s="742"/>
      <c r="AW4" s="742"/>
      <c r="AX4" s="742"/>
      <c r="AY4" s="742"/>
      <c r="AZ4" s="742"/>
      <c r="BA4" s="742"/>
      <c r="BB4" s="742"/>
      <c r="BC4" s="742"/>
      <c r="BD4" s="742"/>
      <c r="BE4" s="742"/>
      <c r="BF4" s="742"/>
      <c r="BG4" s="742"/>
      <c r="BH4" s="742"/>
      <c r="BI4" s="742"/>
      <c r="BJ4" s="742"/>
      <c r="BK4" s="742"/>
      <c r="BL4" s="742"/>
      <c r="BM4" s="742"/>
      <c r="BN4" s="742"/>
      <c r="BO4" s="742"/>
      <c r="BP4" s="742"/>
      <c r="BQ4" s="742"/>
      <c r="BR4" s="742"/>
      <c r="BS4" s="742"/>
      <c r="BT4" s="742"/>
      <c r="BU4" s="742"/>
      <c r="BV4" s="742"/>
      <c r="BW4" s="742"/>
      <c r="BX4" s="742"/>
      <c r="BY4" s="742"/>
      <c r="BZ4" s="742"/>
      <c r="CA4" s="742"/>
      <c r="CB4" s="742"/>
      <c r="CC4" s="742"/>
      <c r="CD4" s="742"/>
      <c r="CE4" s="742"/>
      <c r="CF4" s="742"/>
      <c r="CG4" s="742"/>
      <c r="CH4" s="742"/>
      <c r="CI4" s="742"/>
      <c r="CJ4" s="742"/>
      <c r="CK4" s="742"/>
      <c r="CL4" s="742"/>
      <c r="CM4" s="742"/>
      <c r="CN4" s="742"/>
      <c r="CO4" s="742"/>
      <c r="CP4" s="742"/>
      <c r="CQ4" s="742"/>
      <c r="CR4" s="742"/>
      <c r="CS4" s="742"/>
      <c r="CT4" s="742"/>
      <c r="CU4" s="742"/>
      <c r="CV4" s="742"/>
      <c r="CW4" s="742"/>
      <c r="CX4" s="742"/>
      <c r="CY4" s="742"/>
      <c r="CZ4" s="742"/>
      <c r="DA4" s="742"/>
      <c r="DB4" s="742"/>
      <c r="DC4" s="742"/>
      <c r="DD4" s="742"/>
      <c r="DE4" s="742"/>
      <c r="DF4" s="742"/>
      <c r="DG4" s="742"/>
      <c r="DH4" s="742"/>
      <c r="DI4" s="742"/>
      <c r="DJ4" s="742"/>
      <c r="DK4" s="742"/>
      <c r="DL4" s="742"/>
      <c r="DM4" s="742"/>
      <c r="DN4" s="742"/>
      <c r="DO4" s="742"/>
      <c r="DP4" s="742"/>
      <c r="DQ4" s="742"/>
      <c r="DR4" s="742"/>
      <c r="DS4" s="742"/>
      <c r="DT4" s="742"/>
      <c r="DU4" s="742"/>
      <c r="DV4" s="742"/>
      <c r="DW4" s="742"/>
      <c r="DX4" s="742"/>
      <c r="DY4" s="742"/>
      <c r="DZ4" s="742"/>
      <c r="EA4" s="742"/>
      <c r="EB4" s="742"/>
    </row>
    <row r="5" spans="1:132">
      <c r="A5" s="963"/>
      <c r="B5" s="963" t="s">
        <v>121</v>
      </c>
      <c r="C5" s="963"/>
      <c r="D5" s="964"/>
      <c r="E5" s="965"/>
      <c r="F5" s="965"/>
      <c r="G5" s="965"/>
      <c r="H5" s="965"/>
      <c r="I5" s="965"/>
      <c r="J5" s="965"/>
      <c r="K5" s="965"/>
      <c r="L5" s="965"/>
      <c r="M5" s="965"/>
      <c r="N5" s="965">
        <v>2010</v>
      </c>
      <c r="O5" s="965"/>
      <c r="P5" s="965"/>
      <c r="Q5" s="965"/>
      <c r="R5" s="965"/>
      <c r="S5" s="965">
        <f>N5+1</f>
        <v>2011</v>
      </c>
      <c r="T5" s="965"/>
      <c r="U5" s="965"/>
      <c r="V5" s="965"/>
      <c r="W5" s="965"/>
      <c r="X5" s="965">
        <f>S5+1</f>
        <v>2012</v>
      </c>
      <c r="Y5" s="966"/>
      <c r="Z5" s="966"/>
      <c r="AA5" s="966"/>
      <c r="AB5" s="966"/>
      <c r="AC5" s="965">
        <f>X5+1</f>
        <v>2013</v>
      </c>
      <c r="AD5" s="966"/>
      <c r="AE5" s="966"/>
      <c r="AF5" s="966"/>
      <c r="AG5" s="966"/>
      <c r="AH5" s="965">
        <f>AC5+1</f>
        <v>2014</v>
      </c>
      <c r="AI5" s="966"/>
      <c r="AJ5" s="966"/>
      <c r="AK5" s="966"/>
      <c r="AL5" s="966"/>
      <c r="AM5" s="965">
        <f>AH5+1</f>
        <v>2015</v>
      </c>
      <c r="AN5" s="966"/>
      <c r="AO5" s="966"/>
      <c r="AP5" s="966"/>
      <c r="AQ5" s="966"/>
      <c r="AR5" s="965">
        <f>AM5+1</f>
        <v>2016</v>
      </c>
      <c r="AS5" s="966"/>
      <c r="AT5" s="966"/>
      <c r="AU5" s="966"/>
      <c r="AV5" s="966"/>
      <c r="AW5" s="965">
        <f>AR5+1</f>
        <v>2017</v>
      </c>
      <c r="AX5" s="966"/>
      <c r="AY5" s="966"/>
      <c r="AZ5" s="966"/>
      <c r="BA5" s="966"/>
      <c r="BB5" s="966">
        <f>AW5+1</f>
        <v>2018</v>
      </c>
      <c r="BC5" s="966"/>
      <c r="BD5" s="966"/>
      <c r="BE5" s="966"/>
      <c r="BF5" s="966"/>
      <c r="BG5" s="966">
        <f>BB5+1</f>
        <v>2019</v>
      </c>
      <c r="BH5" s="966"/>
      <c r="BI5" s="966"/>
      <c r="BJ5" s="966"/>
      <c r="BK5" s="966"/>
      <c r="BL5" s="966">
        <f>BG5+1</f>
        <v>2020</v>
      </c>
      <c r="BM5" s="966"/>
      <c r="BN5" s="966"/>
      <c r="BO5" s="966"/>
      <c r="BP5" s="966"/>
      <c r="BQ5" s="966">
        <f>BL5+1</f>
        <v>2021</v>
      </c>
      <c r="BR5" s="963"/>
      <c r="BS5" s="963"/>
      <c r="BT5" s="964"/>
      <c r="BU5" s="965"/>
      <c r="BV5" s="965"/>
      <c r="BW5" s="965"/>
      <c r="BX5" s="965"/>
      <c r="BY5" s="965">
        <v>2010</v>
      </c>
      <c r="BZ5" s="965"/>
      <c r="CA5" s="965"/>
      <c r="CB5" s="965"/>
      <c r="CC5" s="965"/>
      <c r="CD5" s="965">
        <f>BY5+1</f>
        <v>2011</v>
      </c>
      <c r="CE5" s="965"/>
      <c r="CF5" s="965"/>
      <c r="CG5" s="965"/>
      <c r="CH5" s="965"/>
      <c r="CI5" s="965">
        <f>CD5+1</f>
        <v>2012</v>
      </c>
      <c r="CJ5" s="966"/>
      <c r="CK5" s="966"/>
      <c r="CL5" s="966"/>
      <c r="CM5" s="966"/>
      <c r="CN5" s="965">
        <f>CI5+1</f>
        <v>2013</v>
      </c>
      <c r="CO5" s="966"/>
      <c r="CP5" s="966"/>
      <c r="CQ5" s="966"/>
      <c r="CR5" s="966"/>
      <c r="CS5" s="965">
        <f>CN5+1</f>
        <v>2014</v>
      </c>
      <c r="CT5" s="966"/>
      <c r="CU5" s="966"/>
      <c r="CV5" s="966"/>
      <c r="CW5" s="966"/>
      <c r="CX5" s="965">
        <f>CS5+1</f>
        <v>2015</v>
      </c>
      <c r="CY5" s="966"/>
      <c r="CZ5" s="966"/>
      <c r="DA5" s="966"/>
      <c r="DB5" s="966"/>
      <c r="DC5" s="965">
        <f>CX5+1</f>
        <v>2016</v>
      </c>
      <c r="DD5" s="966"/>
      <c r="DE5" s="966"/>
      <c r="DF5" s="966"/>
      <c r="DG5" s="966"/>
      <c r="DH5" s="965">
        <f>DC5+1</f>
        <v>2017</v>
      </c>
      <c r="DI5" s="966"/>
      <c r="DJ5" s="966"/>
      <c r="DK5" s="966"/>
      <c r="DL5" s="966"/>
      <c r="DM5" s="966">
        <f>DH5+1</f>
        <v>2018</v>
      </c>
      <c r="DN5" s="966"/>
      <c r="DO5" s="966"/>
      <c r="DP5" s="966"/>
      <c r="DQ5" s="966"/>
      <c r="DR5" s="966">
        <f>DM5+1</f>
        <v>2019</v>
      </c>
      <c r="DS5" s="966"/>
      <c r="DT5" s="966"/>
      <c r="DU5" s="966"/>
      <c r="DV5" s="966"/>
      <c r="DW5" s="966">
        <f>DR5+1</f>
        <v>2020</v>
      </c>
      <c r="DX5" s="966"/>
      <c r="DY5" s="966"/>
      <c r="DZ5" s="966"/>
      <c r="EA5" s="966"/>
      <c r="EB5" s="966">
        <f>DW5+1</f>
        <v>2021</v>
      </c>
    </row>
    <row r="6" spans="1:132">
      <c r="B6" s="773"/>
      <c r="C6" s="773"/>
      <c r="D6" s="773"/>
      <c r="N6" s="773"/>
      <c r="S6" s="773"/>
      <c r="X6" s="773"/>
      <c r="AC6" s="773"/>
      <c r="AH6" s="773"/>
      <c r="AM6" s="773"/>
      <c r="AR6" s="773"/>
      <c r="AW6" s="773"/>
      <c r="BB6" s="773"/>
      <c r="BG6" s="773"/>
      <c r="BL6" s="773"/>
      <c r="BQ6" s="773"/>
      <c r="BR6" s="773"/>
      <c r="BS6" s="773"/>
      <c r="BT6" s="773"/>
      <c r="BY6" s="773"/>
      <c r="CD6" s="773"/>
      <c r="CI6" s="773"/>
      <c r="CN6" s="773"/>
      <c r="CS6" s="773"/>
      <c r="CX6" s="773"/>
      <c r="DC6" s="773"/>
      <c r="DH6" s="773"/>
      <c r="DM6" s="773"/>
      <c r="DR6" s="773"/>
      <c r="DW6" s="773"/>
      <c r="EB6" s="773"/>
    </row>
    <row r="7" spans="1:132" ht="12.75" customHeight="1">
      <c r="B7" s="749" t="s">
        <v>244</v>
      </c>
      <c r="C7" s="749"/>
      <c r="D7" s="967"/>
      <c r="E7" s="967"/>
      <c r="F7" s="967"/>
      <c r="G7" s="967"/>
      <c r="H7" s="967"/>
      <c r="I7" s="967"/>
      <c r="J7" s="967"/>
      <c r="K7" s="967"/>
      <c r="L7" s="967"/>
      <c r="M7" s="967"/>
      <c r="N7" s="967"/>
      <c r="O7" s="967"/>
      <c r="P7" s="967"/>
      <c r="Q7" s="967"/>
      <c r="R7" s="967"/>
      <c r="S7" s="967"/>
      <c r="T7" s="967"/>
      <c r="U7" s="967"/>
      <c r="V7" s="967"/>
      <c r="W7" s="967"/>
      <c r="X7" s="967"/>
      <c r="Y7" s="967"/>
      <c r="Z7" s="967"/>
      <c r="AA7" s="967"/>
      <c r="AB7" s="967"/>
      <c r="AC7" s="967"/>
      <c r="AD7" s="967"/>
      <c r="AE7" s="967"/>
      <c r="AF7" s="967"/>
      <c r="AG7" s="967"/>
      <c r="AH7" s="967"/>
      <c r="AI7" s="967"/>
      <c r="AJ7" s="967"/>
      <c r="AK7" s="967"/>
      <c r="AL7" s="967"/>
      <c r="AM7" s="967"/>
      <c r="AN7" s="967"/>
      <c r="AO7" s="967"/>
      <c r="AP7" s="967"/>
      <c r="AQ7" s="967"/>
      <c r="AR7" s="967"/>
      <c r="AW7" s="967"/>
      <c r="AX7" s="967"/>
      <c r="AY7" s="967"/>
      <c r="AZ7" s="967"/>
      <c r="BA7" s="967"/>
      <c r="BB7" s="967"/>
      <c r="BC7" s="967"/>
      <c r="BD7" s="967"/>
      <c r="BE7" s="967"/>
      <c r="BF7" s="967"/>
      <c r="BG7" s="967"/>
      <c r="BH7" s="967"/>
      <c r="BI7" s="967"/>
      <c r="BJ7" s="967"/>
      <c r="BK7" s="967"/>
      <c r="BL7" s="967"/>
      <c r="BM7" s="967"/>
      <c r="BN7" s="967"/>
      <c r="BO7" s="967"/>
      <c r="BP7" s="967"/>
      <c r="BQ7" s="967"/>
      <c r="BS7" s="749" t="s">
        <v>245</v>
      </c>
      <c r="BT7" s="967"/>
      <c r="BU7" s="967"/>
      <c r="BV7" s="967"/>
      <c r="BW7" s="967"/>
      <c r="BX7" s="967"/>
      <c r="BY7" s="967"/>
      <c r="BZ7" s="967"/>
      <c r="CA7" s="967"/>
      <c r="CB7" s="967"/>
      <c r="CC7" s="967"/>
      <c r="CD7" s="967"/>
      <c r="CE7" s="967"/>
      <c r="CF7" s="967"/>
      <c r="CG7" s="967"/>
      <c r="CH7" s="967"/>
      <c r="CI7" s="967"/>
      <c r="CJ7" s="967"/>
      <c r="CK7" s="967"/>
      <c r="CL7" s="967"/>
      <c r="CM7" s="967"/>
      <c r="CN7" s="967"/>
      <c r="CO7" s="967"/>
      <c r="CP7" s="967"/>
      <c r="CQ7" s="967"/>
      <c r="CR7" s="967"/>
      <c r="CS7" s="967"/>
      <c r="CT7" s="967"/>
      <c r="CU7" s="967"/>
      <c r="CV7" s="967"/>
      <c r="CW7" s="967"/>
      <c r="CX7" s="967"/>
      <c r="CY7" s="967"/>
      <c r="CZ7" s="967"/>
      <c r="DA7" s="967"/>
      <c r="DB7" s="967"/>
      <c r="DC7" s="967"/>
      <c r="DD7" s="967"/>
      <c r="DE7" s="967"/>
      <c r="DF7" s="967"/>
      <c r="DG7" s="967"/>
      <c r="DH7" s="967"/>
      <c r="DI7" s="967"/>
      <c r="DJ7" s="967"/>
      <c r="DK7" s="967"/>
      <c r="DL7" s="967"/>
      <c r="DM7" s="967"/>
      <c r="DN7" s="967"/>
      <c r="DO7" s="967"/>
      <c r="DP7" s="967"/>
      <c r="DQ7" s="967"/>
      <c r="DR7" s="967"/>
      <c r="DS7" s="967"/>
      <c r="DT7" s="967"/>
      <c r="DU7" s="967"/>
      <c r="DV7" s="967"/>
      <c r="DW7" s="967"/>
      <c r="DX7" s="967"/>
      <c r="DY7" s="967"/>
      <c r="DZ7" s="967"/>
      <c r="EA7" s="967"/>
      <c r="EB7" s="967"/>
    </row>
    <row r="8" spans="1:132" ht="12.75" customHeight="1">
      <c r="A8" s="971"/>
      <c r="B8" s="773"/>
      <c r="C8" s="765" t="s">
        <v>246</v>
      </c>
      <c r="D8" s="972"/>
      <c r="E8" s="968"/>
      <c r="F8" s="968"/>
      <c r="G8" s="968"/>
      <c r="H8" s="968"/>
      <c r="I8" s="968"/>
      <c r="J8" s="968"/>
      <c r="K8" s="968"/>
      <c r="L8" s="968"/>
      <c r="M8" s="968"/>
      <c r="N8" s="969"/>
      <c r="O8" s="969"/>
      <c r="P8" s="969"/>
      <c r="Q8" s="969"/>
      <c r="R8" s="969"/>
      <c r="S8" s="772"/>
      <c r="T8" s="969"/>
      <c r="U8" s="969"/>
      <c r="V8" s="969"/>
      <c r="W8" s="969"/>
      <c r="X8" s="772"/>
      <c r="Y8" s="970"/>
      <c r="Z8" s="970"/>
      <c r="AA8" s="970"/>
      <c r="AB8" s="970"/>
      <c r="AW8" s="772"/>
      <c r="BR8" s="773"/>
      <c r="BS8" s="765" t="s">
        <v>79</v>
      </c>
      <c r="BT8" s="765"/>
      <c r="BU8" s="765"/>
      <c r="BV8" s="765"/>
      <c r="BW8" s="765"/>
      <c r="BX8" s="765"/>
      <c r="BY8" s="973">
        <f>ETR!N155</f>
        <v>1294.472</v>
      </c>
      <c r="BZ8" s="765"/>
      <c r="CA8" s="765"/>
      <c r="CB8" s="765"/>
      <c r="CC8" s="765"/>
      <c r="CD8" s="973">
        <f>ETR!S155</f>
        <v>694.43799999999999</v>
      </c>
      <c r="CE8" s="973"/>
      <c r="CF8" s="973"/>
      <c r="CG8" s="973"/>
      <c r="CH8" s="973"/>
      <c r="CI8" s="973">
        <f>ETR!X155</f>
        <v>532.56899999999996</v>
      </c>
      <c r="CJ8" s="973"/>
      <c r="CK8" s="973"/>
      <c r="CL8" s="973"/>
      <c r="CM8" s="973"/>
      <c r="CN8" s="973">
        <f>ETR!AC155</f>
        <v>739.12599999999998</v>
      </c>
      <c r="CO8" s="973"/>
      <c r="CP8" s="973"/>
      <c r="CQ8" s="973"/>
      <c r="CR8" s="973"/>
      <c r="CS8" s="973">
        <f>ETR!AH155</f>
        <v>1422.0260000000001</v>
      </c>
      <c r="CT8" s="973"/>
      <c r="CU8" s="973"/>
      <c r="CV8" s="973"/>
      <c r="CW8" s="973"/>
      <c r="CX8" s="973">
        <f>ETR!AM155</f>
        <v>1350.961</v>
      </c>
      <c r="CY8" s="973"/>
      <c r="CZ8" s="973"/>
      <c r="DA8" s="973"/>
      <c r="DB8" s="973"/>
      <c r="DC8" s="973">
        <f>ETR!AR155</f>
        <v>1187.8440000000001</v>
      </c>
      <c r="DD8" s="973"/>
      <c r="DE8" s="973"/>
      <c r="DF8" s="973"/>
      <c r="DG8" s="973"/>
      <c r="DH8" s="973">
        <f>ETR!AW155</f>
        <v>781.27300000000002</v>
      </c>
      <c r="DI8" s="973"/>
      <c r="DJ8" s="973"/>
      <c r="DK8" s="973"/>
      <c r="DL8" s="973"/>
      <c r="DM8" s="973">
        <f>ETR!BB155</f>
        <v>64.202009760760575</v>
      </c>
      <c r="DN8" s="973"/>
      <c r="DO8" s="973"/>
      <c r="DP8" s="973"/>
      <c r="DQ8" s="973"/>
      <c r="DR8" s="973">
        <f>ETR!BG155</f>
        <v>258.86696259692337</v>
      </c>
      <c r="DS8" s="973"/>
      <c r="DT8" s="973"/>
      <c r="DU8" s="973"/>
      <c r="DV8" s="973"/>
      <c r="DW8" s="973">
        <f>ETR!BL155</f>
        <v>565.07478466258124</v>
      </c>
      <c r="DX8" s="973"/>
      <c r="DY8" s="973"/>
      <c r="DZ8" s="973"/>
      <c r="EA8" s="973"/>
      <c r="EB8" s="973">
        <f>ETR!BQ155</f>
        <v>330.9646983189175</v>
      </c>
    </row>
    <row r="9" spans="1:132" ht="12.75" customHeight="1">
      <c r="A9" s="971"/>
      <c r="B9" s="974"/>
      <c r="C9" s="354" t="s">
        <v>291</v>
      </c>
      <c r="D9" s="975"/>
      <c r="E9" s="761"/>
      <c r="F9" s="761"/>
      <c r="G9" s="761"/>
      <c r="H9" s="761"/>
      <c r="I9" s="761"/>
      <c r="J9" s="761"/>
      <c r="K9" s="761"/>
      <c r="L9" s="761"/>
      <c r="M9" s="761"/>
      <c r="N9" s="772">
        <f>Utility!N57</f>
        <v>4.3509425519377292</v>
      </c>
      <c r="O9" s="754"/>
      <c r="P9" s="754"/>
      <c r="Q9" s="754"/>
      <c r="R9" s="754"/>
      <c r="S9" s="772">
        <f>Utility!S57</f>
        <v>6.20358069468754</v>
      </c>
      <c r="T9" s="754"/>
      <c r="U9" s="754"/>
      <c r="V9" s="754"/>
      <c r="W9" s="754"/>
      <c r="X9" s="772">
        <f>Utility!X57</f>
        <v>5.5142704357404666</v>
      </c>
      <c r="Y9" s="754"/>
      <c r="Z9" s="754"/>
      <c r="AA9" s="754"/>
      <c r="AB9" s="754"/>
      <c r="AC9" s="772">
        <f>Utility!AC57</f>
        <v>4.8041892721302144</v>
      </c>
      <c r="AD9" s="976"/>
      <c r="AE9" s="976"/>
      <c r="AF9" s="976"/>
      <c r="AG9" s="976"/>
      <c r="AH9" s="772">
        <f>Utility!AH57</f>
        <v>4.6409454051299877</v>
      </c>
      <c r="AI9" s="976"/>
      <c r="AJ9" s="976"/>
      <c r="AK9" s="976"/>
      <c r="AL9" s="976"/>
      <c r="AM9" s="772">
        <f>Utility!AM57</f>
        <v>6.121761958369107</v>
      </c>
      <c r="AN9" s="976"/>
      <c r="AO9" s="976"/>
      <c r="AP9" s="976"/>
      <c r="AQ9" s="976"/>
      <c r="AR9" s="772">
        <f>Utility!AR57</f>
        <v>6.3403908396011168</v>
      </c>
      <c r="AW9" s="772">
        <f>Utility!AW57</f>
        <v>5.2194330132457329</v>
      </c>
      <c r="AX9" s="976"/>
      <c r="AY9" s="976"/>
      <c r="AZ9" s="976"/>
      <c r="BA9" s="976"/>
      <c r="BB9" s="772">
        <f>Utility!BB57</f>
        <v>5.7781115037731023</v>
      </c>
      <c r="BC9" s="976"/>
      <c r="BD9" s="976"/>
      <c r="BE9" s="976"/>
      <c r="BF9" s="976"/>
      <c r="BG9" s="772">
        <f>Utility!BG57</f>
        <v>6.1876549092590487</v>
      </c>
      <c r="BH9" s="976"/>
      <c r="BI9" s="976"/>
      <c r="BJ9" s="976"/>
      <c r="BK9" s="976"/>
      <c r="BL9" s="772">
        <f>Utility!BL57</f>
        <v>6.5602326305227807</v>
      </c>
      <c r="BM9" s="976"/>
      <c r="BN9" s="976"/>
      <c r="BO9" s="976"/>
      <c r="BP9" s="976"/>
      <c r="BQ9" s="772">
        <f>Utility!BQ57</f>
        <v>6.9216476939154878</v>
      </c>
      <c r="BR9" s="773"/>
      <c r="BS9" s="764"/>
      <c r="BT9" s="977"/>
      <c r="BY9" s="969"/>
      <c r="CD9" s="969"/>
      <c r="CE9" s="969"/>
      <c r="CF9" s="969"/>
      <c r="CG9" s="969"/>
      <c r="CH9" s="969"/>
      <c r="CI9" s="969"/>
      <c r="CJ9" s="969"/>
      <c r="CK9" s="969"/>
      <c r="CL9" s="969"/>
      <c r="CM9" s="969"/>
      <c r="CN9" s="969"/>
      <c r="CO9" s="969"/>
      <c r="CP9" s="969"/>
      <c r="CQ9" s="969"/>
      <c r="CR9" s="969"/>
      <c r="CS9" s="969"/>
      <c r="CT9" s="969"/>
      <c r="CU9" s="969"/>
      <c r="CV9" s="969"/>
      <c r="CW9" s="969"/>
      <c r="CX9" s="969"/>
      <c r="CY9" s="969"/>
      <c r="CZ9" s="969"/>
      <c r="DA9" s="969"/>
      <c r="DB9" s="969"/>
      <c r="DC9" s="969"/>
      <c r="DD9" s="969"/>
      <c r="DE9" s="969"/>
      <c r="DF9" s="969"/>
      <c r="DG9" s="969"/>
      <c r="DH9" s="969"/>
      <c r="DI9" s="969"/>
      <c r="DJ9" s="969"/>
      <c r="DK9" s="969"/>
      <c r="DL9" s="969"/>
      <c r="DM9" s="969"/>
      <c r="DN9" s="969"/>
      <c r="DO9" s="969"/>
      <c r="DP9" s="969"/>
      <c r="DQ9" s="969"/>
      <c r="DR9" s="969"/>
      <c r="DS9" s="969"/>
      <c r="DT9" s="969"/>
      <c r="DU9" s="969"/>
      <c r="DV9" s="969"/>
      <c r="DW9" s="969"/>
      <c r="DX9" s="969"/>
      <c r="DY9" s="969"/>
      <c r="DZ9" s="969"/>
      <c r="EA9" s="969"/>
      <c r="EB9" s="969"/>
    </row>
    <row r="10" spans="1:132" ht="12.75" customHeight="1">
      <c r="A10" s="971"/>
      <c r="B10" s="974"/>
      <c r="C10" s="354" t="s">
        <v>731</v>
      </c>
      <c r="D10" s="975"/>
      <c r="E10" s="761"/>
      <c r="F10" s="761"/>
      <c r="G10" s="761"/>
      <c r="H10" s="761"/>
      <c r="I10" s="761"/>
      <c r="J10" s="761"/>
      <c r="K10" s="761"/>
      <c r="L10" s="761"/>
      <c r="M10" s="761"/>
      <c r="N10" s="772">
        <f>EWC!N45</f>
        <v>3.1459146263821349</v>
      </c>
      <c r="O10" s="754"/>
      <c r="P10" s="754"/>
      <c r="Q10" s="754"/>
      <c r="R10" s="754"/>
      <c r="S10" s="772">
        <f>EWC!S45</f>
        <v>2.7392167754910628</v>
      </c>
      <c r="T10" s="754"/>
      <c r="U10" s="754"/>
      <c r="V10" s="754"/>
      <c r="W10" s="754"/>
      <c r="X10" s="772">
        <f>EWC!X45</f>
        <v>1.4849252604535221</v>
      </c>
      <c r="Y10" s="754"/>
      <c r="Z10" s="754"/>
      <c r="AA10" s="754"/>
      <c r="AB10" s="754"/>
      <c r="AC10" s="772">
        <f>EWC!AC45</f>
        <v>1.4710444732161656</v>
      </c>
      <c r="AD10" s="754"/>
      <c r="AE10" s="754"/>
      <c r="AF10" s="754"/>
      <c r="AG10" s="754"/>
      <c r="AH10" s="772">
        <f>EWC!AH45</f>
        <v>2.1860222377108753</v>
      </c>
      <c r="AI10" s="754"/>
      <c r="AJ10" s="754"/>
      <c r="AK10" s="754"/>
      <c r="AL10" s="754"/>
      <c r="AM10" s="772">
        <f>EWC!AM45</f>
        <v>1.0305824056383917</v>
      </c>
      <c r="AN10" s="754"/>
      <c r="AO10" s="754"/>
      <c r="AP10" s="754"/>
      <c r="AQ10" s="754"/>
      <c r="AR10" s="772">
        <f>EWC!AR45</f>
        <v>2.0123916025465602</v>
      </c>
      <c r="AW10" s="772">
        <f>EWC!AW45</f>
        <v>3.2435489157826356</v>
      </c>
      <c r="AX10" s="754"/>
      <c r="AY10" s="754"/>
      <c r="AZ10" s="754"/>
      <c r="BA10" s="754"/>
      <c r="BB10" s="772">
        <f>EWC!BB45</f>
        <v>1.4088481105915296</v>
      </c>
      <c r="BC10" s="754"/>
      <c r="BD10" s="754"/>
      <c r="BE10" s="754"/>
      <c r="BF10" s="754"/>
      <c r="BG10" s="772">
        <f>EWC!BG45</f>
        <v>0.70199487989637377</v>
      </c>
      <c r="BH10" s="754"/>
      <c r="BI10" s="754"/>
      <c r="BJ10" s="754"/>
      <c r="BK10" s="754"/>
      <c r="BL10" s="772">
        <f>EWC!BL45</f>
        <v>0.5985522181116647</v>
      </c>
      <c r="BM10" s="754"/>
      <c r="BN10" s="754"/>
      <c r="BO10" s="754"/>
      <c r="BP10" s="754"/>
      <c r="BQ10" s="772">
        <f>EWC!BQ45</f>
        <v>0.12052971082927283</v>
      </c>
      <c r="BR10" s="773"/>
      <c r="BS10" s="764" t="s">
        <v>613</v>
      </c>
      <c r="BT10" s="977"/>
      <c r="BY10" s="978">
        <f>ETR!N203</f>
        <v>30.027999999999999</v>
      </c>
      <c r="CD10" s="978">
        <f>ETR!S203</f>
        <v>108.331</v>
      </c>
      <c r="CE10" s="978"/>
      <c r="CF10" s="978"/>
      <c r="CG10" s="978"/>
      <c r="CH10" s="978"/>
      <c r="CI10" s="978">
        <f>ETR!X203</f>
        <v>796.00199999999995</v>
      </c>
      <c r="CJ10" s="978"/>
      <c r="CK10" s="978"/>
      <c r="CL10" s="978"/>
      <c r="CM10" s="978"/>
      <c r="CN10" s="978">
        <f>ETR!AC203</f>
        <v>1046.8869999999999</v>
      </c>
      <c r="CO10" s="978"/>
      <c r="CP10" s="978"/>
      <c r="CQ10" s="978"/>
      <c r="CR10" s="978"/>
      <c r="CS10" s="978">
        <f>ETR!AH203</f>
        <v>598.40700000000004</v>
      </c>
      <c r="CT10" s="978"/>
      <c r="CU10" s="978"/>
      <c r="CV10" s="978"/>
      <c r="CW10" s="978"/>
      <c r="CX10" s="978">
        <f>ETR!AM203</f>
        <v>494.34800000000001</v>
      </c>
      <c r="CY10" s="978"/>
      <c r="CZ10" s="978"/>
      <c r="DA10" s="978"/>
      <c r="DB10" s="978"/>
      <c r="DC10" s="978">
        <f>ETR!AR203</f>
        <v>415.01100000000002</v>
      </c>
      <c r="DD10" s="978"/>
      <c r="DE10" s="978"/>
      <c r="DF10" s="978"/>
      <c r="DG10" s="978"/>
      <c r="DH10" s="978">
        <f>ETR!AW203</f>
        <v>1578.308</v>
      </c>
      <c r="DI10" s="978"/>
      <c r="DJ10" s="978"/>
      <c r="DK10" s="978"/>
      <c r="DL10" s="978"/>
      <c r="DM10" s="978">
        <f>ETR!BB203</f>
        <v>0</v>
      </c>
      <c r="DN10" s="978"/>
      <c r="DO10" s="978"/>
      <c r="DP10" s="978"/>
      <c r="DQ10" s="978"/>
      <c r="DR10" s="978">
        <f>ETR!BG203</f>
        <v>0</v>
      </c>
      <c r="DS10" s="978"/>
      <c r="DT10" s="978"/>
      <c r="DU10" s="978"/>
      <c r="DV10" s="978"/>
      <c r="DW10" s="978">
        <f>ETR!BL203</f>
        <v>0</v>
      </c>
      <c r="DX10" s="978"/>
      <c r="DY10" s="978"/>
      <c r="DZ10" s="978"/>
      <c r="EA10" s="978"/>
      <c r="EB10" s="978">
        <f>ETR!BQ203</f>
        <v>0</v>
      </c>
    </row>
    <row r="11" spans="1:132" ht="12.75" customHeight="1">
      <c r="A11" s="971"/>
      <c r="B11" s="974"/>
      <c r="C11" s="354" t="s">
        <v>290</v>
      </c>
      <c r="D11" s="773"/>
      <c r="N11" s="772">
        <f>Parent!N45</f>
        <v>-0.36062949891459517</v>
      </c>
      <c r="O11" s="772"/>
      <c r="P11" s="772"/>
      <c r="Q11" s="772"/>
      <c r="R11" s="772"/>
      <c r="S11" s="772">
        <f>Parent!S45</f>
        <v>-1.3213717645715239</v>
      </c>
      <c r="T11" s="772"/>
      <c r="U11" s="772"/>
      <c r="V11" s="772"/>
      <c r="W11" s="772"/>
      <c r="X11" s="772">
        <f>Parent!X45</f>
        <v>-0.76374963278022256</v>
      </c>
      <c r="Y11" s="772"/>
      <c r="Z11" s="772"/>
      <c r="AA11" s="772"/>
      <c r="AB11" s="772"/>
      <c r="AC11" s="772">
        <f>Parent!AC45</f>
        <v>-0.915431672886442</v>
      </c>
      <c r="AD11" s="772"/>
      <c r="AE11" s="772"/>
      <c r="AF11" s="772"/>
      <c r="AG11" s="772"/>
      <c r="AH11" s="772">
        <f>Parent!AH45</f>
        <v>-1.0025686245217114</v>
      </c>
      <c r="AI11" s="772"/>
      <c r="AJ11" s="772"/>
      <c r="AK11" s="772"/>
      <c r="AL11" s="772"/>
      <c r="AM11" s="772">
        <f>Parent!AM45</f>
        <v>-1.1479918700880347</v>
      </c>
      <c r="AN11" s="772"/>
      <c r="AO11" s="772"/>
      <c r="AP11" s="772"/>
      <c r="AQ11" s="772"/>
      <c r="AR11" s="772">
        <f>Parent!AR45</f>
        <v>-1.2438727620760597</v>
      </c>
      <c r="AW11" s="772">
        <f>Parent!AW45</f>
        <v>-1.2610234796910997</v>
      </c>
      <c r="AX11" s="772"/>
      <c r="AY11" s="772"/>
      <c r="AZ11" s="772"/>
      <c r="BA11" s="772"/>
      <c r="BB11" s="772">
        <f>Parent!BB45</f>
        <v>-1.2655521344746368</v>
      </c>
      <c r="BC11" s="772"/>
      <c r="BD11" s="772"/>
      <c r="BE11" s="772"/>
      <c r="BF11" s="772"/>
      <c r="BG11" s="772">
        <f>Parent!BG45</f>
        <v>-1.3752437781102769</v>
      </c>
      <c r="BH11" s="772"/>
      <c r="BI11" s="772"/>
      <c r="BJ11" s="772"/>
      <c r="BK11" s="772"/>
      <c r="BL11" s="772">
        <f>Parent!BL45</f>
        <v>-1.4528047240968656</v>
      </c>
      <c r="BM11" s="772"/>
      <c r="BN11" s="772"/>
      <c r="BO11" s="772"/>
      <c r="BP11" s="772"/>
      <c r="BQ11" s="772">
        <f>Parent!BQ45</f>
        <v>-1.4849686643779094</v>
      </c>
      <c r="BR11" s="773"/>
      <c r="BS11" s="764" t="s">
        <v>614</v>
      </c>
      <c r="BT11" s="977"/>
      <c r="BY11" s="978">
        <f>ETR!N204</f>
        <v>11740.812</v>
      </c>
      <c r="CD11" s="978">
        <f>ETR!S204</f>
        <v>12236.446</v>
      </c>
      <c r="CE11" s="978"/>
      <c r="CF11" s="978"/>
      <c r="CG11" s="978"/>
      <c r="CH11" s="978"/>
      <c r="CI11" s="978">
        <f>ETR!X204</f>
        <v>12638.833999999999</v>
      </c>
      <c r="CJ11" s="978"/>
      <c r="CK11" s="978"/>
      <c r="CL11" s="978"/>
      <c r="CM11" s="978"/>
      <c r="CN11" s="978">
        <f>ETR!AC204</f>
        <v>12596.243999999999</v>
      </c>
      <c r="CO11" s="978"/>
      <c r="CP11" s="978"/>
      <c r="CQ11" s="978"/>
      <c r="CR11" s="978"/>
      <c r="CS11" s="978">
        <f>ETR!AH204</f>
        <v>13399.484</v>
      </c>
      <c r="CT11" s="978"/>
      <c r="CU11" s="978"/>
      <c r="CV11" s="978"/>
      <c r="CW11" s="978"/>
      <c r="CX11" s="978">
        <f>ETR!AM204</f>
        <v>13325.93</v>
      </c>
      <c r="CY11" s="978"/>
      <c r="CZ11" s="978"/>
      <c r="DA11" s="978"/>
      <c r="DB11" s="978"/>
      <c r="DC11" s="978">
        <f>ETR!AR204</f>
        <v>14832.555</v>
      </c>
      <c r="DD11" s="978"/>
      <c r="DE11" s="978"/>
      <c r="DF11" s="978"/>
      <c r="DG11" s="978"/>
      <c r="DH11" s="978">
        <f>ETR!AW204</f>
        <v>15075.266</v>
      </c>
      <c r="DI11" s="978"/>
      <c r="DJ11" s="978"/>
      <c r="DK11" s="978"/>
      <c r="DL11" s="978"/>
      <c r="DM11" s="978">
        <f>ETR!BB204</f>
        <v>18015.266</v>
      </c>
      <c r="DN11" s="978"/>
      <c r="DO11" s="978"/>
      <c r="DP11" s="978"/>
      <c r="DQ11" s="978"/>
      <c r="DR11" s="978">
        <f>ETR!BG204</f>
        <v>19834.496999999999</v>
      </c>
      <c r="DS11" s="978"/>
      <c r="DT11" s="978"/>
      <c r="DU11" s="978"/>
      <c r="DV11" s="978"/>
      <c r="DW11" s="978">
        <f>ETR!BL204</f>
        <v>21339.496999999996</v>
      </c>
      <c r="DX11" s="978"/>
      <c r="DY11" s="978"/>
      <c r="DZ11" s="978"/>
      <c r="EA11" s="978"/>
      <c r="EB11" s="978">
        <f>ETR!BQ204</f>
        <v>22599.504999999997</v>
      </c>
    </row>
    <row r="12" spans="1:132" ht="12.75" customHeight="1">
      <c r="A12" s="971"/>
      <c r="B12" s="974"/>
      <c r="C12" s="979" t="s">
        <v>70</v>
      </c>
      <c r="D12" s="980"/>
      <c r="E12" s="981"/>
      <c r="F12" s="981"/>
      <c r="G12" s="981"/>
      <c r="H12" s="981"/>
      <c r="I12" s="981"/>
      <c r="J12" s="981"/>
      <c r="K12" s="981"/>
      <c r="L12" s="981"/>
      <c r="M12" s="981"/>
      <c r="N12" s="982">
        <f>SUM(N9:N11)</f>
        <v>7.1362276794052688</v>
      </c>
      <c r="O12" s="982"/>
      <c r="P12" s="982"/>
      <c r="Q12" s="982"/>
      <c r="R12" s="982"/>
      <c r="S12" s="982">
        <f t="shared" ref="S12:AR12" si="0">SUM(S9:S11)</f>
        <v>7.6214257056070789</v>
      </c>
      <c r="T12" s="982">
        <f t="shared" si="0"/>
        <v>0</v>
      </c>
      <c r="U12" s="982">
        <f t="shared" si="0"/>
        <v>0</v>
      </c>
      <c r="V12" s="982">
        <f t="shared" si="0"/>
        <v>0</v>
      </c>
      <c r="W12" s="982">
        <f t="shared" si="0"/>
        <v>0</v>
      </c>
      <c r="X12" s="982">
        <f t="shared" si="0"/>
        <v>6.2354460634137663</v>
      </c>
      <c r="Y12" s="982">
        <f t="shared" si="0"/>
        <v>0</v>
      </c>
      <c r="Z12" s="982">
        <f t="shared" si="0"/>
        <v>0</v>
      </c>
      <c r="AA12" s="982">
        <f t="shared" si="0"/>
        <v>0</v>
      </c>
      <c r="AB12" s="982">
        <f t="shared" si="0"/>
        <v>0</v>
      </c>
      <c r="AC12" s="982">
        <f t="shared" si="0"/>
        <v>5.3598020724599387</v>
      </c>
      <c r="AD12" s="982">
        <f t="shared" si="0"/>
        <v>0</v>
      </c>
      <c r="AE12" s="982">
        <f t="shared" si="0"/>
        <v>0</v>
      </c>
      <c r="AF12" s="982">
        <f t="shared" si="0"/>
        <v>0</v>
      </c>
      <c r="AG12" s="982">
        <f t="shared" si="0"/>
        <v>0</v>
      </c>
      <c r="AH12" s="982">
        <f t="shared" si="0"/>
        <v>5.8243990183191521</v>
      </c>
      <c r="AI12" s="982">
        <f t="shared" si="0"/>
        <v>0</v>
      </c>
      <c r="AJ12" s="982">
        <f t="shared" si="0"/>
        <v>0</v>
      </c>
      <c r="AK12" s="982">
        <f t="shared" si="0"/>
        <v>0</v>
      </c>
      <c r="AL12" s="982">
        <f t="shared" si="0"/>
        <v>0</v>
      </c>
      <c r="AM12" s="982">
        <f t="shared" si="0"/>
        <v>6.0043524939194644</v>
      </c>
      <c r="AN12" s="982">
        <f t="shared" si="0"/>
        <v>0</v>
      </c>
      <c r="AO12" s="982">
        <f t="shared" si="0"/>
        <v>0</v>
      </c>
      <c r="AP12" s="982">
        <f t="shared" si="0"/>
        <v>0</v>
      </c>
      <c r="AQ12" s="982">
        <f t="shared" si="0"/>
        <v>0</v>
      </c>
      <c r="AR12" s="982">
        <f t="shared" si="0"/>
        <v>7.1089096800716183</v>
      </c>
      <c r="AS12" s="982"/>
      <c r="AT12" s="982"/>
      <c r="AU12" s="982"/>
      <c r="AV12" s="982"/>
      <c r="AW12" s="982">
        <f t="shared" ref="AW12" si="1">SUM(AW9:AW11)</f>
        <v>7.2019584493372681</v>
      </c>
      <c r="AX12" s="982">
        <f t="shared" ref="AX12:BG12" si="2">SUM(AX9:AX11)</f>
        <v>0</v>
      </c>
      <c r="AY12" s="982">
        <f t="shared" si="2"/>
        <v>0</v>
      </c>
      <c r="AZ12" s="982">
        <f t="shared" si="2"/>
        <v>0</v>
      </c>
      <c r="BA12" s="982">
        <f t="shared" si="2"/>
        <v>0</v>
      </c>
      <c r="BB12" s="982">
        <f t="shared" si="2"/>
        <v>5.9214074798899947</v>
      </c>
      <c r="BC12" s="982">
        <f t="shared" si="2"/>
        <v>0</v>
      </c>
      <c r="BD12" s="982">
        <f t="shared" si="2"/>
        <v>0</v>
      </c>
      <c r="BE12" s="982">
        <f t="shared" si="2"/>
        <v>0</v>
      </c>
      <c r="BF12" s="982">
        <f t="shared" si="2"/>
        <v>0</v>
      </c>
      <c r="BG12" s="982">
        <f t="shared" si="2"/>
        <v>5.5144060110451454</v>
      </c>
      <c r="BH12" s="982">
        <f t="shared" ref="BH12:BL12" si="3">SUM(BH9:BH11)</f>
        <v>0</v>
      </c>
      <c r="BI12" s="982">
        <f t="shared" si="3"/>
        <v>0</v>
      </c>
      <c r="BJ12" s="982">
        <f t="shared" si="3"/>
        <v>0</v>
      </c>
      <c r="BK12" s="982">
        <f t="shared" si="3"/>
        <v>0</v>
      </c>
      <c r="BL12" s="982">
        <f t="shared" si="3"/>
        <v>5.7059801245375796</v>
      </c>
      <c r="BM12" s="982">
        <f t="shared" ref="BM12:BQ12" si="4">SUM(BM9:BM11)</f>
        <v>0</v>
      </c>
      <c r="BN12" s="982">
        <f t="shared" si="4"/>
        <v>0</v>
      </c>
      <c r="BO12" s="982">
        <f t="shared" si="4"/>
        <v>0</v>
      </c>
      <c r="BP12" s="982">
        <f t="shared" si="4"/>
        <v>0</v>
      </c>
      <c r="BQ12" s="1581">
        <f t="shared" si="4"/>
        <v>5.5572087403668515</v>
      </c>
      <c r="BR12" s="773"/>
      <c r="BS12" s="765" t="s">
        <v>396</v>
      </c>
      <c r="BT12" s="773"/>
      <c r="BY12" s="973">
        <f>+SUM(BY10:BY11)</f>
        <v>11770.84</v>
      </c>
      <c r="CD12" s="973">
        <f>+SUM(CD10:CD11)</f>
        <v>12344.777</v>
      </c>
      <c r="CE12" s="973"/>
      <c r="CF12" s="973"/>
      <c r="CG12" s="973"/>
      <c r="CH12" s="973"/>
      <c r="CI12" s="973">
        <f>+SUM(CI10:CI11)</f>
        <v>13434.835999999999</v>
      </c>
      <c r="CJ12" s="973"/>
      <c r="CK12" s="973"/>
      <c r="CL12" s="973"/>
      <c r="CM12" s="973"/>
      <c r="CN12" s="973">
        <f>+SUM(CN10:CN11)</f>
        <v>13643.130999999999</v>
      </c>
      <c r="CO12" s="973"/>
      <c r="CP12" s="973"/>
      <c r="CQ12" s="973"/>
      <c r="CR12" s="973"/>
      <c r="CS12" s="973">
        <f>+SUM(CS10:CS11)</f>
        <v>13997.891</v>
      </c>
      <c r="CT12" s="973"/>
      <c r="CU12" s="973"/>
      <c r="CV12" s="973"/>
      <c r="CW12" s="973"/>
      <c r="CX12" s="973">
        <f>+SUM(CX10:CX11)</f>
        <v>13820.278</v>
      </c>
      <c r="CY12" s="973"/>
      <c r="CZ12" s="973"/>
      <c r="DA12" s="973"/>
      <c r="DB12" s="973"/>
      <c r="DC12" s="973">
        <f>+SUM(DC10:DC11)</f>
        <v>15247.566000000001</v>
      </c>
      <c r="DD12" s="973"/>
      <c r="DE12" s="973"/>
      <c r="DF12" s="973"/>
      <c r="DG12" s="973"/>
      <c r="DH12" s="973">
        <f>+SUM(DH10:DH11)</f>
        <v>16653.574000000001</v>
      </c>
      <c r="DI12" s="973"/>
      <c r="DJ12" s="973"/>
      <c r="DK12" s="973"/>
      <c r="DL12" s="973"/>
      <c r="DM12" s="973">
        <f>+SUM(DM10:DM11)</f>
        <v>18015.266</v>
      </c>
      <c r="DN12" s="973"/>
      <c r="DO12" s="973"/>
      <c r="DP12" s="973"/>
      <c r="DQ12" s="973"/>
      <c r="DR12" s="973">
        <f>+SUM(DR10:DR11)</f>
        <v>19834.496999999999</v>
      </c>
      <c r="DS12" s="973"/>
      <c r="DT12" s="973"/>
      <c r="DU12" s="973"/>
      <c r="DV12" s="973"/>
      <c r="DW12" s="973">
        <f>+SUM(DW10:DW11)</f>
        <v>21339.496999999996</v>
      </c>
      <c r="DX12" s="973"/>
      <c r="DY12" s="973"/>
      <c r="DZ12" s="973"/>
      <c r="EA12" s="973"/>
      <c r="EB12" s="973">
        <f>+SUM(EB10:EB11)</f>
        <v>22599.504999999997</v>
      </c>
    </row>
    <row r="13" spans="1:132" ht="12.75" customHeight="1">
      <c r="A13" s="971"/>
      <c r="B13" s="974"/>
      <c r="C13" s="983" t="s">
        <v>998</v>
      </c>
      <c r="D13" s="984"/>
      <c r="E13" s="984"/>
      <c r="F13" s="984"/>
      <c r="G13" s="984"/>
      <c r="H13" s="984"/>
      <c r="I13" s="984"/>
      <c r="J13" s="984"/>
      <c r="K13" s="984"/>
      <c r="L13" s="984"/>
      <c r="M13" s="984"/>
      <c r="N13" s="984"/>
      <c r="O13" s="984"/>
      <c r="P13" s="984"/>
      <c r="Q13" s="984"/>
      <c r="R13" s="984"/>
      <c r="S13" s="985"/>
      <c r="T13" s="984"/>
      <c r="U13" s="984"/>
      <c r="V13" s="984"/>
      <c r="W13" s="984"/>
      <c r="X13" s="986"/>
      <c r="Y13" s="984"/>
      <c r="Z13" s="984"/>
      <c r="AA13" s="984"/>
      <c r="AB13" s="984"/>
      <c r="AC13" s="1580">
        <f>(1+(BQ12-AM12)/AM12)^(1/6)-1</f>
        <v>-1.2815286643474311E-2</v>
      </c>
      <c r="AD13" s="984"/>
      <c r="AE13" s="984"/>
      <c r="AF13" s="984"/>
      <c r="AG13" s="984"/>
      <c r="AH13" s="985"/>
      <c r="AI13" s="984"/>
      <c r="AJ13" s="984"/>
      <c r="AK13" s="984"/>
      <c r="AL13" s="984"/>
      <c r="AM13" s="985"/>
      <c r="AN13" s="984"/>
      <c r="AO13" s="984"/>
      <c r="AP13" s="984"/>
      <c r="AQ13" s="984"/>
      <c r="AR13" s="985"/>
      <c r="AS13" s="984"/>
      <c r="AT13" s="984"/>
      <c r="AU13" s="984"/>
      <c r="AV13" s="984"/>
      <c r="AW13" s="985"/>
      <c r="AX13" s="985"/>
      <c r="AY13" s="985"/>
      <c r="AZ13" s="985"/>
      <c r="BA13" s="985"/>
      <c r="BB13" s="985"/>
      <c r="BC13" s="985"/>
      <c r="BD13" s="985"/>
      <c r="BE13" s="985"/>
      <c r="BF13" s="985"/>
      <c r="BG13" s="985"/>
      <c r="BH13" s="984"/>
      <c r="BI13" s="984"/>
      <c r="BJ13" s="984"/>
      <c r="BK13" s="984"/>
      <c r="BL13" s="985"/>
      <c r="BM13" s="984"/>
      <c r="BN13" s="984"/>
      <c r="BO13" s="984"/>
      <c r="BP13" s="984"/>
      <c r="BQ13" s="987"/>
      <c r="BR13" s="773"/>
      <c r="BS13" s="773"/>
      <c r="BT13" s="773"/>
      <c r="BY13" s="773"/>
      <c r="CD13" s="773"/>
      <c r="CE13" s="773"/>
      <c r="CF13" s="773"/>
      <c r="CG13" s="773"/>
      <c r="CH13" s="773"/>
      <c r="CI13" s="773"/>
      <c r="CJ13" s="773"/>
      <c r="CK13" s="773"/>
      <c r="CL13" s="773"/>
      <c r="CM13" s="773"/>
      <c r="CN13" s="773"/>
      <c r="CO13" s="773"/>
      <c r="CP13" s="773"/>
      <c r="CQ13" s="773"/>
      <c r="CR13" s="773"/>
      <c r="CS13" s="773"/>
      <c r="CT13" s="773"/>
      <c r="CU13" s="773"/>
      <c r="CV13" s="773"/>
      <c r="CW13" s="773"/>
      <c r="CX13" s="773"/>
      <c r="CY13" s="773"/>
      <c r="CZ13" s="773"/>
      <c r="DA13" s="773"/>
      <c r="DB13" s="773"/>
      <c r="DC13" s="773"/>
      <c r="DD13" s="773"/>
      <c r="DE13" s="773"/>
      <c r="DF13" s="773"/>
      <c r="DG13" s="773"/>
      <c r="DH13" s="773"/>
      <c r="DI13" s="773"/>
      <c r="DJ13" s="773"/>
      <c r="DK13" s="773"/>
      <c r="DL13" s="773"/>
      <c r="DM13" s="773"/>
      <c r="DN13" s="773"/>
      <c r="DO13" s="773"/>
      <c r="DP13" s="773"/>
      <c r="DQ13" s="773"/>
      <c r="DR13" s="773"/>
      <c r="DS13" s="773"/>
      <c r="DT13" s="773"/>
      <c r="DU13" s="773"/>
      <c r="DV13" s="773"/>
      <c r="DW13" s="773"/>
      <c r="DX13" s="773"/>
      <c r="DY13" s="773"/>
      <c r="DZ13" s="773"/>
      <c r="EA13" s="773"/>
      <c r="EB13" s="773"/>
    </row>
    <row r="14" spans="1:132" ht="12.75" customHeight="1">
      <c r="A14" s="971"/>
      <c r="B14" s="974"/>
      <c r="X14" s="773"/>
      <c r="AC14" s="793"/>
      <c r="AD14" s="1403"/>
      <c r="AE14" s="1403"/>
      <c r="AF14" s="1403"/>
      <c r="AG14" s="1403"/>
      <c r="AH14" s="793"/>
      <c r="AI14" s="855"/>
      <c r="AJ14" s="855"/>
      <c r="AK14" s="855"/>
      <c r="AL14" s="855"/>
      <c r="AM14" s="1404"/>
      <c r="AN14" s="855"/>
      <c r="AO14" s="855"/>
      <c r="AP14" s="855"/>
      <c r="AQ14" s="855"/>
      <c r="AR14" s="1404"/>
      <c r="AX14" s="855"/>
      <c r="AY14" s="855"/>
      <c r="AZ14" s="855"/>
      <c r="BA14" s="855"/>
      <c r="BB14" s="1404"/>
      <c r="BC14" s="855"/>
      <c r="BD14" s="855"/>
      <c r="BE14" s="855"/>
      <c r="BF14" s="855"/>
      <c r="BG14" s="1404"/>
      <c r="BH14" s="855"/>
      <c r="BI14" s="855"/>
      <c r="BJ14" s="855"/>
      <c r="BK14" s="855"/>
      <c r="BL14" s="1404"/>
      <c r="BM14" s="855"/>
      <c r="BN14" s="855"/>
      <c r="BO14" s="855"/>
      <c r="BP14" s="855"/>
      <c r="BQ14" s="1404"/>
      <c r="BR14" s="773"/>
      <c r="BS14" s="764" t="s">
        <v>393</v>
      </c>
      <c r="BT14" s="764"/>
      <c r="BY14" s="978">
        <f>ETR!N208</f>
        <v>310.738</v>
      </c>
      <c r="CD14" s="978">
        <f>ETR!S208</f>
        <v>94</v>
      </c>
      <c r="CE14" s="978"/>
      <c r="CF14" s="978"/>
      <c r="CG14" s="978"/>
      <c r="CH14" s="978"/>
      <c r="CI14" s="978">
        <f>ETR!X208</f>
        <v>280.51099999999997</v>
      </c>
      <c r="CJ14" s="978"/>
      <c r="CK14" s="978"/>
      <c r="CL14" s="978"/>
      <c r="CM14" s="978"/>
      <c r="CN14" s="978">
        <f>ETR!AC208</f>
        <v>304.76</v>
      </c>
      <c r="CO14" s="978"/>
      <c r="CP14" s="978"/>
      <c r="CQ14" s="978"/>
      <c r="CR14" s="978"/>
      <c r="CS14" s="978">
        <f>ETR!AH208</f>
        <v>304.76</v>
      </c>
      <c r="CT14" s="978"/>
      <c r="CU14" s="978"/>
      <c r="CV14" s="978"/>
      <c r="CW14" s="978"/>
      <c r="CX14" s="978">
        <f>ETR!AM208</f>
        <v>318.185</v>
      </c>
      <c r="CY14" s="978"/>
      <c r="CZ14" s="978"/>
      <c r="DA14" s="978"/>
      <c r="DB14" s="978"/>
      <c r="DC14" s="978">
        <f>ETR!AR208</f>
        <v>203.185</v>
      </c>
      <c r="DD14" s="978"/>
      <c r="DE14" s="978"/>
      <c r="DF14" s="978"/>
      <c r="DG14" s="978"/>
      <c r="DH14" s="978">
        <f>ETR!AW208</f>
        <v>197.803</v>
      </c>
      <c r="DI14" s="978"/>
      <c r="DJ14" s="978"/>
      <c r="DK14" s="978"/>
      <c r="DL14" s="978"/>
      <c r="DM14" s="978">
        <f>ETR!BB208</f>
        <v>197.803</v>
      </c>
      <c r="DN14" s="978"/>
      <c r="DO14" s="978"/>
      <c r="DP14" s="978"/>
      <c r="DQ14" s="978"/>
      <c r="DR14" s="978">
        <f>ETR!BG208</f>
        <v>197.803</v>
      </c>
      <c r="DS14" s="978"/>
      <c r="DT14" s="978"/>
      <c r="DU14" s="978"/>
      <c r="DV14" s="978"/>
      <c r="DW14" s="978">
        <f>ETR!BL208</f>
        <v>197.803</v>
      </c>
      <c r="DX14" s="978"/>
      <c r="DY14" s="978"/>
      <c r="DZ14" s="978"/>
      <c r="EA14" s="978"/>
      <c r="EB14" s="978">
        <f>ETR!BQ208</f>
        <v>197.803</v>
      </c>
    </row>
    <row r="15" spans="1:132">
      <c r="A15" s="971"/>
      <c r="B15" s="773"/>
      <c r="C15" s="765" t="s">
        <v>247</v>
      </c>
      <c r="D15" s="969"/>
      <c r="E15" s="968"/>
      <c r="F15" s="968"/>
      <c r="G15" s="968"/>
      <c r="H15" s="968"/>
      <c r="I15" s="968"/>
      <c r="J15" s="968"/>
      <c r="K15" s="968"/>
      <c r="L15" s="968"/>
      <c r="M15" s="968"/>
      <c r="N15" s="969"/>
      <c r="O15" s="968"/>
      <c r="P15" s="968"/>
      <c r="Q15" s="968"/>
      <c r="R15" s="968"/>
      <c r="S15" s="969"/>
      <c r="T15" s="968"/>
      <c r="U15" s="968"/>
      <c r="V15" s="968"/>
      <c r="W15" s="968"/>
      <c r="X15" s="969"/>
      <c r="Y15" s="968"/>
      <c r="Z15" s="968"/>
      <c r="AA15" s="968"/>
      <c r="AB15" s="968"/>
      <c r="AC15" s="969"/>
      <c r="AD15" s="968"/>
      <c r="AE15" s="968"/>
      <c r="AF15" s="968"/>
      <c r="AG15" s="968"/>
      <c r="AH15" s="969"/>
      <c r="AI15" s="968"/>
      <c r="AJ15" s="968"/>
      <c r="AK15" s="968"/>
      <c r="AL15" s="968"/>
      <c r="AM15" s="969"/>
      <c r="AN15" s="968"/>
      <c r="AO15" s="968"/>
      <c r="AP15" s="968"/>
      <c r="AQ15" s="968"/>
      <c r="AR15" s="969"/>
      <c r="AS15" s="968"/>
      <c r="AT15" s="968"/>
      <c r="AU15" s="968"/>
      <c r="AV15" s="968"/>
      <c r="AW15" s="969"/>
      <c r="AX15" s="968"/>
      <c r="AY15" s="968"/>
      <c r="AZ15" s="968"/>
      <c r="BA15" s="968"/>
      <c r="BB15" s="969"/>
      <c r="BC15" s="968"/>
      <c r="BD15" s="968"/>
      <c r="BE15" s="968"/>
      <c r="BF15" s="968"/>
      <c r="BG15" s="969"/>
      <c r="BH15" s="968"/>
      <c r="BI15" s="968"/>
      <c r="BJ15" s="968"/>
      <c r="BK15" s="968"/>
      <c r="BL15" s="969"/>
      <c r="BM15" s="968"/>
      <c r="BN15" s="968"/>
      <c r="BO15" s="968"/>
      <c r="BP15" s="968"/>
      <c r="BQ15" s="969"/>
      <c r="BR15" s="773"/>
      <c r="BS15" s="765" t="s">
        <v>394</v>
      </c>
      <c r="BT15" s="988"/>
      <c r="BU15" s="765"/>
      <c r="BV15" s="765"/>
      <c r="BW15" s="765"/>
      <c r="BX15" s="765"/>
      <c r="BY15" s="973">
        <f>ETR!N211</f>
        <v>8496.3999999999978</v>
      </c>
      <c r="BZ15" s="765"/>
      <c r="CA15" s="765"/>
      <c r="CB15" s="765"/>
      <c r="CC15" s="765"/>
      <c r="CD15" s="973">
        <f>ETR!S211</f>
        <v>8961.2699999999986</v>
      </c>
      <c r="CE15" s="973"/>
      <c r="CF15" s="973"/>
      <c r="CG15" s="973"/>
      <c r="CH15" s="973"/>
      <c r="CI15" s="973">
        <f>ETR!X211</f>
        <v>9197.0890000000018</v>
      </c>
      <c r="CJ15" s="973"/>
      <c r="CK15" s="973"/>
      <c r="CL15" s="973"/>
      <c r="CM15" s="973"/>
      <c r="CN15" s="973">
        <f>ETR!AC211</f>
        <v>9632.4660000000003</v>
      </c>
      <c r="CO15" s="973"/>
      <c r="CP15" s="973"/>
      <c r="CQ15" s="973"/>
      <c r="CR15" s="973"/>
      <c r="CS15" s="973">
        <f>ETR!AH211</f>
        <v>10007.725000000002</v>
      </c>
      <c r="CT15" s="973"/>
      <c r="CU15" s="973"/>
      <c r="CV15" s="973"/>
      <c r="CW15" s="973"/>
      <c r="CX15" s="973">
        <f>ETR!AM211</f>
        <v>9256.7910000000011</v>
      </c>
      <c r="CY15" s="973"/>
      <c r="CZ15" s="973"/>
      <c r="DA15" s="973"/>
      <c r="DB15" s="973"/>
      <c r="DC15" s="973">
        <f>ETR!AR211</f>
        <v>8081.809000000002</v>
      </c>
      <c r="DD15" s="973"/>
      <c r="DE15" s="973"/>
      <c r="DF15" s="973"/>
      <c r="DG15" s="973"/>
      <c r="DH15" s="973">
        <f>ETR!AW211</f>
        <v>7992.5150000000012</v>
      </c>
      <c r="DI15" s="973"/>
      <c r="DJ15" s="973"/>
      <c r="DK15" s="973"/>
      <c r="DL15" s="973"/>
      <c r="DM15" s="973">
        <f>ETR!BB211</f>
        <v>8415.2953829863891</v>
      </c>
      <c r="DN15" s="973"/>
      <c r="DO15" s="973"/>
      <c r="DP15" s="973"/>
      <c r="DQ15" s="973"/>
      <c r="DR15" s="973">
        <f>ETR!BG211</f>
        <v>8750.1634038093453</v>
      </c>
      <c r="DS15" s="973"/>
      <c r="DT15" s="973"/>
      <c r="DU15" s="973"/>
      <c r="DV15" s="973"/>
      <c r="DW15" s="973">
        <f>ETR!BL211</f>
        <v>9105.1725217355179</v>
      </c>
      <c r="DX15" s="973"/>
      <c r="DY15" s="973"/>
      <c r="DZ15" s="973"/>
      <c r="EA15" s="973"/>
      <c r="EB15" s="973">
        <f>ETR!BQ211</f>
        <v>9418.8843663176322</v>
      </c>
    </row>
    <row r="16" spans="1:132">
      <c r="A16" s="971"/>
      <c r="B16" s="974"/>
      <c r="C16" s="813" t="s">
        <v>209</v>
      </c>
      <c r="D16" s="990"/>
      <c r="E16" s="841"/>
      <c r="F16" s="841"/>
      <c r="G16" s="841"/>
      <c r="H16" s="841"/>
      <c r="I16" s="841"/>
      <c r="J16" s="841"/>
      <c r="K16" s="841"/>
      <c r="L16" s="841"/>
      <c r="M16" s="841"/>
      <c r="N16" s="991">
        <f>(N9)/N12</f>
        <v>0.60969783300136182</v>
      </c>
      <c r="O16" s="841"/>
      <c r="P16" s="841"/>
      <c r="Q16" s="841"/>
      <c r="R16" s="841"/>
      <c r="S16" s="991">
        <f>+(S9+S11)/S12</f>
        <v>0.6405899786603152</v>
      </c>
      <c r="T16" s="841" t="e">
        <f>(T9)/T12</f>
        <v>#DIV/0!</v>
      </c>
      <c r="U16" s="841" t="e">
        <f>(U9)/U12</f>
        <v>#DIV/0!</v>
      </c>
      <c r="V16" s="841" t="e">
        <f>(V9)/V12</f>
        <v>#DIV/0!</v>
      </c>
      <c r="W16" s="841" t="e">
        <f>(W9)/W12</f>
        <v>#DIV/0!</v>
      </c>
      <c r="X16" s="991">
        <f>+(X9+X11)/X12</f>
        <v>0.76185741238846361</v>
      </c>
      <c r="Y16" s="841" t="e">
        <f>(Y9)/Y12</f>
        <v>#DIV/0!</v>
      </c>
      <c r="Z16" s="841" t="e">
        <f>(Z9)/Z12</f>
        <v>#DIV/0!</v>
      </c>
      <c r="AA16" s="841" t="e">
        <f>(AA9)/AA12</f>
        <v>#DIV/0!</v>
      </c>
      <c r="AB16" s="841" t="e">
        <f>(AB9)/AB12</f>
        <v>#DIV/0!</v>
      </c>
      <c r="AC16" s="991">
        <f>+(AC9+AC11)/AC12</f>
        <v>0.7255412693735882</v>
      </c>
      <c r="AD16" s="841" t="e">
        <f>(AD9)/AD12</f>
        <v>#DIV/0!</v>
      </c>
      <c r="AE16" s="841" t="e">
        <f>(AE9)/AE12</f>
        <v>#DIV/0!</v>
      </c>
      <c r="AF16" s="841" t="e">
        <f>(AF9)/AF12</f>
        <v>#DIV/0!</v>
      </c>
      <c r="AG16" s="841" t="e">
        <f>(AG9)/AG12</f>
        <v>#DIV/0!</v>
      </c>
      <c r="AH16" s="991">
        <f>+(AH9+AH11)/AH12</f>
        <v>0.62467848943121784</v>
      </c>
      <c r="AI16" s="841" t="e">
        <f>(AI9)/AI12</f>
        <v>#DIV/0!</v>
      </c>
      <c r="AJ16" s="841" t="e">
        <f>(AJ9)/AJ12</f>
        <v>#DIV/0!</v>
      </c>
      <c r="AK16" s="841" t="e">
        <f>(AK9)/AK12</f>
        <v>#DIV/0!</v>
      </c>
      <c r="AL16" s="841" t="e">
        <f>(AL9)/AL12</f>
        <v>#DIV/0!</v>
      </c>
      <c r="AM16" s="991">
        <f>+(AM9+AM11)/AM12</f>
        <v>0.82836077550709253</v>
      </c>
      <c r="AN16" s="841" t="e">
        <f>(AN9)/AN12</f>
        <v>#DIV/0!</v>
      </c>
      <c r="AO16" s="841" t="e">
        <f>(AO9)/AO12</f>
        <v>#DIV/0!</v>
      </c>
      <c r="AP16" s="841" t="e">
        <f>(AP9)/AP12</f>
        <v>#DIV/0!</v>
      </c>
      <c r="AQ16" s="841" t="e">
        <f>(AQ9)/AQ12</f>
        <v>#DIV/0!</v>
      </c>
      <c r="AR16" s="991">
        <f>+(AR9+AR11)/AR12</f>
        <v>0.71691979598673317</v>
      </c>
      <c r="AS16" s="841" t="e">
        <f>(AS9)/AS12</f>
        <v>#DIV/0!</v>
      </c>
      <c r="AT16" s="841" t="e">
        <f>(AT9)/AT12</f>
        <v>#DIV/0!</v>
      </c>
      <c r="AU16" s="841" t="e">
        <f>(AU9)/AU12</f>
        <v>#DIV/0!</v>
      </c>
      <c r="AV16" s="841" t="e">
        <f>(AV9)/AV12</f>
        <v>#DIV/0!</v>
      </c>
      <c r="AW16" s="991">
        <f>+(AW9+AW11)/AW12</f>
        <v>0.54962959886541551</v>
      </c>
      <c r="AX16" s="841" t="e">
        <f>(AX9)/AX12</f>
        <v>#DIV/0!</v>
      </c>
      <c r="AY16" s="841" t="e">
        <f>(AY9)/AY12</f>
        <v>#DIV/0!</v>
      </c>
      <c r="AZ16" s="841" t="e">
        <f>(AZ9)/AZ12</f>
        <v>#DIV/0!</v>
      </c>
      <c r="BA16" s="841" t="e">
        <f>(BA9)/BA12</f>
        <v>#DIV/0!</v>
      </c>
      <c r="BB16" s="991">
        <f>+(BB9+BB11)/BB12</f>
        <v>0.76207546679126659</v>
      </c>
      <c r="BC16" s="841" t="e">
        <f>(BC9)/BC12</f>
        <v>#DIV/0!</v>
      </c>
      <c r="BD16" s="841" t="e">
        <f>(BD9)/BD12</f>
        <v>#DIV/0!</v>
      </c>
      <c r="BE16" s="841" t="e">
        <f>(BE9)/BE12</f>
        <v>#DIV/0!</v>
      </c>
      <c r="BF16" s="841" t="e">
        <f>(BF9)/BF12</f>
        <v>#DIV/0!</v>
      </c>
      <c r="BG16" s="991">
        <f>+(BG9+BG11)/BG12</f>
        <v>0.8726980061877373</v>
      </c>
      <c r="BH16" s="841" t="e">
        <f>(BH9)/BH12</f>
        <v>#DIV/0!</v>
      </c>
      <c r="BI16" s="841" t="e">
        <f>(BI9)/BI12</f>
        <v>#DIV/0!</v>
      </c>
      <c r="BJ16" s="841" t="e">
        <f>(BJ9)/BJ12</f>
        <v>#DIV/0!</v>
      </c>
      <c r="BK16" s="841" t="e">
        <f>(BK9)/BK12</f>
        <v>#DIV/0!</v>
      </c>
      <c r="BL16" s="991">
        <f>+(BL9+BL11)/BL12</f>
        <v>0.89510089326499853</v>
      </c>
      <c r="BM16" s="841" t="e">
        <f>(BM9)/BM12</f>
        <v>#DIV/0!</v>
      </c>
      <c r="BN16" s="841" t="e">
        <f>(BN9)/BN12</f>
        <v>#DIV/0!</v>
      </c>
      <c r="BO16" s="841" t="e">
        <f>(BO9)/BO12</f>
        <v>#DIV/0!</v>
      </c>
      <c r="BP16" s="841" t="e">
        <f>(BP9)/BP12</f>
        <v>#DIV/0!</v>
      </c>
      <c r="BQ16" s="991">
        <f>+(BQ9+BQ11)/BQ12</f>
        <v>0.97831110608572958</v>
      </c>
      <c r="BR16" s="773"/>
      <c r="BS16" s="773"/>
      <c r="BT16" s="773"/>
      <c r="BY16" s="773"/>
      <c r="CD16" s="773"/>
      <c r="CE16" s="773"/>
      <c r="CF16" s="773"/>
      <c r="CG16" s="773"/>
      <c r="CH16" s="773"/>
      <c r="CI16" s="773"/>
      <c r="CJ16" s="773"/>
      <c r="CK16" s="773"/>
      <c r="CL16" s="773"/>
      <c r="CM16" s="773"/>
      <c r="CN16" s="773"/>
      <c r="CO16" s="773"/>
      <c r="CP16" s="773"/>
      <c r="CQ16" s="773"/>
      <c r="CR16" s="773"/>
      <c r="CS16" s="773"/>
      <c r="CT16" s="773"/>
      <c r="CU16" s="773"/>
      <c r="CV16" s="773"/>
      <c r="CW16" s="773"/>
      <c r="CX16" s="773"/>
      <c r="CY16" s="773"/>
      <c r="CZ16" s="773"/>
      <c r="DA16" s="773"/>
      <c r="DB16" s="773"/>
      <c r="DC16" s="773"/>
      <c r="DD16" s="773"/>
      <c r="DE16" s="773"/>
      <c r="DF16" s="773"/>
      <c r="DG16" s="773"/>
      <c r="DH16" s="773"/>
      <c r="DI16" s="773"/>
      <c r="DJ16" s="773"/>
      <c r="DK16" s="773"/>
      <c r="DL16" s="773"/>
      <c r="DM16" s="773"/>
      <c r="DN16" s="773"/>
      <c r="DO16" s="773"/>
      <c r="DP16" s="773"/>
      <c r="DQ16" s="773"/>
      <c r="DR16" s="773"/>
      <c r="DS16" s="773"/>
      <c r="DT16" s="773"/>
      <c r="DU16" s="773"/>
      <c r="DV16" s="773"/>
      <c r="DW16" s="773"/>
      <c r="DX16" s="773"/>
      <c r="DY16" s="773"/>
      <c r="DZ16" s="773"/>
      <c r="EA16" s="773"/>
      <c r="EB16" s="773"/>
    </row>
    <row r="17" spans="1:132">
      <c r="A17" s="971"/>
      <c r="B17" s="764"/>
      <c r="C17" s="990" t="s">
        <v>71</v>
      </c>
      <c r="D17" s="990"/>
      <c r="E17" s="841"/>
      <c r="F17" s="841"/>
      <c r="G17" s="841"/>
      <c r="H17" s="841"/>
      <c r="I17" s="841"/>
      <c r="J17" s="841"/>
      <c r="K17" s="841"/>
      <c r="L17" s="841"/>
      <c r="M17" s="841"/>
      <c r="N17" s="991">
        <f>(N10+N11)/N12</f>
        <v>0.39030216699863823</v>
      </c>
      <c r="O17" s="991" t="e">
        <f>O10/O12</f>
        <v>#DIV/0!</v>
      </c>
      <c r="P17" s="991" t="e">
        <f>P10/P12</f>
        <v>#DIV/0!</v>
      </c>
      <c r="Q17" s="991" t="e">
        <f>Q10/Q12</f>
        <v>#DIV/0!</v>
      </c>
      <c r="R17" s="991" t="e">
        <f>R10/R12</f>
        <v>#DIV/0!</v>
      </c>
      <c r="S17" s="991">
        <f>S10/S12</f>
        <v>0.35941002133968486</v>
      </c>
      <c r="T17" s="991" t="e">
        <f>(T10+T11)/T12</f>
        <v>#DIV/0!</v>
      </c>
      <c r="U17" s="991" t="e">
        <f>(U10+U11)/U12</f>
        <v>#DIV/0!</v>
      </c>
      <c r="V17" s="991" t="e">
        <f>(V10+V11)/V12</f>
        <v>#DIV/0!</v>
      </c>
      <c r="W17" s="991" t="e">
        <f>(W10+W11)/W12</f>
        <v>#DIV/0!</v>
      </c>
      <c r="X17" s="991">
        <f>X10/X12</f>
        <v>0.23814258761153634</v>
      </c>
      <c r="Y17" s="991" t="e">
        <f>(Y10+Y11)/Y12</f>
        <v>#DIV/0!</v>
      </c>
      <c r="Z17" s="991" t="e">
        <f>(Z10+Z11)/Z12</f>
        <v>#DIV/0!</v>
      </c>
      <c r="AA17" s="991" t="e">
        <f>(AA10+AA11)/AA12</f>
        <v>#DIV/0!</v>
      </c>
      <c r="AB17" s="991" t="e">
        <f>(AB10+AB11)/AB12</f>
        <v>#DIV/0!</v>
      </c>
      <c r="AC17" s="991">
        <f>AC10/AC12</f>
        <v>0.27445873062641174</v>
      </c>
      <c r="AD17" s="991" t="e">
        <f>(AD10+AD11)/AD12</f>
        <v>#DIV/0!</v>
      </c>
      <c r="AE17" s="991" t="e">
        <f>(AE10+AE11)/AE12</f>
        <v>#DIV/0!</v>
      </c>
      <c r="AF17" s="991" t="e">
        <f>(AF10+AF11)/AF12</f>
        <v>#DIV/0!</v>
      </c>
      <c r="AG17" s="991" t="e">
        <f>(AG10+AG11)/AG12</f>
        <v>#DIV/0!</v>
      </c>
      <c r="AH17" s="991">
        <f>AH10/AH12</f>
        <v>0.37532151056878205</v>
      </c>
      <c r="AI17" s="991" t="e">
        <f>(AI10+AI11)/AI12</f>
        <v>#DIV/0!</v>
      </c>
      <c r="AJ17" s="991" t="e">
        <f>(AJ10+AJ11)/AJ12</f>
        <v>#DIV/0!</v>
      </c>
      <c r="AK17" s="991" t="e">
        <f>(AK10+AK11)/AK12</f>
        <v>#DIV/0!</v>
      </c>
      <c r="AL17" s="991" t="e">
        <f>(AL10+AL11)/AL12</f>
        <v>#DIV/0!</v>
      </c>
      <c r="AM17" s="991">
        <f>AM10/AM12</f>
        <v>0.17163922449290744</v>
      </c>
      <c r="AN17" s="991" t="e">
        <f>(AN10+AN11)/AN12</f>
        <v>#DIV/0!</v>
      </c>
      <c r="AO17" s="991" t="e">
        <f>(AO10+AO11)/AO12</f>
        <v>#DIV/0!</v>
      </c>
      <c r="AP17" s="991" t="e">
        <f>(AP10+AP11)/AP12</f>
        <v>#DIV/0!</v>
      </c>
      <c r="AQ17" s="991" t="e">
        <f>(AQ10+AQ11)/AQ12</f>
        <v>#DIV/0!</v>
      </c>
      <c r="AR17" s="991">
        <f>AR10/AR12</f>
        <v>0.28308020401326672</v>
      </c>
      <c r="AS17" s="991" t="e">
        <f>(AS10+AS11)/AS12</f>
        <v>#DIV/0!</v>
      </c>
      <c r="AT17" s="991" t="e">
        <f>(AT10+AT11)/AT12</f>
        <v>#DIV/0!</v>
      </c>
      <c r="AU17" s="991" t="e">
        <f>(AU10+AU11)/AU12</f>
        <v>#DIV/0!</v>
      </c>
      <c r="AV17" s="991" t="e">
        <f>(AV10+AV11)/AV12</f>
        <v>#DIV/0!</v>
      </c>
      <c r="AW17" s="991">
        <f>AW10/AW12</f>
        <v>0.45037040113458449</v>
      </c>
      <c r="AX17" s="991" t="e">
        <f>(AX10+AX11)/AX12</f>
        <v>#DIV/0!</v>
      </c>
      <c r="AY17" s="991" t="e">
        <f>(AY10+AY11)/AY12</f>
        <v>#DIV/0!</v>
      </c>
      <c r="AZ17" s="991" t="e">
        <f>(AZ10+AZ11)/AZ12</f>
        <v>#DIV/0!</v>
      </c>
      <c r="BA17" s="991" t="e">
        <f>(BA10+BA11)/BA12</f>
        <v>#DIV/0!</v>
      </c>
      <c r="BB17" s="991">
        <f>BB10/BB12</f>
        <v>0.23792453320873344</v>
      </c>
      <c r="BC17" s="991" t="e">
        <f>(BC10+BC11)/BC12</f>
        <v>#DIV/0!</v>
      </c>
      <c r="BD17" s="991" t="e">
        <f>(BD10+BD11)/BD12</f>
        <v>#DIV/0!</v>
      </c>
      <c r="BE17" s="991" t="e">
        <f>(BE10+BE11)/BE12</f>
        <v>#DIV/0!</v>
      </c>
      <c r="BF17" s="991" t="e">
        <f>(BF10+BF11)/BF12</f>
        <v>#DIV/0!</v>
      </c>
      <c r="BG17" s="991">
        <f>BG10/BG12</f>
        <v>0.12730199381226279</v>
      </c>
      <c r="BH17" s="991" t="e">
        <f>(BH10+BH11)/BH12</f>
        <v>#DIV/0!</v>
      </c>
      <c r="BI17" s="991" t="e">
        <f>(BI10+BI11)/BI12</f>
        <v>#DIV/0!</v>
      </c>
      <c r="BJ17" s="991" t="e">
        <f>(BJ10+BJ11)/BJ12</f>
        <v>#DIV/0!</v>
      </c>
      <c r="BK17" s="991" t="e">
        <f>(BK10+BK11)/BK12</f>
        <v>#DIV/0!</v>
      </c>
      <c r="BL17" s="991">
        <f>BL10/BL12</f>
        <v>0.1048991067350015</v>
      </c>
      <c r="BM17" s="991" t="e">
        <f>(BM10+BM11)/BM12</f>
        <v>#DIV/0!</v>
      </c>
      <c r="BN17" s="991" t="e">
        <f>(BN10+BN11)/BN12</f>
        <v>#DIV/0!</v>
      </c>
      <c r="BO17" s="991" t="e">
        <f>(BO10+BO11)/BO12</f>
        <v>#DIV/0!</v>
      </c>
      <c r="BP17" s="991" t="e">
        <f>(BP10+BP11)/BP12</f>
        <v>#DIV/0!</v>
      </c>
      <c r="BQ17" s="991">
        <f>BQ10/BQ12</f>
        <v>2.1688893914270389E-2</v>
      </c>
      <c r="BR17" s="773"/>
      <c r="BS17" s="765" t="s">
        <v>80</v>
      </c>
      <c r="BT17" s="977"/>
      <c r="BU17" s="764"/>
      <c r="BY17" s="973">
        <f>SUM(BY12,BY14,BY15)</f>
        <v>20577.977999999996</v>
      </c>
      <c r="CD17" s="973">
        <f>SUM(CD12,CD14,CD15)</f>
        <v>21400.046999999999</v>
      </c>
      <c r="CE17" s="973"/>
      <c r="CF17" s="973"/>
      <c r="CG17" s="973"/>
      <c r="CH17" s="973"/>
      <c r="CI17" s="973">
        <f>SUM(CI12,CI14,CI15)</f>
        <v>22912.436000000002</v>
      </c>
      <c r="CJ17" s="973"/>
      <c r="CK17" s="973"/>
      <c r="CL17" s="973"/>
      <c r="CM17" s="973"/>
      <c r="CN17" s="973">
        <f>SUM(CN12,CN14,CN15)</f>
        <v>23580.357</v>
      </c>
      <c r="CO17" s="973"/>
      <c r="CP17" s="973"/>
      <c r="CQ17" s="973"/>
      <c r="CR17" s="973"/>
      <c r="CS17" s="973">
        <f>SUM(CS12,CS14,CS15)</f>
        <v>24310.376000000004</v>
      </c>
      <c r="CT17" s="973"/>
      <c r="CU17" s="973"/>
      <c r="CV17" s="973"/>
      <c r="CW17" s="973"/>
      <c r="CX17" s="973">
        <f>SUM(CX12,CX14,CX15)</f>
        <v>23395.254000000001</v>
      </c>
      <c r="CY17" s="973"/>
      <c r="CZ17" s="973"/>
      <c r="DA17" s="973"/>
      <c r="DB17" s="973"/>
      <c r="DC17" s="973">
        <f>SUM(DC12,DC14,DC15)</f>
        <v>23532.560000000001</v>
      </c>
      <c r="DD17" s="973"/>
      <c r="DE17" s="973"/>
      <c r="DF17" s="973"/>
      <c r="DG17" s="973"/>
      <c r="DH17" s="973">
        <f>SUM(DH12,DH14,DH15)</f>
        <v>24843.892</v>
      </c>
      <c r="DI17" s="973"/>
      <c r="DJ17" s="973"/>
      <c r="DK17" s="973"/>
      <c r="DL17" s="973"/>
      <c r="DM17" s="973">
        <f>SUM(DM12,DM14,DM15)</f>
        <v>26628.364382986387</v>
      </c>
      <c r="DN17" s="973"/>
      <c r="DO17" s="973"/>
      <c r="DP17" s="973"/>
      <c r="DQ17" s="973"/>
      <c r="DR17" s="973">
        <f>SUM(DR12,DR14,DR15)</f>
        <v>28782.463403809343</v>
      </c>
      <c r="DS17" s="973"/>
      <c r="DT17" s="973"/>
      <c r="DU17" s="973"/>
      <c r="DV17" s="973"/>
      <c r="DW17" s="973">
        <f>SUM(DW12,DW14,DW15)</f>
        <v>30642.472521735515</v>
      </c>
      <c r="DX17" s="973"/>
      <c r="DY17" s="973"/>
      <c r="DZ17" s="973"/>
      <c r="EA17" s="973"/>
      <c r="EB17" s="973">
        <f>SUM(EB12,EB14,EB15)</f>
        <v>32216.192366317628</v>
      </c>
    </row>
    <row r="18" spans="1:132">
      <c r="A18" s="989"/>
      <c r="B18" s="974"/>
      <c r="C18" s="992"/>
      <c r="D18" s="990"/>
      <c r="E18" s="841"/>
      <c r="F18" s="841"/>
      <c r="G18" s="841"/>
      <c r="H18" s="841"/>
      <c r="I18" s="841"/>
      <c r="J18" s="841"/>
      <c r="K18" s="841"/>
      <c r="L18" s="841"/>
      <c r="M18" s="841"/>
      <c r="N18" s="991"/>
      <c r="O18" s="841"/>
      <c r="P18" s="841"/>
      <c r="Q18" s="841"/>
      <c r="R18" s="841"/>
      <c r="S18" s="991"/>
      <c r="T18" s="841"/>
      <c r="U18" s="841"/>
      <c r="V18" s="841"/>
      <c r="W18" s="841"/>
      <c r="X18" s="991"/>
      <c r="Y18" s="841"/>
      <c r="Z18" s="841"/>
      <c r="AA18" s="841"/>
      <c r="AB18" s="841"/>
      <c r="AC18" s="991"/>
      <c r="AD18" s="841"/>
      <c r="AE18" s="841"/>
      <c r="AF18" s="841"/>
      <c r="AG18" s="841"/>
      <c r="AH18" s="991"/>
      <c r="AI18" s="841"/>
      <c r="AJ18" s="841"/>
      <c r="AK18" s="841"/>
      <c r="AL18" s="841"/>
      <c r="AM18" s="991"/>
      <c r="AN18" s="841"/>
      <c r="AO18" s="841"/>
      <c r="AP18" s="841"/>
      <c r="AQ18" s="841"/>
      <c r="AR18" s="991"/>
      <c r="AS18" s="841"/>
      <c r="AT18" s="841"/>
      <c r="AU18" s="841"/>
      <c r="AV18" s="841"/>
      <c r="AW18" s="991"/>
      <c r="AX18" s="841"/>
      <c r="AY18" s="841"/>
      <c r="AZ18" s="841"/>
      <c r="BA18" s="841"/>
      <c r="BB18" s="991"/>
      <c r="BC18" s="841"/>
      <c r="BD18" s="841"/>
      <c r="BE18" s="841"/>
      <c r="BF18" s="841"/>
      <c r="BG18" s="991"/>
      <c r="BH18" s="841"/>
      <c r="BI18" s="841"/>
      <c r="BJ18" s="841"/>
      <c r="BK18" s="841"/>
      <c r="BL18" s="991"/>
      <c r="BM18" s="841"/>
      <c r="BN18" s="841"/>
      <c r="BO18" s="841"/>
      <c r="BP18" s="841"/>
      <c r="BQ18" s="991"/>
      <c r="BR18" s="773"/>
      <c r="BS18" s="764"/>
      <c r="BT18" s="764"/>
      <c r="BY18" s="978"/>
      <c r="CD18" s="978"/>
      <c r="CE18" s="978"/>
      <c r="CF18" s="978"/>
      <c r="CG18" s="978"/>
      <c r="CH18" s="978"/>
      <c r="CI18" s="978"/>
      <c r="CJ18" s="978"/>
      <c r="CK18" s="978"/>
      <c r="CL18" s="978"/>
      <c r="CM18" s="978"/>
      <c r="CN18" s="978"/>
      <c r="CO18" s="978"/>
      <c r="CP18" s="978"/>
      <c r="CQ18" s="978"/>
      <c r="CR18" s="978"/>
      <c r="CS18" s="978"/>
      <c r="CT18" s="978"/>
      <c r="CU18" s="978"/>
      <c r="CV18" s="978"/>
      <c r="CW18" s="978"/>
      <c r="CX18" s="978"/>
      <c r="CY18" s="978"/>
      <c r="CZ18" s="978"/>
      <c r="DA18" s="978"/>
      <c r="DB18" s="978"/>
      <c r="DC18" s="978"/>
      <c r="DD18" s="978"/>
      <c r="DE18" s="978"/>
      <c r="DF18" s="978"/>
      <c r="DG18" s="978"/>
      <c r="DH18" s="978"/>
      <c r="DI18" s="978"/>
      <c r="DJ18" s="978"/>
      <c r="DK18" s="978"/>
      <c r="DL18" s="978"/>
      <c r="DM18" s="978"/>
      <c r="DN18" s="978"/>
      <c r="DO18" s="978"/>
      <c r="DP18" s="978"/>
      <c r="DQ18" s="978"/>
      <c r="DR18" s="978"/>
      <c r="DS18" s="978"/>
      <c r="DT18" s="978"/>
      <c r="DU18" s="978"/>
      <c r="DV18" s="978"/>
      <c r="DW18" s="978"/>
      <c r="DX18" s="978"/>
      <c r="DY18" s="978"/>
      <c r="DZ18" s="978"/>
      <c r="EA18" s="978"/>
      <c r="EB18" s="978"/>
    </row>
    <row r="19" spans="1:132">
      <c r="A19" s="989"/>
      <c r="B19" s="974"/>
      <c r="C19" s="765" t="s">
        <v>248</v>
      </c>
      <c r="D19" s="972"/>
      <c r="E19" s="968"/>
      <c r="F19" s="968"/>
      <c r="G19" s="968"/>
      <c r="H19" s="968"/>
      <c r="I19" s="968"/>
      <c r="J19" s="968"/>
      <c r="K19" s="968"/>
      <c r="L19" s="968"/>
      <c r="M19" s="968"/>
      <c r="N19" s="969"/>
      <c r="O19" s="968"/>
      <c r="P19" s="968"/>
      <c r="Q19" s="968"/>
      <c r="R19" s="968"/>
      <c r="S19" s="969"/>
      <c r="T19" s="968"/>
      <c r="U19" s="968"/>
      <c r="V19" s="968"/>
      <c r="W19" s="968"/>
      <c r="X19" s="969"/>
      <c r="Y19" s="968"/>
      <c r="Z19" s="968"/>
      <c r="AA19" s="968"/>
      <c r="AB19" s="968"/>
      <c r="AC19" s="969"/>
      <c r="AD19" s="968"/>
      <c r="AE19" s="968"/>
      <c r="AF19" s="968"/>
      <c r="AG19" s="968"/>
      <c r="AH19" s="969"/>
      <c r="AI19" s="968"/>
      <c r="AJ19" s="968"/>
      <c r="AK19" s="968"/>
      <c r="AL19" s="968"/>
      <c r="AM19" s="969"/>
      <c r="AN19" s="968"/>
      <c r="AO19" s="968"/>
      <c r="AP19" s="968"/>
      <c r="AQ19" s="968"/>
      <c r="AR19" s="969"/>
      <c r="AS19" s="968"/>
      <c r="AT19" s="968"/>
      <c r="AU19" s="968"/>
      <c r="AV19" s="968"/>
      <c r="AW19" s="969"/>
      <c r="AX19" s="968"/>
      <c r="AY19" s="968"/>
      <c r="AZ19" s="968"/>
      <c r="BA19" s="968"/>
      <c r="BB19" s="969"/>
      <c r="BC19" s="968"/>
      <c r="BD19" s="968"/>
      <c r="BE19" s="968"/>
      <c r="BF19" s="968"/>
      <c r="BG19" s="969"/>
      <c r="BH19" s="968"/>
      <c r="BI19" s="968"/>
      <c r="BJ19" s="968"/>
      <c r="BK19" s="968"/>
      <c r="BL19" s="969"/>
      <c r="BM19" s="968"/>
      <c r="BN19" s="968"/>
      <c r="BO19" s="968"/>
      <c r="BP19" s="968"/>
      <c r="BQ19" s="969"/>
      <c r="BR19" s="773"/>
      <c r="BS19" s="765" t="s">
        <v>397</v>
      </c>
      <c r="BT19" s="764"/>
      <c r="BY19" s="978"/>
      <c r="CD19" s="978"/>
      <c r="CE19" s="978"/>
      <c r="CF19" s="978"/>
      <c r="CG19" s="978"/>
      <c r="CH19" s="978"/>
      <c r="CI19" s="978"/>
      <c r="CJ19" s="978"/>
      <c r="CK19" s="978"/>
      <c r="CL19" s="978"/>
      <c r="CM19" s="978"/>
      <c r="CN19" s="978"/>
      <c r="CO19" s="978"/>
      <c r="CP19" s="978"/>
      <c r="CQ19" s="978"/>
      <c r="CR19" s="978"/>
      <c r="CS19" s="978"/>
      <c r="CT19" s="978"/>
      <c r="CU19" s="978"/>
      <c r="CV19" s="978"/>
      <c r="CW19" s="978"/>
      <c r="CX19" s="978"/>
      <c r="CY19" s="978"/>
      <c r="CZ19" s="978"/>
      <c r="DA19" s="978"/>
      <c r="DB19" s="978"/>
      <c r="DC19" s="978"/>
      <c r="DD19" s="978"/>
      <c r="DE19" s="978"/>
      <c r="DF19" s="978"/>
      <c r="DG19" s="978"/>
      <c r="DH19" s="978"/>
      <c r="DI19" s="978"/>
      <c r="DJ19" s="978"/>
      <c r="DK19" s="978"/>
      <c r="DL19" s="978"/>
      <c r="DM19" s="978"/>
      <c r="DN19" s="978"/>
      <c r="DO19" s="978"/>
      <c r="DP19" s="978"/>
      <c r="DQ19" s="978"/>
      <c r="DR19" s="978"/>
      <c r="DS19" s="978"/>
      <c r="DT19" s="978"/>
      <c r="DU19" s="978"/>
      <c r="DV19" s="978"/>
      <c r="DW19" s="978"/>
      <c r="DX19" s="978"/>
      <c r="DY19" s="978"/>
      <c r="DZ19" s="978"/>
      <c r="EA19" s="978"/>
      <c r="EB19" s="978"/>
    </row>
    <row r="20" spans="1:132">
      <c r="A20" s="989"/>
      <c r="B20" s="974"/>
      <c r="C20" s="354" t="s">
        <v>291</v>
      </c>
      <c r="D20" s="975"/>
      <c r="E20" s="996"/>
      <c r="F20" s="996"/>
      <c r="G20" s="996"/>
      <c r="H20" s="996"/>
      <c r="I20" s="996"/>
      <c r="J20" s="996"/>
      <c r="K20" s="996"/>
      <c r="L20" s="996"/>
      <c r="M20" s="996"/>
      <c r="N20" s="997">
        <f>Utility!N35</f>
        <v>2679.3129999999996</v>
      </c>
      <c r="O20" s="997"/>
      <c r="P20" s="997"/>
      <c r="Q20" s="997"/>
      <c r="R20" s="997"/>
      <c r="S20" s="997">
        <f>Utility!S35</f>
        <v>2525.3689999999992</v>
      </c>
      <c r="T20" s="997">
        <f>Utility!T35</f>
        <v>513.08800000000031</v>
      </c>
      <c r="U20" s="997">
        <f>Utility!U35</f>
        <v>524.29199999999935</v>
      </c>
      <c r="V20" s="997">
        <f>Utility!V35</f>
        <v>861.60100000000011</v>
      </c>
      <c r="W20" s="997">
        <f>Utility!W35</f>
        <v>551.34700000000112</v>
      </c>
      <c r="X20" s="997">
        <f>Utility!X35</f>
        <v>2450.3279999999995</v>
      </c>
      <c r="Y20" s="997">
        <f>Utility!Y35</f>
        <v>574.31599999999969</v>
      </c>
      <c r="Z20" s="997">
        <f>Utility!Z35</f>
        <v>670.33199999999943</v>
      </c>
      <c r="AA20" s="997">
        <f>Utility!AA35</f>
        <v>919.75300000000004</v>
      </c>
      <c r="AB20" s="997">
        <f>Utility!AB35</f>
        <v>597.93500000000131</v>
      </c>
      <c r="AC20" s="997">
        <f>Utility!AC35</f>
        <v>2762.3360000000011</v>
      </c>
      <c r="AD20" s="997">
        <f>Utility!AD35</f>
        <v>709.52899999999966</v>
      </c>
      <c r="AE20" s="997">
        <f>Utility!AE35</f>
        <v>724.90999999999985</v>
      </c>
      <c r="AF20" s="997">
        <f>Utility!AF35</f>
        <v>879.48099999999977</v>
      </c>
      <c r="AG20" s="997">
        <f>Utility!AG35</f>
        <v>575.46500000000003</v>
      </c>
      <c r="AH20" s="998">
        <f>Utility!AH35</f>
        <v>2889.3849999999998</v>
      </c>
      <c r="AI20" s="998">
        <f>Utility!AI35</f>
        <v>725.61999999999944</v>
      </c>
      <c r="AJ20" s="998">
        <f>Utility!AJ35</f>
        <v>734.76800000000026</v>
      </c>
      <c r="AK20" s="998">
        <f>Utility!AK35</f>
        <v>972.11900000000037</v>
      </c>
      <c r="AL20" s="998">
        <f>Utility!AL35</f>
        <v>337.99</v>
      </c>
      <c r="AM20" s="998">
        <f>Utility!AM35</f>
        <v>2770.4970000000003</v>
      </c>
      <c r="AN20" s="998">
        <f>Utility!AN35</f>
        <v>723.69100000000014</v>
      </c>
      <c r="AO20" s="998">
        <f>Utility!AO35</f>
        <v>809.62300000000027</v>
      </c>
      <c r="AP20" s="998">
        <f>Utility!AP35</f>
        <v>1130.0230000000001</v>
      </c>
      <c r="AQ20" s="998">
        <f>Utility!AQ35</f>
        <v>615.41800000000035</v>
      </c>
      <c r="AR20" s="998">
        <f>Utility!AR35</f>
        <v>3278.7550000000001</v>
      </c>
      <c r="AS20" s="998">
        <f>Utility!AS35</f>
        <v>694.79499999999985</v>
      </c>
      <c r="AT20" s="998">
        <f>Utility!AT35</f>
        <v>809.89799999999968</v>
      </c>
      <c r="AU20" s="998">
        <f>Utility!AU35</f>
        <v>1073.6830000000002</v>
      </c>
      <c r="AV20" s="998">
        <f>Utility!AV35</f>
        <v>731.86800000000096</v>
      </c>
      <c r="AW20" s="998">
        <f>Utility!AW35</f>
        <v>3310.2439999999992</v>
      </c>
      <c r="AX20" s="998">
        <f>Utility!AX35</f>
        <v>762.67876373863578</v>
      </c>
      <c r="AY20" s="998">
        <f>Utility!AY35</f>
        <v>840.50802410227243</v>
      </c>
      <c r="AZ20" s="998">
        <f>Utility!AZ35</f>
        <v>1158.7078596477272</v>
      </c>
      <c r="BA20" s="998">
        <f>Utility!BA35</f>
        <v>722.57724507197054</v>
      </c>
      <c r="BB20" s="998">
        <f>Utility!BB35</f>
        <v>3484.471892560608</v>
      </c>
      <c r="BC20" s="998">
        <f>Utility!BC35</f>
        <v>826.73343712959127</v>
      </c>
      <c r="BD20" s="998">
        <f>Utility!BD35</f>
        <v>905.68724117540933</v>
      </c>
      <c r="BE20" s="998">
        <f>Utility!BE35</f>
        <v>1225.6943810541366</v>
      </c>
      <c r="BF20" s="998">
        <f>Utility!BF35</f>
        <v>786.16104963092459</v>
      </c>
      <c r="BG20" s="998">
        <f>Utility!BG35</f>
        <v>3744.2761089900632</v>
      </c>
      <c r="BH20" s="998">
        <f>Utility!BH35</f>
        <v>901.23750148569798</v>
      </c>
      <c r="BI20" s="998">
        <f>Utility!BI35</f>
        <v>981.32093295699133</v>
      </c>
      <c r="BJ20" s="998">
        <f>Utility!BJ35</f>
        <v>1303.1462797681907</v>
      </c>
      <c r="BK20" s="998">
        <f>Utility!BK35</f>
        <v>860.18652804484032</v>
      </c>
      <c r="BL20" s="998">
        <f>Utility!BL35</f>
        <v>4045.89124225572</v>
      </c>
      <c r="BM20" s="998">
        <f>Utility!BM35</f>
        <v>967.37176479805032</v>
      </c>
      <c r="BN20" s="998">
        <f>Utility!BN35</f>
        <v>1048.589921305384</v>
      </c>
      <c r="BO20" s="998">
        <f>Utility!BO35</f>
        <v>1372.2444436515823</v>
      </c>
      <c r="BP20" s="998">
        <f>Utility!BP35</f>
        <v>925.8343930831752</v>
      </c>
      <c r="BQ20" s="998">
        <f>Utility!BQ35</f>
        <v>4314.0405228381915</v>
      </c>
      <c r="BR20" s="773"/>
      <c r="BS20" s="764" t="s">
        <v>866</v>
      </c>
      <c r="BT20" s="764"/>
      <c r="BY20" s="993">
        <f>ETR!N229</f>
        <v>0.57055226708863249</v>
      </c>
      <c r="CD20" s="993">
        <f>ETR!S229</f>
        <v>0.57179528624399756</v>
      </c>
      <c r="CE20" s="993"/>
      <c r="CF20" s="993"/>
      <c r="CG20" s="993"/>
      <c r="CH20" s="993"/>
      <c r="CI20" s="993">
        <f>ETR!X229</f>
        <v>0.55161459043464423</v>
      </c>
      <c r="CJ20" s="993"/>
      <c r="CK20" s="993"/>
      <c r="CL20" s="993"/>
      <c r="CM20" s="993"/>
      <c r="CN20" s="993">
        <f>ETR!AC229</f>
        <v>0.53418376999126849</v>
      </c>
      <c r="CO20" s="993"/>
      <c r="CP20" s="993"/>
      <c r="CQ20" s="993"/>
      <c r="CR20" s="993"/>
      <c r="CS20" s="993">
        <f>ETR!AH229</f>
        <v>0.55118374146084781</v>
      </c>
      <c r="CT20" s="993"/>
      <c r="CU20" s="993"/>
      <c r="CV20" s="993"/>
      <c r="CW20" s="993"/>
      <c r="CX20" s="993">
        <f>ETR!AM229</f>
        <v>0.56959971454039349</v>
      </c>
      <c r="CY20" s="993"/>
      <c r="CZ20" s="993"/>
      <c r="DA20" s="993"/>
      <c r="DB20" s="993"/>
      <c r="DC20" s="993">
        <f>ETR!AR229</f>
        <v>0.63029925345988702</v>
      </c>
      <c r="DD20" s="993"/>
      <c r="DE20" s="993"/>
      <c r="DF20" s="993"/>
      <c r="DG20" s="993"/>
      <c r="DH20" s="993">
        <f>ETR!AW229</f>
        <v>0.60679969144931079</v>
      </c>
      <c r="DI20" s="993"/>
      <c r="DJ20" s="993"/>
      <c r="DK20" s="993"/>
      <c r="DL20" s="993"/>
      <c r="DM20" s="993">
        <f>ETR!BB229</f>
        <v>0.67654421957326305</v>
      </c>
      <c r="DN20" s="993"/>
      <c r="DO20" s="993"/>
      <c r="DP20" s="993"/>
      <c r="DQ20" s="993"/>
      <c r="DR20" s="993">
        <f>ETR!BG229</f>
        <v>0.68911742270729037</v>
      </c>
      <c r="DS20" s="993"/>
      <c r="DT20" s="993"/>
      <c r="DU20" s="993"/>
      <c r="DV20" s="993"/>
      <c r="DW20" s="993">
        <f>ETR!BL229</f>
        <v>0.69640258255476373</v>
      </c>
      <c r="DX20" s="993"/>
      <c r="DY20" s="993"/>
      <c r="DZ20" s="993"/>
      <c r="EA20" s="993"/>
      <c r="EB20" s="993">
        <f>ETR!BQ229</f>
        <v>0.70149522150320964</v>
      </c>
    </row>
    <row r="21" spans="1:132">
      <c r="A21" s="989"/>
      <c r="B21" s="974"/>
      <c r="C21" s="354" t="s">
        <v>731</v>
      </c>
      <c r="D21" s="975"/>
      <c r="E21" s="996"/>
      <c r="F21" s="996"/>
      <c r="G21" s="996"/>
      <c r="H21" s="996"/>
      <c r="I21" s="996"/>
      <c r="J21" s="996"/>
      <c r="K21" s="996"/>
      <c r="L21" s="996"/>
      <c r="M21" s="996"/>
      <c r="N21" s="997">
        <f>EWC!N26</f>
        <v>993.06799999999998</v>
      </c>
      <c r="O21" s="764"/>
      <c r="P21" s="764"/>
      <c r="Q21" s="764"/>
      <c r="R21" s="764"/>
      <c r="S21" s="997">
        <f>EWC!S26</f>
        <v>917.11899999999991</v>
      </c>
      <c r="T21" s="764">
        <f>EWC!T26</f>
        <v>-200.70000000000013</v>
      </c>
      <c r="U21" s="764">
        <f>EWC!U26</f>
        <v>181.41099999999992</v>
      </c>
      <c r="V21" s="764">
        <f>EWC!V26</f>
        <v>185.59500000000008</v>
      </c>
      <c r="W21" s="764">
        <f>EWC!W26</f>
        <v>129.39800000000008</v>
      </c>
      <c r="X21" s="997">
        <f>EWC!X26</f>
        <v>295.70399999999984</v>
      </c>
      <c r="Y21" s="764">
        <f>EWC!Y26</f>
        <v>191.36099999999993</v>
      </c>
      <c r="Z21" s="764">
        <f>EWC!Z26</f>
        <v>51.168000000000106</v>
      </c>
      <c r="AA21" s="764">
        <f>EWC!AA26</f>
        <v>-140.77199999999988</v>
      </c>
      <c r="AB21" s="764">
        <f>EWC!AB26</f>
        <v>95.942000000000064</v>
      </c>
      <c r="AC21" s="997">
        <f>EWC!AC26</f>
        <v>197.69900000000001</v>
      </c>
      <c r="AD21" s="764">
        <f>EWC!AD26</f>
        <v>436.55499999999995</v>
      </c>
      <c r="AE21" s="764">
        <f>EWC!AE26</f>
        <v>120.23999999999992</v>
      </c>
      <c r="AF21" s="764">
        <f>EWC!AF26</f>
        <v>45.034999999999954</v>
      </c>
      <c r="AG21" s="764">
        <f>EWC!AG26</f>
        <v>162.24900000000019</v>
      </c>
      <c r="AH21" s="997">
        <f>EWC!AH26</f>
        <v>764.07900000000029</v>
      </c>
      <c r="AI21" s="764">
        <f>EWC!AI26</f>
        <v>261.8</v>
      </c>
      <c r="AJ21" s="764">
        <f>EWC!AJ26</f>
        <v>62.795000000000009</v>
      </c>
      <c r="AK21" s="764">
        <f>EWC!AK26</f>
        <v>-1518.277</v>
      </c>
      <c r="AL21" s="764">
        <f>EWC!AL26</f>
        <v>-216.49399999999946</v>
      </c>
      <c r="AM21" s="997">
        <f>EWC!AM26</f>
        <v>-1410.1759999999995</v>
      </c>
      <c r="AN21" s="764">
        <f>EWC!AN26</f>
        <v>194.07999999999993</v>
      </c>
      <c r="AO21" s="764">
        <f>EWC!AO26</f>
        <v>68.085000000000022</v>
      </c>
      <c r="AP21" s="764">
        <f>EWC!AP26</f>
        <v>72.821000000000026</v>
      </c>
      <c r="AQ21" s="764">
        <f>EWC!AQ26</f>
        <v>-2797.6630000000005</v>
      </c>
      <c r="AR21" s="997">
        <f>EWC!AR26</f>
        <v>-2462.6770000000006</v>
      </c>
      <c r="AS21" s="764">
        <f>EWC!AS26</f>
        <v>-46.500000000000043</v>
      </c>
      <c r="AT21" s="764">
        <f>EWC!AT26</f>
        <v>-173.07099999999997</v>
      </c>
      <c r="AU21" s="764">
        <f>EWC!AU26</f>
        <v>139.02099999999999</v>
      </c>
      <c r="AV21" s="764">
        <f>EWC!AV26</f>
        <v>-21.429999999999978</v>
      </c>
      <c r="AW21" s="997">
        <f>EWC!AW26</f>
        <v>-101.98000000000022</v>
      </c>
      <c r="AX21" s="764">
        <f>EWC!AX26</f>
        <v>93.611240528794767</v>
      </c>
      <c r="AY21" s="764">
        <f>EWC!AY26</f>
        <v>114.77786690106375</v>
      </c>
      <c r="AZ21" s="764">
        <f>EWC!AZ26</f>
        <v>124.57655962130799</v>
      </c>
      <c r="BA21" s="764">
        <f>EWC!BA26</f>
        <v>109.46281400264958</v>
      </c>
      <c r="BB21" s="997">
        <f>EWC!BB26</f>
        <v>442.42848105381591</v>
      </c>
      <c r="BC21" s="764">
        <f>EWC!BC26</f>
        <v>154.59386947630082</v>
      </c>
      <c r="BD21" s="764">
        <f>EWC!BD26</f>
        <v>107.75975666173382</v>
      </c>
      <c r="BE21" s="764">
        <f>EWC!BE26</f>
        <v>76.954106351731028</v>
      </c>
      <c r="BF21" s="764">
        <f>EWC!BF26</f>
        <v>55.380974314327261</v>
      </c>
      <c r="BG21" s="997">
        <f>EWC!BG26</f>
        <v>394.6887068040931</v>
      </c>
      <c r="BH21" s="764">
        <f>EWC!BH26</f>
        <v>219.64520693725564</v>
      </c>
      <c r="BI21" s="764">
        <f>EWC!BI26</f>
        <v>61.875081631558373</v>
      </c>
      <c r="BJ21" s="764">
        <f>EWC!BJ26</f>
        <v>26.491428792228731</v>
      </c>
      <c r="BK21" s="764">
        <f>EWC!BK26</f>
        <v>13.803736916763128</v>
      </c>
      <c r="BL21" s="997">
        <f>EWC!BL26</f>
        <v>321.81545427780577</v>
      </c>
      <c r="BM21" s="764">
        <f>EWC!BM26</f>
        <v>71.501708000819164</v>
      </c>
      <c r="BN21" s="764">
        <f>EWC!BN26</f>
        <v>51.892145684323751</v>
      </c>
      <c r="BO21" s="764">
        <f>EWC!BO26</f>
        <v>7.1736983789473783</v>
      </c>
      <c r="BP21" s="764">
        <f>EWC!BP26</f>
        <v>7.8011465063212881</v>
      </c>
      <c r="BQ21" s="997">
        <f>EWC!BQ26</f>
        <v>138.36869857041165</v>
      </c>
      <c r="BR21" s="773"/>
      <c r="BS21" s="764" t="s">
        <v>398</v>
      </c>
      <c r="BT21" s="764"/>
      <c r="BV21" s="764"/>
      <c r="BW21" s="764"/>
      <c r="BX21" s="764"/>
      <c r="BY21" s="993">
        <f>ETR!N230</f>
        <v>0.57201149695076958</v>
      </c>
      <c r="CA21" s="764"/>
      <c r="CB21" s="764"/>
      <c r="CC21" s="764"/>
      <c r="CD21" s="993">
        <f>ETR!S230</f>
        <v>0.57685747138779653</v>
      </c>
      <c r="CE21" s="993"/>
      <c r="CF21" s="993"/>
      <c r="CG21" s="993"/>
      <c r="CH21" s="993"/>
      <c r="CI21" s="993">
        <f>ETR!X230</f>
        <v>0.58635563673805779</v>
      </c>
      <c r="CJ21" s="993"/>
      <c r="CK21" s="993"/>
      <c r="CL21" s="993"/>
      <c r="CM21" s="993"/>
      <c r="CN21" s="993">
        <f>ETR!AC230</f>
        <v>0.57858034125607172</v>
      </c>
      <c r="CO21" s="993"/>
      <c r="CP21" s="993"/>
      <c r="CQ21" s="993"/>
      <c r="CR21" s="993"/>
      <c r="CS21" s="993">
        <f>ETR!AH230</f>
        <v>0.57579903330166504</v>
      </c>
      <c r="CT21" s="993"/>
      <c r="CU21" s="993"/>
      <c r="CV21" s="993"/>
      <c r="CW21" s="993"/>
      <c r="CX21" s="993">
        <f>ETR!AM230</f>
        <v>0.5907299830982814</v>
      </c>
      <c r="CY21" s="993"/>
      <c r="CZ21" s="993"/>
      <c r="DA21" s="993"/>
      <c r="DB21" s="993"/>
      <c r="DC21" s="993">
        <f>ETR!AR230</f>
        <v>0.647934861315556</v>
      </c>
      <c r="DD21" s="993"/>
      <c r="DE21" s="993"/>
      <c r="DF21" s="993"/>
      <c r="DG21" s="993"/>
      <c r="DH21" s="993">
        <f>ETR!AW230</f>
        <v>0.67032870695139068</v>
      </c>
      <c r="DI21" s="993"/>
      <c r="DJ21" s="993"/>
      <c r="DK21" s="993"/>
      <c r="DL21" s="993"/>
      <c r="DM21" s="993">
        <f>ETR!BB230</f>
        <v>0.67654421957326305</v>
      </c>
      <c r="DN21" s="993"/>
      <c r="DO21" s="993"/>
      <c r="DP21" s="993"/>
      <c r="DQ21" s="993"/>
      <c r="DR21" s="993">
        <f>ETR!BG230</f>
        <v>0.68911742270729037</v>
      </c>
      <c r="DS21" s="993"/>
      <c r="DT21" s="993"/>
      <c r="DU21" s="993"/>
      <c r="DV21" s="993"/>
      <c r="DW21" s="993">
        <f>ETR!BL230</f>
        <v>0.69640258255476373</v>
      </c>
      <c r="DX21" s="993"/>
      <c r="DY21" s="993"/>
      <c r="DZ21" s="993"/>
      <c r="EA21" s="993"/>
      <c r="EB21" s="993">
        <f>ETR!BQ230</f>
        <v>0.70149522150320964</v>
      </c>
    </row>
    <row r="22" spans="1:132">
      <c r="B22" s="974"/>
      <c r="C22" s="354" t="s">
        <v>4</v>
      </c>
      <c r="D22" s="773"/>
      <c r="N22" s="837">
        <f>Parent!I27</f>
        <v>-142.41700000000063</v>
      </c>
      <c r="O22" s="837">
        <f>Parent!J27</f>
        <v>-45.534999999999407</v>
      </c>
      <c r="P22" s="837">
        <f>Parent!K27</f>
        <v>-19.123000000000356</v>
      </c>
      <c r="Q22" s="837">
        <f>Parent!L27</f>
        <v>-43.118999999999851</v>
      </c>
      <c r="R22" s="837">
        <f>Parent!M27</f>
        <v>-31.99900000000131</v>
      </c>
      <c r="S22" s="837">
        <f>Parent!N27</f>
        <v>-139.77600000000098</v>
      </c>
      <c r="T22" s="837">
        <f>Parent!O27</f>
        <v>-37.716999999999736</v>
      </c>
      <c r="U22" s="837">
        <f>Parent!P27</f>
        <v>-38.866999999999948</v>
      </c>
      <c r="V22" s="837">
        <f>Parent!Q27</f>
        <v>-40.225999999999821</v>
      </c>
      <c r="W22" s="837">
        <f>Parent!R27</f>
        <v>-56.214000000000354</v>
      </c>
      <c r="X22" s="837">
        <f>Parent!S27</f>
        <v>-173.02399999999912</v>
      </c>
      <c r="Y22" s="837">
        <f>Parent!T27</f>
        <v>-41.721000000000046</v>
      </c>
      <c r="Z22" s="837">
        <f>Parent!U27</f>
        <v>-43.432999999999787</v>
      </c>
      <c r="AA22" s="837">
        <f>Parent!V27</f>
        <v>-42.485999999999876</v>
      </c>
      <c r="AB22" s="837">
        <f>Parent!W27</f>
        <v>-5.305000000001403</v>
      </c>
      <c r="AC22" s="837">
        <f>Parent!X27</f>
        <v>-132.94500000000099</v>
      </c>
      <c r="AD22" s="837">
        <f>Parent!Y27</f>
        <v>-33.322000000000024</v>
      </c>
      <c r="AE22" s="837">
        <f>Parent!Z27</f>
        <v>-33.838999999999729</v>
      </c>
      <c r="AF22" s="837">
        <f>Parent!AA27</f>
        <v>-34.046000000000184</v>
      </c>
      <c r="AG22" s="837">
        <f>Parent!AB27</f>
        <v>-37.194000000002944</v>
      </c>
      <c r="AH22" s="837">
        <f>Parent!AC27</f>
        <v>-138.40100000000092</v>
      </c>
      <c r="AI22" s="837">
        <f>Parent!AD27</f>
        <v>-38.809999999999739</v>
      </c>
      <c r="AJ22" s="837">
        <f>Parent!AE27</f>
        <v>-34.5730000000001</v>
      </c>
      <c r="AK22" s="837">
        <f>Parent!AF27</f>
        <v>-39.938000000000187</v>
      </c>
      <c r="AL22" s="837">
        <f>Parent!AG27</f>
        <v>-44.144000000000972</v>
      </c>
      <c r="AM22" s="837">
        <f>Parent!AH27</f>
        <v>-157.46499999999924</v>
      </c>
      <c r="AN22" s="837">
        <f>Parent!AI27</f>
        <v>-41.813999999999609</v>
      </c>
      <c r="AO22" s="837">
        <f>Parent!AJ27</f>
        <v>-43.889999999999823</v>
      </c>
      <c r="AP22" s="837">
        <f>Parent!AK27</f>
        <v>-40.839000000000169</v>
      </c>
      <c r="AQ22" s="837">
        <f>Parent!AL27</f>
        <v>-52.693999999998624</v>
      </c>
      <c r="AR22" s="837">
        <f>Parent!AM27</f>
        <v>-179.23699999999943</v>
      </c>
      <c r="AS22" s="837">
        <f>Parent!AN27</f>
        <v>-44.182000000000158</v>
      </c>
      <c r="AT22" s="837">
        <f>Parent!AO27</f>
        <v>-47.924000000000206</v>
      </c>
      <c r="AU22" s="837">
        <f>Parent!AP27</f>
        <v>-44.139999999999901</v>
      </c>
      <c r="AV22" s="837">
        <f>Parent!AQ27</f>
        <v>-48.036999999999232</v>
      </c>
      <c r="AW22" s="837">
        <f>Parent!AR27</f>
        <v>-184.28299999999922</v>
      </c>
      <c r="AX22" s="837">
        <f>Parent!AS27</f>
        <v>-45.168999999999961</v>
      </c>
      <c r="AY22" s="837">
        <f>Parent!AT27</f>
        <v>-47.388999999999712</v>
      </c>
      <c r="AZ22" s="837">
        <f>Parent!AU27</f>
        <v>-47.626999999999718</v>
      </c>
      <c r="BA22" s="837">
        <f>Parent!AV27</f>
        <v>-47.835000000001045</v>
      </c>
      <c r="BB22" s="837">
        <f>Parent!AW27</f>
        <v>-188.01999999999998</v>
      </c>
      <c r="BC22" s="837">
        <f>Parent!AX27</f>
        <v>-45.168999999999961</v>
      </c>
      <c r="BD22" s="837">
        <f>Parent!AY27</f>
        <v>-47.388999999999712</v>
      </c>
      <c r="BE22" s="837">
        <f>Parent!AZ27</f>
        <v>-47.626999999999711</v>
      </c>
      <c r="BF22" s="837">
        <f>Parent!BA27</f>
        <v>-47.835000000001045</v>
      </c>
      <c r="BG22" s="837">
        <f>Parent!BB27</f>
        <v>-188.02000000000041</v>
      </c>
      <c r="BH22" s="837">
        <f>Parent!BC27</f>
        <v>-45.168999999999961</v>
      </c>
      <c r="BI22" s="837">
        <f>Parent!BD27</f>
        <v>-47.388999999999712</v>
      </c>
      <c r="BJ22" s="837">
        <f>Parent!BE27</f>
        <v>-47.626999999999711</v>
      </c>
      <c r="BK22" s="837">
        <f>Parent!BF27</f>
        <v>-47.835000000001045</v>
      </c>
      <c r="BL22" s="837">
        <f>Parent!BG27</f>
        <v>-188.02000000000041</v>
      </c>
      <c r="BM22" s="837">
        <f>Parent!BH27</f>
        <v>-45.168999999999961</v>
      </c>
      <c r="BN22" s="837">
        <f>Parent!BI27</f>
        <v>-47.388999999999712</v>
      </c>
      <c r="BO22" s="837">
        <f>Parent!BJ27</f>
        <v>-47.626999999999711</v>
      </c>
      <c r="BP22" s="837">
        <f>Parent!BK27</f>
        <v>-47.835000000001045</v>
      </c>
      <c r="BQ22" s="837">
        <f>Parent!BL27</f>
        <v>-188.02000000000041</v>
      </c>
      <c r="BR22" s="773"/>
      <c r="BS22" s="764" t="s">
        <v>249</v>
      </c>
      <c r="BT22" s="994"/>
      <c r="BY22" s="995">
        <f>ETR!N231</f>
        <v>2.965621120957481</v>
      </c>
      <c r="CD22" s="995">
        <f>ETR!S231</f>
        <v>3.5633788902401129</v>
      </c>
      <c r="CE22" s="995"/>
      <c r="CF22" s="995"/>
      <c r="CG22" s="995"/>
      <c r="CH22" s="995"/>
      <c r="CI22" s="995">
        <f>ETR!X231</f>
        <v>4.9375573794519658</v>
      </c>
      <c r="CJ22" s="995"/>
      <c r="CK22" s="995"/>
      <c r="CL22" s="995"/>
      <c r="CM22" s="995"/>
      <c r="CN22" s="995">
        <f>ETR!AC231</f>
        <v>4.5732384143372258</v>
      </c>
      <c r="CO22" s="995"/>
      <c r="CP22" s="995"/>
      <c r="CQ22" s="995"/>
      <c r="CR22" s="995"/>
      <c r="CS22" s="995">
        <f>ETR!AH231</f>
        <v>3.5972164179680819</v>
      </c>
      <c r="CT22" s="995"/>
      <c r="CU22" s="995"/>
      <c r="CV22" s="995"/>
      <c r="CW22" s="995"/>
      <c r="CX22" s="995">
        <f>ETR!AM231</f>
        <v>10.557519194231723</v>
      </c>
      <c r="CY22" s="995"/>
      <c r="CZ22" s="995"/>
      <c r="DA22" s="995"/>
      <c r="DB22" s="995"/>
      <c r="DC22" s="995">
        <f>ETR!AR231</f>
        <v>22.253613909575101</v>
      </c>
      <c r="DD22" s="995"/>
      <c r="DE22" s="995"/>
      <c r="DF22" s="995"/>
      <c r="DG22" s="995"/>
      <c r="DH22" s="995">
        <f>ETR!AW231</f>
        <v>5.255304207209746</v>
      </c>
      <c r="DI22" s="995"/>
      <c r="DJ22" s="995"/>
      <c r="DK22" s="995"/>
      <c r="DL22" s="995"/>
      <c r="DM22" s="995">
        <f>ETR!BB231</f>
        <v>4.801039369269466</v>
      </c>
      <c r="DN22" s="995"/>
      <c r="DO22" s="995"/>
      <c r="DP22" s="995"/>
      <c r="DQ22" s="995"/>
      <c r="DR22" s="995">
        <f>ETR!BG231</f>
        <v>4.9545263676218001</v>
      </c>
      <c r="DS22" s="995"/>
      <c r="DT22" s="995"/>
      <c r="DU22" s="995"/>
      <c r="DV22" s="995"/>
      <c r="DW22" s="995">
        <f>ETR!BL231</f>
        <v>4.9701932588252831</v>
      </c>
      <c r="DX22" s="995"/>
      <c r="DY22" s="995"/>
      <c r="DZ22" s="995"/>
      <c r="EA22" s="995"/>
      <c r="EB22" s="995">
        <f>ETR!BQ231</f>
        <v>5.2218356801920542</v>
      </c>
    </row>
    <row r="23" spans="1:132">
      <c r="B23" s="974"/>
      <c r="C23" s="1000" t="s">
        <v>75</v>
      </c>
      <c r="D23" s="1001"/>
      <c r="E23" s="1002"/>
      <c r="F23" s="1002"/>
      <c r="G23" s="1002"/>
      <c r="H23" s="1002"/>
      <c r="I23" s="1002"/>
      <c r="J23" s="1002"/>
      <c r="K23" s="1002"/>
      <c r="L23" s="1002"/>
      <c r="M23" s="1002"/>
      <c r="N23" s="1002">
        <f>SUM(N20:N22)</f>
        <v>3529.9639999999986</v>
      </c>
      <c r="O23" s="1002">
        <f t="shared" ref="O23:AR23" si="5">SUM(O20:O22)</f>
        <v>-45.534999999999407</v>
      </c>
      <c r="P23" s="1002">
        <f t="shared" si="5"/>
        <v>-19.123000000000356</v>
      </c>
      <c r="Q23" s="1002">
        <f t="shared" si="5"/>
        <v>-43.118999999999851</v>
      </c>
      <c r="R23" s="1002">
        <f t="shared" si="5"/>
        <v>-31.99900000000131</v>
      </c>
      <c r="S23" s="1002">
        <f t="shared" si="5"/>
        <v>3302.7119999999986</v>
      </c>
      <c r="T23" s="1002">
        <f t="shared" si="5"/>
        <v>274.67100000000039</v>
      </c>
      <c r="U23" s="1002">
        <f t="shared" si="5"/>
        <v>666.83599999999933</v>
      </c>
      <c r="V23" s="1002">
        <f t="shared" si="5"/>
        <v>1006.9700000000004</v>
      </c>
      <c r="W23" s="1002">
        <f t="shared" si="5"/>
        <v>624.53100000000086</v>
      </c>
      <c r="X23" s="1002">
        <f t="shared" si="5"/>
        <v>2573.0080000000003</v>
      </c>
      <c r="Y23" s="1002">
        <f t="shared" si="5"/>
        <v>723.95599999999968</v>
      </c>
      <c r="Z23" s="1002">
        <f t="shared" si="5"/>
        <v>678.06699999999978</v>
      </c>
      <c r="AA23" s="1002">
        <f t="shared" si="5"/>
        <v>736.49500000000035</v>
      </c>
      <c r="AB23" s="1002">
        <f t="shared" si="5"/>
        <v>688.57199999999989</v>
      </c>
      <c r="AC23" s="1002">
        <f t="shared" si="5"/>
        <v>2827.09</v>
      </c>
      <c r="AD23" s="1002">
        <f t="shared" si="5"/>
        <v>1112.7619999999995</v>
      </c>
      <c r="AE23" s="1002">
        <f t="shared" si="5"/>
        <v>811.31100000000004</v>
      </c>
      <c r="AF23" s="1002">
        <f t="shared" si="5"/>
        <v>890.46999999999957</v>
      </c>
      <c r="AG23" s="1002">
        <f t="shared" si="5"/>
        <v>700.51999999999725</v>
      </c>
      <c r="AH23" s="1002">
        <f t="shared" si="5"/>
        <v>3515.0629999999992</v>
      </c>
      <c r="AI23" s="1002">
        <f t="shared" si="5"/>
        <v>948.60999999999967</v>
      </c>
      <c r="AJ23" s="1002">
        <f t="shared" si="5"/>
        <v>762.99000000000012</v>
      </c>
      <c r="AK23" s="1002">
        <f t="shared" si="5"/>
        <v>-586.09599999999989</v>
      </c>
      <c r="AL23" s="1002">
        <f t="shared" si="5"/>
        <v>77.351999999999578</v>
      </c>
      <c r="AM23" s="1002">
        <f t="shared" si="5"/>
        <v>1202.8560000000016</v>
      </c>
      <c r="AN23" s="1002">
        <f t="shared" si="5"/>
        <v>875.95700000000045</v>
      </c>
      <c r="AO23" s="1002">
        <f t="shared" si="5"/>
        <v>833.81800000000044</v>
      </c>
      <c r="AP23" s="1002">
        <f t="shared" si="5"/>
        <v>1162.0049999999999</v>
      </c>
      <c r="AQ23" s="1002">
        <f t="shared" si="5"/>
        <v>-2234.9389999999985</v>
      </c>
      <c r="AR23" s="1002">
        <f t="shared" si="5"/>
        <v>636.84100000000012</v>
      </c>
      <c r="AS23" s="1002">
        <f t="shared" ref="AS23:BB23" si="6">SUM(AS20:AS22)</f>
        <v>604.11299999999972</v>
      </c>
      <c r="AT23" s="1002">
        <f t="shared" si="6"/>
        <v>588.90299999999957</v>
      </c>
      <c r="AU23" s="1002">
        <f t="shared" si="6"/>
        <v>1168.5640000000003</v>
      </c>
      <c r="AV23" s="1002">
        <f t="shared" si="6"/>
        <v>662.40100000000177</v>
      </c>
      <c r="AW23" s="1002">
        <f t="shared" si="6"/>
        <v>3023.9809999999998</v>
      </c>
      <c r="AX23" s="1002">
        <f t="shared" si="6"/>
        <v>811.12100426743052</v>
      </c>
      <c r="AY23" s="1002">
        <f t="shared" si="6"/>
        <v>907.89689100333646</v>
      </c>
      <c r="AZ23" s="1002">
        <f t="shared" si="6"/>
        <v>1235.6574192690355</v>
      </c>
      <c r="BA23" s="1002">
        <f t="shared" si="6"/>
        <v>784.20505907461904</v>
      </c>
      <c r="BB23" s="1002">
        <f t="shared" si="6"/>
        <v>3738.8803736144241</v>
      </c>
      <c r="BC23" s="1002">
        <f t="shared" ref="BC23:BL23" si="7">SUM(BC20:BC22)</f>
        <v>936.15830660589211</v>
      </c>
      <c r="BD23" s="1002">
        <f t="shared" si="7"/>
        <v>966.05799783714349</v>
      </c>
      <c r="BE23" s="1002">
        <f t="shared" si="7"/>
        <v>1255.0214874058679</v>
      </c>
      <c r="BF23" s="1002">
        <f t="shared" si="7"/>
        <v>793.70702394525085</v>
      </c>
      <c r="BG23" s="1002">
        <f t="shared" si="7"/>
        <v>3950.9448157941561</v>
      </c>
      <c r="BH23" s="1002">
        <f t="shared" si="7"/>
        <v>1075.7137084229537</v>
      </c>
      <c r="BI23" s="1002">
        <f t="shared" si="7"/>
        <v>995.80701458854992</v>
      </c>
      <c r="BJ23" s="1002">
        <f t="shared" si="7"/>
        <v>1282.0107085604197</v>
      </c>
      <c r="BK23" s="1002">
        <f t="shared" si="7"/>
        <v>826.15526496160237</v>
      </c>
      <c r="BL23" s="1002">
        <f t="shared" si="7"/>
        <v>4179.6866965335257</v>
      </c>
      <c r="BM23" s="1002">
        <f t="shared" ref="BM23:BQ23" si="8">SUM(BM20:BM22)</f>
        <v>993.70447279886946</v>
      </c>
      <c r="BN23" s="1002">
        <f t="shared" si="8"/>
        <v>1053.0930669897082</v>
      </c>
      <c r="BO23" s="1002">
        <f t="shared" si="8"/>
        <v>1331.79114203053</v>
      </c>
      <c r="BP23" s="1002">
        <f t="shared" si="8"/>
        <v>885.80053958949543</v>
      </c>
      <c r="BQ23" s="1003">
        <f t="shared" si="8"/>
        <v>4264.3892214086027</v>
      </c>
      <c r="BR23" s="773"/>
      <c r="BS23" s="764" t="s">
        <v>400</v>
      </c>
      <c r="BT23" s="994"/>
      <c r="BY23" s="993">
        <f>ETR!N232</f>
        <v>0.20409214635489054</v>
      </c>
      <c r="CD23" s="993">
        <f>ETR!S232</f>
        <v>0.19940749030946453</v>
      </c>
      <c r="CE23" s="993"/>
      <c r="CF23" s="993"/>
      <c r="CG23" s="993"/>
      <c r="CH23" s="993"/>
      <c r="CI23" s="993">
        <f>ETR!X232</f>
        <v>0.16768779313718457</v>
      </c>
      <c r="CJ23" s="993"/>
      <c r="CK23" s="993"/>
      <c r="CL23" s="993"/>
      <c r="CM23" s="993"/>
      <c r="CN23" s="993">
        <f>ETR!AC232</f>
        <v>0.16258335421685821</v>
      </c>
      <c r="CO23" s="993"/>
      <c r="CP23" s="993"/>
      <c r="CQ23" s="993"/>
      <c r="CR23" s="993"/>
      <c r="CS23" s="993">
        <f>ETR!AH232</f>
        <v>0.16922256359904511</v>
      </c>
      <c r="CT23" s="993"/>
      <c r="CU23" s="993"/>
      <c r="CV23" s="993"/>
      <c r="CW23" s="993"/>
      <c r="CX23" s="993">
        <f>ETR!AM232</f>
        <v>0.17460676261360314</v>
      </c>
      <c r="CY23" s="993"/>
      <c r="CZ23" s="993"/>
      <c r="DA23" s="993"/>
      <c r="DB23" s="993"/>
      <c r="DC23" s="993">
        <f>ETR!AR232</f>
        <v>0.17175652822227494</v>
      </c>
      <c r="DD23" s="993"/>
      <c r="DE23" s="993"/>
      <c r="DF23" s="993"/>
      <c r="DG23" s="993"/>
      <c r="DH23" s="993">
        <f>ETR!AW232</f>
        <v>0.1615382980253969</v>
      </c>
      <c r="DI23" s="993"/>
      <c r="DJ23" s="993"/>
      <c r="DK23" s="993"/>
      <c r="DL23" s="993"/>
      <c r="DM23" s="993">
        <f>ETR!BB232</f>
        <v>0.13979832980736939</v>
      </c>
      <c r="DN23" s="993"/>
      <c r="DO23" s="993"/>
      <c r="DP23" s="993"/>
      <c r="DQ23" s="993"/>
      <c r="DR23" s="993">
        <f>ETR!BG232</f>
        <v>0.12767194012769034</v>
      </c>
      <c r="DS23" s="993"/>
      <c r="DT23" s="993"/>
      <c r="DU23" s="993"/>
      <c r="DV23" s="993"/>
      <c r="DW23" s="993">
        <f>ETR!BL232</f>
        <v>0.12293984447417707</v>
      </c>
      <c r="DX23" s="993"/>
      <c r="DY23" s="993"/>
      <c r="DZ23" s="993"/>
      <c r="EA23" s="993"/>
      <c r="EB23" s="993">
        <f>ETR!BQ232</f>
        <v>0.11698697613717554</v>
      </c>
    </row>
    <row r="24" spans="1:132">
      <c r="A24" s="999"/>
      <c r="B24" s="974"/>
      <c r="BR24" s="773"/>
      <c r="BS24" s="764"/>
      <c r="BT24" s="994"/>
      <c r="BY24" s="978"/>
      <c r="CD24" s="978"/>
      <c r="CE24" s="978"/>
      <c r="CF24" s="978"/>
      <c r="CG24" s="978"/>
      <c r="CH24" s="978"/>
      <c r="CI24" s="978"/>
      <c r="CJ24" s="978"/>
      <c r="CK24" s="978"/>
      <c r="CL24" s="978"/>
      <c r="CM24" s="978"/>
      <c r="CN24" s="978"/>
      <c r="CO24" s="978"/>
      <c r="CP24" s="978"/>
      <c r="CQ24" s="978"/>
      <c r="CR24" s="978"/>
      <c r="CS24" s="978"/>
      <c r="CT24" s="978"/>
      <c r="CU24" s="978"/>
      <c r="CV24" s="978"/>
      <c r="CW24" s="978"/>
      <c r="CX24" s="978"/>
      <c r="CY24" s="978"/>
      <c r="CZ24" s="978"/>
      <c r="DA24" s="978"/>
      <c r="DB24" s="978"/>
      <c r="DC24" s="978"/>
      <c r="DD24" s="978"/>
      <c r="DE24" s="978"/>
      <c r="DF24" s="978"/>
      <c r="DG24" s="978"/>
      <c r="DH24" s="978"/>
      <c r="DI24" s="978"/>
      <c r="DJ24" s="978"/>
      <c r="DK24" s="978"/>
      <c r="DL24" s="978"/>
      <c r="DM24" s="978"/>
      <c r="DN24" s="978"/>
      <c r="DO24" s="978"/>
      <c r="DP24" s="978"/>
      <c r="DQ24" s="978"/>
      <c r="DR24" s="978"/>
      <c r="DS24" s="978"/>
      <c r="DT24" s="978"/>
      <c r="DU24" s="978"/>
      <c r="DV24" s="978"/>
      <c r="DW24" s="978"/>
      <c r="DX24" s="978"/>
      <c r="DY24" s="978"/>
      <c r="DZ24" s="978"/>
      <c r="EA24" s="978"/>
      <c r="EB24" s="978"/>
    </row>
    <row r="25" spans="1:132">
      <c r="B25" s="974"/>
      <c r="C25" s="765" t="s">
        <v>250</v>
      </c>
      <c r="D25" s="969"/>
      <c r="E25" s="968"/>
      <c r="F25" s="968"/>
      <c r="G25" s="968"/>
      <c r="H25" s="968"/>
      <c r="I25" s="968"/>
      <c r="J25" s="968"/>
      <c r="K25" s="968"/>
      <c r="L25" s="968"/>
      <c r="M25" s="968"/>
      <c r="N25" s="969"/>
      <c r="O25" s="968"/>
      <c r="P25" s="968"/>
      <c r="Q25" s="968"/>
      <c r="R25" s="968"/>
      <c r="S25" s="969"/>
      <c r="T25" s="968"/>
      <c r="U25" s="968"/>
      <c r="V25" s="968"/>
      <c r="W25" s="968"/>
      <c r="X25" s="969"/>
      <c r="Y25" s="968"/>
      <c r="Z25" s="968"/>
      <c r="AA25" s="968"/>
      <c r="AB25" s="968"/>
      <c r="AC25" s="969"/>
      <c r="AD25" s="968"/>
      <c r="AE25" s="968"/>
      <c r="AF25" s="968"/>
      <c r="AG25" s="968"/>
      <c r="AH25" s="969"/>
      <c r="AI25" s="968"/>
      <c r="AJ25" s="968"/>
      <c r="AK25" s="968"/>
      <c r="AL25" s="968"/>
      <c r="AM25" s="969"/>
      <c r="AN25" s="968"/>
      <c r="AO25" s="968"/>
      <c r="AP25" s="968"/>
      <c r="AQ25" s="968"/>
      <c r="AR25" s="969"/>
      <c r="AS25" s="968"/>
      <c r="AT25" s="968"/>
      <c r="AU25" s="968"/>
      <c r="AV25" s="968"/>
      <c r="AW25" s="969"/>
      <c r="AX25" s="968"/>
      <c r="AY25" s="968"/>
      <c r="AZ25" s="968"/>
      <c r="BA25" s="968"/>
      <c r="BB25" s="969"/>
      <c r="BC25" s="968"/>
      <c r="BD25" s="968"/>
      <c r="BE25" s="968"/>
      <c r="BF25" s="968"/>
      <c r="BG25" s="969"/>
      <c r="BH25" s="968"/>
      <c r="BI25" s="968"/>
      <c r="BJ25" s="968"/>
      <c r="BK25" s="968"/>
      <c r="BL25" s="969"/>
      <c r="BM25" s="968"/>
      <c r="BN25" s="968"/>
      <c r="BO25" s="968"/>
      <c r="BP25" s="968"/>
      <c r="BQ25" s="969"/>
      <c r="BR25" s="773"/>
      <c r="BS25" s="765" t="s">
        <v>401</v>
      </c>
      <c r="BT25" s="773"/>
      <c r="BY25" s="978"/>
      <c r="CD25" s="978"/>
      <c r="CE25" s="978"/>
      <c r="CF25" s="978"/>
      <c r="CG25" s="978"/>
      <c r="CH25" s="978"/>
      <c r="CI25" s="978"/>
      <c r="CJ25" s="978"/>
      <c r="CK25" s="978"/>
      <c r="CL25" s="978"/>
      <c r="CM25" s="978"/>
      <c r="CN25" s="978"/>
      <c r="CO25" s="978"/>
      <c r="CP25" s="978"/>
      <c r="CQ25" s="978"/>
      <c r="CR25" s="978"/>
      <c r="CS25" s="978"/>
      <c r="CT25" s="978"/>
      <c r="CU25" s="978"/>
      <c r="CV25" s="978"/>
      <c r="CW25" s="978"/>
      <c r="CX25" s="978"/>
      <c r="CY25" s="978"/>
      <c r="CZ25" s="978"/>
      <c r="DA25" s="978"/>
      <c r="DB25" s="978"/>
      <c r="DC25" s="978"/>
      <c r="DD25" s="978"/>
      <c r="DE25" s="978"/>
      <c r="DF25" s="978"/>
      <c r="DG25" s="978"/>
      <c r="DH25" s="978"/>
      <c r="DI25" s="978"/>
      <c r="DJ25" s="978"/>
      <c r="DK25" s="978"/>
      <c r="DL25" s="978"/>
      <c r="DM25" s="978"/>
      <c r="DN25" s="978"/>
      <c r="DO25" s="978"/>
      <c r="DP25" s="978"/>
      <c r="DQ25" s="978"/>
      <c r="DR25" s="978"/>
      <c r="DS25" s="978"/>
      <c r="DT25" s="978"/>
      <c r="DU25" s="978"/>
      <c r="DV25" s="978"/>
      <c r="DW25" s="978"/>
      <c r="DX25" s="978"/>
      <c r="DY25" s="978"/>
      <c r="DZ25" s="978"/>
      <c r="EA25" s="978"/>
      <c r="EB25" s="978"/>
    </row>
    <row r="26" spans="1:132">
      <c r="B26" s="974"/>
      <c r="C26" s="354" t="s">
        <v>292</v>
      </c>
      <c r="D26" s="990"/>
      <c r="E26" s="841"/>
      <c r="F26" s="841"/>
      <c r="G26" s="841"/>
      <c r="H26" s="841"/>
      <c r="I26" s="841"/>
      <c r="J26" s="841"/>
      <c r="K26" s="841"/>
      <c r="L26" s="841"/>
      <c r="M26" s="841"/>
      <c r="N26" s="747">
        <f>(N20)/N23</f>
        <v>0.75901992201620205</v>
      </c>
      <c r="O26" s="841">
        <f>(O20)/O23</f>
        <v>0</v>
      </c>
      <c r="P26" s="841">
        <f>(P20)/P23</f>
        <v>0</v>
      </c>
      <c r="Q26" s="841">
        <f>(Q20)/Q23</f>
        <v>0</v>
      </c>
      <c r="R26" s="841">
        <f>(R20)/R23</f>
        <v>0</v>
      </c>
      <c r="S26" s="991">
        <f>(S20+S22)/S23</f>
        <v>0.72231335944520714</v>
      </c>
      <c r="T26" s="841">
        <f>(T20)/T23</f>
        <v>1.8680093639299364</v>
      </c>
      <c r="U26" s="841">
        <f>(U20)/U23</f>
        <v>0.78623829547294966</v>
      </c>
      <c r="V26" s="841">
        <f>(V20)/V23</f>
        <v>0.85563720865566983</v>
      </c>
      <c r="W26" s="841">
        <f>(W20)/W23</f>
        <v>0.88281766637684977</v>
      </c>
      <c r="X26" s="991">
        <f>(X20+X22)/X23</f>
        <v>0.88507458974087927</v>
      </c>
      <c r="Y26" s="841">
        <f>(Y20)/Y23</f>
        <v>0.79330235539176408</v>
      </c>
      <c r="Z26" s="841">
        <f>(Z20)/Z23</f>
        <v>0.98859257271036582</v>
      </c>
      <c r="AA26" s="841">
        <f>(AA20)/AA23</f>
        <v>1.2488244998268823</v>
      </c>
      <c r="AB26" s="841">
        <f>(AB20)/AB23</f>
        <v>0.8683696113115279</v>
      </c>
      <c r="AC26" s="991">
        <f>(AC20+AC22)/AC23</f>
        <v>0.93006978907640014</v>
      </c>
      <c r="AD26" s="841">
        <f>(AD20)/AD23</f>
        <v>0.63762871126080867</v>
      </c>
      <c r="AE26" s="841">
        <f>(AE20)/AE23</f>
        <v>0.8935044637629711</v>
      </c>
      <c r="AF26" s="841">
        <f>(AF20)/AF23</f>
        <v>0.98765932597392414</v>
      </c>
      <c r="AG26" s="841">
        <f>(AG20)/AG23</f>
        <v>0.82148261291612268</v>
      </c>
      <c r="AH26" s="991">
        <f>(AH20+AH22)/AH23</f>
        <v>0.78262722460450918</v>
      </c>
      <c r="AI26" s="841">
        <f>(AI20)/AI23</f>
        <v>0.76492973930276897</v>
      </c>
      <c r="AJ26" s="841">
        <f>(AJ20)/AJ23</f>
        <v>0.96301131076423041</v>
      </c>
      <c r="AK26" s="841">
        <f>(AK20)/AK23</f>
        <v>-1.6586344216647111</v>
      </c>
      <c r="AL26" s="841">
        <f>(AL20)/AL23</f>
        <v>4.3695056365705067</v>
      </c>
      <c r="AM26" s="991">
        <f>(AM20+AM22)/AM23</f>
        <v>2.1723564582959205</v>
      </c>
      <c r="AN26" s="841">
        <f>(AN20)/AN23</f>
        <v>0.82617183263562</v>
      </c>
      <c r="AO26" s="841">
        <f>(AO20)/AO23</f>
        <v>0.9709828763591094</v>
      </c>
      <c r="AP26" s="841">
        <f>(AP20)/AP23</f>
        <v>0.97247688262959309</v>
      </c>
      <c r="AQ26" s="841">
        <f>(AQ20)/AQ23</f>
        <v>-0.27536232532521054</v>
      </c>
      <c r="AR26" s="991">
        <f>(AR20+AR22)/AR23</f>
        <v>4.8670201824317214</v>
      </c>
      <c r="AS26" s="841">
        <f>(AS20)/AS23</f>
        <v>1.1501076785303415</v>
      </c>
      <c r="AT26" s="841">
        <f>(AT20)/AT23</f>
        <v>1.3752655360899848</v>
      </c>
      <c r="AU26" s="841">
        <f>(AU20)/AU23</f>
        <v>0.91880547406902824</v>
      </c>
      <c r="AV26" s="841">
        <f>(AV20)/AV23</f>
        <v>1.1048715204234278</v>
      </c>
      <c r="AW26" s="991">
        <f>(AW20+AW22)/AW23</f>
        <v>1.0337237568622291</v>
      </c>
      <c r="AX26" s="841">
        <f>(AX20)/AX23</f>
        <v>0.94027741819786104</v>
      </c>
      <c r="AY26" s="841">
        <f>(AY20)/AY23</f>
        <v>0.92577475749851823</v>
      </c>
      <c r="AZ26" s="841">
        <f>(AZ20)/AZ23</f>
        <v>0.93772581427396884</v>
      </c>
      <c r="BA26" s="841">
        <f>(BA20)/BA23</f>
        <v>0.92141364903285528</v>
      </c>
      <c r="BB26" s="991">
        <f>(BB20+BB22)/BB23</f>
        <v>0.88166819024859178</v>
      </c>
      <c r="BC26" s="841">
        <f>(BC20)/BC23</f>
        <v>0.88311285740439738</v>
      </c>
      <c r="BD26" s="841">
        <f>(BD20)/BD23</f>
        <v>0.93750814464877363</v>
      </c>
      <c r="BE26" s="841">
        <f>(BE20)/BE23</f>
        <v>0.97663218785811345</v>
      </c>
      <c r="BF26" s="841">
        <f>(BF20)/BF23</f>
        <v>0.99049274595452397</v>
      </c>
      <c r="BG26" s="991">
        <f>(BG20+BG22)/BG23</f>
        <v>0.90010270322523878</v>
      </c>
      <c r="BH26" s="841">
        <f>(BH20)/BH23</f>
        <v>0.8378042358565404</v>
      </c>
      <c r="BI26" s="841">
        <f>(BI20)/BI23</f>
        <v>0.98545292268548235</v>
      </c>
      <c r="BJ26" s="841">
        <f>(BJ20)/BJ23</f>
        <v>1.0164862672882851</v>
      </c>
      <c r="BK26" s="841">
        <f>(BK20)/BK23</f>
        <v>1.0411923333622035</v>
      </c>
      <c r="BL26" s="991">
        <f>(BL20+BL22)/BL23</f>
        <v>0.9230048858579023</v>
      </c>
      <c r="BM26" s="841">
        <f>(BM20)/BM23</f>
        <v>0.97350046344598773</v>
      </c>
      <c r="BN26" s="841">
        <f>(BN20)/BN23</f>
        <v>0.99572388630646247</v>
      </c>
      <c r="BO26" s="841">
        <f>(BO20)/BO23</f>
        <v>1.030375109387929</v>
      </c>
      <c r="BP26" s="841">
        <f>(BP20)/BP23</f>
        <v>1.0451951107551058</v>
      </c>
      <c r="BQ26" s="991">
        <f>(BQ20+BQ22)/BQ23</f>
        <v>0.96755251657710872</v>
      </c>
      <c r="BR26" s="773"/>
      <c r="BS26" s="764" t="s">
        <v>663</v>
      </c>
      <c r="BT26" s="773"/>
      <c r="BV26" s="764"/>
      <c r="BW26" s="764"/>
      <c r="BX26" s="764"/>
      <c r="BY26" s="995">
        <f>ETR!N237</f>
        <v>4.9373133643423053</v>
      </c>
      <c r="CA26" s="764"/>
      <c r="CB26" s="764"/>
      <c r="CC26" s="764"/>
      <c r="CD26" s="995">
        <f>ETR!S237</f>
        <v>5.4633676686835146</v>
      </c>
      <c r="CE26" s="995"/>
      <c r="CF26" s="995"/>
      <c r="CG26" s="995"/>
      <c r="CH26" s="995"/>
      <c r="CI26" s="995">
        <f>ETR!X237</f>
        <v>4.7139348099888565</v>
      </c>
      <c r="CJ26" s="995"/>
      <c r="CK26" s="995"/>
      <c r="CL26" s="995"/>
      <c r="CM26" s="995"/>
      <c r="CN26" s="995">
        <f>ETR!AC237</f>
        <v>4.5234561272808413</v>
      </c>
      <c r="CO26" s="995"/>
      <c r="CP26" s="995"/>
      <c r="CQ26" s="995"/>
      <c r="CR26" s="995"/>
      <c r="CS26" s="995">
        <f>ETR!AH237</f>
        <v>4.5831491658384822</v>
      </c>
      <c r="CT26" s="995"/>
      <c r="CU26" s="995"/>
      <c r="CV26" s="995"/>
      <c r="CW26" s="995"/>
      <c r="CX26" s="995">
        <f>ETR!AM237</f>
        <v>4.6011467013681653</v>
      </c>
      <c r="CY26" s="995"/>
      <c r="CZ26" s="995"/>
      <c r="DA26" s="995"/>
      <c r="DB26" s="995"/>
      <c r="DC26" s="995">
        <f>ETR!AR237</f>
        <v>4.7383308709647496</v>
      </c>
      <c r="DD26" s="995"/>
      <c r="DE26" s="995"/>
      <c r="DF26" s="995"/>
      <c r="DG26" s="995"/>
      <c r="DH26" s="995">
        <f>ETR!AW237</f>
        <v>4.8039371503877213</v>
      </c>
      <c r="DI26" s="995"/>
      <c r="DJ26" s="995"/>
      <c r="DK26" s="995"/>
      <c r="DL26" s="995"/>
      <c r="DM26" s="995">
        <f>ETR!BB237</f>
        <v>4.0006977549591873</v>
      </c>
      <c r="DN26" s="995"/>
      <c r="DO26" s="995"/>
      <c r="DP26" s="995"/>
      <c r="DQ26" s="995"/>
      <c r="DR26" s="995">
        <f>ETR!BG237</f>
        <v>3.7736361621885632</v>
      </c>
      <c r="DS26" s="995"/>
      <c r="DT26" s="995"/>
      <c r="DU26" s="995"/>
      <c r="DV26" s="995"/>
      <c r="DW26" s="995">
        <f>ETR!BL237</f>
        <v>3.5740043820176433</v>
      </c>
      <c r="DX26" s="995"/>
      <c r="DY26" s="995"/>
      <c r="DZ26" s="995"/>
      <c r="EA26" s="995"/>
      <c r="EB26" s="995">
        <f>ETR!BQ237</f>
        <v>3.3849314381171158</v>
      </c>
    </row>
    <row r="27" spans="1:132">
      <c r="B27" s="974"/>
      <c r="C27" s="990" t="s">
        <v>71</v>
      </c>
      <c r="D27" s="990"/>
      <c r="E27" s="841"/>
      <c r="F27" s="841"/>
      <c r="G27" s="841"/>
      <c r="H27" s="841"/>
      <c r="I27" s="841"/>
      <c r="J27" s="841"/>
      <c r="K27" s="841"/>
      <c r="L27" s="841"/>
      <c r="M27" s="841"/>
      <c r="N27" s="991">
        <f>(N21+N22)/N23</f>
        <v>0.24098007798379806</v>
      </c>
      <c r="O27" s="841">
        <f>O21/O23</f>
        <v>0</v>
      </c>
      <c r="P27" s="841">
        <f>P21/P23</f>
        <v>0</v>
      </c>
      <c r="Q27" s="841">
        <f>Q21/Q23</f>
        <v>0</v>
      </c>
      <c r="R27" s="841">
        <f>R21/R23</f>
        <v>0</v>
      </c>
      <c r="S27" s="991">
        <f>+S21/S23</f>
        <v>0.27768664055479264</v>
      </c>
      <c r="T27" s="841">
        <f>(T21+T22)/T23</f>
        <v>-0.86800936392993622</v>
      </c>
      <c r="U27" s="841">
        <f>(U21+U22)/U23</f>
        <v>0.21376170452705032</v>
      </c>
      <c r="V27" s="841">
        <f>(V21+V22)/V23</f>
        <v>0.14436279134433022</v>
      </c>
      <c r="W27" s="841">
        <f>(W21+W22)/W23</f>
        <v>0.11718233362315021</v>
      </c>
      <c r="X27" s="991">
        <f>+X21/X23</f>
        <v>0.11492541025912077</v>
      </c>
      <c r="Y27" s="841">
        <f>(Y21+Y22)/Y23</f>
        <v>0.20669764460823578</v>
      </c>
      <c r="Z27" s="841">
        <f>(Z21+Z22)/Z23</f>
        <v>1.1407427289634094E-2</v>
      </c>
      <c r="AA27" s="841">
        <f>(AA21+AA22)/AA23</f>
        <v>-0.24882449982688229</v>
      </c>
      <c r="AB27" s="841">
        <f>(AB21+AB22)/AB23</f>
        <v>0.13163038868847221</v>
      </c>
      <c r="AC27" s="991">
        <f>+AC21/AC23</f>
        <v>6.9930210923599884E-2</v>
      </c>
      <c r="AD27" s="841">
        <f>(AD21+AD22)/AD23</f>
        <v>0.36237128873919144</v>
      </c>
      <c r="AE27" s="841">
        <f>(AE21+AE22)/AE23</f>
        <v>0.10649553623702894</v>
      </c>
      <c r="AF27" s="841">
        <f>(AF21+AF22)/AF23</f>
        <v>1.2340674026075865E-2</v>
      </c>
      <c r="AG27" s="841">
        <f>(AG21+AG22)/AG23</f>
        <v>0.17851738708387732</v>
      </c>
      <c r="AH27" s="991">
        <f>+AH21/AH23</f>
        <v>0.21737277539549091</v>
      </c>
      <c r="AI27" s="841">
        <f>(AI21+AI22)/AI23</f>
        <v>0.23507026069723105</v>
      </c>
      <c r="AJ27" s="841">
        <f>(AJ21+AJ22)/AJ23</f>
        <v>3.6988689235769673E-2</v>
      </c>
      <c r="AK27" s="841">
        <f>(AK21+AK22)/AK23</f>
        <v>2.6586344216647109</v>
      </c>
      <c r="AL27" s="841">
        <f>(AL21+AL22)/AL23</f>
        <v>-3.3695056365705072</v>
      </c>
      <c r="AM27" s="991">
        <f>+AM21/AM23</f>
        <v>-1.1723564582959205</v>
      </c>
      <c r="AN27" s="841">
        <f>(AN21+AN22)/AN23</f>
        <v>0.17382816736438</v>
      </c>
      <c r="AO27" s="841">
        <f>(AO21+AO22)/AO23</f>
        <v>2.9017123640890683E-2</v>
      </c>
      <c r="AP27" s="841">
        <f>(AP21+AP22)/AP23</f>
        <v>2.7523117370407062E-2</v>
      </c>
      <c r="AQ27" s="841">
        <f>(AQ21+AQ22)/AQ23</f>
        <v>1.2753623253252107</v>
      </c>
      <c r="AR27" s="991">
        <f>+AR21/AR23</f>
        <v>-3.8670201824317219</v>
      </c>
      <c r="AS27" s="841">
        <f>(AS21+AS22)/AS23</f>
        <v>-0.15010767853034157</v>
      </c>
      <c r="AT27" s="841">
        <f>(AT21+AT22)/AT23</f>
        <v>-0.37526553608998481</v>
      </c>
      <c r="AU27" s="841">
        <f>(AU21+AU22)/AU23</f>
        <v>8.1194525930971734E-2</v>
      </c>
      <c r="AV27" s="841">
        <f>(AV21+AV22)/AV23</f>
        <v>-0.10487152042342784</v>
      </c>
      <c r="AW27" s="991">
        <f>+AW21/AW23</f>
        <v>-3.3723756862229039E-2</v>
      </c>
      <c r="AX27" s="841">
        <f>(AX21+AX22)/AX23</f>
        <v>5.972258180213906E-2</v>
      </c>
      <c r="AY27" s="841">
        <f>(AY21+AY22)/AY23</f>
        <v>7.4225242501481797E-2</v>
      </c>
      <c r="AZ27" s="841">
        <f>(AZ21+AZ22)/AZ23</f>
        <v>6.2274185726031168E-2</v>
      </c>
      <c r="BA27" s="841">
        <f>(BA21+BA22)/BA23</f>
        <v>7.8586350967144808E-2</v>
      </c>
      <c r="BB27" s="991">
        <f>+BB21/BB23</f>
        <v>0.11833180975140817</v>
      </c>
      <c r="BC27" s="841">
        <f>(BC21+BC22)/BC23</f>
        <v>0.11688714259560271</v>
      </c>
      <c r="BD27" s="841">
        <f>(BD21+BD22)/BD23</f>
        <v>6.2491855351226346E-2</v>
      </c>
      <c r="BE27" s="841">
        <f>(BE21+BE22)/BE23</f>
        <v>2.3367812141886518E-2</v>
      </c>
      <c r="BF27" s="841">
        <f>(BF21+BF22)/BF23</f>
        <v>9.5072540454760168E-3</v>
      </c>
      <c r="BG27" s="991">
        <f>+BG21/BG23</f>
        <v>9.9897296774761224E-2</v>
      </c>
      <c r="BH27" s="841">
        <f>(BH21+BH22)/BH23</f>
        <v>0.16219576414345963</v>
      </c>
      <c r="BI27" s="841">
        <f>(BI21+BI22)/BI23</f>
        <v>1.4547077314517671E-2</v>
      </c>
      <c r="BJ27" s="841">
        <f>(BJ21+BJ22)/BJ23</f>
        <v>-1.64862672882852E-2</v>
      </c>
      <c r="BK27" s="841">
        <f>(BK21+BK22)/BK23</f>
        <v>-4.1192333362203536E-2</v>
      </c>
      <c r="BL27" s="991">
        <f>+BL21/BL23</f>
        <v>7.6995114142097629E-2</v>
      </c>
      <c r="BM27" s="841">
        <f>(BM21+BM22)/BM23</f>
        <v>2.649953655401234E-2</v>
      </c>
      <c r="BN27" s="841">
        <f>(BN21+BN22)/BN23</f>
        <v>4.2761136935374469E-3</v>
      </c>
      <c r="BO27" s="841">
        <f>(BO21+BO22)/BO23</f>
        <v>-3.0375109387929075E-2</v>
      </c>
      <c r="BP27" s="841">
        <f>(BP21+BP22)/BP23</f>
        <v>-4.5195110755105836E-2</v>
      </c>
      <c r="BQ27" s="991">
        <f>+BQ21/BQ23</f>
        <v>3.2447483422891228E-2</v>
      </c>
      <c r="BR27" s="773"/>
      <c r="BS27" s="764" t="s">
        <v>665</v>
      </c>
      <c r="BT27" s="764"/>
      <c r="BY27" s="995">
        <f>ETR!N240</f>
        <v>4.036265090650434</v>
      </c>
      <c r="CD27" s="995">
        <f>ETR!S240</f>
        <v>3.9296092079902674</v>
      </c>
      <c r="CE27" s="995"/>
      <c r="CF27" s="995"/>
      <c r="CG27" s="995"/>
      <c r="CH27" s="995"/>
      <c r="CI27" s="995">
        <f>ETR!X240</f>
        <v>2.4208896860513422</v>
      </c>
      <c r="CJ27" s="995"/>
      <c r="CK27" s="995"/>
      <c r="CL27" s="995"/>
      <c r="CM27" s="995"/>
      <c r="CN27" s="995">
        <f>ETR!AC240</f>
        <v>2.4789488147638639</v>
      </c>
      <c r="CO27" s="995"/>
      <c r="CP27" s="995"/>
      <c r="CQ27" s="995"/>
      <c r="CR27" s="995"/>
      <c r="CS27" s="995">
        <f>ETR!AH240</f>
        <v>3.2936272752438067</v>
      </c>
      <c r="CT27" s="995"/>
      <c r="CU27" s="995"/>
      <c r="CV27" s="995"/>
      <c r="CW27" s="995"/>
      <c r="CX27" s="995">
        <f>ETR!AM240</f>
        <v>-0.23308899023423238</v>
      </c>
      <c r="CY27" s="995"/>
      <c r="CZ27" s="995"/>
      <c r="DA27" s="995"/>
      <c r="DB27" s="995"/>
      <c r="DC27" s="995">
        <f>ETR!AR240</f>
        <v>-1.0211934993469369</v>
      </c>
      <c r="DD27" s="995"/>
      <c r="DE27" s="995"/>
      <c r="DF27" s="995"/>
      <c r="DG27" s="995"/>
      <c r="DH27" s="995">
        <f>ETR!AW240</f>
        <v>2.3052012692092347</v>
      </c>
      <c r="DI27" s="995"/>
      <c r="DJ27" s="995"/>
      <c r="DK27" s="995"/>
      <c r="DL27" s="995"/>
      <c r="DM27" s="995">
        <f>ETR!BB240</f>
        <v>2.7278780696617857</v>
      </c>
      <c r="DN27" s="995"/>
      <c r="DO27" s="995"/>
      <c r="DP27" s="995"/>
      <c r="DQ27" s="995"/>
      <c r="DR27" s="995">
        <f>ETR!BG240</f>
        <v>2.6443963335020051</v>
      </c>
      <c r="DS27" s="995"/>
      <c r="DT27" s="995"/>
      <c r="DU27" s="995"/>
      <c r="DV27" s="995"/>
      <c r="DW27" s="995">
        <f>ETR!BL240</f>
        <v>2.5377000703976029</v>
      </c>
      <c r="DX27" s="995"/>
      <c r="DY27" s="995"/>
      <c r="DZ27" s="995"/>
      <c r="EA27" s="995"/>
      <c r="EB27" s="995">
        <f>ETR!BQ240</f>
        <v>2.3669784699067744</v>
      </c>
    </row>
    <row r="28" spans="1:132">
      <c r="B28" s="773"/>
      <c r="BR28" s="773"/>
      <c r="BS28" s="764"/>
      <c r="BT28" s="764"/>
      <c r="BY28" s="995"/>
      <c r="CD28" s="995"/>
      <c r="CI28" s="995"/>
      <c r="CN28" s="995"/>
      <c r="CS28" s="995"/>
      <c r="CX28" s="995"/>
      <c r="DC28" s="995"/>
      <c r="DH28" s="995"/>
      <c r="DM28" s="995"/>
      <c r="DR28" s="995"/>
      <c r="DW28" s="995"/>
      <c r="EB28" s="995"/>
    </row>
    <row r="29" spans="1:132">
      <c r="B29" s="773"/>
      <c r="AH29" s="761"/>
      <c r="BR29" s="773"/>
      <c r="BS29" s="773"/>
      <c r="BT29" s="773"/>
      <c r="BY29" s="773"/>
      <c r="CD29" s="773"/>
      <c r="CI29" s="773"/>
      <c r="CN29" s="773"/>
      <c r="CS29" s="773"/>
      <c r="CX29" s="773"/>
      <c r="DC29" s="773"/>
      <c r="DH29" s="773"/>
      <c r="DM29" s="773"/>
      <c r="DR29" s="773"/>
      <c r="DW29" s="773"/>
      <c r="EB29" s="773"/>
    </row>
    <row r="30" spans="1:132">
      <c r="B30" s="749" t="s">
        <v>251</v>
      </c>
      <c r="C30" s="749"/>
      <c r="D30" s="967"/>
      <c r="E30" s="967"/>
      <c r="F30" s="967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967"/>
      <c r="R30" s="967"/>
      <c r="S30" s="967"/>
      <c r="T30" s="967"/>
      <c r="U30" s="967"/>
      <c r="V30" s="967"/>
      <c r="W30" s="967"/>
      <c r="X30" s="967"/>
      <c r="Y30" s="967"/>
      <c r="Z30" s="967"/>
      <c r="AA30" s="967"/>
      <c r="AB30" s="967"/>
      <c r="AC30" s="967"/>
      <c r="AD30" s="967"/>
      <c r="AE30" s="967"/>
      <c r="AF30" s="967"/>
      <c r="AG30" s="967"/>
      <c r="AH30" s="967"/>
      <c r="AI30" s="967"/>
      <c r="AJ30" s="967"/>
      <c r="AK30" s="967"/>
      <c r="AL30" s="967"/>
      <c r="AM30" s="967"/>
      <c r="AN30" s="967"/>
      <c r="AO30" s="967"/>
      <c r="AP30" s="967"/>
      <c r="AQ30" s="967"/>
      <c r="AR30" s="967"/>
      <c r="AS30" s="967"/>
      <c r="AT30" s="967"/>
      <c r="AU30" s="967"/>
      <c r="AV30" s="967"/>
      <c r="AW30" s="967"/>
      <c r="AX30" s="967"/>
      <c r="AY30" s="967"/>
      <c r="AZ30" s="967"/>
      <c r="BA30" s="967"/>
      <c r="BB30" s="967"/>
      <c r="BC30" s="967"/>
      <c r="BD30" s="967"/>
      <c r="BE30" s="967"/>
      <c r="BF30" s="967"/>
      <c r="BG30" s="967"/>
      <c r="BH30" s="967"/>
      <c r="BI30" s="967"/>
      <c r="BJ30" s="967"/>
      <c r="BK30" s="967"/>
      <c r="BL30" s="967"/>
      <c r="BM30" s="967"/>
      <c r="BN30" s="967"/>
      <c r="BO30" s="967"/>
      <c r="BP30" s="967"/>
      <c r="BQ30" s="967"/>
      <c r="BS30" s="749" t="s">
        <v>252</v>
      </c>
      <c r="BT30" s="967"/>
      <c r="BU30" s="967"/>
      <c r="BV30" s="967"/>
      <c r="BW30" s="967"/>
      <c r="BX30" s="967"/>
      <c r="BY30" s="967"/>
      <c r="BZ30" s="967"/>
      <c r="CA30" s="967"/>
      <c r="CB30" s="967"/>
      <c r="CC30" s="967"/>
      <c r="CD30" s="967"/>
      <c r="CE30" s="967"/>
      <c r="CF30" s="967"/>
      <c r="CG30" s="967"/>
      <c r="CH30" s="967"/>
      <c r="CI30" s="967"/>
      <c r="CJ30" s="967"/>
      <c r="CK30" s="967"/>
      <c r="CL30" s="967"/>
      <c r="CM30" s="967"/>
      <c r="CN30" s="967"/>
      <c r="CO30" s="967"/>
      <c r="CP30" s="967"/>
      <c r="CQ30" s="967"/>
      <c r="CR30" s="967"/>
      <c r="CS30" s="967"/>
      <c r="CT30" s="967"/>
      <c r="CU30" s="967"/>
      <c r="CV30" s="967"/>
      <c r="CW30" s="967"/>
      <c r="CX30" s="967"/>
      <c r="CY30" s="967"/>
      <c r="CZ30" s="967"/>
      <c r="DA30" s="967"/>
      <c r="DB30" s="967"/>
      <c r="DC30" s="967"/>
      <c r="DD30" s="967"/>
      <c r="DE30" s="967"/>
      <c r="DF30" s="967"/>
      <c r="DG30" s="967"/>
      <c r="DH30" s="967"/>
      <c r="DI30" s="967"/>
      <c r="DJ30" s="967"/>
      <c r="DK30" s="967"/>
      <c r="DL30" s="967"/>
      <c r="DM30" s="967"/>
      <c r="DN30" s="967"/>
      <c r="DO30" s="967"/>
      <c r="DP30" s="967"/>
      <c r="DQ30" s="967"/>
      <c r="DR30" s="967"/>
      <c r="DS30" s="967"/>
      <c r="DT30" s="967"/>
      <c r="DU30" s="967"/>
      <c r="DV30" s="967"/>
      <c r="DW30" s="967"/>
      <c r="DX30" s="967"/>
      <c r="DY30" s="967"/>
      <c r="DZ30" s="967"/>
      <c r="EA30" s="967"/>
      <c r="EB30" s="967"/>
    </row>
    <row r="31" spans="1:132">
      <c r="B31" s="974"/>
      <c r="C31" s="1005" t="s">
        <v>253</v>
      </c>
      <c r="D31" s="773"/>
      <c r="E31" s="780"/>
      <c r="F31" s="780"/>
      <c r="G31" s="780"/>
      <c r="H31" s="780"/>
      <c r="I31" s="780"/>
      <c r="J31" s="780"/>
      <c r="K31" s="780"/>
      <c r="L31" s="780"/>
      <c r="M31" s="780"/>
      <c r="N31" s="780">
        <f>ETR!N58</f>
        <v>3.24</v>
      </c>
      <c r="O31" s="780">
        <f>ETR!O58</f>
        <v>0.83</v>
      </c>
      <c r="P31" s="780">
        <f>ETR!P58</f>
        <v>0.83</v>
      </c>
      <c r="Q31" s="780">
        <f>ETR!Q58</f>
        <v>0.83</v>
      </c>
      <c r="R31" s="780">
        <f>ETR!R58</f>
        <v>0.83000000000000007</v>
      </c>
      <c r="S31" s="780">
        <f>ETR!S58</f>
        <v>3.32</v>
      </c>
      <c r="T31" s="780">
        <f>ETR!T58</f>
        <v>0.83</v>
      </c>
      <c r="U31" s="780">
        <f>ETR!U58</f>
        <v>0.83</v>
      </c>
      <c r="V31" s="780">
        <f>ETR!V58</f>
        <v>0.83</v>
      </c>
      <c r="W31" s="780">
        <f>ETR!W58</f>
        <v>0.83000000000000007</v>
      </c>
      <c r="X31" s="780">
        <f>ETR!X58</f>
        <v>3.32</v>
      </c>
      <c r="Y31" s="780">
        <f>ETR!Y58</f>
        <v>0.83</v>
      </c>
      <c r="Z31" s="780">
        <f>ETR!Z58</f>
        <v>0.83</v>
      </c>
      <c r="AA31" s="780">
        <f>ETR!AA58</f>
        <v>0.83</v>
      </c>
      <c r="AB31" s="780">
        <f>ETR!AB58</f>
        <v>0.83000000000000007</v>
      </c>
      <c r="AC31" s="780">
        <f>ETR!AC58</f>
        <v>3.32</v>
      </c>
      <c r="AD31" s="780">
        <f>ETR!AD58</f>
        <v>0.83</v>
      </c>
      <c r="AE31" s="780">
        <f>ETR!AE58</f>
        <v>0.83</v>
      </c>
      <c r="AF31" s="780">
        <f>ETR!AF58</f>
        <v>0.83</v>
      </c>
      <c r="AG31" s="780">
        <f>ETR!AG58</f>
        <v>0.83000000000000007</v>
      </c>
      <c r="AH31" s="780">
        <f>ETR!AH58</f>
        <v>3.32</v>
      </c>
      <c r="AI31" s="780">
        <f>ETR!AI58</f>
        <v>0.83</v>
      </c>
      <c r="AJ31" s="780">
        <f>ETR!AJ58</f>
        <v>0.83</v>
      </c>
      <c r="AK31" s="780">
        <f>ETR!AK58</f>
        <v>0.83</v>
      </c>
      <c r="AL31" s="780">
        <f>ETR!AL58</f>
        <v>0.85000000000000009</v>
      </c>
      <c r="AM31" s="780">
        <f>ETR!AM58</f>
        <v>3.34</v>
      </c>
      <c r="AN31" s="780">
        <f>ETR!AN58</f>
        <v>0.85</v>
      </c>
      <c r="AO31" s="780">
        <f>ETR!AO58</f>
        <v>0.85</v>
      </c>
      <c r="AP31" s="780">
        <f>ETR!AP58</f>
        <v>0.85</v>
      </c>
      <c r="AQ31" s="780">
        <f>ETR!AQ58</f>
        <v>0.87000000000000011</v>
      </c>
      <c r="AR31" s="780">
        <f>ETR!AR58</f>
        <v>3.42</v>
      </c>
      <c r="AS31" s="780">
        <f>ETR!AS58</f>
        <v>0.87</v>
      </c>
      <c r="AT31" s="780">
        <f>ETR!AT58</f>
        <v>0.87</v>
      </c>
      <c r="AU31" s="780">
        <f>ETR!AU58</f>
        <v>0.87</v>
      </c>
      <c r="AV31" s="780">
        <f>ETR!AV58</f>
        <v>0.89000000000000012</v>
      </c>
      <c r="AW31" s="780">
        <f>ETR!AW58</f>
        <v>3.5</v>
      </c>
      <c r="AX31" s="780">
        <f>ETR!AX58</f>
        <v>0.89</v>
      </c>
      <c r="AY31" s="780">
        <f>ETR!AY58</f>
        <v>0.89</v>
      </c>
      <c r="AZ31" s="780">
        <f>ETR!AZ58</f>
        <v>0.89</v>
      </c>
      <c r="BA31" s="780">
        <f>ETR!BA58</f>
        <v>0.91000000000000014</v>
      </c>
      <c r="BB31" s="780">
        <f>ETR!BB58</f>
        <v>3.58</v>
      </c>
      <c r="BC31" s="780">
        <f>ETR!BC58</f>
        <v>0.91</v>
      </c>
      <c r="BD31" s="780">
        <f>ETR!BD58</f>
        <v>0.91</v>
      </c>
      <c r="BE31" s="780">
        <f>ETR!BE58</f>
        <v>0.91</v>
      </c>
      <c r="BF31" s="780">
        <f>ETR!BF58</f>
        <v>0.93000000000000016</v>
      </c>
      <c r="BG31" s="780">
        <f>ETR!BG58</f>
        <v>3.66</v>
      </c>
      <c r="BH31" s="780">
        <f>ETR!BH58</f>
        <v>0.93</v>
      </c>
      <c r="BI31" s="780">
        <f>ETR!BI58</f>
        <v>0.93</v>
      </c>
      <c r="BJ31" s="780">
        <f>ETR!BJ58</f>
        <v>0.93</v>
      </c>
      <c r="BK31" s="780">
        <f>ETR!BK58</f>
        <v>0.95000000000000018</v>
      </c>
      <c r="BL31" s="780">
        <f>ETR!BL58</f>
        <v>3.74</v>
      </c>
      <c r="BM31" s="780">
        <f>ETR!BM58</f>
        <v>0.95000000000000007</v>
      </c>
      <c r="BN31" s="780">
        <f>ETR!BN58</f>
        <v>0.95000000000000007</v>
      </c>
      <c r="BO31" s="780">
        <f>ETR!BO58</f>
        <v>0.95000000000000007</v>
      </c>
      <c r="BP31" s="780">
        <f>ETR!BP58</f>
        <v>0.9700000000000002</v>
      </c>
      <c r="BQ31" s="780">
        <f>ETR!BQ58</f>
        <v>3.8200000000000003</v>
      </c>
      <c r="BR31" s="974"/>
      <c r="BS31" s="765" t="s">
        <v>254</v>
      </c>
      <c r="BT31" s="773"/>
      <c r="BY31" s="773"/>
      <c r="CD31" s="773"/>
      <c r="CI31" s="773"/>
      <c r="CN31" s="773"/>
      <c r="CS31" s="773"/>
      <c r="CX31" s="773"/>
      <c r="DC31" s="773"/>
      <c r="DH31" s="773"/>
      <c r="DM31" s="773"/>
      <c r="DR31" s="773"/>
      <c r="DW31" s="773"/>
      <c r="EB31" s="773"/>
    </row>
    <row r="32" spans="1:132">
      <c r="B32" s="974"/>
      <c r="C32" s="756" t="s">
        <v>73</v>
      </c>
      <c r="D32" s="773"/>
      <c r="E32" s="748"/>
      <c r="F32" s="748"/>
      <c r="G32" s="748"/>
      <c r="H32" s="748"/>
      <c r="I32" s="748"/>
      <c r="J32" s="748"/>
      <c r="K32" s="748"/>
      <c r="L32" s="748"/>
      <c r="M32" s="748"/>
      <c r="N32" s="1006">
        <f>N31/$S$52</f>
        <v>4.1990668740279943E-2</v>
      </c>
      <c r="O32" s="748"/>
      <c r="P32" s="748"/>
      <c r="Q32" s="748"/>
      <c r="R32" s="748"/>
      <c r="S32" s="1006">
        <f>S31/$S$52</f>
        <v>4.3027475375842408E-2</v>
      </c>
      <c r="T32" s="748"/>
      <c r="U32" s="748"/>
      <c r="V32" s="748"/>
      <c r="W32" s="748"/>
      <c r="X32" s="1006">
        <f>X31/$S$52</f>
        <v>4.3027475375842408E-2</v>
      </c>
      <c r="Y32" s="748"/>
      <c r="Z32" s="748"/>
      <c r="AA32" s="748"/>
      <c r="AB32" s="748"/>
      <c r="AC32" s="1006">
        <f>AC31/$S$52</f>
        <v>4.3027475375842408E-2</v>
      </c>
      <c r="AD32" s="748"/>
      <c r="AE32" s="748"/>
      <c r="AF32" s="748"/>
      <c r="AG32" s="748"/>
      <c r="AH32" s="1006">
        <f>AH31/$S$52</f>
        <v>4.3027475375842408E-2</v>
      </c>
      <c r="AI32" s="748"/>
      <c r="AJ32" s="748"/>
      <c r="AK32" s="748"/>
      <c r="AL32" s="748"/>
      <c r="AM32" s="1006">
        <f>AM31/$S$52</f>
        <v>4.3286677034733025E-2</v>
      </c>
      <c r="AN32" s="748"/>
      <c r="AO32" s="748"/>
      <c r="AP32" s="748"/>
      <c r="AQ32" s="748"/>
      <c r="AR32" s="1006">
        <f>AR31/$S$52</f>
        <v>4.432348367029549E-2</v>
      </c>
      <c r="AS32" s="748"/>
      <c r="AT32" s="748"/>
      <c r="AU32" s="748"/>
      <c r="AV32" s="748"/>
      <c r="AW32" s="1006">
        <f>AW31/$S$52</f>
        <v>4.5360290305857962E-2</v>
      </c>
      <c r="AX32" s="748"/>
      <c r="AY32" s="748"/>
      <c r="AZ32" s="748"/>
      <c r="BA32" s="748"/>
      <c r="BB32" s="1006">
        <f>BB31/$S$52</f>
        <v>4.6397096941420427E-2</v>
      </c>
      <c r="BC32" s="748"/>
      <c r="BD32" s="748"/>
      <c r="BE32" s="748"/>
      <c r="BF32" s="748"/>
      <c r="BG32" s="1006">
        <f>BG31/$S$52</f>
        <v>4.7433903576982898E-2</v>
      </c>
      <c r="BH32" s="748"/>
      <c r="BI32" s="748"/>
      <c r="BJ32" s="748"/>
      <c r="BK32" s="748"/>
      <c r="BL32" s="1006">
        <f>BL31/$S$52</f>
        <v>4.8470710212545363E-2</v>
      </c>
      <c r="BM32" s="748"/>
      <c r="BN32" s="748"/>
      <c r="BO32" s="748"/>
      <c r="BP32" s="748"/>
      <c r="BQ32" s="1006">
        <f>BQ31/$S$52</f>
        <v>4.9507516848107835E-2</v>
      </c>
      <c r="BR32" s="974"/>
      <c r="BS32" s="764" t="s">
        <v>210</v>
      </c>
      <c r="BT32" s="773"/>
      <c r="BU32" s="996"/>
      <c r="BV32" s="996"/>
      <c r="BW32" s="996"/>
      <c r="BX32" s="996"/>
      <c r="BY32" s="1007">
        <f>+BY34-BY33</f>
        <v>3296.0810000000001</v>
      </c>
      <c r="BZ32" s="1007"/>
      <c r="CA32" s="1007"/>
      <c r="CB32" s="1007"/>
      <c r="CC32" s="1007"/>
      <c r="CD32" s="1007">
        <f>+CD34-CD33</f>
        <v>2372.8180000000002</v>
      </c>
      <c r="CE32" s="1007"/>
      <c r="CF32" s="1007"/>
      <c r="CG32" s="1007"/>
      <c r="CH32" s="1007"/>
      <c r="CI32" s="1007">
        <f>+CI34-CI33</f>
        <v>2264.2849999999999</v>
      </c>
      <c r="CJ32" s="1007"/>
      <c r="CK32" s="1007"/>
      <c r="CL32" s="1007"/>
      <c r="CM32" s="1007"/>
      <c r="CN32" s="1007">
        <f>+CN34-CN33</f>
        <v>2459.2189999999996</v>
      </c>
      <c r="CO32" s="1007"/>
      <c r="CP32" s="1007"/>
      <c r="CQ32" s="1007"/>
      <c r="CR32" s="1007"/>
      <c r="CS32" s="1007">
        <f>+CS34-CS33</f>
        <v>2855.5609999999992</v>
      </c>
      <c r="CT32" s="1007"/>
      <c r="CU32" s="1007"/>
      <c r="CV32" s="1007"/>
      <c r="CW32" s="1007"/>
      <c r="CX32" s="1007">
        <f>+CX34-CX33</f>
        <v>2829.1839999999997</v>
      </c>
      <c r="CY32" s="1007"/>
      <c r="CZ32" s="1007"/>
      <c r="DA32" s="1007"/>
      <c r="DB32" s="1007"/>
      <c r="DC32" s="1007">
        <f>+DC34-DC33</f>
        <v>2752.6989999999996</v>
      </c>
      <c r="DD32" s="1007"/>
      <c r="DE32" s="1007"/>
      <c r="DF32" s="1007"/>
      <c r="DG32" s="1007"/>
      <c r="DH32" s="1007">
        <f>+DH34-DH33</f>
        <v>2486.4999999999995</v>
      </c>
      <c r="DI32" s="1007"/>
      <c r="DJ32" s="1007"/>
      <c r="DK32" s="1007"/>
      <c r="DL32" s="1007"/>
      <c r="DM32" s="1007">
        <f>+DM34-DM33</f>
        <v>2426.1682531432925</v>
      </c>
      <c r="DN32" s="1007"/>
      <c r="DO32" s="1007"/>
      <c r="DP32" s="1007"/>
      <c r="DQ32" s="1007"/>
      <c r="DR32" s="1007">
        <f>+DR34-DR33</f>
        <v>2582.4060946792529</v>
      </c>
      <c r="DS32" s="1007"/>
      <c r="DT32" s="1007"/>
      <c r="DU32" s="1007"/>
      <c r="DV32" s="1007"/>
      <c r="DW32" s="1007">
        <f>+DW34-DW33</f>
        <v>2701.2946026741956</v>
      </c>
      <c r="DX32" s="1007"/>
      <c r="DY32" s="1007"/>
      <c r="DZ32" s="1007"/>
      <c r="EA32" s="1007"/>
      <c r="EB32" s="1007">
        <f>+EB34-EB33</f>
        <v>2803.3682742673345</v>
      </c>
    </row>
    <row r="33" spans="2:132">
      <c r="B33" s="974"/>
      <c r="C33" s="764" t="s">
        <v>358</v>
      </c>
      <c r="D33" s="773"/>
      <c r="E33" s="747"/>
      <c r="F33" s="747"/>
      <c r="G33" s="747"/>
      <c r="H33" s="747"/>
      <c r="I33" s="747"/>
      <c r="J33" s="747"/>
      <c r="K33" s="747"/>
      <c r="L33" s="747"/>
      <c r="M33" s="747"/>
      <c r="N33" s="1008">
        <f>N31/N12</f>
        <v>0.45402138854824498</v>
      </c>
      <c r="O33" s="841"/>
      <c r="P33" s="841"/>
      <c r="Q33" s="841"/>
      <c r="R33" s="841"/>
      <c r="S33" s="1008">
        <f>S31/S12</f>
        <v>0.43561403446568764</v>
      </c>
      <c r="T33" s="841"/>
      <c r="U33" s="841"/>
      <c r="V33" s="841"/>
      <c r="W33" s="841"/>
      <c r="X33" s="1008">
        <f>X31/X12</f>
        <v>0.53243985534250204</v>
      </c>
      <c r="Y33" s="841"/>
      <c r="Z33" s="841"/>
      <c r="AA33" s="841"/>
      <c r="AB33" s="841"/>
      <c r="AC33" s="1008">
        <f>AC31/AC12</f>
        <v>0.61942585847694376</v>
      </c>
      <c r="AD33" s="814"/>
      <c r="AE33" s="814"/>
      <c r="AF33" s="814"/>
      <c r="AG33" s="814"/>
      <c r="AH33" s="1008">
        <f>AH31/AH12</f>
        <v>0.57001589169248057</v>
      </c>
      <c r="AI33" s="814"/>
      <c r="AJ33" s="814"/>
      <c r="AK33" s="814"/>
      <c r="AL33" s="814"/>
      <c r="AM33" s="1008">
        <f>AM31/AM12</f>
        <v>0.55626314467419724</v>
      </c>
      <c r="AN33" s="814"/>
      <c r="AO33" s="814"/>
      <c r="AP33" s="814"/>
      <c r="AQ33" s="814"/>
      <c r="AR33" s="1008">
        <f>AR31/AR12</f>
        <v>0.48108643292898684</v>
      </c>
      <c r="AS33" s="814"/>
      <c r="AT33" s="814"/>
      <c r="AU33" s="814"/>
      <c r="AV33" s="814"/>
      <c r="AW33" s="1008">
        <f>AW31/AW12</f>
        <v>0.48597892151433802</v>
      </c>
      <c r="AX33" s="814"/>
      <c r="AY33" s="814"/>
      <c r="AZ33" s="814"/>
      <c r="BA33" s="814"/>
      <c r="BB33" s="1008">
        <f>BB31/BB12</f>
        <v>0.60458598942197905</v>
      </c>
      <c r="BC33" s="814"/>
      <c r="BD33" s="814"/>
      <c r="BE33" s="814"/>
      <c r="BF33" s="814"/>
      <c r="BG33" s="1008">
        <f>BG31/BG12</f>
        <v>0.66371609066672987</v>
      </c>
      <c r="BH33" s="814"/>
      <c r="BI33" s="814"/>
      <c r="BJ33" s="814"/>
      <c r="BK33" s="814"/>
      <c r="BL33" s="1008">
        <f>BL31/BL12</f>
        <v>0.65545268619439767</v>
      </c>
      <c r="BM33" s="814"/>
      <c r="BN33" s="814"/>
      <c r="BO33" s="814"/>
      <c r="BP33" s="814"/>
      <c r="BQ33" s="1008">
        <f>BQ31/BQ12</f>
        <v>0.68739544949103859</v>
      </c>
      <c r="BR33" s="974"/>
      <c r="BS33" s="773" t="s">
        <v>71</v>
      </c>
      <c r="BT33" s="773"/>
      <c r="BU33" s="996"/>
      <c r="BV33" s="996"/>
      <c r="BW33" s="996"/>
      <c r="BX33" s="996"/>
      <c r="BY33" s="1007">
        <f>EWC!N458</f>
        <v>630</v>
      </c>
      <c r="BZ33" s="832"/>
      <c r="CA33" s="832"/>
      <c r="CB33" s="832"/>
      <c r="CC33" s="832"/>
      <c r="CD33" s="1007">
        <f>EWC!S458</f>
        <v>756</v>
      </c>
      <c r="CE33" s="832"/>
      <c r="CF33" s="832"/>
      <c r="CG33" s="832"/>
      <c r="CH33" s="832"/>
      <c r="CI33" s="1007">
        <f>EWC!X458</f>
        <v>676</v>
      </c>
      <c r="CJ33" s="832"/>
      <c r="CK33" s="832"/>
      <c r="CL33" s="832"/>
      <c r="CM33" s="832"/>
      <c r="CN33" s="1007">
        <f>EWC!AC458</f>
        <v>730</v>
      </c>
      <c r="CO33" s="832"/>
      <c r="CP33" s="832"/>
      <c r="CQ33" s="832"/>
      <c r="CR33" s="832"/>
      <c r="CS33" s="1007">
        <f>EWC!AH458</f>
        <v>1034</v>
      </c>
      <c r="CT33" s="832"/>
      <c r="CU33" s="832"/>
      <c r="CV33" s="832"/>
      <c r="CW33" s="832"/>
      <c r="CX33" s="1007">
        <f>EWC!AM458</f>
        <v>462.00000000000011</v>
      </c>
      <c r="CY33" s="832"/>
      <c r="CZ33" s="832"/>
      <c r="DA33" s="832"/>
      <c r="DB33" s="832"/>
      <c r="DC33" s="1007">
        <f>EWC!AR458</f>
        <v>246.00000000000023</v>
      </c>
      <c r="DD33" s="832"/>
      <c r="DE33" s="832"/>
      <c r="DF33" s="832"/>
      <c r="DG33" s="832"/>
      <c r="DH33" s="1007">
        <f>EWC!AW458</f>
        <v>136.99999999999997</v>
      </c>
      <c r="DI33" s="832"/>
      <c r="DJ33" s="832"/>
      <c r="DK33" s="832"/>
      <c r="DL33" s="832"/>
      <c r="DM33" s="1007">
        <f>EWC!BB458</f>
        <v>296.32195435746758</v>
      </c>
      <c r="DN33" s="832"/>
      <c r="DO33" s="832"/>
      <c r="DP33" s="832"/>
      <c r="DQ33" s="832"/>
      <c r="DR33" s="1007">
        <f>EWC!BG458</f>
        <v>168.72246813691009</v>
      </c>
      <c r="DS33" s="832"/>
      <c r="DT33" s="832"/>
      <c r="DU33" s="832"/>
      <c r="DV33" s="832"/>
      <c r="DW33" s="1007">
        <f>EWC!BL458</f>
        <v>110.04924161146192</v>
      </c>
      <c r="DX33" s="832"/>
      <c r="DY33" s="832"/>
      <c r="DZ33" s="832"/>
      <c r="EA33" s="832"/>
      <c r="EB33" s="1007">
        <f>EWC!BQ458</f>
        <v>-16.242259484331058</v>
      </c>
    </row>
    <row r="34" spans="2:132">
      <c r="B34" s="974"/>
      <c r="C34" s="764" t="s">
        <v>74</v>
      </c>
      <c r="D34" s="773"/>
      <c r="E34" s="825"/>
      <c r="F34" s="825"/>
      <c r="G34" s="825"/>
      <c r="H34" s="825"/>
      <c r="I34" s="825"/>
      <c r="J34" s="825"/>
      <c r="K34" s="825"/>
      <c r="L34" s="825"/>
      <c r="M34" s="825"/>
      <c r="N34" s="1006"/>
      <c r="O34" s="825"/>
      <c r="P34" s="825"/>
      <c r="Q34" s="825"/>
      <c r="R34" s="825"/>
      <c r="S34" s="1006">
        <f>S31/N31-1</f>
        <v>2.4691358024691246E-2</v>
      </c>
      <c r="T34" s="825"/>
      <c r="U34" s="825"/>
      <c r="V34" s="825"/>
      <c r="W34" s="825"/>
      <c r="X34" s="1006">
        <f>X31/S31-1</f>
        <v>0</v>
      </c>
      <c r="Y34" s="825"/>
      <c r="Z34" s="825"/>
      <c r="AA34" s="825"/>
      <c r="AB34" s="825"/>
      <c r="AC34" s="1006">
        <f>AC31/X31-1</f>
        <v>0</v>
      </c>
      <c r="AD34" s="825"/>
      <c r="AE34" s="825"/>
      <c r="AF34" s="825"/>
      <c r="AG34" s="825"/>
      <c r="AH34" s="1006">
        <f>AH31/AC31-1</f>
        <v>0</v>
      </c>
      <c r="AI34" s="825"/>
      <c r="AJ34" s="825"/>
      <c r="AK34" s="825"/>
      <c r="AL34" s="825"/>
      <c r="AM34" s="1006">
        <f>AM31/AH31-1</f>
        <v>6.0240963855422436E-3</v>
      </c>
      <c r="AN34" s="825"/>
      <c r="AO34" s="825"/>
      <c r="AP34" s="825"/>
      <c r="AQ34" s="825"/>
      <c r="AR34" s="1006">
        <f>AR31/AM31-1</f>
        <v>2.39520958083832E-2</v>
      </c>
      <c r="AS34" s="825"/>
      <c r="AT34" s="825"/>
      <c r="AU34" s="825"/>
      <c r="AV34" s="825"/>
      <c r="AW34" s="1006">
        <f>AW31/AR31-1</f>
        <v>2.3391812865497075E-2</v>
      </c>
      <c r="AX34" s="825"/>
      <c r="AY34" s="825"/>
      <c r="AZ34" s="825"/>
      <c r="BA34" s="825"/>
      <c r="BB34" s="1006">
        <f>BB31/AW31-1</f>
        <v>2.2857142857142909E-2</v>
      </c>
      <c r="BC34" s="825"/>
      <c r="BD34" s="825"/>
      <c r="BE34" s="825"/>
      <c r="BF34" s="825"/>
      <c r="BG34" s="1006">
        <f>BG31/BB31-1</f>
        <v>2.2346368715083775E-2</v>
      </c>
      <c r="BH34" s="825"/>
      <c r="BI34" s="825"/>
      <c r="BJ34" s="825"/>
      <c r="BK34" s="825"/>
      <c r="BL34" s="1006">
        <f>BL31/BG31-1</f>
        <v>2.1857923497267784E-2</v>
      </c>
      <c r="BM34" s="825"/>
      <c r="BN34" s="825"/>
      <c r="BO34" s="825"/>
      <c r="BP34" s="825"/>
      <c r="BQ34" s="1006">
        <f>BQ31/BL31-1</f>
        <v>2.1390374331550888E-2</v>
      </c>
      <c r="BR34" s="974"/>
      <c r="BS34" s="765" t="s">
        <v>255</v>
      </c>
      <c r="BT34" s="773"/>
      <c r="BU34" s="1010"/>
      <c r="BV34" s="1010"/>
      <c r="BW34" s="1010"/>
      <c r="BX34" s="1010"/>
      <c r="BY34" s="39">
        <f>ETR!N129</f>
        <v>3926.0810000000001</v>
      </c>
      <c r="BZ34" s="1010"/>
      <c r="CA34" s="1010"/>
      <c r="CB34" s="1010"/>
      <c r="CC34" s="1010"/>
      <c r="CD34" s="39">
        <f>ETR!S129</f>
        <v>3128.8180000000002</v>
      </c>
      <c r="CE34" s="39"/>
      <c r="CF34" s="39"/>
      <c r="CG34" s="39"/>
      <c r="CH34" s="39"/>
      <c r="CI34" s="39">
        <f>ETR!X129</f>
        <v>2940.2849999999999</v>
      </c>
      <c r="CJ34" s="39"/>
      <c r="CK34" s="39"/>
      <c r="CL34" s="39"/>
      <c r="CM34" s="39"/>
      <c r="CN34" s="39">
        <f>ETR!AC129</f>
        <v>3189.2189999999996</v>
      </c>
      <c r="CO34" s="39"/>
      <c r="CP34" s="39"/>
      <c r="CQ34" s="39"/>
      <c r="CR34" s="39"/>
      <c r="CS34" s="39">
        <f>ETR!AH129</f>
        <v>3889.5609999999992</v>
      </c>
      <c r="CT34" s="39"/>
      <c r="CU34" s="39"/>
      <c r="CV34" s="39"/>
      <c r="CW34" s="39"/>
      <c r="CX34" s="39">
        <f>ETR!AM129</f>
        <v>3291.1839999999997</v>
      </c>
      <c r="CY34" s="39"/>
      <c r="CZ34" s="39"/>
      <c r="DA34" s="39"/>
      <c r="DB34" s="39"/>
      <c r="DC34" s="39">
        <f>ETR!AR129</f>
        <v>2998.6989999999996</v>
      </c>
      <c r="DD34" s="39"/>
      <c r="DE34" s="39"/>
      <c r="DF34" s="39"/>
      <c r="DG34" s="39"/>
      <c r="DH34" s="39">
        <f>ETR!AW129</f>
        <v>2623.4999999999995</v>
      </c>
      <c r="DI34" s="39"/>
      <c r="DJ34" s="39"/>
      <c r="DK34" s="39"/>
      <c r="DL34" s="39"/>
      <c r="DM34" s="39">
        <f>ETR!BB129</f>
        <v>2722.4902075007603</v>
      </c>
      <c r="DN34" s="39"/>
      <c r="DO34" s="39"/>
      <c r="DP34" s="39"/>
      <c r="DQ34" s="39"/>
      <c r="DR34" s="39">
        <f>ETR!BG129</f>
        <v>2751.1285628161631</v>
      </c>
      <c r="DS34" s="39"/>
      <c r="DT34" s="39"/>
      <c r="DU34" s="39"/>
      <c r="DV34" s="39"/>
      <c r="DW34" s="39">
        <f>ETR!BL129</f>
        <v>2811.3438442856577</v>
      </c>
      <c r="DX34" s="39"/>
      <c r="DY34" s="39"/>
      <c r="DZ34" s="39"/>
      <c r="EA34" s="39"/>
      <c r="EB34" s="39">
        <f>ETR!BQ129</f>
        <v>2787.1260147830035</v>
      </c>
    </row>
    <row r="35" spans="2:132">
      <c r="B35" s="773"/>
      <c r="C35" s="773"/>
      <c r="D35" s="773"/>
      <c r="N35" s="773"/>
      <c r="S35" s="773"/>
      <c r="X35" s="773"/>
      <c r="AC35" s="773"/>
      <c r="AH35" s="773"/>
      <c r="AM35" s="773"/>
      <c r="AR35" s="773"/>
      <c r="AW35" s="1009"/>
      <c r="BB35" s="773"/>
      <c r="BG35" s="773"/>
      <c r="BL35" s="773"/>
      <c r="BQ35" s="773"/>
      <c r="BR35" s="974"/>
      <c r="BS35" s="764"/>
      <c r="BT35" s="773"/>
      <c r="BU35" s="794"/>
      <c r="BV35" s="794"/>
      <c r="BW35" s="794"/>
      <c r="BX35" s="794"/>
      <c r="BY35" s="978"/>
      <c r="BZ35" s="794"/>
      <c r="CA35" s="794"/>
      <c r="CB35" s="794"/>
      <c r="CC35" s="794"/>
      <c r="CD35" s="978"/>
      <c r="CE35" s="794"/>
      <c r="CF35" s="794"/>
      <c r="CG35" s="794"/>
      <c r="CH35" s="794"/>
      <c r="CI35" s="978"/>
      <c r="CJ35" s="794"/>
      <c r="CK35" s="794"/>
      <c r="CL35" s="794"/>
      <c r="CM35" s="794"/>
      <c r="CN35" s="978"/>
      <c r="CO35" s="794"/>
      <c r="CP35" s="794"/>
      <c r="CQ35" s="794"/>
      <c r="CR35" s="794"/>
      <c r="CS35" s="978"/>
      <c r="CT35" s="794"/>
      <c r="CU35" s="794"/>
      <c r="CV35" s="794"/>
      <c r="CW35" s="794"/>
      <c r="CX35" s="978"/>
      <c r="CY35" s="794"/>
      <c r="CZ35" s="794"/>
      <c r="DA35" s="794"/>
      <c r="DB35" s="794"/>
      <c r="DC35" s="978"/>
      <c r="DD35" s="794"/>
      <c r="DE35" s="794"/>
      <c r="DF35" s="794"/>
      <c r="DG35" s="794"/>
      <c r="DH35" s="978"/>
      <c r="DI35" s="794"/>
      <c r="DJ35" s="794"/>
      <c r="DK35" s="794"/>
      <c r="DL35" s="794"/>
      <c r="DM35" s="978"/>
      <c r="DN35" s="794"/>
      <c r="DO35" s="794"/>
      <c r="DP35" s="794"/>
      <c r="DQ35" s="794"/>
      <c r="DR35" s="978"/>
      <c r="DS35" s="794"/>
      <c r="DT35" s="794"/>
      <c r="DU35" s="794"/>
      <c r="DV35" s="794"/>
      <c r="DW35" s="978"/>
      <c r="DX35" s="794"/>
      <c r="DY35" s="794"/>
      <c r="DZ35" s="794"/>
      <c r="EA35" s="794"/>
      <c r="EB35" s="978"/>
    </row>
    <row r="36" spans="2:132">
      <c r="B36" s="974"/>
      <c r="C36" s="1011" t="s">
        <v>236</v>
      </c>
      <c r="D36" s="773"/>
      <c r="E36" s="825"/>
      <c r="F36" s="825"/>
      <c r="G36" s="825"/>
      <c r="H36" s="825"/>
      <c r="I36" s="825"/>
      <c r="J36" s="825"/>
      <c r="K36" s="825"/>
      <c r="L36" s="825"/>
      <c r="M36" s="825"/>
      <c r="N36" s="837">
        <f>ETR!N45</f>
        <v>178.74586800000003</v>
      </c>
      <c r="O36" s="825"/>
      <c r="P36" s="825"/>
      <c r="Q36" s="825"/>
      <c r="R36" s="825"/>
      <c r="S36" s="837">
        <f>ETR!S45</f>
        <v>176.35580000000002</v>
      </c>
      <c r="T36" s="837">
        <f>ETR!T45</f>
        <v>177.15170800000001</v>
      </c>
      <c r="U36" s="837">
        <f>ETR!U45</f>
        <v>177.19064300000002</v>
      </c>
      <c r="V36" s="837">
        <f>ETR!V45</f>
        <v>177.67249100000001</v>
      </c>
      <c r="W36" s="837">
        <f>ETR!W45</f>
        <v>177.67249100000001</v>
      </c>
      <c r="X36" s="837">
        <f>ETR!X45</f>
        <v>177.80754899999999</v>
      </c>
      <c r="Y36" s="837">
        <f>ETR!Y45</f>
        <v>178.09596900000003</v>
      </c>
      <c r="Z36" s="837">
        <f>ETR!Z45</f>
        <v>178.23938200000001</v>
      </c>
      <c r="AA36" s="837">
        <f>ETR!AA45</f>
        <v>178.30597499999999</v>
      </c>
      <c r="AB36" s="837">
        <f>ETR!AB45</f>
        <v>178.30597499999999</v>
      </c>
      <c r="AC36" s="837">
        <f>ETR!AC45</f>
        <v>178.37085200000001</v>
      </c>
      <c r="AD36" s="837">
        <f>ETR!AD45</f>
        <v>179.14405500000001</v>
      </c>
      <c r="AE36" s="837">
        <f>ETR!AE45</f>
        <v>179.55417399999999</v>
      </c>
      <c r="AF36" s="837">
        <f>ETR!AF45</f>
        <v>179.64967200000001</v>
      </c>
      <c r="AG36" s="837">
        <f>ETR!AG45</f>
        <v>179.24070900000001</v>
      </c>
      <c r="AH36" s="837">
        <f>ETR!AH45</f>
        <v>179.24070900000001</v>
      </c>
      <c r="AI36" s="837">
        <f>ETR!AI45</f>
        <v>179.51444500000002</v>
      </c>
      <c r="AJ36" s="837">
        <f>ETR!AJ45</f>
        <v>179.52561400000002</v>
      </c>
      <c r="AK36" s="837">
        <f>ETR!AK45</f>
        <v>178.38679999999999</v>
      </c>
      <c r="AL36" s="837">
        <f>ETR!AL45</f>
        <v>178.389025</v>
      </c>
      <c r="AM36" s="837">
        <f>ETR!AM45</f>
        <v>178.389025</v>
      </c>
      <c r="AN36" s="837">
        <f>ETR!AN45</f>
        <v>178.72160100000002</v>
      </c>
      <c r="AO36" s="837">
        <f>ETR!AO45</f>
        <v>178.89616900000001</v>
      </c>
      <c r="AP36" s="837">
        <f>ETR!AP45</f>
        <v>179.12760400000002</v>
      </c>
      <c r="AQ36" s="837">
        <f>ETR!AQ45</f>
        <v>179.12942500000003</v>
      </c>
      <c r="AR36" s="837">
        <f>ETR!AR45</f>
        <v>179.12942500000003</v>
      </c>
      <c r="AS36" s="837">
        <f>ETR!AS45</f>
        <v>179.43300400000001</v>
      </c>
      <c r="AT36" s="837">
        <f>ETR!AT45</f>
        <v>179.51943800000001</v>
      </c>
      <c r="AU36" s="837">
        <f>ETR!AU45</f>
        <v>179.62560200000001</v>
      </c>
      <c r="AV36" s="837">
        <f>ETR!AV45</f>
        <v>180.517653</v>
      </c>
      <c r="AW36" s="837">
        <f>ETR!AW45</f>
        <v>180.517653</v>
      </c>
      <c r="AX36" s="837">
        <f>ETR!AX45</f>
        <v>180.517653</v>
      </c>
      <c r="AY36" s="837">
        <f>ETR!AY45</f>
        <v>180.517653</v>
      </c>
      <c r="AZ36" s="837">
        <f>ETR!AZ45</f>
        <v>180.517653</v>
      </c>
      <c r="BA36" s="837">
        <f>ETR!BA45</f>
        <v>180.517653</v>
      </c>
      <c r="BB36" s="837">
        <f>ETR!BB45</f>
        <v>180.517653</v>
      </c>
      <c r="BC36" s="837">
        <f>ETR!BC45</f>
        <v>180.517653</v>
      </c>
      <c r="BD36" s="837">
        <f>ETR!BD45</f>
        <v>180.517653</v>
      </c>
      <c r="BE36" s="837">
        <f>ETR!BE45</f>
        <v>180.517653</v>
      </c>
      <c r="BF36" s="837">
        <f>ETR!BF45</f>
        <v>180.517653</v>
      </c>
      <c r="BG36" s="837">
        <f>ETR!BG45</f>
        <v>180.517653</v>
      </c>
      <c r="BH36" s="837">
        <f>ETR!BH45</f>
        <v>180.517653</v>
      </c>
      <c r="BI36" s="837">
        <f>ETR!BI45</f>
        <v>180.517653</v>
      </c>
      <c r="BJ36" s="837">
        <f>ETR!BJ45</f>
        <v>180.517653</v>
      </c>
      <c r="BK36" s="837">
        <f>ETR!BK45</f>
        <v>180.517653</v>
      </c>
      <c r="BL36" s="837">
        <f>ETR!BL45</f>
        <v>180.517653</v>
      </c>
      <c r="BM36" s="837">
        <f>ETR!BM45</f>
        <v>180.517653</v>
      </c>
      <c r="BN36" s="837">
        <f>ETR!BN45</f>
        <v>180.517653</v>
      </c>
      <c r="BO36" s="837">
        <f>ETR!BO45</f>
        <v>180.517653</v>
      </c>
      <c r="BP36" s="837">
        <f>ETR!BP45</f>
        <v>180.517653</v>
      </c>
      <c r="BQ36" s="837">
        <f>ETR!BQ45</f>
        <v>180.517653</v>
      </c>
      <c r="BR36" s="974"/>
      <c r="BS36" s="765" t="s">
        <v>257</v>
      </c>
      <c r="BT36" s="773"/>
      <c r="BY36" s="773"/>
      <c r="CD36" s="773"/>
      <c r="CI36" s="773"/>
      <c r="CN36" s="773"/>
      <c r="CS36" s="773"/>
      <c r="CX36" s="773"/>
      <c r="DC36" s="773"/>
      <c r="DH36" s="773"/>
      <c r="DM36" s="773"/>
      <c r="DR36" s="773"/>
      <c r="DW36" s="773"/>
      <c r="EB36" s="773"/>
    </row>
    <row r="37" spans="2:132">
      <c r="B37" s="773"/>
      <c r="C37" s="1012" t="s">
        <v>256</v>
      </c>
      <c r="D37" s="773"/>
      <c r="N37" s="837">
        <f>ETR!N46</f>
        <v>186.71517499999999</v>
      </c>
      <c r="S37" s="837">
        <f>ETR!S46</f>
        <v>177.43020799999999</v>
      </c>
      <c r="T37" s="837">
        <f>ETR!T46</f>
        <v>176.865363</v>
      </c>
      <c r="U37" s="837">
        <f>ETR!U46</f>
        <v>177.16651899999999</v>
      </c>
      <c r="V37" s="837">
        <f>ETR!V46</f>
        <v>177.51784599999999</v>
      </c>
      <c r="W37" s="837">
        <f>ETR!W46</f>
        <v>177.67249100000001</v>
      </c>
      <c r="X37" s="837">
        <f>ETR!X46</f>
        <v>177.32481300000001</v>
      </c>
      <c r="Y37" s="837">
        <f>ETR!Y46</f>
        <v>178.027961</v>
      </c>
      <c r="Z37" s="837">
        <f>ETR!Z46</f>
        <v>178.19652500000001</v>
      </c>
      <c r="AA37" s="837">
        <f>ETR!AA46</f>
        <v>178.28372100000001</v>
      </c>
      <c r="AB37" s="837">
        <f>ETR!AB46</f>
        <v>178.30597499999999</v>
      </c>
      <c r="AC37" s="837">
        <f>ETR!AC46</f>
        <v>178.21119200000001</v>
      </c>
      <c r="AD37" s="837">
        <f>ETR!AD46</f>
        <v>178.79782900000001</v>
      </c>
      <c r="AE37" s="837">
        <f>ETR!AE46</f>
        <v>179.35410300000001</v>
      </c>
      <c r="AF37" s="837">
        <f>ETR!AF46</f>
        <v>179.61006699999999</v>
      </c>
      <c r="AG37" s="837">
        <f>ETR!AG46</f>
        <v>180.245555</v>
      </c>
      <c r="AH37" s="837">
        <f>ETR!AH46</f>
        <v>179.50615099999999</v>
      </c>
      <c r="AI37" s="837">
        <f>ETR!AI46</f>
        <v>179.65898100000001</v>
      </c>
      <c r="AJ37" s="837">
        <f>ETR!AJ46</f>
        <v>179.521276</v>
      </c>
      <c r="AK37" s="837">
        <f>ETR!AK46</f>
        <v>179.15183200000001</v>
      </c>
      <c r="AL37" s="837">
        <f>ETR!AL46</f>
        <v>178.387574</v>
      </c>
      <c r="AM37" s="837">
        <f>ETR!AM46</f>
        <v>179.176356</v>
      </c>
      <c r="AN37" s="837">
        <f>ETR!AN46</f>
        <v>178.57853600000001</v>
      </c>
      <c r="AO37" s="837">
        <f>ETR!AO46</f>
        <v>178.80814899999999</v>
      </c>
      <c r="AP37" s="837">
        <f>ETR!AP46</f>
        <v>179.02335099999999</v>
      </c>
      <c r="AQ37" s="837">
        <f>ETR!AQ46</f>
        <v>179.12842499999999</v>
      </c>
      <c r="AR37" s="837">
        <f>ETR!AR46</f>
        <v>178.88566</v>
      </c>
      <c r="AS37" s="837">
        <f>ETR!AS46</f>
        <v>179.33506299999999</v>
      </c>
      <c r="AT37" s="837">
        <f>ETR!AT46</f>
        <v>179.475346</v>
      </c>
      <c r="AU37" s="837">
        <f>ETR!AU46</f>
        <v>179.563819</v>
      </c>
      <c r="AV37" s="837">
        <f>ETR!AV46</f>
        <v>180.303505</v>
      </c>
      <c r="AW37" s="837">
        <f>ETR!AW46</f>
        <v>179.671797</v>
      </c>
      <c r="AX37" s="837">
        <f>ETR!AX46</f>
        <v>180.517653</v>
      </c>
      <c r="AY37" s="837">
        <f>ETR!AY46</f>
        <v>180.517653</v>
      </c>
      <c r="AZ37" s="837">
        <f>ETR!AZ46</f>
        <v>180.517653</v>
      </c>
      <c r="BA37" s="837">
        <f>ETR!BA46</f>
        <v>180.517653</v>
      </c>
      <c r="BB37" s="837">
        <f>ETR!BB46</f>
        <v>180.517653</v>
      </c>
      <c r="BC37" s="837">
        <f>ETR!BC46</f>
        <v>180.517653</v>
      </c>
      <c r="BD37" s="837">
        <f>ETR!BD46</f>
        <v>180.517653</v>
      </c>
      <c r="BE37" s="837">
        <f>ETR!BE46</f>
        <v>180.517653</v>
      </c>
      <c r="BF37" s="837">
        <f>ETR!BF46</f>
        <v>180.517653</v>
      </c>
      <c r="BG37" s="837">
        <f>ETR!BG46</f>
        <v>180.517653</v>
      </c>
      <c r="BH37" s="837">
        <f>ETR!BH46</f>
        <v>180.517653</v>
      </c>
      <c r="BI37" s="837">
        <f>ETR!BI46</f>
        <v>180.517653</v>
      </c>
      <c r="BJ37" s="837">
        <f>ETR!BJ46</f>
        <v>180.517653</v>
      </c>
      <c r="BK37" s="837">
        <f>ETR!BK46</f>
        <v>180.517653</v>
      </c>
      <c r="BL37" s="837">
        <f>ETR!BL46</f>
        <v>180.517653</v>
      </c>
      <c r="BM37" s="837">
        <f>ETR!BM46</f>
        <v>180.517653</v>
      </c>
      <c r="BN37" s="837">
        <f>ETR!BN46</f>
        <v>180.517653</v>
      </c>
      <c r="BO37" s="837">
        <f>ETR!BO46</f>
        <v>180.517653</v>
      </c>
      <c r="BP37" s="837">
        <f>ETR!BP46</f>
        <v>180.517653</v>
      </c>
      <c r="BQ37" s="837">
        <f>ETR!BQ46</f>
        <v>180.517653</v>
      </c>
      <c r="BR37" s="974"/>
      <c r="BS37" s="764" t="s">
        <v>850</v>
      </c>
      <c r="BT37" s="773"/>
      <c r="BU37" s="794"/>
      <c r="BV37" s="794"/>
      <c r="BW37" s="794"/>
      <c r="BX37" s="794"/>
      <c r="BY37" s="1007">
        <f>+BY39-BY38</f>
        <v>1533.2860000000001</v>
      </c>
      <c r="BZ37" s="1007"/>
      <c r="CA37" s="1007"/>
      <c r="CB37" s="1007"/>
      <c r="CC37" s="1007"/>
      <c r="CD37" s="1007">
        <f>+CD39-CD38</f>
        <v>1674.027</v>
      </c>
      <c r="CE37" s="1007"/>
      <c r="CF37" s="1007"/>
      <c r="CG37" s="1007"/>
      <c r="CH37" s="1007"/>
      <c r="CI37" s="1007">
        <f>+CI39-CI38</f>
        <v>2315.4169999999999</v>
      </c>
      <c r="CJ37" s="1007"/>
      <c r="CK37" s="1007"/>
      <c r="CL37" s="1007"/>
      <c r="CM37" s="1007"/>
      <c r="CN37" s="1007">
        <f>+CN39-CN38</f>
        <v>2287.5929999999998</v>
      </c>
      <c r="CO37" s="1007"/>
      <c r="CP37" s="1007"/>
      <c r="CQ37" s="1007"/>
      <c r="CR37" s="1007"/>
      <c r="CS37" s="1007">
        <f>+CS39-CS38</f>
        <v>2119.1909999999998</v>
      </c>
      <c r="CT37" s="1007"/>
      <c r="CU37" s="1007"/>
      <c r="CV37" s="1007"/>
      <c r="CW37" s="1007"/>
      <c r="CX37" s="1007">
        <f>+CX39-CX38</f>
        <v>2500.8599999999997</v>
      </c>
      <c r="CY37" s="1007"/>
      <c r="CZ37" s="1007"/>
      <c r="DA37" s="1007"/>
      <c r="DB37" s="1007"/>
      <c r="DC37" s="1007">
        <f>+DC39-DC38</f>
        <v>2780.2219999999998</v>
      </c>
      <c r="DD37" s="1007"/>
      <c r="DE37" s="1007"/>
      <c r="DF37" s="1007"/>
      <c r="DG37" s="1007"/>
      <c r="DH37" s="1007">
        <f>+DH39-DH38</f>
        <v>3607.5320000000002</v>
      </c>
      <c r="DI37" s="1007"/>
      <c r="DJ37" s="1007"/>
      <c r="DK37" s="1007"/>
      <c r="DL37" s="1007"/>
      <c r="DM37" s="1007">
        <f>+DM39-DM38</f>
        <v>3920</v>
      </c>
      <c r="DN37" s="1007"/>
      <c r="DO37" s="1007"/>
      <c r="DP37" s="1007"/>
      <c r="DQ37" s="1007"/>
      <c r="DR37" s="1007">
        <f>+DR39-DR38</f>
        <v>3640</v>
      </c>
      <c r="DS37" s="1007"/>
      <c r="DT37" s="1007"/>
      <c r="DU37" s="1007"/>
      <c r="DV37" s="1007"/>
      <c r="DW37" s="1007">
        <f>+DW39-DW38</f>
        <v>3300</v>
      </c>
      <c r="DX37" s="1007"/>
      <c r="DY37" s="1007"/>
      <c r="DZ37" s="1007"/>
      <c r="EA37" s="1007"/>
      <c r="EB37" s="1007">
        <f>+EB39-EB38</f>
        <v>3566.6666666666665</v>
      </c>
    </row>
    <row r="38" spans="2:132">
      <c r="B38" s="773"/>
      <c r="C38" s="1011" t="s">
        <v>258</v>
      </c>
      <c r="D38" s="773"/>
      <c r="N38" s="837">
        <f>ETR!N47</f>
        <v>186.71517499999999</v>
      </c>
      <c r="S38" s="837">
        <f>ETR!S47</f>
        <v>178.37069500000001</v>
      </c>
      <c r="T38" s="837">
        <f>ETR!T47</f>
        <v>177.38804500000001</v>
      </c>
      <c r="U38" s="837">
        <f>ETR!U47</f>
        <v>177.56535099999999</v>
      </c>
      <c r="V38" s="837">
        <f>ETR!V47</f>
        <v>177.975075</v>
      </c>
      <c r="W38" s="837">
        <f>ETR!W47</f>
        <v>177.975075</v>
      </c>
      <c r="X38" s="837">
        <f>ETR!X47</f>
        <v>177.73756499999999</v>
      </c>
      <c r="Y38" s="837">
        <f>ETR!Y47</f>
        <v>178.413287</v>
      </c>
      <c r="Z38" s="837">
        <f>ETR!Z47</f>
        <v>178.614383</v>
      </c>
      <c r="AA38" s="837">
        <f>ETR!AA47</f>
        <v>178.65221</v>
      </c>
      <c r="AB38" s="837">
        <f>ETR!AB47</f>
        <v>178.65221</v>
      </c>
      <c r="AC38" s="837">
        <f>ETR!AC47</f>
        <v>178.57040000000001</v>
      </c>
      <c r="AD38" s="837">
        <f>ETR!AD47</f>
        <v>179.05596700000001</v>
      </c>
      <c r="AE38" s="837">
        <f>ETR!AE47</f>
        <v>180.04543200000001</v>
      </c>
      <c r="AF38" s="837">
        <f>ETR!AF47</f>
        <v>180.52711600000001</v>
      </c>
      <c r="AG38" s="837">
        <f>ETR!AG47</f>
        <v>181.603441</v>
      </c>
      <c r="AH38" s="837">
        <f>ETR!AH47</f>
        <v>180.296885</v>
      </c>
      <c r="AI38" s="837">
        <f>ETR!AI47</f>
        <v>180.48052300000001</v>
      </c>
      <c r="AJ38" s="837">
        <f>ETR!AJ47</f>
        <v>180.11983699999999</v>
      </c>
      <c r="AK38" s="837">
        <f>ETR!AK47</f>
        <v>179.15183200000001</v>
      </c>
      <c r="AL38" s="837">
        <f>ETR!AL47</f>
        <v>179.06994800000001</v>
      </c>
      <c r="AM38" s="837">
        <f>ETR!AM47</f>
        <v>179.176356</v>
      </c>
      <c r="AN38" s="837">
        <f>ETR!AN47</f>
        <v>178.97638000000001</v>
      </c>
      <c r="AO38" s="837">
        <f>ETR!AO47</f>
        <v>179.50358199999999</v>
      </c>
      <c r="AP38" s="837">
        <f>ETR!AP47</f>
        <v>179.99088800000001</v>
      </c>
      <c r="AQ38" s="837">
        <f>ETR!AQ47</f>
        <v>179.12842499999999</v>
      </c>
      <c r="AR38" s="837">
        <f>ETR!AR47</f>
        <v>178.88566</v>
      </c>
      <c r="AS38" s="837">
        <f>ETR!AS47</f>
        <v>179.84205299999999</v>
      </c>
      <c r="AT38" s="837">
        <f>ETR!AT47</f>
        <v>180.23469399999999</v>
      </c>
      <c r="AU38" s="837">
        <f>ETR!AU47</f>
        <v>180.46406899999999</v>
      </c>
      <c r="AV38" s="837">
        <f>ETR!AV47</f>
        <v>180.303505</v>
      </c>
      <c r="AW38" s="837">
        <f>ETR!AW47</f>
        <v>180.53589299999999</v>
      </c>
      <c r="AX38" s="837">
        <f>ETR!AX47</f>
        <v>180.517653</v>
      </c>
      <c r="AY38" s="837">
        <f>ETR!AY47</f>
        <v>180.517653</v>
      </c>
      <c r="AZ38" s="837">
        <f>ETR!AZ47</f>
        <v>180.517653</v>
      </c>
      <c r="BA38" s="837">
        <f>ETR!BA47</f>
        <v>180.517653</v>
      </c>
      <c r="BB38" s="837">
        <f>ETR!BB47</f>
        <v>180.517653</v>
      </c>
      <c r="BC38" s="837">
        <f>ETR!BC47</f>
        <v>180.517653</v>
      </c>
      <c r="BD38" s="837">
        <f>ETR!BD47</f>
        <v>180.517653</v>
      </c>
      <c r="BE38" s="837">
        <f>ETR!BE47</f>
        <v>180.517653</v>
      </c>
      <c r="BF38" s="837">
        <f>ETR!BF47</f>
        <v>180.517653</v>
      </c>
      <c r="BG38" s="837">
        <f>ETR!BG47</f>
        <v>180.517653</v>
      </c>
      <c r="BH38" s="837">
        <f>ETR!BH47</f>
        <v>180.517653</v>
      </c>
      <c r="BI38" s="837">
        <f>ETR!BI47</f>
        <v>180.517653</v>
      </c>
      <c r="BJ38" s="837">
        <f>ETR!BJ47</f>
        <v>180.517653</v>
      </c>
      <c r="BK38" s="837">
        <f>ETR!BK47</f>
        <v>180.517653</v>
      </c>
      <c r="BL38" s="837">
        <f>ETR!BL47</f>
        <v>180.517653</v>
      </c>
      <c r="BM38" s="837">
        <f>ETR!BM47</f>
        <v>180.517653</v>
      </c>
      <c r="BN38" s="837">
        <f>ETR!BN47</f>
        <v>180.517653</v>
      </c>
      <c r="BO38" s="837">
        <f>ETR!BO47</f>
        <v>180.517653</v>
      </c>
      <c r="BP38" s="837">
        <f>ETR!BP47</f>
        <v>180.517653</v>
      </c>
      <c r="BQ38" s="837">
        <f>ETR!BQ47</f>
        <v>180.517653</v>
      </c>
      <c r="BR38" s="974"/>
      <c r="BS38" s="773" t="s">
        <v>71</v>
      </c>
      <c r="BT38" s="773"/>
      <c r="BU38" s="996"/>
      <c r="BV38" s="996"/>
      <c r="BW38" s="996"/>
      <c r="BX38" s="996"/>
      <c r="BY38" s="1007">
        <f>+ETR!N80</f>
        <v>441</v>
      </c>
      <c r="BZ38" s="832"/>
      <c r="CA38" s="832"/>
      <c r="CB38" s="832"/>
      <c r="CC38" s="832"/>
      <c r="CD38" s="1007">
        <f>+ETR!S80</f>
        <v>366</v>
      </c>
      <c r="CE38" s="832"/>
      <c r="CF38" s="832"/>
      <c r="CG38" s="832"/>
      <c r="CH38" s="832"/>
      <c r="CI38" s="1007">
        <f>+ETR!X80</f>
        <v>349</v>
      </c>
      <c r="CJ38" s="832"/>
      <c r="CK38" s="832"/>
      <c r="CL38" s="832"/>
      <c r="CM38" s="832"/>
      <c r="CN38" s="1007">
        <f>+ETR!AC80</f>
        <v>0</v>
      </c>
      <c r="CO38" s="832"/>
      <c r="CP38" s="832"/>
      <c r="CQ38" s="832"/>
      <c r="CR38" s="832"/>
      <c r="CS38" s="1007">
        <f>+ETR!AH80</f>
        <v>0</v>
      </c>
      <c r="CT38" s="832"/>
      <c r="CU38" s="832"/>
      <c r="CV38" s="832"/>
      <c r="CW38" s="832"/>
      <c r="CX38" s="1007">
        <f>+ETR!AM80</f>
        <v>0</v>
      </c>
      <c r="CY38" s="832"/>
      <c r="CZ38" s="832"/>
      <c r="DA38" s="832"/>
      <c r="DB38" s="832"/>
      <c r="DC38" s="1007">
        <f>+ETR!AR80</f>
        <v>0</v>
      </c>
      <c r="DD38" s="832"/>
      <c r="DE38" s="832"/>
      <c r="DF38" s="832"/>
      <c r="DG38" s="832"/>
      <c r="DH38" s="1007">
        <f>+ETR!AW80</f>
        <v>0</v>
      </c>
      <c r="DI38" s="832"/>
      <c r="DJ38" s="832"/>
      <c r="DK38" s="832"/>
      <c r="DL38" s="832"/>
      <c r="DM38" s="1007">
        <f>+ETR!BB80</f>
        <v>235</v>
      </c>
      <c r="DN38" s="832"/>
      <c r="DO38" s="832"/>
      <c r="DP38" s="832"/>
      <c r="DQ38" s="832"/>
      <c r="DR38" s="1007">
        <f>+ETR!BG80</f>
        <v>75</v>
      </c>
      <c r="DS38" s="832"/>
      <c r="DT38" s="832"/>
      <c r="DU38" s="832"/>
      <c r="DV38" s="832"/>
      <c r="DW38" s="1007">
        <f>+ETR!BL80</f>
        <v>35</v>
      </c>
      <c r="DX38" s="832"/>
      <c r="DY38" s="832"/>
      <c r="DZ38" s="832"/>
      <c r="EA38" s="832"/>
      <c r="EB38" s="1007">
        <f>+ETR!BQ80</f>
        <v>25</v>
      </c>
    </row>
    <row r="39" spans="2:132">
      <c r="B39" s="773"/>
      <c r="C39" s="773"/>
      <c r="D39" s="773"/>
      <c r="N39" s="773"/>
      <c r="S39" s="773"/>
      <c r="X39" s="773"/>
      <c r="AC39" s="773"/>
      <c r="AH39" s="773"/>
      <c r="AM39" s="773"/>
      <c r="AR39" s="773"/>
      <c r="AW39" s="773"/>
      <c r="BB39" s="773"/>
      <c r="BG39" s="773"/>
      <c r="BL39" s="773"/>
      <c r="BQ39" s="773"/>
      <c r="BR39" s="974"/>
      <c r="BS39" s="765" t="s">
        <v>259</v>
      </c>
      <c r="BT39" s="773"/>
      <c r="BU39" s="1010"/>
      <c r="BV39" s="1010"/>
      <c r="BW39" s="1010"/>
      <c r="BX39" s="1010"/>
      <c r="BY39" s="39">
        <f>+ETR!N82</f>
        <v>1974.2860000000001</v>
      </c>
      <c r="BZ39" s="1010"/>
      <c r="CA39" s="1010"/>
      <c r="CB39" s="1010"/>
      <c r="CC39" s="1010"/>
      <c r="CD39" s="39">
        <f>+ETR!S82</f>
        <v>2040.027</v>
      </c>
      <c r="CE39" s="832"/>
      <c r="CF39" s="832"/>
      <c r="CG39" s="832"/>
      <c r="CH39" s="832"/>
      <c r="CI39" s="39">
        <f>+ETR!X82</f>
        <v>2664.4169999999999</v>
      </c>
      <c r="CJ39" s="832"/>
      <c r="CK39" s="832"/>
      <c r="CL39" s="832"/>
      <c r="CM39" s="832"/>
      <c r="CN39" s="39">
        <f>+ETR!AC82</f>
        <v>2287.5929999999998</v>
      </c>
      <c r="CO39" s="832"/>
      <c r="CP39" s="832"/>
      <c r="CQ39" s="832"/>
      <c r="CR39" s="832"/>
      <c r="CS39" s="39">
        <f>+ETR!AH82</f>
        <v>2119.1909999999998</v>
      </c>
      <c r="CT39" s="832"/>
      <c r="CU39" s="832"/>
      <c r="CV39" s="832"/>
      <c r="CW39" s="832"/>
      <c r="CX39" s="39">
        <f>+ETR!AM82</f>
        <v>2500.8599999999997</v>
      </c>
      <c r="CY39" s="832"/>
      <c r="CZ39" s="832"/>
      <c r="DA39" s="832"/>
      <c r="DB39" s="832"/>
      <c r="DC39" s="39">
        <f>+ETR!AR82</f>
        <v>2780.2219999999998</v>
      </c>
      <c r="DD39" s="832"/>
      <c r="DE39" s="832"/>
      <c r="DF39" s="832"/>
      <c r="DG39" s="832"/>
      <c r="DH39" s="39">
        <f>+ETR!AW82</f>
        <v>3607.5320000000002</v>
      </c>
      <c r="DI39" s="832"/>
      <c r="DJ39" s="832"/>
      <c r="DK39" s="832"/>
      <c r="DL39" s="832"/>
      <c r="DM39" s="39">
        <f>+ETR!BB82</f>
        <v>4155</v>
      </c>
      <c r="DN39" s="832"/>
      <c r="DO39" s="832"/>
      <c r="DP39" s="832"/>
      <c r="DQ39" s="832"/>
      <c r="DR39" s="39">
        <f>+ETR!BG82</f>
        <v>3715</v>
      </c>
      <c r="DS39" s="832"/>
      <c r="DT39" s="832"/>
      <c r="DU39" s="832"/>
      <c r="DV39" s="832"/>
      <c r="DW39" s="39">
        <f>+ETR!BL82</f>
        <v>3335</v>
      </c>
      <c r="DX39" s="832"/>
      <c r="DY39" s="832"/>
      <c r="DZ39" s="832"/>
      <c r="EA39" s="832"/>
      <c r="EB39" s="39">
        <f>+ETR!BQ82</f>
        <v>3591.6666666666665</v>
      </c>
    </row>
    <row r="40" spans="2:132">
      <c r="B40" s="773"/>
      <c r="C40" s="773"/>
      <c r="D40" s="773"/>
      <c r="N40" s="773"/>
      <c r="S40" s="773"/>
      <c r="X40" s="773"/>
      <c r="AC40" s="773"/>
      <c r="AH40" s="773"/>
      <c r="AM40" s="773"/>
      <c r="AR40" s="773"/>
      <c r="AW40" s="773"/>
      <c r="BB40" s="773"/>
      <c r="BG40" s="773"/>
      <c r="BL40" s="773"/>
      <c r="BQ40" s="773"/>
      <c r="BR40" s="974"/>
      <c r="BS40" s="764"/>
      <c r="BT40" s="773"/>
      <c r="BU40" s="794"/>
      <c r="BV40" s="794"/>
      <c r="BW40" s="794"/>
      <c r="BX40" s="794"/>
      <c r="BY40" s="978"/>
      <c r="BZ40" s="794"/>
      <c r="CA40" s="794"/>
      <c r="CB40" s="794"/>
      <c r="CC40" s="794"/>
      <c r="CD40" s="978"/>
      <c r="CE40" s="794"/>
      <c r="CF40" s="794"/>
      <c r="CG40" s="794"/>
      <c r="CH40" s="794"/>
      <c r="CI40" s="978"/>
      <c r="CJ40" s="794"/>
      <c r="CK40" s="794"/>
      <c r="CL40" s="794"/>
      <c r="CM40" s="794"/>
      <c r="CN40" s="978"/>
      <c r="CO40" s="794"/>
      <c r="CP40" s="794"/>
      <c r="CQ40" s="794"/>
      <c r="CR40" s="794"/>
      <c r="CS40" s="978"/>
      <c r="CT40" s="794"/>
      <c r="CU40" s="794"/>
      <c r="CV40" s="794"/>
      <c r="CW40" s="794"/>
      <c r="CX40" s="978"/>
      <c r="CY40" s="794"/>
      <c r="CZ40" s="794"/>
      <c r="DA40" s="794"/>
      <c r="DB40" s="794"/>
      <c r="DC40" s="978"/>
      <c r="DD40" s="794"/>
      <c r="DE40" s="794"/>
      <c r="DF40" s="794"/>
      <c r="DG40" s="794"/>
      <c r="DH40" s="978"/>
      <c r="DI40" s="794"/>
      <c r="DJ40" s="794"/>
      <c r="DK40" s="794"/>
      <c r="DL40" s="794"/>
      <c r="DM40" s="978"/>
      <c r="DN40" s="794"/>
      <c r="DO40" s="794"/>
      <c r="DP40" s="794"/>
      <c r="DQ40" s="794"/>
      <c r="DR40" s="978"/>
      <c r="DS40" s="794"/>
      <c r="DT40" s="794"/>
      <c r="DU40" s="794"/>
      <c r="DV40" s="794"/>
      <c r="DW40" s="978"/>
      <c r="DX40" s="794"/>
      <c r="DY40" s="794"/>
      <c r="DZ40" s="794"/>
      <c r="EA40" s="794"/>
      <c r="EB40" s="978"/>
    </row>
    <row r="41" spans="2:132">
      <c r="B41" s="749" t="s">
        <v>260</v>
      </c>
      <c r="C41" s="749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967"/>
      <c r="R41" s="967"/>
      <c r="S41" s="967"/>
      <c r="T41" s="967"/>
      <c r="U41" s="967"/>
      <c r="V41" s="967"/>
      <c r="W41" s="967"/>
      <c r="X41" s="967"/>
      <c r="Y41" s="967"/>
      <c r="Z41" s="967"/>
      <c r="AA41" s="967"/>
      <c r="AB41" s="967"/>
      <c r="AC41" s="967"/>
      <c r="AD41" s="967"/>
      <c r="AE41" s="967"/>
      <c r="AF41" s="967"/>
      <c r="AG41" s="967"/>
      <c r="AH41" s="967"/>
      <c r="AI41" s="967"/>
      <c r="AJ41" s="967"/>
      <c r="AK41" s="967"/>
      <c r="AL41" s="967"/>
      <c r="AM41" s="967"/>
      <c r="AN41" s="967"/>
      <c r="AO41" s="967"/>
      <c r="AP41" s="967"/>
      <c r="AQ41" s="967"/>
      <c r="AR41" s="967"/>
      <c r="AS41" s="967"/>
      <c r="AT41" s="967"/>
      <c r="AU41" s="967"/>
      <c r="AV41" s="967"/>
      <c r="AW41" s="967"/>
      <c r="AX41" s="967"/>
      <c r="AY41" s="967"/>
      <c r="AZ41" s="967"/>
      <c r="BA41" s="967"/>
      <c r="BB41" s="967"/>
      <c r="BC41" s="967"/>
      <c r="BD41" s="967"/>
      <c r="BE41" s="967"/>
      <c r="BF41" s="967"/>
      <c r="BG41" s="967"/>
      <c r="BH41" s="967"/>
      <c r="BI41" s="967"/>
      <c r="BJ41" s="967"/>
      <c r="BK41" s="967"/>
      <c r="BL41" s="967"/>
      <c r="BM41" s="967"/>
      <c r="BN41" s="967"/>
      <c r="BO41" s="967"/>
      <c r="BP41" s="967"/>
      <c r="BQ41" s="967"/>
      <c r="BR41" s="974"/>
      <c r="BS41" s="765" t="s">
        <v>261</v>
      </c>
      <c r="BT41" s="773"/>
      <c r="BY41" s="773"/>
      <c r="CD41" s="773"/>
      <c r="CI41" s="773"/>
      <c r="CN41" s="773"/>
      <c r="CS41" s="773"/>
      <c r="CX41" s="773"/>
      <c r="DC41" s="773"/>
      <c r="DH41" s="773"/>
      <c r="DM41" s="773"/>
      <c r="DR41" s="773"/>
      <c r="DW41" s="773"/>
      <c r="EB41" s="773"/>
    </row>
    <row r="42" spans="2:132">
      <c r="B42" s="773"/>
      <c r="C42" s="764"/>
      <c r="D42" s="764"/>
      <c r="F42" s="825"/>
      <c r="G42" s="825"/>
      <c r="H42" s="825"/>
      <c r="I42" s="825"/>
      <c r="J42" s="825"/>
      <c r="K42" s="825"/>
      <c r="L42" s="825"/>
      <c r="M42" s="825"/>
      <c r="N42" s="764"/>
      <c r="P42" s="825"/>
      <c r="Q42" s="825"/>
      <c r="R42" s="825"/>
      <c r="S42" s="1004"/>
      <c r="T42" s="825"/>
      <c r="U42" s="825"/>
      <c r="V42" s="825"/>
      <c r="X42" s="1004"/>
      <c r="Y42" s="825"/>
      <c r="Z42" s="825"/>
      <c r="AA42" s="825"/>
      <c r="AC42" s="1004"/>
      <c r="AD42" s="825"/>
      <c r="AE42" s="825"/>
      <c r="AF42" s="825"/>
      <c r="AH42" s="1004"/>
      <c r="AI42" s="825"/>
      <c r="AJ42" s="825"/>
      <c r="AK42" s="825"/>
      <c r="AM42" s="1004"/>
      <c r="AN42" s="825"/>
      <c r="AO42" s="825"/>
      <c r="AP42" s="825"/>
      <c r="AR42" s="1004"/>
      <c r="AS42" s="825"/>
      <c r="AT42" s="825"/>
      <c r="AU42" s="825"/>
      <c r="AW42" s="773"/>
      <c r="AX42" s="825"/>
      <c r="AY42" s="825"/>
      <c r="AZ42" s="825"/>
      <c r="BB42" s="1004"/>
      <c r="BC42" s="825"/>
      <c r="BD42" s="825"/>
      <c r="BE42" s="825"/>
      <c r="BG42" s="1004"/>
      <c r="BH42" s="825"/>
      <c r="BI42" s="825"/>
      <c r="BJ42" s="825"/>
      <c r="BL42" s="1004"/>
      <c r="BM42" s="825"/>
      <c r="BN42" s="825"/>
      <c r="BO42" s="825"/>
      <c r="BQ42" s="1004"/>
      <c r="BR42" s="974"/>
      <c r="BS42" s="764" t="s">
        <v>210</v>
      </c>
      <c r="BT42" s="773"/>
      <c r="BU42" s="996"/>
      <c r="BV42" s="996"/>
      <c r="BW42" s="996"/>
      <c r="BX42" s="996"/>
      <c r="BY42" s="837">
        <f>+BY32-BY37</f>
        <v>1762.7950000000001</v>
      </c>
      <c r="BZ42" s="996"/>
      <c r="CA42" s="996"/>
      <c r="CB42" s="996"/>
      <c r="CC42" s="996"/>
      <c r="CD42" s="837">
        <f>+CD32-CD37</f>
        <v>698.79100000000017</v>
      </c>
      <c r="CE42" s="996"/>
      <c r="CF42" s="996"/>
      <c r="CG42" s="996"/>
      <c r="CH42" s="996"/>
      <c r="CI42" s="837">
        <f>+CI32-CI37</f>
        <v>-51.132000000000062</v>
      </c>
      <c r="CJ42" s="996"/>
      <c r="CK42" s="996"/>
      <c r="CL42" s="996"/>
      <c r="CM42" s="996"/>
      <c r="CN42" s="837">
        <f>+CN32-CN37</f>
        <v>171.62599999999975</v>
      </c>
      <c r="CO42" s="996"/>
      <c r="CP42" s="996"/>
      <c r="CQ42" s="996"/>
      <c r="CR42" s="996"/>
      <c r="CS42" s="837">
        <f>+CS32-CS37</f>
        <v>736.36999999999944</v>
      </c>
      <c r="CT42" s="996"/>
      <c r="CU42" s="996"/>
      <c r="CV42" s="996"/>
      <c r="CW42" s="996"/>
      <c r="CX42" s="837">
        <f>+CX32-CX37</f>
        <v>328.32400000000007</v>
      </c>
      <c r="CY42" s="996"/>
      <c r="CZ42" s="996"/>
      <c r="DA42" s="996"/>
      <c r="DB42" s="996"/>
      <c r="DC42" s="837">
        <f>+DC32-DC37</f>
        <v>-27.523000000000138</v>
      </c>
      <c r="DD42" s="996"/>
      <c r="DE42" s="996"/>
      <c r="DF42" s="996"/>
      <c r="DG42" s="996"/>
      <c r="DH42" s="837">
        <f>+DH32-DH37</f>
        <v>-1121.0320000000006</v>
      </c>
      <c r="DI42" s="996"/>
      <c r="DJ42" s="996"/>
      <c r="DK42" s="996"/>
      <c r="DL42" s="996"/>
      <c r="DM42" s="837">
        <f>+DM32-DM37</f>
        <v>-1493.8317468567075</v>
      </c>
      <c r="DN42" s="996"/>
      <c r="DO42" s="996"/>
      <c r="DP42" s="996"/>
      <c r="DQ42" s="996"/>
      <c r="DR42" s="837">
        <f>+DR32-DR37</f>
        <v>-1057.5939053207471</v>
      </c>
      <c r="DS42" s="996"/>
      <c r="DT42" s="996"/>
      <c r="DU42" s="996"/>
      <c r="DV42" s="996"/>
      <c r="DW42" s="837">
        <f>+DW32-DW37</f>
        <v>-598.70539732580437</v>
      </c>
      <c r="DX42" s="996"/>
      <c r="DY42" s="996"/>
      <c r="DZ42" s="996"/>
      <c r="EA42" s="996"/>
      <c r="EB42" s="837">
        <f>+EB32-EB37</f>
        <v>-763.29839239933199</v>
      </c>
    </row>
    <row r="43" spans="2:132">
      <c r="B43" s="773"/>
      <c r="C43" s="764" t="s">
        <v>81</v>
      </c>
      <c r="D43" s="1013"/>
      <c r="E43" s="1013"/>
      <c r="F43" s="995"/>
      <c r="G43" s="995"/>
      <c r="H43" s="995"/>
      <c r="I43" s="995"/>
      <c r="J43" s="995"/>
      <c r="K43" s="995"/>
      <c r="L43" s="995"/>
      <c r="M43" s="995"/>
      <c r="N43" s="1013"/>
      <c r="O43" s="1013"/>
      <c r="P43" s="995"/>
      <c r="Q43" s="995"/>
      <c r="R43" s="995"/>
      <c r="S43" s="995">
        <f t="shared" ref="S43:AR43" si="9">S52/S12</f>
        <v>10.124090029931464</v>
      </c>
      <c r="T43" s="995" t="e">
        <f t="shared" si="9"/>
        <v>#DIV/0!</v>
      </c>
      <c r="U43" s="995" t="e">
        <f t="shared" si="9"/>
        <v>#DIV/0!</v>
      </c>
      <c r="V43" s="995" t="e">
        <f t="shared" si="9"/>
        <v>#DIV/0!</v>
      </c>
      <c r="W43" s="995" t="e">
        <f t="shared" si="9"/>
        <v>#DIV/0!</v>
      </c>
      <c r="X43" s="995">
        <f t="shared" si="9"/>
        <v>12.374415433201042</v>
      </c>
      <c r="Y43" s="995" t="e">
        <f t="shared" si="9"/>
        <v>#DIV/0!</v>
      </c>
      <c r="Z43" s="995" t="e">
        <f t="shared" si="9"/>
        <v>#DIV/0!</v>
      </c>
      <c r="AA43" s="995" t="e">
        <f t="shared" si="9"/>
        <v>#DIV/0!</v>
      </c>
      <c r="AB43" s="995" t="e">
        <f t="shared" si="9"/>
        <v>#DIV/0!</v>
      </c>
      <c r="AC43" s="995">
        <f t="shared" si="9"/>
        <v>14.396053987976199</v>
      </c>
      <c r="AD43" s="995" t="e">
        <f t="shared" si="9"/>
        <v>#DIV/0!</v>
      </c>
      <c r="AE43" s="995" t="e">
        <f t="shared" si="9"/>
        <v>#DIV/0!</v>
      </c>
      <c r="AF43" s="995" t="e">
        <f t="shared" si="9"/>
        <v>#DIV/0!</v>
      </c>
      <c r="AG43" s="995" t="e">
        <f t="shared" si="9"/>
        <v>#DIV/0!</v>
      </c>
      <c r="AH43" s="995">
        <f t="shared" si="9"/>
        <v>13.247718735840904</v>
      </c>
      <c r="AI43" s="995" t="e">
        <f t="shared" si="9"/>
        <v>#DIV/0!</v>
      </c>
      <c r="AJ43" s="995" t="e">
        <f t="shared" si="9"/>
        <v>#DIV/0!</v>
      </c>
      <c r="AK43" s="995" t="e">
        <f t="shared" si="9"/>
        <v>#DIV/0!</v>
      </c>
      <c r="AL43" s="995" t="e">
        <f t="shared" si="9"/>
        <v>#DIV/0!</v>
      </c>
      <c r="AM43" s="995">
        <f t="shared" si="9"/>
        <v>12.850677917084148</v>
      </c>
      <c r="AN43" s="995" t="e">
        <f t="shared" si="9"/>
        <v>#DIV/0!</v>
      </c>
      <c r="AO43" s="995" t="e">
        <f t="shared" si="9"/>
        <v>#DIV/0!</v>
      </c>
      <c r="AP43" s="995" t="e">
        <f t="shared" si="9"/>
        <v>#DIV/0!</v>
      </c>
      <c r="AQ43" s="995" t="e">
        <f t="shared" si="9"/>
        <v>#DIV/0!</v>
      </c>
      <c r="AR43" s="995">
        <f t="shared" si="9"/>
        <v>10.853985135906616</v>
      </c>
      <c r="AS43" s="995" t="e">
        <f t="shared" ref="AS43:BB43" si="10">AS52/AS12</f>
        <v>#DIV/0!</v>
      </c>
      <c r="AT43" s="995" t="e">
        <f t="shared" si="10"/>
        <v>#DIV/0!</v>
      </c>
      <c r="AU43" s="995" t="e">
        <f t="shared" si="10"/>
        <v>#DIV/0!</v>
      </c>
      <c r="AV43" s="995" t="e">
        <f t="shared" si="10"/>
        <v>#DIV/0!</v>
      </c>
      <c r="AW43" s="995">
        <f t="shared" si="10"/>
        <v>10.713752452584664</v>
      </c>
      <c r="AX43" s="995" t="e">
        <f t="shared" si="10"/>
        <v>#DIV/0!</v>
      </c>
      <c r="AY43" s="995" t="e">
        <f t="shared" si="10"/>
        <v>#DIV/0!</v>
      </c>
      <c r="AZ43" s="995" t="e">
        <f t="shared" si="10"/>
        <v>#DIV/0!</v>
      </c>
      <c r="BA43" s="995" t="e">
        <f t="shared" si="10"/>
        <v>#DIV/0!</v>
      </c>
      <c r="BB43" s="995">
        <f t="shared" si="10"/>
        <v>13.030685738491593</v>
      </c>
      <c r="BC43" s="995" t="e">
        <f t="shared" ref="BC43:BL43" si="11">BC52/BC12</f>
        <v>#DIV/0!</v>
      </c>
      <c r="BD43" s="995" t="e">
        <f t="shared" si="11"/>
        <v>#DIV/0!</v>
      </c>
      <c r="BE43" s="995" t="e">
        <f t="shared" si="11"/>
        <v>#DIV/0!</v>
      </c>
      <c r="BF43" s="995" t="e">
        <f t="shared" si="11"/>
        <v>#DIV/0!</v>
      </c>
      <c r="BG43" s="995">
        <f t="shared" si="11"/>
        <v>13.992440862252698</v>
      </c>
      <c r="BH43" s="995" t="e">
        <f t="shared" si="11"/>
        <v>#DIV/0!</v>
      </c>
      <c r="BI43" s="995" t="e">
        <f t="shared" si="11"/>
        <v>#DIV/0!</v>
      </c>
      <c r="BJ43" s="995" t="e">
        <f t="shared" si="11"/>
        <v>#DIV/0!</v>
      </c>
      <c r="BK43" s="995" t="e">
        <f t="shared" si="11"/>
        <v>#DIV/0!</v>
      </c>
      <c r="BL43" s="995">
        <f t="shared" si="11"/>
        <v>13.522654884160353</v>
      </c>
      <c r="BM43" s="995" t="e">
        <f t="shared" ref="BM43:BQ43" si="12">BM52/BM12</f>
        <v>#DIV/0!</v>
      </c>
      <c r="BN43" s="995" t="e">
        <f t="shared" si="12"/>
        <v>#DIV/0!</v>
      </c>
      <c r="BO43" s="995" t="e">
        <f t="shared" si="12"/>
        <v>#DIV/0!</v>
      </c>
      <c r="BP43" s="995" t="e">
        <f t="shared" si="12"/>
        <v>#DIV/0!</v>
      </c>
      <c r="BQ43" s="995">
        <f t="shared" si="12"/>
        <v>13.884668293907993</v>
      </c>
      <c r="BR43" s="974"/>
      <c r="BS43" s="773" t="s">
        <v>71</v>
      </c>
      <c r="BT43" s="773"/>
      <c r="BU43" s="996"/>
      <c r="BV43" s="996"/>
      <c r="BW43" s="996"/>
      <c r="BX43" s="996"/>
      <c r="BY43" s="837">
        <f>+BY33-BY38</f>
        <v>189</v>
      </c>
      <c r="BZ43" s="996"/>
      <c r="CA43" s="996"/>
      <c r="CB43" s="996"/>
      <c r="CC43" s="996"/>
      <c r="CD43" s="837">
        <f>+CD33-CD38</f>
        <v>390</v>
      </c>
      <c r="CE43" s="996"/>
      <c r="CF43" s="996"/>
      <c r="CG43" s="996"/>
      <c r="CH43" s="996"/>
      <c r="CI43" s="837">
        <f>+CI33-CI38</f>
        <v>327</v>
      </c>
      <c r="CJ43" s="996"/>
      <c r="CK43" s="996"/>
      <c r="CL43" s="996"/>
      <c r="CM43" s="996"/>
      <c r="CN43" s="837">
        <f>+CN33-CN38</f>
        <v>730</v>
      </c>
      <c r="CO43" s="996"/>
      <c r="CP43" s="996"/>
      <c r="CQ43" s="996"/>
      <c r="CR43" s="996"/>
      <c r="CS43" s="837">
        <f>+CS33-CS38</f>
        <v>1034</v>
      </c>
      <c r="CT43" s="996"/>
      <c r="CU43" s="996"/>
      <c r="CV43" s="996"/>
      <c r="CW43" s="996"/>
      <c r="CX43" s="837">
        <f>+CX33-CX38</f>
        <v>462.00000000000011</v>
      </c>
      <c r="CY43" s="996"/>
      <c r="CZ43" s="996"/>
      <c r="DA43" s="996"/>
      <c r="DB43" s="996"/>
      <c r="DC43" s="837">
        <f>+DC33-DC38</f>
        <v>246.00000000000023</v>
      </c>
      <c r="DD43" s="996"/>
      <c r="DE43" s="996"/>
      <c r="DF43" s="996"/>
      <c r="DG43" s="996"/>
      <c r="DH43" s="837">
        <f>+DH33-DH38</f>
        <v>136.99999999999997</v>
      </c>
      <c r="DI43" s="996"/>
      <c r="DJ43" s="996"/>
      <c r="DK43" s="996"/>
      <c r="DL43" s="996"/>
      <c r="DM43" s="837">
        <f>+DM33-DM38</f>
        <v>61.321954357467575</v>
      </c>
      <c r="DN43" s="996"/>
      <c r="DO43" s="996"/>
      <c r="DP43" s="996"/>
      <c r="DQ43" s="996"/>
      <c r="DR43" s="837">
        <f>+DR33-DR38</f>
        <v>93.722468136910095</v>
      </c>
      <c r="DS43" s="996"/>
      <c r="DT43" s="996"/>
      <c r="DU43" s="996"/>
      <c r="DV43" s="996"/>
      <c r="DW43" s="837">
        <f>+DW33-DW38</f>
        <v>75.049241611461923</v>
      </c>
      <c r="DX43" s="996"/>
      <c r="DY43" s="996"/>
      <c r="DZ43" s="996"/>
      <c r="EA43" s="996"/>
      <c r="EB43" s="837">
        <f>+EB33-EB38</f>
        <v>-41.242259484331058</v>
      </c>
    </row>
    <row r="44" spans="2:132">
      <c r="B44" s="773"/>
      <c r="C44" s="764" t="s">
        <v>82</v>
      </c>
      <c r="D44" s="1013"/>
      <c r="E44" s="1013"/>
      <c r="F44" s="995"/>
      <c r="G44" s="995"/>
      <c r="H44" s="995"/>
      <c r="I44" s="995"/>
      <c r="J44" s="995"/>
      <c r="K44" s="995"/>
      <c r="L44" s="995"/>
      <c r="M44" s="995"/>
      <c r="N44" s="1013"/>
      <c r="O44" s="1013"/>
      <c r="P44" s="995"/>
      <c r="Q44" s="995"/>
      <c r="R44" s="995"/>
      <c r="S44" s="995">
        <f>S56/S23</f>
        <v>7.68155669669048</v>
      </c>
      <c r="T44" s="995"/>
      <c r="U44" s="995"/>
      <c r="V44" s="995"/>
      <c r="X44" s="995">
        <f>X56/X23</f>
        <v>10.346605016711955</v>
      </c>
      <c r="Y44" s="995"/>
      <c r="Z44" s="995"/>
      <c r="AA44" s="995"/>
      <c r="AC44" s="995">
        <f>AC56/AC23</f>
        <v>9.4173285890580054</v>
      </c>
      <c r="AD44" s="995"/>
      <c r="AE44" s="995"/>
      <c r="AF44" s="995"/>
      <c r="AH44" s="995">
        <f>AH56/AH23</f>
        <v>7.4808034680573305</v>
      </c>
      <c r="AI44" s="995"/>
      <c r="AJ44" s="995"/>
      <c r="AK44" s="995"/>
      <c r="AM44" s="995">
        <f>AM56/AM23</f>
        <v>21.7723048152397</v>
      </c>
      <c r="AN44" s="995"/>
      <c r="AO44" s="995"/>
      <c r="AP44" s="995"/>
      <c r="AR44" s="995">
        <f>AR56/AR23</f>
        <v>43.620546542763414</v>
      </c>
      <c r="AS44" s="995"/>
      <c r="AT44" s="995"/>
      <c r="AU44" s="995"/>
      <c r="AW44" s="995">
        <f>AW56/AW23</f>
        <v>10.473179054722646</v>
      </c>
      <c r="AX44" s="995"/>
      <c r="AY44" s="995"/>
      <c r="AZ44" s="995"/>
      <c r="BB44" s="995">
        <f>BB56/BB23</f>
        <v>8.4706359407971021</v>
      </c>
      <c r="BC44" s="995"/>
      <c r="BD44" s="995"/>
      <c r="BE44" s="995"/>
      <c r="BG44" s="995">
        <f>BG56/BG23</f>
        <v>8.4271641520132405</v>
      </c>
      <c r="BH44" s="995"/>
      <c r="BI44" s="995"/>
      <c r="BJ44" s="995"/>
      <c r="BL44" s="995">
        <f>BL56/BL23</f>
        <v>8.2527842875843973</v>
      </c>
      <c r="BM44" s="995"/>
      <c r="BN44" s="995"/>
      <c r="BO44" s="995"/>
      <c r="BQ44" s="995">
        <f>BQ56/BQ23</f>
        <v>8.4392321887150707</v>
      </c>
      <c r="BR44" s="974"/>
      <c r="BS44" s="788" t="s">
        <v>266</v>
      </c>
      <c r="BT44" s="1015"/>
      <c r="BU44" s="1002"/>
      <c r="BV44" s="1002"/>
      <c r="BW44" s="1002"/>
      <c r="BX44" s="1002"/>
      <c r="BY44" s="1002">
        <f t="shared" ref="BY44:CD44" si="13">SUM(BY42:BY43)</f>
        <v>1951.7950000000001</v>
      </c>
      <c r="BZ44" s="1002">
        <f t="shared" si="13"/>
        <v>0</v>
      </c>
      <c r="CA44" s="1002">
        <f t="shared" si="13"/>
        <v>0</v>
      </c>
      <c r="CB44" s="1002">
        <f t="shared" si="13"/>
        <v>0</v>
      </c>
      <c r="CC44" s="1002">
        <f t="shared" si="13"/>
        <v>0</v>
      </c>
      <c r="CD44" s="1002">
        <f t="shared" si="13"/>
        <v>1088.7910000000002</v>
      </c>
      <c r="CE44" s="1002"/>
      <c r="CF44" s="1002"/>
      <c r="CG44" s="1002"/>
      <c r="CH44" s="1002"/>
      <c r="CI44" s="1002">
        <f>SUM(CI42:CI43)</f>
        <v>275.86799999999994</v>
      </c>
      <c r="CJ44" s="1002"/>
      <c r="CK44" s="1002"/>
      <c r="CL44" s="1002"/>
      <c r="CM44" s="1002"/>
      <c r="CN44" s="1002">
        <f>SUM(CN42:CN43)</f>
        <v>901.62599999999975</v>
      </c>
      <c r="CO44" s="1002"/>
      <c r="CP44" s="1002"/>
      <c r="CQ44" s="1002"/>
      <c r="CR44" s="1002"/>
      <c r="CS44" s="1002">
        <f>SUM(CS42:CS43)</f>
        <v>1770.3699999999994</v>
      </c>
      <c r="CT44" s="1002"/>
      <c r="CU44" s="1002"/>
      <c r="CV44" s="1002"/>
      <c r="CW44" s="1002"/>
      <c r="CX44" s="1002">
        <f>SUM(CX42:CX43)</f>
        <v>790.32400000000018</v>
      </c>
      <c r="CY44" s="1002"/>
      <c r="CZ44" s="1002"/>
      <c r="DA44" s="1002"/>
      <c r="DB44" s="1002"/>
      <c r="DC44" s="1002">
        <f>SUM(DC42:DC43)</f>
        <v>218.47700000000009</v>
      </c>
      <c r="DD44" s="1002"/>
      <c r="DE44" s="1002"/>
      <c r="DF44" s="1002"/>
      <c r="DG44" s="1002"/>
      <c r="DH44" s="1002">
        <f>SUM(DH42:DH43)</f>
        <v>-984.03200000000061</v>
      </c>
      <c r="DI44" s="1002">
        <f t="shared" ref="DI44:DR44" si="14">SUM(DI42:DI43)</f>
        <v>0</v>
      </c>
      <c r="DJ44" s="1002">
        <f t="shared" si="14"/>
        <v>0</v>
      </c>
      <c r="DK44" s="1002">
        <f t="shared" si="14"/>
        <v>0</v>
      </c>
      <c r="DL44" s="1002">
        <f t="shared" si="14"/>
        <v>0</v>
      </c>
      <c r="DM44" s="1002">
        <f t="shared" si="14"/>
        <v>-1432.5097924992399</v>
      </c>
      <c r="DN44" s="1002">
        <f t="shared" si="14"/>
        <v>0</v>
      </c>
      <c r="DO44" s="1002">
        <f t="shared" si="14"/>
        <v>0</v>
      </c>
      <c r="DP44" s="1002">
        <f t="shared" si="14"/>
        <v>0</v>
      </c>
      <c r="DQ44" s="1002">
        <f t="shared" si="14"/>
        <v>0</v>
      </c>
      <c r="DR44" s="1002">
        <f t="shared" si="14"/>
        <v>-963.87143718383709</v>
      </c>
      <c r="DS44" s="1002"/>
      <c r="DT44" s="1002"/>
      <c r="DU44" s="1002"/>
      <c r="DV44" s="1002"/>
      <c r="DW44" s="1002">
        <f t="shared" ref="DW44" si="15">SUM(DW42:DW43)</f>
        <v>-523.6561557143425</v>
      </c>
      <c r="DX44" s="1002"/>
      <c r="DY44" s="1002"/>
      <c r="DZ44" s="1002"/>
      <c r="EA44" s="1002"/>
      <c r="EB44" s="1003">
        <f>SUM(EB42:EB43)</f>
        <v>-804.54065188366303</v>
      </c>
    </row>
    <row r="45" spans="2:132">
      <c r="B45" s="773"/>
      <c r="C45" s="764" t="s">
        <v>73</v>
      </c>
      <c r="D45" s="1013"/>
      <c r="E45" s="1013"/>
      <c r="F45" s="1014"/>
      <c r="G45" s="1014"/>
      <c r="H45" s="1014"/>
      <c r="I45" s="1014"/>
      <c r="J45" s="1014"/>
      <c r="K45" s="1014"/>
      <c r="L45" s="1014"/>
      <c r="M45" s="1014"/>
      <c r="N45" s="1013"/>
      <c r="O45" s="1013"/>
      <c r="P45" s="1014"/>
      <c r="Q45" s="1014"/>
      <c r="R45" s="1014"/>
      <c r="S45" s="1014">
        <f>+S32</f>
        <v>4.3027475375842408E-2</v>
      </c>
      <c r="T45" s="1014"/>
      <c r="U45" s="1014"/>
      <c r="V45" s="1014"/>
      <c r="X45" s="1014">
        <f>+X32</f>
        <v>4.3027475375842408E-2</v>
      </c>
      <c r="Y45" s="1014"/>
      <c r="Z45" s="1014"/>
      <c r="AA45" s="1014"/>
      <c r="AC45" s="1014">
        <f>+AC32</f>
        <v>4.3027475375842408E-2</v>
      </c>
      <c r="AD45" s="1014"/>
      <c r="AE45" s="1014"/>
      <c r="AF45" s="1014"/>
      <c r="AH45" s="1014">
        <f>+AH32</f>
        <v>4.3027475375842408E-2</v>
      </c>
      <c r="AI45" s="1014"/>
      <c r="AJ45" s="1014"/>
      <c r="AK45" s="1014"/>
      <c r="AM45" s="1014">
        <f>+AM32</f>
        <v>4.3286677034733025E-2</v>
      </c>
      <c r="AN45" s="1014"/>
      <c r="AO45" s="1014"/>
      <c r="AP45" s="1014"/>
      <c r="AR45" s="1014">
        <f>+AR32</f>
        <v>4.432348367029549E-2</v>
      </c>
      <c r="AS45" s="1014"/>
      <c r="AT45" s="1014"/>
      <c r="AU45" s="1014"/>
      <c r="AW45" s="1014">
        <f>+AW32</f>
        <v>4.5360290305857962E-2</v>
      </c>
      <c r="AX45" s="1014"/>
      <c r="AY45" s="1014"/>
      <c r="AZ45" s="1014"/>
      <c r="BB45" s="1014">
        <f>+BB32</f>
        <v>4.6397096941420427E-2</v>
      </c>
      <c r="BC45" s="1014"/>
      <c r="BD45" s="1014"/>
      <c r="BE45" s="1014"/>
      <c r="BG45" s="1014">
        <f>+BG32</f>
        <v>4.7433903576982898E-2</v>
      </c>
      <c r="BH45" s="1014"/>
      <c r="BI45" s="1014"/>
      <c r="BJ45" s="1014"/>
      <c r="BL45" s="1014">
        <f>+BL32</f>
        <v>4.8470710212545363E-2</v>
      </c>
      <c r="BM45" s="1014"/>
      <c r="BN45" s="1014"/>
      <c r="BO45" s="1014"/>
      <c r="BQ45" s="1014">
        <f>+BQ32</f>
        <v>4.9507516848107835E-2</v>
      </c>
      <c r="BR45" s="974"/>
    </row>
    <row r="46" spans="2:132">
      <c r="B46" s="773"/>
      <c r="C46" s="764" t="s">
        <v>267</v>
      </c>
      <c r="D46" s="764"/>
      <c r="F46" s="825"/>
      <c r="G46" s="825"/>
      <c r="H46" s="825"/>
      <c r="I46" s="825"/>
      <c r="J46" s="825"/>
      <c r="K46" s="825"/>
      <c r="L46" s="825"/>
      <c r="M46" s="825"/>
      <c r="N46" s="764"/>
      <c r="P46" s="825"/>
      <c r="Q46" s="825"/>
      <c r="R46" s="825"/>
      <c r="S46" s="1016">
        <f>CD15/S53</f>
        <v>50.398703825561412</v>
      </c>
      <c r="T46" s="825"/>
      <c r="U46" s="856"/>
      <c r="V46" s="825"/>
      <c r="X46" s="1016">
        <f t="shared" ref="X46:AR46" si="16">CI15/X53</f>
        <v>51.724963600954887</v>
      </c>
      <c r="Y46" s="761" t="e">
        <f t="shared" si="16"/>
        <v>#DIV/0!</v>
      </c>
      <c r="Z46" s="761" t="e">
        <f t="shared" si="16"/>
        <v>#DIV/0!</v>
      </c>
      <c r="AA46" s="761" t="e">
        <f t="shared" si="16"/>
        <v>#DIV/0!</v>
      </c>
      <c r="AB46" s="761" t="e">
        <f t="shared" si="16"/>
        <v>#DIV/0!</v>
      </c>
      <c r="AC46" s="1016">
        <f t="shared" si="16"/>
        <v>54.17354917816229</v>
      </c>
      <c r="AD46" s="761" t="e">
        <f t="shared" si="16"/>
        <v>#DIV/0!</v>
      </c>
      <c r="AE46" s="761" t="e">
        <f t="shared" si="16"/>
        <v>#DIV/0!</v>
      </c>
      <c r="AF46" s="761" t="e">
        <f t="shared" si="16"/>
        <v>#DIV/0!</v>
      </c>
      <c r="AG46" s="761" t="e">
        <f t="shared" si="16"/>
        <v>#DIV/0!</v>
      </c>
      <c r="AH46" s="1016">
        <f t="shared" si="16"/>
        <v>56.284027625846207</v>
      </c>
      <c r="AI46" s="761" t="e">
        <f t="shared" si="16"/>
        <v>#DIV/0!</v>
      </c>
      <c r="AJ46" s="761" t="e">
        <f t="shared" si="16"/>
        <v>#DIV/0!</v>
      </c>
      <c r="AK46" s="761" t="e">
        <f t="shared" si="16"/>
        <v>#DIV/0!</v>
      </c>
      <c r="AL46" s="761" t="e">
        <f t="shared" si="16"/>
        <v>#DIV/0!</v>
      </c>
      <c r="AM46" s="1016">
        <f t="shared" si="16"/>
        <v>52.060731122276486</v>
      </c>
      <c r="AN46" s="761" t="e">
        <f t="shared" si="16"/>
        <v>#DIV/0!</v>
      </c>
      <c r="AO46" s="761" t="e">
        <f t="shared" si="16"/>
        <v>#DIV/0!</v>
      </c>
      <c r="AP46" s="761" t="e">
        <f t="shared" si="16"/>
        <v>#DIV/0!</v>
      </c>
      <c r="AQ46" s="761" t="e">
        <f t="shared" si="16"/>
        <v>#DIV/0!</v>
      </c>
      <c r="AR46" s="1016">
        <f t="shared" si="16"/>
        <v>45.452563996593881</v>
      </c>
      <c r="AS46" s="761" t="e">
        <f>DI15/AS53</f>
        <v>#DIV/0!</v>
      </c>
      <c r="AT46" s="761" t="e">
        <f>DJ15/AT53</f>
        <v>#DIV/0!</v>
      </c>
      <c r="AU46" s="761" t="e">
        <f>DK15/AU53</f>
        <v>#DIV/0!</v>
      </c>
      <c r="AV46" s="761" t="e">
        <f>DL15/AV53</f>
        <v>#DIV/0!</v>
      </c>
      <c r="AW46" s="1016">
        <f>DM15/AW53</f>
        <v>47.328110815960855</v>
      </c>
      <c r="AX46" s="761" t="e">
        <f t="shared" ref="AX46:BL46" si="17">DI15/AX53</f>
        <v>#DIV/0!</v>
      </c>
      <c r="AY46" s="761" t="e">
        <f t="shared" si="17"/>
        <v>#DIV/0!</v>
      </c>
      <c r="AZ46" s="761" t="e">
        <f t="shared" si="17"/>
        <v>#DIV/0!</v>
      </c>
      <c r="BA46" s="761" t="e">
        <f t="shared" si="17"/>
        <v>#DIV/0!</v>
      </c>
      <c r="BB46" s="1016">
        <f t="shared" si="17"/>
        <v>47.328110815960855</v>
      </c>
      <c r="BC46" s="761" t="e">
        <f t="shared" si="17"/>
        <v>#DIV/0!</v>
      </c>
      <c r="BD46" s="761" t="e">
        <f t="shared" si="17"/>
        <v>#DIV/0!</v>
      </c>
      <c r="BE46" s="761" t="e">
        <f t="shared" si="17"/>
        <v>#DIV/0!</v>
      </c>
      <c r="BF46" s="761" t="e">
        <f t="shared" si="17"/>
        <v>#DIV/0!</v>
      </c>
      <c r="BG46" s="1016">
        <f t="shared" si="17"/>
        <v>49.211428046901119</v>
      </c>
      <c r="BH46" s="761" t="e">
        <f t="shared" si="17"/>
        <v>#DIV/0!</v>
      </c>
      <c r="BI46" s="761" t="e">
        <f t="shared" si="17"/>
        <v>#DIV/0!</v>
      </c>
      <c r="BJ46" s="761" t="e">
        <f t="shared" si="17"/>
        <v>#DIV/0!</v>
      </c>
      <c r="BK46" s="761" t="e">
        <f t="shared" si="17"/>
        <v>#DIV/0!</v>
      </c>
      <c r="BL46" s="1016">
        <f t="shared" si="17"/>
        <v>51.208019979711423</v>
      </c>
      <c r="BM46" s="761" t="e">
        <f>EC15/BM53</f>
        <v>#DIV/0!</v>
      </c>
      <c r="BN46" s="761" t="e">
        <f>ED15/BN53</f>
        <v>#DIV/0!</v>
      </c>
      <c r="BO46" s="761" t="e">
        <f>EE15/BO53</f>
        <v>#DIV/0!</v>
      </c>
      <c r="BP46" s="761" t="e">
        <f>EF15/BP53</f>
        <v>#DIV/0!</v>
      </c>
      <c r="BQ46" s="1016">
        <f>EB15/BQ53</f>
        <v>52.972353644656742</v>
      </c>
      <c r="BR46" s="974"/>
      <c r="BS46" s="764" t="s">
        <v>268</v>
      </c>
      <c r="BT46" s="773"/>
      <c r="BU46" s="996"/>
      <c r="BV46" s="996"/>
      <c r="BW46" s="996"/>
      <c r="BX46" s="996"/>
      <c r="BY46" s="837">
        <f>SUM(ETR!N132:N133)</f>
        <v>-599.93700000000001</v>
      </c>
      <c r="BZ46" s="996"/>
      <c r="CA46" s="996"/>
      <c r="CB46" s="996"/>
      <c r="CC46" s="996"/>
      <c r="CD46" s="837">
        <f>SUM(ETR!S132:S133)</f>
        <v>-1406.8269999999998</v>
      </c>
      <c r="CE46" s="996"/>
      <c r="CF46" s="996"/>
      <c r="CG46" s="996"/>
      <c r="CH46" s="996"/>
      <c r="CI46" s="837">
        <f>SUM(ETR!X132:X133)</f>
        <v>-975.37999999999988</v>
      </c>
      <c r="CJ46" s="996"/>
      <c r="CK46" s="996"/>
      <c r="CL46" s="996"/>
      <c r="CM46" s="996"/>
      <c r="CN46" s="837">
        <f>SUM(ETR!AC132:AC133)</f>
        <v>-314.00000000000006</v>
      </c>
      <c r="CO46" s="996"/>
      <c r="CP46" s="996"/>
      <c r="CQ46" s="996"/>
      <c r="CR46" s="996"/>
      <c r="CS46" s="837">
        <f>SUM(ETR!AH132:AH133)</f>
        <v>-835.29700000000014</v>
      </c>
      <c r="CT46" s="996"/>
      <c r="CU46" s="996"/>
      <c r="CV46" s="996"/>
      <c r="CW46" s="996"/>
      <c r="CX46" s="837">
        <f>SUM(ETR!AM132:AM133)</f>
        <v>-107.92200000000008</v>
      </c>
      <c r="CY46" s="996"/>
      <c r="CZ46" s="996"/>
      <c r="DA46" s="996"/>
      <c r="DB46" s="996"/>
      <c r="DC46" s="837">
        <f>SUM(ETR!AR132:AR133)</f>
        <v>-1069.8259999999998</v>
      </c>
      <c r="DD46" s="996"/>
      <c r="DE46" s="996"/>
      <c r="DF46" s="996"/>
      <c r="DG46" s="996"/>
      <c r="DH46" s="837">
        <f>SUM(ETR!AW132:AW133)</f>
        <v>-233.517</v>
      </c>
      <c r="DI46" s="996"/>
      <c r="DJ46" s="996"/>
      <c r="DK46" s="996"/>
      <c r="DL46" s="996"/>
      <c r="DM46" s="837">
        <f>SUM(ETR!BB132:BB133)</f>
        <v>0</v>
      </c>
      <c r="DN46" s="996"/>
      <c r="DO46" s="996"/>
      <c r="DP46" s="996"/>
      <c r="DQ46" s="996"/>
      <c r="DR46" s="837">
        <f>SUM(ETR!BG132:BG133)</f>
        <v>0</v>
      </c>
      <c r="DS46" s="996"/>
      <c r="DT46" s="996"/>
      <c r="DU46" s="996"/>
      <c r="DV46" s="996"/>
      <c r="DW46" s="837">
        <f>SUM(ETR!BL132:BL133)</f>
        <v>0</v>
      </c>
      <c r="DX46" s="996"/>
      <c r="DY46" s="996"/>
      <c r="DZ46" s="996"/>
      <c r="EA46" s="996"/>
      <c r="EB46" s="837">
        <f>SUM(ETR!BQ132:BQ133)</f>
        <v>0</v>
      </c>
    </row>
    <row r="47" spans="2:132">
      <c r="B47" s="773"/>
      <c r="C47" s="773"/>
      <c r="D47" s="773"/>
      <c r="N47" s="773"/>
      <c r="S47" s="773"/>
      <c r="X47" s="773"/>
      <c r="AC47" s="773"/>
      <c r="AH47" s="773"/>
      <c r="AM47" s="773"/>
      <c r="AR47" s="773"/>
      <c r="AS47" s="748"/>
      <c r="AT47" s="748"/>
      <c r="AU47" s="748"/>
      <c r="AW47" s="773"/>
      <c r="BB47" s="773"/>
      <c r="BG47" s="773"/>
      <c r="BL47" s="773"/>
      <c r="BQ47" s="773"/>
      <c r="BR47" s="974"/>
      <c r="BS47" s="764" t="s">
        <v>437</v>
      </c>
      <c r="BT47" s="773"/>
      <c r="BU47" s="996"/>
      <c r="BV47" s="996"/>
      <c r="BW47" s="996"/>
      <c r="BX47" s="996"/>
      <c r="BY47" s="837">
        <f>-ETR!N141</f>
        <v>603.85400000000004</v>
      </c>
      <c r="BZ47" s="770"/>
      <c r="CA47" s="770"/>
      <c r="CB47" s="770"/>
      <c r="CC47" s="770"/>
      <c r="CD47" s="837">
        <f>-ETR!S141</f>
        <v>589.60500000000002</v>
      </c>
      <c r="CE47" s="770"/>
      <c r="CF47" s="770"/>
      <c r="CG47" s="770"/>
      <c r="CH47" s="770"/>
      <c r="CI47" s="837">
        <f>-ETR!X141</f>
        <v>600.37400000000002</v>
      </c>
      <c r="CJ47" s="770"/>
      <c r="CK47" s="770"/>
      <c r="CL47" s="770"/>
      <c r="CM47" s="770"/>
      <c r="CN47" s="837">
        <f>-ETR!AC141</f>
        <v>603.17399999999998</v>
      </c>
      <c r="CO47" s="770"/>
      <c r="CP47" s="770"/>
      <c r="CQ47" s="770"/>
      <c r="CR47" s="770"/>
      <c r="CS47" s="837">
        <f>-ETR!AH141</f>
        <v>605.86900000000003</v>
      </c>
      <c r="CT47" s="770"/>
      <c r="CU47" s="770"/>
      <c r="CV47" s="770"/>
      <c r="CW47" s="770"/>
      <c r="CX47" s="837">
        <f>-ETR!AM141</f>
        <v>598.57600000000002</v>
      </c>
      <c r="CY47" s="770"/>
      <c r="CZ47" s="770"/>
      <c r="DA47" s="770"/>
      <c r="DB47" s="770"/>
      <c r="DC47" s="837">
        <f>-ETR!AR141</f>
        <v>611.83499999999992</v>
      </c>
      <c r="DD47" s="770"/>
      <c r="DE47" s="770"/>
      <c r="DF47" s="770"/>
      <c r="DG47" s="770"/>
      <c r="DH47" s="837">
        <f>-ETR!AW141</f>
        <v>628.88499999999999</v>
      </c>
      <c r="DI47" s="770"/>
      <c r="DJ47" s="770"/>
      <c r="DK47" s="770"/>
      <c r="DL47" s="770"/>
      <c r="DM47" s="837">
        <f>-ETR!BB141</f>
        <v>646.25319773999991</v>
      </c>
      <c r="DN47" s="770"/>
      <c r="DO47" s="770"/>
      <c r="DP47" s="770"/>
      <c r="DQ47" s="770"/>
      <c r="DR47" s="837">
        <f>-ETR!BG141</f>
        <v>660.69460998000011</v>
      </c>
      <c r="DS47" s="770"/>
      <c r="DT47" s="770"/>
      <c r="DU47" s="770"/>
      <c r="DV47" s="770"/>
      <c r="DW47" s="837">
        <f>-ETR!BL141</f>
        <v>675.13602222000009</v>
      </c>
      <c r="DX47" s="770"/>
      <c r="DY47" s="770"/>
      <c r="DZ47" s="770"/>
      <c r="EA47" s="770"/>
      <c r="EB47" s="837">
        <f>-ETR!BQ141</f>
        <v>689.57743445999995</v>
      </c>
    </row>
    <row r="48" spans="2:132">
      <c r="B48" s="773"/>
      <c r="C48" s="764" t="s">
        <v>83</v>
      </c>
      <c r="D48" s="764"/>
      <c r="F48" s="825"/>
      <c r="G48" s="825"/>
      <c r="H48" s="825"/>
      <c r="I48" s="825"/>
      <c r="J48" s="825"/>
      <c r="K48" s="825"/>
      <c r="L48" s="748"/>
      <c r="M48" s="748"/>
      <c r="N48" s="764"/>
      <c r="P48" s="825"/>
      <c r="Q48" s="748"/>
      <c r="R48" s="748"/>
      <c r="S48" s="1008">
        <f>(S12*S38)/AVERAGE(CD15,BY15)</f>
        <v>0.15574117279109986</v>
      </c>
      <c r="T48" s="814"/>
      <c r="U48" s="814"/>
      <c r="V48" s="814"/>
      <c r="W48" s="783"/>
      <c r="X48" s="1008">
        <f t="shared" ref="X48:AR48" si="18">(X12*X38)/AVERAGE(CI15,CD15)</f>
        <v>0.12206752823864737</v>
      </c>
      <c r="Y48" s="1008" t="e">
        <f t="shared" si="18"/>
        <v>#DIV/0!</v>
      </c>
      <c r="Z48" s="1008" t="e">
        <f t="shared" si="18"/>
        <v>#DIV/0!</v>
      </c>
      <c r="AA48" s="1008" t="e">
        <f t="shared" si="18"/>
        <v>#DIV/0!</v>
      </c>
      <c r="AB48" s="1008" t="e">
        <f t="shared" si="18"/>
        <v>#DIV/0!</v>
      </c>
      <c r="AC48" s="1008">
        <f t="shared" si="18"/>
        <v>0.10165954532648279</v>
      </c>
      <c r="AD48" s="1008" t="e">
        <f t="shared" si="18"/>
        <v>#DIV/0!</v>
      </c>
      <c r="AE48" s="1008" t="e">
        <f t="shared" si="18"/>
        <v>#DIV/0!</v>
      </c>
      <c r="AF48" s="1008" t="e">
        <f t="shared" si="18"/>
        <v>#DIV/0!</v>
      </c>
      <c r="AG48" s="1008" t="e">
        <f t="shared" si="18"/>
        <v>#DIV/0!</v>
      </c>
      <c r="AH48" s="1008">
        <f t="shared" si="18"/>
        <v>0.10693592541946266</v>
      </c>
      <c r="AI48" s="1008" t="e">
        <f t="shared" si="18"/>
        <v>#DIV/0!</v>
      </c>
      <c r="AJ48" s="1008" t="e">
        <f t="shared" si="18"/>
        <v>#DIV/0!</v>
      </c>
      <c r="AK48" s="1008" t="e">
        <f t="shared" si="18"/>
        <v>#DIV/0!</v>
      </c>
      <c r="AL48" s="1008" t="e">
        <f t="shared" si="18"/>
        <v>#DIV/0!</v>
      </c>
      <c r="AM48" s="1008">
        <f t="shared" si="18"/>
        <v>0.1116911527909657</v>
      </c>
      <c r="AN48" s="1008" t="e">
        <f t="shared" si="18"/>
        <v>#DIV/0!</v>
      </c>
      <c r="AO48" s="1008" t="e">
        <f t="shared" si="18"/>
        <v>#DIV/0!</v>
      </c>
      <c r="AP48" s="1008" t="e">
        <f t="shared" si="18"/>
        <v>#DIV/0!</v>
      </c>
      <c r="AQ48" s="1008" t="e">
        <f t="shared" si="18"/>
        <v>#DIV/0!</v>
      </c>
      <c r="AR48" s="1008">
        <f t="shared" si="18"/>
        <v>0.14668796788668059</v>
      </c>
      <c r="AS48" s="1008" t="e">
        <f>(AS12*AS38)/AVERAGE(DI15,CY15)</f>
        <v>#DIV/0!</v>
      </c>
      <c r="AT48" s="1008" t="e">
        <f>(AT12*AT38)/AVERAGE(DJ15,CZ15)</f>
        <v>#DIV/0!</v>
      </c>
      <c r="AU48" s="1008" t="e">
        <f>(AU12*AU38)/AVERAGE(DK15,DA15)</f>
        <v>#DIV/0!</v>
      </c>
      <c r="AV48" s="1008" t="e">
        <f>(AV12*AV38)/AVERAGE(DL15,DB15)</f>
        <v>#DIV/0!</v>
      </c>
      <c r="AW48" s="1008">
        <f>(AW12*AW38)/AVERAGE(DM15,DC15)</f>
        <v>0.15762911718506417</v>
      </c>
      <c r="AX48" s="1008" t="e">
        <f t="shared" ref="AX48:BL48" si="19">(AX12*AX38)/AVERAGE(DI15,DD15)</f>
        <v>#DIV/0!</v>
      </c>
      <c r="AY48" s="1008" t="e">
        <f t="shared" si="19"/>
        <v>#DIV/0!</v>
      </c>
      <c r="AZ48" s="1008" t="e">
        <f t="shared" si="19"/>
        <v>#DIV/0!</v>
      </c>
      <c r="BA48" s="1008" t="e">
        <f t="shared" si="19"/>
        <v>#DIV/0!</v>
      </c>
      <c r="BB48" s="1008">
        <f t="shared" si="19"/>
        <v>0.13029387295147818</v>
      </c>
      <c r="BC48" s="1008" t="e">
        <f t="shared" si="19"/>
        <v>#DIV/0!</v>
      </c>
      <c r="BD48" s="1008" t="e">
        <f t="shared" si="19"/>
        <v>#DIV/0!</v>
      </c>
      <c r="BE48" s="1008" t="e">
        <f t="shared" si="19"/>
        <v>#DIV/0!</v>
      </c>
      <c r="BF48" s="1008" t="e">
        <f t="shared" si="19"/>
        <v>#DIV/0!</v>
      </c>
      <c r="BG48" s="1008">
        <f t="shared" si="19"/>
        <v>0.11598264202162713</v>
      </c>
      <c r="BH48" s="1008" t="e">
        <f t="shared" si="19"/>
        <v>#DIV/0!</v>
      </c>
      <c r="BI48" s="1008" t="e">
        <f t="shared" si="19"/>
        <v>#DIV/0!</v>
      </c>
      <c r="BJ48" s="1008" t="e">
        <f t="shared" si="19"/>
        <v>#DIV/0!</v>
      </c>
      <c r="BK48" s="1008" t="e">
        <f t="shared" si="19"/>
        <v>#DIV/0!</v>
      </c>
      <c r="BL48" s="1008">
        <f t="shared" si="19"/>
        <v>0.11537505028651425</v>
      </c>
      <c r="BM48" s="1008" t="e">
        <f>(BM12*BM38)/AVERAGE(EC15,DS15)</f>
        <v>#DIV/0!</v>
      </c>
      <c r="BN48" s="1008" t="e">
        <f>(BN12*BN38)/AVERAGE(ED15,DT15)</f>
        <v>#DIV/0!</v>
      </c>
      <c r="BO48" s="1008" t="e">
        <f>(BO12*BO38)/AVERAGE(EE15,DU15)</f>
        <v>#DIV/0!</v>
      </c>
      <c r="BP48" s="1008" t="e">
        <f>(BP12*BP38)/AVERAGE(EF15,DV15)</f>
        <v>#DIV/0!</v>
      </c>
      <c r="BQ48" s="1008">
        <f>(BQ12*BQ38)/AVERAGE(EB15,DW15)</f>
        <v>0.10831042952465716</v>
      </c>
      <c r="BR48" s="974"/>
      <c r="BS48" s="1000" t="s">
        <v>269</v>
      </c>
      <c r="BT48" s="1015"/>
      <c r="BU48" s="1002">
        <f t="shared" ref="BU48:CD48" si="20">+BU44+BU46-BU47</f>
        <v>0</v>
      </c>
      <c r="BV48" s="1002">
        <f t="shared" si="20"/>
        <v>0</v>
      </c>
      <c r="BW48" s="1002">
        <f t="shared" si="20"/>
        <v>0</v>
      </c>
      <c r="BX48" s="1002">
        <f t="shared" si="20"/>
        <v>0</v>
      </c>
      <c r="BY48" s="1002">
        <f t="shared" si="20"/>
        <v>748.00400000000013</v>
      </c>
      <c r="BZ48" s="1002">
        <f t="shared" si="20"/>
        <v>0</v>
      </c>
      <c r="CA48" s="1002">
        <f t="shared" si="20"/>
        <v>0</v>
      </c>
      <c r="CB48" s="1002">
        <f t="shared" si="20"/>
        <v>0</v>
      </c>
      <c r="CC48" s="1002">
        <f t="shared" si="20"/>
        <v>0</v>
      </c>
      <c r="CD48" s="1002">
        <f t="shared" si="20"/>
        <v>-907.64099999999962</v>
      </c>
      <c r="CE48" s="1002"/>
      <c r="CF48" s="1002"/>
      <c r="CG48" s="1002"/>
      <c r="CH48" s="1002"/>
      <c r="CI48" s="1002">
        <f>+CI44+CI46-CI47</f>
        <v>-1299.886</v>
      </c>
      <c r="CJ48" s="1002"/>
      <c r="CK48" s="1002"/>
      <c r="CL48" s="1002"/>
      <c r="CM48" s="1002"/>
      <c r="CN48" s="1002">
        <f>+CN44+CN46-CN47</f>
        <v>-15.548000000000229</v>
      </c>
      <c r="CO48" s="1002"/>
      <c r="CP48" s="1002"/>
      <c r="CQ48" s="1002"/>
      <c r="CR48" s="1002"/>
      <c r="CS48" s="1002">
        <f>+CS44+CS46-CS47</f>
        <v>329.20399999999927</v>
      </c>
      <c r="CT48" s="1002"/>
      <c r="CU48" s="1002"/>
      <c r="CV48" s="1002"/>
      <c r="CW48" s="1002"/>
      <c r="CX48" s="1002">
        <f>+CX44+CX46-CX47</f>
        <v>83.826000000000022</v>
      </c>
      <c r="CY48" s="1002"/>
      <c r="CZ48" s="1002"/>
      <c r="DA48" s="1002"/>
      <c r="DB48" s="1002"/>
      <c r="DC48" s="1002">
        <f>+DC44+DC46-DC47</f>
        <v>-1463.1839999999997</v>
      </c>
      <c r="DD48" s="1002"/>
      <c r="DE48" s="1002"/>
      <c r="DF48" s="1002"/>
      <c r="DG48" s="1002"/>
      <c r="DH48" s="1002">
        <f>+DH44+DH46-DH47</f>
        <v>-1846.4340000000007</v>
      </c>
      <c r="DI48" s="1002">
        <f t="shared" ref="DI48:DR48" si="21">+DI44+DI46-DI47</f>
        <v>0</v>
      </c>
      <c r="DJ48" s="1002">
        <f t="shared" si="21"/>
        <v>0</v>
      </c>
      <c r="DK48" s="1002">
        <f t="shared" si="21"/>
        <v>0</v>
      </c>
      <c r="DL48" s="1002">
        <f t="shared" si="21"/>
        <v>0</v>
      </c>
      <c r="DM48" s="1002">
        <f t="shared" si="21"/>
        <v>-2078.76299023924</v>
      </c>
      <c r="DN48" s="1002">
        <f t="shared" si="21"/>
        <v>0</v>
      </c>
      <c r="DO48" s="1002">
        <f t="shared" si="21"/>
        <v>0</v>
      </c>
      <c r="DP48" s="1002">
        <f t="shared" si="21"/>
        <v>0</v>
      </c>
      <c r="DQ48" s="1002">
        <f t="shared" si="21"/>
        <v>0</v>
      </c>
      <c r="DR48" s="1002">
        <f t="shared" si="21"/>
        <v>-1624.5660471638371</v>
      </c>
      <c r="DS48" s="1002"/>
      <c r="DT48" s="1002"/>
      <c r="DU48" s="1002"/>
      <c r="DV48" s="1002"/>
      <c r="DW48" s="1002">
        <f t="shared" ref="DW48" si="22">+DW44+DW46-DW47</f>
        <v>-1198.7921779343426</v>
      </c>
      <c r="DX48" s="1002"/>
      <c r="DY48" s="1002"/>
      <c r="DZ48" s="1002"/>
      <c r="EA48" s="1002"/>
      <c r="EB48" s="1003">
        <f>+EB44+EB46-EB47</f>
        <v>-1494.118086343663</v>
      </c>
    </row>
    <row r="49" spans="2:132">
      <c r="B49" s="773"/>
      <c r="C49" s="813" t="s">
        <v>270</v>
      </c>
      <c r="D49" s="773"/>
      <c r="M49" s="748"/>
      <c r="N49" s="773"/>
      <c r="S49" s="1017"/>
      <c r="T49" s="1017"/>
      <c r="U49" s="1017"/>
      <c r="V49" s="1017"/>
      <c r="W49" s="1017"/>
      <c r="X49" s="1017"/>
      <c r="Y49" s="1017"/>
      <c r="Z49" s="1017"/>
      <c r="AA49" s="1017"/>
      <c r="AB49" s="1017"/>
      <c r="AC49" s="1017"/>
      <c r="AD49" s="1017"/>
      <c r="AE49" s="1017"/>
      <c r="AF49" s="1017"/>
      <c r="AG49" s="1017"/>
      <c r="AH49" s="1017"/>
      <c r="AI49" s="1017"/>
      <c r="AJ49" s="1017"/>
      <c r="AK49" s="1017"/>
      <c r="AL49" s="1017"/>
      <c r="AM49" s="1017"/>
      <c r="AN49" s="1017"/>
      <c r="AO49" s="1017"/>
      <c r="AP49" s="1017"/>
      <c r="AQ49" s="1017"/>
      <c r="AR49" s="1017"/>
      <c r="AS49" s="1017"/>
      <c r="AT49" s="1017"/>
      <c r="AU49" s="1017"/>
      <c r="AV49" s="1017"/>
      <c r="AW49" s="1017"/>
      <c r="AX49" s="1017"/>
      <c r="AY49" s="1017"/>
      <c r="AZ49" s="1017"/>
      <c r="BA49" s="1017"/>
      <c r="BB49" s="1017"/>
      <c r="BC49" s="1017"/>
      <c r="BD49" s="1017"/>
      <c r="BE49" s="1017"/>
      <c r="BF49" s="1017"/>
      <c r="BG49" s="1017"/>
      <c r="BH49" s="1017"/>
      <c r="BI49" s="1017"/>
      <c r="BJ49" s="1017"/>
      <c r="BK49" s="1017"/>
      <c r="BL49" s="1017"/>
      <c r="BM49" s="1017"/>
      <c r="BN49" s="1017"/>
      <c r="BO49" s="1017"/>
      <c r="BP49" s="1017"/>
      <c r="BQ49" s="1017"/>
      <c r="BR49" s="974"/>
      <c r="BS49" s="773"/>
      <c r="BT49" s="773"/>
      <c r="BY49" s="773"/>
      <c r="CD49" s="773"/>
      <c r="CI49" s="773"/>
      <c r="CN49" s="773"/>
      <c r="CS49" s="773"/>
      <c r="CX49" s="773"/>
      <c r="DC49" s="773"/>
      <c r="DH49" s="773"/>
      <c r="DM49" s="773"/>
      <c r="DR49" s="773"/>
      <c r="DW49" s="773"/>
      <c r="EB49" s="773"/>
    </row>
    <row r="50" spans="2:132">
      <c r="B50" s="773"/>
      <c r="C50" s="1018" t="s">
        <v>271</v>
      </c>
      <c r="D50" s="1019"/>
      <c r="F50" s="856"/>
      <c r="G50" s="856"/>
      <c r="H50" s="856"/>
      <c r="I50" s="856"/>
      <c r="J50" s="856"/>
      <c r="K50" s="856"/>
      <c r="L50" s="748"/>
      <c r="N50" s="764"/>
      <c r="P50" s="856"/>
      <c r="Q50" s="748"/>
      <c r="R50" s="748"/>
      <c r="S50" s="1008">
        <f>(S12*S38)/AVERAGE(ETR!S171,ETR!N171)</f>
        <v>3.4081255540097756E-2</v>
      </c>
      <c r="T50" s="814"/>
      <c r="U50" s="814"/>
      <c r="V50" s="814"/>
      <c r="W50" s="783"/>
      <c r="X50" s="1008">
        <f>(X12*X38)/AVERAGE(ETR!X171,ETR!S171)</f>
        <v>2.6421494904428664E-2</v>
      </c>
      <c r="Y50" s="814"/>
      <c r="Z50" s="814"/>
      <c r="AA50" s="814"/>
      <c r="AB50" s="783"/>
      <c r="AC50" s="1008">
        <f>(AC12*AC38)/AVERAGE(ETR!AC171,ETR!X171)</f>
        <v>2.210168861536109E-2</v>
      </c>
      <c r="AD50" s="814"/>
      <c r="AE50" s="814"/>
      <c r="AF50" s="814"/>
      <c r="AG50" s="783"/>
      <c r="AH50" s="1008">
        <f>(AH12*AH38)/AVERAGE(ETR!AH171,ETR!AC171)</f>
        <v>2.3353069963295454E-2</v>
      </c>
      <c r="AI50" s="814"/>
      <c r="AJ50" s="814"/>
      <c r="AK50" s="814"/>
      <c r="AL50" s="783"/>
      <c r="AM50" s="1008">
        <f>(AM12*AM38)/AVERAGE(ETR!AM171,ETR!AH171)</f>
        <v>2.3599269255727466E-2</v>
      </c>
      <c r="AN50" s="814"/>
      <c r="AO50" s="814"/>
      <c r="AP50" s="814"/>
      <c r="AQ50" s="783"/>
      <c r="AR50" s="1008">
        <f>(AR12*AR38)/AVERAGE(ETR!AR171,ETR!AM171)</f>
        <v>2.8087295365768102E-2</v>
      </c>
      <c r="AS50" s="851"/>
      <c r="AT50" s="851"/>
      <c r="AU50" s="851"/>
      <c r="AV50" s="783"/>
      <c r="AW50" s="1008">
        <f>(AW12*AW38)/AVERAGE(ETR!AW171,ETR!AR171)</f>
        <v>2.8078820335033013E-2</v>
      </c>
      <c r="AX50" s="814"/>
      <c r="AY50" s="814"/>
      <c r="AZ50" s="814"/>
      <c r="BA50" s="783"/>
      <c r="BB50" s="1008">
        <f>(BB12*BB38)/AVERAGE(ETR!BB171,ETR!AW171)</f>
        <v>2.2370361465456817E-2</v>
      </c>
      <c r="BC50" s="814"/>
      <c r="BD50" s="814"/>
      <c r="BE50" s="814"/>
      <c r="BF50" s="783"/>
      <c r="BG50" s="1008">
        <f>(BG12*BG38)/AVERAGE(ETR!BG171,ETR!BB171)</f>
        <v>1.9861077135265567E-2</v>
      </c>
      <c r="BH50" s="814"/>
      <c r="BI50" s="814"/>
      <c r="BJ50" s="814"/>
      <c r="BK50" s="783"/>
      <c r="BL50" s="1008">
        <f>(BL12*BL38)/AVERAGE(ETR!BL171,ETR!BG171)</f>
        <v>1.9628938885121645E-2</v>
      </c>
      <c r="BM50" s="814"/>
      <c r="BN50" s="814"/>
      <c r="BO50" s="814"/>
      <c r="BP50" s="783"/>
      <c r="BQ50" s="1008">
        <f>(BQ12*BQ38)/AVERAGE(ETR!BQ171,ETR!BL171)</f>
        <v>1.8406816622743089E-2</v>
      </c>
      <c r="BR50" s="974"/>
      <c r="BS50" s="765" t="s">
        <v>272</v>
      </c>
      <c r="BT50" s="773"/>
      <c r="BY50" s="773"/>
      <c r="CD50" s="773"/>
      <c r="CI50" s="773"/>
      <c r="CN50" s="773"/>
      <c r="CS50" s="773"/>
      <c r="CX50" s="773"/>
      <c r="DC50" s="773"/>
      <c r="DH50" s="773"/>
      <c r="DM50" s="773"/>
      <c r="DR50" s="773"/>
      <c r="DW50" s="773"/>
      <c r="EB50" s="773"/>
    </row>
    <row r="51" spans="2:132">
      <c r="B51" s="773"/>
      <c r="C51" s="977"/>
      <c r="D51" s="773"/>
      <c r="N51" s="773"/>
      <c r="S51" s="773"/>
      <c r="V51" s="825"/>
      <c r="X51" s="773"/>
      <c r="AA51" s="825"/>
      <c r="AC51" s="773"/>
      <c r="AF51" s="825"/>
      <c r="AH51" s="773"/>
      <c r="AK51" s="825"/>
      <c r="AM51" s="773"/>
      <c r="AP51" s="825"/>
      <c r="AR51" s="773"/>
      <c r="AU51" s="825"/>
      <c r="AW51" s="773"/>
      <c r="AZ51" s="825"/>
      <c r="BB51" s="773"/>
      <c r="BE51" s="825"/>
      <c r="BG51" s="773"/>
      <c r="BJ51" s="825"/>
      <c r="BL51" s="773"/>
      <c r="BO51" s="825"/>
      <c r="BQ51" s="773"/>
      <c r="BR51" s="773"/>
      <c r="BS51" s="773" t="s">
        <v>273</v>
      </c>
      <c r="BT51" s="773"/>
      <c r="BY51" s="837">
        <f>+ETR!N140</f>
        <v>-827.41300000000001</v>
      </c>
      <c r="BZ51" s="770"/>
      <c r="CA51" s="770"/>
      <c r="CB51" s="770"/>
      <c r="CC51" s="770"/>
      <c r="CD51" s="837">
        <f>+ETR!S140</f>
        <v>-218.755</v>
      </c>
      <c r="CE51" s="770"/>
      <c r="CF51" s="770"/>
      <c r="CG51" s="770"/>
      <c r="CH51" s="770"/>
      <c r="CI51" s="837">
        <f>+ETR!X140</f>
        <v>62.886000000000003</v>
      </c>
      <c r="CJ51" s="770"/>
      <c r="CK51" s="770"/>
      <c r="CL51" s="770"/>
      <c r="CM51" s="770"/>
      <c r="CN51" s="837">
        <f>+ETR!AC140</f>
        <v>24.526999999999997</v>
      </c>
      <c r="CO51" s="770"/>
      <c r="CP51" s="770"/>
      <c r="CQ51" s="770"/>
      <c r="CR51" s="770"/>
      <c r="CS51" s="837">
        <f>+ETR!AH140</f>
        <v>11.594999999999999</v>
      </c>
      <c r="CT51" s="770"/>
      <c r="CU51" s="770"/>
      <c r="CV51" s="770"/>
      <c r="CW51" s="770"/>
      <c r="CX51" s="837">
        <f>+ETR!AM140</f>
        <v>-75.762</v>
      </c>
      <c r="CY51" s="770"/>
      <c r="CZ51" s="770"/>
      <c r="DA51" s="770"/>
      <c r="DB51" s="770"/>
      <c r="DC51" s="837">
        <f>+ETR!AR140</f>
        <v>33.120000000000005</v>
      </c>
      <c r="DD51" s="770"/>
      <c r="DE51" s="770"/>
      <c r="DF51" s="770"/>
      <c r="DG51" s="770"/>
      <c r="DH51" s="837">
        <f>+ETR!AW140</f>
        <v>80.728999999999999</v>
      </c>
      <c r="DI51" s="770"/>
      <c r="DJ51" s="770"/>
      <c r="DK51" s="770"/>
      <c r="DL51" s="770"/>
      <c r="DM51" s="837">
        <f>+ETR!BB140</f>
        <v>0</v>
      </c>
      <c r="DN51" s="770"/>
      <c r="DO51" s="770"/>
      <c r="DP51" s="770"/>
      <c r="DQ51" s="770"/>
      <c r="DR51" s="837">
        <f>+ETR!BG140</f>
        <v>0</v>
      </c>
      <c r="DS51" s="770"/>
      <c r="DT51" s="770"/>
      <c r="DU51" s="770"/>
      <c r="DV51" s="770"/>
      <c r="DW51" s="837">
        <f>+ETR!BL140</f>
        <v>0</v>
      </c>
      <c r="DX51" s="770"/>
      <c r="DY51" s="770"/>
      <c r="DZ51" s="770"/>
      <c r="EA51" s="770"/>
      <c r="EB51" s="837">
        <f>+ETR!BQ140</f>
        <v>0</v>
      </c>
    </row>
    <row r="52" spans="2:132">
      <c r="B52" s="773"/>
      <c r="C52" s="756" t="s">
        <v>274</v>
      </c>
      <c r="D52" s="764"/>
      <c r="L52" s="825"/>
      <c r="M52" s="825"/>
      <c r="N52" s="773"/>
      <c r="Q52" s="825"/>
      <c r="R52" s="825"/>
      <c r="S52" s="1016">
        <f>Valuation!AR18</f>
        <v>77.16</v>
      </c>
      <c r="T52" s="825"/>
      <c r="U52" s="856"/>
      <c r="V52" s="825"/>
      <c r="X52" s="1009">
        <f>+S52</f>
        <v>77.16</v>
      </c>
      <c r="Y52" s="761"/>
      <c r="Z52" s="761"/>
      <c r="AA52" s="761"/>
      <c r="AB52" s="761"/>
      <c r="AC52" s="1009">
        <f>+X52</f>
        <v>77.16</v>
      </c>
      <c r="AD52" s="761"/>
      <c r="AE52" s="761"/>
      <c r="AF52" s="761"/>
      <c r="AG52" s="761"/>
      <c r="AH52" s="1009">
        <f>+AC52</f>
        <v>77.16</v>
      </c>
      <c r="AI52" s="761"/>
      <c r="AJ52" s="761"/>
      <c r="AK52" s="761"/>
      <c r="AL52" s="761"/>
      <c r="AM52" s="1009">
        <f>+AH52</f>
        <v>77.16</v>
      </c>
      <c r="AN52" s="761"/>
      <c r="AO52" s="761"/>
      <c r="AP52" s="761"/>
      <c r="AQ52" s="761"/>
      <c r="AR52" s="1009">
        <f>+AM52</f>
        <v>77.16</v>
      </c>
      <c r="AS52" s="761"/>
      <c r="AT52" s="761"/>
      <c r="AU52" s="761"/>
      <c r="AV52" s="761"/>
      <c r="AW52" s="1009">
        <f>+AR52</f>
        <v>77.16</v>
      </c>
      <c r="AX52" s="761"/>
      <c r="AY52" s="761"/>
      <c r="AZ52" s="761"/>
      <c r="BA52" s="761"/>
      <c r="BB52" s="1009">
        <f>+AW52</f>
        <v>77.16</v>
      </c>
      <c r="BC52" s="761"/>
      <c r="BD52" s="761"/>
      <c r="BE52" s="761"/>
      <c r="BF52" s="761"/>
      <c r="BG52" s="1009">
        <f>+BB52</f>
        <v>77.16</v>
      </c>
      <c r="BH52" s="761"/>
      <c r="BI52" s="761"/>
      <c r="BJ52" s="761"/>
      <c r="BK52" s="761"/>
      <c r="BL52" s="1009">
        <f>+BG52</f>
        <v>77.16</v>
      </c>
      <c r="BM52" s="761"/>
      <c r="BN52" s="761"/>
      <c r="BO52" s="761"/>
      <c r="BP52" s="761"/>
      <c r="BQ52" s="1009">
        <f>+BL52</f>
        <v>77.16</v>
      </c>
      <c r="BR52" s="773"/>
      <c r="BS52" s="773" t="s">
        <v>275</v>
      </c>
      <c r="BT52" s="773"/>
      <c r="BY52" s="837">
        <f>+ETR!N136</f>
        <v>3870.6940000000004</v>
      </c>
      <c r="CD52" s="837">
        <f>+ETR!S136</f>
        <v>2990.8810000000003</v>
      </c>
      <c r="CI52" s="837">
        <f>+ETR!X136</f>
        <v>3478.3609999999999</v>
      </c>
      <c r="CN52" s="837">
        <f>+ETR!AC136</f>
        <v>3746.0159999999996</v>
      </c>
      <c r="CS52" s="837">
        <f>+ETR!AH136</f>
        <v>3100.069</v>
      </c>
      <c r="CX52" s="837">
        <f>+ETR!AM136</f>
        <v>3502.1890000000003</v>
      </c>
      <c r="DC52" s="837">
        <f>+ETR!AR136</f>
        <v>6950.558</v>
      </c>
      <c r="DH52" s="837">
        <f>+ETR!AW136</f>
        <v>1809.3899999999999</v>
      </c>
      <c r="DM52" s="837">
        <f>+ETR!BB136</f>
        <v>3700</v>
      </c>
      <c r="DR52" s="837">
        <f>+ETR!BG136</f>
        <v>2500</v>
      </c>
      <c r="DW52" s="837">
        <f>+ETR!BL136</f>
        <v>2300</v>
      </c>
      <c r="EB52" s="837">
        <f>+ETR!BQ136</f>
        <v>2300</v>
      </c>
    </row>
    <row r="53" spans="2:132">
      <c r="B53" s="773"/>
      <c r="C53" s="764" t="s">
        <v>76</v>
      </c>
      <c r="D53" s="1020"/>
      <c r="E53" s="996"/>
      <c r="F53" s="996"/>
      <c r="G53" s="996"/>
      <c r="H53" s="996"/>
      <c r="I53" s="996"/>
      <c r="J53" s="996"/>
      <c r="K53" s="996"/>
      <c r="L53" s="996"/>
      <c r="M53" s="996"/>
      <c r="N53" s="1021"/>
      <c r="O53" s="996"/>
      <c r="P53" s="996"/>
      <c r="Q53" s="996"/>
      <c r="R53" s="996"/>
      <c r="S53" s="998">
        <f>ETR!X45</f>
        <v>177.80754899999999</v>
      </c>
      <c r="T53" s="996"/>
      <c r="U53" s="996"/>
      <c r="V53" s="996"/>
      <c r="W53" s="996"/>
      <c r="X53" s="837">
        <f>+S53</f>
        <v>177.80754899999999</v>
      </c>
      <c r="Y53" s="996"/>
      <c r="Z53" s="996"/>
      <c r="AA53" s="996"/>
      <c r="AB53" s="996"/>
      <c r="AC53" s="837">
        <f>+X53</f>
        <v>177.80754899999999</v>
      </c>
      <c r="AD53" s="996"/>
      <c r="AE53" s="996"/>
      <c r="AF53" s="996"/>
      <c r="AG53" s="996"/>
      <c r="AH53" s="837">
        <f>+AC53</f>
        <v>177.80754899999999</v>
      </c>
      <c r="AI53" s="996"/>
      <c r="AJ53" s="996"/>
      <c r="AK53" s="996"/>
      <c r="AL53" s="996"/>
      <c r="AM53" s="837">
        <f>+AH53</f>
        <v>177.80754899999999</v>
      </c>
      <c r="AN53" s="996"/>
      <c r="AO53" s="996"/>
      <c r="AP53" s="996"/>
      <c r="AQ53" s="996"/>
      <c r="AR53" s="837">
        <f>+AM53</f>
        <v>177.80754899999999</v>
      </c>
      <c r="AS53" s="996"/>
      <c r="AT53" s="996"/>
      <c r="AU53" s="996"/>
      <c r="AV53" s="996"/>
      <c r="AW53" s="837">
        <f>+AR53</f>
        <v>177.80754899999999</v>
      </c>
      <c r="AX53" s="996"/>
      <c r="AY53" s="996"/>
      <c r="AZ53" s="996"/>
      <c r="BA53" s="996"/>
      <c r="BB53" s="837">
        <f>+AW53</f>
        <v>177.80754899999999</v>
      </c>
      <c r="BC53" s="996"/>
      <c r="BD53" s="996"/>
      <c r="BE53" s="996"/>
      <c r="BF53" s="996"/>
      <c r="BG53" s="837">
        <f>+BB53</f>
        <v>177.80754899999999</v>
      </c>
      <c r="BH53" s="996"/>
      <c r="BI53" s="996"/>
      <c r="BJ53" s="996"/>
      <c r="BK53" s="996"/>
      <c r="BL53" s="837">
        <f>+BG53</f>
        <v>177.80754899999999</v>
      </c>
      <c r="BM53" s="996"/>
      <c r="BN53" s="996"/>
      <c r="BO53" s="996"/>
      <c r="BP53" s="996"/>
      <c r="BQ53" s="837">
        <f>+BL53</f>
        <v>177.80754899999999</v>
      </c>
      <c r="BR53" s="773"/>
      <c r="BS53" s="773" t="s">
        <v>276</v>
      </c>
      <c r="BT53" s="773"/>
      <c r="BY53" s="837">
        <f>+ETR!N137</f>
        <v>-4178.1269999999995</v>
      </c>
      <c r="CD53" s="837">
        <f>+ETR!S137</f>
        <v>-2437.3720000000003</v>
      </c>
      <c r="CI53" s="837">
        <f>+ETR!X137</f>
        <v>-3130.2330000000002</v>
      </c>
      <c r="CN53" s="837">
        <f>+ETR!AC137</f>
        <v>-3814.6659999999997</v>
      </c>
      <c r="CS53" s="837">
        <f>+ETR!AH137</f>
        <v>-2323.3130000000001</v>
      </c>
      <c r="CX53" s="837">
        <f>+ETR!AM137</f>
        <v>-3461.518</v>
      </c>
      <c r="DC53" s="837">
        <f>+ETR!AR137</f>
        <v>-5461.3240000000005</v>
      </c>
      <c r="DH53" s="837">
        <f>+ETR!AW137</f>
        <v>-1585.681</v>
      </c>
      <c r="DM53" s="837">
        <f>+ETR!BB137</f>
        <v>-760</v>
      </c>
      <c r="DR53" s="837">
        <f>+ETR!BG137</f>
        <v>-680.76900000000001</v>
      </c>
      <c r="DW53" s="837">
        <f>+ETR!BL137</f>
        <v>-795</v>
      </c>
      <c r="EB53" s="837">
        <f>+ETR!BQ137</f>
        <v>-1039.9920000000002</v>
      </c>
    </row>
    <row r="54" spans="2:132">
      <c r="B54" s="773"/>
      <c r="C54" s="1005" t="s">
        <v>77</v>
      </c>
      <c r="D54" s="1020"/>
      <c r="E54" s="770"/>
      <c r="F54" s="1022"/>
      <c r="G54" s="1022"/>
      <c r="H54" s="1022"/>
      <c r="I54" s="1022"/>
      <c r="J54" s="1022"/>
      <c r="K54" s="1022"/>
      <c r="L54" s="770"/>
      <c r="M54" s="1022"/>
      <c r="N54" s="997"/>
      <c r="O54" s="770"/>
      <c r="P54" s="1022"/>
      <c r="Q54" s="770"/>
      <c r="R54" s="1022"/>
      <c r="S54" s="39">
        <f>+S52*S53</f>
        <v>13719.630480839998</v>
      </c>
      <c r="T54" s="770"/>
      <c r="U54" s="1022"/>
      <c r="V54" s="996"/>
      <c r="W54" s="996"/>
      <c r="X54" s="39">
        <f>+X52*X53</f>
        <v>13719.630480839998</v>
      </c>
      <c r="Y54" s="770"/>
      <c r="Z54" s="1022"/>
      <c r="AA54" s="996"/>
      <c r="AB54" s="996"/>
      <c r="AC54" s="39">
        <f>+AC52*AC53</f>
        <v>13719.630480839998</v>
      </c>
      <c r="AD54" s="770"/>
      <c r="AE54" s="1022"/>
      <c r="AF54" s="996"/>
      <c r="AG54" s="996"/>
      <c r="AH54" s="39">
        <f>+AH52*AH53</f>
        <v>13719.630480839998</v>
      </c>
      <c r="AI54" s="770"/>
      <c r="AJ54" s="1022"/>
      <c r="AK54" s="996"/>
      <c r="AL54" s="996"/>
      <c r="AM54" s="39">
        <f>+AM52*AM53</f>
        <v>13719.630480839998</v>
      </c>
      <c r="AN54" s="770"/>
      <c r="AO54" s="1022"/>
      <c r="AP54" s="996"/>
      <c r="AQ54" s="996"/>
      <c r="AR54" s="39">
        <f>+AR52*AR53</f>
        <v>13719.630480839998</v>
      </c>
      <c r="AS54" s="770"/>
      <c r="AT54" s="1022"/>
      <c r="AU54" s="996"/>
      <c r="AV54" s="996"/>
      <c r="AW54" s="39">
        <f>+AW52*AW53</f>
        <v>13719.630480839998</v>
      </c>
      <c r="AX54" s="770"/>
      <c r="AY54" s="1022"/>
      <c r="AZ54" s="996"/>
      <c r="BA54" s="996"/>
      <c r="BB54" s="39">
        <f>+BB52*BB53</f>
        <v>13719.630480839998</v>
      </c>
      <c r="BC54" s="770"/>
      <c r="BD54" s="1022"/>
      <c r="BE54" s="996"/>
      <c r="BF54" s="996"/>
      <c r="BG54" s="39">
        <f>+BG52*BG53</f>
        <v>13719.630480839998</v>
      </c>
      <c r="BH54" s="770"/>
      <c r="BI54" s="1022"/>
      <c r="BJ54" s="996"/>
      <c r="BK54" s="996"/>
      <c r="BL54" s="39">
        <f>+BL52*BL53</f>
        <v>13719.630480839998</v>
      </c>
      <c r="BM54" s="770"/>
      <c r="BN54" s="1022"/>
      <c r="BO54" s="996"/>
      <c r="BP54" s="996"/>
      <c r="BQ54" s="39">
        <f>+BQ52*BQ53</f>
        <v>13719.630480839998</v>
      </c>
      <c r="BR54" s="773"/>
      <c r="BS54" s="773" t="s">
        <v>277</v>
      </c>
      <c r="BT54" s="773"/>
      <c r="BY54" s="837">
        <f>+ETR!N138+ETR!N150</f>
        <v>-8.5120000000000022</v>
      </c>
      <c r="CD54" s="837">
        <f>+ETR!S138+ETR!S150</f>
        <v>-6.5009999999999977</v>
      </c>
      <c r="CI54" s="837">
        <f>+ETR!X138+ETR!X150</f>
        <v>687.67499999999995</v>
      </c>
      <c r="CN54" s="837">
        <f>+ETR!AC138+ETR!AC150</f>
        <v>250.88900000000004</v>
      </c>
      <c r="CS54" s="837">
        <f>+ETR!AH138+ETR!AH150</f>
        <v>-448.47500000000002</v>
      </c>
      <c r="CX54" s="837">
        <f>+ETR!AM138+ETR!AM150</f>
        <v>-104.047</v>
      </c>
      <c r="DC54" s="837">
        <f>+ETR!AR138+ETR!AR150</f>
        <v>-79.337000000000018</v>
      </c>
      <c r="DH54" s="837">
        <f>+ETR!AW138+ETR!AW150</f>
        <v>1163.296</v>
      </c>
      <c r="DM54" s="837">
        <f>+ETR!BB138+ETR!BB150</f>
        <v>-1578.308</v>
      </c>
      <c r="DR54" s="837">
        <f>+ETR!BG138+ETR!BG150</f>
        <v>0</v>
      </c>
      <c r="DW54" s="837">
        <f>+ETR!BL138+ETR!BL150</f>
        <v>0</v>
      </c>
      <c r="EB54" s="837">
        <f>+ETR!BQ138+ETR!BQ150</f>
        <v>0</v>
      </c>
    </row>
    <row r="55" spans="2:132">
      <c r="B55" s="773"/>
      <c r="C55" s="764" t="s">
        <v>288</v>
      </c>
      <c r="D55" s="997"/>
      <c r="E55" s="996"/>
      <c r="F55" s="996"/>
      <c r="G55" s="996"/>
      <c r="H55" s="996"/>
      <c r="I55" s="996"/>
      <c r="J55" s="996"/>
      <c r="K55" s="996"/>
      <c r="L55" s="996"/>
      <c r="M55" s="996"/>
      <c r="N55" s="1021"/>
      <c r="O55" s="996"/>
      <c r="P55" s="996"/>
      <c r="Q55" s="996"/>
      <c r="R55" s="996"/>
      <c r="S55" s="837">
        <f>+CD12-CD8</f>
        <v>11650.339</v>
      </c>
      <c r="T55" s="996"/>
      <c r="U55" s="996"/>
      <c r="V55" s="996"/>
      <c r="W55" s="996"/>
      <c r="X55" s="837">
        <f>+CI12-CI8</f>
        <v>12902.267</v>
      </c>
      <c r="Y55" s="996"/>
      <c r="Z55" s="996"/>
      <c r="AA55" s="996"/>
      <c r="AB55" s="996"/>
      <c r="AC55" s="837">
        <f>+CN12-CN8</f>
        <v>12904.004999999999</v>
      </c>
      <c r="AD55" s="996"/>
      <c r="AE55" s="996"/>
      <c r="AF55" s="996"/>
      <c r="AG55" s="996"/>
      <c r="AH55" s="837">
        <f>+CS12-CS8</f>
        <v>12575.865</v>
      </c>
      <c r="AI55" s="996"/>
      <c r="AJ55" s="996"/>
      <c r="AK55" s="996"/>
      <c r="AL55" s="996"/>
      <c r="AM55" s="837">
        <f>+CX12-CX8</f>
        <v>12469.317000000001</v>
      </c>
      <c r="AN55" s="996"/>
      <c r="AO55" s="996"/>
      <c r="AP55" s="996"/>
      <c r="AQ55" s="996"/>
      <c r="AR55" s="837">
        <f>+DC12-DC8</f>
        <v>14059.722000000002</v>
      </c>
      <c r="AS55" s="996"/>
      <c r="AT55" s="996"/>
      <c r="AU55" s="996"/>
      <c r="AV55" s="996"/>
      <c r="AW55" s="837">
        <f>+DM12-DM8</f>
        <v>17951.06399023924</v>
      </c>
      <c r="AX55" s="996"/>
      <c r="AY55" s="996"/>
      <c r="AZ55" s="996"/>
      <c r="BA55" s="996"/>
      <c r="BB55" s="837">
        <f>+DM12-DM8</f>
        <v>17951.06399023924</v>
      </c>
      <c r="BC55" s="996"/>
      <c r="BD55" s="996"/>
      <c r="BE55" s="996"/>
      <c r="BF55" s="996"/>
      <c r="BG55" s="837">
        <f>+DR12-DR8</f>
        <v>19575.630037403076</v>
      </c>
      <c r="BH55" s="996"/>
      <c r="BI55" s="996"/>
      <c r="BJ55" s="996"/>
      <c r="BK55" s="996"/>
      <c r="BL55" s="837">
        <f>+DW12-DW8</f>
        <v>20774.422215337414</v>
      </c>
      <c r="BM55" s="996"/>
      <c r="BN55" s="996"/>
      <c r="BO55" s="996"/>
      <c r="BP55" s="996"/>
      <c r="BQ55" s="837">
        <f>+EB12-EB8</f>
        <v>22268.540301681081</v>
      </c>
      <c r="BR55" s="773"/>
      <c r="BS55" s="773" t="s">
        <v>313</v>
      </c>
      <c r="BT55" s="764"/>
      <c r="BU55" s="996"/>
      <c r="BV55" s="996"/>
      <c r="BW55" s="996"/>
      <c r="BX55" s="996"/>
      <c r="BY55" s="997">
        <f>+ETR!N142+ETR!N139</f>
        <v>-20.062999999999999</v>
      </c>
      <c r="BZ55" s="997"/>
      <c r="CA55" s="997"/>
      <c r="CB55" s="997"/>
      <c r="CC55" s="997"/>
      <c r="CD55" s="997">
        <f>+ETR!S142+ETR!S139</f>
        <v>-20.933</v>
      </c>
      <c r="CE55" s="997"/>
      <c r="CF55" s="997"/>
      <c r="CG55" s="997"/>
      <c r="CH55" s="997"/>
      <c r="CI55" s="997">
        <f>+ETR!X142+ETR!X139</f>
        <v>39.835999999999999</v>
      </c>
      <c r="CJ55" s="997"/>
      <c r="CK55" s="997"/>
      <c r="CL55" s="997"/>
      <c r="CM55" s="997"/>
      <c r="CN55" s="997">
        <f>+ETR!AC142+ETR!AC139</f>
        <v>15.584</v>
      </c>
      <c r="CO55" s="997"/>
      <c r="CP55" s="997"/>
      <c r="CQ55" s="997"/>
      <c r="CR55" s="997"/>
      <c r="CS55" s="997">
        <f>+ETR!AH142+ETR!AH139</f>
        <v>13.82</v>
      </c>
      <c r="CT55" s="997"/>
      <c r="CU55" s="997"/>
      <c r="CV55" s="997"/>
      <c r="CW55" s="997"/>
      <c r="CX55" s="997">
        <f>+ETR!AM142+ETR!AM139</f>
        <v>-15.752999999999993</v>
      </c>
      <c r="CY55" s="997"/>
      <c r="CZ55" s="997"/>
      <c r="DA55" s="997"/>
      <c r="DB55" s="997"/>
      <c r="DC55" s="997">
        <f>+ETR!AR142+ETR!AR139</f>
        <v>-142.94999999999999</v>
      </c>
      <c r="DD55" s="997"/>
      <c r="DE55" s="997"/>
      <c r="DF55" s="997"/>
      <c r="DG55" s="997"/>
      <c r="DH55" s="997">
        <f>+ETR!AW142+ETR!AW139</f>
        <v>-27.871000000000002</v>
      </c>
      <c r="DI55" s="997"/>
      <c r="DJ55" s="997"/>
      <c r="DK55" s="997"/>
      <c r="DL55" s="997"/>
      <c r="DM55" s="997">
        <f>+ETR!BB142+ETR!BB139</f>
        <v>0</v>
      </c>
      <c r="DN55" s="997"/>
      <c r="DO55" s="997"/>
      <c r="DP55" s="997"/>
      <c r="DQ55" s="997"/>
      <c r="DR55" s="997">
        <f>+ETR!BG142+ETR!BG139</f>
        <v>0</v>
      </c>
      <c r="DS55" s="997"/>
      <c r="DT55" s="997"/>
      <c r="DU55" s="997"/>
      <c r="DV55" s="997"/>
      <c r="DW55" s="997">
        <f>+ETR!BL142+ETR!BL139</f>
        <v>0</v>
      </c>
      <c r="DX55" s="997"/>
      <c r="DY55" s="997"/>
      <c r="DZ55" s="997"/>
      <c r="EA55" s="997"/>
      <c r="EB55" s="997">
        <f>+ETR!BQ142+ETR!BQ139</f>
        <v>0</v>
      </c>
    </row>
    <row r="56" spans="2:132">
      <c r="B56" s="773"/>
      <c r="C56" s="765" t="s">
        <v>78</v>
      </c>
      <c r="D56" s="1023"/>
      <c r="E56" s="1023"/>
      <c r="F56" s="1023"/>
      <c r="G56" s="1023"/>
      <c r="H56" s="1023"/>
      <c r="I56" s="1023"/>
      <c r="J56" s="1023"/>
      <c r="K56" s="1023"/>
      <c r="L56" s="770"/>
      <c r="M56" s="1023"/>
      <c r="N56" s="1023"/>
      <c r="O56" s="1023"/>
      <c r="P56" s="1023"/>
      <c r="Q56" s="770"/>
      <c r="R56" s="1022"/>
      <c r="S56" s="39">
        <f>+S54+S55</f>
        <v>25369.969480839998</v>
      </c>
      <c r="T56" s="770"/>
      <c r="U56" s="1022"/>
      <c r="V56" s="996"/>
      <c r="W56" s="996"/>
      <c r="X56" s="39">
        <f>+X54+X55</f>
        <v>26621.897480839998</v>
      </c>
      <c r="Y56" s="770"/>
      <c r="Z56" s="1022"/>
      <c r="AA56" s="996"/>
      <c r="AB56" s="996"/>
      <c r="AC56" s="39">
        <f>+AC54+AC55</f>
        <v>26623.635480839999</v>
      </c>
      <c r="AD56" s="770"/>
      <c r="AE56" s="1022"/>
      <c r="AF56" s="996"/>
      <c r="AG56" s="996"/>
      <c r="AH56" s="39">
        <f>+AH54+AH55</f>
        <v>26295.49548084</v>
      </c>
      <c r="AI56" s="770"/>
      <c r="AJ56" s="1022"/>
      <c r="AK56" s="996"/>
      <c r="AL56" s="996"/>
      <c r="AM56" s="39">
        <f>+AM54+AM55</f>
        <v>26188.947480839997</v>
      </c>
      <c r="AN56" s="770"/>
      <c r="AO56" s="1022"/>
      <c r="AP56" s="996"/>
      <c r="AQ56" s="996"/>
      <c r="AR56" s="39">
        <f>+AR54+AR55</f>
        <v>27779.35248084</v>
      </c>
      <c r="AS56" s="770"/>
      <c r="AT56" s="1022"/>
      <c r="AU56" s="996"/>
      <c r="AV56" s="996"/>
      <c r="AW56" s="39">
        <f>+AW54+AW55</f>
        <v>31670.694471079238</v>
      </c>
      <c r="AX56" s="770"/>
      <c r="AY56" s="1022"/>
      <c r="AZ56" s="996"/>
      <c r="BA56" s="996"/>
      <c r="BB56" s="39">
        <f>+BB54+BB55</f>
        <v>31670.694471079238</v>
      </c>
      <c r="BC56" s="770"/>
      <c r="BD56" s="1022"/>
      <c r="BE56" s="996"/>
      <c r="BF56" s="996"/>
      <c r="BG56" s="39">
        <f>+BG54+BG55</f>
        <v>33295.260518243071</v>
      </c>
      <c r="BH56" s="770"/>
      <c r="BI56" s="1022"/>
      <c r="BJ56" s="996"/>
      <c r="BK56" s="996"/>
      <c r="BL56" s="39">
        <f>+BL54+BL55</f>
        <v>34494.052696177416</v>
      </c>
      <c r="BM56" s="770"/>
      <c r="BN56" s="1022"/>
      <c r="BO56" s="996"/>
      <c r="BP56" s="996"/>
      <c r="BQ56" s="39">
        <f>+BQ54+BQ55</f>
        <v>35988.170782521076</v>
      </c>
      <c r="BR56" s="773"/>
      <c r="BS56" s="765" t="s">
        <v>289</v>
      </c>
      <c r="BT56" s="764"/>
      <c r="BV56" s="1024"/>
      <c r="BW56" s="1024"/>
      <c r="BX56" s="1024"/>
      <c r="BY56" s="842">
        <f>SUM(BY48,BY51:BY55)</f>
        <v>-415.41699999999872</v>
      </c>
      <c r="CA56" s="1024"/>
      <c r="CB56" s="1024"/>
      <c r="CC56" s="1024"/>
      <c r="CD56" s="842">
        <f>SUM(CD48,CD51:CD55)</f>
        <v>-600.32099999999969</v>
      </c>
      <c r="CE56" s="1024"/>
      <c r="CF56" s="1024"/>
      <c r="CG56" s="1024"/>
      <c r="CI56" s="842">
        <f>SUM(CI48,CI51:CI55)</f>
        <v>-161.36100000000033</v>
      </c>
      <c r="CJ56" s="1024"/>
      <c r="CK56" s="1024"/>
      <c r="CL56" s="1024"/>
      <c r="CN56" s="842">
        <f>SUM(CN48,CN51:CN55)</f>
        <v>206.80199999999977</v>
      </c>
      <c r="CO56" s="1024"/>
      <c r="CP56" s="1024"/>
      <c r="CQ56" s="1024"/>
      <c r="CS56" s="842">
        <f>SUM(CS48,CS51:CS55)</f>
        <v>682.89999999999941</v>
      </c>
      <c r="CT56" s="1024"/>
      <c r="CU56" s="1024"/>
      <c r="CV56" s="1024"/>
      <c r="CX56" s="842">
        <f>SUM(CX48,CX51:CX55)</f>
        <v>-71.064999999999856</v>
      </c>
      <c r="CY56" s="1024"/>
      <c r="CZ56" s="1024"/>
      <c r="DA56" s="1024"/>
      <c r="DC56" s="842">
        <f>SUM(DC48,DC51:DC55)</f>
        <v>-163.11699999999993</v>
      </c>
      <c r="DD56" s="1024"/>
      <c r="DE56" s="1024"/>
      <c r="DF56" s="1024"/>
      <c r="DH56" s="842">
        <f>SUM(DH48,DH51:DH55)</f>
        <v>-406.57100000000071</v>
      </c>
      <c r="DI56" s="1024"/>
      <c r="DJ56" s="1024"/>
      <c r="DK56" s="1024"/>
      <c r="DM56" s="842">
        <f>SUM(DM48,DM51:DM55)</f>
        <v>-717.07099023924002</v>
      </c>
      <c r="DN56" s="1024"/>
      <c r="DO56" s="1024"/>
      <c r="DP56" s="1024"/>
      <c r="DR56" s="842">
        <f>SUM(DR48,DR51:DR55)</f>
        <v>194.66495283616291</v>
      </c>
      <c r="DS56" s="1024"/>
      <c r="DT56" s="1024"/>
      <c r="DU56" s="1024"/>
      <c r="DW56" s="842">
        <f>SUM(DW48,DW51:DW55)</f>
        <v>306.20782206565741</v>
      </c>
      <c r="DX56" s="1024"/>
      <c r="DY56" s="1024"/>
      <c r="DZ56" s="1024"/>
      <c r="EB56" s="842">
        <f>SUM(EB48,EB51:EB55)</f>
        <v>-234.11008634366317</v>
      </c>
    </row>
    <row r="57" spans="2:132">
      <c r="BR57" s="773"/>
    </row>
    <row r="58" spans="2:132">
      <c r="BR58" s="773"/>
    </row>
    <row r="59" spans="2:132">
      <c r="BY59" s="801"/>
      <c r="BZ59" s="801"/>
      <c r="CA59" s="801"/>
      <c r="CB59" s="801"/>
      <c r="CC59" s="801"/>
      <c r="CD59" s="801"/>
      <c r="CE59" s="801"/>
      <c r="CF59" s="801"/>
      <c r="CG59" s="801"/>
      <c r="CH59" s="801"/>
      <c r="CI59" s="801"/>
      <c r="CJ59" s="801"/>
      <c r="CK59" s="801"/>
      <c r="CL59" s="801"/>
      <c r="CM59" s="801"/>
      <c r="CN59" s="801"/>
      <c r="CO59" s="801"/>
      <c r="CP59" s="801"/>
      <c r="CQ59" s="801"/>
      <c r="CR59" s="801"/>
      <c r="CS59" s="801"/>
      <c r="CT59" s="801"/>
      <c r="CU59" s="801"/>
      <c r="CV59" s="801"/>
      <c r="CW59" s="801"/>
      <c r="CX59" s="801"/>
      <c r="CY59" s="801"/>
      <c r="CZ59" s="801"/>
      <c r="DA59" s="801"/>
      <c r="DB59" s="801"/>
      <c r="DC59" s="801"/>
      <c r="DD59" s="801"/>
      <c r="DE59" s="801"/>
      <c r="DF59" s="801"/>
      <c r="DG59" s="801"/>
      <c r="DH59" s="801"/>
      <c r="DI59" s="801"/>
      <c r="DJ59" s="801"/>
      <c r="DK59" s="801"/>
      <c r="DL59" s="801"/>
      <c r="DM59" s="801"/>
      <c r="DN59" s="801"/>
      <c r="DO59" s="801"/>
      <c r="DP59" s="801"/>
      <c r="DQ59" s="801"/>
      <c r="DR59" s="801"/>
      <c r="DS59" s="801"/>
      <c r="DT59" s="801"/>
      <c r="DU59" s="801"/>
      <c r="DV59" s="801"/>
      <c r="DW59" s="801"/>
      <c r="DX59" s="801"/>
      <c r="DY59" s="801"/>
      <c r="DZ59" s="801"/>
      <c r="EA59" s="801"/>
      <c r="EB59" s="801"/>
    </row>
    <row r="61" spans="2:132">
      <c r="S61" s="787"/>
    </row>
    <row r="63" spans="2:132">
      <c r="AH63" s="1025"/>
    </row>
    <row r="64" spans="2:132">
      <c r="AH64" s="1025"/>
    </row>
    <row r="65" spans="34:34">
      <c r="AH65" s="1025"/>
    </row>
    <row r="66" spans="34:34">
      <c r="AH66" s="1025"/>
    </row>
  </sheetData>
  <phoneticPr fontId="2" type="noConversion"/>
  <pageMargins left="0.5" right="0.5" top="0.5" bottom="0.5" header="0" footer="0"/>
  <pageSetup scale="7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JE254"/>
  <sheetViews>
    <sheetView zoomScale="85" zoomScaleNormal="85" workbookViewId="0">
      <pane xSplit="4" ySplit="5" topLeftCell="I6" activePane="bottomRight" state="frozen"/>
      <selection activeCell="CG20" sqref="CG20"/>
      <selection pane="topRight" activeCell="CG20" sqref="CG20"/>
      <selection pane="bottomLeft" activeCell="CG20" sqref="CG20"/>
      <selection pane="bottomRight" activeCell="I6" sqref="I6"/>
    </sheetView>
  </sheetViews>
  <sheetFormatPr defaultRowHeight="12.75" outlineLevelCol="1"/>
  <cols>
    <col min="1" max="2" width="2.7109375" customWidth="1"/>
    <col min="3" max="3" width="40.7109375" style="1204" customWidth="1"/>
    <col min="4" max="4" width="2.7109375" hidden="1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5" width="11.28515625" hidden="1" customWidth="1" outlineLevel="1"/>
    <col min="16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7" width="9" hidden="1" customWidth="1" outlineLevel="1"/>
    <col min="38" max="38" width="9.42578125" hidden="1" customWidth="1" outlineLevel="1"/>
    <col min="39" max="39" width="9" customWidth="1" collapsed="1"/>
    <col min="40" max="41" width="9" hidden="1" customWidth="1" outlineLevel="1"/>
    <col min="42" max="42" width="9.140625" hidden="1" customWidth="1" outlineLevel="1"/>
    <col min="43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84" max="84" width="90.28515625" hidden="1" customWidth="1" outlineLevel="1"/>
    <col min="85" max="90" width="9.140625" hidden="1" customWidth="1" outlineLevel="1"/>
    <col min="91" max="91" width="9.140625" collapsed="1"/>
    <col min="93" max="93" width="9.140625" collapsed="1"/>
  </cols>
  <sheetData>
    <row r="1" spans="1:265" ht="18">
      <c r="A1" s="9"/>
      <c r="B1" s="9"/>
      <c r="C1" s="1168"/>
      <c r="D1" s="46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5"/>
      <c r="AC1" s="114"/>
      <c r="AD1" s="114"/>
      <c r="AE1" s="114"/>
      <c r="AF1" s="114"/>
      <c r="AG1" s="115"/>
      <c r="AH1" s="114"/>
      <c r="AI1" s="114"/>
      <c r="AJ1" s="114"/>
      <c r="AK1" s="114"/>
      <c r="AL1" s="115"/>
      <c r="AM1" s="114"/>
      <c r="AN1" s="114"/>
      <c r="AO1" s="114"/>
      <c r="AP1" s="114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</row>
    <row r="2" spans="1:265" ht="18">
      <c r="A2" s="9"/>
      <c r="B2" s="733" t="str">
        <f>Cover!B2</f>
        <v>Entergy Corporation</v>
      </c>
      <c r="C2" s="1168"/>
      <c r="D2" s="46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5"/>
      <c r="AC2" s="114"/>
      <c r="AD2" s="114"/>
      <c r="AE2" s="114"/>
      <c r="AF2" s="114"/>
      <c r="AG2" s="115"/>
      <c r="AH2" s="114"/>
      <c r="AI2" s="114"/>
      <c r="AJ2" s="114"/>
      <c r="AK2" s="114"/>
      <c r="AL2" s="115"/>
      <c r="AM2" s="114"/>
      <c r="AN2" s="114"/>
      <c r="AO2" s="114"/>
      <c r="AP2" s="114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5"/>
      <c r="HL2" s="115"/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5"/>
      <c r="HX2" s="115"/>
      <c r="HY2" s="115"/>
      <c r="HZ2" s="115"/>
      <c r="IA2" s="115"/>
      <c r="IB2" s="115"/>
      <c r="IC2" s="115"/>
      <c r="ID2" s="115"/>
      <c r="IE2" s="115"/>
      <c r="IF2" s="115"/>
      <c r="IG2" s="115"/>
      <c r="IH2" s="115"/>
      <c r="II2" s="115"/>
      <c r="IJ2" s="115"/>
      <c r="IK2" s="115"/>
      <c r="IL2" s="115"/>
      <c r="IM2" s="115"/>
      <c r="IN2" s="115"/>
      <c r="IO2" s="115"/>
      <c r="IP2" s="115"/>
      <c r="IQ2" s="115"/>
      <c r="IR2" s="115"/>
      <c r="IS2" s="115"/>
      <c r="IT2" s="115"/>
      <c r="IU2" s="115"/>
      <c r="IV2" s="115"/>
      <c r="IW2" s="115"/>
      <c r="IX2" s="115"/>
      <c r="IY2" s="115"/>
      <c r="IZ2" s="115"/>
      <c r="JA2" s="115"/>
      <c r="JB2" s="115"/>
      <c r="JC2" s="115"/>
      <c r="JD2" s="115"/>
      <c r="JE2" s="115"/>
    </row>
    <row r="3" spans="1:265" ht="15.75">
      <c r="A3" s="46"/>
      <c r="B3" s="46" t="s">
        <v>320</v>
      </c>
      <c r="C3" s="1262"/>
      <c r="D3" s="46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14"/>
      <c r="AH3" s="114"/>
      <c r="AI3" s="114"/>
      <c r="AJ3" s="114"/>
      <c r="AK3" s="114"/>
      <c r="AL3" s="114"/>
      <c r="AM3" s="114"/>
      <c r="AN3" s="114"/>
      <c r="AO3" s="114"/>
      <c r="AP3" s="114"/>
      <c r="AQ3" s="114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15"/>
      <c r="BI3" s="115"/>
      <c r="BJ3" s="115"/>
      <c r="BK3" s="115"/>
      <c r="BL3" s="115"/>
      <c r="BM3" s="115"/>
      <c r="BN3" s="115"/>
      <c r="BO3" s="115"/>
      <c r="BP3" s="115"/>
      <c r="BQ3" s="115"/>
      <c r="BR3" s="115"/>
      <c r="BS3" s="115"/>
      <c r="BT3" s="115"/>
      <c r="BU3" s="115"/>
      <c r="BV3" s="115"/>
      <c r="BW3" s="115"/>
      <c r="BX3" s="115"/>
      <c r="BY3" s="115"/>
      <c r="BZ3" s="115"/>
      <c r="CA3" s="115"/>
      <c r="CB3" s="115"/>
      <c r="CC3" s="115"/>
      <c r="CD3" s="115"/>
      <c r="CE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  <c r="EA3" s="115"/>
      <c r="EB3" s="115"/>
      <c r="EC3" s="115"/>
      <c r="ED3" s="115"/>
      <c r="EE3" s="115"/>
      <c r="EF3" s="115"/>
      <c r="EG3" s="115"/>
      <c r="EH3" s="115"/>
      <c r="EI3" s="115"/>
      <c r="EJ3" s="115"/>
      <c r="EK3" s="115"/>
      <c r="EL3" s="115"/>
      <c r="EM3" s="115"/>
      <c r="EN3" s="115"/>
      <c r="EO3" s="115"/>
      <c r="EP3" s="115"/>
      <c r="EQ3" s="115"/>
      <c r="ER3" s="115"/>
      <c r="ES3" s="115"/>
      <c r="ET3" s="115"/>
      <c r="EU3" s="115"/>
      <c r="EV3" s="115"/>
      <c r="EW3" s="115"/>
      <c r="EX3" s="115"/>
      <c r="EY3" s="115"/>
      <c r="EZ3" s="115"/>
      <c r="FA3" s="115"/>
      <c r="FB3" s="115"/>
      <c r="FC3" s="115"/>
      <c r="FD3" s="115"/>
      <c r="FE3" s="115"/>
      <c r="FF3" s="115"/>
      <c r="FG3" s="115"/>
      <c r="FH3" s="115"/>
      <c r="FI3" s="115"/>
      <c r="FJ3" s="115"/>
      <c r="FK3" s="115"/>
      <c r="FL3" s="115"/>
      <c r="FM3" s="115"/>
      <c r="FN3" s="115"/>
      <c r="FO3" s="115"/>
      <c r="FP3" s="115"/>
      <c r="FQ3" s="115"/>
      <c r="FR3" s="115"/>
      <c r="FS3" s="115"/>
      <c r="FT3" s="115"/>
      <c r="FU3" s="115"/>
      <c r="FV3" s="115"/>
      <c r="FW3" s="115"/>
      <c r="FX3" s="115"/>
      <c r="FY3" s="115"/>
      <c r="FZ3" s="115"/>
      <c r="GA3" s="115"/>
      <c r="GB3" s="115"/>
      <c r="GC3" s="115"/>
      <c r="GD3" s="115"/>
      <c r="GE3" s="115"/>
      <c r="GF3" s="115"/>
      <c r="GG3" s="115"/>
      <c r="GH3" s="115"/>
      <c r="GI3" s="115"/>
      <c r="GJ3" s="115"/>
      <c r="GK3" s="115"/>
      <c r="GL3" s="115"/>
      <c r="GM3" s="115"/>
      <c r="GN3" s="115"/>
      <c r="GO3" s="115"/>
      <c r="GP3" s="115"/>
      <c r="GQ3" s="115"/>
      <c r="GR3" s="115"/>
      <c r="GS3" s="115"/>
      <c r="GT3" s="115"/>
      <c r="GU3" s="115"/>
      <c r="GV3" s="115"/>
      <c r="GW3" s="115"/>
      <c r="GX3" s="115"/>
      <c r="GY3" s="115"/>
      <c r="GZ3" s="115"/>
      <c r="HA3" s="115"/>
      <c r="HB3" s="115"/>
      <c r="HC3" s="115"/>
      <c r="HD3" s="115"/>
      <c r="HE3" s="115"/>
      <c r="HF3" s="115"/>
      <c r="HG3" s="115"/>
      <c r="HH3" s="115"/>
      <c r="HI3" s="115"/>
      <c r="HJ3" s="115"/>
      <c r="HK3" s="115"/>
      <c r="HL3" s="115"/>
      <c r="HM3" s="115"/>
      <c r="HN3" s="115"/>
      <c r="HO3" s="115"/>
      <c r="HP3" s="115"/>
      <c r="HQ3" s="115"/>
      <c r="HR3" s="115"/>
      <c r="HS3" s="115"/>
      <c r="HT3" s="115"/>
      <c r="HU3" s="115"/>
      <c r="HV3" s="115"/>
      <c r="HW3" s="115"/>
      <c r="HX3" s="115"/>
      <c r="HY3" s="115"/>
      <c r="HZ3" s="115"/>
      <c r="IA3" s="115"/>
      <c r="IB3" s="115"/>
      <c r="IC3" s="115"/>
      <c r="ID3" s="115"/>
      <c r="IE3" s="115"/>
      <c r="IF3" s="115"/>
      <c r="IG3" s="115"/>
      <c r="IH3" s="115"/>
      <c r="II3" s="115"/>
      <c r="IJ3" s="115"/>
      <c r="IK3" s="115"/>
      <c r="IL3" s="115"/>
      <c r="IM3" s="115"/>
      <c r="IN3" s="115"/>
      <c r="IO3" s="115"/>
      <c r="IP3" s="115"/>
      <c r="IQ3" s="115"/>
      <c r="IR3" s="115"/>
      <c r="IS3" s="115"/>
      <c r="IT3" s="115"/>
      <c r="IU3" s="115"/>
      <c r="IV3" s="115"/>
      <c r="IW3" s="115"/>
      <c r="IX3" s="115"/>
      <c r="IY3" s="115"/>
      <c r="IZ3" s="115"/>
      <c r="JA3" s="115"/>
      <c r="JB3" s="115"/>
      <c r="JC3" s="115"/>
      <c r="JD3" s="115"/>
      <c r="JE3" s="115"/>
    </row>
    <row r="4" spans="1:265">
      <c r="A4" s="29"/>
      <c r="B4" s="29" t="s">
        <v>321</v>
      </c>
      <c r="C4" s="1263"/>
      <c r="D4" s="117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376"/>
      <c r="AS4" s="376"/>
      <c r="AT4" s="376"/>
      <c r="AU4" s="376"/>
      <c r="AV4" s="376"/>
      <c r="AW4" s="376"/>
      <c r="AX4" s="376"/>
      <c r="AY4" s="376"/>
      <c r="AZ4" s="376"/>
      <c r="BA4" s="376"/>
      <c r="BB4" s="376"/>
      <c r="BC4" s="376"/>
      <c r="BD4" s="376"/>
      <c r="BE4" s="376"/>
      <c r="BF4" s="376"/>
      <c r="BG4" s="376"/>
      <c r="BH4" s="376"/>
      <c r="BI4" s="376"/>
      <c r="BJ4" s="376"/>
      <c r="BK4" s="376"/>
      <c r="BL4" s="376"/>
      <c r="BM4" s="376"/>
      <c r="BN4" s="376"/>
      <c r="BO4" s="376"/>
      <c r="BP4" s="376"/>
      <c r="BQ4" s="376"/>
      <c r="BR4" s="376"/>
      <c r="BS4" s="376"/>
      <c r="BT4" s="376"/>
      <c r="BU4" s="376"/>
      <c r="BV4" s="376"/>
      <c r="BW4" s="376"/>
      <c r="BX4" s="376"/>
      <c r="BY4" s="376"/>
      <c r="BZ4" s="376"/>
      <c r="CA4" s="376"/>
      <c r="CB4" s="376"/>
      <c r="CC4" s="376"/>
      <c r="CD4" s="376"/>
      <c r="CE4" s="376"/>
      <c r="CL4" s="376"/>
      <c r="CM4" s="376"/>
      <c r="CN4" s="376"/>
      <c r="CO4" s="376"/>
      <c r="CP4" s="376"/>
      <c r="CQ4" s="376"/>
      <c r="CR4" s="376"/>
      <c r="CS4" s="376"/>
      <c r="CT4" s="376"/>
      <c r="CU4" s="376"/>
      <c r="CV4" s="376"/>
      <c r="CW4" s="376"/>
      <c r="CX4" s="376"/>
      <c r="CY4" s="376"/>
      <c r="CZ4" s="376"/>
      <c r="DA4" s="376"/>
      <c r="DB4" s="376"/>
      <c r="DC4" s="376"/>
      <c r="DD4" s="376"/>
      <c r="DE4" s="376"/>
      <c r="DF4" s="376"/>
      <c r="DG4" s="376"/>
      <c r="DH4" s="376"/>
      <c r="DI4" s="376"/>
      <c r="DJ4" s="376"/>
      <c r="DK4" s="376"/>
      <c r="DL4" s="376"/>
      <c r="DM4" s="376"/>
      <c r="DN4" s="376"/>
      <c r="DO4" s="376"/>
      <c r="DP4" s="376"/>
      <c r="DQ4" s="376"/>
      <c r="DR4" s="376"/>
      <c r="DS4" s="376"/>
      <c r="DT4" s="376"/>
      <c r="DU4" s="376"/>
      <c r="DV4" s="376"/>
      <c r="DW4" s="376"/>
      <c r="DX4" s="376"/>
      <c r="DY4" s="376"/>
      <c r="DZ4" s="376"/>
      <c r="EA4" s="376"/>
      <c r="EB4" s="376"/>
      <c r="EC4" s="376"/>
      <c r="ED4" s="376"/>
      <c r="EE4" s="376"/>
      <c r="EF4" s="376"/>
      <c r="EG4" s="376"/>
      <c r="EH4" s="376"/>
      <c r="EI4" s="376"/>
      <c r="EJ4" s="376"/>
      <c r="EK4" s="376"/>
      <c r="EL4" s="376"/>
      <c r="EM4" s="376"/>
      <c r="EN4" s="376"/>
      <c r="EO4" s="376"/>
      <c r="EP4" s="376"/>
      <c r="EQ4" s="376"/>
      <c r="ER4" s="376"/>
      <c r="ES4" s="376"/>
      <c r="ET4" s="376"/>
      <c r="EU4" s="376"/>
      <c r="EV4" s="376"/>
      <c r="EW4" s="376"/>
      <c r="EX4" s="376"/>
      <c r="EY4" s="376"/>
      <c r="EZ4" s="376"/>
      <c r="FA4" s="376"/>
      <c r="FB4" s="376"/>
      <c r="FC4" s="376"/>
      <c r="FD4" s="376"/>
      <c r="FE4" s="376"/>
      <c r="FF4" s="376"/>
      <c r="FG4" s="376"/>
      <c r="FH4" s="376"/>
      <c r="FI4" s="376"/>
      <c r="FJ4" s="376"/>
      <c r="FK4" s="376"/>
      <c r="FL4" s="376"/>
      <c r="FM4" s="376"/>
      <c r="FN4" s="376"/>
      <c r="FO4" s="376"/>
      <c r="FP4" s="376"/>
      <c r="FQ4" s="376"/>
      <c r="FR4" s="376"/>
      <c r="FS4" s="376"/>
      <c r="FT4" s="376"/>
      <c r="FU4" s="376"/>
      <c r="FV4" s="376"/>
      <c r="FW4" s="376"/>
      <c r="FX4" s="376"/>
      <c r="FY4" s="376"/>
      <c r="FZ4" s="376"/>
      <c r="GA4" s="376"/>
      <c r="GB4" s="376"/>
      <c r="GC4" s="376"/>
      <c r="GD4" s="376"/>
      <c r="GE4" s="376"/>
      <c r="GF4" s="376"/>
      <c r="GG4" s="376"/>
      <c r="GH4" s="376"/>
      <c r="GI4" s="376"/>
      <c r="GJ4" s="376"/>
      <c r="GK4" s="376"/>
      <c r="GL4" s="376"/>
      <c r="GM4" s="376"/>
      <c r="GN4" s="376"/>
      <c r="GO4" s="376"/>
      <c r="GP4" s="376"/>
      <c r="GQ4" s="376"/>
      <c r="GR4" s="376"/>
      <c r="GS4" s="376"/>
      <c r="GT4" s="376"/>
      <c r="GU4" s="376"/>
      <c r="GV4" s="376"/>
      <c r="GW4" s="376"/>
      <c r="GX4" s="376"/>
      <c r="GY4" s="376"/>
      <c r="GZ4" s="376"/>
      <c r="HA4" s="376"/>
      <c r="HB4" s="376"/>
      <c r="HC4" s="376"/>
      <c r="HD4" s="376"/>
      <c r="HE4" s="376"/>
      <c r="HF4" s="376"/>
      <c r="HG4" s="376"/>
      <c r="HH4" s="376"/>
      <c r="HI4" s="376"/>
      <c r="HJ4" s="376"/>
      <c r="HK4" s="376"/>
      <c r="HL4" s="376"/>
      <c r="HM4" s="376"/>
      <c r="HN4" s="376"/>
      <c r="HO4" s="376"/>
      <c r="HP4" s="376"/>
      <c r="HQ4" s="376"/>
      <c r="HR4" s="376"/>
      <c r="HS4" s="376"/>
      <c r="HT4" s="376"/>
      <c r="HU4" s="376"/>
      <c r="HV4" s="376"/>
      <c r="HW4" s="376"/>
      <c r="HX4" s="376"/>
      <c r="HY4" s="376"/>
      <c r="HZ4" s="376"/>
      <c r="IA4" s="376"/>
      <c r="IB4" s="376"/>
      <c r="IC4" s="376"/>
      <c r="ID4" s="376"/>
      <c r="IE4" s="376"/>
      <c r="IF4" s="376"/>
      <c r="IG4" s="376"/>
      <c r="IH4" s="376"/>
      <c r="II4" s="376"/>
      <c r="IJ4" s="376"/>
      <c r="IK4" s="376"/>
      <c r="IL4" s="376"/>
      <c r="IM4" s="376"/>
      <c r="IN4" s="376"/>
      <c r="IO4" s="376"/>
      <c r="IP4" s="376"/>
      <c r="IQ4" s="376"/>
      <c r="IR4" s="376"/>
      <c r="IS4" s="376"/>
      <c r="IT4" s="376"/>
      <c r="IU4" s="376"/>
      <c r="IV4" s="376"/>
      <c r="IW4" s="376"/>
      <c r="IX4" s="376"/>
      <c r="IY4" s="376"/>
      <c r="IZ4" s="376"/>
      <c r="JA4" s="376"/>
      <c r="JB4" s="376"/>
      <c r="JC4" s="376"/>
      <c r="JD4" s="376"/>
      <c r="JE4" s="376"/>
    </row>
    <row r="5" spans="1:265">
      <c r="A5" s="130"/>
      <c r="B5" s="131" t="s">
        <v>121</v>
      </c>
      <c r="C5" s="1171"/>
      <c r="D5" s="132"/>
      <c r="E5" s="395" t="s">
        <v>672</v>
      </c>
      <c r="F5" s="396" t="s">
        <v>673</v>
      </c>
      <c r="G5" s="396" t="s">
        <v>666</v>
      </c>
      <c r="H5" s="397" t="s">
        <v>667</v>
      </c>
      <c r="I5" s="398">
        <v>2009</v>
      </c>
      <c r="J5" s="395" t="s">
        <v>668</v>
      </c>
      <c r="K5" s="396" t="s">
        <v>669</v>
      </c>
      <c r="L5" s="396" t="s">
        <v>670</v>
      </c>
      <c r="M5" s="397" t="s">
        <v>671</v>
      </c>
      <c r="N5" s="398" t="s">
        <v>653</v>
      </c>
      <c r="O5" s="395" t="s">
        <v>656</v>
      </c>
      <c r="P5" s="396" t="s">
        <v>657</v>
      </c>
      <c r="Q5" s="396" t="s">
        <v>658</v>
      </c>
      <c r="R5" s="397" t="s">
        <v>659</v>
      </c>
      <c r="S5" s="399" t="s">
        <v>677</v>
      </c>
      <c r="T5" s="395" t="s">
        <v>150</v>
      </c>
      <c r="U5" s="396" t="s">
        <v>797</v>
      </c>
      <c r="V5" s="396" t="s">
        <v>108</v>
      </c>
      <c r="W5" s="397" t="s">
        <v>109</v>
      </c>
      <c r="X5" s="399" t="s">
        <v>110</v>
      </c>
      <c r="Y5" s="395" t="s">
        <v>723</v>
      </c>
      <c r="Z5" s="396" t="s">
        <v>428</v>
      </c>
      <c r="AA5" s="396" t="s">
        <v>426</v>
      </c>
      <c r="AB5" s="397" t="s">
        <v>800</v>
      </c>
      <c r="AC5" s="399" t="s">
        <v>799</v>
      </c>
      <c r="AD5" s="395" t="s">
        <v>801</v>
      </c>
      <c r="AE5" s="396" t="s">
        <v>278</v>
      </c>
      <c r="AF5" s="396" t="s">
        <v>891</v>
      </c>
      <c r="AG5" s="397" t="s">
        <v>892</v>
      </c>
      <c r="AH5" s="399" t="s">
        <v>893</v>
      </c>
      <c r="AI5" s="395" t="s">
        <v>928</v>
      </c>
      <c r="AJ5" s="396" t="s">
        <v>929</v>
      </c>
      <c r="AK5" s="396" t="s">
        <v>930</v>
      </c>
      <c r="AL5" s="397" t="s">
        <v>949</v>
      </c>
      <c r="AM5" s="399" t="s">
        <v>948</v>
      </c>
      <c r="AN5" s="395" t="s">
        <v>952</v>
      </c>
      <c r="AO5" s="396" t="s">
        <v>962</v>
      </c>
      <c r="AP5" s="396" t="s">
        <v>987</v>
      </c>
      <c r="AQ5" s="397" t="s">
        <v>1010</v>
      </c>
      <c r="AR5" s="399" t="s">
        <v>1009</v>
      </c>
      <c r="AS5" s="395" t="s">
        <v>1022</v>
      </c>
      <c r="AT5" s="396" t="s">
        <v>1023</v>
      </c>
      <c r="AU5" s="396" t="s">
        <v>1032</v>
      </c>
      <c r="AV5" s="397" t="s">
        <v>1037</v>
      </c>
      <c r="AW5" s="399" t="s">
        <v>1038</v>
      </c>
      <c r="AX5" s="395" t="s">
        <v>279</v>
      </c>
      <c r="AY5" s="396" t="s">
        <v>280</v>
      </c>
      <c r="AZ5" s="396" t="s">
        <v>281</v>
      </c>
      <c r="BA5" s="397" t="s">
        <v>282</v>
      </c>
      <c r="BB5" s="399" t="s">
        <v>136</v>
      </c>
      <c r="BC5" s="395" t="s">
        <v>909</v>
      </c>
      <c r="BD5" s="396" t="s">
        <v>910</v>
      </c>
      <c r="BE5" s="396" t="s">
        <v>911</v>
      </c>
      <c r="BF5" s="397" t="s">
        <v>912</v>
      </c>
      <c r="BG5" s="399" t="s">
        <v>913</v>
      </c>
      <c r="BH5" s="395" t="s">
        <v>904</v>
      </c>
      <c r="BI5" s="396" t="s">
        <v>905</v>
      </c>
      <c r="BJ5" s="396" t="s">
        <v>906</v>
      </c>
      <c r="BK5" s="397" t="s">
        <v>907</v>
      </c>
      <c r="BL5" s="399" t="s">
        <v>908</v>
      </c>
      <c r="BM5" s="395" t="s">
        <v>988</v>
      </c>
      <c r="BN5" s="396" t="s">
        <v>989</v>
      </c>
      <c r="BO5" s="396" t="s">
        <v>990</v>
      </c>
      <c r="BP5" s="397" t="s">
        <v>991</v>
      </c>
      <c r="BQ5" s="399" t="s">
        <v>992</v>
      </c>
      <c r="BR5" s="399"/>
      <c r="BS5" s="399"/>
      <c r="BT5" s="399"/>
      <c r="BU5" s="399"/>
      <c r="BV5" s="399"/>
      <c r="BW5" s="399"/>
      <c r="BX5" s="399"/>
      <c r="BY5" s="399"/>
      <c r="BZ5" s="399"/>
      <c r="CA5" s="399"/>
      <c r="CB5" s="399"/>
      <c r="CC5" s="399"/>
      <c r="CD5" s="399"/>
      <c r="CE5" s="399"/>
      <c r="CL5" s="399"/>
      <c r="CM5" s="399"/>
      <c r="CN5" s="399"/>
      <c r="CO5" s="399"/>
      <c r="CP5" s="399"/>
      <c r="CQ5" s="399"/>
      <c r="CR5" s="399"/>
      <c r="CS5" s="399"/>
      <c r="CT5" s="399"/>
      <c r="CU5" s="399"/>
      <c r="CV5" s="399"/>
      <c r="CW5" s="399"/>
      <c r="CX5" s="399"/>
      <c r="CY5" s="399"/>
      <c r="CZ5" s="399"/>
      <c r="DA5" s="399"/>
      <c r="DB5" s="399"/>
      <c r="DC5" s="399"/>
      <c r="DD5" s="399"/>
      <c r="DE5" s="399"/>
      <c r="DF5" s="399"/>
      <c r="DG5" s="399"/>
      <c r="DH5" s="399"/>
      <c r="DI5" s="399"/>
      <c r="DJ5" s="399"/>
      <c r="DK5" s="399"/>
      <c r="DL5" s="399"/>
      <c r="DM5" s="399"/>
      <c r="DN5" s="399"/>
      <c r="DO5" s="399"/>
      <c r="DP5" s="399"/>
      <c r="DQ5" s="399"/>
      <c r="DR5" s="399"/>
      <c r="DS5" s="399"/>
      <c r="DT5" s="399"/>
      <c r="DU5" s="399"/>
      <c r="DV5" s="399"/>
      <c r="DW5" s="399"/>
      <c r="DX5" s="399"/>
      <c r="DY5" s="399"/>
      <c r="DZ5" s="399"/>
      <c r="EA5" s="399"/>
      <c r="EB5" s="399"/>
      <c r="EC5" s="399"/>
      <c r="ED5" s="399"/>
      <c r="EE5" s="399"/>
      <c r="EF5" s="399"/>
      <c r="EG5" s="399"/>
      <c r="EH5" s="399"/>
      <c r="EI5" s="399"/>
      <c r="EJ5" s="399"/>
      <c r="EK5" s="399"/>
      <c r="EL5" s="399"/>
      <c r="EM5" s="399"/>
      <c r="EN5" s="399"/>
      <c r="EO5" s="399"/>
      <c r="EP5" s="399"/>
      <c r="EQ5" s="399"/>
      <c r="ER5" s="399"/>
      <c r="ES5" s="399"/>
      <c r="ET5" s="399"/>
      <c r="EU5" s="399"/>
      <c r="EV5" s="399"/>
      <c r="EW5" s="399"/>
      <c r="EX5" s="399"/>
      <c r="EY5" s="399"/>
      <c r="EZ5" s="399"/>
      <c r="FA5" s="399"/>
      <c r="FB5" s="399"/>
      <c r="FC5" s="399"/>
      <c r="FD5" s="399"/>
      <c r="FE5" s="399"/>
      <c r="FF5" s="399"/>
      <c r="FG5" s="399"/>
      <c r="FH5" s="399"/>
      <c r="FI5" s="399"/>
      <c r="FJ5" s="399"/>
      <c r="FK5" s="399"/>
      <c r="FL5" s="399"/>
      <c r="FM5" s="399"/>
      <c r="FN5" s="399"/>
      <c r="FO5" s="399"/>
      <c r="FP5" s="399"/>
      <c r="FQ5" s="399"/>
      <c r="FR5" s="399"/>
      <c r="FS5" s="399"/>
      <c r="FT5" s="399"/>
      <c r="FU5" s="399"/>
      <c r="FV5" s="399"/>
      <c r="FW5" s="399"/>
      <c r="FX5" s="399"/>
      <c r="FY5" s="399"/>
      <c r="FZ5" s="399"/>
      <c r="GA5" s="399"/>
      <c r="GB5" s="399"/>
      <c r="GC5" s="399"/>
      <c r="GD5" s="399"/>
      <c r="GE5" s="399"/>
      <c r="GF5" s="399"/>
      <c r="GG5" s="399"/>
      <c r="GH5" s="399"/>
      <c r="GI5" s="399"/>
      <c r="GJ5" s="399"/>
      <c r="GK5" s="399"/>
      <c r="GL5" s="399"/>
      <c r="GM5" s="399"/>
    </row>
    <row r="6" spans="1:265">
      <c r="A6" s="233"/>
      <c r="B6" s="233"/>
      <c r="C6" s="1264"/>
      <c r="D6" s="233"/>
      <c r="E6" s="234"/>
      <c r="F6" s="235"/>
      <c r="G6" s="235"/>
      <c r="H6" s="236"/>
      <c r="I6" s="233"/>
      <c r="J6" s="165"/>
      <c r="K6" s="166"/>
      <c r="L6" s="166"/>
      <c r="M6" s="167"/>
      <c r="N6" s="233"/>
      <c r="O6" s="165"/>
      <c r="P6" s="166"/>
      <c r="Q6" s="166"/>
      <c r="R6" s="167"/>
      <c r="S6" s="233"/>
      <c r="T6" s="165"/>
      <c r="U6" s="166"/>
      <c r="V6" s="166"/>
      <c r="W6" s="167"/>
      <c r="X6" s="233"/>
      <c r="Y6" s="165"/>
      <c r="Z6" s="166"/>
      <c r="AA6" s="166"/>
      <c r="AB6" s="167"/>
      <c r="AC6" s="233"/>
      <c r="AD6" s="165"/>
      <c r="AE6" s="166"/>
      <c r="AF6" s="166"/>
      <c r="AG6" s="167"/>
      <c r="AH6" s="233"/>
      <c r="AI6" s="165"/>
      <c r="AJ6" s="166"/>
      <c r="AK6" s="166"/>
      <c r="AL6" s="167"/>
      <c r="AM6" s="233"/>
      <c r="AN6" s="165"/>
      <c r="AO6" s="166"/>
      <c r="AP6" s="166"/>
      <c r="AQ6" s="167"/>
      <c r="AR6" s="233"/>
      <c r="AS6" s="165"/>
      <c r="AT6" s="166"/>
      <c r="AU6" s="166"/>
      <c r="AV6" s="167"/>
      <c r="AW6" s="233"/>
      <c r="AX6" s="165"/>
      <c r="AY6" s="166"/>
      <c r="AZ6" s="166"/>
      <c r="BA6" s="167"/>
      <c r="BB6" s="233"/>
      <c r="BC6" s="165"/>
      <c r="BD6" s="166"/>
      <c r="BE6" s="166"/>
      <c r="BF6" s="167"/>
      <c r="BG6" s="233"/>
      <c r="BH6" s="165"/>
      <c r="BI6" s="166"/>
      <c r="BJ6" s="166"/>
      <c r="BK6" s="167"/>
      <c r="BL6" s="233"/>
      <c r="BM6" s="165"/>
      <c r="BN6" s="166"/>
      <c r="BO6" s="166"/>
      <c r="BP6" s="167"/>
      <c r="BQ6" s="233"/>
      <c r="BR6" s="233"/>
      <c r="BS6" s="233"/>
      <c r="BT6" s="233"/>
      <c r="BU6" s="233"/>
      <c r="BV6" s="233"/>
      <c r="BW6" s="233"/>
      <c r="BX6" s="233"/>
      <c r="BY6" s="233"/>
      <c r="BZ6" s="233"/>
      <c r="CA6" s="233"/>
      <c r="CB6" s="233"/>
      <c r="CC6" s="233"/>
      <c r="CD6" s="233"/>
      <c r="CE6" s="233"/>
    </row>
    <row r="7" spans="1:265">
      <c r="A7" s="233"/>
      <c r="B7" s="350" t="s">
        <v>6</v>
      </c>
      <c r="C7" s="1265"/>
      <c r="D7" s="102"/>
      <c r="E7" s="237"/>
      <c r="F7" s="238"/>
      <c r="G7" s="238"/>
      <c r="H7" s="239"/>
      <c r="I7" s="382"/>
      <c r="J7" s="237"/>
      <c r="K7" s="238"/>
      <c r="L7" s="238"/>
      <c r="M7" s="239"/>
      <c r="N7" s="233"/>
      <c r="O7" s="237"/>
      <c r="P7" s="238"/>
      <c r="Q7" s="238"/>
      <c r="R7" s="239"/>
      <c r="S7" s="233"/>
      <c r="T7" s="237"/>
      <c r="U7" s="238"/>
      <c r="V7" s="238"/>
      <c r="W7" s="239"/>
      <c r="X7" s="233"/>
      <c r="Y7" s="237"/>
      <c r="Z7" s="238"/>
      <c r="AA7" s="238"/>
      <c r="AB7" s="239"/>
      <c r="AC7" s="233"/>
      <c r="AD7" s="237"/>
      <c r="AE7" s="238"/>
      <c r="AF7" s="238"/>
      <c r="AG7" s="239"/>
      <c r="AH7" s="233"/>
      <c r="AI7" s="237"/>
      <c r="AJ7" s="238"/>
      <c r="AK7" s="238"/>
      <c r="AL7" s="239"/>
      <c r="AM7" s="233"/>
      <c r="AN7" s="237"/>
      <c r="AO7" s="238"/>
      <c r="AP7" s="238"/>
      <c r="AQ7" s="239"/>
      <c r="AR7" s="233"/>
      <c r="AS7" s="237"/>
      <c r="AT7" s="178"/>
      <c r="AU7" s="238"/>
      <c r="AV7" s="239"/>
      <c r="AW7" s="233"/>
      <c r="AX7" s="237"/>
      <c r="AY7" s="238"/>
      <c r="AZ7" s="238"/>
      <c r="BA7" s="239"/>
      <c r="BB7" s="233"/>
      <c r="BC7" s="237"/>
      <c r="BD7" s="238"/>
      <c r="BE7" s="238"/>
      <c r="BF7" s="239"/>
      <c r="BG7" s="233"/>
      <c r="BH7" s="237"/>
      <c r="BI7" s="238"/>
      <c r="BJ7" s="238"/>
      <c r="BK7" s="239"/>
      <c r="BL7" s="233"/>
      <c r="BM7" s="237"/>
      <c r="BN7" s="238"/>
      <c r="BO7" s="238"/>
      <c r="BP7" s="239"/>
      <c r="BQ7" s="233"/>
      <c r="BR7" s="233"/>
      <c r="BS7" s="233"/>
      <c r="BT7" s="233"/>
      <c r="BU7" s="233"/>
      <c r="BV7" s="233"/>
      <c r="BW7" s="233"/>
      <c r="BX7" s="233"/>
      <c r="BY7" s="233"/>
      <c r="BZ7" s="233"/>
      <c r="CA7" s="233"/>
      <c r="CB7" s="233"/>
      <c r="CC7" s="233"/>
      <c r="CD7" s="233"/>
      <c r="CE7" s="233"/>
    </row>
    <row r="8" spans="1:265" s="103" customFormat="1">
      <c r="A8" s="331"/>
      <c r="B8" s="331"/>
      <c r="C8" s="1174" t="s">
        <v>310</v>
      </c>
      <c r="D8" s="331"/>
      <c r="E8" s="428">
        <v>2789.1120000000001</v>
      </c>
      <c r="F8" s="428">
        <v>2520.7890000000002</v>
      </c>
      <c r="G8" s="428">
        <v>2937.0949999999998</v>
      </c>
      <c r="H8" s="179">
        <f>I8-SUM(E8:G8)</f>
        <v>2498.6540000000005</v>
      </c>
      <c r="I8" s="1261">
        <v>10745.65</v>
      </c>
      <c r="J8" s="427">
        <v>2759.3470000000002</v>
      </c>
      <c r="K8" s="428">
        <v>2862.95</v>
      </c>
      <c r="L8" s="428">
        <v>3332.1759999999999</v>
      </c>
      <c r="M8" s="179">
        <f>N8-SUM(J8:L8)</f>
        <v>2533.1039999999994</v>
      </c>
      <c r="N8" s="495">
        <v>11487.576999999999</v>
      </c>
      <c r="O8" s="427">
        <v>2541.2080000000001</v>
      </c>
      <c r="P8" s="428">
        <v>2803.279</v>
      </c>
      <c r="Q8" s="428">
        <v>3395.5529999999999</v>
      </c>
      <c r="R8" s="179">
        <f>S8-SUM(O8:Q8)</f>
        <v>2489.0329999999994</v>
      </c>
      <c r="S8" s="495">
        <v>11229.073</v>
      </c>
      <c r="T8" s="427">
        <v>2383.6590000000001</v>
      </c>
      <c r="U8" s="428">
        <v>2518.6</v>
      </c>
      <c r="V8" s="428">
        <v>2963.56</v>
      </c>
      <c r="W8" s="179">
        <f>X8-SUM(T8:V8)</f>
        <v>2436.2600000000002</v>
      </c>
      <c r="X8" s="495">
        <v>10302.079</v>
      </c>
      <c r="Y8" s="427">
        <v>2608.8739999999998</v>
      </c>
      <c r="Z8" s="428">
        <v>2738.2080000000001</v>
      </c>
      <c r="AA8" s="428">
        <v>3351.9589999999998</v>
      </c>
      <c r="AB8" s="193">
        <f>AC8-SUM(Y8:AA8)</f>
        <v>2691.905999999999</v>
      </c>
      <c r="AC8" s="495">
        <v>11390.947</v>
      </c>
      <c r="AD8" s="427">
        <v>3208.8429999999998</v>
      </c>
      <c r="AE8" s="428">
        <v>2996.65</v>
      </c>
      <c r="AF8" s="428">
        <v>3458.11</v>
      </c>
      <c r="AG8" s="193">
        <f>AH8-SUM(AD8:AF8)</f>
        <v>2831.3179999999993</v>
      </c>
      <c r="AH8" s="495">
        <v>12494.921</v>
      </c>
      <c r="AI8" s="427">
        <v>2920.09</v>
      </c>
      <c r="AJ8" s="428">
        <v>2713.2310000000002</v>
      </c>
      <c r="AK8" s="428">
        <v>3371.4059999999999</v>
      </c>
      <c r="AL8" s="193">
        <f>AM8-SUM(AI8:AK8)</f>
        <v>2508.5240000000013</v>
      </c>
      <c r="AM8" s="495">
        <v>11513.251</v>
      </c>
      <c r="AN8" s="427">
        <v>2609.8519999999999</v>
      </c>
      <c r="AO8" s="428">
        <v>2462.5619999999999</v>
      </c>
      <c r="AP8" s="428">
        <v>3124.703</v>
      </c>
      <c r="AQ8" s="193">
        <f>AR8-SUM(AN8:AP8)</f>
        <v>2648.5280000000002</v>
      </c>
      <c r="AR8" s="495">
        <v>10845.645</v>
      </c>
      <c r="AS8" s="427">
        <v>2588.4580000000001</v>
      </c>
      <c r="AT8" s="428">
        <v>2618.5500000000002</v>
      </c>
      <c r="AU8" s="428">
        <v>3243.6280000000002</v>
      </c>
      <c r="AV8" s="193">
        <f>AW8-SUM(AS8:AU8)</f>
        <v>2623.8449999999993</v>
      </c>
      <c r="AW8" s="495">
        <v>11074.481</v>
      </c>
      <c r="AX8" s="177">
        <f>Utility!AX11+EWC!AX9</f>
        <v>2446.8852376928317</v>
      </c>
      <c r="AY8" s="178">
        <f>Utility!AY11+EWC!AY9</f>
        <v>2691.3582527442281</v>
      </c>
      <c r="AZ8" s="178">
        <f>Utility!AZ11+EWC!AZ9</f>
        <v>3303.6841604170249</v>
      </c>
      <c r="BA8" s="179">
        <f>Utility!BA11+EWC!BA9</f>
        <v>2580.3674857230844</v>
      </c>
      <c r="BB8" s="44">
        <f>SUM(AX8:BA8)</f>
        <v>11022.29513657717</v>
      </c>
      <c r="BC8" s="177">
        <f>Utility!BC11+EWC!BC9</f>
        <v>2567.8645996639311</v>
      </c>
      <c r="BD8" s="178">
        <f>Utility!BD11+EWC!BD9</f>
        <v>2746.2023073819582</v>
      </c>
      <c r="BE8" s="178">
        <f>Utility!BE11+EWC!BE9</f>
        <v>3319.7169106444298</v>
      </c>
      <c r="BF8" s="179">
        <f>Utility!BF11+EWC!BF9</f>
        <v>2579.4935484003404</v>
      </c>
      <c r="BG8" s="44">
        <f>SUM(BC8:BF8)</f>
        <v>11213.277366090661</v>
      </c>
      <c r="BH8" s="177">
        <f>Utility!BH11+EWC!BH9</f>
        <v>2677.291260044999</v>
      </c>
      <c r="BI8" s="178">
        <f>Utility!BI11+EWC!BI9</f>
        <v>2743.902619622299</v>
      </c>
      <c r="BJ8" s="178">
        <f>Utility!BJ11+EWC!BJ9</f>
        <v>3316.5131212147421</v>
      </c>
      <c r="BK8" s="179">
        <f>Utility!BK11+EWC!BK9</f>
        <v>2580.8916973567234</v>
      </c>
      <c r="BL8" s="44">
        <f>SUM(BH8:BK8)</f>
        <v>11318.598698238764</v>
      </c>
      <c r="BM8" s="177">
        <f>Utility!BM11+EWC!BM9</f>
        <v>2560.940288542648</v>
      </c>
      <c r="BN8" s="178">
        <f>Utility!BN11+EWC!BN9</f>
        <v>2770.0078523465745</v>
      </c>
      <c r="BO8" s="178">
        <f>Utility!BO11+EWC!BO9</f>
        <v>3333.0107981705264</v>
      </c>
      <c r="BP8" s="179">
        <f>Utility!BP11+EWC!BP9</f>
        <v>2612.5023228851674</v>
      </c>
      <c r="BQ8" s="44">
        <f>SUM(BM8:BP8)</f>
        <v>11276.461261944916</v>
      </c>
      <c r="BR8" s="331"/>
      <c r="BS8" s="331"/>
      <c r="BT8" s="331"/>
      <c r="BU8" s="331"/>
      <c r="BV8" s="331"/>
      <c r="BW8" s="331"/>
      <c r="BX8" s="331"/>
      <c r="BY8" s="331"/>
      <c r="BZ8" s="331"/>
      <c r="CA8" s="331"/>
      <c r="CB8" s="331"/>
      <c r="CC8" s="331"/>
      <c r="CD8" s="331"/>
      <c r="CE8" s="331"/>
      <c r="CF8"/>
      <c r="CG8"/>
      <c r="CH8"/>
      <c r="CI8"/>
      <c r="CJ8"/>
      <c r="CK8"/>
    </row>
    <row r="9" spans="1:265" s="103" customFormat="1">
      <c r="A9" s="331"/>
      <c r="B9" s="331"/>
      <c r="C9" s="1174" t="s">
        <v>842</v>
      </c>
      <c r="D9" s="331"/>
      <c r="E9" s="428">
        <v>1169.587</v>
      </c>
      <c r="F9" s="428">
        <v>843.99</v>
      </c>
      <c r="G9" s="428">
        <v>947.43700000000001</v>
      </c>
      <c r="H9" s="1260">
        <f>I9-SUM(E9:G9)</f>
        <v>744.02</v>
      </c>
      <c r="I9" s="1261">
        <v>3705.0340000000001</v>
      </c>
      <c r="J9" s="427">
        <v>1033.5709999999999</v>
      </c>
      <c r="K9" s="428">
        <v>1048.0940000000001</v>
      </c>
      <c r="L9" s="428">
        <v>1233.557</v>
      </c>
      <c r="M9" s="1260">
        <f>N9-SUM(J9:L9)</f>
        <v>862.77599999999984</v>
      </c>
      <c r="N9" s="495">
        <v>4177.9979999999996</v>
      </c>
      <c r="O9" s="427">
        <v>870.31099999999992</v>
      </c>
      <c r="P9" s="428">
        <v>1014.559</v>
      </c>
      <c r="Q9" s="428">
        <v>1325.317</v>
      </c>
      <c r="R9" s="1260">
        <f>S9-SUM(O9:Q9)</f>
        <v>847.49400000000014</v>
      </c>
      <c r="S9" s="495">
        <v>4057.681</v>
      </c>
      <c r="T9" s="427">
        <v>823.803</v>
      </c>
      <c r="U9" s="428">
        <v>782.45500000000004</v>
      </c>
      <c r="V9" s="428">
        <v>932.822</v>
      </c>
      <c r="W9" s="1260">
        <f>X9-SUM(T9:V9)</f>
        <v>753.55500000000029</v>
      </c>
      <c r="X9" s="495">
        <v>3292.6350000000002</v>
      </c>
      <c r="Y9" s="427">
        <f>510.333+373.129</f>
        <v>883.46199999999999</v>
      </c>
      <c r="Z9" s="428">
        <f>489.608+485.744</f>
        <v>975.35200000000009</v>
      </c>
      <c r="AA9" s="428">
        <f>818.254+392.545</f>
        <v>1210.799</v>
      </c>
      <c r="AB9" s="193">
        <f>AC9-SUM(Y9:AA9)</f>
        <v>930.53700000000026</v>
      </c>
      <c r="AC9" s="495">
        <f>2445.818+1554.332</f>
        <v>4000.1500000000005</v>
      </c>
      <c r="AD9" s="427">
        <f>543.829+574.627</f>
        <v>1118.4559999999999</v>
      </c>
      <c r="AE9" s="428">
        <f>604.081+517.898</f>
        <v>1121.979</v>
      </c>
      <c r="AF9" s="428">
        <f>858.901+465.106</f>
        <v>1324.0070000000001</v>
      </c>
      <c r="AG9" s="193">
        <f>AH9-SUM(AD9:AF9)</f>
        <v>983.52999999999975</v>
      </c>
      <c r="AH9" s="495">
        <f>2632.558+1915.414</f>
        <v>4547.9719999999998</v>
      </c>
      <c r="AI9" s="427">
        <f>630.453+342.023</f>
        <v>972.476</v>
      </c>
      <c r="AJ9" s="428">
        <f>549.702+322.929</f>
        <v>872.63099999999997</v>
      </c>
      <c r="AK9" s="428">
        <f>739.449+449.784</f>
        <v>1189.2329999999999</v>
      </c>
      <c r="AL9" s="193">
        <f>AM9-SUM(AI9:AK9)</f>
        <v>808.63599999999951</v>
      </c>
      <c r="AM9" s="495">
        <f>2452.171+1390.805</f>
        <v>3842.9759999999997</v>
      </c>
      <c r="AN9" s="427">
        <f>504.967+262.323</f>
        <v>767.29</v>
      </c>
      <c r="AO9" s="428">
        <f>381.465+242.672</f>
        <v>624.13699999999994</v>
      </c>
      <c r="AP9" s="428">
        <f>460.99+375.107</f>
        <v>836.09699999999998</v>
      </c>
      <c r="AQ9" s="193">
        <f>AR9-SUM(AN9:AP9)</f>
        <v>802.20299999999997</v>
      </c>
      <c r="AR9" s="495">
        <f>1809.2+1220.527</f>
        <v>3029.7269999999999</v>
      </c>
      <c r="AS9" s="427">
        <f>417.566+357.768</f>
        <v>775.33399999999995</v>
      </c>
      <c r="AT9" s="428">
        <f>395.947+416.497</f>
        <v>812.44399999999996</v>
      </c>
      <c r="AU9" s="428">
        <f>612.95+408.14</f>
        <v>1021.09</v>
      </c>
      <c r="AV9" s="193">
        <f>AW9-SUM(AS9:AU9)</f>
        <v>810.67099999999982</v>
      </c>
      <c r="AW9" s="495">
        <f>1991.589+1427.95</f>
        <v>3419.5389999999998</v>
      </c>
      <c r="AX9" s="177">
        <f>Utility!AX15+EWC!AX10+Parent!AX10</f>
        <v>760.79905089406225</v>
      </c>
      <c r="AY9" s="178">
        <f>Utility!AY15+EWC!AY10+Parent!AY10</f>
        <v>771.25446090460002</v>
      </c>
      <c r="AZ9" s="178">
        <f>Utility!AZ15+EWC!AZ10+Parent!AZ10</f>
        <v>1047.287333773</v>
      </c>
      <c r="BA9" s="179">
        <f>Utility!BA15+EWC!BA10+Parent!BA10</f>
        <v>784.57745413699968</v>
      </c>
      <c r="BB9" s="44">
        <f>SUM(AX9:BA9)</f>
        <v>3363.9182997086623</v>
      </c>
      <c r="BC9" s="177">
        <f>Utility!BC15+EWC!BC10+Parent!BC10</f>
        <v>769.5048893461676</v>
      </c>
      <c r="BD9" s="178">
        <f>Utility!BD15+EWC!BD10+Parent!BD10</f>
        <v>780.36959600315095</v>
      </c>
      <c r="BE9" s="178">
        <f>Utility!BE15+EWC!BE10+Parent!BE10</f>
        <v>1056.5861772566839</v>
      </c>
      <c r="BF9" s="179">
        <f>Utility!BF15+EWC!BF10+Parent!BF10</f>
        <v>786.00741111944217</v>
      </c>
      <c r="BG9" s="44">
        <f>SUM(BC9:BF9)</f>
        <v>3392.4680737254444</v>
      </c>
      <c r="BH9" s="177">
        <f>Utility!BH15+EWC!BH10+Parent!BH10</f>
        <v>773.17073061058659</v>
      </c>
      <c r="BI9" s="178">
        <f>Utility!BI15+EWC!BI10+Parent!BI10</f>
        <v>781.51820697290941</v>
      </c>
      <c r="BJ9" s="178">
        <f>Utility!BJ15+EWC!BJ10+Parent!BJ10</f>
        <v>1059.1156651703327</v>
      </c>
      <c r="BK9" s="179">
        <f>Utility!BK15+EWC!BK10+Parent!BK10</f>
        <v>786.86071886665309</v>
      </c>
      <c r="BL9" s="44">
        <f>SUM(BH9:BK9)</f>
        <v>3400.6653216204813</v>
      </c>
      <c r="BM9" s="177">
        <f>Utility!BM15+EWC!BM10+Parent!BM10</f>
        <v>779.99184327994635</v>
      </c>
      <c r="BN9" s="178">
        <f>Utility!BN15+EWC!BN10+Parent!BN10</f>
        <v>790.09165538386765</v>
      </c>
      <c r="BO9" s="178">
        <f>Utility!BO15+EWC!BO10+Parent!BO10</f>
        <v>1065.3528214259668</v>
      </c>
      <c r="BP9" s="179">
        <f>Utility!BP15+EWC!BP10+Parent!BP10</f>
        <v>797.47914734925962</v>
      </c>
      <c r="BQ9" s="44">
        <f>SUM(BM9:BP9)</f>
        <v>3432.9154674390402</v>
      </c>
      <c r="BR9" s="331"/>
      <c r="BS9" s="331"/>
      <c r="BT9" s="331"/>
      <c r="BU9" s="331"/>
      <c r="BV9" s="331"/>
      <c r="BW9" s="331"/>
      <c r="BX9" s="331"/>
      <c r="BY9" s="331"/>
      <c r="BZ9" s="331"/>
      <c r="CA9" s="331"/>
      <c r="CB9" s="331"/>
      <c r="CC9" s="331"/>
      <c r="CD9" s="331"/>
      <c r="CE9" s="331"/>
      <c r="CF9"/>
      <c r="CG9"/>
      <c r="CH9"/>
      <c r="CI9"/>
      <c r="CJ9"/>
      <c r="CK9"/>
    </row>
    <row r="10" spans="1:265">
      <c r="A10" s="327"/>
      <c r="B10" s="327"/>
      <c r="C10" s="1173" t="s">
        <v>314</v>
      </c>
      <c r="D10" s="327"/>
      <c r="E10" s="181">
        <f t="shared" ref="E10:AP10" si="0">E8-E9</f>
        <v>1619.5250000000001</v>
      </c>
      <c r="F10" s="181">
        <f t="shared" si="0"/>
        <v>1676.7990000000002</v>
      </c>
      <c r="G10" s="181">
        <f t="shared" si="0"/>
        <v>1989.6579999999999</v>
      </c>
      <c r="H10" s="182">
        <f t="shared" si="0"/>
        <v>1754.6340000000005</v>
      </c>
      <c r="I10" s="378">
        <f t="shared" si="0"/>
        <v>7040.616</v>
      </c>
      <c r="J10" s="180">
        <f t="shared" si="0"/>
        <v>1725.7760000000003</v>
      </c>
      <c r="K10" s="181">
        <f t="shared" si="0"/>
        <v>1814.8559999999998</v>
      </c>
      <c r="L10" s="181">
        <f t="shared" si="0"/>
        <v>2098.6189999999997</v>
      </c>
      <c r="M10" s="182">
        <f t="shared" si="0"/>
        <v>1670.3279999999995</v>
      </c>
      <c r="N10" s="110">
        <f t="shared" si="0"/>
        <v>7309.5789999999997</v>
      </c>
      <c r="O10" s="180">
        <f t="shared" si="0"/>
        <v>1670.8970000000002</v>
      </c>
      <c r="P10" s="181">
        <f t="shared" si="0"/>
        <v>1788.72</v>
      </c>
      <c r="Q10" s="181">
        <f t="shared" si="0"/>
        <v>2070.2359999999999</v>
      </c>
      <c r="R10" s="182">
        <f t="shared" si="0"/>
        <v>1641.5389999999993</v>
      </c>
      <c r="S10" s="110">
        <f t="shared" si="0"/>
        <v>7171.3919999999998</v>
      </c>
      <c r="T10" s="180">
        <f t="shared" si="0"/>
        <v>1559.8560000000002</v>
      </c>
      <c r="U10" s="181">
        <f t="shared" si="0"/>
        <v>1736.145</v>
      </c>
      <c r="V10" s="181">
        <f t="shared" si="0"/>
        <v>2030.7379999999998</v>
      </c>
      <c r="W10" s="182">
        <f t="shared" si="0"/>
        <v>1682.7049999999999</v>
      </c>
      <c r="X10" s="110">
        <f t="shared" si="0"/>
        <v>7009.4439999999995</v>
      </c>
      <c r="Y10" s="180">
        <f t="shared" si="0"/>
        <v>1725.4119999999998</v>
      </c>
      <c r="Z10" s="181">
        <f t="shared" si="0"/>
        <v>1762.856</v>
      </c>
      <c r="AA10" s="181">
        <f t="shared" si="0"/>
        <v>2141.16</v>
      </c>
      <c r="AB10" s="182">
        <f>AB8-AB9</f>
        <v>1761.3689999999988</v>
      </c>
      <c r="AC10" s="110">
        <f>AC8-AC9</f>
        <v>7390.7969999999996</v>
      </c>
      <c r="AD10" s="180">
        <f t="shared" si="0"/>
        <v>2090.3869999999997</v>
      </c>
      <c r="AE10" s="181">
        <f t="shared" si="0"/>
        <v>1874.671</v>
      </c>
      <c r="AF10" s="181">
        <f t="shared" ref="AF10" si="1">AF8-AF9</f>
        <v>2134.1030000000001</v>
      </c>
      <c r="AG10" s="182">
        <f>AG8-AG9</f>
        <v>1847.7879999999996</v>
      </c>
      <c r="AH10" s="110">
        <f>AH8-AH9</f>
        <v>7946.9490000000005</v>
      </c>
      <c r="AI10" s="180">
        <f t="shared" ref="AI10:AJ10" si="2">AI8-AI9</f>
        <v>1947.614</v>
      </c>
      <c r="AJ10" s="181">
        <f t="shared" si="2"/>
        <v>1840.6000000000004</v>
      </c>
      <c r="AK10" s="181">
        <f t="shared" si="0"/>
        <v>2182.1729999999998</v>
      </c>
      <c r="AL10" s="182">
        <f>AL8-AL9</f>
        <v>1699.8880000000017</v>
      </c>
      <c r="AM10" s="110">
        <f>AM8-AM9</f>
        <v>7670.2750000000005</v>
      </c>
      <c r="AN10" s="180">
        <f t="shared" ref="AN10:AO10" si="3">AN8-AN9</f>
        <v>1842.5619999999999</v>
      </c>
      <c r="AO10" s="181">
        <f t="shared" si="3"/>
        <v>1838.425</v>
      </c>
      <c r="AP10" s="181">
        <f t="shared" si="0"/>
        <v>2288.6059999999998</v>
      </c>
      <c r="AQ10" s="182">
        <f>AQ8-AQ9</f>
        <v>1846.3250000000003</v>
      </c>
      <c r="AR10" s="110">
        <f>AR8-AR9</f>
        <v>7815.9180000000006</v>
      </c>
      <c r="AS10" s="180">
        <f t="shared" ref="AS10" si="4">AS8-AS9</f>
        <v>1813.1240000000003</v>
      </c>
      <c r="AT10" s="246">
        <f t="shared" ref="AT10:BB10" si="5">AT8-AT9</f>
        <v>1806.1060000000002</v>
      </c>
      <c r="AU10" s="246">
        <f t="shared" si="5"/>
        <v>2222.538</v>
      </c>
      <c r="AV10" s="182">
        <f>AV8-AV9</f>
        <v>1813.1739999999995</v>
      </c>
      <c r="AW10" s="110">
        <f>AW8-AW9</f>
        <v>7654.942</v>
      </c>
      <c r="AX10" s="248">
        <f t="shared" si="5"/>
        <v>1686.0861867987694</v>
      </c>
      <c r="AY10" s="246">
        <f t="shared" si="5"/>
        <v>1920.1037918396282</v>
      </c>
      <c r="AZ10" s="246">
        <f t="shared" si="5"/>
        <v>2256.3968266440252</v>
      </c>
      <c r="BA10" s="247">
        <f t="shared" si="5"/>
        <v>1795.7900315860848</v>
      </c>
      <c r="BB10" s="245">
        <f t="shared" si="5"/>
        <v>7658.3768368685069</v>
      </c>
      <c r="BC10" s="248">
        <f t="shared" ref="BC10:BL10" si="6">BC8-BC9</f>
        <v>1798.3597103177635</v>
      </c>
      <c r="BD10" s="246">
        <f t="shared" si="6"/>
        <v>1965.8327113788073</v>
      </c>
      <c r="BE10" s="246">
        <f t="shared" si="6"/>
        <v>2263.1307333877457</v>
      </c>
      <c r="BF10" s="247">
        <f t="shared" si="6"/>
        <v>1793.4861372808982</v>
      </c>
      <c r="BG10" s="245">
        <f t="shared" si="6"/>
        <v>7820.8092923652166</v>
      </c>
      <c r="BH10" s="248">
        <f t="shared" si="6"/>
        <v>1904.1205294344124</v>
      </c>
      <c r="BI10" s="246">
        <f t="shared" si="6"/>
        <v>1962.3844126493896</v>
      </c>
      <c r="BJ10" s="246">
        <f t="shared" si="6"/>
        <v>2257.3974560444094</v>
      </c>
      <c r="BK10" s="247">
        <f t="shared" si="6"/>
        <v>1794.0309784900703</v>
      </c>
      <c r="BL10" s="245">
        <f t="shared" si="6"/>
        <v>7917.9333766182826</v>
      </c>
      <c r="BM10" s="248">
        <f t="shared" ref="BM10:BQ10" si="7">BM8-BM9</f>
        <v>1780.9484452627016</v>
      </c>
      <c r="BN10" s="246">
        <f t="shared" si="7"/>
        <v>1979.9161969627069</v>
      </c>
      <c r="BO10" s="246">
        <f t="shared" si="7"/>
        <v>2267.6579767445596</v>
      </c>
      <c r="BP10" s="247">
        <f t="shared" si="7"/>
        <v>1815.0231755359077</v>
      </c>
      <c r="BQ10" s="245">
        <f t="shared" si="7"/>
        <v>7843.5457945058761</v>
      </c>
      <c r="BR10" s="327"/>
      <c r="BS10" s="327"/>
      <c r="BT10" s="327"/>
      <c r="BU10" s="327"/>
      <c r="BV10" s="327"/>
      <c r="BW10" s="327"/>
      <c r="BX10" s="327"/>
      <c r="BY10" s="327"/>
      <c r="BZ10" s="327"/>
      <c r="CA10" s="327"/>
      <c r="CB10" s="327"/>
      <c r="CC10" s="327"/>
      <c r="CD10" s="327"/>
      <c r="CE10" s="327"/>
    </row>
    <row r="11" spans="1:265">
      <c r="A11" s="311"/>
      <c r="B11" s="311"/>
      <c r="C11" s="1264"/>
      <c r="D11" s="311"/>
      <c r="E11" s="250"/>
      <c r="F11" s="250"/>
      <c r="G11" s="250"/>
      <c r="H11" s="251"/>
      <c r="I11" s="379"/>
      <c r="J11" s="249"/>
      <c r="K11" s="250"/>
      <c r="L11" s="250"/>
      <c r="M11" s="251"/>
      <c r="N11" s="244"/>
      <c r="O11" s="249"/>
      <c r="P11" s="250"/>
      <c r="Q11" s="250"/>
      <c r="R11" s="251"/>
      <c r="S11" s="244"/>
      <c r="T11" s="249"/>
      <c r="U11" s="250"/>
      <c r="V11" s="250"/>
      <c r="W11" s="251"/>
      <c r="X11" s="244"/>
      <c r="Y11" s="249"/>
      <c r="Z11" s="250"/>
      <c r="AA11" s="250"/>
      <c r="AB11" s="251"/>
      <c r="AC11" s="244"/>
      <c r="AD11" s="249"/>
      <c r="AE11" s="250"/>
      <c r="AF11" s="250"/>
      <c r="AG11" s="251"/>
      <c r="AH11" s="244"/>
      <c r="AI11" s="249"/>
      <c r="AJ11" s="250"/>
      <c r="AK11" s="250"/>
      <c r="AL11" s="251"/>
      <c r="AM11" s="244"/>
      <c r="AN11" s="249"/>
      <c r="AO11" s="250"/>
      <c r="AP11" s="250"/>
      <c r="AQ11" s="251"/>
      <c r="AR11" s="244"/>
      <c r="AS11" s="249"/>
      <c r="AT11" s="250"/>
      <c r="AU11" s="250"/>
      <c r="AV11" s="251"/>
      <c r="AW11" s="244"/>
      <c r="AX11" s="249"/>
      <c r="AY11" s="250"/>
      <c r="AZ11" s="250"/>
      <c r="BA11" s="251"/>
      <c r="BB11" s="244"/>
      <c r="BC11" s="249"/>
      <c r="BD11" s="250"/>
      <c r="BE11" s="250"/>
      <c r="BF11" s="251"/>
      <c r="BG11" s="244"/>
      <c r="BH11" s="249"/>
      <c r="BI11" s="250"/>
      <c r="BJ11" s="250"/>
      <c r="BK11" s="251"/>
      <c r="BL11" s="244"/>
      <c r="BM11" s="249"/>
      <c r="BN11" s="250"/>
      <c r="BO11" s="250"/>
      <c r="BP11" s="251"/>
      <c r="BQ11" s="244"/>
      <c r="BR11" s="311"/>
      <c r="BS11" s="311"/>
      <c r="BT11" s="311"/>
      <c r="BU11" s="311"/>
      <c r="BV11" s="311"/>
      <c r="BW11" s="311"/>
      <c r="BX11" s="311"/>
      <c r="BY11" s="311"/>
      <c r="BZ11" s="311"/>
      <c r="CA11" s="311"/>
      <c r="CB11" s="311"/>
      <c r="CC11" s="311"/>
      <c r="CD11" s="311"/>
      <c r="CE11" s="311"/>
    </row>
    <row r="12" spans="1:265">
      <c r="A12" s="311"/>
      <c r="B12" s="311"/>
      <c r="C12" s="1264" t="s">
        <v>201</v>
      </c>
      <c r="D12" s="311"/>
      <c r="E12" s="190">
        <v>56.779000000000003</v>
      </c>
      <c r="F12" s="190">
        <v>60.234000000000002</v>
      </c>
      <c r="G12" s="190">
        <v>61.441000000000003</v>
      </c>
      <c r="H12" s="170">
        <f t="shared" ref="H12:H17" si="8">I12-SUM(E12:G12)</f>
        <v>62.855999999999995</v>
      </c>
      <c r="I12" s="377">
        <v>241.31</v>
      </c>
      <c r="J12" s="393">
        <v>62.289000000000001</v>
      </c>
      <c r="K12" s="190">
        <v>64.221000000000004</v>
      </c>
      <c r="L12" s="190">
        <v>64.885000000000005</v>
      </c>
      <c r="M12" s="170">
        <f t="shared" ref="M12:M17" si="9">N12-SUM(J12:L12)</f>
        <v>64.72799999999998</v>
      </c>
      <c r="N12" s="348">
        <v>256.12299999999999</v>
      </c>
      <c r="O12" s="393">
        <v>63.984999999999999</v>
      </c>
      <c r="P12" s="190">
        <v>62.966999999999999</v>
      </c>
      <c r="Q12" s="190">
        <v>64.566000000000003</v>
      </c>
      <c r="R12" s="170">
        <f t="shared" ref="R12:R17" si="10">S12-SUM(O12:Q12)</f>
        <v>64.099999999999994</v>
      </c>
      <c r="S12" s="348">
        <v>255.61799999999999</v>
      </c>
      <c r="T12" s="393">
        <v>63.884</v>
      </c>
      <c r="U12" s="190">
        <v>57.822000000000003</v>
      </c>
      <c r="V12" s="190">
        <v>62.582000000000001</v>
      </c>
      <c r="W12" s="170">
        <f t="shared" ref="W12:W17" si="11">X12-SUM(T12:V12)</f>
        <v>61.311999999999983</v>
      </c>
      <c r="X12" s="348">
        <v>245.6</v>
      </c>
      <c r="Y12" s="393">
        <v>60.719000000000001</v>
      </c>
      <c r="Z12" s="190">
        <v>66.463999999999999</v>
      </c>
      <c r="AA12" s="190">
        <v>64.757999999999996</v>
      </c>
      <c r="AB12" s="193">
        <f t="shared" ref="AB12:AB17" si="12">AC12-SUM(Y12:AA12)</f>
        <v>64.860000000000014</v>
      </c>
      <c r="AC12" s="348">
        <v>256.80099999999999</v>
      </c>
      <c r="AD12" s="393">
        <v>59.543999999999997</v>
      </c>
      <c r="AE12" s="190">
        <v>66.497</v>
      </c>
      <c r="AF12" s="190">
        <v>71.650999999999996</v>
      </c>
      <c r="AG12" s="193">
        <f t="shared" ref="AG12:AG17" si="13">AH12-SUM(AD12:AF12)</f>
        <v>69.986999999999966</v>
      </c>
      <c r="AH12" s="348">
        <v>267.67899999999997</v>
      </c>
      <c r="AI12" s="393">
        <v>64.87</v>
      </c>
      <c r="AJ12" s="190">
        <v>67.129000000000005</v>
      </c>
      <c r="AK12" s="190">
        <v>68.576999999999998</v>
      </c>
      <c r="AL12" s="193">
        <f t="shared" ref="AL12:AL17" si="14">AM12-SUM(AI12:AK12)</f>
        <v>50.739999999999981</v>
      </c>
      <c r="AM12" s="348">
        <v>251.316</v>
      </c>
      <c r="AN12" s="393">
        <v>51.23</v>
      </c>
      <c r="AO12" s="190">
        <v>47.045000000000002</v>
      </c>
      <c r="AP12" s="190">
        <v>56.674999999999997</v>
      </c>
      <c r="AQ12" s="193">
        <f t="shared" ref="AQ12:AQ17" si="15">AR12-SUM(AN12:AP12)</f>
        <v>53.728000000000009</v>
      </c>
      <c r="AR12" s="348">
        <v>208.678</v>
      </c>
      <c r="AS12" s="393">
        <v>42.564</v>
      </c>
      <c r="AT12" s="190">
        <v>38.287999999999997</v>
      </c>
      <c r="AU12" s="190">
        <v>43.273000000000003</v>
      </c>
      <c r="AV12" s="193">
        <f t="shared" ref="AV12:AV17" si="16">AW12-SUM(AS12:AU12)</f>
        <v>44.02600000000001</v>
      </c>
      <c r="AW12" s="348">
        <v>168.15100000000001</v>
      </c>
      <c r="AX12" s="249">
        <f>Utility!AX19+EWC!AX13+Parent!AX13</f>
        <v>41.836151026633274</v>
      </c>
      <c r="AY12" s="250">
        <f>Utility!AY19+EWC!AY13+Parent!AY13</f>
        <v>38.670879999999997</v>
      </c>
      <c r="AZ12" s="250">
        <f>Utility!AZ19+EWC!AZ13+Parent!AZ13</f>
        <v>43.70573000000001</v>
      </c>
      <c r="BA12" s="251">
        <f>Utility!BA19+EWC!BA13+Parent!BA13</f>
        <v>44.466260000000005</v>
      </c>
      <c r="BB12" s="244">
        <f t="shared" ref="BB12:BB17" si="17">SUM(AX12:BA12)</f>
        <v>168.67902102663328</v>
      </c>
      <c r="BC12" s="249">
        <f>Utility!BC19+EWC!BC13+Parent!BC13</f>
        <v>42.266047426633278</v>
      </c>
      <c r="BD12" s="250">
        <f>Utility!BD19+EWC!BD13+Parent!BD13</f>
        <v>38.807391603788091</v>
      </c>
      <c r="BE12" s="250">
        <f>Utility!BE19+EWC!BE13+Parent!BE13</f>
        <v>43.701553159915619</v>
      </c>
      <c r="BF12" s="251">
        <f>Utility!BF19+EWC!BF13+Parent!BF13</f>
        <v>44.4929840431505</v>
      </c>
      <c r="BG12" s="244">
        <f t="shared" ref="BG12:BG17" si="18">SUM(BC12:BF12)</f>
        <v>169.2679762334875</v>
      </c>
      <c r="BH12" s="249">
        <f>Utility!BH19+EWC!BH13+Parent!BH13</f>
        <v>41.506468524569712</v>
      </c>
      <c r="BI12" s="250">
        <f>Utility!BI19+EWC!BI13+Parent!BI13</f>
        <v>37.845379623201339</v>
      </c>
      <c r="BJ12" s="250">
        <f>Utility!BJ19+EWC!BJ13+Parent!BJ13</f>
        <v>43.312089275204599</v>
      </c>
      <c r="BK12" s="251">
        <f>Utility!BK19+EWC!BK13+Parent!BK13</f>
        <v>44.155069622137418</v>
      </c>
      <c r="BL12" s="244">
        <f t="shared" ref="BL12:BL17" si="19">SUM(BH12:BK12)</f>
        <v>166.81900704511307</v>
      </c>
      <c r="BM12" s="249">
        <f>Utility!BM19+EWC!BM13+Parent!BM13</f>
        <v>39.696999380039664</v>
      </c>
      <c r="BN12" s="250">
        <f>Utility!BN19+EWC!BN13+Parent!BN13</f>
        <v>36.98668569341028</v>
      </c>
      <c r="BO12" s="250">
        <f>Utility!BO19+EWC!BO13+Parent!BO13</f>
        <v>42.704307362380007</v>
      </c>
      <c r="BP12" s="251">
        <f>Utility!BP19+EWC!BP13+Parent!BP13</f>
        <v>43.610673455090009</v>
      </c>
      <c r="BQ12" s="244">
        <f t="shared" ref="BQ12:BQ17" si="20">SUM(BM12:BP12)</f>
        <v>162.99866589091994</v>
      </c>
      <c r="BR12" s="311"/>
      <c r="BS12" s="311"/>
      <c r="BT12" s="311"/>
      <c r="BU12" s="311"/>
      <c r="BV12" s="311"/>
      <c r="BW12" s="311"/>
      <c r="BX12" s="311"/>
      <c r="BY12" s="311"/>
      <c r="BZ12" s="311"/>
      <c r="CA12" s="311"/>
      <c r="CB12" s="311"/>
      <c r="CC12" s="311"/>
      <c r="CD12" s="311"/>
      <c r="CE12" s="311"/>
    </row>
    <row r="13" spans="1:265">
      <c r="A13" s="311"/>
      <c r="B13" s="311"/>
      <c r="C13" s="1264" t="s">
        <v>315</v>
      </c>
      <c r="D13" s="311"/>
      <c r="E13" s="190">
        <v>644.702</v>
      </c>
      <c r="F13" s="190">
        <v>696.34500000000003</v>
      </c>
      <c r="G13" s="190">
        <v>681.57600000000002</v>
      </c>
      <c r="H13" s="170">
        <f t="shared" si="8"/>
        <v>728.1869999999999</v>
      </c>
      <c r="I13" s="377">
        <v>2750.81</v>
      </c>
      <c r="J13" s="393">
        <v>702.48900000000003</v>
      </c>
      <c r="K13" s="190">
        <v>700.20399999999995</v>
      </c>
      <c r="L13" s="190">
        <v>808.68799999999999</v>
      </c>
      <c r="M13" s="170">
        <f t="shared" si="9"/>
        <v>758.02100000000019</v>
      </c>
      <c r="N13" s="348">
        <v>2969.402</v>
      </c>
      <c r="O13" s="393">
        <v>655.74800000000005</v>
      </c>
      <c r="P13" s="190">
        <v>712.49599999999998</v>
      </c>
      <c r="Q13" s="190">
        <v>708.82100000000003</v>
      </c>
      <c r="R13" s="170">
        <f t="shared" si="10"/>
        <v>790.69299999999976</v>
      </c>
      <c r="S13" s="348">
        <v>2867.7579999999998</v>
      </c>
      <c r="T13" s="393">
        <v>721.63499999999999</v>
      </c>
      <c r="U13" s="190">
        <v>772.88099999999997</v>
      </c>
      <c r="V13" s="190">
        <v>765.24199999999996</v>
      </c>
      <c r="W13" s="170">
        <f t="shared" si="11"/>
        <v>785.63400000000001</v>
      </c>
      <c r="X13" s="348">
        <v>3045.3919999999998</v>
      </c>
      <c r="Y13" s="393">
        <v>754.25800000000004</v>
      </c>
      <c r="Z13" s="190">
        <v>844.19500000000005</v>
      </c>
      <c r="AA13" s="190">
        <v>839.34799999999996</v>
      </c>
      <c r="AB13" s="193">
        <f t="shared" si="12"/>
        <v>894.13300000000027</v>
      </c>
      <c r="AC13" s="348">
        <v>3331.9340000000002</v>
      </c>
      <c r="AD13" s="393">
        <v>737.98</v>
      </c>
      <c r="AE13" s="190">
        <v>816.60900000000004</v>
      </c>
      <c r="AF13" s="190">
        <v>841.93899999999996</v>
      </c>
      <c r="AG13" s="193">
        <f t="shared" si="13"/>
        <v>914.00800000000027</v>
      </c>
      <c r="AH13" s="348">
        <v>3310.5360000000001</v>
      </c>
      <c r="AI13" s="393">
        <v>770.11</v>
      </c>
      <c r="AJ13" s="190">
        <v>827.87199999999996</v>
      </c>
      <c r="AK13" s="190">
        <v>852.38499999999999</v>
      </c>
      <c r="AL13" s="193">
        <f t="shared" si="14"/>
        <v>904.61400000000003</v>
      </c>
      <c r="AM13" s="348">
        <v>3354.9810000000002</v>
      </c>
      <c r="AN13" s="393">
        <v>731.91499999999996</v>
      </c>
      <c r="AO13" s="190">
        <v>759.25800000000004</v>
      </c>
      <c r="AP13" s="190">
        <v>833.17600000000004</v>
      </c>
      <c r="AQ13" s="193">
        <f t="shared" si="15"/>
        <v>972.36199999999963</v>
      </c>
      <c r="AR13" s="348">
        <v>3296.7109999999998</v>
      </c>
      <c r="AS13" s="393">
        <v>867.54600000000005</v>
      </c>
      <c r="AT13" s="190">
        <v>820.29700000000003</v>
      </c>
      <c r="AU13" s="190">
        <v>804.53499999999997</v>
      </c>
      <c r="AV13" s="193">
        <f t="shared" si="16"/>
        <v>931.31099999999969</v>
      </c>
      <c r="AW13" s="348">
        <v>3423.6889999999999</v>
      </c>
      <c r="AX13" s="249">
        <f>Utility!AX20+EWC!AX14+Parent!AX14</f>
        <v>755.41176974334178</v>
      </c>
      <c r="AY13" s="250">
        <f>Utility!AY20+EWC!AY14+Parent!AY14</f>
        <v>798.86076974334173</v>
      </c>
      <c r="AZ13" s="250">
        <f>Utility!AZ20+EWC!AZ14+Parent!AZ14</f>
        <v>788.54176974334166</v>
      </c>
      <c r="BA13" s="251">
        <f>Utility!BA20+EWC!BA14+Parent!BA14</f>
        <v>884.18176974334142</v>
      </c>
      <c r="BB13" s="244">
        <f t="shared" si="17"/>
        <v>3226.9960789733668</v>
      </c>
      <c r="BC13" s="249">
        <f>Utility!BC20+EWC!BC14+Parent!BC14</f>
        <v>742.57930619162812</v>
      </c>
      <c r="BD13" s="250">
        <f>Utility!BD20+EWC!BD14+Parent!BD14</f>
        <v>786.44522619162808</v>
      </c>
      <c r="BE13" s="250">
        <f>Utility!BE20+EWC!BE14+Parent!BE14</f>
        <v>776.02197619162803</v>
      </c>
      <c r="BF13" s="251">
        <f>Utility!BF20+EWC!BF14+Parent!BF14</f>
        <v>872.59608619162782</v>
      </c>
      <c r="BG13" s="244">
        <f t="shared" si="18"/>
        <v>3177.642594766512</v>
      </c>
      <c r="BH13" s="249">
        <f>Utility!BH20+EWC!BH14+Parent!BH14</f>
        <v>709.31697149122181</v>
      </c>
      <c r="BI13" s="250">
        <f>Utility!BI20+EWC!BI14+Parent!BI14</f>
        <v>753.60398069122175</v>
      </c>
      <c r="BJ13" s="250">
        <f>Utility!BJ20+EWC!BJ14+Parent!BJ14</f>
        <v>743.07543819122168</v>
      </c>
      <c r="BK13" s="251">
        <f>Utility!BK20+EWC!BK14+Parent!BK14</f>
        <v>840.59299929122153</v>
      </c>
      <c r="BL13" s="244">
        <f t="shared" si="19"/>
        <v>3046.5893896648868</v>
      </c>
      <c r="BM13" s="249">
        <f>Utility!BM20+EWC!BM14+Parent!BM14</f>
        <v>676.45873401229505</v>
      </c>
      <c r="BN13" s="250">
        <f>Utility!BN20+EWC!BN14+Parent!BN14</f>
        <v>721.17104330429504</v>
      </c>
      <c r="BO13" s="250">
        <f>Utility!BO20+EWC!BO14+Parent!BO14</f>
        <v>710.53615537929488</v>
      </c>
      <c r="BP13" s="251">
        <f>Utility!BP20+EWC!BP14+Parent!BP14</f>
        <v>809.00660209029479</v>
      </c>
      <c r="BQ13" s="244">
        <f t="shared" si="20"/>
        <v>2917.1725347861802</v>
      </c>
      <c r="BR13" s="311"/>
      <c r="BS13" s="311"/>
      <c r="BT13" s="311"/>
      <c r="BU13" s="311"/>
      <c r="BV13" s="311"/>
      <c r="BW13" s="311"/>
      <c r="BX13" s="311"/>
      <c r="BY13" s="311"/>
      <c r="BZ13" s="311"/>
      <c r="CA13" s="311"/>
      <c r="CB13" s="311"/>
      <c r="CC13" s="311"/>
      <c r="CD13" s="311"/>
      <c r="CE13" s="311"/>
    </row>
    <row r="14" spans="1:265">
      <c r="A14" s="311"/>
      <c r="B14" s="311"/>
      <c r="C14" s="1264" t="s">
        <v>160</v>
      </c>
      <c r="D14" s="311"/>
      <c r="E14" s="190">
        <v>48.741999999999997</v>
      </c>
      <c r="F14" s="190">
        <v>49.307000000000002</v>
      </c>
      <c r="G14" s="190">
        <v>50.069000000000003</v>
      </c>
      <c r="H14" s="170">
        <f t="shared" si="8"/>
        <v>50.944999999999993</v>
      </c>
      <c r="I14" s="377">
        <v>199.06299999999999</v>
      </c>
      <c r="J14" s="393">
        <v>51.576000000000001</v>
      </c>
      <c r="K14" s="190">
        <v>52.466999999999999</v>
      </c>
      <c r="L14" s="190">
        <v>53.38</v>
      </c>
      <c r="M14" s="170">
        <f t="shared" si="9"/>
        <v>54.312999999999988</v>
      </c>
      <c r="N14" s="348">
        <v>211.73599999999999</v>
      </c>
      <c r="O14" s="393">
        <v>55.265000000000001</v>
      </c>
      <c r="P14" s="190">
        <v>55.497</v>
      </c>
      <c r="Q14" s="190">
        <v>56.466999999999999</v>
      </c>
      <c r="R14" s="170">
        <f t="shared" si="10"/>
        <v>23.366000000000014</v>
      </c>
      <c r="S14" s="348">
        <v>190.595</v>
      </c>
      <c r="T14" s="393">
        <v>57.902999999999999</v>
      </c>
      <c r="U14" s="190">
        <v>11.942</v>
      </c>
      <c r="V14" s="190">
        <v>56.795999999999999</v>
      </c>
      <c r="W14" s="170">
        <f t="shared" si="11"/>
        <v>58.119</v>
      </c>
      <c r="X14" s="348">
        <v>184.76</v>
      </c>
      <c r="Y14" s="393">
        <v>59.103999999999999</v>
      </c>
      <c r="Z14" s="190">
        <v>59.389000000000003</v>
      </c>
      <c r="AA14" s="190">
        <v>60.847999999999999</v>
      </c>
      <c r="AB14" s="193">
        <f t="shared" si="12"/>
        <v>62.763000000000005</v>
      </c>
      <c r="AC14" s="348">
        <v>242.10400000000001</v>
      </c>
      <c r="AD14" s="393">
        <v>65.799000000000007</v>
      </c>
      <c r="AE14" s="190">
        <v>67.25</v>
      </c>
      <c r="AF14" s="190">
        <v>68.37</v>
      </c>
      <c r="AG14" s="193">
        <f t="shared" si="13"/>
        <v>71.20199999999997</v>
      </c>
      <c r="AH14" s="348">
        <v>272.62099999999998</v>
      </c>
      <c r="AI14" s="393">
        <v>69.899000000000001</v>
      </c>
      <c r="AJ14" s="190">
        <v>68.83</v>
      </c>
      <c r="AK14" s="190">
        <v>68.888000000000005</v>
      </c>
      <c r="AL14" s="193">
        <f t="shared" si="14"/>
        <v>72.655000000000001</v>
      </c>
      <c r="AM14" s="348">
        <v>280.27199999999999</v>
      </c>
      <c r="AN14" s="393">
        <v>68.628</v>
      </c>
      <c r="AO14" s="190">
        <v>76.625</v>
      </c>
      <c r="AP14" s="190">
        <v>85.266000000000005</v>
      </c>
      <c r="AQ14" s="193">
        <f t="shared" si="15"/>
        <v>96.906000000000006</v>
      </c>
      <c r="AR14" s="348">
        <v>327.42500000000001</v>
      </c>
      <c r="AS14" s="393">
        <v>114.374</v>
      </c>
      <c r="AT14" s="190">
        <v>100.29600000000001</v>
      </c>
      <c r="AU14" s="190">
        <v>95.391999999999996</v>
      </c>
      <c r="AV14" s="193">
        <f t="shared" si="16"/>
        <v>95.62299999999999</v>
      </c>
      <c r="AW14" s="348">
        <v>405.685</v>
      </c>
      <c r="AX14" s="249">
        <f>Utility!AX21+EWC!AX15+Parent!AX15</f>
        <v>109.06245749999994</v>
      </c>
      <c r="AY14" s="250">
        <f>Utility!AY21+EWC!AY15+Parent!AY15</f>
        <v>109.66340749999992</v>
      </c>
      <c r="AZ14" s="250">
        <f>Utility!AZ21+EWC!AZ15+Parent!AZ15</f>
        <v>104.83257749999993</v>
      </c>
      <c r="BA14" s="251">
        <f>Utility!BA21+EWC!BA15+Parent!BA15</f>
        <v>105.30525749999994</v>
      </c>
      <c r="BB14" s="244">
        <f t="shared" si="17"/>
        <v>428.86369999999971</v>
      </c>
      <c r="BC14" s="249">
        <f>Utility!BC21+EWC!BC15+Parent!BC15</f>
        <v>115.33988388749998</v>
      </c>
      <c r="BD14" s="250">
        <f>Utility!BD21+EWC!BD15+Parent!BD15</f>
        <v>115.94684338749998</v>
      </c>
      <c r="BE14" s="250">
        <f>Utility!BE21+EWC!BE15+Parent!BE15</f>
        <v>111.0677050875</v>
      </c>
      <c r="BF14" s="251">
        <f>Utility!BF21+EWC!BF15+Parent!BF15</f>
        <v>111.5451118875</v>
      </c>
      <c r="BG14" s="244">
        <f t="shared" si="18"/>
        <v>453.89954425000002</v>
      </c>
      <c r="BH14" s="249">
        <f>Utility!BH21+EWC!BH15+Parent!BH15</f>
        <v>122.12096269293754</v>
      </c>
      <c r="BI14" s="250">
        <f>Utility!BI21+EWC!BI15+Parent!BI15</f>
        <v>122.73399178793753</v>
      </c>
      <c r="BJ14" s="250">
        <f>Utility!BJ21+EWC!BJ15+Parent!BJ15</f>
        <v>117.80606210493755</v>
      </c>
      <c r="BK14" s="251">
        <f>Utility!BK21+EWC!BK15+Parent!BK15</f>
        <v>118.28824297293755</v>
      </c>
      <c r="BL14" s="244">
        <f t="shared" si="19"/>
        <v>480.94925955875016</v>
      </c>
      <c r="BM14" s="249">
        <f>Utility!BM21+EWC!BM15+Parent!BM15</f>
        <v>129.44820508358703</v>
      </c>
      <c r="BN14" s="250">
        <f>Utility!BN21+EWC!BN15+Parent!BN15</f>
        <v>130.06736446953704</v>
      </c>
      <c r="BO14" s="250">
        <f>Utility!BO21+EWC!BO15+Parent!BO15</f>
        <v>125.09015548970703</v>
      </c>
      <c r="BP14" s="251">
        <f>Utility!BP21+EWC!BP15+Parent!BP15</f>
        <v>125.57715816638705</v>
      </c>
      <c r="BQ14" s="244">
        <f t="shared" si="20"/>
        <v>510.18288320921812</v>
      </c>
      <c r="BR14" s="311"/>
      <c r="BS14" s="311"/>
      <c r="BT14" s="311"/>
      <c r="BU14" s="311"/>
      <c r="BV14" s="311"/>
      <c r="BW14" s="311"/>
      <c r="BX14" s="311"/>
      <c r="BY14" s="311"/>
      <c r="BZ14" s="311"/>
      <c r="CA14" s="311"/>
      <c r="CB14" s="311"/>
      <c r="CC14" s="311"/>
      <c r="CD14" s="311"/>
      <c r="CE14" s="311"/>
    </row>
    <row r="15" spans="1:265">
      <c r="A15" s="311"/>
      <c r="B15" s="311"/>
      <c r="C15" s="1264" t="s">
        <v>316</v>
      </c>
      <c r="D15" s="311"/>
      <c r="E15" s="190">
        <v>134.39699999999999</v>
      </c>
      <c r="F15" s="190">
        <v>122.401</v>
      </c>
      <c r="G15" s="190">
        <v>128.851</v>
      </c>
      <c r="H15" s="170">
        <f t="shared" si="8"/>
        <v>118.20999999999998</v>
      </c>
      <c r="I15" s="377">
        <v>503.85899999999998</v>
      </c>
      <c r="J15" s="393">
        <v>135.41200000000001</v>
      </c>
      <c r="K15" s="190">
        <v>126.968</v>
      </c>
      <c r="L15" s="190">
        <v>138.21700000000001</v>
      </c>
      <c r="M15" s="170">
        <f t="shared" si="9"/>
        <v>133.702</v>
      </c>
      <c r="N15" s="348">
        <v>534.29899999999998</v>
      </c>
      <c r="O15" s="393">
        <v>125.23399999999999</v>
      </c>
      <c r="P15" s="190">
        <v>129.21600000000001</v>
      </c>
      <c r="Q15" s="190">
        <v>152.04400000000001</v>
      </c>
      <c r="R15" s="170">
        <f t="shared" si="10"/>
        <v>129.53199999999993</v>
      </c>
      <c r="S15" s="348">
        <v>536.02599999999995</v>
      </c>
      <c r="T15" s="393">
        <v>137.16999999999999</v>
      </c>
      <c r="U15" s="190">
        <v>138.11099999999999</v>
      </c>
      <c r="V15" s="190">
        <v>149.04900000000001</v>
      </c>
      <c r="W15" s="170">
        <f t="shared" si="11"/>
        <v>132.96800000000007</v>
      </c>
      <c r="X15" s="348">
        <v>557.298</v>
      </c>
      <c r="Y15" s="393">
        <v>151.095</v>
      </c>
      <c r="Z15" s="190">
        <v>144.88800000000001</v>
      </c>
      <c r="AA15" s="190">
        <v>156.94999999999999</v>
      </c>
      <c r="AB15" s="193">
        <f t="shared" si="12"/>
        <v>147.41700000000003</v>
      </c>
      <c r="AC15" s="348">
        <v>600.35</v>
      </c>
      <c r="AD15" s="393">
        <v>154.46799999999999</v>
      </c>
      <c r="AE15" s="190">
        <v>152.73599999999999</v>
      </c>
      <c r="AF15" s="190">
        <v>159.73500000000001</v>
      </c>
      <c r="AG15" s="193">
        <f t="shared" si="13"/>
        <v>137.66700000000003</v>
      </c>
      <c r="AH15" s="348">
        <v>604.60599999999999</v>
      </c>
      <c r="AI15" s="393">
        <v>157.523</v>
      </c>
      <c r="AJ15" s="190">
        <v>156.37799999999999</v>
      </c>
      <c r="AK15" s="190">
        <v>158.13399999999999</v>
      </c>
      <c r="AL15" s="193">
        <f t="shared" si="14"/>
        <v>147.38700000000006</v>
      </c>
      <c r="AM15" s="348">
        <v>619.42200000000003</v>
      </c>
      <c r="AN15" s="393">
        <v>149.77799999999999</v>
      </c>
      <c r="AO15" s="190">
        <v>149.249</v>
      </c>
      <c r="AP15" s="190">
        <v>149.07599999999999</v>
      </c>
      <c r="AQ15" s="193">
        <f t="shared" si="15"/>
        <v>144.399</v>
      </c>
      <c r="AR15" s="348">
        <v>592.50199999999995</v>
      </c>
      <c r="AS15" s="393">
        <v>156.35300000000001</v>
      </c>
      <c r="AT15" s="190">
        <v>153.26400000000001</v>
      </c>
      <c r="AU15" s="190">
        <v>159.47399999999999</v>
      </c>
      <c r="AV15" s="193">
        <f t="shared" si="16"/>
        <v>148.46500000000003</v>
      </c>
      <c r="AW15" s="348">
        <v>617.55600000000004</v>
      </c>
      <c r="AX15" s="249">
        <f>Utility!AX22+EWC!AX16+Parent!AX16</f>
        <v>166.00823000000003</v>
      </c>
      <c r="AY15" s="250">
        <f>Utility!AY22+EWC!AY16+Parent!AY16</f>
        <v>166.99916000000002</v>
      </c>
      <c r="AZ15" s="250">
        <f>Utility!AZ22+EWC!AZ16+Parent!AZ16</f>
        <v>173.93613999999997</v>
      </c>
      <c r="BA15" s="251">
        <f>Utility!BA22+EWC!BA16+Parent!BA16</f>
        <v>161.35954000000004</v>
      </c>
      <c r="BB15" s="244">
        <f t="shared" si="17"/>
        <v>668.30307000000005</v>
      </c>
      <c r="BC15" s="249">
        <f>Utility!BC22+EWC!BC16+Parent!BC16</f>
        <v>161.09772230000002</v>
      </c>
      <c r="BD15" s="250">
        <f>Utility!BD22+EWC!BD16+Parent!BD16</f>
        <v>162.10272160000002</v>
      </c>
      <c r="BE15" s="250">
        <f>Utility!BE22+EWC!BE16+Parent!BE16</f>
        <v>169.11139139999997</v>
      </c>
      <c r="BF15" s="251">
        <f>Utility!BF22+EWC!BF16+Parent!BF16</f>
        <v>156.40894540000005</v>
      </c>
      <c r="BG15" s="244">
        <f t="shared" si="18"/>
        <v>648.72078069999998</v>
      </c>
      <c r="BH15" s="249">
        <f>Utility!BH22+EWC!BH16+Parent!BH16</f>
        <v>156.20060952300003</v>
      </c>
      <c r="BI15" s="250">
        <f>Utility!BI22+EWC!BI16+Parent!BI16</f>
        <v>157.21981881600001</v>
      </c>
      <c r="BJ15" s="250">
        <f>Utility!BJ22+EWC!BJ16+Parent!BJ16</f>
        <v>164.30089531399997</v>
      </c>
      <c r="BK15" s="251">
        <f>Utility!BK22+EWC!BK16+Parent!BK16</f>
        <v>151.47134485400005</v>
      </c>
      <c r="BL15" s="244">
        <f t="shared" si="19"/>
        <v>629.19266850700001</v>
      </c>
      <c r="BM15" s="249">
        <f>Utility!BM22+EWC!BM16+Parent!BM16</f>
        <v>148.81702561823002</v>
      </c>
      <c r="BN15" s="250">
        <f>Utility!BN22+EWC!BN16+Parent!BN16</f>
        <v>149.85058700416002</v>
      </c>
      <c r="BO15" s="250">
        <f>Utility!BO22+EWC!BO16+Parent!BO16</f>
        <v>157.00479426713997</v>
      </c>
      <c r="BP15" s="251">
        <f>Utility!BP22+EWC!BP16+Parent!BP16</f>
        <v>144.04686830254002</v>
      </c>
      <c r="BQ15" s="244">
        <f t="shared" si="20"/>
        <v>599.71927519206997</v>
      </c>
      <c r="BR15" s="311"/>
      <c r="BS15" s="311"/>
      <c r="BT15" s="311"/>
      <c r="BU15" s="311"/>
      <c r="BV15" s="311"/>
      <c r="BW15" s="311"/>
      <c r="BX15" s="311"/>
      <c r="BY15" s="311"/>
      <c r="BZ15" s="311"/>
      <c r="CA15" s="311"/>
      <c r="CB15" s="311"/>
      <c r="CC15" s="311"/>
      <c r="CD15" s="311"/>
      <c r="CE15" s="311"/>
    </row>
    <row r="16" spans="1:265">
      <c r="A16" s="311"/>
      <c r="B16" s="311"/>
      <c r="C16" s="1264" t="s">
        <v>318</v>
      </c>
      <c r="D16" s="311"/>
      <c r="E16" s="190">
        <v>257.85199999999998</v>
      </c>
      <c r="F16" s="190">
        <v>260.68900000000002</v>
      </c>
      <c r="G16" s="190">
        <v>280.64100000000002</v>
      </c>
      <c r="H16" s="170">
        <f t="shared" si="8"/>
        <v>283.59300000000007</v>
      </c>
      <c r="I16" s="377">
        <v>1082.7750000000001</v>
      </c>
      <c r="J16" s="393">
        <v>269.20400000000001</v>
      </c>
      <c r="K16" s="190">
        <v>255.56700000000001</v>
      </c>
      <c r="L16" s="190">
        <v>264.62099999999998</v>
      </c>
      <c r="M16" s="170">
        <f t="shared" si="9"/>
        <v>280.50200000000007</v>
      </c>
      <c r="N16" s="348">
        <v>1069.894</v>
      </c>
      <c r="O16" s="393">
        <v>264.88499999999999</v>
      </c>
      <c r="P16" s="190">
        <v>264.20600000000002</v>
      </c>
      <c r="Q16" s="190">
        <v>283.58100000000002</v>
      </c>
      <c r="R16" s="170">
        <f t="shared" si="10"/>
        <v>289.52999999999997</v>
      </c>
      <c r="S16" s="348">
        <v>1102.202</v>
      </c>
      <c r="T16" s="393">
        <v>280.21499999999997</v>
      </c>
      <c r="U16" s="190">
        <v>274.755</v>
      </c>
      <c r="V16" s="190">
        <v>281.74</v>
      </c>
      <c r="W16" s="170">
        <f t="shared" si="11"/>
        <v>307.875</v>
      </c>
      <c r="X16" s="348">
        <v>1144.585</v>
      </c>
      <c r="Y16" s="393">
        <v>300.87599999999998</v>
      </c>
      <c r="Z16" s="190">
        <v>297.51600000000002</v>
      </c>
      <c r="AA16" s="190">
        <v>325.149</v>
      </c>
      <c r="AB16" s="193">
        <f t="shared" si="12"/>
        <v>337.50300000000004</v>
      </c>
      <c r="AC16" s="348">
        <v>1261.0440000000001</v>
      </c>
      <c r="AD16" s="393">
        <v>328.72399999999999</v>
      </c>
      <c r="AE16" s="190">
        <v>331.74200000000002</v>
      </c>
      <c r="AF16" s="190">
        <v>332.07900000000001</v>
      </c>
      <c r="AG16" s="193">
        <f t="shared" si="13"/>
        <v>326.09299999999985</v>
      </c>
      <c r="AH16" s="348">
        <v>1318.6379999999999</v>
      </c>
      <c r="AI16" s="393">
        <v>331.98599999999999</v>
      </c>
      <c r="AJ16" s="190">
        <v>340.35399999999998</v>
      </c>
      <c r="AK16" s="190">
        <v>334.84100000000001</v>
      </c>
      <c r="AL16" s="193">
        <f t="shared" si="14"/>
        <v>330.09500000000014</v>
      </c>
      <c r="AM16" s="348">
        <v>1337.2760000000001</v>
      </c>
      <c r="AN16" s="393">
        <v>334.27300000000002</v>
      </c>
      <c r="AO16" s="190">
        <v>335.66800000000001</v>
      </c>
      <c r="AP16" s="190">
        <v>340.399</v>
      </c>
      <c r="AQ16" s="193">
        <f t="shared" si="15"/>
        <v>336.84699999999987</v>
      </c>
      <c r="AR16" s="348">
        <v>1347.1869999999999</v>
      </c>
      <c r="AS16" s="393">
        <v>347.26499999999999</v>
      </c>
      <c r="AT16" s="190">
        <v>350.32799999999997</v>
      </c>
      <c r="AU16" s="190">
        <v>354.73899999999998</v>
      </c>
      <c r="AV16" s="193">
        <f t="shared" si="16"/>
        <v>337.64600000000019</v>
      </c>
      <c r="AW16" s="348">
        <v>1389.9780000000001</v>
      </c>
      <c r="AX16" s="249">
        <f>Utility!AX23+EWC!AX17+Parent!AX17</f>
        <v>350.54973174999992</v>
      </c>
      <c r="AY16" s="250">
        <f>Utility!AY23+EWC!AY17+Parent!AY17</f>
        <v>358.54846190193746</v>
      </c>
      <c r="AZ16" s="250">
        <f>Utility!AZ23+EWC!AZ17+Parent!AZ17</f>
        <v>366.38772272458971</v>
      </c>
      <c r="BA16" s="251">
        <f>Utility!BA23+EWC!BA17+Parent!BA17</f>
        <v>373.98460073257587</v>
      </c>
      <c r="BB16" s="244">
        <f t="shared" si="17"/>
        <v>1449.4705171091032</v>
      </c>
      <c r="BC16" s="249">
        <f>Utility!BC23+EWC!BC17+Parent!BC17</f>
        <v>374.21935755324529</v>
      </c>
      <c r="BD16" s="250">
        <f>Utility!BD23+EWC!BD17+Parent!BD17</f>
        <v>380.97344594138298</v>
      </c>
      <c r="BE16" s="250">
        <f>Utility!BE23+EWC!BE17+Parent!BE17</f>
        <v>387.5843458130571</v>
      </c>
      <c r="BF16" s="251">
        <f>Utility!BF23+EWC!BF17+Parent!BF17</f>
        <v>393.96893333620704</v>
      </c>
      <c r="BG16" s="244">
        <f t="shared" si="18"/>
        <v>1536.7460826438924</v>
      </c>
      <c r="BH16" s="249">
        <f>Utility!BH23+EWC!BH17+Parent!BH17</f>
        <v>390.26607460284055</v>
      </c>
      <c r="BI16" s="250">
        <f>Utility!BI23+EWC!BI17+Parent!BI17</f>
        <v>395.7431257449079</v>
      </c>
      <c r="BJ16" s="250">
        <f>Utility!BJ23+EWC!BJ17+Parent!BJ17</f>
        <v>401.0916742988415</v>
      </c>
      <c r="BK16" s="251">
        <f>Utility!BK23+EWC!BK17+Parent!BK17</f>
        <v>406.22842754440495</v>
      </c>
      <c r="BL16" s="244">
        <f t="shared" si="19"/>
        <v>1593.3293021909949</v>
      </c>
      <c r="BM16" s="249">
        <f>Utility!BM23+EWC!BM17+Parent!BM17</f>
        <v>401.29208462764404</v>
      </c>
      <c r="BN16" s="250">
        <f>Utility!BN23+EWC!BN17+Parent!BN17</f>
        <v>407.29400332109287</v>
      </c>
      <c r="BO16" s="250">
        <f>Utility!BO23+EWC!BO17+Parent!BO17</f>
        <v>413.16138344956693</v>
      </c>
      <c r="BP16" s="251">
        <f>Utility!BP23+EWC!BP17+Parent!BP17</f>
        <v>418.81100170656367</v>
      </c>
      <c r="BQ16" s="244">
        <f t="shared" si="20"/>
        <v>1640.5584731048675</v>
      </c>
      <c r="BR16" s="311"/>
      <c r="BS16" s="311"/>
      <c r="BT16" s="311"/>
      <c r="BU16" s="311"/>
      <c r="BV16" s="311"/>
      <c r="BW16" s="311"/>
      <c r="BX16" s="311"/>
      <c r="BY16" s="311"/>
      <c r="BZ16" s="311"/>
      <c r="CA16" s="311"/>
      <c r="CB16" s="311"/>
      <c r="CC16" s="311"/>
      <c r="CD16" s="311"/>
      <c r="CE16" s="311"/>
      <c r="DP16" s="1955">
        <v>464.070488137734</v>
      </c>
      <c r="DQ16" s="1955">
        <v>415.03588173207498</v>
      </c>
    </row>
    <row r="17" spans="1:83">
      <c r="A17" s="311"/>
      <c r="B17" s="311"/>
      <c r="C17" s="1264" t="s">
        <v>754</v>
      </c>
      <c r="D17" s="311"/>
      <c r="E17" s="190">
        <v>-29.474</v>
      </c>
      <c r="F17" s="190">
        <v>13.327</v>
      </c>
      <c r="G17" s="190">
        <v>-13.224</v>
      </c>
      <c r="H17" s="170">
        <f t="shared" si="8"/>
        <v>7.6439999999999984</v>
      </c>
      <c r="I17" s="377">
        <v>-21.727</v>
      </c>
      <c r="J17" s="393">
        <v>28.091999999999999</v>
      </c>
      <c r="K17" s="190">
        <v>-10.722</v>
      </c>
      <c r="L17" s="190">
        <v>-1.8140000000000001</v>
      </c>
      <c r="M17" s="170">
        <f t="shared" si="9"/>
        <v>29.365000000000002</v>
      </c>
      <c r="N17" s="348">
        <v>44.920999999999999</v>
      </c>
      <c r="O17" s="393">
        <v>-5.1109999999999998</v>
      </c>
      <c r="P17" s="190">
        <v>5.601</v>
      </c>
      <c r="Q17" s="190">
        <v>203.84800000000001</v>
      </c>
      <c r="R17" s="170">
        <f t="shared" si="10"/>
        <v>1.6209999999999809</v>
      </c>
      <c r="S17" s="348">
        <v>205.959</v>
      </c>
      <c r="T17" s="393">
        <v>0.38200000000000001</v>
      </c>
      <c r="U17" s="190">
        <v>137.65</v>
      </c>
      <c r="V17" s="190">
        <v>24.477</v>
      </c>
      <c r="W17" s="170">
        <f t="shared" si="11"/>
        <v>12.594999999999999</v>
      </c>
      <c r="X17" s="348">
        <v>175.10400000000001</v>
      </c>
      <c r="Y17" s="393">
        <v>5.3150000000000004</v>
      </c>
      <c r="Z17" s="190">
        <v>3.8919999999999999</v>
      </c>
      <c r="AA17" s="190">
        <v>13.708</v>
      </c>
      <c r="AB17" s="193">
        <f t="shared" si="12"/>
        <v>22.682000000000002</v>
      </c>
      <c r="AC17" s="348">
        <v>45.597000000000001</v>
      </c>
      <c r="AD17" s="393">
        <v>3.9950000000000001</v>
      </c>
      <c r="AE17" s="190">
        <v>-14.64</v>
      </c>
      <c r="AF17" s="190">
        <v>3.6349999999999998</v>
      </c>
      <c r="AG17" s="193">
        <f t="shared" si="13"/>
        <v>-6.7620000000000005</v>
      </c>
      <c r="AH17" s="348">
        <v>-13.772</v>
      </c>
      <c r="AI17" s="393">
        <v>10.457000000000001</v>
      </c>
      <c r="AJ17" s="190">
        <v>2.6539999999999999</v>
      </c>
      <c r="AK17" s="190">
        <v>22.16</v>
      </c>
      <c r="AL17" s="193">
        <f t="shared" si="14"/>
        <v>140.03300000000002</v>
      </c>
      <c r="AM17" s="348">
        <v>175.304</v>
      </c>
      <c r="AN17" s="393">
        <v>1.159</v>
      </c>
      <c r="AO17" s="190">
        <v>21.353000000000002</v>
      </c>
      <c r="AP17" s="190">
        <v>33.113</v>
      </c>
      <c r="AQ17" s="193">
        <f t="shared" si="15"/>
        <v>38.617999999999995</v>
      </c>
      <c r="AR17" s="348">
        <v>94.242999999999995</v>
      </c>
      <c r="AS17" s="393">
        <v>-85.302000000000007</v>
      </c>
      <c r="AT17" s="190">
        <v>6.5529999999999999</v>
      </c>
      <c r="AU17" s="190">
        <v>19.434999999999999</v>
      </c>
      <c r="AV17" s="193">
        <f t="shared" si="16"/>
        <v>-72.587000000000003</v>
      </c>
      <c r="AW17" s="348">
        <v>-131.90100000000001</v>
      </c>
      <c r="AX17" s="249">
        <f>Utility!AX24</f>
        <v>-85.302000000000007</v>
      </c>
      <c r="AY17" s="250">
        <f>Utility!AY24</f>
        <v>6.5529999999999999</v>
      </c>
      <c r="AZ17" s="250">
        <f>Utility!AZ24</f>
        <v>19.434999999999999</v>
      </c>
      <c r="BA17" s="251">
        <f>Utility!BA24</f>
        <v>-72.587000000000003</v>
      </c>
      <c r="BB17" s="244">
        <f t="shared" si="17"/>
        <v>-131.90100000000001</v>
      </c>
      <c r="BC17" s="249">
        <f>Utility!BC24</f>
        <v>-85.302000000000007</v>
      </c>
      <c r="BD17" s="250">
        <f>Utility!BD24</f>
        <v>6.5529999999999999</v>
      </c>
      <c r="BE17" s="250">
        <f>Utility!BE24</f>
        <v>19.434999999999999</v>
      </c>
      <c r="BF17" s="251">
        <f>Utility!BF24</f>
        <v>-72.587000000000003</v>
      </c>
      <c r="BG17" s="244">
        <f t="shared" si="18"/>
        <v>-131.90100000000001</v>
      </c>
      <c r="BH17" s="249">
        <f>Utility!BH24</f>
        <v>-85.302000000000007</v>
      </c>
      <c r="BI17" s="250">
        <f>Utility!BI24</f>
        <v>6.5529999999999999</v>
      </c>
      <c r="BJ17" s="250">
        <f>Utility!BJ24</f>
        <v>19.434999999999999</v>
      </c>
      <c r="BK17" s="251">
        <f>Utility!BK24</f>
        <v>-72.587000000000003</v>
      </c>
      <c r="BL17" s="244">
        <f t="shared" si="19"/>
        <v>-131.90100000000001</v>
      </c>
      <c r="BM17" s="249">
        <f>Utility!BM24</f>
        <v>-85.302000000000007</v>
      </c>
      <c r="BN17" s="250">
        <f>Utility!BN24</f>
        <v>6.5529999999999999</v>
      </c>
      <c r="BO17" s="250">
        <f>Utility!BO24</f>
        <v>19.434999999999999</v>
      </c>
      <c r="BP17" s="251">
        <f>Utility!BP24</f>
        <v>-72.587000000000003</v>
      </c>
      <c r="BQ17" s="244">
        <f t="shared" si="20"/>
        <v>-131.90100000000001</v>
      </c>
      <c r="BR17" s="311"/>
      <c r="BS17" s="311"/>
      <c r="BT17" s="311"/>
      <c r="BU17" s="311"/>
      <c r="BV17" s="311"/>
      <c r="BW17" s="311"/>
      <c r="BX17" s="311"/>
      <c r="BY17" s="311"/>
      <c r="BZ17" s="311"/>
      <c r="CA17" s="311"/>
      <c r="CB17" s="311"/>
      <c r="CC17" s="311"/>
      <c r="CD17" s="311"/>
      <c r="CE17" s="311"/>
    </row>
    <row r="18" spans="1:83">
      <c r="A18" s="327"/>
      <c r="B18" s="327"/>
      <c r="C18" s="1173" t="s">
        <v>228</v>
      </c>
      <c r="D18" s="327"/>
      <c r="E18" s="181">
        <f t="shared" ref="E18:J18" si="21">SUM(E9,E12:E17)</f>
        <v>2282.5849999999996</v>
      </c>
      <c r="F18" s="181">
        <f t="shared" si="21"/>
        <v>2046.2930000000001</v>
      </c>
      <c r="G18" s="181">
        <f t="shared" si="21"/>
        <v>2136.7910000000002</v>
      </c>
      <c r="H18" s="182">
        <f t="shared" si="21"/>
        <v>1995.4549999999999</v>
      </c>
      <c r="I18" s="378">
        <f t="shared" si="21"/>
        <v>8461.1239999999998</v>
      </c>
      <c r="J18" s="180">
        <f t="shared" si="21"/>
        <v>2282.6330000000003</v>
      </c>
      <c r="K18" s="181">
        <f t="shared" ref="K18:AP18" si="22">SUM(K9,K12:K17)</f>
        <v>2236.799</v>
      </c>
      <c r="L18" s="181">
        <f t="shared" si="22"/>
        <v>2561.5340000000006</v>
      </c>
      <c r="M18" s="182">
        <f t="shared" si="22"/>
        <v>2183.4070000000002</v>
      </c>
      <c r="N18" s="110">
        <f t="shared" si="22"/>
        <v>9264.3729999999996</v>
      </c>
      <c r="O18" s="180">
        <f t="shared" si="22"/>
        <v>2030.3169999999998</v>
      </c>
      <c r="P18" s="181">
        <f t="shared" si="22"/>
        <v>2244.5420000000004</v>
      </c>
      <c r="Q18" s="181">
        <f t="shared" si="22"/>
        <v>2794.6440000000002</v>
      </c>
      <c r="R18" s="182">
        <f t="shared" si="22"/>
        <v>2146.3359999999998</v>
      </c>
      <c r="S18" s="110">
        <f t="shared" si="22"/>
        <v>9215.8389999999999</v>
      </c>
      <c r="T18" s="180">
        <f t="shared" si="22"/>
        <v>2084.9920000000002</v>
      </c>
      <c r="U18" s="181">
        <f t="shared" si="22"/>
        <v>2175.616</v>
      </c>
      <c r="V18" s="181">
        <f t="shared" si="22"/>
        <v>2272.7079999999996</v>
      </c>
      <c r="W18" s="182">
        <f t="shared" si="22"/>
        <v>2112.058</v>
      </c>
      <c r="X18" s="110">
        <f t="shared" si="22"/>
        <v>8645.3739999999998</v>
      </c>
      <c r="Y18" s="180">
        <f t="shared" si="22"/>
        <v>2214.8290000000002</v>
      </c>
      <c r="Z18" s="181">
        <f t="shared" si="22"/>
        <v>2391.6959999999999</v>
      </c>
      <c r="AA18" s="181">
        <f t="shared" si="22"/>
        <v>2671.5599999999995</v>
      </c>
      <c r="AB18" s="182">
        <f>SUM(AB9,AB12:AB17)</f>
        <v>2459.8950000000004</v>
      </c>
      <c r="AC18" s="110">
        <f>SUM(AC9,AC12:AC17)</f>
        <v>9737.9800000000014</v>
      </c>
      <c r="AD18" s="180">
        <f t="shared" si="22"/>
        <v>2468.9659999999999</v>
      </c>
      <c r="AE18" s="181">
        <f t="shared" si="22"/>
        <v>2542.1730000000002</v>
      </c>
      <c r="AF18" s="181">
        <f t="shared" ref="AF18" si="23">SUM(AF9,AF12:AF17)</f>
        <v>2801.4160000000006</v>
      </c>
      <c r="AG18" s="182">
        <f>SUM(AG9,AG12:AG17)</f>
        <v>2495.7249999999999</v>
      </c>
      <c r="AH18" s="110">
        <f>SUM(AH9,AH12:AH17)</f>
        <v>10308.279999999999</v>
      </c>
      <c r="AI18" s="180">
        <f t="shared" ref="AI18:AJ18" si="24">SUM(AI9,AI12:AI17)</f>
        <v>2377.3209999999999</v>
      </c>
      <c r="AJ18" s="181">
        <f t="shared" si="24"/>
        <v>2335.848</v>
      </c>
      <c r="AK18" s="181">
        <f t="shared" si="22"/>
        <v>2694.2179999999994</v>
      </c>
      <c r="AL18" s="182">
        <f>SUM(AL9,AL12:AL17)</f>
        <v>2454.16</v>
      </c>
      <c r="AM18" s="110">
        <f>SUM(AM9,AM12:AM17)</f>
        <v>9861.5469999999987</v>
      </c>
      <c r="AN18" s="180">
        <f>SUM(AN9,AN12:AN17)</f>
        <v>2104.2730000000001</v>
      </c>
      <c r="AO18" s="181">
        <f t="shared" ref="AO18" si="25">SUM(AO9,AO12:AO17)</f>
        <v>2013.335</v>
      </c>
      <c r="AP18" s="181">
        <f t="shared" si="22"/>
        <v>2333.8019999999997</v>
      </c>
      <c r="AQ18" s="182">
        <f>SUM(AQ9,AQ12:AQ17)</f>
        <v>2445.0629999999992</v>
      </c>
      <c r="AR18" s="110">
        <f>SUM(AR9,AR12:AR17)</f>
        <v>8896.473</v>
      </c>
      <c r="AS18" s="180">
        <f>SUM(AS9,AS12:AS17)</f>
        <v>2218.134</v>
      </c>
      <c r="AT18" s="181">
        <f t="shared" ref="AT18" si="26">SUM(AT9,AT12:AT17)</f>
        <v>2281.4699999999998</v>
      </c>
      <c r="AU18" s="181">
        <f t="shared" ref="AU18:BB18" si="27">SUM(AU9,AU12:AU17)</f>
        <v>2497.9380000000001</v>
      </c>
      <c r="AV18" s="182">
        <f>SUM(AV9,AV12:AV17)</f>
        <v>2295.1549999999997</v>
      </c>
      <c r="AW18" s="110">
        <f>SUM(AW9,AW12:AW17)</f>
        <v>9292.6969999999983</v>
      </c>
      <c r="AX18" s="248">
        <f t="shared" si="27"/>
        <v>2098.3653909140371</v>
      </c>
      <c r="AY18" s="246">
        <f t="shared" si="27"/>
        <v>2250.5501400498792</v>
      </c>
      <c r="AZ18" s="246">
        <f t="shared" si="27"/>
        <v>2544.1262737409311</v>
      </c>
      <c r="BA18" s="247">
        <f t="shared" si="27"/>
        <v>2281.287882112917</v>
      </c>
      <c r="BB18" s="245">
        <f t="shared" si="27"/>
        <v>9174.3296868177658</v>
      </c>
      <c r="BC18" s="248">
        <f t="shared" ref="BC18:BL18" si="28">SUM(BC9,BC12:BC17)</f>
        <v>2119.7052067051741</v>
      </c>
      <c r="BD18" s="246">
        <f t="shared" si="28"/>
        <v>2271.19822472745</v>
      </c>
      <c r="BE18" s="246">
        <f t="shared" si="28"/>
        <v>2563.5081489087843</v>
      </c>
      <c r="BF18" s="247">
        <f t="shared" si="28"/>
        <v>2292.4324719779274</v>
      </c>
      <c r="BG18" s="245">
        <f t="shared" si="28"/>
        <v>9246.8440523193367</v>
      </c>
      <c r="BH18" s="248">
        <f t="shared" si="28"/>
        <v>2107.2798174451559</v>
      </c>
      <c r="BI18" s="246">
        <f t="shared" si="28"/>
        <v>2255.2175036361778</v>
      </c>
      <c r="BJ18" s="246">
        <f t="shared" si="28"/>
        <v>2548.1368243545385</v>
      </c>
      <c r="BK18" s="247">
        <f t="shared" si="28"/>
        <v>2275.0098031513544</v>
      </c>
      <c r="BL18" s="245">
        <f t="shared" si="28"/>
        <v>9185.643948587227</v>
      </c>
      <c r="BM18" s="248">
        <f t="shared" ref="BM18:BQ18" si="29">SUM(BM9,BM12:BM17)</f>
        <v>2090.4028920017422</v>
      </c>
      <c r="BN18" s="246">
        <f t="shared" si="29"/>
        <v>2242.0143391763627</v>
      </c>
      <c r="BO18" s="246">
        <f t="shared" si="29"/>
        <v>2533.2846173740559</v>
      </c>
      <c r="BP18" s="247">
        <f t="shared" si="29"/>
        <v>2265.9444510701355</v>
      </c>
      <c r="BQ18" s="245">
        <f t="shared" si="29"/>
        <v>9131.6462996222963</v>
      </c>
      <c r="BR18" s="327"/>
      <c r="BS18" s="327"/>
      <c r="BT18" s="327"/>
      <c r="BU18" s="327"/>
      <c r="BV18" s="327"/>
      <c r="BW18" s="327"/>
      <c r="BX18" s="327"/>
      <c r="BY18" s="327"/>
      <c r="BZ18" s="327"/>
      <c r="CA18" s="327"/>
      <c r="CB18" s="327"/>
      <c r="CC18" s="327"/>
      <c r="CD18" s="327"/>
      <c r="CE18" s="327"/>
    </row>
    <row r="19" spans="1:83">
      <c r="A19" s="311"/>
      <c r="B19" s="311"/>
      <c r="C19" s="1175"/>
      <c r="D19" s="311"/>
      <c r="E19" s="169"/>
      <c r="F19" s="169"/>
      <c r="G19" s="169"/>
      <c r="H19" s="170"/>
      <c r="I19" s="379"/>
      <c r="J19" s="168"/>
      <c r="K19" s="169"/>
      <c r="L19" s="169"/>
      <c r="M19" s="170"/>
      <c r="N19" s="244"/>
      <c r="O19" s="168"/>
      <c r="P19" s="169"/>
      <c r="Q19" s="169"/>
      <c r="R19" s="170"/>
      <c r="S19" s="244"/>
      <c r="T19" s="168"/>
      <c r="U19" s="169"/>
      <c r="V19" s="169"/>
      <c r="W19" s="170"/>
      <c r="X19" s="244"/>
      <c r="Y19" s="168"/>
      <c r="Z19" s="169"/>
      <c r="AA19" s="169"/>
      <c r="AB19" s="170"/>
      <c r="AC19" s="244"/>
      <c r="AD19" s="168"/>
      <c r="AE19" s="169"/>
      <c r="AF19" s="169"/>
      <c r="AG19" s="170"/>
      <c r="AH19" s="244"/>
      <c r="AI19" s="168"/>
      <c r="AJ19" s="169"/>
      <c r="AK19" s="169"/>
      <c r="AL19" s="170"/>
      <c r="AM19" s="244"/>
      <c r="AN19" s="168"/>
      <c r="AO19" s="169"/>
      <c r="AP19" s="169"/>
      <c r="AQ19" s="170"/>
      <c r="AR19" s="244"/>
      <c r="AS19" s="168"/>
      <c r="AT19" s="169"/>
      <c r="AU19" s="250"/>
      <c r="AV19" s="170"/>
      <c r="AW19" s="244"/>
      <c r="AX19" s="249"/>
      <c r="AY19" s="250"/>
      <c r="AZ19" s="250"/>
      <c r="BA19" s="251"/>
      <c r="BB19" s="244"/>
      <c r="BC19" s="249"/>
      <c r="BD19" s="250"/>
      <c r="BE19" s="250"/>
      <c r="BF19" s="251"/>
      <c r="BG19" s="244"/>
      <c r="BH19" s="249"/>
      <c r="BI19" s="250"/>
      <c r="BJ19" s="250"/>
      <c r="BK19" s="251"/>
      <c r="BL19" s="244"/>
      <c r="BM19" s="249"/>
      <c r="BN19" s="250"/>
      <c r="BO19" s="250"/>
      <c r="BP19" s="251"/>
      <c r="BQ19" s="244"/>
      <c r="BR19" s="311"/>
      <c r="BS19" s="311"/>
      <c r="BT19" s="311"/>
      <c r="BU19" s="311"/>
      <c r="BV19" s="311"/>
      <c r="BW19" s="311"/>
      <c r="BX19" s="311"/>
      <c r="BY19" s="311"/>
      <c r="BZ19" s="311"/>
      <c r="CA19" s="311"/>
      <c r="CB19" s="311"/>
      <c r="CC19" s="311"/>
      <c r="CD19" s="311"/>
      <c r="CE19" s="311"/>
    </row>
    <row r="20" spans="1:83">
      <c r="A20" s="311"/>
      <c r="B20" s="311"/>
      <c r="C20" s="1175" t="s">
        <v>322</v>
      </c>
      <c r="D20" s="311"/>
      <c r="E20" s="246">
        <f t="shared" ref="E20:AP20" si="30">E8-E18</f>
        <v>506.5270000000005</v>
      </c>
      <c r="F20" s="246">
        <f t="shared" si="30"/>
        <v>474.49600000000009</v>
      </c>
      <c r="G20" s="246">
        <f t="shared" si="30"/>
        <v>800.30399999999963</v>
      </c>
      <c r="H20" s="247">
        <f t="shared" si="30"/>
        <v>503.19900000000052</v>
      </c>
      <c r="I20" s="380">
        <f t="shared" si="30"/>
        <v>2284.5259999999998</v>
      </c>
      <c r="J20" s="248">
        <f t="shared" si="30"/>
        <v>476.71399999999994</v>
      </c>
      <c r="K20" s="246">
        <f t="shared" si="30"/>
        <v>626.15099999999984</v>
      </c>
      <c r="L20" s="246">
        <f t="shared" si="30"/>
        <v>770.64199999999937</v>
      </c>
      <c r="M20" s="247">
        <f t="shared" si="30"/>
        <v>349.69699999999921</v>
      </c>
      <c r="N20" s="245">
        <f t="shared" si="30"/>
        <v>2223.2039999999997</v>
      </c>
      <c r="O20" s="248">
        <f t="shared" si="30"/>
        <v>510.8910000000003</v>
      </c>
      <c r="P20" s="246">
        <f t="shared" si="30"/>
        <v>558.73699999999963</v>
      </c>
      <c r="Q20" s="246">
        <f t="shared" si="30"/>
        <v>600.90899999999965</v>
      </c>
      <c r="R20" s="247">
        <f t="shared" si="30"/>
        <v>342.69699999999966</v>
      </c>
      <c r="S20" s="245">
        <f t="shared" si="30"/>
        <v>2013.2340000000004</v>
      </c>
      <c r="T20" s="248">
        <f t="shared" si="30"/>
        <v>298.66699999999992</v>
      </c>
      <c r="U20" s="246">
        <f t="shared" si="30"/>
        <v>342.98399999999992</v>
      </c>
      <c r="V20" s="246">
        <f t="shared" si="30"/>
        <v>690.85200000000032</v>
      </c>
      <c r="W20" s="247">
        <f t="shared" si="30"/>
        <v>324.20200000000023</v>
      </c>
      <c r="X20" s="245">
        <f t="shared" si="30"/>
        <v>1656.7049999999999</v>
      </c>
      <c r="Y20" s="248">
        <f t="shared" si="30"/>
        <v>394.04499999999962</v>
      </c>
      <c r="Z20" s="246">
        <f t="shared" ref="Z20:AE20" si="31">Z8-Z18</f>
        <v>346.51200000000017</v>
      </c>
      <c r="AA20" s="246">
        <f t="shared" si="31"/>
        <v>680.39900000000034</v>
      </c>
      <c r="AB20" s="247">
        <f t="shared" si="31"/>
        <v>232.0109999999986</v>
      </c>
      <c r="AC20" s="245">
        <f t="shared" si="31"/>
        <v>1652.9669999999987</v>
      </c>
      <c r="AD20" s="248">
        <f t="shared" si="31"/>
        <v>739.87699999999995</v>
      </c>
      <c r="AE20" s="246">
        <f t="shared" si="31"/>
        <v>454.47699999999986</v>
      </c>
      <c r="AF20" s="246">
        <f t="shared" ref="AF20:AJ20" si="32">AF8-AF18</f>
        <v>656.69399999999951</v>
      </c>
      <c r="AG20" s="247">
        <f t="shared" si="32"/>
        <v>335.59299999999939</v>
      </c>
      <c r="AH20" s="245">
        <f t="shared" si="32"/>
        <v>2186.6410000000014</v>
      </c>
      <c r="AI20" s="248">
        <f t="shared" si="32"/>
        <v>542.76900000000023</v>
      </c>
      <c r="AJ20" s="246">
        <f t="shared" si="32"/>
        <v>377.38300000000027</v>
      </c>
      <c r="AK20" s="246">
        <f t="shared" si="30"/>
        <v>677.18800000000056</v>
      </c>
      <c r="AL20" s="247">
        <f t="shared" si="30"/>
        <v>54.364000000001397</v>
      </c>
      <c r="AM20" s="245">
        <f t="shared" si="30"/>
        <v>1651.7040000000015</v>
      </c>
      <c r="AN20" s="248">
        <f>AN8-AN18</f>
        <v>505.57899999999972</v>
      </c>
      <c r="AO20" s="246">
        <f t="shared" ref="AO20" si="33">AO8-AO18</f>
        <v>449.22699999999986</v>
      </c>
      <c r="AP20" s="246">
        <f t="shared" si="30"/>
        <v>790.90100000000029</v>
      </c>
      <c r="AQ20" s="247">
        <f t="shared" ref="AQ20:AR20" si="34">AQ8-AQ18</f>
        <v>203.46500000000106</v>
      </c>
      <c r="AR20" s="245">
        <f t="shared" si="34"/>
        <v>1949.1720000000005</v>
      </c>
      <c r="AS20" s="248">
        <f>AS8-AS18</f>
        <v>370.32400000000007</v>
      </c>
      <c r="AT20" s="246">
        <f t="shared" ref="AT20" si="35">AT8-AT18</f>
        <v>337.08000000000038</v>
      </c>
      <c r="AU20" s="246">
        <f t="shared" ref="AU20:BB20" si="36">AU8-AU18</f>
        <v>745.69</v>
      </c>
      <c r="AV20" s="247">
        <f t="shared" si="36"/>
        <v>328.6899999999996</v>
      </c>
      <c r="AW20" s="245">
        <f t="shared" si="36"/>
        <v>1781.7840000000015</v>
      </c>
      <c r="AX20" s="248">
        <f t="shared" si="36"/>
        <v>348.51984677879454</v>
      </c>
      <c r="AY20" s="246">
        <f t="shared" si="36"/>
        <v>440.80811269434889</v>
      </c>
      <c r="AZ20" s="246">
        <f t="shared" si="36"/>
        <v>759.55788667609386</v>
      </c>
      <c r="BA20" s="247">
        <f t="shared" si="36"/>
        <v>299.0796036101674</v>
      </c>
      <c r="BB20" s="245">
        <f t="shared" si="36"/>
        <v>1847.9654497594038</v>
      </c>
      <c r="BC20" s="248">
        <f t="shared" ref="BC20:BL20" si="37">BC8-BC18</f>
        <v>448.15939295875705</v>
      </c>
      <c r="BD20" s="246">
        <f t="shared" si="37"/>
        <v>475.00408265450824</v>
      </c>
      <c r="BE20" s="246">
        <f t="shared" si="37"/>
        <v>756.20876173564557</v>
      </c>
      <c r="BF20" s="247">
        <f t="shared" si="37"/>
        <v>287.06107642241295</v>
      </c>
      <c r="BG20" s="245">
        <f t="shared" si="37"/>
        <v>1966.4333137713238</v>
      </c>
      <c r="BH20" s="248">
        <f t="shared" si="37"/>
        <v>570.01144259984312</v>
      </c>
      <c r="BI20" s="246">
        <f t="shared" si="37"/>
        <v>488.68511598612122</v>
      </c>
      <c r="BJ20" s="246">
        <f t="shared" si="37"/>
        <v>768.37629686020364</v>
      </c>
      <c r="BK20" s="247">
        <f t="shared" si="37"/>
        <v>305.88189420536901</v>
      </c>
      <c r="BL20" s="245">
        <f t="shared" si="37"/>
        <v>2132.954749651537</v>
      </c>
      <c r="BM20" s="248">
        <f t="shared" ref="BM20:BQ20" si="38">BM8-BM18</f>
        <v>470.53739654090577</v>
      </c>
      <c r="BN20" s="246">
        <f t="shared" si="38"/>
        <v>527.99351317021183</v>
      </c>
      <c r="BO20" s="246">
        <f t="shared" si="38"/>
        <v>799.72618079647054</v>
      </c>
      <c r="BP20" s="247">
        <f t="shared" si="38"/>
        <v>346.55787181503183</v>
      </c>
      <c r="BQ20" s="245">
        <f t="shared" si="38"/>
        <v>2144.81496232262</v>
      </c>
      <c r="BR20" s="311"/>
      <c r="BS20" s="311"/>
      <c r="BT20" s="311"/>
      <c r="BU20" s="311"/>
      <c r="BV20" s="311"/>
      <c r="BW20" s="311"/>
      <c r="BX20" s="311"/>
      <c r="BY20" s="311"/>
      <c r="BZ20" s="311"/>
      <c r="CA20" s="311"/>
      <c r="CB20" s="311"/>
      <c r="CC20" s="311"/>
      <c r="CD20" s="311"/>
      <c r="CE20" s="311"/>
    </row>
    <row r="21" spans="1:83">
      <c r="A21" s="311"/>
      <c r="B21" s="311"/>
      <c r="C21" s="1175"/>
      <c r="D21" s="311"/>
      <c r="E21" s="250"/>
      <c r="F21" s="250"/>
      <c r="G21" s="250"/>
      <c r="H21" s="251"/>
      <c r="I21" s="379"/>
      <c r="J21" s="249"/>
      <c r="K21" s="250"/>
      <c r="L21" s="250"/>
      <c r="M21" s="251"/>
      <c r="N21" s="244"/>
      <c r="O21" s="249"/>
      <c r="P21" s="250"/>
      <c r="Q21" s="250"/>
      <c r="R21" s="251"/>
      <c r="S21" s="244"/>
      <c r="T21" s="249"/>
      <c r="U21" s="250"/>
      <c r="V21" s="250"/>
      <c r="W21" s="251"/>
      <c r="X21" s="244"/>
      <c r="Y21" s="249"/>
      <c r="Z21" s="250"/>
      <c r="AA21" s="250"/>
      <c r="AB21" s="251"/>
      <c r="AC21" s="244"/>
      <c r="AD21" s="249"/>
      <c r="AE21" s="250"/>
      <c r="AF21" s="250"/>
      <c r="AG21" s="251"/>
      <c r="AH21" s="244"/>
      <c r="AI21" s="249"/>
      <c r="AJ21" s="250"/>
      <c r="AK21" s="250"/>
      <c r="AL21" s="251"/>
      <c r="AM21" s="244"/>
      <c r="AN21" s="249"/>
      <c r="AO21" s="250"/>
      <c r="AP21" s="250"/>
      <c r="AQ21" s="251"/>
      <c r="AR21" s="244"/>
      <c r="AS21" s="249"/>
      <c r="AT21" s="250"/>
      <c r="AU21" s="250"/>
      <c r="AV21" s="251"/>
      <c r="AW21" s="244"/>
      <c r="AX21" s="249"/>
      <c r="AY21" s="250"/>
      <c r="AZ21" s="250"/>
      <c r="BA21" s="251"/>
      <c r="BB21" s="244"/>
      <c r="BC21" s="249"/>
      <c r="BD21" s="250"/>
      <c r="BE21" s="250"/>
      <c r="BF21" s="251"/>
      <c r="BG21" s="244"/>
      <c r="BH21" s="249"/>
      <c r="BI21" s="250"/>
      <c r="BJ21" s="250"/>
      <c r="BK21" s="251"/>
      <c r="BL21" s="244"/>
      <c r="BM21" s="249"/>
      <c r="BN21" s="250"/>
      <c r="BO21" s="250"/>
      <c r="BP21" s="251"/>
      <c r="BQ21" s="244"/>
      <c r="BR21" s="311"/>
      <c r="BS21" s="311"/>
      <c r="BT21" s="311"/>
      <c r="BU21" s="311"/>
      <c r="BV21" s="311"/>
      <c r="BW21" s="311"/>
      <c r="BX21" s="311"/>
      <c r="BY21" s="311"/>
      <c r="BZ21" s="311"/>
      <c r="CA21" s="311"/>
      <c r="CB21" s="311"/>
      <c r="CC21" s="311"/>
      <c r="CD21" s="311"/>
      <c r="CE21" s="311"/>
    </row>
    <row r="22" spans="1:83">
      <c r="A22" s="311"/>
      <c r="B22" s="311"/>
      <c r="C22" s="1264" t="s">
        <v>326</v>
      </c>
      <c r="D22" s="311"/>
      <c r="E22" s="190">
        <v>16.946999999999999</v>
      </c>
      <c r="F22" s="190">
        <v>15.782</v>
      </c>
      <c r="G22" s="190">
        <v>14.77</v>
      </c>
      <c r="H22" s="170">
        <f>I22-SUM(E22:G22)</f>
        <v>12.046000000000006</v>
      </c>
      <c r="I22" s="377">
        <v>59.545000000000002</v>
      </c>
      <c r="J22" s="393">
        <v>13.295999999999999</v>
      </c>
      <c r="K22" s="190">
        <v>17.63</v>
      </c>
      <c r="L22" s="190">
        <v>15.064</v>
      </c>
      <c r="M22" s="170">
        <f>N22-SUM(J22:L22)</f>
        <v>13.391000000000005</v>
      </c>
      <c r="N22" s="348">
        <v>59.381</v>
      </c>
      <c r="O22" s="393">
        <v>17.289000000000001</v>
      </c>
      <c r="P22" s="190">
        <v>20.753</v>
      </c>
      <c r="Q22" s="190">
        <v>21.515999999999998</v>
      </c>
      <c r="R22" s="170">
        <f>S22-SUM(O22:Q22)</f>
        <v>24.747000000000007</v>
      </c>
      <c r="S22" s="348">
        <v>84.305000000000007</v>
      </c>
      <c r="T22" s="393">
        <v>24.306999999999999</v>
      </c>
      <c r="U22" s="190">
        <v>28.282</v>
      </c>
      <c r="V22" s="190">
        <v>18.396000000000001</v>
      </c>
      <c r="W22" s="170">
        <f>X22-SUM(T22:V22)</f>
        <v>21.774000000000001</v>
      </c>
      <c r="X22" s="348">
        <v>92.759</v>
      </c>
      <c r="Y22" s="393">
        <v>12.750999999999999</v>
      </c>
      <c r="Z22" s="190">
        <v>16.248999999999999</v>
      </c>
      <c r="AA22" s="190">
        <v>17.675999999999998</v>
      </c>
      <c r="AB22" s="193">
        <f>AC22-SUM(Y22:AA22)</f>
        <v>19.376999999999995</v>
      </c>
      <c r="AC22" s="348">
        <v>66.052999999999997</v>
      </c>
      <c r="AD22" s="393">
        <v>15.129</v>
      </c>
      <c r="AE22" s="190">
        <v>14.788</v>
      </c>
      <c r="AF22" s="190">
        <v>16.736999999999998</v>
      </c>
      <c r="AG22" s="193">
        <f>AH22-SUM(AD22:AF22)</f>
        <v>18.14800000000001</v>
      </c>
      <c r="AH22" s="348">
        <v>64.802000000000007</v>
      </c>
      <c r="AI22" s="393">
        <v>11.738</v>
      </c>
      <c r="AJ22" s="190">
        <v>11.974</v>
      </c>
      <c r="AK22" s="190">
        <v>14.129</v>
      </c>
      <c r="AL22" s="193">
        <f>AM22-SUM(AI22:AK22)</f>
        <v>14.067</v>
      </c>
      <c r="AM22" s="348">
        <v>51.908000000000001</v>
      </c>
      <c r="AN22" s="393">
        <v>18.931999999999999</v>
      </c>
      <c r="AO22" s="190">
        <v>13.86</v>
      </c>
      <c r="AP22" s="190">
        <v>15.451000000000001</v>
      </c>
      <c r="AQ22" s="193">
        <f>AR22-SUM(AN22:AP22)</f>
        <v>19.32</v>
      </c>
      <c r="AR22" s="348">
        <v>67.563000000000002</v>
      </c>
      <c r="AS22" s="393">
        <v>19.007999999999999</v>
      </c>
      <c r="AT22" s="190">
        <v>22.376000000000001</v>
      </c>
      <c r="AU22" s="190">
        <v>24.338000000000001</v>
      </c>
      <c r="AV22" s="193">
        <f>AW22-SUM(AS22:AU22)</f>
        <v>29.365999999999985</v>
      </c>
      <c r="AW22" s="348">
        <v>95.087999999999994</v>
      </c>
      <c r="AX22" s="249">
        <f>Utility!AX29+Parent!AX22</f>
        <v>27.141670738636368</v>
      </c>
      <c r="AY22" s="250">
        <f>Utility!AY29+Parent!AY22</f>
        <v>27.141670738636368</v>
      </c>
      <c r="AZ22" s="250">
        <f>Utility!AZ29+Parent!AZ22</f>
        <v>27.141670738636368</v>
      </c>
      <c r="BA22" s="251">
        <f>Utility!BA29+Parent!BA22</f>
        <v>27.141670738636368</v>
      </c>
      <c r="BB22" s="244">
        <f>SUM(AX22:BA22)</f>
        <v>108.56668295454547</v>
      </c>
      <c r="BC22" s="249">
        <f>Utility!BC29+Parent!BC22</f>
        <v>25.20297997159091</v>
      </c>
      <c r="BD22" s="250">
        <f>Utility!BD29+Parent!BD22</f>
        <v>25.20297997159091</v>
      </c>
      <c r="BE22" s="250">
        <f>Utility!BE29+Parent!BE22</f>
        <v>25.20297997159091</v>
      </c>
      <c r="BF22" s="251">
        <f>Utility!BF29+Parent!BF22</f>
        <v>25.20297997159091</v>
      </c>
      <c r="BG22" s="244">
        <f>SUM(BC22:BF22)</f>
        <v>100.81191988636364</v>
      </c>
      <c r="BH22" s="249">
        <f>Utility!BH29+Parent!BH22</f>
        <v>22.848855468750003</v>
      </c>
      <c r="BI22" s="250">
        <f>Utility!BI29+Parent!BI22</f>
        <v>22.848855468750003</v>
      </c>
      <c r="BJ22" s="250">
        <f>Utility!BJ29+Parent!BJ22</f>
        <v>22.848855468750003</v>
      </c>
      <c r="BK22" s="251">
        <f>Utility!BK29+Parent!BK22</f>
        <v>22.848855468750003</v>
      </c>
      <c r="BL22" s="244">
        <f>SUM(BH22:BK22)</f>
        <v>91.395421875000011</v>
      </c>
      <c r="BM22" s="249">
        <f>Utility!BM29+Parent!BM22</f>
        <v>24.695227627840911</v>
      </c>
      <c r="BN22" s="250">
        <f>Utility!BN29+Parent!BN22</f>
        <v>24.695227627840911</v>
      </c>
      <c r="BO22" s="250">
        <f>Utility!BO29+Parent!BO22</f>
        <v>24.695227627840911</v>
      </c>
      <c r="BP22" s="251">
        <f>Utility!BP29+Parent!BP22</f>
        <v>24.695227627840911</v>
      </c>
      <c r="BQ22" s="244">
        <f>SUM(BM22:BP22)</f>
        <v>98.780910511363643</v>
      </c>
      <c r="BR22" s="311"/>
      <c r="BS22" s="311"/>
      <c r="BT22" s="311"/>
      <c r="BU22" s="311"/>
      <c r="BV22" s="311"/>
      <c r="BW22" s="311"/>
      <c r="BX22" s="311"/>
      <c r="BY22" s="311"/>
      <c r="BZ22" s="311"/>
      <c r="CA22" s="311"/>
      <c r="CB22" s="311"/>
      <c r="CC22" s="311"/>
      <c r="CD22" s="311"/>
      <c r="CE22" s="311"/>
    </row>
    <row r="23" spans="1:83">
      <c r="A23" s="311"/>
      <c r="B23" s="311"/>
      <c r="C23" s="1264" t="s">
        <v>229</v>
      </c>
      <c r="D23" s="311"/>
      <c r="E23" s="190">
        <v>46.387</v>
      </c>
      <c r="F23" s="190">
        <v>58.892000000000003</v>
      </c>
      <c r="G23" s="190">
        <v>64.73</v>
      </c>
      <c r="H23" s="170">
        <f>I23-SUM(E23:G23)</f>
        <v>66.618999999999971</v>
      </c>
      <c r="I23" s="377">
        <v>236.62799999999999</v>
      </c>
      <c r="J23" s="393">
        <v>48.209000000000003</v>
      </c>
      <c r="K23" s="190">
        <v>34.954999999999998</v>
      </c>
      <c r="L23" s="190">
        <v>38.704999999999998</v>
      </c>
      <c r="M23" s="170">
        <f>N23-SUM(J23:L23)</f>
        <v>63.586000000000013</v>
      </c>
      <c r="N23" s="348">
        <v>185.45500000000001</v>
      </c>
      <c r="O23" s="393">
        <v>26.747</v>
      </c>
      <c r="P23" s="190">
        <v>35.921999999999997</v>
      </c>
      <c r="Q23" s="190">
        <v>33.238</v>
      </c>
      <c r="R23" s="170">
        <f>S23-SUM(O23:Q23)</f>
        <v>33.22699999999999</v>
      </c>
      <c r="S23" s="348">
        <v>129.13399999999999</v>
      </c>
      <c r="T23" s="393">
        <v>40.991999999999997</v>
      </c>
      <c r="U23" s="190">
        <v>29.285</v>
      </c>
      <c r="V23" s="190">
        <v>24.49</v>
      </c>
      <c r="W23" s="170">
        <f>X23-SUM(T23:V23)</f>
        <v>33.009</v>
      </c>
      <c r="X23" s="348">
        <v>127.776</v>
      </c>
      <c r="Y23" s="393">
        <v>38.305999999999997</v>
      </c>
      <c r="Z23" s="190">
        <v>40.540999999999997</v>
      </c>
      <c r="AA23" s="190">
        <v>23.43</v>
      </c>
      <c r="AB23" s="193">
        <f>AC23-SUM(Y23:AA23)</f>
        <v>97.023000000000025</v>
      </c>
      <c r="AC23" s="348">
        <v>199.3</v>
      </c>
      <c r="AD23" s="393">
        <v>35.247999999999998</v>
      </c>
      <c r="AE23" s="190">
        <v>24.245000000000001</v>
      </c>
      <c r="AF23" s="190">
        <v>49.546999999999997</v>
      </c>
      <c r="AG23" s="193">
        <f>AH23-SUM(AD23:AF23)</f>
        <v>38.646000000000015</v>
      </c>
      <c r="AH23" s="348">
        <v>147.68600000000001</v>
      </c>
      <c r="AI23" s="393">
        <v>68.132999999999996</v>
      </c>
      <c r="AJ23" s="190">
        <v>39.704999999999998</v>
      </c>
      <c r="AK23" s="190">
        <v>39.054000000000002</v>
      </c>
      <c r="AL23" s="193">
        <f>AM23-SUM(AI23:AK23)</f>
        <v>40.170000000000016</v>
      </c>
      <c r="AM23" s="348">
        <v>187.06200000000001</v>
      </c>
      <c r="AN23" s="393">
        <v>32.753</v>
      </c>
      <c r="AO23" s="190">
        <v>46.375</v>
      </c>
      <c r="AP23" s="190">
        <v>37.533999999999999</v>
      </c>
      <c r="AQ23" s="193">
        <f>AR23-SUM(AN23:AP23)</f>
        <v>28.465000000000003</v>
      </c>
      <c r="AR23" s="348">
        <v>145.12700000000001</v>
      </c>
      <c r="AS23" s="393">
        <v>56.548999999999999</v>
      </c>
      <c r="AT23" s="190">
        <v>80.096999999999994</v>
      </c>
      <c r="AU23" s="190">
        <v>58.332000000000001</v>
      </c>
      <c r="AV23" s="193">
        <f>AW23-SUM(AS23:AU23)</f>
        <v>93.219000000000023</v>
      </c>
      <c r="AW23" s="348">
        <v>288.197</v>
      </c>
      <c r="AX23" s="249">
        <f>Utility!AX30+EWC!AX22+Parent!AX23</f>
        <v>81.495625000000004</v>
      </c>
      <c r="AY23" s="250">
        <f>Utility!AY30+EWC!AY22+Parent!AY23</f>
        <v>81.031624999999991</v>
      </c>
      <c r="AZ23" s="250">
        <f>Utility!AZ30+EWC!AZ22+Parent!AZ23</f>
        <v>80.968625000000003</v>
      </c>
      <c r="BA23" s="251">
        <f>Utility!BA30+EWC!BA22+Parent!BA23</f>
        <v>81.325625000000002</v>
      </c>
      <c r="BB23" s="244">
        <f>SUM(AX23:BA23)</f>
        <v>324.82150000000001</v>
      </c>
      <c r="BC23" s="249">
        <f>Utility!BC30+EWC!BC22+Parent!BC23</f>
        <v>85.449726562500004</v>
      </c>
      <c r="BD23" s="250">
        <f>Utility!BD30+EWC!BD22+Parent!BD23</f>
        <v>84.985726562499991</v>
      </c>
      <c r="BE23" s="250">
        <f>Utility!BE30+EWC!BE22+Parent!BE23</f>
        <v>84.922726562500003</v>
      </c>
      <c r="BF23" s="251">
        <f>Utility!BF30+EWC!BF22+Parent!BF23</f>
        <v>85.279726562500002</v>
      </c>
      <c r="BG23" s="244">
        <f>SUM(BC23:BF23)</f>
        <v>340.63790625000001</v>
      </c>
      <c r="BH23" s="249">
        <f>Utility!BH30+EWC!BH22+Parent!BH23</f>
        <v>89.650959472656254</v>
      </c>
      <c r="BI23" s="250">
        <f>Utility!BI30+EWC!BI22+Parent!BI23</f>
        <v>89.186959472656241</v>
      </c>
      <c r="BJ23" s="250">
        <f>Utility!BJ30+EWC!BJ22+Parent!BJ23</f>
        <v>89.123959472656253</v>
      </c>
      <c r="BK23" s="251">
        <f>Utility!BK30+EWC!BK22+Parent!BK23</f>
        <v>89.480959472656252</v>
      </c>
      <c r="BL23" s="244">
        <f>SUM(BH23:BK23)</f>
        <v>357.44283789062496</v>
      </c>
      <c r="BM23" s="249">
        <f>Utility!BM30+EWC!BM22+Parent!BM23</f>
        <v>94.11476943969727</v>
      </c>
      <c r="BN23" s="250">
        <f>Utility!BN30+EWC!BN22+Parent!BN23</f>
        <v>93.650769439697257</v>
      </c>
      <c r="BO23" s="250">
        <f>Utility!BO30+EWC!BO22+Parent!BO23</f>
        <v>93.587769439697269</v>
      </c>
      <c r="BP23" s="251">
        <f>Utility!BP30+EWC!BP22+Parent!BP23</f>
        <v>93.944769439697268</v>
      </c>
      <c r="BQ23" s="244">
        <f>SUM(BM23:BP23)</f>
        <v>375.29807775878902</v>
      </c>
      <c r="BR23" s="311"/>
      <c r="BS23" s="311"/>
      <c r="BT23" s="311"/>
      <c r="BU23" s="311"/>
      <c r="BV23" s="311"/>
      <c r="BW23" s="311"/>
      <c r="BX23" s="311"/>
      <c r="BY23" s="311"/>
      <c r="BZ23" s="311"/>
      <c r="CA23" s="311"/>
      <c r="CB23" s="311"/>
      <c r="CC23" s="311"/>
      <c r="CD23" s="311"/>
      <c r="CE23" s="311"/>
    </row>
    <row r="24" spans="1:83">
      <c r="A24" s="311"/>
      <c r="B24" s="311"/>
      <c r="C24" s="1264" t="s">
        <v>327</v>
      </c>
      <c r="D24" s="311"/>
      <c r="E24" s="190">
        <f>-15.737-13.299</f>
        <v>-29.036000000000001</v>
      </c>
      <c r="F24" s="190">
        <f>-69.203-13.354</f>
        <v>-82.557000000000002</v>
      </c>
      <c r="G24" s="190">
        <f>-0.457+5.739</f>
        <v>5.282</v>
      </c>
      <c r="H24" s="170">
        <f>I24-SUM(E24:G24)</f>
        <v>-20.153999999999996</v>
      </c>
      <c r="I24" s="377">
        <f>-86.069-40.396</f>
        <v>-126.465</v>
      </c>
      <c r="J24" s="393">
        <v>-0.52200000000000002</v>
      </c>
      <c r="K24" s="190">
        <v>-16.78</v>
      </c>
      <c r="L24" s="190">
        <v>-14.747999999999999</v>
      </c>
      <c r="M24" s="170">
        <f>N24-SUM(J24:L24)</f>
        <v>26.720999999999997</v>
      </c>
      <c r="N24" s="348">
        <f>-1.378-48.124+44.173</f>
        <v>-5.3290000000000006</v>
      </c>
      <c r="O24" s="393">
        <v>-9.3989999999999991</v>
      </c>
      <c r="P24" s="190">
        <v>-16.960999999999999</v>
      </c>
      <c r="Q24" s="190">
        <v>-14.137</v>
      </c>
      <c r="R24" s="170">
        <f>S24-SUM(O24:Q24)</f>
        <v>-18.914000000000001</v>
      </c>
      <c r="S24" s="348">
        <f>-0.14-59.271</f>
        <v>-59.411000000000001</v>
      </c>
      <c r="T24" s="393">
        <f>-17.99-355.524</f>
        <v>-373.51400000000001</v>
      </c>
      <c r="U24" s="190">
        <v>-13.036</v>
      </c>
      <c r="V24" s="190">
        <v>-10.768000000000001</v>
      </c>
      <c r="W24" s="170">
        <f>X24-SUM(T24:V24)</f>
        <v>-11.420000000000016</v>
      </c>
      <c r="X24" s="348">
        <f>-355.524-53.214</f>
        <v>-408.738</v>
      </c>
      <c r="Y24" s="393">
        <v>-13.622999999999999</v>
      </c>
      <c r="Z24" s="190">
        <v>-13.157</v>
      </c>
      <c r="AA24" s="190">
        <f>-10.214-291.505</f>
        <v>-301.71899999999999</v>
      </c>
      <c r="AB24" s="193">
        <f>AC24-SUM(Y24:AA24)</f>
        <v>-29.230999999999938</v>
      </c>
      <c r="AC24" s="348">
        <f>-341.537-59.762+43.569</f>
        <v>-357.72999999999996</v>
      </c>
      <c r="AD24" s="393">
        <v>-11.704000000000001</v>
      </c>
      <c r="AE24" s="190">
        <v>-14.675000000000001</v>
      </c>
      <c r="AF24" s="190">
        <f>-6.644-163.835</f>
        <v>-170.47900000000001</v>
      </c>
      <c r="AG24" s="193">
        <f>AH24-SUM(AD24:AF24)</f>
        <v>-24.909999999999997</v>
      </c>
      <c r="AH24" s="348">
        <f>-42.016-179.752</f>
        <v>-221.768</v>
      </c>
      <c r="AI24" s="393">
        <v>-9.02</v>
      </c>
      <c r="AJ24" s="190">
        <v>-15.743</v>
      </c>
      <c r="AK24" s="190">
        <f>-10.005-1642.204</f>
        <v>-1652.2090000000001</v>
      </c>
      <c r="AL24" s="193">
        <f>AM24-SUM(AI24:AK24)</f>
        <v>-369.89399999999978</v>
      </c>
      <c r="AM24" s="348">
        <f>-95.997-2104.906+154.037</f>
        <v>-2046.8659999999998</v>
      </c>
      <c r="AN24" s="393">
        <f>-10.587-7.361</f>
        <v>-17.948</v>
      </c>
      <c r="AO24" s="190">
        <f>-8.377-6.969</f>
        <v>-15.346</v>
      </c>
      <c r="AP24" s="190">
        <f>-6.74-18.841</f>
        <v>-25.581000000000003</v>
      </c>
      <c r="AQ24" s="193">
        <f>AR24-SUM(AN24:AP24)</f>
        <v>-2818.3790000000004</v>
      </c>
      <c r="AR24" s="348">
        <f>-41.617-2835.637</f>
        <v>-2877.2540000000004</v>
      </c>
      <c r="AS24" s="393">
        <f>5.501-211.791+16.27</f>
        <v>-190.01999999999998</v>
      </c>
      <c r="AT24" s="190">
        <f>-6.872-193.571</f>
        <v>-200.44299999999998</v>
      </c>
      <c r="AU24" s="190">
        <f>-1.801-16.221</f>
        <v>-18.021999999999998</v>
      </c>
      <c r="AV24" s="193">
        <f>AW24-SUM(AS24:AU24)</f>
        <v>-126.31800000000004</v>
      </c>
      <c r="AW24" s="348">
        <f>-12.701-538.372+16.27</f>
        <v>-534.803</v>
      </c>
      <c r="AX24" s="249">
        <f>Utility!AX31+EWC!AX23+Parent!AX24</f>
        <v>3.4351299999999965</v>
      </c>
      <c r="AY24" s="250">
        <f>Utility!AY31+EWC!AY23+Parent!AY24</f>
        <v>0.40402066841361606</v>
      </c>
      <c r="AZ24" s="250">
        <f>Utility!AZ31+EWC!AZ23+Parent!AZ24</f>
        <v>1.6395141297156668</v>
      </c>
      <c r="BA24" s="251">
        <f>Utility!BA31+EWC!BA23+Parent!BA24</f>
        <v>2.6925589932408842</v>
      </c>
      <c r="BB24" s="244">
        <f>SUM(AX24:BA24)</f>
        <v>8.1712237913701635</v>
      </c>
      <c r="BC24" s="249">
        <f>Utility!BC31+EWC!BC23+Parent!BC24</f>
        <v>3.1478495597990426</v>
      </c>
      <c r="BD24" s="250">
        <f>Utility!BD31+EWC!BD23+Parent!BD24</f>
        <v>-7.1237292838891797E-2</v>
      </c>
      <c r="BE24" s="250">
        <f>Utility!BE31+EWC!BE23+Parent!BE24</f>
        <v>1.1406733230742168</v>
      </c>
      <c r="BF24" s="251">
        <f>Utility!BF31+EWC!BF23+Parent!BF24</f>
        <v>2.2133076525416904</v>
      </c>
      <c r="BG24" s="244">
        <f>SUM(BC24:BF24)</f>
        <v>6.4305932425760579</v>
      </c>
      <c r="BH24" s="249">
        <f>Utility!BH31+EWC!BH23+Parent!BH24</f>
        <v>2.9573762788639977</v>
      </c>
      <c r="BI24" s="250">
        <f>Utility!BI31+EWC!BI23+Parent!BI24</f>
        <v>-0.6200420838853935</v>
      </c>
      <c r="BJ24" s="250">
        <f>Utility!BJ31+EWC!BJ23+Parent!BJ24</f>
        <v>0.60792245996735428</v>
      </c>
      <c r="BK24" s="251">
        <f>Utility!BK31+EWC!BK23+Parent!BK24</f>
        <v>1.7341282704234002</v>
      </c>
      <c r="BL24" s="244">
        <f>SUM(BH24:BK24)</f>
        <v>4.6793849253693587</v>
      </c>
      <c r="BM24" s="249">
        <f>Utility!BM31+EWC!BM23+Parent!BM24</f>
        <v>3.0859945627818641</v>
      </c>
      <c r="BN24" s="250">
        <f>Utility!BN31+EWC!BN23+Parent!BN24</f>
        <v>-0.50344656913530894</v>
      </c>
      <c r="BO24" s="250">
        <f>Utility!BO31+EWC!BO23+Parent!BO24</f>
        <v>0.65858071695384623</v>
      </c>
      <c r="BP24" s="251">
        <f>Utility!BP31+EWC!BP23+Parent!BP24</f>
        <v>1.8106690003629309</v>
      </c>
      <c r="BQ24" s="244">
        <f>SUM(BM24:BP24)</f>
        <v>5.0517977109633323</v>
      </c>
      <c r="BR24" s="311"/>
      <c r="BS24" s="311"/>
      <c r="BT24" s="311"/>
      <c r="BU24" s="311"/>
      <c r="BV24" s="311"/>
      <c r="BW24" s="311"/>
      <c r="BX24" s="311"/>
      <c r="BY24" s="311"/>
      <c r="BZ24" s="311"/>
      <c r="CA24" s="311"/>
      <c r="CB24" s="311"/>
      <c r="CC24" s="311"/>
      <c r="CD24" s="311"/>
      <c r="CE24" s="311"/>
    </row>
    <row r="25" spans="1:83">
      <c r="A25" s="311"/>
      <c r="B25" s="311"/>
      <c r="C25" s="1175" t="s">
        <v>230</v>
      </c>
      <c r="D25" s="311"/>
      <c r="E25" s="246">
        <f t="shared" ref="E25:Q25" si="39">SUM(E22:E24)</f>
        <v>34.298000000000002</v>
      </c>
      <c r="F25" s="246">
        <f t="shared" si="39"/>
        <v>-7.8829999999999956</v>
      </c>
      <c r="G25" s="246">
        <f t="shared" si="39"/>
        <v>84.781999999999996</v>
      </c>
      <c r="H25" s="247">
        <f t="shared" si="39"/>
        <v>58.510999999999981</v>
      </c>
      <c r="I25" s="380">
        <f t="shared" si="39"/>
        <v>169.708</v>
      </c>
      <c r="J25" s="248">
        <f t="shared" si="39"/>
        <v>60.983000000000004</v>
      </c>
      <c r="K25" s="246">
        <f t="shared" si="39"/>
        <v>35.804999999999993</v>
      </c>
      <c r="L25" s="246">
        <f t="shared" si="39"/>
        <v>39.021000000000001</v>
      </c>
      <c r="M25" s="247">
        <f t="shared" si="39"/>
        <v>103.69800000000001</v>
      </c>
      <c r="N25" s="245">
        <f t="shared" si="39"/>
        <v>239.50700000000001</v>
      </c>
      <c r="O25" s="248">
        <f t="shared" si="39"/>
        <v>34.637</v>
      </c>
      <c r="P25" s="246">
        <f t="shared" si="39"/>
        <v>39.713999999999999</v>
      </c>
      <c r="Q25" s="246">
        <f t="shared" si="39"/>
        <v>40.616999999999997</v>
      </c>
      <c r="R25" s="247">
        <f t="shared" ref="R25:AP25" si="40">SUM(R22:R24)</f>
        <v>39.059999999999995</v>
      </c>
      <c r="S25" s="245">
        <f t="shared" si="40"/>
        <v>154.02799999999999</v>
      </c>
      <c r="T25" s="248">
        <f t="shared" si="40"/>
        <v>-308.21500000000003</v>
      </c>
      <c r="U25" s="246">
        <f t="shared" si="40"/>
        <v>44.530999999999999</v>
      </c>
      <c r="V25" s="246">
        <f t="shared" si="40"/>
        <v>32.117999999999995</v>
      </c>
      <c r="W25" s="247">
        <f t="shared" si="40"/>
        <v>43.362999999999985</v>
      </c>
      <c r="X25" s="245">
        <f t="shared" si="40"/>
        <v>-188.203</v>
      </c>
      <c r="Y25" s="248">
        <f>SUM(Y22:Y24)</f>
        <v>37.433999999999997</v>
      </c>
      <c r="Z25" s="246">
        <f t="shared" si="40"/>
        <v>43.632999999999996</v>
      </c>
      <c r="AA25" s="246">
        <f t="shared" si="40"/>
        <v>-260.613</v>
      </c>
      <c r="AB25" s="247">
        <f>SUM(AB22:AB24)</f>
        <v>87.169000000000082</v>
      </c>
      <c r="AC25" s="245">
        <f>SUM(AC22:AC24)</f>
        <v>-92.376999999999953</v>
      </c>
      <c r="AD25" s="248">
        <f>SUM(AD22:AD24)</f>
        <v>38.672999999999995</v>
      </c>
      <c r="AE25" s="246">
        <f t="shared" si="40"/>
        <v>24.358000000000001</v>
      </c>
      <c r="AF25" s="246">
        <f t="shared" ref="AF25" si="41">SUM(AF22:AF24)</f>
        <v>-104.19500000000002</v>
      </c>
      <c r="AG25" s="247">
        <f>SUM(AG22:AG24)</f>
        <v>31.884000000000029</v>
      </c>
      <c r="AH25" s="245">
        <f>SUM(AH22:AH24)</f>
        <v>-9.2800000000000011</v>
      </c>
      <c r="AI25" s="248">
        <f>SUM(AI22:AI24)</f>
        <v>70.850999999999999</v>
      </c>
      <c r="AJ25" s="246">
        <f t="shared" ref="AJ25" si="42">SUM(AJ22:AJ24)</f>
        <v>35.936</v>
      </c>
      <c r="AK25" s="246">
        <f t="shared" si="40"/>
        <v>-1599.0260000000001</v>
      </c>
      <c r="AL25" s="247">
        <f>SUM(AL22:AL24)</f>
        <v>-315.65699999999975</v>
      </c>
      <c r="AM25" s="245">
        <f>SUM(AM22:AM24)</f>
        <v>-1807.8959999999997</v>
      </c>
      <c r="AN25" s="248">
        <f>SUM(AN22:AN24)</f>
        <v>33.737000000000002</v>
      </c>
      <c r="AO25" s="246">
        <f t="shared" ref="AO25" si="43">SUM(AO22:AO24)</f>
        <v>44.888999999999996</v>
      </c>
      <c r="AP25" s="246">
        <f t="shared" si="40"/>
        <v>27.403999999999996</v>
      </c>
      <c r="AQ25" s="247">
        <f>SUM(AQ22:AQ24)</f>
        <v>-2770.5940000000005</v>
      </c>
      <c r="AR25" s="245">
        <f>SUM(AR22:AR24)</f>
        <v>-2664.5640000000003</v>
      </c>
      <c r="AS25" s="248">
        <f>SUM(AS22:AS24)</f>
        <v>-114.46299999999998</v>
      </c>
      <c r="AT25" s="246">
        <f t="shared" ref="AT25" si="44">SUM(AT22:AT24)</f>
        <v>-97.969999999999985</v>
      </c>
      <c r="AU25" s="246">
        <f t="shared" ref="AU25:BB25" si="45">SUM(AU22:AU24)</f>
        <v>64.647999999999996</v>
      </c>
      <c r="AV25" s="247">
        <f>SUM(AV22:AV24)</f>
        <v>-3.7330000000000325</v>
      </c>
      <c r="AW25" s="245">
        <f>SUM(AW22:AW24)</f>
        <v>-151.51800000000003</v>
      </c>
      <c r="AX25" s="248">
        <f t="shared" si="45"/>
        <v>112.07242573863637</v>
      </c>
      <c r="AY25" s="246">
        <f t="shared" si="45"/>
        <v>108.57731640704998</v>
      </c>
      <c r="AZ25" s="246">
        <f t="shared" si="45"/>
        <v>109.74980986835203</v>
      </c>
      <c r="BA25" s="247">
        <f t="shared" si="45"/>
        <v>111.15985473187725</v>
      </c>
      <c r="BB25" s="245">
        <f t="shared" si="45"/>
        <v>441.55940674591562</v>
      </c>
      <c r="BC25" s="248">
        <f t="shared" ref="BC25:BL25" si="46">SUM(BC22:BC24)</f>
        <v>113.80055609388995</v>
      </c>
      <c r="BD25" s="246">
        <f t="shared" si="46"/>
        <v>110.11746924125201</v>
      </c>
      <c r="BE25" s="246">
        <f t="shared" si="46"/>
        <v>111.26637985716512</v>
      </c>
      <c r="BF25" s="247">
        <f t="shared" si="46"/>
        <v>112.6960141866326</v>
      </c>
      <c r="BG25" s="245">
        <f t="shared" si="46"/>
        <v>447.88041937893968</v>
      </c>
      <c r="BH25" s="248">
        <f t="shared" si="46"/>
        <v>115.45719122027026</v>
      </c>
      <c r="BI25" s="246">
        <f t="shared" si="46"/>
        <v>111.41577285752085</v>
      </c>
      <c r="BJ25" s="246">
        <f t="shared" si="46"/>
        <v>112.58073740137361</v>
      </c>
      <c r="BK25" s="247">
        <f t="shared" si="46"/>
        <v>114.06394321182965</v>
      </c>
      <c r="BL25" s="245">
        <f t="shared" si="46"/>
        <v>453.5176446909943</v>
      </c>
      <c r="BM25" s="248">
        <f t="shared" ref="BM25:BQ25" si="47">SUM(BM22:BM24)</f>
        <v>121.89599163032004</v>
      </c>
      <c r="BN25" s="246">
        <f t="shared" si="47"/>
        <v>117.84255049840286</v>
      </c>
      <c r="BO25" s="246">
        <f t="shared" si="47"/>
        <v>118.94157778449203</v>
      </c>
      <c r="BP25" s="247">
        <f t="shared" si="47"/>
        <v>120.45066606790111</v>
      </c>
      <c r="BQ25" s="245">
        <f t="shared" si="47"/>
        <v>479.13078598111599</v>
      </c>
      <c r="BR25" s="311"/>
      <c r="BS25" s="311"/>
      <c r="BT25" s="311"/>
      <c r="BU25" s="311"/>
      <c r="BV25" s="311"/>
      <c r="BW25" s="311"/>
      <c r="BX25" s="311"/>
      <c r="BY25" s="311"/>
      <c r="BZ25" s="311"/>
      <c r="CA25" s="311"/>
      <c r="CB25" s="311"/>
      <c r="CC25" s="311"/>
      <c r="CD25" s="311"/>
      <c r="CE25" s="311"/>
    </row>
    <row r="26" spans="1:83">
      <c r="A26" s="311"/>
      <c r="B26" s="311"/>
      <c r="C26" s="1264"/>
      <c r="D26" s="311"/>
      <c r="E26" s="169"/>
      <c r="F26" s="169"/>
      <c r="G26" s="169"/>
      <c r="H26" s="170"/>
      <c r="I26" s="379"/>
      <c r="J26" s="168"/>
      <c r="K26" s="169"/>
      <c r="L26" s="169"/>
      <c r="M26" s="170"/>
      <c r="N26" s="244"/>
      <c r="O26" s="168"/>
      <c r="P26" s="169"/>
      <c r="Q26" s="169"/>
      <c r="R26" s="170"/>
      <c r="S26" s="244"/>
      <c r="T26" s="168"/>
      <c r="U26" s="169"/>
      <c r="V26" s="169"/>
      <c r="W26" s="170"/>
      <c r="X26" s="244"/>
      <c r="Y26" s="168"/>
      <c r="Z26" s="169"/>
      <c r="AA26" s="169"/>
      <c r="AB26" s="170"/>
      <c r="AC26" s="244"/>
      <c r="AD26" s="168"/>
      <c r="AE26" s="169"/>
      <c r="AF26" s="169"/>
      <c r="AG26" s="170"/>
      <c r="AH26" s="244"/>
      <c r="AI26" s="168"/>
      <c r="AJ26" s="169"/>
      <c r="AK26" s="169"/>
      <c r="AL26" s="251"/>
      <c r="AM26" s="244"/>
      <c r="AN26" s="168"/>
      <c r="AO26" s="169"/>
      <c r="AP26" s="169"/>
      <c r="AQ26" s="251"/>
      <c r="AR26" s="244"/>
      <c r="AS26" s="168"/>
      <c r="AT26" s="250"/>
      <c r="AU26" s="169"/>
      <c r="AV26" s="251"/>
      <c r="AW26" s="244"/>
      <c r="AX26" s="249"/>
      <c r="AY26" s="250"/>
      <c r="AZ26" s="250"/>
      <c r="BA26" s="251"/>
      <c r="BB26" s="244"/>
      <c r="BC26" s="249"/>
      <c r="BD26" s="250"/>
      <c r="BE26" s="250"/>
      <c r="BF26" s="251"/>
      <c r="BG26" s="244"/>
      <c r="BH26" s="249"/>
      <c r="BI26" s="250"/>
      <c r="BJ26" s="250"/>
      <c r="BK26" s="251"/>
      <c r="BL26" s="244"/>
      <c r="BM26" s="249"/>
      <c r="BN26" s="250"/>
      <c r="BO26" s="250"/>
      <c r="BP26" s="251"/>
      <c r="BQ26" s="244"/>
      <c r="BR26" s="311"/>
      <c r="BS26" s="311"/>
      <c r="BT26" s="311"/>
      <c r="BU26" s="311"/>
      <c r="BV26" s="311"/>
      <c r="BW26" s="311"/>
      <c r="BX26" s="311"/>
      <c r="BY26" s="311"/>
      <c r="BZ26" s="311"/>
      <c r="CA26" s="311"/>
      <c r="CB26" s="311"/>
      <c r="CC26" s="311"/>
      <c r="CD26" s="311"/>
      <c r="CE26" s="311"/>
    </row>
    <row r="27" spans="1:83">
      <c r="A27" s="311"/>
      <c r="B27" s="312"/>
      <c r="C27" s="1175" t="s">
        <v>34</v>
      </c>
      <c r="D27" s="311"/>
      <c r="E27" s="246">
        <f t="shared" ref="E27:Q27" si="48">E20+E25</f>
        <v>540.8250000000005</v>
      </c>
      <c r="F27" s="246">
        <f t="shared" si="48"/>
        <v>466.61300000000011</v>
      </c>
      <c r="G27" s="246">
        <f t="shared" si="48"/>
        <v>885.08599999999967</v>
      </c>
      <c r="H27" s="247">
        <f t="shared" si="48"/>
        <v>561.71000000000049</v>
      </c>
      <c r="I27" s="380">
        <f t="shared" si="48"/>
        <v>2454.2339999999999</v>
      </c>
      <c r="J27" s="248">
        <f t="shared" si="48"/>
        <v>537.69699999999989</v>
      </c>
      <c r="K27" s="246">
        <f t="shared" si="48"/>
        <v>661.95599999999979</v>
      </c>
      <c r="L27" s="246">
        <f t="shared" si="48"/>
        <v>809.66299999999933</v>
      </c>
      <c r="M27" s="247">
        <f t="shared" si="48"/>
        <v>453.39499999999919</v>
      </c>
      <c r="N27" s="245">
        <f t="shared" si="48"/>
        <v>2462.7109999999998</v>
      </c>
      <c r="O27" s="248">
        <f t="shared" si="48"/>
        <v>545.52800000000025</v>
      </c>
      <c r="P27" s="246">
        <f t="shared" si="48"/>
        <v>598.45099999999957</v>
      </c>
      <c r="Q27" s="246">
        <f t="shared" si="48"/>
        <v>641.52599999999961</v>
      </c>
      <c r="R27" s="247">
        <f t="shared" ref="R27:AP27" si="49">R20+R25</f>
        <v>381.75699999999966</v>
      </c>
      <c r="S27" s="245">
        <f t="shared" si="49"/>
        <v>2167.2620000000002</v>
      </c>
      <c r="T27" s="248">
        <f t="shared" si="49"/>
        <v>-9.5480000000001155</v>
      </c>
      <c r="U27" s="246">
        <f t="shared" si="49"/>
        <v>387.51499999999993</v>
      </c>
      <c r="V27" s="246">
        <f t="shared" si="49"/>
        <v>722.97000000000025</v>
      </c>
      <c r="W27" s="247">
        <f t="shared" ref="W27:AD27" si="50">W20+W25</f>
        <v>367.56500000000023</v>
      </c>
      <c r="X27" s="245">
        <f t="shared" si="50"/>
        <v>1468.502</v>
      </c>
      <c r="Y27" s="248">
        <f t="shared" si="50"/>
        <v>431.47899999999959</v>
      </c>
      <c r="Z27" s="246">
        <f t="shared" si="50"/>
        <v>390.14500000000015</v>
      </c>
      <c r="AA27" s="246">
        <f t="shared" si="50"/>
        <v>419.78600000000034</v>
      </c>
      <c r="AB27" s="247">
        <f t="shared" si="50"/>
        <v>319.1799999999987</v>
      </c>
      <c r="AC27" s="245">
        <f t="shared" si="50"/>
        <v>1560.5899999999988</v>
      </c>
      <c r="AD27" s="248">
        <f t="shared" si="50"/>
        <v>778.55</v>
      </c>
      <c r="AE27" s="246">
        <f>AE20+AE25</f>
        <v>478.83499999999987</v>
      </c>
      <c r="AF27" s="246">
        <f t="shared" ref="AF27:AI27" si="51">AF20+AF25</f>
        <v>552.49899999999946</v>
      </c>
      <c r="AG27" s="247">
        <f t="shared" si="51"/>
        <v>367.47699999999941</v>
      </c>
      <c r="AH27" s="245">
        <f t="shared" si="51"/>
        <v>2177.3610000000012</v>
      </c>
      <c r="AI27" s="248">
        <f t="shared" si="51"/>
        <v>613.62000000000023</v>
      </c>
      <c r="AJ27" s="246">
        <f>AJ20+AJ25</f>
        <v>413.31900000000024</v>
      </c>
      <c r="AK27" s="246">
        <f t="shared" si="49"/>
        <v>-921.83799999999951</v>
      </c>
      <c r="AL27" s="247">
        <f t="shared" si="49"/>
        <v>-261.29299999999836</v>
      </c>
      <c r="AM27" s="245">
        <f t="shared" si="49"/>
        <v>-156.19199999999819</v>
      </c>
      <c r="AN27" s="248">
        <f>AN20+AN25</f>
        <v>539.31599999999969</v>
      </c>
      <c r="AO27" s="246">
        <f>AO20+AO25</f>
        <v>494.11599999999987</v>
      </c>
      <c r="AP27" s="246">
        <f t="shared" si="49"/>
        <v>818.30500000000029</v>
      </c>
      <c r="AQ27" s="247">
        <f t="shared" ref="AQ27:AR27" si="52">AQ20+AQ25</f>
        <v>-2567.1289999999995</v>
      </c>
      <c r="AR27" s="245">
        <f t="shared" si="52"/>
        <v>-715.39199999999983</v>
      </c>
      <c r="AS27" s="248">
        <f>AS20+AS25</f>
        <v>255.8610000000001</v>
      </c>
      <c r="AT27" s="246">
        <f>AT20+AT25</f>
        <v>239.11000000000041</v>
      </c>
      <c r="AU27" s="246">
        <f t="shared" ref="AU27:AV27" si="53">AU20+AU25</f>
        <v>810.33800000000008</v>
      </c>
      <c r="AV27" s="247">
        <f t="shared" si="53"/>
        <v>324.95699999999954</v>
      </c>
      <c r="AW27" s="245">
        <f t="shared" ref="AW27:BB27" si="54">AW20+AW25</f>
        <v>1630.2660000000014</v>
      </c>
      <c r="AX27" s="248">
        <f t="shared" si="54"/>
        <v>460.5922725174309</v>
      </c>
      <c r="AY27" s="246">
        <f t="shared" si="54"/>
        <v>549.38542910139881</v>
      </c>
      <c r="AZ27" s="246">
        <f t="shared" si="54"/>
        <v>869.30769654444589</v>
      </c>
      <c r="BA27" s="247">
        <f t="shared" si="54"/>
        <v>410.23945834204466</v>
      </c>
      <c r="BB27" s="245">
        <f t="shared" si="54"/>
        <v>2289.5248565053193</v>
      </c>
      <c r="BC27" s="248">
        <f t="shared" ref="BC27:BL27" si="55">BC20+BC25</f>
        <v>561.95994905264706</v>
      </c>
      <c r="BD27" s="246">
        <f t="shared" si="55"/>
        <v>585.12155189576026</v>
      </c>
      <c r="BE27" s="246">
        <f t="shared" si="55"/>
        <v>867.4751415928107</v>
      </c>
      <c r="BF27" s="247">
        <f t="shared" si="55"/>
        <v>399.75709060904558</v>
      </c>
      <c r="BG27" s="245">
        <f t="shared" si="55"/>
        <v>2414.3137331502635</v>
      </c>
      <c r="BH27" s="248">
        <f t="shared" si="55"/>
        <v>685.46863382011338</v>
      </c>
      <c r="BI27" s="246">
        <f t="shared" si="55"/>
        <v>600.10088884364211</v>
      </c>
      <c r="BJ27" s="246">
        <f t="shared" si="55"/>
        <v>880.95703426157729</v>
      </c>
      <c r="BK27" s="247">
        <f t="shared" si="55"/>
        <v>419.94583741719867</v>
      </c>
      <c r="BL27" s="245">
        <f t="shared" si="55"/>
        <v>2586.4723943425315</v>
      </c>
      <c r="BM27" s="248">
        <f t="shared" ref="BM27:BQ27" si="56">BM20+BM25</f>
        <v>592.43338817122583</v>
      </c>
      <c r="BN27" s="246">
        <f t="shared" si="56"/>
        <v>645.83606366861466</v>
      </c>
      <c r="BO27" s="246">
        <f t="shared" si="56"/>
        <v>918.66775858096253</v>
      </c>
      <c r="BP27" s="247">
        <f t="shared" si="56"/>
        <v>467.00853788293296</v>
      </c>
      <c r="BQ27" s="245">
        <f t="shared" si="56"/>
        <v>2623.9457483037359</v>
      </c>
      <c r="BR27" s="311"/>
      <c r="BS27" s="311"/>
      <c r="BT27" s="311"/>
      <c r="BU27" s="311"/>
      <c r="BV27" s="311"/>
      <c r="BW27" s="311"/>
      <c r="BX27" s="311"/>
      <c r="BY27" s="311"/>
      <c r="BZ27" s="311"/>
      <c r="CA27" s="311"/>
      <c r="CB27" s="311"/>
      <c r="CC27" s="311"/>
      <c r="CD27" s="311"/>
      <c r="CE27" s="311"/>
    </row>
    <row r="28" spans="1:83">
      <c r="A28" s="311"/>
      <c r="B28" s="312"/>
      <c r="C28" s="1175" t="s">
        <v>317</v>
      </c>
      <c r="D28" s="311"/>
      <c r="E28" s="246">
        <f t="shared" ref="E28:AM28" si="57">E27+E16</f>
        <v>798.67700000000048</v>
      </c>
      <c r="F28" s="246">
        <f t="shared" si="57"/>
        <v>727.30200000000013</v>
      </c>
      <c r="G28" s="246">
        <f t="shared" si="57"/>
        <v>1165.7269999999996</v>
      </c>
      <c r="H28" s="247">
        <f t="shared" si="57"/>
        <v>845.30300000000057</v>
      </c>
      <c r="I28" s="380">
        <f t="shared" si="57"/>
        <v>3537.009</v>
      </c>
      <c r="J28" s="248">
        <f t="shared" si="57"/>
        <v>806.90099999999984</v>
      </c>
      <c r="K28" s="246">
        <f t="shared" si="57"/>
        <v>917.5229999999998</v>
      </c>
      <c r="L28" s="246">
        <f t="shared" si="57"/>
        <v>1074.2839999999992</v>
      </c>
      <c r="M28" s="247">
        <f t="shared" si="57"/>
        <v>733.89699999999925</v>
      </c>
      <c r="N28" s="245">
        <f t="shared" si="57"/>
        <v>3532.6049999999996</v>
      </c>
      <c r="O28" s="248">
        <f t="shared" si="57"/>
        <v>810.41300000000024</v>
      </c>
      <c r="P28" s="246">
        <f t="shared" si="57"/>
        <v>862.65699999999958</v>
      </c>
      <c r="Q28" s="246">
        <f t="shared" si="57"/>
        <v>925.10699999999963</v>
      </c>
      <c r="R28" s="247">
        <f t="shared" si="57"/>
        <v>671.28699999999958</v>
      </c>
      <c r="S28" s="245">
        <f t="shared" si="57"/>
        <v>3269.4639999999999</v>
      </c>
      <c r="T28" s="248">
        <f t="shared" si="57"/>
        <v>270.66699999999986</v>
      </c>
      <c r="U28" s="246">
        <f t="shared" si="57"/>
        <v>662.27</v>
      </c>
      <c r="V28" s="246">
        <f t="shared" si="57"/>
        <v>1004.7100000000003</v>
      </c>
      <c r="W28" s="247">
        <f t="shared" si="57"/>
        <v>675.44000000000028</v>
      </c>
      <c r="X28" s="245">
        <f t="shared" si="57"/>
        <v>2613.087</v>
      </c>
      <c r="Y28" s="248">
        <f t="shared" si="57"/>
        <v>732.35499999999956</v>
      </c>
      <c r="Z28" s="246">
        <f t="shared" si="57"/>
        <v>687.66100000000017</v>
      </c>
      <c r="AA28" s="246">
        <f t="shared" si="57"/>
        <v>744.9350000000004</v>
      </c>
      <c r="AB28" s="247">
        <f t="shared" ref="AB28:AC28" si="58">AB27+AB16</f>
        <v>656.68299999999874</v>
      </c>
      <c r="AC28" s="245">
        <f t="shared" si="58"/>
        <v>2821.6339999999991</v>
      </c>
      <c r="AD28" s="248">
        <f t="shared" si="57"/>
        <v>1107.2739999999999</v>
      </c>
      <c r="AE28" s="246">
        <f t="shared" si="57"/>
        <v>810.57699999999988</v>
      </c>
      <c r="AF28" s="246">
        <f t="shared" ref="AF28:AJ28" si="59">AF27+AF16</f>
        <v>884.57799999999952</v>
      </c>
      <c r="AG28" s="247">
        <f t="shared" si="59"/>
        <v>693.56999999999925</v>
      </c>
      <c r="AH28" s="245">
        <f t="shared" si="59"/>
        <v>3495.9990000000012</v>
      </c>
      <c r="AI28" s="248">
        <f t="shared" si="59"/>
        <v>945.60600000000022</v>
      </c>
      <c r="AJ28" s="246">
        <f t="shared" si="59"/>
        <v>753.67300000000023</v>
      </c>
      <c r="AK28" s="246">
        <f t="shared" ref="AK28" si="60">AK27+AK16</f>
        <v>-586.9969999999995</v>
      </c>
      <c r="AL28" s="247">
        <f>AL27+AL16</f>
        <v>68.802000000001783</v>
      </c>
      <c r="AM28" s="245">
        <f t="shared" si="57"/>
        <v>1181.0840000000019</v>
      </c>
      <c r="AN28" s="248">
        <f>AN27+AN16</f>
        <v>873.58899999999971</v>
      </c>
      <c r="AO28" s="246">
        <f t="shared" ref="AO28" si="61">AO27+AO16</f>
        <v>829.78399999999988</v>
      </c>
      <c r="AP28" s="246">
        <f>AP27+AP16</f>
        <v>1158.7040000000002</v>
      </c>
      <c r="AQ28" s="247">
        <f>AQ27+AQ16</f>
        <v>-2230.2819999999997</v>
      </c>
      <c r="AR28" s="245">
        <f t="shared" ref="AR28" si="62">AR27+AR16</f>
        <v>631.79500000000007</v>
      </c>
      <c r="AS28" s="248">
        <f>AS27+AS16</f>
        <v>603.12600000000009</v>
      </c>
      <c r="AT28" s="246">
        <f t="shared" ref="AT28:AU28" si="63">AT27+AT16</f>
        <v>589.43800000000033</v>
      </c>
      <c r="AU28" s="246">
        <f t="shared" si="63"/>
        <v>1165.077</v>
      </c>
      <c r="AV28" s="247">
        <f>AV27+AV16</f>
        <v>662.60299999999972</v>
      </c>
      <c r="AW28" s="245">
        <f t="shared" ref="AW28:BB28" si="64">AW27+AW16</f>
        <v>3020.2440000000015</v>
      </c>
      <c r="AX28" s="248">
        <f t="shared" si="64"/>
        <v>811.14200426743082</v>
      </c>
      <c r="AY28" s="246">
        <f t="shared" si="64"/>
        <v>907.93389100333627</v>
      </c>
      <c r="AZ28" s="246">
        <f t="shared" si="64"/>
        <v>1235.6954192690355</v>
      </c>
      <c r="BA28" s="247">
        <f t="shared" si="64"/>
        <v>784.22405907462053</v>
      </c>
      <c r="BB28" s="245">
        <f t="shared" si="64"/>
        <v>3738.9953736144225</v>
      </c>
      <c r="BC28" s="248">
        <f t="shared" ref="BC28:BL28" si="65">BC27+BC16</f>
        <v>936.17930660589241</v>
      </c>
      <c r="BD28" s="246">
        <f t="shared" si="65"/>
        <v>966.09499783714318</v>
      </c>
      <c r="BE28" s="246">
        <f t="shared" si="65"/>
        <v>1255.0594874058679</v>
      </c>
      <c r="BF28" s="247">
        <f t="shared" si="65"/>
        <v>793.72602394525256</v>
      </c>
      <c r="BG28" s="245">
        <f t="shared" si="65"/>
        <v>3951.0598157941558</v>
      </c>
      <c r="BH28" s="248">
        <f t="shared" si="65"/>
        <v>1075.7347084229539</v>
      </c>
      <c r="BI28" s="246">
        <f t="shared" si="65"/>
        <v>995.84401458854995</v>
      </c>
      <c r="BJ28" s="246">
        <f t="shared" si="65"/>
        <v>1282.0487085604188</v>
      </c>
      <c r="BK28" s="247">
        <f t="shared" si="65"/>
        <v>826.17426496160363</v>
      </c>
      <c r="BL28" s="245">
        <f t="shared" si="65"/>
        <v>4179.8016965335264</v>
      </c>
      <c r="BM28" s="248">
        <f t="shared" ref="BM28:BQ28" si="66">BM27+BM16</f>
        <v>993.72547279886987</v>
      </c>
      <c r="BN28" s="246">
        <f t="shared" si="66"/>
        <v>1053.1300669897075</v>
      </c>
      <c r="BO28" s="246">
        <f t="shared" si="66"/>
        <v>1331.8291420305295</v>
      </c>
      <c r="BP28" s="247">
        <f t="shared" si="66"/>
        <v>885.81953958949657</v>
      </c>
      <c r="BQ28" s="245">
        <f t="shared" si="66"/>
        <v>4264.5042214086034</v>
      </c>
      <c r="BR28" s="311"/>
      <c r="BS28" s="311"/>
      <c r="BT28" s="311"/>
      <c r="BU28" s="311"/>
      <c r="BV28" s="311"/>
      <c r="BW28" s="311"/>
      <c r="BX28" s="311"/>
      <c r="BY28" s="311"/>
      <c r="BZ28" s="311"/>
      <c r="CA28" s="311"/>
      <c r="CB28" s="311"/>
      <c r="CC28" s="311"/>
      <c r="CD28" s="311"/>
      <c r="CE28" s="311"/>
    </row>
    <row r="29" spans="1:83">
      <c r="A29" s="311"/>
      <c r="B29" s="312"/>
      <c r="C29" s="1175"/>
      <c r="D29" s="311">
        <v>-1</v>
      </c>
      <c r="E29" s="246"/>
      <c r="F29" s="246"/>
      <c r="G29" s="246"/>
      <c r="H29" s="247"/>
      <c r="I29" s="380"/>
      <c r="J29" s="248"/>
      <c r="K29" s="246"/>
      <c r="L29" s="246"/>
      <c r="M29" s="247"/>
      <c r="N29" s="245"/>
      <c r="O29" s="248"/>
      <c r="P29" s="246"/>
      <c r="Q29" s="246"/>
      <c r="R29" s="247"/>
      <c r="S29" s="245"/>
      <c r="T29" s="248"/>
      <c r="U29" s="246"/>
      <c r="V29" s="246"/>
      <c r="W29" s="247"/>
      <c r="X29" s="245"/>
      <c r="Y29" s="248"/>
      <c r="Z29" s="246"/>
      <c r="AA29" s="246"/>
      <c r="AB29" s="247"/>
      <c r="AC29" s="245"/>
      <c r="AD29" s="248"/>
      <c r="AE29" s="246"/>
      <c r="AF29" s="246"/>
      <c r="AG29" s="247"/>
      <c r="AH29" s="245"/>
      <c r="AI29" s="248"/>
      <c r="AJ29" s="246"/>
      <c r="AK29" s="246"/>
      <c r="AL29" s="247"/>
      <c r="AM29" s="245"/>
      <c r="AN29" s="248"/>
      <c r="AO29" s="246"/>
      <c r="AP29" s="246"/>
      <c r="AQ29" s="247"/>
      <c r="AR29" s="245"/>
      <c r="AS29" s="248"/>
      <c r="AT29" s="246"/>
      <c r="AU29" s="246"/>
      <c r="AV29" s="247"/>
      <c r="AW29" s="245"/>
      <c r="AX29" s="248"/>
      <c r="AY29" s="246"/>
      <c r="AZ29" s="246"/>
      <c r="BA29" s="247"/>
      <c r="BB29" s="245"/>
      <c r="BC29" s="248"/>
      <c r="BD29" s="246"/>
      <c r="BE29" s="246"/>
      <c r="BF29" s="247"/>
      <c r="BG29" s="245"/>
      <c r="BH29" s="248"/>
      <c r="BI29" s="246"/>
      <c r="BJ29" s="246"/>
      <c r="BK29" s="247"/>
      <c r="BL29" s="245"/>
      <c r="BM29" s="248"/>
      <c r="BN29" s="246"/>
      <c r="BO29" s="246"/>
      <c r="BP29" s="247"/>
      <c r="BQ29" s="245"/>
      <c r="BR29" s="311"/>
      <c r="BS29" s="311"/>
      <c r="BT29" s="311"/>
      <c r="BU29" s="311"/>
      <c r="BV29" s="311"/>
      <c r="BW29" s="311"/>
      <c r="BX29" s="311"/>
      <c r="BY29" s="311"/>
      <c r="BZ29" s="311"/>
      <c r="CA29" s="311"/>
      <c r="CB29" s="311"/>
      <c r="CC29" s="311"/>
      <c r="CD29" s="311"/>
      <c r="CE29" s="311"/>
    </row>
    <row r="30" spans="1:83">
      <c r="A30" s="311"/>
      <c r="B30" s="311"/>
      <c r="C30" s="1264" t="s">
        <v>324</v>
      </c>
      <c r="D30" s="311">
        <v>0</v>
      </c>
      <c r="E30" s="190">
        <f>(-127.965-19.293)*-1</f>
        <v>147.25800000000001</v>
      </c>
      <c r="F30" s="190">
        <f>(-125.157-27.487)*-1</f>
        <v>152.64400000000001</v>
      </c>
      <c r="G30" s="190">
        <f>(-130.132-22.625)*-1</f>
        <v>152.75700000000001</v>
      </c>
      <c r="H30" s="193">
        <f>(I30-SUM(E30:G30))</f>
        <v>151.01999999999992</v>
      </c>
      <c r="I30" s="377">
        <v>603.67899999999997</v>
      </c>
      <c r="J30" s="393">
        <v>179.19900000000001</v>
      </c>
      <c r="K30" s="190">
        <v>148.179</v>
      </c>
      <c r="L30" s="190">
        <v>136.07499999999999</v>
      </c>
      <c r="M30" s="193">
        <f>(N30-SUM(J30:L30))</f>
        <v>146.69299999999993</v>
      </c>
      <c r="N30" s="348">
        <v>610.14599999999996</v>
      </c>
      <c r="O30" s="393">
        <v>136.13399999999999</v>
      </c>
      <c r="P30" s="190">
        <v>136.05000000000001</v>
      </c>
      <c r="Q30" s="190">
        <v>137.30099999999999</v>
      </c>
      <c r="R30" s="193">
        <f>(S30-SUM(O30:Q30))</f>
        <v>142.036</v>
      </c>
      <c r="S30" s="348">
        <v>551.52099999999996</v>
      </c>
      <c r="T30" s="393">
        <v>146.745</v>
      </c>
      <c r="U30" s="190">
        <v>149.61600000000001</v>
      </c>
      <c r="V30" s="190">
        <v>155.80000000000001</v>
      </c>
      <c r="W30" s="193">
        <f>(X30-SUM(T30:V30))</f>
        <v>154.435</v>
      </c>
      <c r="X30" s="348">
        <v>606.596</v>
      </c>
      <c r="Y30" s="393">
        <v>153.149</v>
      </c>
      <c r="Z30" s="190">
        <v>155.768</v>
      </c>
      <c r="AA30" s="190">
        <v>157.50399999999999</v>
      </c>
      <c r="AB30" s="193">
        <f>(AC30-SUM(Y30:AA30))</f>
        <v>163.11599999999999</v>
      </c>
      <c r="AC30" s="348">
        <v>629.53700000000003</v>
      </c>
      <c r="AD30" s="393">
        <v>162.55099999999999</v>
      </c>
      <c r="AE30" s="190">
        <v>164.327</v>
      </c>
      <c r="AF30" s="190">
        <v>164.482</v>
      </c>
      <c r="AG30" s="193">
        <f>(AH30-SUM(AD30:AF30))</f>
        <v>169.72299999999996</v>
      </c>
      <c r="AH30" s="348">
        <v>661.08299999999997</v>
      </c>
      <c r="AI30" s="393">
        <v>166.33699999999999</v>
      </c>
      <c r="AJ30" s="190">
        <v>165.86</v>
      </c>
      <c r="AK30" s="190">
        <v>171.34899999999999</v>
      </c>
      <c r="AL30" s="193">
        <f>(AM30-SUM(AI30:AK30))</f>
        <v>166.55</v>
      </c>
      <c r="AM30" s="348">
        <v>670.096</v>
      </c>
      <c r="AN30" s="393">
        <v>173.81100000000001</v>
      </c>
      <c r="AO30" s="190">
        <v>177.631</v>
      </c>
      <c r="AP30" s="190">
        <v>174.90199999999999</v>
      </c>
      <c r="AQ30" s="193">
        <f>(AR30-SUM(AN30:AP30))</f>
        <v>174.20099999999991</v>
      </c>
      <c r="AR30" s="348">
        <v>700.54499999999996</v>
      </c>
      <c r="AS30" s="393">
        <v>171.089</v>
      </c>
      <c r="AT30" s="190">
        <v>173.37700000000001</v>
      </c>
      <c r="AU30" s="190">
        <v>178.39099999999999</v>
      </c>
      <c r="AV30" s="193">
        <f>(AW30-SUM(AS30:AU30))</f>
        <v>184.35500000000002</v>
      </c>
      <c r="AW30" s="348">
        <v>707.21199999999999</v>
      </c>
      <c r="AX30" s="249">
        <f>+AS30+AX94</f>
        <v>177.13182643333334</v>
      </c>
      <c r="AY30" s="250">
        <f>+AT30+AY94</f>
        <v>228.48219341085894</v>
      </c>
      <c r="AZ30" s="250">
        <f>+AU30+AZ94</f>
        <v>214.48154758984487</v>
      </c>
      <c r="BA30" s="251">
        <f>+AV30+BA94</f>
        <v>219.21058850026566</v>
      </c>
      <c r="BB30" s="244">
        <f>SUM(AX30:BA30)</f>
        <v>839.30615593430275</v>
      </c>
      <c r="BC30" s="249">
        <f>+AX30+BC94</f>
        <v>205.18661524033729</v>
      </c>
      <c r="BD30" s="250">
        <f>+AY30+BD94</f>
        <v>223.33463326017758</v>
      </c>
      <c r="BE30" s="250">
        <f>+AZ30+BE94</f>
        <v>244.82325517848392</v>
      </c>
      <c r="BF30" s="251">
        <f>+BA30+BF94</f>
        <v>239.6478880299095</v>
      </c>
      <c r="BG30" s="244">
        <f>SUM(BC30:BF30)</f>
        <v>912.99239170890826</v>
      </c>
      <c r="BH30" s="249">
        <f>+BC30+BH94</f>
        <v>229.59016246318916</v>
      </c>
      <c r="BI30" s="250">
        <f>+BD30+BI94</f>
        <v>249.95839247385729</v>
      </c>
      <c r="BJ30" s="250">
        <f>+BE30+BJ94</f>
        <v>281.04773329921375</v>
      </c>
      <c r="BK30" s="251">
        <f>+BF30+BK94</f>
        <v>258.62281669810943</v>
      </c>
      <c r="BL30" s="244">
        <f>SUM(BH30:BK30)</f>
        <v>1019.2191049343696</v>
      </c>
      <c r="BM30" s="249">
        <f>+BH30+BM94</f>
        <v>248.12990469562521</v>
      </c>
      <c r="BN30" s="250">
        <f>+BI30+BN94</f>
        <v>267.5126929392743</v>
      </c>
      <c r="BO30" s="250">
        <f>+BJ30+BO94</f>
        <v>311.11493515733116</v>
      </c>
      <c r="BP30" s="251">
        <f>+BK30+BP94</f>
        <v>281.8058874771063</v>
      </c>
      <c r="BQ30" s="244">
        <f>SUM(BM30:BP30)</f>
        <v>1108.563420269337</v>
      </c>
      <c r="BR30" s="311"/>
      <c r="BS30" s="311"/>
      <c r="BT30" s="311"/>
      <c r="BU30" s="311"/>
      <c r="BV30" s="311"/>
      <c r="BW30" s="311"/>
      <c r="BX30" s="311"/>
      <c r="BY30" s="311"/>
      <c r="BZ30" s="311"/>
      <c r="CA30" s="311"/>
      <c r="CB30" s="311"/>
      <c r="CC30" s="311"/>
      <c r="CD30" s="311"/>
      <c r="CE30" s="311"/>
    </row>
    <row r="31" spans="1:83">
      <c r="A31" s="311"/>
      <c r="B31" s="311"/>
      <c r="C31" s="1264" t="s">
        <v>325</v>
      </c>
      <c r="D31" s="311"/>
      <c r="E31" s="190">
        <v>-9.8119999999999994</v>
      </c>
      <c r="F31" s="190">
        <v>-8.4830000000000005</v>
      </c>
      <c r="G31" s="190">
        <v>-8.2520000000000007</v>
      </c>
      <c r="H31" s="170">
        <f>(I31-SUM(E31:G31))</f>
        <v>-6.6879999999999953</v>
      </c>
      <c r="I31" s="377">
        <v>-33.234999999999999</v>
      </c>
      <c r="J31" s="393">
        <v>-8.0009999999999994</v>
      </c>
      <c r="K31" s="190">
        <v>-10.323</v>
      </c>
      <c r="L31" s="190">
        <v>-8.9489999999999998</v>
      </c>
      <c r="M31" s="170">
        <f>(N31-SUM(J31:L31))</f>
        <v>-7.7060000000000031</v>
      </c>
      <c r="N31" s="348">
        <v>-34.978999999999999</v>
      </c>
      <c r="O31" s="393">
        <v>-8.5340000000000007</v>
      </c>
      <c r="P31" s="190">
        <v>-9.15</v>
      </c>
      <c r="Q31" s="190">
        <v>-9.7129999999999992</v>
      </c>
      <c r="R31" s="170">
        <f>(S31-SUM(O31:Q31))</f>
        <v>-10.497</v>
      </c>
      <c r="S31" s="348">
        <v>-37.893999999999998</v>
      </c>
      <c r="T31" s="393">
        <v>-9.391</v>
      </c>
      <c r="U31" s="190">
        <v>-10.483000000000001</v>
      </c>
      <c r="V31" s="190">
        <v>-8.0030000000000001</v>
      </c>
      <c r="W31" s="170">
        <f>(X31-SUM(T31:V31))</f>
        <v>-9.4349999999999952</v>
      </c>
      <c r="X31" s="348">
        <v>-37.311999999999998</v>
      </c>
      <c r="Y31" s="393">
        <v>-5.1879999999999997</v>
      </c>
      <c r="Z31" s="190">
        <v>-6.7910000000000004</v>
      </c>
      <c r="AA31" s="190">
        <v>-6.4530000000000003</v>
      </c>
      <c r="AB31" s="193">
        <f>(AC31-SUM(Y31:AA31))</f>
        <v>-7.0680000000000014</v>
      </c>
      <c r="AC31" s="348">
        <v>-25.5</v>
      </c>
      <c r="AD31" s="393">
        <v>-7.02</v>
      </c>
      <c r="AE31" s="190">
        <v>-8.516</v>
      </c>
      <c r="AF31" s="190">
        <v>-8.6639999999999997</v>
      </c>
      <c r="AG31" s="193">
        <f>(AH31-SUM(AD31:AF31))</f>
        <v>-9.3760000000000012</v>
      </c>
      <c r="AH31" s="348">
        <v>-33.576000000000001</v>
      </c>
      <c r="AI31" s="393">
        <v>-6.117</v>
      </c>
      <c r="AJ31" s="190">
        <v>-6.0439999999999996</v>
      </c>
      <c r="AK31" s="190">
        <v>-7.2889999999999997</v>
      </c>
      <c r="AL31" s="193">
        <f>(AM31-SUM(AI31:AK31))</f>
        <v>-7.1769999999999996</v>
      </c>
      <c r="AM31" s="348">
        <v>-26.626999999999999</v>
      </c>
      <c r="AN31" s="393">
        <v>-9.6820000000000004</v>
      </c>
      <c r="AO31" s="190">
        <v>-7.1319999999999997</v>
      </c>
      <c r="AP31" s="190">
        <v>-7.7069999999999999</v>
      </c>
      <c r="AQ31" s="193">
        <f>(AR31-SUM(AN31:AP31))</f>
        <v>-9.6539999999999964</v>
      </c>
      <c r="AR31" s="348">
        <v>-34.174999999999997</v>
      </c>
      <c r="AS31" s="393">
        <v>-9.0419999999999998</v>
      </c>
      <c r="AT31" s="190">
        <v>-10.523</v>
      </c>
      <c r="AU31" s="190">
        <v>-11.492000000000001</v>
      </c>
      <c r="AV31" s="193">
        <f>(AW31-SUM(AS31:AU31))</f>
        <v>-13.812000000000001</v>
      </c>
      <c r="AW31" s="348">
        <v>-44.869</v>
      </c>
      <c r="AX31" s="249">
        <f>Utility!AX38</f>
        <v>-13.570835369318184</v>
      </c>
      <c r="AY31" s="250">
        <f>Utility!AY38</f>
        <v>-13.570835369318184</v>
      </c>
      <c r="AZ31" s="250">
        <f>Utility!AZ38</f>
        <v>-13.570835369318184</v>
      </c>
      <c r="BA31" s="251">
        <f>Utility!BA38</f>
        <v>-13.570835369318184</v>
      </c>
      <c r="BB31" s="244">
        <f>SUM(AX31:BA31)</f>
        <v>-54.283341477272735</v>
      </c>
      <c r="BC31" s="249">
        <f>Utility!BC38</f>
        <v>-12.601489985795455</v>
      </c>
      <c r="BD31" s="250">
        <f>Utility!BD38</f>
        <v>-12.601489985795455</v>
      </c>
      <c r="BE31" s="250">
        <f>Utility!BE38</f>
        <v>-12.601489985795455</v>
      </c>
      <c r="BF31" s="251">
        <f>Utility!BF38</f>
        <v>-12.601489985795455</v>
      </c>
      <c r="BG31" s="244">
        <f>SUM(BC31:BF31)</f>
        <v>-50.40595994318182</v>
      </c>
      <c r="BH31" s="249">
        <f>Utility!BH38</f>
        <v>-11.424427734375001</v>
      </c>
      <c r="BI31" s="250">
        <f>Utility!BI38</f>
        <v>-11.424427734375001</v>
      </c>
      <c r="BJ31" s="250">
        <f>Utility!BJ38</f>
        <v>-11.424427734375001</v>
      </c>
      <c r="BK31" s="251">
        <f>Utility!BK38</f>
        <v>-11.424427734375001</v>
      </c>
      <c r="BL31" s="244">
        <f>SUM(BH31:BK31)</f>
        <v>-45.697710937500005</v>
      </c>
      <c r="BM31" s="249">
        <f>Utility!BM38</f>
        <v>-12.347613813920455</v>
      </c>
      <c r="BN31" s="250">
        <f>Utility!BN38</f>
        <v>-12.347613813920455</v>
      </c>
      <c r="BO31" s="250">
        <f>Utility!BO38</f>
        <v>-12.347613813920455</v>
      </c>
      <c r="BP31" s="251">
        <f>Utility!BP38</f>
        <v>-12.347613813920455</v>
      </c>
      <c r="BQ31" s="244">
        <f>SUM(BM31:BP31)</f>
        <v>-49.390455255681822</v>
      </c>
      <c r="BR31" s="311"/>
      <c r="BS31" s="311"/>
      <c r="BT31" s="311"/>
      <c r="BU31" s="311"/>
      <c r="BV31" s="311"/>
      <c r="BW31" s="311"/>
      <c r="BX31" s="311"/>
      <c r="BY31" s="311"/>
      <c r="BZ31" s="311"/>
      <c r="CA31" s="311"/>
      <c r="CB31" s="311"/>
      <c r="CC31" s="311"/>
      <c r="CD31" s="311"/>
      <c r="CE31" s="311"/>
    </row>
    <row r="32" spans="1:83">
      <c r="A32" s="327"/>
      <c r="B32" s="327"/>
      <c r="C32" s="1173" t="s">
        <v>231</v>
      </c>
      <c r="D32" s="327"/>
      <c r="E32" s="181">
        <f>SUM(E30:E31)</f>
        <v>137.446</v>
      </c>
      <c r="F32" s="181">
        <f t="shared" ref="F32:AP32" si="67">SUM(F30:F31)</f>
        <v>144.161</v>
      </c>
      <c r="G32" s="181">
        <f t="shared" si="67"/>
        <v>144.505</v>
      </c>
      <c r="H32" s="182">
        <f t="shared" si="67"/>
        <v>144.33199999999994</v>
      </c>
      <c r="I32" s="378">
        <f t="shared" si="67"/>
        <v>570.44399999999996</v>
      </c>
      <c r="J32" s="180">
        <f t="shared" si="67"/>
        <v>171.19800000000001</v>
      </c>
      <c r="K32" s="181">
        <f t="shared" si="67"/>
        <v>137.85599999999999</v>
      </c>
      <c r="L32" s="181">
        <f t="shared" si="67"/>
        <v>127.12599999999999</v>
      </c>
      <c r="M32" s="182">
        <f t="shared" si="67"/>
        <v>138.98699999999991</v>
      </c>
      <c r="N32" s="110">
        <f t="shared" si="67"/>
        <v>575.16699999999992</v>
      </c>
      <c r="O32" s="180">
        <f t="shared" si="67"/>
        <v>127.59999999999998</v>
      </c>
      <c r="P32" s="181">
        <f t="shared" si="67"/>
        <v>126.9</v>
      </c>
      <c r="Q32" s="181">
        <f t="shared" si="67"/>
        <v>127.58799999999999</v>
      </c>
      <c r="R32" s="182">
        <f t="shared" si="67"/>
        <v>131.53899999999999</v>
      </c>
      <c r="S32" s="110">
        <f t="shared" si="67"/>
        <v>513.62699999999995</v>
      </c>
      <c r="T32" s="180">
        <f t="shared" si="67"/>
        <v>137.35400000000001</v>
      </c>
      <c r="U32" s="181">
        <f t="shared" si="67"/>
        <v>139.13300000000001</v>
      </c>
      <c r="V32" s="181">
        <f t="shared" si="67"/>
        <v>147.79700000000003</v>
      </c>
      <c r="W32" s="182">
        <f t="shared" si="67"/>
        <v>145</v>
      </c>
      <c r="X32" s="110">
        <f t="shared" si="67"/>
        <v>569.28399999999999</v>
      </c>
      <c r="Y32" s="180">
        <f t="shared" si="67"/>
        <v>147.96100000000001</v>
      </c>
      <c r="Z32" s="181">
        <f t="shared" si="67"/>
        <v>148.977</v>
      </c>
      <c r="AA32" s="181">
        <f t="shared" si="67"/>
        <v>151.05099999999999</v>
      </c>
      <c r="AB32" s="182">
        <f>SUM(AB30:AB31)</f>
        <v>156.04799999999997</v>
      </c>
      <c r="AC32" s="110">
        <f>SUM(AC30:AC31)</f>
        <v>604.03700000000003</v>
      </c>
      <c r="AD32" s="180">
        <f t="shared" si="67"/>
        <v>155.53099999999998</v>
      </c>
      <c r="AE32" s="181">
        <f t="shared" si="67"/>
        <v>155.81100000000001</v>
      </c>
      <c r="AF32" s="181">
        <f t="shared" ref="AF32" si="68">SUM(AF30:AF31)</f>
        <v>155.81800000000001</v>
      </c>
      <c r="AG32" s="182">
        <f>SUM(AG30:AG31)</f>
        <v>160.34699999999995</v>
      </c>
      <c r="AH32" s="110">
        <f>SUM(AH30:AH31)</f>
        <v>627.50699999999995</v>
      </c>
      <c r="AI32" s="180">
        <f t="shared" ref="AI32:AJ32" si="69">SUM(AI30:AI31)</f>
        <v>160.22</v>
      </c>
      <c r="AJ32" s="181">
        <f t="shared" si="69"/>
        <v>159.816</v>
      </c>
      <c r="AK32" s="181">
        <f t="shared" si="67"/>
        <v>164.06</v>
      </c>
      <c r="AL32" s="182">
        <f>SUM(AL30:AL31)</f>
        <v>159.37300000000002</v>
      </c>
      <c r="AM32" s="110">
        <f>SUM(AM30:AM31)</f>
        <v>643.46900000000005</v>
      </c>
      <c r="AN32" s="180">
        <f>SUM(AN30:AN31)</f>
        <v>164.12900000000002</v>
      </c>
      <c r="AO32" s="181">
        <f t="shared" ref="AO32" si="70">SUM(AO30:AO31)</f>
        <v>170.499</v>
      </c>
      <c r="AP32" s="181">
        <f t="shared" si="67"/>
        <v>167.19499999999999</v>
      </c>
      <c r="AQ32" s="182">
        <f>SUM(AQ30:AQ31)</f>
        <v>164.54699999999991</v>
      </c>
      <c r="AR32" s="110">
        <f>SUM(AR30:AR31)</f>
        <v>666.37</v>
      </c>
      <c r="AS32" s="180">
        <f>SUM(AS30:AS31)</f>
        <v>162.047</v>
      </c>
      <c r="AT32" s="181">
        <f t="shared" ref="AT32" si="71">SUM(AT30:AT31)</f>
        <v>162.85400000000001</v>
      </c>
      <c r="AU32" s="181">
        <f t="shared" ref="AU32:BB32" si="72">SUM(AU30:AU31)</f>
        <v>166.899</v>
      </c>
      <c r="AV32" s="182">
        <f>SUM(AV30:AV31)</f>
        <v>170.54300000000001</v>
      </c>
      <c r="AW32" s="110">
        <f>SUM(AW30:AW31)</f>
        <v>662.34299999999996</v>
      </c>
      <c r="AX32" s="248">
        <f t="shared" si="72"/>
        <v>163.56099106401516</v>
      </c>
      <c r="AY32" s="246">
        <f t="shared" si="72"/>
        <v>214.91135804154075</v>
      </c>
      <c r="AZ32" s="246">
        <f t="shared" si="72"/>
        <v>200.91071222052668</v>
      </c>
      <c r="BA32" s="247">
        <f t="shared" si="72"/>
        <v>205.63975313094747</v>
      </c>
      <c r="BB32" s="245">
        <f t="shared" si="72"/>
        <v>785.02281445702999</v>
      </c>
      <c r="BC32" s="248">
        <f t="shared" ref="BC32:BL32" si="73">SUM(BC30:BC31)</f>
        <v>192.58512525454182</v>
      </c>
      <c r="BD32" s="246">
        <f t="shared" si="73"/>
        <v>210.73314327438212</v>
      </c>
      <c r="BE32" s="246">
        <f t="shared" si="73"/>
        <v>232.22176519268845</v>
      </c>
      <c r="BF32" s="247">
        <f t="shared" si="73"/>
        <v>227.04639804411403</v>
      </c>
      <c r="BG32" s="245">
        <f t="shared" si="73"/>
        <v>862.58643176572639</v>
      </c>
      <c r="BH32" s="248">
        <f t="shared" si="73"/>
        <v>218.16573472881416</v>
      </c>
      <c r="BI32" s="246">
        <f t="shared" si="73"/>
        <v>238.53396473948229</v>
      </c>
      <c r="BJ32" s="246">
        <f t="shared" si="73"/>
        <v>269.62330556483874</v>
      </c>
      <c r="BK32" s="247">
        <f t="shared" si="73"/>
        <v>247.19838896373443</v>
      </c>
      <c r="BL32" s="245">
        <f t="shared" si="73"/>
        <v>973.52139399686962</v>
      </c>
      <c r="BM32" s="248">
        <f t="shared" ref="BM32:BQ32" si="74">SUM(BM30:BM31)</f>
        <v>235.78229088170477</v>
      </c>
      <c r="BN32" s="246">
        <f t="shared" si="74"/>
        <v>255.16507912535386</v>
      </c>
      <c r="BO32" s="246">
        <f t="shared" si="74"/>
        <v>298.76732134341069</v>
      </c>
      <c r="BP32" s="247">
        <f t="shared" si="74"/>
        <v>269.45827366318582</v>
      </c>
      <c r="BQ32" s="245">
        <f t="shared" si="74"/>
        <v>1059.1729650136551</v>
      </c>
      <c r="BR32" s="327"/>
      <c r="BS32" s="327"/>
      <c r="BT32" s="327"/>
      <c r="BU32" s="327"/>
      <c r="BV32" s="327"/>
      <c r="BW32" s="327"/>
      <c r="BX32" s="327"/>
      <c r="BY32" s="327"/>
      <c r="BZ32" s="327"/>
      <c r="CA32" s="327"/>
      <c r="CB32" s="327"/>
      <c r="CC32" s="327"/>
      <c r="CD32" s="327"/>
      <c r="CE32" s="327"/>
    </row>
    <row r="33" spans="1:83">
      <c r="A33" s="311"/>
      <c r="B33" s="311"/>
      <c r="C33" s="1264"/>
      <c r="D33" s="311"/>
      <c r="E33" s="169"/>
      <c r="F33" s="169"/>
      <c r="G33" s="169"/>
      <c r="H33" s="170"/>
      <c r="I33" s="379"/>
      <c r="J33" s="168"/>
      <c r="K33" s="169"/>
      <c r="L33" s="169"/>
      <c r="M33" s="170"/>
      <c r="N33" s="244"/>
      <c r="O33" s="168"/>
      <c r="P33" s="169"/>
      <c r="Q33" s="169"/>
      <c r="R33" s="170"/>
      <c r="S33" s="244"/>
      <c r="T33" s="168"/>
      <c r="U33" s="169"/>
      <c r="V33" s="169"/>
      <c r="W33" s="170"/>
      <c r="X33" s="244"/>
      <c r="Y33" s="168"/>
      <c r="Z33" s="169"/>
      <c r="AA33" s="169"/>
      <c r="AB33" s="170"/>
      <c r="AC33" s="244"/>
      <c r="AD33" s="168"/>
      <c r="AE33" s="169"/>
      <c r="AF33" s="169"/>
      <c r="AG33" s="170"/>
      <c r="AH33" s="244"/>
      <c r="AI33" s="168"/>
      <c r="AJ33" s="169"/>
      <c r="AK33" s="169"/>
      <c r="AL33" s="170"/>
      <c r="AM33" s="244"/>
      <c r="AN33" s="168"/>
      <c r="AO33" s="169"/>
      <c r="AP33" s="169"/>
      <c r="AQ33" s="170"/>
      <c r="AR33" s="244"/>
      <c r="AS33" s="168"/>
      <c r="AT33" s="169"/>
      <c r="AU33" s="250"/>
      <c r="AV33" s="170"/>
      <c r="AW33" s="244"/>
      <c r="AX33" s="249"/>
      <c r="AY33" s="250"/>
      <c r="AZ33" s="250"/>
      <c r="BA33" s="251"/>
      <c r="BB33" s="244"/>
      <c r="BC33" s="249"/>
      <c r="BD33" s="250"/>
      <c r="BE33" s="250"/>
      <c r="BF33" s="251"/>
      <c r="BG33" s="244"/>
      <c r="BH33" s="249"/>
      <c r="BI33" s="250"/>
      <c r="BJ33" s="250"/>
      <c r="BK33" s="251"/>
      <c r="BL33" s="244"/>
      <c r="BM33" s="249"/>
      <c r="BN33" s="250"/>
      <c r="BO33" s="250"/>
      <c r="BP33" s="251"/>
      <c r="BQ33" s="244"/>
      <c r="BR33" s="311"/>
      <c r="BS33" s="311"/>
      <c r="BT33" s="311"/>
      <c r="BU33" s="311"/>
      <c r="BV33" s="311"/>
      <c r="BW33" s="311"/>
      <c r="BX33" s="311"/>
      <c r="BY33" s="311"/>
      <c r="BZ33" s="311"/>
      <c r="CA33" s="311"/>
      <c r="CB33" s="311"/>
      <c r="CC33" s="311"/>
      <c r="CD33" s="311"/>
      <c r="CE33" s="311"/>
    </row>
    <row r="34" spans="1:83">
      <c r="A34" s="327"/>
      <c r="B34" s="327"/>
      <c r="C34" s="1173" t="s">
        <v>232</v>
      </c>
      <c r="D34" s="327"/>
      <c r="E34" s="181">
        <f>E27-E32</f>
        <v>403.37900000000047</v>
      </c>
      <c r="F34" s="181">
        <f t="shared" ref="F34:AP34" si="75">F27-F32</f>
        <v>322.45200000000011</v>
      </c>
      <c r="G34" s="181">
        <f t="shared" si="75"/>
        <v>740.58099999999968</v>
      </c>
      <c r="H34" s="182">
        <f t="shared" si="75"/>
        <v>417.37800000000055</v>
      </c>
      <c r="I34" s="378">
        <f t="shared" si="75"/>
        <v>1883.79</v>
      </c>
      <c r="J34" s="180">
        <f t="shared" si="75"/>
        <v>366.49899999999991</v>
      </c>
      <c r="K34" s="181">
        <f t="shared" si="75"/>
        <v>524.0999999999998</v>
      </c>
      <c r="L34" s="181">
        <f t="shared" si="75"/>
        <v>682.53699999999935</v>
      </c>
      <c r="M34" s="182">
        <f t="shared" si="75"/>
        <v>314.40799999999928</v>
      </c>
      <c r="N34" s="110">
        <f t="shared" si="75"/>
        <v>1887.5439999999999</v>
      </c>
      <c r="O34" s="180">
        <f t="shared" si="75"/>
        <v>417.92800000000028</v>
      </c>
      <c r="P34" s="181">
        <f t="shared" si="75"/>
        <v>471.55099999999959</v>
      </c>
      <c r="Q34" s="181">
        <f t="shared" si="75"/>
        <v>513.93799999999965</v>
      </c>
      <c r="R34" s="182">
        <f t="shared" si="75"/>
        <v>250.21799999999968</v>
      </c>
      <c r="S34" s="110">
        <f t="shared" si="75"/>
        <v>1653.6350000000002</v>
      </c>
      <c r="T34" s="180">
        <f t="shared" si="75"/>
        <v>-146.90200000000013</v>
      </c>
      <c r="U34" s="181">
        <f t="shared" si="75"/>
        <v>248.38199999999992</v>
      </c>
      <c r="V34" s="181">
        <f t="shared" si="75"/>
        <v>575.17300000000023</v>
      </c>
      <c r="W34" s="182">
        <f t="shared" si="75"/>
        <v>222.56500000000023</v>
      </c>
      <c r="X34" s="110">
        <f t="shared" si="75"/>
        <v>899.21799999999996</v>
      </c>
      <c r="Y34" s="180">
        <f t="shared" si="75"/>
        <v>283.51799999999957</v>
      </c>
      <c r="Z34" s="181">
        <f t="shared" ref="Z34:AE34" si="76">Z27-Z32</f>
        <v>241.16800000000015</v>
      </c>
      <c r="AA34" s="181">
        <f t="shared" si="76"/>
        <v>268.73500000000035</v>
      </c>
      <c r="AB34" s="182">
        <f t="shared" si="76"/>
        <v>163.13199999999873</v>
      </c>
      <c r="AC34" s="110">
        <f t="shared" si="76"/>
        <v>956.55299999999875</v>
      </c>
      <c r="AD34" s="180">
        <f t="shared" si="76"/>
        <v>623.01900000000001</v>
      </c>
      <c r="AE34" s="181">
        <f t="shared" si="76"/>
        <v>323.02399999999989</v>
      </c>
      <c r="AF34" s="181">
        <f t="shared" ref="AF34:AJ34" si="77">AF27-AF32</f>
        <v>396.68099999999947</v>
      </c>
      <c r="AG34" s="182">
        <f t="shared" si="77"/>
        <v>207.12999999999946</v>
      </c>
      <c r="AH34" s="110">
        <f t="shared" si="77"/>
        <v>1549.8540000000012</v>
      </c>
      <c r="AI34" s="180">
        <f t="shared" si="77"/>
        <v>453.4000000000002</v>
      </c>
      <c r="AJ34" s="181">
        <f t="shared" si="77"/>
        <v>253.50300000000024</v>
      </c>
      <c r="AK34" s="181">
        <f t="shared" si="75"/>
        <v>-1085.8979999999995</v>
      </c>
      <c r="AL34" s="182">
        <f t="shared" si="75"/>
        <v>-420.66599999999835</v>
      </c>
      <c r="AM34" s="110">
        <f t="shared" si="75"/>
        <v>-799.66099999999824</v>
      </c>
      <c r="AN34" s="180">
        <f>AN27-AN32</f>
        <v>375.18699999999967</v>
      </c>
      <c r="AO34" s="181">
        <f t="shared" ref="AO34" si="78">AO27-AO32</f>
        <v>323.61699999999985</v>
      </c>
      <c r="AP34" s="181">
        <f t="shared" si="75"/>
        <v>651.11000000000035</v>
      </c>
      <c r="AQ34" s="182">
        <f t="shared" ref="AQ34:AR34" si="79">AQ27-AQ32</f>
        <v>-2731.6759999999995</v>
      </c>
      <c r="AR34" s="110">
        <f t="shared" si="79"/>
        <v>-1381.7619999999997</v>
      </c>
      <c r="AS34" s="180">
        <f>AS27-AS32</f>
        <v>93.814000000000107</v>
      </c>
      <c r="AT34" s="181">
        <f t="shared" ref="AT34" si="80">AT27-AT32</f>
        <v>76.256000000000398</v>
      </c>
      <c r="AU34" s="246">
        <f t="shared" ref="AU34:BB34" si="81">AU27-AU32</f>
        <v>643.43900000000008</v>
      </c>
      <c r="AV34" s="182">
        <f t="shared" si="81"/>
        <v>154.41399999999953</v>
      </c>
      <c r="AW34" s="110">
        <f t="shared" si="81"/>
        <v>967.92300000000148</v>
      </c>
      <c r="AX34" s="248">
        <f t="shared" si="81"/>
        <v>297.03128145341577</v>
      </c>
      <c r="AY34" s="246">
        <f t="shared" si="81"/>
        <v>334.47407105985803</v>
      </c>
      <c r="AZ34" s="246">
        <f t="shared" si="81"/>
        <v>668.39698432391924</v>
      </c>
      <c r="BA34" s="247">
        <f t="shared" si="81"/>
        <v>204.59970521109719</v>
      </c>
      <c r="BB34" s="245">
        <f t="shared" si="81"/>
        <v>1504.5020420482892</v>
      </c>
      <c r="BC34" s="248">
        <f t="shared" ref="BC34:BL34" si="82">BC27-BC32</f>
        <v>369.37482379810524</v>
      </c>
      <c r="BD34" s="246">
        <f t="shared" si="82"/>
        <v>374.38840862137818</v>
      </c>
      <c r="BE34" s="246">
        <f t="shared" si="82"/>
        <v>635.25337640012231</v>
      </c>
      <c r="BF34" s="247">
        <f t="shared" si="82"/>
        <v>172.71069256493155</v>
      </c>
      <c r="BG34" s="245">
        <f t="shared" si="82"/>
        <v>1551.727301384537</v>
      </c>
      <c r="BH34" s="248">
        <f t="shared" si="82"/>
        <v>467.3028990912992</v>
      </c>
      <c r="BI34" s="246">
        <f t="shared" si="82"/>
        <v>361.56692410415985</v>
      </c>
      <c r="BJ34" s="246">
        <f t="shared" si="82"/>
        <v>611.33372869673849</v>
      </c>
      <c r="BK34" s="247">
        <f t="shared" si="82"/>
        <v>172.74744845346424</v>
      </c>
      <c r="BL34" s="245">
        <f t="shared" si="82"/>
        <v>1612.9510003456619</v>
      </c>
      <c r="BM34" s="248">
        <f t="shared" ref="BM34:BQ34" si="83">BM27-BM32</f>
        <v>356.65109728952109</v>
      </c>
      <c r="BN34" s="246">
        <f t="shared" si="83"/>
        <v>390.67098454326083</v>
      </c>
      <c r="BO34" s="246">
        <f t="shared" si="83"/>
        <v>619.90043723755184</v>
      </c>
      <c r="BP34" s="247">
        <f t="shared" si="83"/>
        <v>197.55026421974713</v>
      </c>
      <c r="BQ34" s="245">
        <f t="shared" si="83"/>
        <v>1564.7727832900807</v>
      </c>
      <c r="BR34" s="327"/>
      <c r="BS34" s="327"/>
      <c r="BT34" s="327"/>
      <c r="BU34" s="327"/>
      <c r="BV34" s="327"/>
      <c r="BW34" s="327"/>
      <c r="BX34" s="327"/>
      <c r="BY34" s="327"/>
      <c r="BZ34" s="327"/>
      <c r="CA34" s="327"/>
      <c r="CB34" s="327"/>
      <c r="CC34" s="327"/>
      <c r="CD34" s="327"/>
      <c r="CE34" s="327"/>
    </row>
    <row r="35" spans="1:83">
      <c r="A35" s="311"/>
      <c r="B35" s="311"/>
      <c r="C35" s="1264"/>
      <c r="D35" s="311"/>
      <c r="E35" s="250"/>
      <c r="F35" s="250"/>
      <c r="G35" s="250"/>
      <c r="H35" s="250"/>
      <c r="I35" s="379"/>
      <c r="J35" s="249"/>
      <c r="K35" s="250"/>
      <c r="L35" s="250"/>
      <c r="M35" s="251"/>
      <c r="N35" s="244"/>
      <c r="O35" s="249"/>
      <c r="P35" s="250"/>
      <c r="Q35" s="250"/>
      <c r="R35" s="251"/>
      <c r="S35" s="244"/>
      <c r="T35" s="249"/>
      <c r="U35" s="250"/>
      <c r="V35" s="250"/>
      <c r="W35" s="251"/>
      <c r="X35" s="244"/>
      <c r="Y35" s="249"/>
      <c r="Z35" s="250"/>
      <c r="AA35" s="250"/>
      <c r="AB35" s="251"/>
      <c r="AC35" s="244"/>
      <c r="AD35" s="249"/>
      <c r="AE35" s="250"/>
      <c r="AF35" s="250"/>
      <c r="AG35" s="251"/>
      <c r="AH35" s="244"/>
      <c r="AI35" s="249"/>
      <c r="AJ35" s="250"/>
      <c r="AK35" s="250"/>
      <c r="AL35" s="251"/>
      <c r="AM35" s="244"/>
      <c r="AN35" s="249"/>
      <c r="AO35" s="250"/>
      <c r="AP35" s="250"/>
      <c r="AQ35" s="251"/>
      <c r="AR35" s="244"/>
      <c r="AS35" s="249"/>
      <c r="AT35" s="250"/>
      <c r="AU35" s="250"/>
      <c r="AV35" s="251"/>
      <c r="AW35" s="244"/>
      <c r="AX35" s="249"/>
      <c r="AY35" s="250"/>
      <c r="AZ35" s="250"/>
      <c r="BA35" s="251"/>
      <c r="BB35" s="244"/>
      <c r="BC35" s="249"/>
      <c r="BD35" s="250"/>
      <c r="BE35" s="250"/>
      <c r="BF35" s="251"/>
      <c r="BG35" s="244"/>
      <c r="BH35" s="249"/>
      <c r="BI35" s="250"/>
      <c r="BJ35" s="250"/>
      <c r="BK35" s="251"/>
      <c r="BL35" s="244"/>
      <c r="BM35" s="249"/>
      <c r="BN35" s="250"/>
      <c r="BO35" s="250"/>
      <c r="BP35" s="251"/>
      <c r="BQ35" s="244"/>
      <c r="BR35" s="311"/>
      <c r="BS35" s="1780"/>
      <c r="BT35" s="306"/>
      <c r="BU35" s="1781"/>
      <c r="BV35" s="311"/>
      <c r="BW35" s="311"/>
      <c r="BX35" s="311"/>
      <c r="BY35" s="311"/>
      <c r="BZ35" s="311"/>
      <c r="CA35" s="311"/>
      <c r="CB35" s="311"/>
      <c r="CC35" s="311"/>
      <c r="CD35" s="311"/>
      <c r="CE35" s="311"/>
    </row>
    <row r="36" spans="1:83">
      <c r="A36" s="311"/>
      <c r="B36" s="311"/>
      <c r="C36" s="1264" t="s">
        <v>328</v>
      </c>
      <c r="D36" s="311"/>
      <c r="E36" s="190">
        <v>163.04599999999999</v>
      </c>
      <c r="F36" s="190">
        <v>90.641000000000005</v>
      </c>
      <c r="G36" s="190">
        <v>280.41399999999999</v>
      </c>
      <c r="H36" s="169">
        <f>I36-SUM(E36:G36)</f>
        <v>98.63900000000001</v>
      </c>
      <c r="I36" s="377">
        <v>632.74</v>
      </c>
      <c r="J36" s="393">
        <v>147.685</v>
      </c>
      <c r="K36" s="190">
        <v>203.90700000000001</v>
      </c>
      <c r="L36" s="190">
        <v>184.636</v>
      </c>
      <c r="M36" s="170">
        <f>N36-SUM(J36:L36)</f>
        <v>81.011000000000081</v>
      </c>
      <c r="N36" s="348">
        <v>617.23900000000003</v>
      </c>
      <c r="O36" s="393">
        <v>164.25</v>
      </c>
      <c r="P36" s="190">
        <v>150.953</v>
      </c>
      <c r="Q36" s="190">
        <v>-119.131</v>
      </c>
      <c r="R36" s="170">
        <f>S36-SUM(O36:Q36)</f>
        <v>90.191000000000003</v>
      </c>
      <c r="S36" s="348">
        <v>286.26299999999998</v>
      </c>
      <c r="T36" s="393">
        <v>-0.16200000000000001</v>
      </c>
      <c r="U36" s="190">
        <v>-122.20099999999999</v>
      </c>
      <c r="V36" s="190">
        <v>232.50299999999999</v>
      </c>
      <c r="W36" s="170">
        <f>X36-SUM(T36:V36)</f>
        <v>-79.284999999999982</v>
      </c>
      <c r="X36" s="348">
        <v>30.855</v>
      </c>
      <c r="Y36" s="393">
        <v>116.536</v>
      </c>
      <c r="Z36" s="190">
        <v>73.113</v>
      </c>
      <c r="AA36" s="190">
        <v>24.553000000000001</v>
      </c>
      <c r="AB36" s="193">
        <f>AC36-SUM(Y36:AA36)</f>
        <v>11.778999999999996</v>
      </c>
      <c r="AC36" s="348">
        <v>225.98099999999999</v>
      </c>
      <c r="AD36" s="393">
        <v>216.96600000000001</v>
      </c>
      <c r="AE36" s="190">
        <v>128.74299999999999</v>
      </c>
      <c r="AF36" s="190">
        <v>161.76499999999999</v>
      </c>
      <c r="AG36" s="193">
        <f>AH36-SUM(AD36:AF36)</f>
        <v>82.12299999999999</v>
      </c>
      <c r="AH36" s="348">
        <v>589.59699999999998</v>
      </c>
      <c r="AI36" s="393">
        <v>150.471</v>
      </c>
      <c r="AJ36" s="190">
        <v>99.781000000000006</v>
      </c>
      <c r="AK36" s="190">
        <v>-367.66500000000002</v>
      </c>
      <c r="AL36" s="193">
        <f>AM36-SUM(AI36:AK36)</f>
        <v>-525.51400000000001</v>
      </c>
      <c r="AM36" s="348">
        <v>-642.92700000000002</v>
      </c>
      <c r="AN36" s="393">
        <v>139.94499999999999</v>
      </c>
      <c r="AO36" s="190">
        <v>-248.97300000000001</v>
      </c>
      <c r="AP36" s="190">
        <v>257.90600000000001</v>
      </c>
      <c r="AQ36" s="193">
        <f>AR36-SUM(AN36:AP36)</f>
        <v>-966.13699999999994</v>
      </c>
      <c r="AR36" s="348">
        <v>-817.25900000000001</v>
      </c>
      <c r="AS36" s="393">
        <v>7.7629999999999999</v>
      </c>
      <c r="AT36" s="190">
        <v>-337.11200000000002</v>
      </c>
      <c r="AU36" s="190">
        <v>241.79499999999999</v>
      </c>
      <c r="AV36" s="193">
        <f>AW36-SUM(AS36:AU36)</f>
        <v>630.12400000000014</v>
      </c>
      <c r="AW36" s="348">
        <v>542.57000000000005</v>
      </c>
      <c r="AX36" s="249">
        <f>(AX34-AX22)*AX99-AX102-25</f>
        <v>75.923058288186425</v>
      </c>
      <c r="AY36" s="250">
        <f>(AY34-AY22)*AY99-AY102-25</f>
        <v>90.151318338634482</v>
      </c>
      <c r="AZ36" s="1756">
        <f>(AZ34-AZ22)*AZ99-AZ102-25</f>
        <v>217.04202537897777</v>
      </c>
      <c r="BA36" s="251">
        <f>(BA34-BA22)*BA99-BA102-25</f>
        <v>40.799059316105357</v>
      </c>
      <c r="BB36" s="244">
        <f>SUM(AX36:BA36)</f>
        <v>423.91546132190405</v>
      </c>
      <c r="BC36" s="249">
        <f>(BC34-BC22)*BC99-BC102</f>
        <v>129.10125705714279</v>
      </c>
      <c r="BD36" s="250">
        <f>(BD34-BD22)*BD99-BD102</f>
        <v>131.00641928998652</v>
      </c>
      <c r="BE36" s="250">
        <f>(BE34-BE22)*BE99-BE102</f>
        <v>230.13510704590928</v>
      </c>
      <c r="BF36" s="251">
        <f>(BF34-BF22)*BF99-BF102</f>
        <v>54.368887188536803</v>
      </c>
      <c r="BG36" s="244">
        <f>SUM(BC36:BF36)</f>
        <v>544.61167058157548</v>
      </c>
      <c r="BH36" s="249">
        <f>(BH34-BH22)*BH99-BH102</f>
        <v>167.15797167172806</v>
      </c>
      <c r="BI36" s="250">
        <f>(BI34-BI22)*BI99-BI102</f>
        <v>126.97830117661513</v>
      </c>
      <c r="BJ36" s="250">
        <f>(BJ34-BJ22)*BJ99-BJ102</f>
        <v>221.889686921795</v>
      </c>
      <c r="BK36" s="251">
        <f>(BK34-BK22)*BK99-BK102</f>
        <v>55.226900429350792</v>
      </c>
      <c r="BL36" s="244">
        <f>SUM(BH36:BK36)</f>
        <v>571.25286019948908</v>
      </c>
      <c r="BM36" s="249">
        <f>(BM34-BM22)*BM99-BM102</f>
        <v>124.35662861945264</v>
      </c>
      <c r="BN36" s="250">
        <f>(BN34-BN22)*BN99-BN102</f>
        <v>137.28418577587374</v>
      </c>
      <c r="BO36" s="250">
        <f>(BO34-BO22)*BO99-BO102</f>
        <v>224.39137779970432</v>
      </c>
      <c r="BP36" s="251">
        <f>(BP34-BP22)*BP99-BP102</f>
        <v>63.898312052938522</v>
      </c>
      <c r="BQ36" s="244">
        <f>SUM(BM36:BP36)</f>
        <v>549.93050424796922</v>
      </c>
      <c r="BR36" s="311"/>
      <c r="BS36" s="311"/>
      <c r="BT36" s="311"/>
      <c r="BU36" s="311"/>
      <c r="BV36" s="311"/>
      <c r="BW36" s="311"/>
      <c r="BX36" s="311"/>
      <c r="BY36" s="311"/>
      <c r="BZ36" s="311"/>
      <c r="CA36" s="311"/>
      <c r="CB36" s="311"/>
      <c r="CC36" s="311"/>
      <c r="CD36" s="311"/>
      <c r="CE36" s="311"/>
    </row>
    <row r="37" spans="1:83">
      <c r="A37" s="327"/>
      <c r="B37" s="327"/>
      <c r="C37" s="1173" t="s">
        <v>233</v>
      </c>
      <c r="D37" s="327"/>
      <c r="E37" s="181">
        <f t="shared" ref="E37:AP37" si="84">E34-SUM(E36:E36)</f>
        <v>240.33300000000048</v>
      </c>
      <c r="F37" s="181">
        <f t="shared" si="84"/>
        <v>231.81100000000009</v>
      </c>
      <c r="G37" s="181">
        <f t="shared" si="84"/>
        <v>460.16699999999969</v>
      </c>
      <c r="H37" s="181">
        <f t="shared" si="84"/>
        <v>318.73900000000054</v>
      </c>
      <c r="I37" s="378">
        <f t="shared" si="84"/>
        <v>1251.05</v>
      </c>
      <c r="J37" s="180">
        <f t="shared" si="84"/>
        <v>218.81399999999991</v>
      </c>
      <c r="K37" s="181">
        <f t="shared" si="84"/>
        <v>320.19299999999976</v>
      </c>
      <c r="L37" s="181">
        <f t="shared" si="84"/>
        <v>497.90099999999939</v>
      </c>
      <c r="M37" s="182">
        <f t="shared" si="84"/>
        <v>233.3969999999992</v>
      </c>
      <c r="N37" s="110">
        <f t="shared" si="84"/>
        <v>1270.3049999999998</v>
      </c>
      <c r="O37" s="180">
        <f t="shared" si="84"/>
        <v>253.67800000000028</v>
      </c>
      <c r="P37" s="181">
        <f t="shared" si="84"/>
        <v>320.59799999999962</v>
      </c>
      <c r="Q37" s="181">
        <f t="shared" si="84"/>
        <v>633.06899999999962</v>
      </c>
      <c r="R37" s="182">
        <f t="shared" si="84"/>
        <v>160.02699999999967</v>
      </c>
      <c r="S37" s="110">
        <f t="shared" si="84"/>
        <v>1367.3720000000003</v>
      </c>
      <c r="T37" s="180">
        <f t="shared" si="84"/>
        <v>-146.74000000000012</v>
      </c>
      <c r="U37" s="181">
        <f t="shared" si="84"/>
        <v>370.58299999999991</v>
      </c>
      <c r="V37" s="181">
        <f t="shared" si="84"/>
        <v>342.67000000000024</v>
      </c>
      <c r="W37" s="182">
        <f t="shared" si="84"/>
        <v>301.85000000000019</v>
      </c>
      <c r="X37" s="110">
        <f t="shared" si="84"/>
        <v>868.36299999999994</v>
      </c>
      <c r="Y37" s="180">
        <f>Y34-SUM(Y36:Y36)</f>
        <v>166.98199999999957</v>
      </c>
      <c r="Z37" s="181">
        <f t="shared" si="84"/>
        <v>168.05500000000015</v>
      </c>
      <c r="AA37" s="181">
        <f t="shared" si="84"/>
        <v>244.18200000000036</v>
      </c>
      <c r="AB37" s="182">
        <f>AB34-SUM(AB36:AB36)</f>
        <v>151.35299999999873</v>
      </c>
      <c r="AC37" s="110">
        <f>AC34-SUM(AC36:AC36)</f>
        <v>730.57199999999875</v>
      </c>
      <c r="AD37" s="180">
        <f>AD34-SUM(AD36:AD36)</f>
        <v>406.053</v>
      </c>
      <c r="AE37" s="181">
        <f t="shared" si="84"/>
        <v>194.28099999999989</v>
      </c>
      <c r="AF37" s="181">
        <f t="shared" ref="AF37" si="85">AF34-SUM(AF36:AF36)</f>
        <v>234.91599999999949</v>
      </c>
      <c r="AG37" s="182">
        <f>AG34-SUM(AG36:AG36)</f>
        <v>125.00699999999946</v>
      </c>
      <c r="AH37" s="110">
        <f>AH34-SUM(AH36:AH36)</f>
        <v>960.2570000000012</v>
      </c>
      <c r="AI37" s="180">
        <f>AI34-SUM(AI36:AI36)</f>
        <v>302.9290000000002</v>
      </c>
      <c r="AJ37" s="181">
        <f t="shared" ref="AJ37" si="86">AJ34-SUM(AJ36:AJ36)</f>
        <v>153.72200000000024</v>
      </c>
      <c r="AK37" s="181">
        <f t="shared" ref="AK37" si="87">AK34-SUM(AK36:AK36)</f>
        <v>-718.23299999999949</v>
      </c>
      <c r="AL37" s="182">
        <f>AL34-SUM(AL36:AL36)</f>
        <v>104.84800000000166</v>
      </c>
      <c r="AM37" s="110">
        <f>AM34-SUM(AM36:AM36)</f>
        <v>-156.73399999999822</v>
      </c>
      <c r="AN37" s="180">
        <f>AN34-SUM(AN36:AN36)</f>
        <v>235.24199999999968</v>
      </c>
      <c r="AO37" s="181">
        <f t="shared" ref="AO37" si="88">AO34-SUM(AO36:AO36)</f>
        <v>572.58999999999992</v>
      </c>
      <c r="AP37" s="181">
        <f t="shared" si="84"/>
        <v>393.20400000000035</v>
      </c>
      <c r="AQ37" s="182">
        <f>AQ34-SUM(AQ36:AQ36)</f>
        <v>-1765.5389999999995</v>
      </c>
      <c r="AR37" s="110">
        <f>AR34-SUM(AR36:AR36)</f>
        <v>-564.5029999999997</v>
      </c>
      <c r="AS37" s="180">
        <f>AS34-SUM(AS36:AS36)</f>
        <v>86.051000000000101</v>
      </c>
      <c r="AT37" s="246">
        <f t="shared" ref="AT37:BB37" si="89">AT34-SUM(AT36:AT36)</f>
        <v>413.36800000000039</v>
      </c>
      <c r="AU37" s="246">
        <f t="shared" si="89"/>
        <v>401.64400000000012</v>
      </c>
      <c r="AV37" s="182">
        <f>AV34-SUM(AV36:AV36)</f>
        <v>-475.7100000000006</v>
      </c>
      <c r="AW37" s="110">
        <f>AW34-SUM(AW36:AW36)</f>
        <v>425.35300000000143</v>
      </c>
      <c r="AX37" s="248">
        <f t="shared" si="89"/>
        <v>221.10822316522933</v>
      </c>
      <c r="AY37" s="246">
        <f t="shared" si="89"/>
        <v>244.32275272122354</v>
      </c>
      <c r="AZ37" s="246">
        <f t="shared" si="89"/>
        <v>451.35495894494147</v>
      </c>
      <c r="BA37" s="247">
        <f t="shared" si="89"/>
        <v>163.80064589499182</v>
      </c>
      <c r="BB37" s="245">
        <f t="shared" si="89"/>
        <v>1080.5865807263851</v>
      </c>
      <c r="BC37" s="248">
        <f t="shared" ref="BC37:BL37" si="90">BC34-SUM(BC36:BC36)</f>
        <v>240.27356674096245</v>
      </c>
      <c r="BD37" s="246">
        <f t="shared" si="90"/>
        <v>243.38198933139165</v>
      </c>
      <c r="BE37" s="246">
        <f t="shared" si="90"/>
        <v>405.118269354213</v>
      </c>
      <c r="BF37" s="247">
        <f t="shared" si="90"/>
        <v>118.34180537639475</v>
      </c>
      <c r="BG37" s="245">
        <f t="shared" si="90"/>
        <v>1007.1156308029615</v>
      </c>
      <c r="BH37" s="248">
        <f t="shared" si="90"/>
        <v>300.1449274195711</v>
      </c>
      <c r="BI37" s="246">
        <f t="shared" si="90"/>
        <v>234.58862292754472</v>
      </c>
      <c r="BJ37" s="246">
        <f t="shared" si="90"/>
        <v>389.44404177494346</v>
      </c>
      <c r="BK37" s="247">
        <f t="shared" si="90"/>
        <v>117.52054802411345</v>
      </c>
      <c r="BL37" s="245">
        <f t="shared" si="90"/>
        <v>1041.6981401461728</v>
      </c>
      <c r="BM37" s="248">
        <f t="shared" ref="BM37:BQ37" si="91">BM34-SUM(BM36:BM36)</f>
        <v>232.29446867006845</v>
      </c>
      <c r="BN37" s="246">
        <f t="shared" si="91"/>
        <v>253.38679876738709</v>
      </c>
      <c r="BO37" s="246">
        <f t="shared" si="91"/>
        <v>395.50905943784755</v>
      </c>
      <c r="BP37" s="247">
        <f t="shared" si="91"/>
        <v>133.6519521668086</v>
      </c>
      <c r="BQ37" s="245">
        <f t="shared" si="91"/>
        <v>1014.8422790421115</v>
      </c>
      <c r="BR37" s="327"/>
      <c r="BS37" s="327"/>
      <c r="BT37" s="327"/>
      <c r="BU37" s="327"/>
      <c r="BV37" s="327"/>
      <c r="BW37" s="327"/>
      <c r="BX37" s="327"/>
      <c r="BY37" s="327"/>
      <c r="BZ37" s="327"/>
      <c r="CA37" s="327"/>
      <c r="CB37" s="327"/>
      <c r="CC37" s="327"/>
      <c r="CD37" s="327"/>
      <c r="CE37" s="327"/>
    </row>
    <row r="38" spans="1:83">
      <c r="A38" s="311"/>
      <c r="B38" s="311"/>
      <c r="C38" s="1264"/>
      <c r="D38" s="311"/>
      <c r="E38" s="250"/>
      <c r="F38" s="250"/>
      <c r="G38" s="250"/>
      <c r="H38" s="250"/>
      <c r="I38" s="379"/>
      <c r="J38" s="249"/>
      <c r="K38" s="250"/>
      <c r="L38" s="250"/>
      <c r="M38" s="251"/>
      <c r="N38" s="244"/>
      <c r="O38" s="249"/>
      <c r="P38" s="250"/>
      <c r="Q38" s="250"/>
      <c r="R38" s="251"/>
      <c r="S38" s="244"/>
      <c r="T38" s="249"/>
      <c r="U38" s="250"/>
      <c r="V38" s="250"/>
      <c r="W38" s="251"/>
      <c r="X38" s="244"/>
      <c r="Y38" s="249"/>
      <c r="Z38" s="250"/>
      <c r="AA38" s="250"/>
      <c r="AB38" s="251"/>
      <c r="AC38" s="244"/>
      <c r="AD38" s="249"/>
      <c r="AE38" s="250"/>
      <c r="AF38" s="250"/>
      <c r="AG38" s="251"/>
      <c r="AH38" s="244"/>
      <c r="AI38" s="249"/>
      <c r="AJ38" s="250"/>
      <c r="AK38" s="250"/>
      <c r="AL38" s="251"/>
      <c r="AM38" s="244"/>
      <c r="AN38" s="249"/>
      <c r="AO38" s="250"/>
      <c r="AP38" s="250"/>
      <c r="AQ38" s="251"/>
      <c r="AR38" s="244"/>
      <c r="AS38" s="249"/>
      <c r="AT38" s="250"/>
      <c r="AU38" s="250"/>
      <c r="AV38" s="251"/>
      <c r="AW38" s="244"/>
      <c r="AX38" s="249"/>
      <c r="AY38" s="250"/>
      <c r="AZ38" s="250"/>
      <c r="BA38" s="251"/>
      <c r="BB38" s="244"/>
      <c r="BC38" s="249"/>
      <c r="BD38" s="250"/>
      <c r="BE38" s="250"/>
      <c r="BF38" s="251"/>
      <c r="BG38" s="244"/>
      <c r="BH38" s="249"/>
      <c r="BI38" s="250"/>
      <c r="BJ38" s="250"/>
      <c r="BK38" s="251"/>
      <c r="BL38" s="244"/>
      <c r="BM38" s="249"/>
      <c r="BN38" s="250"/>
      <c r="BO38" s="250"/>
      <c r="BP38" s="251"/>
      <c r="BQ38" s="244"/>
      <c r="BR38" s="311"/>
      <c r="BS38" s="311"/>
      <c r="BT38" s="311"/>
      <c r="BU38" s="311"/>
      <c r="BV38" s="311"/>
      <c r="BW38" s="311"/>
      <c r="BX38" s="311"/>
      <c r="BY38" s="311"/>
      <c r="BZ38" s="311"/>
      <c r="CA38" s="311"/>
      <c r="CB38" s="311"/>
      <c r="CC38" s="311"/>
      <c r="CD38" s="311"/>
      <c r="CE38" s="311"/>
    </row>
    <row r="39" spans="1:83">
      <c r="A39" s="311"/>
      <c r="B39" s="311"/>
      <c r="C39" s="1264" t="s">
        <v>355</v>
      </c>
      <c r="D39" s="311"/>
      <c r="E39" s="190">
        <v>-4.9980000000000002</v>
      </c>
      <c r="F39" s="190">
        <v>-4.9980000000000002</v>
      </c>
      <c r="G39" s="190">
        <v>-4.9980000000000002</v>
      </c>
      <c r="H39" s="170">
        <f>I39-SUM(E39:G39)</f>
        <v>-4.9639999999999986</v>
      </c>
      <c r="I39" s="377">
        <v>-19.957999999999998</v>
      </c>
      <c r="J39" s="393">
        <v>-5.0149999999999997</v>
      </c>
      <c r="K39" s="190">
        <v>-5.0170000000000003</v>
      </c>
      <c r="L39" s="190">
        <v>-5.0149999999999997</v>
      </c>
      <c r="M39" s="170">
        <f>N39-SUM(J39:L39)</f>
        <v>-5.0159999999999982</v>
      </c>
      <c r="N39" s="348">
        <v>-20.062999999999999</v>
      </c>
      <c r="O39" s="393">
        <v>-5.0149999999999997</v>
      </c>
      <c r="P39" s="190">
        <v>-5.0149999999999997</v>
      </c>
      <c r="Q39" s="190">
        <v>-5.0149999999999997</v>
      </c>
      <c r="R39" s="170">
        <f>S39-SUM(O39:Q39)</f>
        <v>-5.8880000000000017</v>
      </c>
      <c r="S39" s="348">
        <v>-20.933</v>
      </c>
      <c r="T39" s="393">
        <v>-4.9429999999999996</v>
      </c>
      <c r="U39" s="190">
        <v>-5.5819999999999999</v>
      </c>
      <c r="V39" s="190">
        <v>-5.5819999999999999</v>
      </c>
      <c r="W39" s="170">
        <f>X39-SUM(T39:V39)</f>
        <v>-5.583000000000002</v>
      </c>
      <c r="X39" s="348">
        <v>-21.69</v>
      </c>
      <c r="Y39" s="393">
        <v>-5.5819999999999999</v>
      </c>
      <c r="Z39" s="190">
        <v>-4.3319999999999999</v>
      </c>
      <c r="AA39" s="190">
        <v>-4.3319999999999999</v>
      </c>
      <c r="AB39" s="193">
        <f>AC39-SUM(Y39:AA39)</f>
        <v>-4.424000000000003</v>
      </c>
      <c r="AC39" s="348">
        <v>-18.670000000000002</v>
      </c>
      <c r="AD39" s="393">
        <v>-4.8789999999999996</v>
      </c>
      <c r="AE39" s="190">
        <v>-4.8979999999999997</v>
      </c>
      <c r="AF39" s="190">
        <v>-4.8789999999999996</v>
      </c>
      <c r="AG39" s="193">
        <f>AH39-SUM(AD39:AF39)</f>
        <v>-4.8800000000000026</v>
      </c>
      <c r="AH39" s="348">
        <v>-19.536000000000001</v>
      </c>
      <c r="AI39" s="393">
        <v>-4.8789999999999996</v>
      </c>
      <c r="AJ39" s="190">
        <v>-4.8789999999999996</v>
      </c>
      <c r="AK39" s="190">
        <v>-4.7939999999999996</v>
      </c>
      <c r="AL39" s="193">
        <f>AM39-SUM(AI39:AK39)</f>
        <v>-5.2759999999999998</v>
      </c>
      <c r="AM39" s="348">
        <v>-19.827999999999999</v>
      </c>
      <c r="AN39" s="393">
        <v>-5.2759999999999998</v>
      </c>
      <c r="AO39" s="190">
        <v>-5.2759999999999998</v>
      </c>
      <c r="AP39" s="190">
        <v>-5.0339999999999998</v>
      </c>
      <c r="AQ39" s="193">
        <f>AR39-SUM(AN39:AP39)</f>
        <v>-3.5289999999999999</v>
      </c>
      <c r="AR39" s="348">
        <v>-19.114999999999998</v>
      </c>
      <c r="AS39" s="393">
        <v>-3.4460000000000002</v>
      </c>
      <c r="AT39" s="190">
        <v>-3.4460000000000002</v>
      </c>
      <c r="AU39" s="190">
        <v>-3.4460000000000002</v>
      </c>
      <c r="AV39" s="193">
        <f>AW39-SUM(AS39:AU39)</f>
        <v>-3.4029999999999987</v>
      </c>
      <c r="AW39" s="348">
        <v>-13.741</v>
      </c>
      <c r="AX39" s="249">
        <f>Utility!AX47+EWC!AX35+Parent!AX35</f>
        <v>-2.899</v>
      </c>
      <c r="AY39" s="250">
        <f>Utility!AY47+EWC!AY35+Parent!AY35</f>
        <v>-2.899</v>
      </c>
      <c r="AZ39" s="250">
        <f>Utility!AZ47+EWC!AZ35+Parent!AZ35</f>
        <v>-2.899</v>
      </c>
      <c r="BA39" s="251">
        <f>Utility!BA47+EWC!BA35+Parent!BA35</f>
        <v>-2.8559999999999985</v>
      </c>
      <c r="BB39" s="244">
        <f>SUM(AX39:BA39)</f>
        <v>-11.552999999999997</v>
      </c>
      <c r="BC39" s="249">
        <f>Utility!BC47+EWC!BC35+Parent!BC35</f>
        <v>-2.899</v>
      </c>
      <c r="BD39" s="250">
        <f>Utility!BD47+EWC!BD35+Parent!BD35</f>
        <v>-2.899</v>
      </c>
      <c r="BE39" s="250">
        <f>Utility!BE47+EWC!BE35+Parent!BE35</f>
        <v>-2.899</v>
      </c>
      <c r="BF39" s="251">
        <f>Utility!BF47+EWC!BF35+Parent!BF35</f>
        <v>-2.8559999999999985</v>
      </c>
      <c r="BG39" s="244">
        <f>SUM(BC39:BF39)</f>
        <v>-11.552999999999997</v>
      </c>
      <c r="BH39" s="249">
        <f>Utility!BH47+EWC!BH35+Parent!BH35</f>
        <v>-2.899</v>
      </c>
      <c r="BI39" s="250">
        <f>Utility!BI47+EWC!BI35+Parent!BI35</f>
        <v>-2.899</v>
      </c>
      <c r="BJ39" s="250">
        <f>Utility!BJ47+EWC!BJ35+Parent!BJ35</f>
        <v>-2.899</v>
      </c>
      <c r="BK39" s="251">
        <f>Utility!BK47+EWC!BK35+Parent!BK35</f>
        <v>-2.8559999999999985</v>
      </c>
      <c r="BL39" s="244">
        <f>SUM(BH39:BK39)</f>
        <v>-11.552999999999997</v>
      </c>
      <c r="BM39" s="249">
        <f>Utility!BM47+EWC!BM35+Parent!BM35</f>
        <v>-2.899</v>
      </c>
      <c r="BN39" s="250">
        <f>Utility!BN47+EWC!BN35+Parent!BN35</f>
        <v>-2.899</v>
      </c>
      <c r="BO39" s="250">
        <f>Utility!BO47+EWC!BO35+Parent!BO35</f>
        <v>-2.899</v>
      </c>
      <c r="BP39" s="251">
        <f>Utility!BP47+EWC!BP35+Parent!BP35</f>
        <v>-2.8559999999999985</v>
      </c>
      <c r="BQ39" s="244">
        <f>SUM(BM39:BP39)</f>
        <v>-11.552999999999997</v>
      </c>
      <c r="BR39" s="311"/>
      <c r="BS39" s="311"/>
      <c r="BT39" s="311"/>
      <c r="BU39" s="311"/>
      <c r="BV39" s="311"/>
      <c r="BW39" s="311"/>
      <c r="BX39" s="311"/>
      <c r="BY39" s="311"/>
      <c r="BZ39" s="311"/>
      <c r="CA39" s="311"/>
      <c r="CB39" s="311"/>
      <c r="CC39" s="311"/>
      <c r="CD39" s="311"/>
      <c r="CE39" s="311"/>
    </row>
    <row r="40" spans="1:83">
      <c r="A40" s="311"/>
      <c r="B40" s="311"/>
      <c r="C40" s="1264"/>
      <c r="D40" s="311"/>
      <c r="E40" s="169"/>
      <c r="F40" s="169"/>
      <c r="G40" s="169"/>
      <c r="H40" s="170"/>
      <c r="I40" s="379"/>
      <c r="J40" s="168"/>
      <c r="K40" s="169"/>
      <c r="L40" s="169"/>
      <c r="M40" s="170"/>
      <c r="N40" s="244"/>
      <c r="O40" s="168"/>
      <c r="P40" s="169"/>
      <c r="Q40" s="169"/>
      <c r="R40" s="170"/>
      <c r="S40" s="244"/>
      <c r="T40" s="168"/>
      <c r="U40" s="169"/>
      <c r="V40" s="169"/>
      <c r="W40" s="170"/>
      <c r="X40" s="244"/>
      <c r="Y40" s="168"/>
      <c r="Z40" s="169"/>
      <c r="AA40" s="169"/>
      <c r="AB40" s="170"/>
      <c r="AC40" s="244"/>
      <c r="AD40" s="168"/>
      <c r="AE40" s="169"/>
      <c r="AF40" s="169"/>
      <c r="AG40" s="170"/>
      <c r="AH40" s="244"/>
      <c r="AI40" s="168"/>
      <c r="AJ40" s="169"/>
      <c r="AK40" s="169"/>
      <c r="AL40" s="170"/>
      <c r="AM40" s="244"/>
      <c r="AN40" s="168"/>
      <c r="AO40" s="169"/>
      <c r="AP40" s="169"/>
      <c r="AQ40" s="170"/>
      <c r="AR40" s="244"/>
      <c r="AS40" s="168"/>
      <c r="AT40" s="250"/>
      <c r="AU40" s="250"/>
      <c r="AV40" s="170"/>
      <c r="AW40" s="244"/>
      <c r="AX40" s="249"/>
      <c r="AY40" s="250"/>
      <c r="AZ40" s="250"/>
      <c r="BA40" s="251"/>
      <c r="BB40" s="244"/>
      <c r="BC40" s="249"/>
      <c r="BD40" s="250"/>
      <c r="BE40" s="250"/>
      <c r="BF40" s="251"/>
      <c r="BG40" s="244"/>
      <c r="BH40" s="249"/>
      <c r="BI40" s="250"/>
      <c r="BJ40" s="250"/>
      <c r="BK40" s="251"/>
      <c r="BL40" s="244"/>
      <c r="BM40" s="249"/>
      <c r="BN40" s="250"/>
      <c r="BO40" s="250"/>
      <c r="BP40" s="251"/>
      <c r="BQ40" s="244"/>
      <c r="BR40" s="311"/>
      <c r="BS40" s="311"/>
      <c r="BT40" s="311"/>
      <c r="BU40" s="311"/>
      <c r="BV40" s="311"/>
      <c r="BW40" s="311"/>
      <c r="BX40" s="311"/>
      <c r="BY40" s="311"/>
      <c r="BZ40" s="311"/>
      <c r="CA40" s="311"/>
      <c r="CB40" s="311"/>
      <c r="CC40" s="311"/>
      <c r="CD40" s="311"/>
      <c r="CE40" s="311"/>
    </row>
    <row r="41" spans="1:83">
      <c r="A41" s="327"/>
      <c r="B41" s="327"/>
      <c r="C41" s="1173" t="s">
        <v>234</v>
      </c>
      <c r="D41" s="327"/>
      <c r="E41" s="181">
        <f t="shared" ref="E41:Q41" si="92">E37+E39</f>
        <v>235.33500000000049</v>
      </c>
      <c r="F41" s="181">
        <f t="shared" si="92"/>
        <v>226.8130000000001</v>
      </c>
      <c r="G41" s="181">
        <f t="shared" si="92"/>
        <v>455.1689999999997</v>
      </c>
      <c r="H41" s="182">
        <f t="shared" si="92"/>
        <v>313.77500000000055</v>
      </c>
      <c r="I41" s="378">
        <f t="shared" si="92"/>
        <v>1231.0919999999999</v>
      </c>
      <c r="J41" s="180">
        <f t="shared" si="92"/>
        <v>213.79899999999992</v>
      </c>
      <c r="K41" s="181">
        <f t="shared" si="92"/>
        <v>315.17599999999976</v>
      </c>
      <c r="L41" s="181">
        <f t="shared" si="92"/>
        <v>492.8859999999994</v>
      </c>
      <c r="M41" s="182">
        <f t="shared" si="92"/>
        <v>228.3809999999992</v>
      </c>
      <c r="N41" s="110">
        <f t="shared" si="92"/>
        <v>1250.2419999999997</v>
      </c>
      <c r="O41" s="180">
        <f t="shared" si="92"/>
        <v>248.6630000000003</v>
      </c>
      <c r="P41" s="181">
        <f t="shared" si="92"/>
        <v>315.58299999999963</v>
      </c>
      <c r="Q41" s="181">
        <f t="shared" si="92"/>
        <v>628.05399999999963</v>
      </c>
      <c r="R41" s="182">
        <f t="shared" ref="R41:AM41" si="93">R37+R39</f>
        <v>154.13899999999967</v>
      </c>
      <c r="S41" s="110">
        <f t="shared" si="93"/>
        <v>1346.4390000000003</v>
      </c>
      <c r="T41" s="180">
        <f t="shared" si="93"/>
        <v>-151.68300000000013</v>
      </c>
      <c r="U41" s="181">
        <f t="shared" si="93"/>
        <v>365.00099999999992</v>
      </c>
      <c r="V41" s="181">
        <f t="shared" si="93"/>
        <v>337.08800000000025</v>
      </c>
      <c r="W41" s="182">
        <f>W37+W39</f>
        <v>296.26700000000017</v>
      </c>
      <c r="X41" s="110">
        <f>X37+X39</f>
        <v>846.67299999999989</v>
      </c>
      <c r="Y41" s="180">
        <f t="shared" si="93"/>
        <v>161.39999999999958</v>
      </c>
      <c r="Z41" s="181">
        <f t="shared" ref="Z41:AE41" si="94">Z37+Z39</f>
        <v>163.72300000000016</v>
      </c>
      <c r="AA41" s="181">
        <f t="shared" si="94"/>
        <v>239.85000000000036</v>
      </c>
      <c r="AB41" s="182">
        <f t="shared" si="94"/>
        <v>146.92899999999872</v>
      </c>
      <c r="AC41" s="110">
        <f t="shared" si="94"/>
        <v>711.90199999999879</v>
      </c>
      <c r="AD41" s="180">
        <f t="shared" si="94"/>
        <v>401.17399999999998</v>
      </c>
      <c r="AE41" s="181">
        <f t="shared" si="94"/>
        <v>189.3829999999999</v>
      </c>
      <c r="AF41" s="181">
        <f t="shared" ref="AF41:AJ41" si="95">AF37+AF39</f>
        <v>230.03699999999949</v>
      </c>
      <c r="AG41" s="182">
        <f t="shared" si="95"/>
        <v>120.12699999999947</v>
      </c>
      <c r="AH41" s="110">
        <f t="shared" si="95"/>
        <v>940.72100000000114</v>
      </c>
      <c r="AI41" s="180">
        <f t="shared" si="95"/>
        <v>298.05000000000018</v>
      </c>
      <c r="AJ41" s="181">
        <f t="shared" si="95"/>
        <v>148.84300000000025</v>
      </c>
      <c r="AK41" s="181">
        <f t="shared" si="93"/>
        <v>-723.02699999999948</v>
      </c>
      <c r="AL41" s="247">
        <f t="shared" si="93"/>
        <v>99.572000000001665</v>
      </c>
      <c r="AM41" s="245">
        <f t="shared" si="93"/>
        <v>-176.56199999999822</v>
      </c>
      <c r="AN41" s="180">
        <f>AN37+AN39</f>
        <v>229.96599999999967</v>
      </c>
      <c r="AO41" s="181">
        <f t="shared" ref="AO41:AT41" si="96">AO37+AO39</f>
        <v>567.31399999999996</v>
      </c>
      <c r="AP41" s="181">
        <f t="shared" si="96"/>
        <v>388.17000000000036</v>
      </c>
      <c r="AQ41" s="247">
        <f t="shared" si="96"/>
        <v>-1769.0679999999995</v>
      </c>
      <c r="AR41" s="245">
        <f t="shared" si="96"/>
        <v>-583.61799999999971</v>
      </c>
      <c r="AS41" s="180">
        <f>AS37+AS39</f>
        <v>82.605000000000103</v>
      </c>
      <c r="AT41" s="181">
        <f t="shared" si="96"/>
        <v>409.92200000000037</v>
      </c>
      <c r="AU41" s="181">
        <f t="shared" ref="AU41:BB41" si="97">AU37+AU39</f>
        <v>398.19800000000009</v>
      </c>
      <c r="AV41" s="247">
        <f t="shared" si="97"/>
        <v>-479.11300000000062</v>
      </c>
      <c r="AW41" s="245">
        <f t="shared" si="97"/>
        <v>411.61200000000144</v>
      </c>
      <c r="AX41" s="248">
        <f t="shared" si="97"/>
        <v>218.20922316522933</v>
      </c>
      <c r="AY41" s="246">
        <f t="shared" si="97"/>
        <v>241.42375272122354</v>
      </c>
      <c r="AZ41" s="246">
        <f t="shared" si="97"/>
        <v>448.45595894494147</v>
      </c>
      <c r="BA41" s="247">
        <f t="shared" si="97"/>
        <v>160.94464589499182</v>
      </c>
      <c r="BB41" s="245">
        <f t="shared" si="97"/>
        <v>1069.033580726385</v>
      </c>
      <c r="BC41" s="248">
        <f t="shared" ref="BC41:BL41" si="98">BC37+BC39</f>
        <v>237.37456674096245</v>
      </c>
      <c r="BD41" s="246">
        <f t="shared" si="98"/>
        <v>240.48298933139165</v>
      </c>
      <c r="BE41" s="246">
        <f t="shared" si="98"/>
        <v>402.219269354213</v>
      </c>
      <c r="BF41" s="247">
        <f t="shared" si="98"/>
        <v>115.48580537639475</v>
      </c>
      <c r="BG41" s="245">
        <f t="shared" si="98"/>
        <v>995.56263080296151</v>
      </c>
      <c r="BH41" s="248">
        <f t="shared" si="98"/>
        <v>297.2459274195711</v>
      </c>
      <c r="BI41" s="246">
        <f t="shared" si="98"/>
        <v>231.68962292754472</v>
      </c>
      <c r="BJ41" s="246">
        <f t="shared" si="98"/>
        <v>386.54504177494346</v>
      </c>
      <c r="BK41" s="247">
        <f t="shared" si="98"/>
        <v>114.66454802411346</v>
      </c>
      <c r="BL41" s="245">
        <f t="shared" si="98"/>
        <v>1030.1451401461727</v>
      </c>
      <c r="BM41" s="248">
        <f t="shared" ref="BM41:BQ41" si="99">BM37+BM39</f>
        <v>229.39546867006845</v>
      </c>
      <c r="BN41" s="246">
        <f t="shared" si="99"/>
        <v>250.48779876738709</v>
      </c>
      <c r="BO41" s="246">
        <f t="shared" si="99"/>
        <v>392.61005943784755</v>
      </c>
      <c r="BP41" s="247">
        <f t="shared" si="99"/>
        <v>130.7959521668086</v>
      </c>
      <c r="BQ41" s="245">
        <f t="shared" si="99"/>
        <v>1003.2892790421115</v>
      </c>
      <c r="BR41" s="327"/>
      <c r="BS41" s="327"/>
      <c r="BT41" s="1782"/>
      <c r="BU41" s="327"/>
      <c r="BV41" s="327"/>
      <c r="BW41" s="327"/>
      <c r="BX41" s="327"/>
      <c r="BY41" s="327"/>
      <c r="BZ41" s="327"/>
      <c r="CA41" s="327"/>
      <c r="CB41" s="327"/>
      <c r="CC41" s="327"/>
      <c r="CD41" s="327"/>
      <c r="CE41" s="327"/>
    </row>
    <row r="42" spans="1:83">
      <c r="A42" s="311"/>
      <c r="B42" s="311"/>
      <c r="C42" s="1264" t="s">
        <v>235</v>
      </c>
      <c r="D42" s="311"/>
      <c r="E42" s="190">
        <f>6.6+10.6</f>
        <v>17.2</v>
      </c>
      <c r="F42" s="190">
        <f>15.1+2.1</f>
        <v>17.2</v>
      </c>
      <c r="G42" s="190">
        <f>10.3+5.2</f>
        <v>15.5</v>
      </c>
      <c r="H42" s="251">
        <f>I42-SUM(E42:G42)</f>
        <v>21.1</v>
      </c>
      <c r="I42" s="377">
        <f>44+27</f>
        <v>71</v>
      </c>
      <c r="J42" s="393">
        <f>54.3-14.4</f>
        <v>39.9</v>
      </c>
      <c r="K42" s="190">
        <f>14.5-4</f>
        <v>10.5</v>
      </c>
      <c r="L42" s="190">
        <v>25.2</v>
      </c>
      <c r="M42" s="170">
        <f>N42-SUM(J42:L42)</f>
        <v>6.6000000000000085</v>
      </c>
      <c r="N42" s="348">
        <f>100.7-18.5</f>
        <v>82.2</v>
      </c>
      <c r="O42" s="393">
        <v>0</v>
      </c>
      <c r="P42" s="190">
        <v>0</v>
      </c>
      <c r="Q42" s="190">
        <v>0</v>
      </c>
      <c r="R42" s="170">
        <f>S42-SUM(O42:Q42)</f>
        <v>13</v>
      </c>
      <c r="S42" s="348">
        <f>13</f>
        <v>13</v>
      </c>
      <c r="T42" s="393">
        <f>(5.8+223.5+1.4)</f>
        <v>230.70000000000002</v>
      </c>
      <c r="U42" s="190">
        <f>9.9-0.3</f>
        <v>9.6</v>
      </c>
      <c r="V42" s="190">
        <v>10.7</v>
      </c>
      <c r="W42" s="170">
        <f>X42-SUM(T42:V42)</f>
        <v>10.600000000000023</v>
      </c>
      <c r="X42" s="348">
        <f>(37.1+223.5+1)</f>
        <v>261.60000000000002</v>
      </c>
      <c r="Y42" s="393">
        <v>6.3</v>
      </c>
      <c r="Z42" s="190">
        <f>14.9+1.1</f>
        <v>16</v>
      </c>
      <c r="AA42" s="190">
        <f>15.3+175.2</f>
        <v>190.5</v>
      </c>
      <c r="AB42" s="193">
        <f>AC42-SUM(Y42:AA42)</f>
        <v>32.400000000000006</v>
      </c>
      <c r="AC42" s="348">
        <f>29+219.8-3.6</f>
        <v>245.20000000000002</v>
      </c>
      <c r="AD42" s="393">
        <v>8.9</v>
      </c>
      <c r="AE42" s="190">
        <f>3.5+7.5</f>
        <v>11</v>
      </c>
      <c r="AF42" s="190">
        <f>0.3+74</f>
        <v>74.3</v>
      </c>
      <c r="AG42" s="193">
        <f>AH42-SUM(AD42:AF42)</f>
        <v>15.200000000000003</v>
      </c>
      <c r="AH42" s="348">
        <f>7.6+101.8</f>
        <v>109.39999999999999</v>
      </c>
      <c r="AI42" s="393">
        <v>4.5999999999999996</v>
      </c>
      <c r="AJ42" s="190">
        <v>1.1000000000000001</v>
      </c>
      <c r="AK42" s="190">
        <f>1.2+1062.5</f>
        <v>1063.7</v>
      </c>
      <c r="AL42" s="193">
        <f>AM42-SUM(AI42:AK42)</f>
        <v>183</v>
      </c>
      <c r="AM42" s="348">
        <v>1252.4000000000001</v>
      </c>
      <c r="AN42" s="393">
        <v>12.9</v>
      </c>
      <c r="AO42" s="190">
        <v>-9.6</v>
      </c>
      <c r="AP42" s="190">
        <v>27.5</v>
      </c>
      <c r="AQ42" s="193">
        <f>AR42-SUM(AN42:AP42)</f>
        <v>1824.5</v>
      </c>
      <c r="AR42" s="348">
        <v>1855.3</v>
      </c>
      <c r="AS42" s="393">
        <v>95.1</v>
      </c>
      <c r="AT42" s="190">
        <v>151.30000000000001</v>
      </c>
      <c r="AU42" s="190">
        <v>25.5</v>
      </c>
      <c r="AV42" s="193">
        <f>AW42-SUM(AS42:AU42)</f>
        <v>616.70000000000005</v>
      </c>
      <c r="AW42" s="348">
        <v>888.6</v>
      </c>
      <c r="AX42" s="249">
        <f>Utility!AX50+EWC!AX38+Parent!AX38</f>
        <v>0</v>
      </c>
      <c r="AY42" s="250">
        <f>Utility!AY50+EWC!AY38+Parent!AY38</f>
        <v>0</v>
      </c>
      <c r="AZ42" s="250">
        <f>Utility!AZ50+EWC!AZ38+Parent!AZ38</f>
        <v>0</v>
      </c>
      <c r="BA42" s="251">
        <f>Utility!BA50+EWC!BA38+Parent!BA38</f>
        <v>0</v>
      </c>
      <c r="BB42" s="244">
        <f>SUM(AX42:BA42)</f>
        <v>0</v>
      </c>
      <c r="BC42" s="249">
        <f>Utility!BC50+EWC!BC38+Parent!BC38</f>
        <v>0</v>
      </c>
      <c r="BD42" s="250">
        <f>Utility!BD50+EWC!BD38+Parent!BD38</f>
        <v>0</v>
      </c>
      <c r="BE42" s="250">
        <f>Utility!BE50+EWC!BE38+Parent!BE38</f>
        <v>0</v>
      </c>
      <c r="BF42" s="251">
        <f>Utility!BF50+EWC!BF38+Parent!BF38</f>
        <v>0</v>
      </c>
      <c r="BG42" s="244">
        <f>SUM(BC42:BF42)</f>
        <v>0</v>
      </c>
      <c r="BH42" s="249">
        <f>Utility!BH50+EWC!BH38+Parent!BH38</f>
        <v>0</v>
      </c>
      <c r="BI42" s="250">
        <f>Utility!BI50+EWC!BI38+Parent!BI38</f>
        <v>0</v>
      </c>
      <c r="BJ42" s="250">
        <f>Utility!BJ50+EWC!BJ38+Parent!BJ38</f>
        <v>0</v>
      </c>
      <c r="BK42" s="251">
        <f>Utility!BK50+EWC!BK38+Parent!BK38</f>
        <v>0</v>
      </c>
      <c r="BL42" s="244">
        <f>SUM(BH42:BK42)</f>
        <v>0</v>
      </c>
      <c r="BM42" s="249">
        <f>Utility!BM50+EWC!BM38+Parent!BM38</f>
        <v>0</v>
      </c>
      <c r="BN42" s="250">
        <f>Utility!BN50+EWC!BN38+Parent!BN38</f>
        <v>0</v>
      </c>
      <c r="BO42" s="250">
        <f>Utility!BO50+EWC!BO38+Parent!BO38</f>
        <v>0</v>
      </c>
      <c r="BP42" s="251">
        <f>Utility!BP50+EWC!BP38+Parent!BP38</f>
        <v>0</v>
      </c>
      <c r="BQ42" s="244">
        <f>SUM(BM42:BP42)</f>
        <v>0</v>
      </c>
      <c r="BR42" s="311"/>
      <c r="BS42" s="311"/>
      <c r="BT42" s="311"/>
      <c r="BU42" s="311"/>
      <c r="BV42" s="311"/>
      <c r="BW42" s="311"/>
      <c r="BX42" s="311"/>
      <c r="BY42" s="311"/>
      <c r="BZ42" s="311"/>
      <c r="CA42" s="311"/>
      <c r="CB42" s="311"/>
      <c r="CC42" s="311"/>
      <c r="CD42" s="311"/>
      <c r="CE42" s="311"/>
    </row>
    <row r="43" spans="1:83">
      <c r="A43" s="311"/>
      <c r="B43" s="311"/>
      <c r="C43" s="1175" t="s">
        <v>863</v>
      </c>
      <c r="D43" s="312"/>
      <c r="E43" s="246">
        <f t="shared" ref="E43:Q43" si="100">E41+E42</f>
        <v>252.53500000000048</v>
      </c>
      <c r="F43" s="246">
        <f t="shared" si="100"/>
        <v>244.01300000000009</v>
      </c>
      <c r="G43" s="246">
        <f t="shared" si="100"/>
        <v>470.6689999999997</v>
      </c>
      <c r="H43" s="247">
        <f t="shared" si="100"/>
        <v>334.87500000000057</v>
      </c>
      <c r="I43" s="380">
        <f t="shared" si="100"/>
        <v>1302.0919999999999</v>
      </c>
      <c r="J43" s="248">
        <f t="shared" si="100"/>
        <v>253.69899999999993</v>
      </c>
      <c r="K43" s="246">
        <f t="shared" si="100"/>
        <v>325.67599999999976</v>
      </c>
      <c r="L43" s="246">
        <f t="shared" si="100"/>
        <v>518.08599999999944</v>
      </c>
      <c r="M43" s="247">
        <f t="shared" si="100"/>
        <v>234.9809999999992</v>
      </c>
      <c r="N43" s="245">
        <f t="shared" si="100"/>
        <v>1332.4419999999998</v>
      </c>
      <c r="O43" s="248">
        <f t="shared" si="100"/>
        <v>248.6630000000003</v>
      </c>
      <c r="P43" s="246">
        <f t="shared" si="100"/>
        <v>315.58299999999963</v>
      </c>
      <c r="Q43" s="246">
        <f t="shared" si="100"/>
        <v>628.05399999999963</v>
      </c>
      <c r="R43" s="247">
        <f t="shared" ref="R43:AP43" si="101">R41+R42</f>
        <v>167.13899999999967</v>
      </c>
      <c r="S43" s="245">
        <f t="shared" si="101"/>
        <v>1359.4390000000003</v>
      </c>
      <c r="T43" s="248">
        <f t="shared" si="101"/>
        <v>79.016999999999882</v>
      </c>
      <c r="U43" s="246">
        <f t="shared" si="101"/>
        <v>374.60099999999994</v>
      </c>
      <c r="V43" s="246">
        <f t="shared" si="101"/>
        <v>347.78800000000024</v>
      </c>
      <c r="W43" s="247">
        <f t="shared" si="101"/>
        <v>306.86700000000019</v>
      </c>
      <c r="X43" s="245">
        <f t="shared" si="101"/>
        <v>1108.2729999999999</v>
      </c>
      <c r="Y43" s="248">
        <f t="shared" si="101"/>
        <v>167.69999999999959</v>
      </c>
      <c r="Z43" s="246">
        <f t="shared" si="101"/>
        <v>179.72300000000016</v>
      </c>
      <c r="AA43" s="246">
        <f t="shared" si="101"/>
        <v>430.35000000000036</v>
      </c>
      <c r="AB43" s="247">
        <f>AB41+AB42</f>
        <v>179.32899999999873</v>
      </c>
      <c r="AC43" s="245">
        <f>AC41+AC42</f>
        <v>957.10199999999884</v>
      </c>
      <c r="AD43" s="248">
        <f t="shared" si="101"/>
        <v>410.07399999999996</v>
      </c>
      <c r="AE43" s="246">
        <f t="shared" si="101"/>
        <v>200.3829999999999</v>
      </c>
      <c r="AF43" s="246">
        <f t="shared" ref="AF43" si="102">AF41+AF42</f>
        <v>304.33699999999948</v>
      </c>
      <c r="AG43" s="247">
        <f>AG41+AG42</f>
        <v>135.32699999999949</v>
      </c>
      <c r="AH43" s="245">
        <f>AH41+AH42</f>
        <v>1050.1210000000012</v>
      </c>
      <c r="AI43" s="248">
        <f t="shared" ref="AI43:AJ43" si="103">AI41+AI42</f>
        <v>302.6500000000002</v>
      </c>
      <c r="AJ43" s="246">
        <f t="shared" si="103"/>
        <v>149.94300000000024</v>
      </c>
      <c r="AK43" s="246">
        <f t="shared" si="101"/>
        <v>340.67300000000057</v>
      </c>
      <c r="AL43" s="247">
        <f t="shared" si="101"/>
        <v>282.57200000000165</v>
      </c>
      <c r="AM43" s="245">
        <f t="shared" si="101"/>
        <v>1075.8380000000018</v>
      </c>
      <c r="AN43" s="248">
        <f t="shared" si="101"/>
        <v>242.86599999999967</v>
      </c>
      <c r="AO43" s="246">
        <f t="shared" si="101"/>
        <v>557.71399999999994</v>
      </c>
      <c r="AP43" s="246">
        <f t="shared" si="101"/>
        <v>415.67000000000036</v>
      </c>
      <c r="AQ43" s="247">
        <f t="shared" ref="AQ43:AT43" si="104">AQ41+AQ42</f>
        <v>55.432000000000471</v>
      </c>
      <c r="AR43" s="245">
        <f t="shared" si="104"/>
        <v>1271.6820000000002</v>
      </c>
      <c r="AS43" s="248">
        <f t="shared" si="104"/>
        <v>177.7050000000001</v>
      </c>
      <c r="AT43" s="246">
        <f t="shared" si="104"/>
        <v>561.22200000000043</v>
      </c>
      <c r="AU43" s="246">
        <f t="shared" ref="AU43:BB43" si="105">AU41+AU42</f>
        <v>423.69800000000009</v>
      </c>
      <c r="AV43" s="247">
        <f t="shared" si="105"/>
        <v>137.58699999999942</v>
      </c>
      <c r="AW43" s="245">
        <f t="shared" si="105"/>
        <v>1300.2120000000014</v>
      </c>
      <c r="AX43" s="248">
        <f t="shared" si="105"/>
        <v>218.20922316522933</v>
      </c>
      <c r="AY43" s="246">
        <f t="shared" si="105"/>
        <v>241.42375272122354</v>
      </c>
      <c r="AZ43" s="246">
        <f t="shared" si="105"/>
        <v>448.45595894494147</v>
      </c>
      <c r="BA43" s="247">
        <f t="shared" si="105"/>
        <v>160.94464589499182</v>
      </c>
      <c r="BB43" s="245">
        <f t="shared" si="105"/>
        <v>1069.033580726385</v>
      </c>
      <c r="BC43" s="248">
        <f t="shared" ref="BC43:BL43" si="106">BC41+BC42</f>
        <v>237.37456674096245</v>
      </c>
      <c r="BD43" s="246">
        <f t="shared" si="106"/>
        <v>240.48298933139165</v>
      </c>
      <c r="BE43" s="246">
        <f t="shared" si="106"/>
        <v>402.219269354213</v>
      </c>
      <c r="BF43" s="247">
        <f t="shared" si="106"/>
        <v>115.48580537639475</v>
      </c>
      <c r="BG43" s="245">
        <f t="shared" si="106"/>
        <v>995.56263080296151</v>
      </c>
      <c r="BH43" s="248">
        <f t="shared" si="106"/>
        <v>297.2459274195711</v>
      </c>
      <c r="BI43" s="246">
        <f t="shared" si="106"/>
        <v>231.68962292754472</v>
      </c>
      <c r="BJ43" s="246">
        <f t="shared" si="106"/>
        <v>386.54504177494346</v>
      </c>
      <c r="BK43" s="247">
        <f t="shared" si="106"/>
        <v>114.66454802411346</v>
      </c>
      <c r="BL43" s="245">
        <f t="shared" si="106"/>
        <v>1030.1451401461727</v>
      </c>
      <c r="BM43" s="248">
        <f t="shared" ref="BM43:BQ43" si="107">BM41+BM42</f>
        <v>229.39546867006845</v>
      </c>
      <c r="BN43" s="246">
        <f t="shared" si="107"/>
        <v>250.48779876738709</v>
      </c>
      <c r="BO43" s="246">
        <f t="shared" si="107"/>
        <v>392.61005943784755</v>
      </c>
      <c r="BP43" s="247">
        <f t="shared" si="107"/>
        <v>130.7959521668086</v>
      </c>
      <c r="BQ43" s="245">
        <f t="shared" si="107"/>
        <v>1003.2892790421115</v>
      </c>
      <c r="BR43" s="311"/>
      <c r="BS43" s="311"/>
      <c r="BT43" s="311"/>
      <c r="BU43" s="312"/>
      <c r="BV43" s="311"/>
      <c r="BW43" s="311"/>
      <c r="BX43" s="311"/>
      <c r="BY43" s="311"/>
      <c r="BZ43" s="311"/>
      <c r="CA43" s="311"/>
      <c r="CB43" s="311"/>
      <c r="CC43" s="311"/>
      <c r="CD43" s="311"/>
      <c r="CE43" s="311"/>
    </row>
    <row r="44" spans="1:83">
      <c r="A44" s="311"/>
      <c r="B44" s="311"/>
      <c r="C44" s="1266"/>
      <c r="D44" s="318"/>
      <c r="E44" s="254"/>
      <c r="F44" s="254"/>
      <c r="G44" s="254"/>
      <c r="H44" s="255"/>
      <c r="I44" s="381"/>
      <c r="J44" s="253"/>
      <c r="K44" s="254"/>
      <c r="L44" s="254"/>
      <c r="M44" s="255"/>
      <c r="N44" s="252"/>
      <c r="O44" s="253"/>
      <c r="P44" s="254"/>
      <c r="Q44" s="254"/>
      <c r="R44" s="255"/>
      <c r="S44" s="252"/>
      <c r="T44" s="253"/>
      <c r="U44" s="254"/>
      <c r="V44" s="246"/>
      <c r="W44" s="255"/>
      <c r="X44" s="245"/>
      <c r="Y44" s="253"/>
      <c r="Z44" s="254"/>
      <c r="AA44" s="246"/>
      <c r="AB44" s="255"/>
      <c r="AC44" s="245"/>
      <c r="AD44" s="253"/>
      <c r="AE44" s="254"/>
      <c r="AF44" s="246"/>
      <c r="AG44" s="255"/>
      <c r="AH44" s="245"/>
      <c r="AI44" s="253"/>
      <c r="AJ44" s="254"/>
      <c r="AK44" s="246"/>
      <c r="AL44" s="247"/>
      <c r="AM44" s="245"/>
      <c r="AN44" s="253"/>
      <c r="AO44" s="254"/>
      <c r="AP44" s="254"/>
      <c r="AQ44" s="247"/>
      <c r="AR44" s="245"/>
      <c r="AS44" s="253"/>
      <c r="AT44" s="246"/>
      <c r="AU44" s="246"/>
      <c r="AV44" s="247"/>
      <c r="AW44" s="245"/>
      <c r="AX44" s="248"/>
      <c r="AY44" s="246"/>
      <c r="AZ44" s="246"/>
      <c r="BA44" s="247"/>
      <c r="BB44" s="245"/>
      <c r="BC44" s="248"/>
      <c r="BD44" s="246"/>
      <c r="BE44" s="246"/>
      <c r="BF44" s="247"/>
      <c r="BG44" s="245"/>
      <c r="BH44" s="248"/>
      <c r="BI44" s="246"/>
      <c r="BJ44" s="246"/>
      <c r="BK44" s="247"/>
      <c r="BL44" s="245"/>
      <c r="BM44" s="248"/>
      <c r="BN44" s="246"/>
      <c r="BO44" s="246"/>
      <c r="BP44" s="247"/>
      <c r="BQ44" s="245"/>
      <c r="BR44" s="311"/>
      <c r="BS44" s="311"/>
      <c r="BT44" s="311"/>
      <c r="BU44" s="318"/>
      <c r="BV44" s="311"/>
      <c r="BW44" s="311"/>
      <c r="BX44" s="311"/>
      <c r="BY44" s="311"/>
      <c r="BZ44" s="311"/>
      <c r="CA44" s="311"/>
      <c r="CB44" s="311"/>
      <c r="CC44" s="311"/>
      <c r="CD44" s="311"/>
      <c r="CE44" s="311"/>
    </row>
    <row r="45" spans="1:83">
      <c r="A45" s="311"/>
      <c r="B45" s="311"/>
      <c r="C45" s="1264" t="s">
        <v>236</v>
      </c>
      <c r="D45" s="311"/>
      <c r="E45" s="190">
        <f>254.772087-58.693564</f>
        <v>196.07852299999999</v>
      </c>
      <c r="F45" s="190">
        <f>254.772087-58.649184</f>
        <v>196.12290300000001</v>
      </c>
      <c r="G45" s="190">
        <f>254.752788-65.853363</f>
        <v>188.89942500000001</v>
      </c>
      <c r="H45" s="251">
        <f>I45</f>
        <v>189.11820800000001</v>
      </c>
      <c r="I45" s="377">
        <f>254.752788-65.63458</f>
        <v>189.11820800000001</v>
      </c>
      <c r="J45" s="393">
        <f>254.752788-65.483672</f>
        <v>189.269116</v>
      </c>
      <c r="K45" s="190">
        <f>254.752788-67.257674</f>
        <v>187.495114</v>
      </c>
      <c r="L45" s="190">
        <f>254.752788-73.229902</f>
        <v>181.52288600000003</v>
      </c>
      <c r="M45" s="251">
        <f>N45</f>
        <v>178.74586800000003</v>
      </c>
      <c r="N45" s="348">
        <f>254.752788-76.00692</f>
        <v>178.74586800000003</v>
      </c>
      <c r="O45" s="393">
        <f>254.752788-76.48458</f>
        <v>178.26820800000002</v>
      </c>
      <c r="P45" s="190">
        <f>254.752788-77.919322</f>
        <v>176.83346600000002</v>
      </c>
      <c r="Q45" s="190">
        <f>254.752788-78.677119</f>
        <v>176.075669</v>
      </c>
      <c r="R45" s="251">
        <f>S45</f>
        <v>176.35580000000002</v>
      </c>
      <c r="S45" s="348">
        <f>254.752788-78.396988</f>
        <v>176.35580000000002</v>
      </c>
      <c r="T45" s="393">
        <f>254.752788-77.60108</f>
        <v>177.15170800000001</v>
      </c>
      <c r="U45" s="190">
        <f>254.752788-77.562145</f>
        <v>177.19064300000002</v>
      </c>
      <c r="V45" s="190">
        <f>254.752788-77.080297</f>
        <v>177.67249100000001</v>
      </c>
      <c r="W45" s="251">
        <f>V45+W67</f>
        <v>177.67249100000001</v>
      </c>
      <c r="X45" s="348">
        <f>254.752788-76.945239</f>
        <v>177.80754899999999</v>
      </c>
      <c r="Y45" s="393">
        <f>254.752788-76.656819</f>
        <v>178.09596900000003</v>
      </c>
      <c r="Z45" s="190">
        <f>254.752788-76.513406</f>
        <v>178.23938200000001</v>
      </c>
      <c r="AA45" s="190">
        <f>254.752788-76.446813</f>
        <v>178.30597499999999</v>
      </c>
      <c r="AB45" s="251">
        <f>AA45+AB67</f>
        <v>178.30597499999999</v>
      </c>
      <c r="AC45" s="348">
        <f>254.752788-76.381936</f>
        <v>178.37085200000001</v>
      </c>
      <c r="AD45" s="393">
        <f>254.752788-75.608733</f>
        <v>179.14405500000001</v>
      </c>
      <c r="AE45" s="190">
        <f>254.752788-75.198614</f>
        <v>179.55417399999999</v>
      </c>
      <c r="AF45" s="190">
        <f>254.752788-75.103116</f>
        <v>179.64967200000001</v>
      </c>
      <c r="AG45" s="251">
        <f>AH45</f>
        <v>179.24070900000001</v>
      </c>
      <c r="AH45" s="348">
        <f>254.752788-75.512079</f>
        <v>179.24070900000001</v>
      </c>
      <c r="AI45" s="393">
        <f>254.752788-75.238343</f>
        <v>179.51444500000002</v>
      </c>
      <c r="AJ45" s="190">
        <f>254.752788-75.227174</f>
        <v>179.52561400000002</v>
      </c>
      <c r="AK45" s="190">
        <f>254.752788-76.365988</f>
        <v>178.38679999999999</v>
      </c>
      <c r="AL45" s="251">
        <f>AM45</f>
        <v>178.389025</v>
      </c>
      <c r="AM45" s="348">
        <f>254.752788-76.363763</f>
        <v>178.389025</v>
      </c>
      <c r="AN45" s="393">
        <f>254.752788-76.031187</f>
        <v>178.72160100000002</v>
      </c>
      <c r="AO45" s="190">
        <f>254.752788-75.856619</f>
        <v>178.89616900000001</v>
      </c>
      <c r="AP45" s="190">
        <f>254.752788-75.625184</f>
        <v>179.12760400000002</v>
      </c>
      <c r="AQ45" s="251">
        <f>AR45</f>
        <v>179.12942500000003</v>
      </c>
      <c r="AR45" s="348">
        <f>254.752788-75.623363</f>
        <v>179.12942500000003</v>
      </c>
      <c r="AS45" s="393">
        <f>254.752788-75.319784</f>
        <v>179.43300400000001</v>
      </c>
      <c r="AT45" s="190">
        <f>254.752788-75.23335</f>
        <v>179.51943800000001</v>
      </c>
      <c r="AU45" s="190">
        <f>254.752788-75.127186</f>
        <v>179.62560200000001</v>
      </c>
      <c r="AV45" s="251">
        <f>AW45</f>
        <v>180.517653</v>
      </c>
      <c r="AW45" s="348">
        <f>254.752788-74.235135</f>
        <v>180.517653</v>
      </c>
      <c r="AX45" s="249">
        <f>AW45+AX67</f>
        <v>180.517653</v>
      </c>
      <c r="AY45" s="250">
        <f>AX45+AY67</f>
        <v>180.517653</v>
      </c>
      <c r="AZ45" s="250">
        <f>AY45+AZ67</f>
        <v>180.517653</v>
      </c>
      <c r="BA45" s="251">
        <f>AZ45+BA67</f>
        <v>180.517653</v>
      </c>
      <c r="BB45" s="244">
        <f>AVERAGE(AX45:BA45)</f>
        <v>180.517653</v>
      </c>
      <c r="BC45" s="249">
        <f>BB45+BC67</f>
        <v>180.517653</v>
      </c>
      <c r="BD45" s="250">
        <f>BC45+BD67</f>
        <v>180.517653</v>
      </c>
      <c r="BE45" s="250">
        <f>BD45+BE67</f>
        <v>180.517653</v>
      </c>
      <c r="BF45" s="251">
        <f>BE45+BF67</f>
        <v>180.517653</v>
      </c>
      <c r="BG45" s="244">
        <f>AVERAGE(BC45:BF45)</f>
        <v>180.517653</v>
      </c>
      <c r="BH45" s="249">
        <f>BG45+BH67</f>
        <v>180.517653</v>
      </c>
      <c r="BI45" s="250">
        <f>BH45+BI67</f>
        <v>180.517653</v>
      </c>
      <c r="BJ45" s="250">
        <f>BI45+BJ67</f>
        <v>180.517653</v>
      </c>
      <c r="BK45" s="251">
        <f>BJ45+BK67</f>
        <v>180.517653</v>
      </c>
      <c r="BL45" s="244">
        <f>AVERAGE(BH45:BK45)</f>
        <v>180.517653</v>
      </c>
      <c r="BM45" s="249">
        <f>BL45+BM67</f>
        <v>180.517653</v>
      </c>
      <c r="BN45" s="250">
        <f>BM45+BN67</f>
        <v>180.517653</v>
      </c>
      <c r="BO45" s="250">
        <f>BN45+BO67</f>
        <v>180.517653</v>
      </c>
      <c r="BP45" s="251">
        <f>BO45+BP67</f>
        <v>180.517653</v>
      </c>
      <c r="BQ45" s="244">
        <f>AVERAGE(BM45:BP45)</f>
        <v>180.517653</v>
      </c>
      <c r="BR45" s="311"/>
      <c r="BS45" s="311"/>
      <c r="BT45" s="311"/>
      <c r="BU45" s="311"/>
      <c r="BV45" s="311"/>
      <c r="BW45" s="311"/>
      <c r="BX45" s="311"/>
      <c r="BY45" s="311"/>
      <c r="BZ45" s="311"/>
      <c r="CA45" s="311"/>
      <c r="CB45" s="311"/>
      <c r="CC45" s="311"/>
      <c r="CD45" s="311"/>
      <c r="CE45" s="311"/>
    </row>
    <row r="46" spans="1:83">
      <c r="A46" s="311"/>
      <c r="B46" s="311"/>
      <c r="C46" s="1264" t="s">
        <v>356</v>
      </c>
      <c r="D46" s="311"/>
      <c r="E46" s="190">
        <v>192.59360100000001</v>
      </c>
      <c r="F46" s="190">
        <v>196.10500200000001</v>
      </c>
      <c r="G46" s="190">
        <v>193.424904</v>
      </c>
      <c r="H46" s="191">
        <f>176.161769</f>
        <v>176.16176899999999</v>
      </c>
      <c r="I46" s="377">
        <f>I47</f>
        <v>192.31474549999999</v>
      </c>
      <c r="J46" s="393">
        <v>189.202</v>
      </c>
      <c r="K46" s="190">
        <v>188.77624</v>
      </c>
      <c r="L46" s="190">
        <v>185.96243000000001</v>
      </c>
      <c r="M46" s="191">
        <f>176.161769</f>
        <v>176.16176899999999</v>
      </c>
      <c r="N46" s="348">
        <f>N47</f>
        <v>186.71517499999999</v>
      </c>
      <c r="O46" s="393">
        <v>178.83434249999999</v>
      </c>
      <c r="P46" s="190">
        <v>177.80799999999999</v>
      </c>
      <c r="Q46" s="190">
        <v>176.950469</v>
      </c>
      <c r="R46" s="191">
        <f>176.161769</f>
        <v>176.16176899999999</v>
      </c>
      <c r="S46" s="348">
        <v>177.43020799999999</v>
      </c>
      <c r="T46" s="393">
        <v>176.865363</v>
      </c>
      <c r="U46" s="190">
        <v>177.16651899999999</v>
      </c>
      <c r="V46" s="190">
        <v>177.51784599999999</v>
      </c>
      <c r="W46" s="251">
        <f>AVERAGE(V45:W45)</f>
        <v>177.67249100000001</v>
      </c>
      <c r="X46" s="348">
        <v>177.32481300000001</v>
      </c>
      <c r="Y46" s="393">
        <v>178.027961</v>
      </c>
      <c r="Z46" s="190">
        <v>178.19652500000001</v>
      </c>
      <c r="AA46" s="190">
        <v>178.28372100000001</v>
      </c>
      <c r="AB46" s="251">
        <f>AVERAGE(AA45:AB45)</f>
        <v>178.30597499999999</v>
      </c>
      <c r="AC46" s="348">
        <v>178.21119200000001</v>
      </c>
      <c r="AD46" s="393">
        <v>178.79782900000001</v>
      </c>
      <c r="AE46" s="190">
        <v>179.35410300000001</v>
      </c>
      <c r="AF46" s="190">
        <v>179.61006699999999</v>
      </c>
      <c r="AG46" s="191">
        <v>180.245555</v>
      </c>
      <c r="AH46" s="348">
        <v>179.50615099999999</v>
      </c>
      <c r="AI46" s="393">
        <v>179.65898100000001</v>
      </c>
      <c r="AJ46" s="190">
        <v>179.521276</v>
      </c>
      <c r="AK46" s="190">
        <v>179.15183200000001</v>
      </c>
      <c r="AL46" s="191">
        <v>178.387574</v>
      </c>
      <c r="AM46" s="348">
        <v>179.176356</v>
      </c>
      <c r="AN46" s="393">
        <v>178.57853600000001</v>
      </c>
      <c r="AO46" s="190">
        <v>178.80814899999999</v>
      </c>
      <c r="AP46" s="190">
        <v>179.02335099999999</v>
      </c>
      <c r="AQ46" s="191">
        <v>179.12842499999999</v>
      </c>
      <c r="AR46" s="348">
        <v>178.88566</v>
      </c>
      <c r="AS46" s="393">
        <v>179.33506299999999</v>
      </c>
      <c r="AT46" s="190">
        <v>179.475346</v>
      </c>
      <c r="AU46" s="190">
        <v>179.563819</v>
      </c>
      <c r="AV46" s="191">
        <v>180.303505</v>
      </c>
      <c r="AW46" s="348">
        <v>179.671797</v>
      </c>
      <c r="AX46" s="249">
        <f>AVERAGE(AW45:AX45)</f>
        <v>180.517653</v>
      </c>
      <c r="AY46" s="250">
        <f>AVERAGE(AX45:AY45)</f>
        <v>180.517653</v>
      </c>
      <c r="AZ46" s="250">
        <f>AVERAGE(AY45:AZ45)</f>
        <v>180.517653</v>
      </c>
      <c r="BA46" s="251">
        <f>AVERAGE(AZ45:BA45)</f>
        <v>180.517653</v>
      </c>
      <c r="BB46" s="244">
        <f>AVERAGE(AX46:BA46)</f>
        <v>180.517653</v>
      </c>
      <c r="BC46" s="249">
        <f>AVERAGE(BB45:BC45)</f>
        <v>180.517653</v>
      </c>
      <c r="BD46" s="250">
        <f>AVERAGE(BC45:BD45)</f>
        <v>180.517653</v>
      </c>
      <c r="BE46" s="250">
        <f>AVERAGE(BD45:BE45)</f>
        <v>180.517653</v>
      </c>
      <c r="BF46" s="251">
        <f>AVERAGE(BE45:BF45)</f>
        <v>180.517653</v>
      </c>
      <c r="BG46" s="244">
        <f>AVERAGE(BC46:BF46)</f>
        <v>180.517653</v>
      </c>
      <c r="BH46" s="249">
        <f>AVERAGE(BG45:BH45)</f>
        <v>180.517653</v>
      </c>
      <c r="BI46" s="250">
        <f>AVERAGE(BH45:BI45)</f>
        <v>180.517653</v>
      </c>
      <c r="BJ46" s="250">
        <f>AVERAGE(BI45:BJ45)</f>
        <v>180.517653</v>
      </c>
      <c r="BK46" s="251">
        <f>AVERAGE(BJ45:BK45)</f>
        <v>180.517653</v>
      </c>
      <c r="BL46" s="244">
        <f>AVERAGE(BH46:BK46)</f>
        <v>180.517653</v>
      </c>
      <c r="BM46" s="249">
        <f>AVERAGE(BL45:BM45)</f>
        <v>180.517653</v>
      </c>
      <c r="BN46" s="250">
        <f>AVERAGE(BM45:BN45)</f>
        <v>180.517653</v>
      </c>
      <c r="BO46" s="250">
        <f>AVERAGE(BN45:BO45)</f>
        <v>180.517653</v>
      </c>
      <c r="BP46" s="251">
        <f>AVERAGE(BO45:BP45)</f>
        <v>180.517653</v>
      </c>
      <c r="BQ46" s="244">
        <f>AVERAGE(BM46:BP46)</f>
        <v>180.517653</v>
      </c>
      <c r="BR46" s="311"/>
      <c r="BS46" s="311"/>
      <c r="BT46" s="311"/>
      <c r="BU46" s="311"/>
      <c r="BV46" s="311"/>
      <c r="BW46" s="311"/>
      <c r="BX46" s="311"/>
      <c r="BY46" s="311"/>
      <c r="BZ46" s="311"/>
      <c r="CA46" s="311"/>
      <c r="CB46" s="311"/>
      <c r="CC46" s="311"/>
      <c r="CD46" s="311"/>
      <c r="CE46" s="311"/>
    </row>
    <row r="47" spans="1:83">
      <c r="A47" s="311"/>
      <c r="B47" s="311"/>
      <c r="C47" s="1264" t="s">
        <v>357</v>
      </c>
      <c r="D47" s="311"/>
      <c r="E47" s="190">
        <v>198.05800199999999</v>
      </c>
      <c r="F47" s="190">
        <v>198.24316899999999</v>
      </c>
      <c r="G47" s="190">
        <v>195.87524099999999</v>
      </c>
      <c r="H47" s="191">
        <f>177.08257</f>
        <v>177.08257</v>
      </c>
      <c r="I47" s="377">
        <f>AVERAGE(E47:H47)</f>
        <v>192.31474549999999</v>
      </c>
      <c r="J47" s="393">
        <v>191.28299999999999</v>
      </c>
      <c r="K47" s="190">
        <v>190.71795800000001</v>
      </c>
      <c r="L47" s="190">
        <v>187.77717200000001</v>
      </c>
      <c r="M47" s="191">
        <f>177.08257</f>
        <v>177.08257</v>
      </c>
      <c r="N47" s="348">
        <f>AVERAGE(J47:M47)</f>
        <v>186.71517499999999</v>
      </c>
      <c r="O47" s="393">
        <v>180.08383000000001</v>
      </c>
      <c r="P47" s="190">
        <v>178.92500000000001</v>
      </c>
      <c r="Q47" s="190">
        <v>177.72301999999999</v>
      </c>
      <c r="R47" s="191">
        <f>177.08257</f>
        <v>177.08257</v>
      </c>
      <c r="S47" s="348">
        <v>178.37069500000001</v>
      </c>
      <c r="T47" s="393">
        <v>177.38804500000001</v>
      </c>
      <c r="U47" s="190">
        <v>177.56535099999999</v>
      </c>
      <c r="V47" s="190">
        <v>177.975075</v>
      </c>
      <c r="W47" s="251">
        <f>V46+(V47-V46)</f>
        <v>177.975075</v>
      </c>
      <c r="X47" s="348">
        <v>177.73756499999999</v>
      </c>
      <c r="Y47" s="393">
        <v>178.413287</v>
      </c>
      <c r="Z47" s="190">
        <v>178.614383</v>
      </c>
      <c r="AA47" s="190">
        <v>178.65221</v>
      </c>
      <c r="AB47" s="251">
        <f>AA46+(AA47-AA46)</f>
        <v>178.65221</v>
      </c>
      <c r="AC47" s="348">
        <v>178.57040000000001</v>
      </c>
      <c r="AD47" s="393">
        <v>179.05596700000001</v>
      </c>
      <c r="AE47" s="190">
        <v>180.04543200000001</v>
      </c>
      <c r="AF47" s="190">
        <v>180.52711600000001</v>
      </c>
      <c r="AG47" s="191">
        <v>181.603441</v>
      </c>
      <c r="AH47" s="348">
        <v>180.296885</v>
      </c>
      <c r="AI47" s="393">
        <v>180.48052300000001</v>
      </c>
      <c r="AJ47" s="190">
        <v>180.11983699999999</v>
      </c>
      <c r="AK47" s="190">
        <v>179.15183200000001</v>
      </c>
      <c r="AL47" s="191">
        <v>179.06994800000001</v>
      </c>
      <c r="AM47" s="348">
        <v>179.176356</v>
      </c>
      <c r="AN47" s="393">
        <v>178.97638000000001</v>
      </c>
      <c r="AO47" s="190">
        <v>179.50358199999999</v>
      </c>
      <c r="AP47" s="190">
        <v>179.99088800000001</v>
      </c>
      <c r="AQ47" s="191">
        <v>179.12842499999999</v>
      </c>
      <c r="AR47" s="348">
        <v>178.88566</v>
      </c>
      <c r="AS47" s="393">
        <v>179.84205299999999</v>
      </c>
      <c r="AT47" s="190">
        <v>180.23469399999999</v>
      </c>
      <c r="AU47" s="190">
        <v>180.46406899999999</v>
      </c>
      <c r="AV47" s="191">
        <v>180.303505</v>
      </c>
      <c r="AW47" s="348">
        <v>180.53589299999999</v>
      </c>
      <c r="AX47" s="249">
        <f>AX46+(AV47-AV46)</f>
        <v>180.517653</v>
      </c>
      <c r="AY47" s="250">
        <f>AY46+(AX47-AX46)</f>
        <v>180.517653</v>
      </c>
      <c r="AZ47" s="250">
        <f>AZ46+(AY47-AY46)</f>
        <v>180.517653</v>
      </c>
      <c r="BA47" s="251">
        <f>BA46+(AZ47-AZ46)</f>
        <v>180.517653</v>
      </c>
      <c r="BB47" s="244">
        <f>AVERAGE(AX47:BA47)</f>
        <v>180.517653</v>
      </c>
      <c r="BC47" s="249">
        <f>BC46+(BA47-BA46)</f>
        <v>180.517653</v>
      </c>
      <c r="BD47" s="250">
        <f>BD46+(BC47-BC46)</f>
        <v>180.517653</v>
      </c>
      <c r="BE47" s="250">
        <f>BE46+(BD47-BD46)</f>
        <v>180.517653</v>
      </c>
      <c r="BF47" s="251">
        <f>BF46+(BE47-BE46)</f>
        <v>180.517653</v>
      </c>
      <c r="BG47" s="244">
        <f>AVERAGE(BC47:BF47)</f>
        <v>180.517653</v>
      </c>
      <c r="BH47" s="249">
        <f>BH46+(BF47-BF46)</f>
        <v>180.517653</v>
      </c>
      <c r="BI47" s="250">
        <f>BI46+(BH47-BH46)</f>
        <v>180.517653</v>
      </c>
      <c r="BJ47" s="250">
        <f>BJ46+(BI47-BI46)</f>
        <v>180.517653</v>
      </c>
      <c r="BK47" s="251">
        <f>BK46+(BJ47-BJ46)</f>
        <v>180.517653</v>
      </c>
      <c r="BL47" s="244">
        <f>AVERAGE(BH47:BK47)</f>
        <v>180.517653</v>
      </c>
      <c r="BM47" s="249">
        <f>BM46+(BK47-BK46)</f>
        <v>180.517653</v>
      </c>
      <c r="BN47" s="250">
        <f>BN46+(BM47-BM46)</f>
        <v>180.517653</v>
      </c>
      <c r="BO47" s="250">
        <f>BO46+(BN47-BN46)</f>
        <v>180.517653</v>
      </c>
      <c r="BP47" s="251">
        <f>BP46+(BO47-BO46)</f>
        <v>180.517653</v>
      </c>
      <c r="BQ47" s="244">
        <f>AVERAGE(BM47:BP47)</f>
        <v>180.517653</v>
      </c>
      <c r="BR47" s="311"/>
      <c r="BS47" s="311"/>
      <c r="BT47" s="311"/>
      <c r="BU47" s="311"/>
      <c r="BV47" s="311"/>
      <c r="BW47" s="311"/>
      <c r="BX47" s="311"/>
      <c r="BY47" s="311"/>
      <c r="BZ47" s="311"/>
      <c r="CA47" s="311"/>
      <c r="CB47" s="311"/>
      <c r="CC47" s="311"/>
      <c r="CD47" s="311"/>
      <c r="CE47" s="311"/>
    </row>
    <row r="48" spans="1:83">
      <c r="A48" s="233"/>
      <c r="B48" s="233"/>
      <c r="C48" s="1175"/>
      <c r="D48" s="233"/>
      <c r="E48" s="235"/>
      <c r="F48" s="235"/>
      <c r="G48" s="235"/>
      <c r="H48" s="236"/>
      <c r="I48" s="382"/>
      <c r="J48" s="234"/>
      <c r="K48" s="235"/>
      <c r="L48" s="235"/>
      <c r="M48" s="236"/>
      <c r="N48" s="233"/>
      <c r="O48" s="234"/>
      <c r="P48" s="235"/>
      <c r="Q48" s="235"/>
      <c r="R48" s="236"/>
      <c r="S48" s="233"/>
      <c r="T48" s="234"/>
      <c r="U48" s="235"/>
      <c r="V48" s="235"/>
      <c r="W48" s="236"/>
      <c r="X48" s="233"/>
      <c r="Y48" s="234"/>
      <c r="Z48" s="235"/>
      <c r="AA48" s="235"/>
      <c r="AB48" s="236"/>
      <c r="AC48" s="233"/>
      <c r="AD48" s="234"/>
      <c r="AE48" s="235"/>
      <c r="AF48" s="235"/>
      <c r="AG48" s="236"/>
      <c r="AH48" s="233"/>
      <c r="AI48" s="234"/>
      <c r="AJ48" s="235"/>
      <c r="AK48" s="235"/>
      <c r="AL48" s="236"/>
      <c r="AM48" s="233"/>
      <c r="AN48" s="234"/>
      <c r="AO48" s="235"/>
      <c r="AP48" s="235"/>
      <c r="AQ48" s="236"/>
      <c r="AR48" s="233"/>
      <c r="AS48" s="234"/>
      <c r="AT48" s="235"/>
      <c r="AU48" s="235"/>
      <c r="AV48" s="236"/>
      <c r="AW48" s="233"/>
      <c r="AX48" s="234"/>
      <c r="AY48" s="235"/>
      <c r="AZ48" s="235"/>
      <c r="BA48" s="236"/>
      <c r="BB48" s="233"/>
      <c r="BC48" s="234"/>
      <c r="BD48" s="235"/>
      <c r="BE48" s="235"/>
      <c r="BF48" s="236"/>
      <c r="BG48" s="233"/>
      <c r="BH48" s="234"/>
      <c r="BI48" s="235"/>
      <c r="BJ48" s="235"/>
      <c r="BK48" s="236"/>
      <c r="BL48" s="233"/>
      <c r="BM48" s="234"/>
      <c r="BN48" s="235"/>
      <c r="BO48" s="235"/>
      <c r="BP48" s="236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3"/>
      <c r="CD48" s="233"/>
      <c r="CE48" s="233"/>
    </row>
    <row r="49" spans="1:89">
      <c r="A49" s="366"/>
      <c r="B49" s="366"/>
      <c r="C49" s="1264" t="s">
        <v>865</v>
      </c>
      <c r="D49" s="366"/>
      <c r="E49" s="368">
        <f t="shared" ref="E49:AP49" si="108">E41/E47</f>
        <v>1.1882125318016714</v>
      </c>
      <c r="F49" s="368">
        <f t="shared" si="108"/>
        <v>1.1441150842377832</v>
      </c>
      <c r="G49" s="368">
        <f t="shared" si="108"/>
        <v>2.3237699551828488</v>
      </c>
      <c r="H49" s="369">
        <f t="shared" si="108"/>
        <v>1.7719135203425189</v>
      </c>
      <c r="I49" s="488">
        <f t="shared" si="108"/>
        <v>6.4014436168130437</v>
      </c>
      <c r="J49" s="367">
        <f t="shared" si="108"/>
        <v>1.1177104081387261</v>
      </c>
      <c r="K49" s="368">
        <f t="shared" si="108"/>
        <v>1.6525764186296485</v>
      </c>
      <c r="L49" s="368">
        <f t="shared" si="108"/>
        <v>2.6248451542341864</v>
      </c>
      <c r="M49" s="369">
        <f t="shared" si="108"/>
        <v>1.2896865004839222</v>
      </c>
      <c r="N49" s="366">
        <f t="shared" si="108"/>
        <v>6.6959849406991143</v>
      </c>
      <c r="O49" s="367">
        <f t="shared" si="108"/>
        <v>1.3808180334680815</v>
      </c>
      <c r="P49" s="368">
        <f t="shared" si="108"/>
        <v>1.763772530389826</v>
      </c>
      <c r="Q49" s="368">
        <f t="shared" si="108"/>
        <v>3.5338922329814091</v>
      </c>
      <c r="R49" s="369">
        <f t="shared" si="108"/>
        <v>0.8704357520901107</v>
      </c>
      <c r="S49" s="366">
        <f t="shared" si="108"/>
        <v>7.5485437784497069</v>
      </c>
      <c r="T49" s="367">
        <f t="shared" si="108"/>
        <v>-0.85509144655154257</v>
      </c>
      <c r="U49" s="368">
        <f t="shared" si="108"/>
        <v>2.0555868470082315</v>
      </c>
      <c r="V49" s="368">
        <f t="shared" si="108"/>
        <v>1.8940180247149789</v>
      </c>
      <c r="W49" s="369">
        <f t="shared" si="108"/>
        <v>1.6646544466971016</v>
      </c>
      <c r="X49" s="366">
        <f t="shared" si="108"/>
        <v>4.7636131394058419</v>
      </c>
      <c r="Y49" s="367">
        <f t="shared" si="108"/>
        <v>0.90464114368342752</v>
      </c>
      <c r="Z49" s="368">
        <f t="shared" si="108"/>
        <v>0.91662830982653931</v>
      </c>
      <c r="AA49" s="368">
        <f t="shared" si="108"/>
        <v>1.3425526613972498</v>
      </c>
      <c r="AB49" s="369">
        <f>AB41/AB47</f>
        <v>0.82243035224696481</v>
      </c>
      <c r="AC49" s="366">
        <f>AC41/AC47</f>
        <v>3.9866741632431735</v>
      </c>
      <c r="AD49" s="367">
        <f>AD41/AD47</f>
        <v>2.2404950067930436</v>
      </c>
      <c r="AE49" s="368">
        <f>AE41/AE47</f>
        <v>1.0518622877363526</v>
      </c>
      <c r="AF49" s="368">
        <f t="shared" ref="AF49" si="109">AF41/AF47</f>
        <v>1.2742517860862492</v>
      </c>
      <c r="AG49" s="369">
        <f>AG41/AG47</f>
        <v>0.66147975687310612</v>
      </c>
      <c r="AH49" s="366">
        <f>AH41/AH47</f>
        <v>5.2176220349009421</v>
      </c>
      <c r="AI49" s="367">
        <f>AI41/AI47</f>
        <v>1.6514247357317342</v>
      </c>
      <c r="AJ49" s="368">
        <f>AJ41/AJ47</f>
        <v>0.8263554002661031</v>
      </c>
      <c r="AK49" s="368">
        <f t="shared" si="108"/>
        <v>-4.0358336944050865</v>
      </c>
      <c r="AL49" s="369">
        <f t="shared" si="108"/>
        <v>0.55605086789884839</v>
      </c>
      <c r="AM49" s="366">
        <f t="shared" si="108"/>
        <v>-0.98540903466079099</v>
      </c>
      <c r="AN49" s="367">
        <f>AN41/AN47</f>
        <v>1.2848958058040936</v>
      </c>
      <c r="AO49" s="368">
        <f>AO41/AO47</f>
        <v>3.1604606085242355</v>
      </c>
      <c r="AP49" s="368">
        <f t="shared" si="108"/>
        <v>2.1566091723487708</v>
      </c>
      <c r="AQ49" s="369">
        <f t="shared" ref="AQ49:AR49" si="110">AQ41/AQ47</f>
        <v>-9.8759758536368505</v>
      </c>
      <c r="AR49" s="366">
        <f t="shared" si="110"/>
        <v>-3.2625197570336253</v>
      </c>
      <c r="AS49" s="367">
        <f>AS41/AS47</f>
        <v>0.45931971205867023</v>
      </c>
      <c r="AT49" s="368">
        <f t="shared" ref="AT49:BB49" si="111">AT41/AT47</f>
        <v>2.27437898277232</v>
      </c>
      <c r="AU49" s="368">
        <f t="shared" ref="AU49:AV49" si="112">AU41/AU47</f>
        <v>2.2065223410206944</v>
      </c>
      <c r="AV49" s="369">
        <f t="shared" si="112"/>
        <v>-2.6572583821928508</v>
      </c>
      <c r="AW49" s="366">
        <f t="shared" si="111"/>
        <v>2.2799455175376204</v>
      </c>
      <c r="AX49" s="367">
        <f t="shared" si="111"/>
        <v>1.2087971427660282</v>
      </c>
      <c r="AY49" s="368">
        <f t="shared" si="111"/>
        <v>1.3373969177475598</v>
      </c>
      <c r="AZ49" s="368">
        <f t="shared" si="111"/>
        <v>2.484277584447331</v>
      </c>
      <c r="BA49" s="369">
        <f t="shared" si="111"/>
        <v>0.89157289173813836</v>
      </c>
      <c r="BB49" s="366">
        <f t="shared" si="111"/>
        <v>5.9220445366990511</v>
      </c>
      <c r="BC49" s="367">
        <f t="shared" ref="BC49:BL49" si="113">BC41/BC47</f>
        <v>1.3149659481832641</v>
      </c>
      <c r="BD49" s="368">
        <f t="shared" si="113"/>
        <v>1.3321854418935508</v>
      </c>
      <c r="BE49" s="368">
        <f t="shared" si="113"/>
        <v>2.2281436893831819</v>
      </c>
      <c r="BF49" s="369">
        <f t="shared" si="113"/>
        <v>0.63974798839421398</v>
      </c>
      <c r="BG49" s="366">
        <f t="shared" si="113"/>
        <v>5.5150430678542088</v>
      </c>
      <c r="BH49" s="367">
        <f t="shared" si="113"/>
        <v>1.646630800255148</v>
      </c>
      <c r="BI49" s="368">
        <f t="shared" si="113"/>
        <v>1.2834734945703328</v>
      </c>
      <c r="BJ49" s="368">
        <f t="shared" si="113"/>
        <v>2.1413143554162177</v>
      </c>
      <c r="BK49" s="369">
        <f t="shared" si="113"/>
        <v>0.63519853110495217</v>
      </c>
      <c r="BL49" s="366">
        <f t="shared" si="113"/>
        <v>5.7066171813466502</v>
      </c>
      <c r="BM49" s="367">
        <f t="shared" ref="BM49:BQ49" si="114">BM41/BM47</f>
        <v>1.2707647416071184</v>
      </c>
      <c r="BN49" s="368">
        <f t="shared" si="114"/>
        <v>1.3876083286291512</v>
      </c>
      <c r="BO49" s="368">
        <f t="shared" si="114"/>
        <v>2.1749122754096941</v>
      </c>
      <c r="BP49" s="369">
        <f t="shared" si="114"/>
        <v>0.72456045152995985</v>
      </c>
      <c r="BQ49" s="366">
        <f t="shared" si="114"/>
        <v>5.5578457971759221</v>
      </c>
      <c r="BR49" s="366"/>
      <c r="BS49" s="366"/>
      <c r="BT49" s="366"/>
      <c r="BU49" s="366"/>
      <c r="BV49" s="366"/>
      <c r="BW49" s="366"/>
      <c r="BX49" s="366"/>
      <c r="BY49" s="366"/>
      <c r="BZ49" s="366"/>
      <c r="CA49" s="366"/>
      <c r="CB49" s="366"/>
      <c r="CC49" s="366"/>
      <c r="CD49" s="366"/>
      <c r="CE49" s="366"/>
    </row>
    <row r="50" spans="1:89">
      <c r="A50" s="358"/>
      <c r="B50" s="358"/>
      <c r="C50" s="1267" t="s">
        <v>864</v>
      </c>
      <c r="D50" s="442"/>
      <c r="E50" s="444">
        <f t="shared" ref="E50:AP50" si="115">E43/E47</f>
        <v>1.2750557788621966</v>
      </c>
      <c r="F50" s="444">
        <f t="shared" si="115"/>
        <v>1.2308772162535402</v>
      </c>
      <c r="G50" s="444">
        <f t="shared" si="115"/>
        <v>2.4029019573739783</v>
      </c>
      <c r="H50" s="445">
        <f t="shared" si="115"/>
        <v>1.8910669751404701</v>
      </c>
      <c r="I50" s="441">
        <f t="shared" si="115"/>
        <v>6.7706300763089429</v>
      </c>
      <c r="J50" s="443">
        <f t="shared" si="115"/>
        <v>1.326301866867416</v>
      </c>
      <c r="K50" s="444">
        <f t="shared" si="115"/>
        <v>1.7076315382948875</v>
      </c>
      <c r="L50" s="444">
        <f t="shared" si="115"/>
        <v>2.7590467706053183</v>
      </c>
      <c r="M50" s="445">
        <f t="shared" si="115"/>
        <v>1.3269572493780681</v>
      </c>
      <c r="N50" s="446">
        <f t="shared" si="115"/>
        <v>7.136227679405275</v>
      </c>
      <c r="O50" s="443">
        <f t="shared" si="115"/>
        <v>1.3808180334680815</v>
      </c>
      <c r="P50" s="444">
        <f t="shared" si="115"/>
        <v>1.763772530389826</v>
      </c>
      <c r="Q50" s="444">
        <f t="shared" si="115"/>
        <v>3.5338922329814091</v>
      </c>
      <c r="R50" s="445">
        <f t="shared" si="115"/>
        <v>0.94384783324524635</v>
      </c>
      <c r="S50" s="446">
        <f t="shared" si="115"/>
        <v>7.6214257056070798</v>
      </c>
      <c r="T50" s="443">
        <f t="shared" si="115"/>
        <v>0.44544715513381911</v>
      </c>
      <c r="U50" s="444">
        <f t="shared" si="115"/>
        <v>2.1096514488347444</v>
      </c>
      <c r="V50" s="444">
        <f t="shared" si="115"/>
        <v>1.9541388028632674</v>
      </c>
      <c r="W50" s="445">
        <f t="shared" si="115"/>
        <v>1.7242133484140978</v>
      </c>
      <c r="X50" s="446">
        <f t="shared" si="115"/>
        <v>6.2354460634137752</v>
      </c>
      <c r="Y50" s="443">
        <f t="shared" si="115"/>
        <v>0.93995241509114502</v>
      </c>
      <c r="Z50" s="444">
        <f t="shared" si="115"/>
        <v>1.0062067621956299</v>
      </c>
      <c r="AA50" s="444">
        <f t="shared" si="115"/>
        <v>2.4088702848960022</v>
      </c>
      <c r="AB50" s="445">
        <f>AB43/AB47</f>
        <v>1.003788310259351</v>
      </c>
      <c r="AC50" s="446">
        <f>AC43/AC47</f>
        <v>5.3598020724599307</v>
      </c>
      <c r="AD50" s="443">
        <f>AD43/AD47</f>
        <v>2.2902001361395565</v>
      </c>
      <c r="AE50" s="444">
        <f>AE43/AE47</f>
        <v>1.1129579782951666</v>
      </c>
      <c r="AF50" s="444">
        <f t="shared" ref="AF50" si="116">AF43/AF47</f>
        <v>1.6858243057513835</v>
      </c>
      <c r="AG50" s="445">
        <f>AG43/AG47</f>
        <v>0.74517861145593323</v>
      </c>
      <c r="AH50" s="446">
        <f>AH43/AH47</f>
        <v>5.824399018319153</v>
      </c>
      <c r="AI50" s="443">
        <f>AI43/AI47</f>
        <v>1.6769122505257823</v>
      </c>
      <c r="AJ50" s="444">
        <f>AJ43/AJ47</f>
        <v>0.83246244554396442</v>
      </c>
      <c r="AK50" s="444">
        <f t="shared" si="115"/>
        <v>1.9015881456350419</v>
      </c>
      <c r="AL50" s="445">
        <f>AL43/AL47</f>
        <v>1.5779978894057736</v>
      </c>
      <c r="AM50" s="446">
        <f>AM43/AM47</f>
        <v>6.0043524939194644</v>
      </c>
      <c r="AN50" s="443">
        <f>AN43/AN47</f>
        <v>1.3569723557935391</v>
      </c>
      <c r="AO50" s="444">
        <f>AO43/AO47</f>
        <v>3.106979781606809</v>
      </c>
      <c r="AP50" s="444">
        <f t="shared" si="115"/>
        <v>2.3093946844686957</v>
      </c>
      <c r="AQ50" s="445">
        <f>AQ43/AQ47</f>
        <v>0.3094539574051437</v>
      </c>
      <c r="AR50" s="446">
        <f>AR43/AR47</f>
        <v>7.1089096800716183</v>
      </c>
      <c r="AS50" s="443">
        <f>AS43/AS47</f>
        <v>0.98811705624824075</v>
      </c>
      <c r="AT50" s="444">
        <f t="shared" ref="AT50" si="117">AT43/AT47</f>
        <v>3.1138400024137445</v>
      </c>
      <c r="AU50" s="444">
        <f t="shared" ref="AU50" si="118">AU43/AU47</f>
        <v>2.3478247074213985</v>
      </c>
      <c r="AV50" s="445">
        <f>AV43/AV47</f>
        <v>0.76308555399408029</v>
      </c>
      <c r="AW50" s="446">
        <f>AW43/AW47</f>
        <v>7.2019584493372815</v>
      </c>
      <c r="AX50" s="443">
        <f t="shared" ref="AX50:BL50" si="119">AX43/AX47</f>
        <v>1.2087971427660282</v>
      </c>
      <c r="AY50" s="444">
        <f t="shared" si="119"/>
        <v>1.3373969177475598</v>
      </c>
      <c r="AZ50" s="444">
        <f t="shared" si="119"/>
        <v>2.484277584447331</v>
      </c>
      <c r="BA50" s="445">
        <f t="shared" si="119"/>
        <v>0.89157289173813836</v>
      </c>
      <c r="BB50" s="446">
        <f>BB43/BB47</f>
        <v>5.9220445366990511</v>
      </c>
      <c r="BC50" s="443">
        <f t="shared" si="119"/>
        <v>1.3149659481832641</v>
      </c>
      <c r="BD50" s="444">
        <f t="shared" si="119"/>
        <v>1.3321854418935508</v>
      </c>
      <c r="BE50" s="444">
        <f t="shared" si="119"/>
        <v>2.2281436893831819</v>
      </c>
      <c r="BF50" s="445">
        <f t="shared" si="119"/>
        <v>0.63974798839421398</v>
      </c>
      <c r="BG50" s="446">
        <f t="shared" si="119"/>
        <v>5.5150430678542088</v>
      </c>
      <c r="BH50" s="443">
        <f t="shared" si="119"/>
        <v>1.646630800255148</v>
      </c>
      <c r="BI50" s="444">
        <f t="shared" si="119"/>
        <v>1.2834734945703328</v>
      </c>
      <c r="BJ50" s="444">
        <f t="shared" si="119"/>
        <v>2.1413143554162177</v>
      </c>
      <c r="BK50" s="445">
        <f t="shared" si="119"/>
        <v>0.63519853110495217</v>
      </c>
      <c r="BL50" s="446">
        <f t="shared" si="119"/>
        <v>5.7066171813466502</v>
      </c>
      <c r="BM50" s="443">
        <f t="shared" ref="BM50:BQ50" si="120">BM43/BM47</f>
        <v>1.2707647416071184</v>
      </c>
      <c r="BN50" s="444">
        <f t="shared" si="120"/>
        <v>1.3876083286291512</v>
      </c>
      <c r="BO50" s="444">
        <f t="shared" si="120"/>
        <v>2.1749122754096941</v>
      </c>
      <c r="BP50" s="445">
        <f t="shared" si="120"/>
        <v>0.72456045152995985</v>
      </c>
      <c r="BQ50" s="447">
        <f t="shared" si="120"/>
        <v>5.5578457971759221</v>
      </c>
      <c r="BR50" s="366"/>
      <c r="BS50" s="366"/>
      <c r="BT50" s="366"/>
      <c r="BU50" s="366"/>
      <c r="BV50" s="366"/>
      <c r="BW50" s="366"/>
      <c r="BX50" s="366"/>
      <c r="BY50" s="366"/>
      <c r="BZ50" s="366"/>
      <c r="CA50" s="366"/>
      <c r="CB50" s="366"/>
      <c r="CC50" s="366"/>
      <c r="CD50" s="366"/>
      <c r="CE50" s="366"/>
    </row>
    <row r="51" spans="1:89">
      <c r="A51" s="233"/>
      <c r="B51" s="233"/>
      <c r="C51" s="1177" t="s">
        <v>12</v>
      </c>
      <c r="D51" s="233"/>
      <c r="E51" s="235"/>
      <c r="F51" s="511"/>
      <c r="G51" s="235"/>
      <c r="H51" s="236"/>
      <c r="I51" s="383"/>
      <c r="J51" s="519">
        <f>J50/E50-1</f>
        <v>4.0191251908170855E-2</v>
      </c>
      <c r="K51" s="520">
        <f>K50/F50-1</f>
        <v>0.38732890311550272</v>
      </c>
      <c r="L51" s="520">
        <f t="shared" ref="L51:AP51" si="121">L50/G50-1</f>
        <v>0.14821445882900464</v>
      </c>
      <c r="M51" s="521">
        <f t="shared" si="121"/>
        <v>-0.29830235162374374</v>
      </c>
      <c r="N51" s="522">
        <f t="shared" si="121"/>
        <v>5.3997574668211756E-2</v>
      </c>
      <c r="O51" s="519">
        <f t="shared" si="121"/>
        <v>4.1103890420833844E-2</v>
      </c>
      <c r="P51" s="520">
        <f t="shared" si="121"/>
        <v>3.2876525664896405E-2</v>
      </c>
      <c r="Q51" s="520">
        <f t="shared" si="121"/>
        <v>0.28083810344617466</v>
      </c>
      <c r="R51" s="521">
        <f t="shared" si="121"/>
        <v>-0.28871270443142116</v>
      </c>
      <c r="S51" s="522">
        <f t="shared" si="121"/>
        <v>6.7990827647225638E-2</v>
      </c>
      <c r="T51" s="519">
        <f t="shared" si="121"/>
        <v>-0.67740343453146545</v>
      </c>
      <c r="U51" s="520">
        <f t="shared" si="121"/>
        <v>0.1961017719039273</v>
      </c>
      <c r="V51" s="520">
        <f t="shared" si="121"/>
        <v>-0.44702931667652024</v>
      </c>
      <c r="W51" s="521">
        <f t="shared" si="121"/>
        <v>0.82679165823341338</v>
      </c>
      <c r="X51" s="522">
        <f t="shared" si="121"/>
        <v>-0.18185306735636619</v>
      </c>
      <c r="Y51" s="519">
        <f t="shared" si="121"/>
        <v>1.1101322665508304</v>
      </c>
      <c r="Z51" s="520">
        <f t="shared" si="121"/>
        <v>-0.52304596915694146</v>
      </c>
      <c r="AA51" s="520">
        <f t="shared" si="121"/>
        <v>0.23270173099600067</v>
      </c>
      <c r="AB51" s="521">
        <f>AB50/W50-1</f>
        <v>-0.41782824545314046</v>
      </c>
      <c r="AC51" s="522">
        <f>AC50/X50-1</f>
        <v>-0.14043004815511917</v>
      </c>
      <c r="AD51" s="519">
        <f t="shared" si="121"/>
        <v>1.4365064649761883</v>
      </c>
      <c r="AE51" s="520">
        <f t="shared" si="121"/>
        <v>0.10609272379227153</v>
      </c>
      <c r="AF51" s="520">
        <f t="shared" si="121"/>
        <v>-0.30015978181898428</v>
      </c>
      <c r="AG51" s="521">
        <f>AG50/AB50-1</f>
        <v>-0.2576337024054407</v>
      </c>
      <c r="AH51" s="522">
        <f>AH50/AC50-1</f>
        <v>8.6681735552595063E-2</v>
      </c>
      <c r="AI51" s="519">
        <f t="shared" si="121"/>
        <v>-0.26778790025205146</v>
      </c>
      <c r="AJ51" s="520">
        <f t="shared" si="121"/>
        <v>-0.25202706501180427</v>
      </c>
      <c r="AK51" s="520">
        <f t="shared" si="121"/>
        <v>0.12798714501122999</v>
      </c>
      <c r="AL51" s="521">
        <f t="shared" si="121"/>
        <v>1.1176102818124027</v>
      </c>
      <c r="AM51" s="522">
        <f t="shared" si="121"/>
        <v>3.0896488210082174E-2</v>
      </c>
      <c r="AN51" s="519">
        <f>AN50/AI50-1</f>
        <v>-0.19079107725042177</v>
      </c>
      <c r="AO51" s="520">
        <f t="shared" si="121"/>
        <v>2.732276210462063</v>
      </c>
      <c r="AP51" s="520">
        <f t="shared" si="121"/>
        <v>0.21445576413049494</v>
      </c>
      <c r="AQ51" s="521">
        <f t="shared" ref="AQ51" si="122">AQ50/AL50-1</f>
        <v>-0.80389456824832972</v>
      </c>
      <c r="AR51" s="522">
        <f t="shared" ref="AR51" si="123">AR50/AM50-1</f>
        <v>0.18395941731780829</v>
      </c>
      <c r="AS51" s="519">
        <f>AS50/AN50-1</f>
        <v>-0.2718222651850537</v>
      </c>
      <c r="AT51" s="520">
        <f t="shared" ref="AT51:BB51" si="124">AT50/AO50-1</f>
        <v>2.2080030412645613E-3</v>
      </c>
      <c r="AU51" s="520">
        <f t="shared" ref="AU51:AV51" si="125">AU50/AP50-1</f>
        <v>1.6640734133128054E-2</v>
      </c>
      <c r="AV51" s="521">
        <f t="shared" si="125"/>
        <v>1.4659098251409093</v>
      </c>
      <c r="AW51" s="522">
        <f t="shared" si="124"/>
        <v>1.3089035232295432E-2</v>
      </c>
      <c r="AX51" s="519">
        <f t="shared" si="124"/>
        <v>0.22333395129893074</v>
      </c>
      <c r="AY51" s="520">
        <f t="shared" si="124"/>
        <v>-0.57049915322853639</v>
      </c>
      <c r="AZ51" s="520">
        <f t="shared" si="124"/>
        <v>5.8118852141988864E-2</v>
      </c>
      <c r="BA51" s="521">
        <f t="shared" si="124"/>
        <v>0.16837867926019578</v>
      </c>
      <c r="BB51" s="522">
        <f t="shared" si="124"/>
        <v>-0.17771748082717798</v>
      </c>
      <c r="BC51" s="519">
        <f t="shared" ref="BC51" si="126">BC50/AX50-1</f>
        <v>8.7830126049351254E-2</v>
      </c>
      <c r="BD51" s="520">
        <f t="shared" ref="BD51" si="127">BD50/AY50-1</f>
        <v>-3.8967308693862446E-3</v>
      </c>
      <c r="BE51" s="520">
        <f t="shared" ref="BE51" si="128">BE50/AZ50-1</f>
        <v>-0.10310196278695261</v>
      </c>
      <c r="BF51" s="521">
        <f t="shared" ref="BF51" si="129">BF50/BA50-1</f>
        <v>-0.28245015710716248</v>
      </c>
      <c r="BG51" s="522">
        <f t="shared" ref="BG51" si="130">BG50/BB50-1</f>
        <v>-6.8726512663429773E-2</v>
      </c>
      <c r="BH51" s="519">
        <f t="shared" ref="BH51" si="131">BH50/BC50-1</f>
        <v>0.25222314884283259</v>
      </c>
      <c r="BI51" s="520">
        <f t="shared" ref="BI51" si="132">BI50/BD50-1</f>
        <v>-3.6565440359398904E-2</v>
      </c>
      <c r="BJ51" s="520">
        <f t="shared" ref="BJ51" si="133">BJ50/BE50-1</f>
        <v>-3.896936018116548E-2</v>
      </c>
      <c r="BK51" s="521">
        <f t="shared" ref="BK51" si="134">BK50/BF50-1</f>
        <v>-7.1113272285249218E-3</v>
      </c>
      <c r="BL51" s="522">
        <f t="shared" ref="BL51" si="135">BL50/BG50-1</f>
        <v>3.4736648678063586E-2</v>
      </c>
      <c r="BM51" s="519">
        <f t="shared" ref="BM51" si="136">BM50/BH50-1</f>
        <v>-0.22826371193213957</v>
      </c>
      <c r="BN51" s="520">
        <f t="shared" ref="BN51" si="137">BN50/BI50-1</f>
        <v>8.1135165236645213E-2</v>
      </c>
      <c r="BO51" s="520">
        <f t="shared" ref="BO51" si="138">BO50/BJ50-1</f>
        <v>1.5690325854536002E-2</v>
      </c>
      <c r="BP51" s="521">
        <f t="shared" ref="BP51" si="139">BP50/BK50-1</f>
        <v>0.14068344942416533</v>
      </c>
      <c r="BQ51" s="522">
        <f t="shared" ref="BQ51" si="140">BQ50/BL50-1</f>
        <v>-2.6069977964707447E-2</v>
      </c>
      <c r="BR51" s="233"/>
      <c r="BS51" s="233"/>
      <c r="BT51" s="233"/>
      <c r="BU51" s="233"/>
      <c r="BV51" s="233"/>
      <c r="BW51" s="233"/>
      <c r="BX51" s="233"/>
      <c r="BY51" s="233"/>
      <c r="BZ51" s="233"/>
      <c r="CA51" s="233"/>
      <c r="CB51" s="233"/>
      <c r="CC51" s="233"/>
      <c r="CD51" s="233"/>
      <c r="CE51" s="233"/>
    </row>
    <row r="52" spans="1:89">
      <c r="A52" s="233"/>
      <c r="B52" s="233"/>
      <c r="C52" s="1177"/>
      <c r="D52" s="233"/>
      <c r="E52" s="235"/>
      <c r="F52" s="511"/>
      <c r="G52" s="235"/>
      <c r="H52" s="236"/>
      <c r="I52" s="383"/>
      <c r="J52" s="519"/>
      <c r="K52" s="520"/>
      <c r="L52" s="520"/>
      <c r="M52" s="521"/>
      <c r="N52" s="522"/>
      <c r="O52" s="519"/>
      <c r="P52" s="520"/>
      <c r="Q52" s="520"/>
      <c r="R52" s="521"/>
      <c r="S52" s="522"/>
      <c r="T52" s="519"/>
      <c r="U52" s="520"/>
      <c r="V52" s="520"/>
      <c r="W52" s="521"/>
      <c r="X52" s="522"/>
      <c r="Y52" s="519"/>
      <c r="Z52" s="520"/>
      <c r="AA52" s="520"/>
      <c r="AB52" s="521"/>
      <c r="AC52" s="1575"/>
      <c r="AD52" s="1576"/>
      <c r="AE52" s="520"/>
      <c r="AF52" s="1577"/>
      <c r="AG52" s="1578"/>
      <c r="AH52" s="1575"/>
      <c r="AI52" s="1576"/>
      <c r="AJ52" s="1577"/>
      <c r="AK52" s="1577"/>
      <c r="AL52" s="1578"/>
      <c r="AM52" s="1575"/>
      <c r="AN52" s="1576"/>
      <c r="AO52" s="1577"/>
      <c r="AP52" s="1577"/>
      <c r="AQ52" s="1578"/>
      <c r="AR52" s="1575"/>
      <c r="AS52" s="1576"/>
      <c r="AT52" s="1577"/>
      <c r="AU52" s="1577"/>
      <c r="AV52" s="1578"/>
      <c r="AW52" s="1575"/>
      <c r="AX52" s="1576"/>
      <c r="AY52" s="1577"/>
      <c r="AZ52" s="1577"/>
      <c r="BA52" s="1578"/>
      <c r="BB52" s="1575"/>
      <c r="BC52" s="1576"/>
      <c r="BD52" s="1577"/>
      <c r="BE52" s="1577"/>
      <c r="BF52" s="1578"/>
      <c r="BG52" s="1575"/>
      <c r="BH52" s="1576"/>
      <c r="BI52" s="1577"/>
      <c r="BJ52" s="1577"/>
      <c r="BK52" s="1578"/>
      <c r="BL52" s="1575"/>
      <c r="BM52" s="1576"/>
      <c r="BN52" s="1577"/>
      <c r="BO52" s="1577"/>
      <c r="BP52" s="1578"/>
      <c r="BQ52" s="1575"/>
      <c r="BR52" s="233"/>
      <c r="BS52" s="233"/>
      <c r="BT52" s="233"/>
      <c r="BU52" s="233"/>
      <c r="BV52" s="233"/>
      <c r="BW52" s="233"/>
      <c r="BX52" s="233"/>
      <c r="BY52" s="233"/>
      <c r="BZ52" s="233"/>
      <c r="CA52" s="233"/>
      <c r="CB52" s="233"/>
      <c r="CC52" s="233"/>
      <c r="CD52" s="233"/>
      <c r="CE52" s="233"/>
    </row>
    <row r="53" spans="1:89" s="1206" customFormat="1">
      <c r="A53" s="1205"/>
      <c r="B53" s="1205"/>
      <c r="C53" s="1313" t="s">
        <v>598</v>
      </c>
      <c r="D53" s="1314"/>
      <c r="E53" s="1315"/>
      <c r="F53" s="1316"/>
      <c r="G53" s="1315"/>
      <c r="H53" s="1317"/>
      <c r="I53" s="1318"/>
      <c r="J53" s="1319"/>
      <c r="K53" s="1320"/>
      <c r="L53" s="1320"/>
      <c r="M53" s="1321"/>
      <c r="N53" s="1322"/>
      <c r="O53" s="1319"/>
      <c r="P53" s="1320"/>
      <c r="Q53" s="1320"/>
      <c r="R53" s="1321"/>
      <c r="S53" s="1322"/>
      <c r="T53" s="1319"/>
      <c r="U53" s="1320"/>
      <c r="V53" s="1320"/>
      <c r="W53" s="1321"/>
      <c r="X53" s="1322"/>
      <c r="Y53" s="1319"/>
      <c r="Z53" s="1320"/>
      <c r="AA53" s="1320"/>
      <c r="AB53" s="1321"/>
      <c r="AC53" s="1323"/>
      <c r="AD53" s="1319"/>
      <c r="AE53" s="1320"/>
      <c r="AF53" s="1320"/>
      <c r="AG53" s="1321"/>
      <c r="AH53" s="1323"/>
      <c r="AI53" s="1319"/>
      <c r="AJ53" s="1320"/>
      <c r="AK53" s="1320"/>
      <c r="AL53" s="1321"/>
      <c r="AM53" s="1322"/>
      <c r="AN53" s="1319"/>
      <c r="AO53" s="1320"/>
      <c r="AP53" s="1320"/>
      <c r="AQ53" s="1321"/>
      <c r="AR53" s="1322"/>
      <c r="AS53" s="1319"/>
      <c r="AT53" s="1320"/>
      <c r="AU53" s="1320"/>
      <c r="AV53" s="1321"/>
      <c r="AW53" s="1322"/>
      <c r="AX53" s="1319"/>
      <c r="AY53" s="1320"/>
      <c r="AZ53" s="1320"/>
      <c r="BA53" s="1321"/>
      <c r="BB53" s="1322"/>
      <c r="BC53" s="1319"/>
      <c r="BD53" s="1320"/>
      <c r="BE53" s="1320"/>
      <c r="BF53" s="1321"/>
      <c r="BG53" s="1726"/>
      <c r="BH53" s="1319"/>
      <c r="BI53" s="1320"/>
      <c r="BJ53" s="1320"/>
      <c r="BK53" s="1321"/>
      <c r="BL53" s="1322"/>
      <c r="BM53" s="1319"/>
      <c r="BN53" s="1320"/>
      <c r="BO53" s="1320"/>
      <c r="BP53" s="1321"/>
      <c r="BQ53" s="1322"/>
      <c r="BR53" s="1205"/>
      <c r="BS53" s="1205"/>
      <c r="BT53" s="1205"/>
      <c r="BU53" s="1205"/>
      <c r="BV53" s="1205"/>
      <c r="BW53" s="1205"/>
      <c r="BX53" s="1205"/>
      <c r="BY53" s="1205"/>
      <c r="BZ53" s="1205"/>
      <c r="CA53" s="1205"/>
      <c r="CB53" s="1205"/>
      <c r="CC53" s="1205"/>
      <c r="CD53" s="1205"/>
      <c r="CE53" s="1205"/>
      <c r="CF53"/>
      <c r="CG53"/>
      <c r="CH53"/>
      <c r="CI53"/>
      <c r="CJ53"/>
      <c r="CK53"/>
    </row>
    <row r="54" spans="1:89" s="1206" customFormat="1">
      <c r="A54" s="1205"/>
      <c r="B54" s="1205"/>
      <c r="C54" s="1313" t="s">
        <v>599</v>
      </c>
      <c r="D54" s="1314"/>
      <c r="E54" s="1315"/>
      <c r="F54" s="1316"/>
      <c r="G54" s="1315"/>
      <c r="H54" s="1317"/>
      <c r="I54" s="1318"/>
      <c r="J54" s="1319"/>
      <c r="K54" s="1320"/>
      <c r="L54" s="1320"/>
      <c r="M54" s="1321"/>
      <c r="N54" s="1322"/>
      <c r="O54" s="1319"/>
      <c r="P54" s="1320"/>
      <c r="Q54" s="1320"/>
      <c r="R54" s="1321"/>
      <c r="S54" s="1322"/>
      <c r="T54" s="1319"/>
      <c r="U54" s="1320"/>
      <c r="V54" s="1320"/>
      <c r="W54" s="1321"/>
      <c r="X54" s="1322"/>
      <c r="Y54" s="1319"/>
      <c r="Z54" s="1320"/>
      <c r="AA54" s="1320"/>
      <c r="AB54" s="1321"/>
      <c r="AC54" s="1323"/>
      <c r="AD54" s="1319"/>
      <c r="AE54" s="1320"/>
      <c r="AF54" s="1320"/>
      <c r="AG54" s="1321"/>
      <c r="AH54" s="1323"/>
      <c r="AI54" s="1319"/>
      <c r="AJ54" s="1320"/>
      <c r="AK54" s="1320"/>
      <c r="AL54" s="1321"/>
      <c r="AM54" s="1322"/>
      <c r="AN54" s="1319"/>
      <c r="AO54" s="1320"/>
      <c r="AP54" s="1320"/>
      <c r="AQ54" s="1321"/>
      <c r="AR54" s="1322"/>
      <c r="AS54" s="1319"/>
      <c r="AT54" s="1320"/>
      <c r="AU54" s="1320"/>
      <c r="AV54" s="1321"/>
      <c r="AW54" s="1322"/>
      <c r="AX54" s="1319"/>
      <c r="AY54" s="1320"/>
      <c r="AZ54" s="1320"/>
      <c r="BA54" s="1321"/>
      <c r="BB54" s="1322"/>
      <c r="BC54" s="1319"/>
      <c r="BD54" s="1320"/>
      <c r="BE54" s="1320"/>
      <c r="BF54" s="1321"/>
      <c r="BG54" s="1322"/>
      <c r="BH54" s="1319"/>
      <c r="BI54" s="1320"/>
      <c r="BJ54" s="1320"/>
      <c r="BK54" s="1321"/>
      <c r="BL54" s="1322"/>
      <c r="BM54" s="1319"/>
      <c r="BN54" s="1320"/>
      <c r="BO54" s="1320"/>
      <c r="BP54" s="1321"/>
      <c r="BQ54" s="1322"/>
      <c r="BR54" s="1205"/>
      <c r="BS54" s="1205"/>
      <c r="BT54" s="1205"/>
      <c r="BU54" s="1205"/>
      <c r="BV54" s="1205"/>
      <c r="BW54" s="1205"/>
      <c r="BX54" s="1205"/>
      <c r="BY54" s="1205"/>
      <c r="BZ54" s="1205"/>
      <c r="CA54" s="1205"/>
      <c r="CB54" s="1205"/>
      <c r="CC54" s="1205"/>
      <c r="CD54" s="1205"/>
      <c r="CE54" s="1205"/>
      <c r="CF54"/>
      <c r="CG54"/>
      <c r="CH54"/>
      <c r="CI54"/>
      <c r="CJ54"/>
      <c r="CK54"/>
    </row>
    <row r="55" spans="1:89" s="103" customFormat="1">
      <c r="A55" s="31"/>
      <c r="B55" s="31"/>
      <c r="C55" s="1268"/>
      <c r="D55" s="31"/>
      <c r="E55" s="113"/>
      <c r="F55" s="113"/>
      <c r="G55" s="113"/>
      <c r="H55" s="918"/>
      <c r="I55" s="1207"/>
      <c r="J55" s="917"/>
      <c r="K55" s="113"/>
      <c r="L55" s="113"/>
      <c r="M55" s="918"/>
      <c r="N55" s="27"/>
      <c r="O55" s="917"/>
      <c r="P55" s="113"/>
      <c r="Q55" s="113"/>
      <c r="R55" s="918"/>
      <c r="S55" s="27"/>
      <c r="T55" s="917"/>
      <c r="U55" s="113"/>
      <c r="V55" s="113"/>
      <c r="W55" s="918"/>
      <c r="X55" s="27"/>
      <c r="Y55" s="917"/>
      <c r="Z55" s="113"/>
      <c r="AA55" s="113"/>
      <c r="AB55" s="918"/>
      <c r="AC55" s="27"/>
      <c r="AD55" s="917"/>
      <c r="AE55" s="113"/>
      <c r="AF55" s="113"/>
      <c r="AG55" s="918"/>
      <c r="AH55" s="27"/>
      <c r="AI55" s="917"/>
      <c r="AJ55" s="113"/>
      <c r="AK55" s="113"/>
      <c r="AL55" s="918"/>
      <c r="AM55" s="27"/>
      <c r="AN55" s="917"/>
      <c r="AO55" s="113"/>
      <c r="AP55" s="113"/>
      <c r="AQ55" s="918"/>
      <c r="AR55" s="27"/>
      <c r="AS55" s="917"/>
      <c r="AT55" s="113"/>
      <c r="AU55" s="113"/>
      <c r="AV55" s="918"/>
      <c r="AW55" s="27"/>
      <c r="AX55" s="917"/>
      <c r="AY55" s="113"/>
      <c r="AZ55" s="113"/>
      <c r="BA55" s="918"/>
      <c r="BB55" s="27"/>
      <c r="BC55" s="917"/>
      <c r="BD55" s="113"/>
      <c r="BE55" s="113"/>
      <c r="BF55" s="918"/>
      <c r="BG55" s="27"/>
      <c r="BH55" s="917"/>
      <c r="BI55" s="113"/>
      <c r="BJ55" s="113"/>
      <c r="BK55" s="918"/>
      <c r="BL55" s="27"/>
      <c r="BM55" s="917"/>
      <c r="BN55" s="113"/>
      <c r="BO55" s="113"/>
      <c r="BP55" s="918"/>
      <c r="BQ55" s="27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/>
      <c r="CG55"/>
      <c r="CH55"/>
      <c r="CI55"/>
      <c r="CJ55"/>
      <c r="CK55"/>
    </row>
    <row r="56" spans="1:89">
      <c r="A56" s="233"/>
      <c r="B56" s="350" t="s">
        <v>2</v>
      </c>
      <c r="C56" s="1265"/>
      <c r="D56" s="102"/>
      <c r="E56" s="238"/>
      <c r="F56" s="238"/>
      <c r="G56" s="238"/>
      <c r="H56" s="239"/>
      <c r="I56" s="382"/>
      <c r="J56" s="237"/>
      <c r="K56" s="238"/>
      <c r="L56" s="238"/>
      <c r="M56" s="239"/>
      <c r="N56" s="233"/>
      <c r="O56" s="237"/>
      <c r="P56" s="238"/>
      <c r="Q56" s="238"/>
      <c r="R56" s="239"/>
      <c r="S56" s="233"/>
      <c r="T56" s="237"/>
      <c r="U56" s="238"/>
      <c r="V56" s="238"/>
      <c r="W56" s="239"/>
      <c r="X56" s="233"/>
      <c r="Y56" s="237"/>
      <c r="Z56" s="238"/>
      <c r="AA56" s="238"/>
      <c r="AB56" s="239"/>
      <c r="AC56" s="28"/>
      <c r="AD56" s="1556"/>
      <c r="AE56" s="238"/>
      <c r="AF56" s="1557"/>
      <c r="AG56" s="1558"/>
      <c r="AH56" s="28"/>
      <c r="AI56" s="1556"/>
      <c r="AJ56" s="1557"/>
      <c r="AK56" s="1557"/>
      <c r="AL56" s="1558"/>
      <c r="AM56" s="28"/>
      <c r="AN56" s="1556"/>
      <c r="AO56" s="1557"/>
      <c r="AP56" s="1557"/>
      <c r="AQ56" s="1558"/>
      <c r="AR56" s="28"/>
      <c r="AS56" s="1556"/>
      <c r="AT56" s="1557"/>
      <c r="AU56" s="1557"/>
      <c r="AV56" s="1558"/>
      <c r="AW56" s="28"/>
      <c r="AX56" s="1556"/>
      <c r="AY56" s="1557"/>
      <c r="AZ56" s="1557"/>
      <c r="BA56" s="1558"/>
      <c r="BB56" s="28"/>
      <c r="BC56" s="1556"/>
      <c r="BD56" s="1557"/>
      <c r="BE56" s="1557"/>
      <c r="BF56" s="1558"/>
      <c r="BG56" s="28"/>
      <c r="BH56" s="1556"/>
      <c r="BI56" s="1557"/>
      <c r="BJ56" s="1557"/>
      <c r="BK56" s="1558"/>
      <c r="BL56" s="28"/>
      <c r="BM56" s="1556"/>
      <c r="BN56" s="1557"/>
      <c r="BO56" s="1557"/>
      <c r="BP56" s="1558"/>
      <c r="BQ56" s="28"/>
      <c r="BR56" s="233"/>
      <c r="BS56" s="233"/>
      <c r="BT56" s="233"/>
      <c r="BU56" s="233"/>
      <c r="BV56" s="233"/>
      <c r="BW56" s="233"/>
      <c r="BX56" s="233"/>
      <c r="BY56" s="233"/>
      <c r="BZ56" s="233"/>
      <c r="CA56" s="233"/>
      <c r="CB56" s="233"/>
      <c r="CC56" s="233"/>
      <c r="CD56" s="233"/>
      <c r="CE56" s="233"/>
    </row>
    <row r="57" spans="1:89">
      <c r="A57" s="233"/>
      <c r="B57" s="233"/>
      <c r="C57" s="1175" t="s">
        <v>437</v>
      </c>
      <c r="D57" s="233"/>
      <c r="E57" s="235"/>
      <c r="F57" s="235"/>
      <c r="G57" s="235"/>
      <c r="H57" s="236"/>
      <c r="I57" s="383"/>
      <c r="J57" s="234"/>
      <c r="K57" s="235"/>
      <c r="L57" s="235"/>
      <c r="M57" s="236"/>
      <c r="N57" s="256"/>
      <c r="O57" s="234"/>
      <c r="P57" s="235"/>
      <c r="Q57" s="235"/>
      <c r="R57" s="236"/>
      <c r="S57" s="256"/>
      <c r="T57" s="234"/>
      <c r="U57" s="235"/>
      <c r="V57" s="235"/>
      <c r="W57" s="236"/>
      <c r="X57" s="256"/>
      <c r="Y57" s="234"/>
      <c r="Z57" s="235"/>
      <c r="AA57" s="235"/>
      <c r="AB57" s="236"/>
      <c r="AC57" s="1559"/>
      <c r="AD57" s="234"/>
      <c r="AE57" s="235"/>
      <c r="AF57" s="235"/>
      <c r="AG57" s="236"/>
      <c r="AH57" s="1559"/>
      <c r="AI57" s="234"/>
      <c r="AJ57" s="235"/>
      <c r="AK57" s="235"/>
      <c r="AL57" s="236"/>
      <c r="AM57" s="1559"/>
      <c r="AN57" s="234"/>
      <c r="AO57" s="235"/>
      <c r="AP57" s="235"/>
      <c r="AQ57" s="236"/>
      <c r="AR57" s="1559"/>
      <c r="AS57" s="234"/>
      <c r="AT57" s="235"/>
      <c r="AU57" s="235"/>
      <c r="AV57" s="236"/>
      <c r="AW57" s="1559"/>
      <c r="AX57" s="234"/>
      <c r="AY57" s="235"/>
      <c r="AZ57" s="235"/>
      <c r="BA57" s="236"/>
      <c r="BB57" s="1559"/>
      <c r="BC57" s="234"/>
      <c r="BD57" s="235"/>
      <c r="BE57" s="235"/>
      <c r="BF57" s="236"/>
      <c r="BG57" s="1559"/>
      <c r="BH57" s="234"/>
      <c r="BI57" s="235"/>
      <c r="BJ57" s="235"/>
      <c r="BK57" s="236"/>
      <c r="BL57" s="1559"/>
      <c r="BM57" s="234"/>
      <c r="BN57" s="235"/>
      <c r="BO57" s="235"/>
      <c r="BP57" s="236"/>
      <c r="BQ57" s="1559"/>
      <c r="BR57" s="233"/>
      <c r="BS57" s="233"/>
      <c r="BT57" s="233"/>
      <c r="BU57" s="233"/>
      <c r="BV57" s="233"/>
      <c r="BW57" s="233"/>
      <c r="BX57" s="233"/>
      <c r="BY57" s="233"/>
      <c r="BZ57" s="233"/>
      <c r="CA57" s="233"/>
      <c r="CB57" s="233"/>
      <c r="CC57" s="233"/>
      <c r="CD57" s="233"/>
      <c r="CE57" s="233"/>
    </row>
    <row r="58" spans="1:89">
      <c r="A58" s="355"/>
      <c r="B58" s="355"/>
      <c r="C58" s="1174" t="s">
        <v>72</v>
      </c>
      <c r="D58" s="126"/>
      <c r="E58" s="1294">
        <v>0.75</v>
      </c>
      <c r="F58" s="1294">
        <v>0.75</v>
      </c>
      <c r="G58" s="1294">
        <v>0.75</v>
      </c>
      <c r="H58" s="880">
        <f>+I58-SUM(E58:G58)</f>
        <v>0.75</v>
      </c>
      <c r="I58" s="1295">
        <v>3</v>
      </c>
      <c r="J58" s="1296">
        <v>0.75</v>
      </c>
      <c r="K58" s="1294">
        <v>0.83</v>
      </c>
      <c r="L58" s="1294">
        <v>0.83</v>
      </c>
      <c r="M58" s="880">
        <f>+N58-SUM(J58:L58)</f>
        <v>0.83000000000000007</v>
      </c>
      <c r="N58" s="1297">
        <v>3.24</v>
      </c>
      <c r="O58" s="1296">
        <v>0.83</v>
      </c>
      <c r="P58" s="1294">
        <v>0.83</v>
      </c>
      <c r="Q58" s="1294">
        <v>0.83</v>
      </c>
      <c r="R58" s="880">
        <f>+S58-SUM(O58:Q58)</f>
        <v>0.83000000000000007</v>
      </c>
      <c r="S58" s="1297">
        <v>3.32</v>
      </c>
      <c r="T58" s="1296">
        <v>0.83</v>
      </c>
      <c r="U58" s="1294">
        <v>0.83</v>
      </c>
      <c r="V58" s="1294">
        <v>0.83</v>
      </c>
      <c r="W58" s="880">
        <f>+X58-SUM(T58:V58)</f>
        <v>0.83000000000000007</v>
      </c>
      <c r="X58" s="1297">
        <v>3.32</v>
      </c>
      <c r="Y58" s="1296">
        <v>0.83</v>
      </c>
      <c r="Z58" s="1294">
        <v>0.83</v>
      </c>
      <c r="AA58" s="1294">
        <v>0.83</v>
      </c>
      <c r="AB58" s="880">
        <f>+AC58-SUM(Y58:AA58)</f>
        <v>0.83000000000000007</v>
      </c>
      <c r="AC58" s="1297">
        <v>3.32</v>
      </c>
      <c r="AD58" s="1296">
        <v>0.83</v>
      </c>
      <c r="AE58" s="1294">
        <v>0.83</v>
      </c>
      <c r="AF58" s="1294">
        <v>0.83</v>
      </c>
      <c r="AG58" s="880">
        <f>+AH58-SUM(AD58:AF58)</f>
        <v>0.83000000000000007</v>
      </c>
      <c r="AH58" s="1297">
        <v>3.32</v>
      </c>
      <c r="AI58" s="1296">
        <v>0.83</v>
      </c>
      <c r="AJ58" s="1294">
        <v>0.83</v>
      </c>
      <c r="AK58" s="1294">
        <v>0.83</v>
      </c>
      <c r="AL58" s="880">
        <f>+AM58-SUM(AI58:AK58)</f>
        <v>0.85000000000000009</v>
      </c>
      <c r="AM58" s="1297">
        <v>3.34</v>
      </c>
      <c r="AN58" s="1296">
        <v>0.85</v>
      </c>
      <c r="AO58" s="1294">
        <v>0.85</v>
      </c>
      <c r="AP58" s="1294">
        <v>0.85</v>
      </c>
      <c r="AQ58" s="880">
        <f>+AR58-SUM(AN58:AP58)</f>
        <v>0.87000000000000011</v>
      </c>
      <c r="AR58" s="1297">
        <v>3.42</v>
      </c>
      <c r="AS58" s="1296">
        <v>0.87</v>
      </c>
      <c r="AT58" s="1294">
        <v>0.87</v>
      </c>
      <c r="AU58" s="1294">
        <v>0.87</v>
      </c>
      <c r="AV58" s="880">
        <f>+AW58-SUM(AS58:AU58)</f>
        <v>0.89000000000000012</v>
      </c>
      <c r="AW58" s="1297">
        <v>3.5</v>
      </c>
      <c r="AX58" s="878">
        <f>AS58+AX59</f>
        <v>0.89</v>
      </c>
      <c r="AY58" s="879">
        <f>AT58+AY59</f>
        <v>0.89</v>
      </c>
      <c r="AZ58" s="879">
        <f t="shared" ref="AZ58" si="141">AU58+AZ59</f>
        <v>0.89</v>
      </c>
      <c r="BA58" s="880">
        <f t="shared" ref="BA58" si="142">AV58+BA59</f>
        <v>0.91000000000000014</v>
      </c>
      <c r="BB58" s="126">
        <f>SUM(AX58:BA58)</f>
        <v>3.58</v>
      </c>
      <c r="BC58" s="878">
        <f>AX58+BC59</f>
        <v>0.91</v>
      </c>
      <c r="BD58" s="879">
        <f>AY58+BD59</f>
        <v>0.91</v>
      </c>
      <c r="BE58" s="879">
        <f t="shared" ref="BE58" si="143">AZ58+BE59</f>
        <v>0.91</v>
      </c>
      <c r="BF58" s="880">
        <f t="shared" ref="BF58" si="144">BA58+BF59</f>
        <v>0.93000000000000016</v>
      </c>
      <c r="BG58" s="126">
        <f>SUM(BC58:BF58)</f>
        <v>3.66</v>
      </c>
      <c r="BH58" s="878">
        <f>BC58+BH59</f>
        <v>0.93</v>
      </c>
      <c r="BI58" s="879">
        <f>BD58+BI59</f>
        <v>0.93</v>
      </c>
      <c r="BJ58" s="879">
        <f t="shared" ref="BJ58" si="145">BE58+BJ59</f>
        <v>0.93</v>
      </c>
      <c r="BK58" s="880">
        <f t="shared" ref="BK58" si="146">BF58+BK59</f>
        <v>0.95000000000000018</v>
      </c>
      <c r="BL58" s="126">
        <f>SUM(BH58:BK58)</f>
        <v>3.74</v>
      </c>
      <c r="BM58" s="878">
        <f>BH58+BM59</f>
        <v>0.95000000000000007</v>
      </c>
      <c r="BN58" s="879">
        <f>BI58+BN59</f>
        <v>0.95000000000000007</v>
      </c>
      <c r="BO58" s="879">
        <f t="shared" ref="BO58" si="147">BJ58+BO59</f>
        <v>0.95000000000000007</v>
      </c>
      <c r="BP58" s="880">
        <f t="shared" ref="BP58" si="148">BK58+BP59</f>
        <v>0.9700000000000002</v>
      </c>
      <c r="BQ58" s="126">
        <f>SUM(BM58:BP58)</f>
        <v>3.8200000000000003</v>
      </c>
      <c r="BR58" s="355"/>
      <c r="BS58" s="355"/>
      <c r="BT58" s="355"/>
      <c r="BU58" s="355"/>
      <c r="BV58" s="355"/>
      <c r="BW58" s="355"/>
      <c r="BX58" s="355"/>
      <c r="BY58" s="355"/>
      <c r="BZ58" s="355"/>
      <c r="CA58" s="355"/>
      <c r="CB58" s="355"/>
      <c r="CC58" s="355"/>
      <c r="CD58" s="355"/>
      <c r="CE58" s="355"/>
    </row>
    <row r="59" spans="1:89" s="568" customFormat="1">
      <c r="A59" s="233"/>
      <c r="B59" s="233"/>
      <c r="C59" s="1264" t="s">
        <v>197</v>
      </c>
      <c r="D59" s="1293"/>
      <c r="E59" s="1290"/>
      <c r="F59" s="1291"/>
      <c r="G59" s="1291"/>
      <c r="H59" s="1292"/>
      <c r="I59" s="1298"/>
      <c r="J59" s="1299">
        <f>+J58-E58</f>
        <v>0</v>
      </c>
      <c r="K59" s="1300">
        <f t="shared" ref="K59:AA59" si="149">+K58-F58</f>
        <v>7.999999999999996E-2</v>
      </c>
      <c r="L59" s="1300">
        <f t="shared" si="149"/>
        <v>7.999999999999996E-2</v>
      </c>
      <c r="M59" s="1301">
        <f t="shared" si="149"/>
        <v>8.0000000000000071E-2</v>
      </c>
      <c r="N59" s="1302">
        <f t="shared" si="149"/>
        <v>0.24000000000000021</v>
      </c>
      <c r="O59" s="1299">
        <f t="shared" si="149"/>
        <v>7.999999999999996E-2</v>
      </c>
      <c r="P59" s="1300">
        <f t="shared" si="149"/>
        <v>0</v>
      </c>
      <c r="Q59" s="1300">
        <f t="shared" si="149"/>
        <v>0</v>
      </c>
      <c r="R59" s="1301">
        <f t="shared" si="149"/>
        <v>0</v>
      </c>
      <c r="S59" s="1302">
        <f t="shared" si="149"/>
        <v>7.9999999999999627E-2</v>
      </c>
      <c r="T59" s="1299">
        <f t="shared" si="149"/>
        <v>0</v>
      </c>
      <c r="U59" s="1300">
        <f t="shared" si="149"/>
        <v>0</v>
      </c>
      <c r="V59" s="1300">
        <f t="shared" si="149"/>
        <v>0</v>
      </c>
      <c r="W59" s="1301">
        <f t="shared" si="149"/>
        <v>0</v>
      </c>
      <c r="X59" s="1302">
        <f t="shared" si="149"/>
        <v>0</v>
      </c>
      <c r="Y59" s="1299">
        <f t="shared" si="149"/>
        <v>0</v>
      </c>
      <c r="Z59" s="1300">
        <f t="shared" si="149"/>
        <v>0</v>
      </c>
      <c r="AA59" s="1300">
        <f t="shared" si="149"/>
        <v>0</v>
      </c>
      <c r="AB59" s="1301">
        <f t="shared" ref="AB59:AH59" si="150">+AB58-W58</f>
        <v>0</v>
      </c>
      <c r="AC59" s="1302">
        <f t="shared" si="150"/>
        <v>0</v>
      </c>
      <c r="AD59" s="1299">
        <f t="shared" si="150"/>
        <v>0</v>
      </c>
      <c r="AE59" s="1300">
        <f t="shared" si="150"/>
        <v>0</v>
      </c>
      <c r="AF59" s="1300">
        <f t="shared" si="150"/>
        <v>0</v>
      </c>
      <c r="AG59" s="1301">
        <f t="shared" si="150"/>
        <v>0</v>
      </c>
      <c r="AH59" s="1302">
        <f t="shared" si="150"/>
        <v>0</v>
      </c>
      <c r="AI59" s="1299">
        <f t="shared" ref="AI59" si="151">+AI58-AD58</f>
        <v>0</v>
      </c>
      <c r="AJ59" s="1300">
        <f t="shared" ref="AJ59" si="152">+AJ58-AE58</f>
        <v>0</v>
      </c>
      <c r="AK59" s="1300">
        <f t="shared" ref="AK59" si="153">+AK58-AF58</f>
        <v>0</v>
      </c>
      <c r="AL59" s="1301">
        <f t="shared" ref="AL59" si="154">+AL58-AG58</f>
        <v>2.0000000000000018E-2</v>
      </c>
      <c r="AM59" s="1302">
        <f t="shared" ref="AM59:AP59" si="155">+AM58-AH58</f>
        <v>2.0000000000000018E-2</v>
      </c>
      <c r="AN59" s="1299">
        <f t="shared" si="155"/>
        <v>2.0000000000000018E-2</v>
      </c>
      <c r="AO59" s="1300">
        <f t="shared" si="155"/>
        <v>2.0000000000000018E-2</v>
      </c>
      <c r="AP59" s="1300">
        <f t="shared" si="155"/>
        <v>2.0000000000000018E-2</v>
      </c>
      <c r="AQ59" s="1301">
        <f t="shared" ref="AQ59" si="156">+AQ58-AL58</f>
        <v>2.0000000000000018E-2</v>
      </c>
      <c r="AR59" s="1302">
        <f t="shared" ref="AR59:AU59" si="157">+AR58-AM58</f>
        <v>8.0000000000000071E-2</v>
      </c>
      <c r="AS59" s="1299">
        <f t="shared" si="157"/>
        <v>2.0000000000000018E-2</v>
      </c>
      <c r="AT59" s="1300">
        <f t="shared" si="157"/>
        <v>2.0000000000000018E-2</v>
      </c>
      <c r="AU59" s="1300">
        <f t="shared" si="157"/>
        <v>2.0000000000000018E-2</v>
      </c>
      <c r="AV59" s="1301">
        <f t="shared" ref="AV59" si="158">+AV58-AQ58</f>
        <v>2.0000000000000018E-2</v>
      </c>
      <c r="AW59" s="1302">
        <f t="shared" ref="AW59" si="159">+AW58-AR58</f>
        <v>8.0000000000000071E-2</v>
      </c>
      <c r="AX59" s="1299">
        <f>AV59</f>
        <v>2.0000000000000018E-2</v>
      </c>
      <c r="AY59" s="1300">
        <f>+AX59</f>
        <v>2.0000000000000018E-2</v>
      </c>
      <c r="AZ59" s="1300">
        <f>+AY59</f>
        <v>2.0000000000000018E-2</v>
      </c>
      <c r="BA59" s="1301">
        <f>+AZ59</f>
        <v>2.0000000000000018E-2</v>
      </c>
      <c r="BB59" s="1293">
        <f>+BB58-AW58</f>
        <v>8.0000000000000071E-2</v>
      </c>
      <c r="BC59" s="1299">
        <f>BA59</f>
        <v>2.0000000000000018E-2</v>
      </c>
      <c r="BD59" s="1300">
        <f>+BC59</f>
        <v>2.0000000000000018E-2</v>
      </c>
      <c r="BE59" s="1300">
        <f>+BD59</f>
        <v>2.0000000000000018E-2</v>
      </c>
      <c r="BF59" s="1301">
        <f>+BE59</f>
        <v>2.0000000000000018E-2</v>
      </c>
      <c r="BG59" s="1293">
        <f>+BG58-BB58</f>
        <v>8.0000000000000071E-2</v>
      </c>
      <c r="BH59" s="1299">
        <f>BF59</f>
        <v>2.0000000000000018E-2</v>
      </c>
      <c r="BI59" s="1300">
        <f>+BH59</f>
        <v>2.0000000000000018E-2</v>
      </c>
      <c r="BJ59" s="1300">
        <f>+BI59</f>
        <v>2.0000000000000018E-2</v>
      </c>
      <c r="BK59" s="1301">
        <f>+BJ59</f>
        <v>2.0000000000000018E-2</v>
      </c>
      <c r="BL59" s="1293">
        <f>+BL58-BG58</f>
        <v>8.0000000000000071E-2</v>
      </c>
      <c r="BM59" s="1299">
        <f>BK59</f>
        <v>2.0000000000000018E-2</v>
      </c>
      <c r="BN59" s="1300">
        <f>+BM59</f>
        <v>2.0000000000000018E-2</v>
      </c>
      <c r="BO59" s="1300">
        <f>+BN59</f>
        <v>2.0000000000000018E-2</v>
      </c>
      <c r="BP59" s="1301">
        <f>+BO59</f>
        <v>2.0000000000000018E-2</v>
      </c>
      <c r="BQ59" s="1293">
        <f>+BQ58-BL58</f>
        <v>8.0000000000000071E-2</v>
      </c>
      <c r="BR59" s="1293"/>
      <c r="BS59" s="1293"/>
      <c r="BT59" s="1293"/>
      <c r="BU59" s="1293"/>
      <c r="BV59" s="1293"/>
      <c r="BW59" s="1293"/>
      <c r="BX59" s="1293"/>
      <c r="BY59" s="1293"/>
      <c r="BZ59" s="1293"/>
      <c r="CA59" s="1293"/>
      <c r="CB59" s="1293"/>
      <c r="CC59" s="1293"/>
      <c r="CD59" s="1293"/>
      <c r="CE59" s="1293"/>
      <c r="CF59"/>
      <c r="CG59"/>
      <c r="CH59"/>
      <c r="CI59"/>
      <c r="CJ59"/>
      <c r="CK59"/>
    </row>
    <row r="60" spans="1:89">
      <c r="A60" s="276"/>
      <c r="B60" s="276"/>
      <c r="C60" s="1264" t="s">
        <v>438</v>
      </c>
      <c r="D60" s="233"/>
      <c r="E60" s="272"/>
      <c r="F60" s="273"/>
      <c r="G60" s="273"/>
      <c r="H60" s="274"/>
      <c r="I60" s="384"/>
      <c r="J60" s="272">
        <f t="shared" ref="J60:AF60" si="160">+J58/E58-1</f>
        <v>0</v>
      </c>
      <c r="K60" s="273">
        <f t="shared" si="160"/>
        <v>0.10666666666666669</v>
      </c>
      <c r="L60" s="273">
        <f t="shared" si="160"/>
        <v>0.10666666666666669</v>
      </c>
      <c r="M60" s="274">
        <f t="shared" si="160"/>
        <v>0.10666666666666669</v>
      </c>
      <c r="N60" s="275">
        <f t="shared" si="160"/>
        <v>8.0000000000000071E-2</v>
      </c>
      <c r="O60" s="272">
        <f t="shared" si="160"/>
        <v>0.10666666666666669</v>
      </c>
      <c r="P60" s="273">
        <f t="shared" si="160"/>
        <v>0</v>
      </c>
      <c r="Q60" s="273">
        <f t="shared" si="160"/>
        <v>0</v>
      </c>
      <c r="R60" s="274">
        <f t="shared" si="160"/>
        <v>0</v>
      </c>
      <c r="S60" s="275">
        <f t="shared" si="160"/>
        <v>2.4691358024691246E-2</v>
      </c>
      <c r="T60" s="272">
        <f t="shared" si="160"/>
        <v>0</v>
      </c>
      <c r="U60" s="273">
        <f t="shared" si="160"/>
        <v>0</v>
      </c>
      <c r="V60" s="273">
        <f t="shared" si="160"/>
        <v>0</v>
      </c>
      <c r="W60" s="274">
        <f t="shared" si="160"/>
        <v>0</v>
      </c>
      <c r="X60" s="275">
        <f t="shared" si="160"/>
        <v>0</v>
      </c>
      <c r="Y60" s="272">
        <f t="shared" si="160"/>
        <v>0</v>
      </c>
      <c r="Z60" s="273">
        <f t="shared" si="160"/>
        <v>0</v>
      </c>
      <c r="AA60" s="273">
        <f t="shared" si="160"/>
        <v>0</v>
      </c>
      <c r="AB60" s="274">
        <f>+AB58/W58-1</f>
        <v>0</v>
      </c>
      <c r="AC60" s="275">
        <f>+AC58/X58-1</f>
        <v>0</v>
      </c>
      <c r="AD60" s="272">
        <f t="shared" si="160"/>
        <v>0</v>
      </c>
      <c r="AE60" s="273">
        <f t="shared" si="160"/>
        <v>0</v>
      </c>
      <c r="AF60" s="273">
        <f t="shared" si="160"/>
        <v>0</v>
      </c>
      <c r="AG60" s="274">
        <f>+AG58/AB58-1</f>
        <v>0</v>
      </c>
      <c r="AH60" s="275">
        <f>+AH58/AC58-1</f>
        <v>0</v>
      </c>
      <c r="AI60" s="272">
        <f t="shared" ref="AI60" si="161">+AI58/AD58-1</f>
        <v>0</v>
      </c>
      <c r="AJ60" s="273">
        <f t="shared" ref="AJ60" si="162">+AJ58/AE58-1</f>
        <v>0</v>
      </c>
      <c r="AK60" s="273">
        <f t="shared" ref="AK60" si="163">+AK58/AF58-1</f>
        <v>0</v>
      </c>
      <c r="AL60" s="274">
        <f>+AL58/AG58-1</f>
        <v>2.4096385542168752E-2</v>
      </c>
      <c r="AM60" s="275">
        <f>+AM58/AH58-1</f>
        <v>6.0240963855422436E-3</v>
      </c>
      <c r="AN60" s="272">
        <f t="shared" ref="AN60:AP60" si="164">+AN58/AI58-1</f>
        <v>2.4096385542168752E-2</v>
      </c>
      <c r="AO60" s="273">
        <f t="shared" si="164"/>
        <v>2.4096385542168752E-2</v>
      </c>
      <c r="AP60" s="273">
        <f t="shared" si="164"/>
        <v>2.4096385542168752E-2</v>
      </c>
      <c r="AQ60" s="274">
        <f>+AQ58/AL58-1</f>
        <v>2.3529411764705799E-2</v>
      </c>
      <c r="AR60" s="275">
        <f>+AR58/AM58-1</f>
        <v>2.39520958083832E-2</v>
      </c>
      <c r="AS60" s="272">
        <f t="shared" ref="AS60:AU60" si="165">+AS58/AN58-1</f>
        <v>2.3529411764705799E-2</v>
      </c>
      <c r="AT60" s="273">
        <f t="shared" si="165"/>
        <v>2.3529411764705799E-2</v>
      </c>
      <c r="AU60" s="273">
        <f t="shared" si="165"/>
        <v>2.3529411764705799E-2</v>
      </c>
      <c r="AV60" s="274">
        <f>+AV58/AQ58-1</f>
        <v>2.2988505747126409E-2</v>
      </c>
      <c r="AW60" s="275">
        <f>+AW58/AR58-1</f>
        <v>2.3391812865497075E-2</v>
      </c>
      <c r="AX60" s="272">
        <f t="shared" ref="AX60:BL60" si="166">+AX58/AS58-1</f>
        <v>2.2988505747126409E-2</v>
      </c>
      <c r="AY60" s="273">
        <f t="shared" si="166"/>
        <v>2.2988505747126409E-2</v>
      </c>
      <c r="AZ60" s="273">
        <f t="shared" si="166"/>
        <v>2.2988505747126409E-2</v>
      </c>
      <c r="BA60" s="274">
        <f t="shared" si="166"/>
        <v>2.2471910112359605E-2</v>
      </c>
      <c r="BB60" s="275">
        <f t="shared" si="166"/>
        <v>2.2857142857142909E-2</v>
      </c>
      <c r="BC60" s="272">
        <f t="shared" si="166"/>
        <v>2.2471910112359605E-2</v>
      </c>
      <c r="BD60" s="273">
        <f t="shared" si="166"/>
        <v>2.2471910112359605E-2</v>
      </c>
      <c r="BE60" s="273">
        <f t="shared" si="166"/>
        <v>2.2471910112359605E-2</v>
      </c>
      <c r="BF60" s="274">
        <f t="shared" si="166"/>
        <v>2.19780219780219E-2</v>
      </c>
      <c r="BG60" s="275">
        <f t="shared" si="166"/>
        <v>2.2346368715083775E-2</v>
      </c>
      <c r="BH60" s="272">
        <f t="shared" si="166"/>
        <v>2.19780219780219E-2</v>
      </c>
      <c r="BI60" s="273">
        <f t="shared" si="166"/>
        <v>2.19780219780219E-2</v>
      </c>
      <c r="BJ60" s="273">
        <f t="shared" si="166"/>
        <v>2.19780219780219E-2</v>
      </c>
      <c r="BK60" s="274">
        <f t="shared" si="166"/>
        <v>2.1505376344086002E-2</v>
      </c>
      <c r="BL60" s="275">
        <f t="shared" si="166"/>
        <v>2.1857923497267784E-2</v>
      </c>
      <c r="BM60" s="272">
        <f t="shared" ref="BM60" si="167">+BM58/BH58-1</f>
        <v>2.1505376344086002E-2</v>
      </c>
      <c r="BN60" s="273">
        <f t="shared" ref="BN60" si="168">+BN58/BI58-1</f>
        <v>2.1505376344086002E-2</v>
      </c>
      <c r="BO60" s="273">
        <f t="shared" ref="BO60" si="169">+BO58/BJ58-1</f>
        <v>2.1505376344086002E-2</v>
      </c>
      <c r="BP60" s="274">
        <f t="shared" ref="BP60" si="170">+BP58/BK58-1</f>
        <v>2.1052631578947434E-2</v>
      </c>
      <c r="BQ60" s="275">
        <f t="shared" ref="BQ60" si="171">+BQ58/BL58-1</f>
        <v>2.1390374331550888E-2</v>
      </c>
      <c r="BR60" s="276"/>
      <c r="BS60" s="276"/>
      <c r="BT60" s="276"/>
      <c r="BU60" s="276"/>
      <c r="BV60" s="276"/>
      <c r="BW60" s="276"/>
      <c r="BX60" s="276"/>
      <c r="BY60" s="276"/>
      <c r="BZ60" s="276"/>
      <c r="CA60" s="276"/>
      <c r="CB60" s="276"/>
      <c r="CC60" s="276"/>
      <c r="CD60" s="276"/>
      <c r="CE60" s="276"/>
    </row>
    <row r="61" spans="1:89">
      <c r="A61" s="276"/>
      <c r="B61" s="276"/>
      <c r="C61" s="1269"/>
      <c r="D61" s="276"/>
      <c r="E61" s="272"/>
      <c r="F61" s="273"/>
      <c r="G61" s="273"/>
      <c r="H61" s="274"/>
      <c r="I61" s="384"/>
      <c r="J61" s="272"/>
      <c r="K61" s="273"/>
      <c r="L61" s="273"/>
      <c r="M61" s="274"/>
      <c r="N61" s="275"/>
      <c r="O61" s="272"/>
      <c r="P61" s="273"/>
      <c r="Q61" s="273"/>
      <c r="R61" s="274"/>
      <c r="S61" s="275"/>
      <c r="T61" s="272"/>
      <c r="U61" s="273"/>
      <c r="V61" s="273"/>
      <c r="W61" s="274"/>
      <c r="X61" s="275"/>
      <c r="Y61" s="272"/>
      <c r="Z61" s="273"/>
      <c r="AA61" s="273"/>
      <c r="AB61" s="274"/>
      <c r="AC61" s="275"/>
      <c r="AD61" s="272"/>
      <c r="AE61" s="273"/>
      <c r="AF61" s="273"/>
      <c r="AG61" s="274"/>
      <c r="AH61" s="275"/>
      <c r="AI61" s="272"/>
      <c r="AJ61" s="273"/>
      <c r="AK61" s="273"/>
      <c r="AL61" s="274"/>
      <c r="AM61" s="275"/>
      <c r="AN61" s="272"/>
      <c r="AO61" s="273"/>
      <c r="AP61" s="273"/>
      <c r="AQ61" s="274"/>
      <c r="AR61" s="275"/>
      <c r="AS61" s="272"/>
      <c r="AT61" s="273"/>
      <c r="AU61" s="273"/>
      <c r="AV61" s="274"/>
      <c r="AW61" s="275"/>
      <c r="AX61" s="272"/>
      <c r="AY61" s="273"/>
      <c r="AZ61" s="273"/>
      <c r="BA61" s="274"/>
      <c r="BB61" s="275"/>
      <c r="BC61" s="272"/>
      <c r="BD61" s="273"/>
      <c r="BE61" s="273"/>
      <c r="BF61" s="274"/>
      <c r="BG61" s="275"/>
      <c r="BH61" s="272"/>
      <c r="BI61" s="273"/>
      <c r="BJ61" s="273"/>
      <c r="BK61" s="274"/>
      <c r="BL61" s="275"/>
      <c r="BM61" s="272"/>
      <c r="BN61" s="273"/>
      <c r="BO61" s="273"/>
      <c r="BP61" s="274"/>
      <c r="BQ61" s="275"/>
      <c r="BR61" s="276"/>
      <c r="BS61" s="276"/>
      <c r="BT61" s="276"/>
      <c r="BU61" s="276"/>
      <c r="BV61" s="276"/>
      <c r="BW61" s="276"/>
      <c r="BX61" s="276"/>
      <c r="BY61" s="276"/>
      <c r="BZ61" s="276"/>
      <c r="CA61" s="276"/>
      <c r="CB61" s="276"/>
      <c r="CC61" s="276"/>
      <c r="CD61" s="276"/>
      <c r="CE61" s="276"/>
    </row>
    <row r="62" spans="1:89">
      <c r="A62" s="311"/>
      <c r="B62" s="311"/>
      <c r="C62" s="1175" t="s">
        <v>439</v>
      </c>
      <c r="D62" s="311"/>
      <c r="E62" s="313">
        <f>+E58*E47</f>
        <v>148.54350149999999</v>
      </c>
      <c r="F62" s="314">
        <f>+F58*F47</f>
        <v>148.68237675</v>
      </c>
      <c r="G62" s="314">
        <f>+G58*G47</f>
        <v>146.90643075</v>
      </c>
      <c r="H62" s="315">
        <f>+H58*H47</f>
        <v>132.8119275</v>
      </c>
      <c r="I62" s="389">
        <f>+SUM(E62:H62)</f>
        <v>576.94423649999999</v>
      </c>
      <c r="J62" s="313">
        <f>+J58*J47</f>
        <v>143.46224999999998</v>
      </c>
      <c r="K62" s="314">
        <f>+K58*K47</f>
        <v>158.29590514</v>
      </c>
      <c r="L62" s="314">
        <f>+L58*L47</f>
        <v>155.85505276000001</v>
      </c>
      <c r="M62" s="315">
        <f>+M58*M47</f>
        <v>146.97853310000002</v>
      </c>
      <c r="N62" s="311">
        <f>+SUM(J62:M62)</f>
        <v>604.59174100000007</v>
      </c>
      <c r="O62" s="313">
        <f>+O58*O47</f>
        <v>149.46957889999999</v>
      </c>
      <c r="P62" s="314">
        <f>+P58*P47</f>
        <v>148.50775000000002</v>
      </c>
      <c r="Q62" s="314">
        <f>+Q58*Q47</f>
        <v>147.51010659999997</v>
      </c>
      <c r="R62" s="315">
        <f>+R58*R47</f>
        <v>146.97853310000002</v>
      </c>
      <c r="S62" s="311">
        <f>+SUM(O62:R62)</f>
        <v>592.4659686</v>
      </c>
      <c r="T62" s="313">
        <f>+T58*T47</f>
        <v>147.23207735</v>
      </c>
      <c r="U62" s="314">
        <f>+U58*U47</f>
        <v>147.37924132999999</v>
      </c>
      <c r="V62" s="314">
        <f>+V58*V47</f>
        <v>147.71931225</v>
      </c>
      <c r="W62" s="315">
        <f>+W58*W47</f>
        <v>147.71931225000003</v>
      </c>
      <c r="X62" s="311">
        <f>+SUM(T62:W62)</f>
        <v>590.04994318000001</v>
      </c>
      <c r="Y62" s="313">
        <f>+Y58*Y47</f>
        <v>148.08302820999998</v>
      </c>
      <c r="Z62" s="314">
        <f>+Z58*Z47</f>
        <v>148.24993788999998</v>
      </c>
      <c r="AA62" s="314">
        <f>+AA58*AA47</f>
        <v>148.2813343</v>
      </c>
      <c r="AB62" s="315">
        <f>+AB58*AB47</f>
        <v>148.2813343</v>
      </c>
      <c r="AC62" s="311">
        <f>+SUM(Y62:AB62)</f>
        <v>592.89563469999996</v>
      </c>
      <c r="AD62" s="313">
        <f>+AD58*AD47</f>
        <v>148.61645261000001</v>
      </c>
      <c r="AE62" s="314">
        <f>+AE58*AE47</f>
        <v>149.43770856</v>
      </c>
      <c r="AF62" s="314">
        <f>+AF58*AF47</f>
        <v>149.83750627999999</v>
      </c>
      <c r="AG62" s="315">
        <f>+AG58*AG47</f>
        <v>150.73085603000001</v>
      </c>
      <c r="AH62" s="311">
        <f>+SUM(AD62:AG62)</f>
        <v>598.62252348000004</v>
      </c>
      <c r="AI62" s="313">
        <f>+AI58*AI47</f>
        <v>149.79883408999999</v>
      </c>
      <c r="AJ62" s="314">
        <f>+AJ58*AJ47</f>
        <v>149.49946470999998</v>
      </c>
      <c r="AK62" s="314">
        <f>+AK58*AK47</f>
        <v>148.69602055999999</v>
      </c>
      <c r="AL62" s="315">
        <f>+AL58*AL47</f>
        <v>152.20945580000003</v>
      </c>
      <c r="AM62" s="311">
        <f>+SUM(AI62:AL62)</f>
        <v>600.20377515999996</v>
      </c>
      <c r="AN62" s="313">
        <f>+AN58*AN47</f>
        <v>152.12992299999999</v>
      </c>
      <c r="AO62" s="314">
        <f>+AO58*AO47</f>
        <v>152.57804469999999</v>
      </c>
      <c r="AP62" s="314">
        <f>+AP58*AP47</f>
        <v>152.99225480000001</v>
      </c>
      <c r="AQ62" s="315">
        <f>+AQ58*AQ47</f>
        <v>155.84172975000001</v>
      </c>
      <c r="AR62" s="311">
        <f>+SUM(AN62:AQ62)</f>
        <v>613.54195225000001</v>
      </c>
      <c r="AS62" s="313">
        <f>+AS58*AS47</f>
        <v>156.46258610999999</v>
      </c>
      <c r="AT62" s="314">
        <f>+AT58*AT47</f>
        <v>156.80418377999999</v>
      </c>
      <c r="AU62" s="314">
        <f>+AU58*AU47</f>
        <v>157.00374002999999</v>
      </c>
      <c r="AV62" s="315">
        <f>+AV58*AV47</f>
        <v>160.47011945000003</v>
      </c>
      <c r="AW62" s="311">
        <f>+SUM(AS62:AV62)</f>
        <v>630.74062937000008</v>
      </c>
      <c r="AX62" s="313">
        <f>+AX58*AX47</f>
        <v>160.66071116999998</v>
      </c>
      <c r="AY62" s="314">
        <f>+AY58*AY47</f>
        <v>160.66071116999998</v>
      </c>
      <c r="AZ62" s="314">
        <f>+AZ58*AZ47</f>
        <v>160.66071116999998</v>
      </c>
      <c r="BA62" s="315">
        <f>+BA58*BA47</f>
        <v>164.27106423000004</v>
      </c>
      <c r="BB62" s="311">
        <f>+SUM(AX62:BA62)</f>
        <v>646.25319773999991</v>
      </c>
      <c r="BC62" s="313">
        <f>+BC58*BC47</f>
        <v>164.27106423000001</v>
      </c>
      <c r="BD62" s="314">
        <f>+BD58*BD47</f>
        <v>164.27106423000001</v>
      </c>
      <c r="BE62" s="314">
        <f>+BE58*BE47</f>
        <v>164.27106423000001</v>
      </c>
      <c r="BF62" s="315">
        <f>+BF58*BF47</f>
        <v>167.88141729000003</v>
      </c>
      <c r="BG62" s="311">
        <f>+SUM(BC62:BF62)</f>
        <v>660.69460998000011</v>
      </c>
      <c r="BH62" s="313">
        <f>+BH58*BH47</f>
        <v>167.88141729</v>
      </c>
      <c r="BI62" s="314">
        <f>+BI58*BI47</f>
        <v>167.88141729</v>
      </c>
      <c r="BJ62" s="314">
        <f>+BJ58*BJ47</f>
        <v>167.88141729</v>
      </c>
      <c r="BK62" s="315">
        <f>+BK58*BK47</f>
        <v>171.49177035000002</v>
      </c>
      <c r="BL62" s="311">
        <f>+SUM(BH62:BK62)</f>
        <v>675.13602222000009</v>
      </c>
      <c r="BM62" s="313">
        <f>+BM58*BM47</f>
        <v>171.49177035</v>
      </c>
      <c r="BN62" s="314">
        <f>+BN58*BN47</f>
        <v>171.49177035</v>
      </c>
      <c r="BO62" s="314">
        <f>+BO58*BO47</f>
        <v>171.49177035</v>
      </c>
      <c r="BP62" s="315">
        <f>+BP58*BP47</f>
        <v>175.10212341000002</v>
      </c>
      <c r="BQ62" s="311">
        <f>+SUM(BM62:BP62)</f>
        <v>689.57743445999995</v>
      </c>
      <c r="BR62" s="311"/>
      <c r="BS62" s="311"/>
      <c r="BT62" s="311"/>
      <c r="BU62" s="311"/>
      <c r="BV62" s="311"/>
      <c r="BW62" s="311"/>
      <c r="BX62" s="311"/>
      <c r="BY62" s="311"/>
      <c r="BZ62" s="311"/>
      <c r="CA62" s="311"/>
      <c r="CB62" s="311"/>
      <c r="CC62" s="311"/>
      <c r="CD62" s="311"/>
      <c r="CE62" s="311"/>
    </row>
    <row r="63" spans="1:89">
      <c r="A63" s="276"/>
      <c r="B63" s="233"/>
      <c r="C63" s="1270" t="s">
        <v>358</v>
      </c>
      <c r="D63" s="1303"/>
      <c r="E63" s="1304"/>
      <c r="F63" s="1305"/>
      <c r="G63" s="1305"/>
      <c r="H63" s="1306"/>
      <c r="I63" s="1307">
        <f>+I58/I50</f>
        <v>0.44309022442346624</v>
      </c>
      <c r="J63" s="1304"/>
      <c r="K63" s="1305"/>
      <c r="L63" s="1305"/>
      <c r="M63" s="1306"/>
      <c r="N63" s="493">
        <f t="shared" ref="N63:X63" si="172">+N58/N50</f>
        <v>0.45402138854824459</v>
      </c>
      <c r="O63" s="490">
        <f t="shared" si="172"/>
        <v>0.60109296075411223</v>
      </c>
      <c r="P63" s="491">
        <f t="shared" si="172"/>
        <v>0.47058222401079963</v>
      </c>
      <c r="Q63" s="491">
        <f t="shared" si="172"/>
        <v>0.23486850907724507</v>
      </c>
      <c r="R63" s="492">
        <f t="shared" si="172"/>
        <v>0.87937903840516163</v>
      </c>
      <c r="S63" s="493">
        <f t="shared" si="172"/>
        <v>0.43561403446568758</v>
      </c>
      <c r="T63" s="490">
        <f t="shared" si="172"/>
        <v>1.8632962191680298</v>
      </c>
      <c r="U63" s="491">
        <f t="shared" si="172"/>
        <v>0.39342991964783869</v>
      </c>
      <c r="V63" s="491">
        <f t="shared" si="172"/>
        <v>0.42473953169747058</v>
      </c>
      <c r="W63" s="492">
        <f t="shared" si="172"/>
        <v>0.48137894348365878</v>
      </c>
      <c r="X63" s="493">
        <f t="shared" si="172"/>
        <v>0.53243985534250138</v>
      </c>
      <c r="Y63" s="490">
        <f t="shared" ref="Y63:AC63" si="173">+Y58/Y50</f>
        <v>0.88302342403100986</v>
      </c>
      <c r="Z63" s="491">
        <f t="shared" si="173"/>
        <v>0.82488016497610139</v>
      </c>
      <c r="AA63" s="491">
        <f t="shared" si="173"/>
        <v>0.34455985662832544</v>
      </c>
      <c r="AB63" s="492">
        <f t="shared" si="173"/>
        <v>0.82686756910483561</v>
      </c>
      <c r="AC63" s="493">
        <f t="shared" si="173"/>
        <v>0.61942585847694465</v>
      </c>
      <c r="AD63" s="490">
        <f t="shared" ref="AD63:AH63" si="174">+AD58/AD50</f>
        <v>0.36241374144666577</v>
      </c>
      <c r="AE63" s="491">
        <f t="shared" si="174"/>
        <v>0.74576041161176376</v>
      </c>
      <c r="AF63" s="491">
        <f t="shared" si="174"/>
        <v>0.49234074818375761</v>
      </c>
      <c r="AG63" s="492">
        <f t="shared" si="174"/>
        <v>1.1138269231565066</v>
      </c>
      <c r="AH63" s="493">
        <f t="shared" si="174"/>
        <v>0.57001589169248046</v>
      </c>
      <c r="AI63" s="490">
        <f t="shared" ref="AI63:AM63" si="175">+AI58/AI50</f>
        <v>0.49495732393854247</v>
      </c>
      <c r="AJ63" s="491">
        <f t="shared" si="175"/>
        <v>0.9970419740167914</v>
      </c>
      <c r="AK63" s="491">
        <f t="shared" si="175"/>
        <v>0.43647726870048331</v>
      </c>
      <c r="AL63" s="492">
        <f t="shared" si="175"/>
        <v>0.53865724771031509</v>
      </c>
      <c r="AM63" s="493">
        <f t="shared" si="175"/>
        <v>0.55626314467419724</v>
      </c>
      <c r="AN63" s="490">
        <f t="shared" ref="AN63" si="176">+AN58/AN50</f>
        <v>0.62639448502466466</v>
      </c>
      <c r="AO63" s="491">
        <f>+AO58/AO50</f>
        <v>0.27357757685838979</v>
      </c>
      <c r="AP63" s="491">
        <f t="shared" ref="AP63:AS63" si="177">+AP58/AP50</f>
        <v>0.36806181538239435</v>
      </c>
      <c r="AQ63" s="492">
        <f t="shared" si="177"/>
        <v>2.811403697322822</v>
      </c>
      <c r="AR63" s="493">
        <f t="shared" si="177"/>
        <v>0.48108643292898684</v>
      </c>
      <c r="AS63" s="490">
        <f t="shared" si="177"/>
        <v>0.88046248619903722</v>
      </c>
      <c r="AT63" s="491">
        <f>+AT58/AT50</f>
        <v>0.2793977851545375</v>
      </c>
      <c r="AU63" s="491">
        <f>+AU58/AU50</f>
        <v>0.37055577328663336</v>
      </c>
      <c r="AV63" s="492">
        <f t="shared" ref="AV63:AW63" si="178">+AV58/AV50</f>
        <v>1.1663174533204494</v>
      </c>
      <c r="AW63" s="493">
        <f t="shared" si="178"/>
        <v>0.48597892151433714</v>
      </c>
      <c r="AX63" s="1304"/>
      <c r="AY63" s="1305"/>
      <c r="AZ63" s="1305"/>
      <c r="BA63" s="1306"/>
      <c r="BB63" s="493">
        <f>+BB58/BB50</f>
        <v>0.60452095181227616</v>
      </c>
      <c r="BC63" s="1304"/>
      <c r="BD63" s="1305"/>
      <c r="BE63" s="1305"/>
      <c r="BF63" s="1306"/>
      <c r="BG63" s="493">
        <f>+BG58/BG50</f>
        <v>0.66363942311406676</v>
      </c>
      <c r="BH63" s="1304"/>
      <c r="BI63" s="1305"/>
      <c r="BJ63" s="1305"/>
      <c r="BK63" s="1306"/>
      <c r="BL63" s="493">
        <f>+BL58/BL50</f>
        <v>0.65537951489457247</v>
      </c>
      <c r="BM63" s="1304"/>
      <c r="BN63" s="1305"/>
      <c r="BO63" s="1305"/>
      <c r="BP63" s="1306"/>
      <c r="BQ63" s="493">
        <f>+BQ58/BQ50</f>
        <v>0.68731665818095133</v>
      </c>
      <c r="BR63" s="276"/>
      <c r="BS63" s="276"/>
      <c r="BT63" s="276"/>
      <c r="BU63" s="276"/>
      <c r="BV63" s="276"/>
      <c r="BW63" s="276"/>
      <c r="BX63" s="276"/>
      <c r="BY63" s="276"/>
      <c r="BZ63" s="276"/>
      <c r="CA63" s="276"/>
      <c r="CB63" s="276"/>
      <c r="CC63" s="276"/>
      <c r="CD63" s="276"/>
      <c r="CE63" s="276"/>
    </row>
    <row r="64" spans="1:89">
      <c r="A64" s="276"/>
      <c r="B64" s="276"/>
      <c r="C64" s="1270"/>
      <c r="D64" s="276"/>
      <c r="E64" s="279"/>
      <c r="F64" s="277"/>
      <c r="G64" s="277"/>
      <c r="H64" s="278"/>
      <c r="I64" s="385"/>
      <c r="J64" s="279"/>
      <c r="K64" s="277"/>
      <c r="L64" s="277"/>
      <c r="M64" s="278"/>
      <c r="N64" s="276"/>
      <c r="O64" s="279"/>
      <c r="P64" s="277"/>
      <c r="Q64" s="277"/>
      <c r="R64" s="278"/>
      <c r="S64" s="276"/>
      <c r="T64" s="279"/>
      <c r="U64" s="277"/>
      <c r="V64" s="277"/>
      <c r="W64" s="278"/>
      <c r="X64" s="276"/>
      <c r="Y64" s="279"/>
      <c r="Z64" s="277"/>
      <c r="AA64" s="277"/>
      <c r="AB64" s="278"/>
      <c r="AC64" s="276"/>
      <c r="AD64" s="279"/>
      <c r="AE64" s="277"/>
      <c r="AF64" s="277"/>
      <c r="AG64" s="278"/>
      <c r="AH64" s="276"/>
      <c r="AI64" s="279"/>
      <c r="AJ64" s="277"/>
      <c r="AK64" s="277"/>
      <c r="AL64" s="278"/>
      <c r="AM64" s="276"/>
      <c r="AN64" s="279"/>
      <c r="AO64" s="277"/>
      <c r="AP64" s="277"/>
      <c r="AQ64" s="278"/>
      <c r="AR64" s="276"/>
      <c r="AS64" s="279"/>
      <c r="AT64" s="277"/>
      <c r="AU64" s="277"/>
      <c r="AV64" s="278"/>
      <c r="AW64" s="276"/>
      <c r="AX64" s="279"/>
      <c r="AY64" s="277"/>
      <c r="AZ64" s="277"/>
      <c r="BA64" s="278"/>
      <c r="BB64" s="276"/>
      <c r="BC64" s="279"/>
      <c r="BD64" s="277"/>
      <c r="BE64" s="277"/>
      <c r="BF64" s="278"/>
      <c r="BG64" s="276"/>
      <c r="BH64" s="279"/>
      <c r="BI64" s="277"/>
      <c r="BJ64" s="277"/>
      <c r="BK64" s="278"/>
      <c r="BL64" s="276"/>
      <c r="BM64" s="279"/>
      <c r="BN64" s="277"/>
      <c r="BO64" s="277"/>
      <c r="BP64" s="278"/>
      <c r="BQ64" s="276"/>
      <c r="BR64" s="276"/>
      <c r="BS64" s="276"/>
      <c r="BT64" s="276"/>
      <c r="BU64" s="276"/>
      <c r="BV64" s="276"/>
      <c r="BW64" s="276"/>
      <c r="BX64" s="276"/>
      <c r="BY64" s="276"/>
      <c r="BZ64" s="276"/>
      <c r="CA64" s="276"/>
      <c r="CB64" s="276"/>
      <c r="CC64" s="276"/>
      <c r="CD64" s="276"/>
      <c r="CE64" s="276"/>
    </row>
    <row r="65" spans="1:89">
      <c r="A65" s="233"/>
      <c r="B65" s="276"/>
      <c r="C65" s="352" t="s">
        <v>619</v>
      </c>
      <c r="D65" s="233"/>
      <c r="E65" s="234"/>
      <c r="F65" s="235"/>
      <c r="G65" s="235"/>
      <c r="H65" s="236"/>
      <c r="I65" s="379"/>
      <c r="J65" s="249"/>
      <c r="K65" s="250"/>
      <c r="L65" s="250"/>
      <c r="M65" s="251"/>
      <c r="N65" s="244"/>
      <c r="O65" s="249"/>
      <c r="P65" s="250"/>
      <c r="Q65" s="250"/>
      <c r="R65" s="251"/>
      <c r="S65" s="244"/>
      <c r="T65" s="249"/>
      <c r="U65" s="250"/>
      <c r="V65" s="250"/>
      <c r="W65" s="251"/>
      <c r="X65" s="244"/>
      <c r="Y65" s="249"/>
      <c r="Z65" s="250"/>
      <c r="AA65" s="250"/>
      <c r="AB65" s="251"/>
      <c r="AC65" s="244"/>
      <c r="AD65" s="249"/>
      <c r="AE65" s="250"/>
      <c r="AF65" s="250"/>
      <c r="AG65" s="251"/>
      <c r="AH65" s="244"/>
      <c r="AI65" s="249"/>
      <c r="AJ65" s="250"/>
      <c r="AK65" s="250"/>
      <c r="AL65" s="251"/>
      <c r="AM65" s="244"/>
      <c r="AN65" s="249"/>
      <c r="AO65" s="250"/>
      <c r="AP65" s="250"/>
      <c r="AQ65" s="251"/>
      <c r="AR65" s="244"/>
      <c r="AS65" s="249"/>
      <c r="AT65" s="250"/>
      <c r="AU65" s="250"/>
      <c r="AV65" s="251"/>
      <c r="AW65" s="244"/>
      <c r="AX65" s="249"/>
      <c r="AY65" s="250"/>
      <c r="AZ65" s="250"/>
      <c r="BA65" s="251"/>
      <c r="BB65" s="244"/>
      <c r="BC65" s="249"/>
      <c r="BD65" s="250"/>
      <c r="BE65" s="250"/>
      <c r="BF65" s="251"/>
      <c r="BG65" s="244"/>
      <c r="BH65" s="249"/>
      <c r="BI65" s="250"/>
      <c r="BJ65" s="250"/>
      <c r="BK65" s="251"/>
      <c r="BL65" s="244"/>
      <c r="BM65" s="249"/>
      <c r="BN65" s="250"/>
      <c r="BO65" s="250"/>
      <c r="BP65" s="251"/>
      <c r="BQ65" s="244"/>
      <c r="BR65" s="233"/>
      <c r="BS65" s="233"/>
      <c r="BT65" s="233"/>
      <c r="BU65" s="233"/>
      <c r="BV65" s="233"/>
      <c r="BW65" s="233"/>
      <c r="BX65" s="233"/>
      <c r="BY65" s="233"/>
      <c r="BZ65" s="233"/>
      <c r="CA65" s="233"/>
      <c r="CB65" s="233"/>
      <c r="CC65" s="233"/>
      <c r="CD65" s="233"/>
      <c r="CE65" s="233"/>
    </row>
    <row r="66" spans="1:89">
      <c r="A66" s="233"/>
      <c r="B66" s="233"/>
      <c r="C66" s="354" t="s">
        <v>198</v>
      </c>
      <c r="D66" s="276"/>
      <c r="E66" s="279"/>
      <c r="F66" s="277"/>
      <c r="G66" s="277"/>
      <c r="H66" s="278"/>
      <c r="I66" s="386"/>
      <c r="J66" s="281"/>
      <c r="K66" s="282"/>
      <c r="L66" s="282"/>
      <c r="M66" s="283"/>
      <c r="N66" s="280"/>
      <c r="O66" s="394"/>
      <c r="P66" s="194"/>
      <c r="Q66" s="194"/>
      <c r="R66" s="195"/>
      <c r="S66" s="260"/>
      <c r="T66" s="489"/>
      <c r="U66" s="259"/>
      <c r="V66" s="259"/>
      <c r="W66" s="199"/>
      <c r="X66" s="260"/>
      <c r="Y66" s="489"/>
      <c r="Z66" s="259"/>
      <c r="AA66" s="259"/>
      <c r="AB66" s="199"/>
      <c r="AC66" s="260"/>
      <c r="AD66" s="489"/>
      <c r="AE66" s="259"/>
      <c r="AF66" s="259"/>
      <c r="AG66" s="199"/>
      <c r="AH66" s="260"/>
      <c r="AI66" s="489"/>
      <c r="AJ66" s="259"/>
      <c r="AK66" s="259"/>
      <c r="AL66" s="199"/>
      <c r="AM66" s="260"/>
      <c r="AN66" s="489"/>
      <c r="AO66" s="259"/>
      <c r="AP66" s="259"/>
      <c r="AQ66" s="199"/>
      <c r="AR66" s="260"/>
      <c r="AS66" s="489"/>
      <c r="AT66" s="259"/>
      <c r="AU66" s="1309"/>
      <c r="AV66" s="199"/>
      <c r="AW66" s="260"/>
      <c r="AX66" s="1308">
        <f>+Valuation!$AR$18</f>
        <v>77.16</v>
      </c>
      <c r="AY66" s="1309">
        <f>+Valuation!$AR$18</f>
        <v>77.16</v>
      </c>
      <c r="AZ66" s="1309">
        <f>+Valuation!$AR$18</f>
        <v>77.16</v>
      </c>
      <c r="BA66" s="1310">
        <f>+Valuation!$AR$18</f>
        <v>77.16</v>
      </c>
      <c r="BB66" s="1311">
        <f>+Valuation!$AR$18</f>
        <v>77.16</v>
      </c>
      <c r="BC66" s="1308">
        <f>+Valuation!$AR$18</f>
        <v>77.16</v>
      </c>
      <c r="BD66" s="1309">
        <f>+Valuation!$AR$18</f>
        <v>77.16</v>
      </c>
      <c r="BE66" s="1309">
        <f>+Valuation!$AR$18</f>
        <v>77.16</v>
      </c>
      <c r="BF66" s="1310">
        <f>+Valuation!$AR$18</f>
        <v>77.16</v>
      </c>
      <c r="BG66" s="1311">
        <f>+Valuation!$AR$18</f>
        <v>77.16</v>
      </c>
      <c r="BH66" s="1308">
        <f>+Valuation!$AR$18</f>
        <v>77.16</v>
      </c>
      <c r="BI66" s="1309">
        <f>+Valuation!$AR$18</f>
        <v>77.16</v>
      </c>
      <c r="BJ66" s="1309">
        <f>+Valuation!$AR$18</f>
        <v>77.16</v>
      </c>
      <c r="BK66" s="1310">
        <f>+Valuation!$AR$18</f>
        <v>77.16</v>
      </c>
      <c r="BL66" s="1311">
        <f>+Valuation!$AR$18</f>
        <v>77.16</v>
      </c>
      <c r="BM66" s="1308">
        <f>+Valuation!$AR$18</f>
        <v>77.16</v>
      </c>
      <c r="BN66" s="1309">
        <f>+Valuation!$AR$18</f>
        <v>77.16</v>
      </c>
      <c r="BO66" s="1309">
        <f>+Valuation!$AR$18</f>
        <v>77.16</v>
      </c>
      <c r="BP66" s="1310">
        <f>+Valuation!$AR$18</f>
        <v>77.16</v>
      </c>
      <c r="BQ66" s="1311">
        <f>+Valuation!$AR$18</f>
        <v>77.16</v>
      </c>
      <c r="BR66" s="233"/>
      <c r="BS66" s="233"/>
      <c r="BT66" s="233"/>
      <c r="BU66" s="233"/>
      <c r="BV66" s="233"/>
      <c r="BW66" s="233"/>
      <c r="BX66" s="233"/>
      <c r="BY66" s="233"/>
      <c r="BZ66" s="233"/>
      <c r="CA66" s="233"/>
      <c r="CB66" s="233"/>
      <c r="CC66" s="233"/>
      <c r="CD66" s="233"/>
      <c r="CE66" s="233"/>
    </row>
    <row r="67" spans="1:89">
      <c r="A67" s="276"/>
      <c r="B67" s="233"/>
      <c r="C67" s="1312" t="s">
        <v>199</v>
      </c>
      <c r="D67" s="276"/>
      <c r="E67" s="279"/>
      <c r="F67" s="277"/>
      <c r="G67" s="277"/>
      <c r="H67" s="278"/>
      <c r="I67" s="386"/>
      <c r="J67" s="281"/>
      <c r="K67" s="282"/>
      <c r="L67" s="282"/>
      <c r="M67" s="283"/>
      <c r="N67" s="280"/>
      <c r="O67" s="284"/>
      <c r="P67" s="285"/>
      <c r="Q67" s="285"/>
      <c r="R67" s="286"/>
      <c r="S67" s="287"/>
      <c r="T67" s="284"/>
      <c r="U67" s="285"/>
      <c r="V67" s="285"/>
      <c r="W67" s="286"/>
      <c r="X67" s="287"/>
      <c r="Y67" s="284"/>
      <c r="Z67" s="285"/>
      <c r="AA67" s="285"/>
      <c r="AB67" s="286"/>
      <c r="AC67" s="287"/>
      <c r="AD67" s="284"/>
      <c r="AE67" s="285"/>
      <c r="AF67" s="285"/>
      <c r="AG67" s="286"/>
      <c r="AH67" s="287"/>
      <c r="AI67" s="284"/>
      <c r="AJ67" s="285"/>
      <c r="AK67" s="285"/>
      <c r="AL67" s="286"/>
      <c r="AM67" s="287"/>
      <c r="AN67" s="284"/>
      <c r="AO67" s="285"/>
      <c r="AP67" s="285"/>
      <c r="AQ67" s="286"/>
      <c r="AR67" s="287"/>
      <c r="AS67" s="284"/>
      <c r="AT67" s="285"/>
      <c r="AU67" s="259"/>
      <c r="AV67" s="286"/>
      <c r="AW67" s="287"/>
      <c r="AX67" s="489">
        <v>0</v>
      </c>
      <c r="AY67" s="259">
        <v>0</v>
      </c>
      <c r="AZ67" s="259">
        <v>0</v>
      </c>
      <c r="BA67" s="199">
        <v>0</v>
      </c>
      <c r="BB67" s="287">
        <f>+SUM(AX67:BA67)</f>
        <v>0</v>
      </c>
      <c r="BC67" s="489">
        <v>0</v>
      </c>
      <c r="BD67" s="259">
        <v>0</v>
      </c>
      <c r="BE67" s="259">
        <v>0</v>
      </c>
      <c r="BF67" s="199">
        <v>0</v>
      </c>
      <c r="BG67" s="287">
        <f>+SUM(BC67:BF67)</f>
        <v>0</v>
      </c>
      <c r="BH67" s="489">
        <v>0</v>
      </c>
      <c r="BI67" s="259">
        <v>0</v>
      </c>
      <c r="BJ67" s="259">
        <v>0</v>
      </c>
      <c r="BK67" s="199">
        <v>0</v>
      </c>
      <c r="BL67" s="287">
        <f>+SUM(BH67:BK67)</f>
        <v>0</v>
      </c>
      <c r="BM67" s="489">
        <v>0</v>
      </c>
      <c r="BN67" s="259">
        <v>0</v>
      </c>
      <c r="BO67" s="259">
        <v>0</v>
      </c>
      <c r="BP67" s="199">
        <v>0</v>
      </c>
      <c r="BQ67" s="287">
        <f>+SUM(BM67:BP67)</f>
        <v>0</v>
      </c>
      <c r="BR67" s="276"/>
      <c r="BS67" s="276"/>
      <c r="BT67" s="276"/>
      <c r="BU67" s="276"/>
      <c r="BV67" s="276"/>
      <c r="BW67" s="276"/>
      <c r="BX67" s="276"/>
      <c r="BY67" s="276"/>
      <c r="BZ67" s="276"/>
      <c r="CA67" s="276"/>
      <c r="CB67" s="276"/>
      <c r="CC67" s="276"/>
      <c r="CD67" s="276"/>
      <c r="CE67" s="276"/>
    </row>
    <row r="68" spans="1:89">
      <c r="A68" s="276"/>
      <c r="B68" s="276"/>
      <c r="C68" s="354" t="s">
        <v>200</v>
      </c>
      <c r="D68" s="276"/>
      <c r="E68" s="281">
        <f t="shared" ref="E68:W68" si="179">+E140</f>
        <v>0.92700000000000005</v>
      </c>
      <c r="F68" s="282">
        <f t="shared" si="179"/>
        <v>1.764</v>
      </c>
      <c r="G68" s="282">
        <f t="shared" si="179"/>
        <v>-598.601</v>
      </c>
      <c r="H68" s="283">
        <f t="shared" si="179"/>
        <v>10.983000000000001</v>
      </c>
      <c r="I68" s="386">
        <f t="shared" si="179"/>
        <v>-584.92700000000002</v>
      </c>
      <c r="J68" s="281">
        <f t="shared" si="179"/>
        <v>6.0780000000000003</v>
      </c>
      <c r="K68" s="282">
        <f t="shared" si="179"/>
        <v>-135.11099999999999</v>
      </c>
      <c r="L68" s="282">
        <f t="shared" si="179"/>
        <v>-490.82799999999997</v>
      </c>
      <c r="M68" s="283">
        <f t="shared" si="179"/>
        <v>-207.55199999999999</v>
      </c>
      <c r="N68" s="280">
        <f t="shared" si="179"/>
        <v>-827.41300000000001</v>
      </c>
      <c r="O68" s="281">
        <f t="shared" si="179"/>
        <v>-42.124000000000002</v>
      </c>
      <c r="P68" s="282">
        <f t="shared" si="179"/>
        <v>-100.52</v>
      </c>
      <c r="Q68" s="282">
        <f t="shared" si="179"/>
        <v>-59.099000000000004</v>
      </c>
      <c r="R68" s="283">
        <f t="shared" si="179"/>
        <v>-17.012</v>
      </c>
      <c r="S68" s="280">
        <f t="shared" si="179"/>
        <v>-218.755</v>
      </c>
      <c r="T68" s="281">
        <f t="shared" si="179"/>
        <v>32.826000000000001</v>
      </c>
      <c r="U68" s="282">
        <f t="shared" si="179"/>
        <v>1.802</v>
      </c>
      <c r="V68" s="282">
        <f t="shared" si="179"/>
        <v>21.974</v>
      </c>
      <c r="W68" s="283">
        <f t="shared" si="179"/>
        <v>6.2839999999999998</v>
      </c>
      <c r="X68" s="280">
        <f t="shared" ref="X68:AC68" si="180">+X140</f>
        <v>62.886000000000003</v>
      </c>
      <c r="Y68" s="281">
        <f t="shared" si="180"/>
        <v>8.1020000000000003</v>
      </c>
      <c r="Z68" s="282">
        <f t="shared" si="180"/>
        <v>8.532</v>
      </c>
      <c r="AA68" s="282">
        <f t="shared" si="180"/>
        <v>4.0860000000000003</v>
      </c>
      <c r="AB68" s="283">
        <f t="shared" si="180"/>
        <v>3.8069999999999999</v>
      </c>
      <c r="AC68" s="280">
        <f t="shared" si="180"/>
        <v>24.526999999999997</v>
      </c>
      <c r="AD68" s="281">
        <f t="shared" ref="AD68:AH68" si="181">+AD140</f>
        <v>35.537999999999997</v>
      </c>
      <c r="AE68" s="282">
        <f t="shared" si="181"/>
        <v>27.561</v>
      </c>
      <c r="AF68" s="282">
        <f t="shared" si="181"/>
        <v>6.71</v>
      </c>
      <c r="AG68" s="283">
        <f t="shared" si="181"/>
        <v>-58.213999999999999</v>
      </c>
      <c r="AH68" s="280">
        <f t="shared" si="181"/>
        <v>11.594999999999999</v>
      </c>
      <c r="AI68" s="281">
        <f t="shared" ref="AI68:AM68" si="182">+AI140</f>
        <v>-1.9220000000000006</v>
      </c>
      <c r="AJ68" s="282">
        <f t="shared" si="182"/>
        <v>0.74099999999999999</v>
      </c>
      <c r="AK68" s="282">
        <f t="shared" si="182"/>
        <v>-74.728999999999999</v>
      </c>
      <c r="AL68" s="283">
        <f t="shared" si="182"/>
        <v>0.14799999999999999</v>
      </c>
      <c r="AM68" s="280">
        <f t="shared" si="182"/>
        <v>-75.762</v>
      </c>
      <c r="AN68" s="281">
        <f t="shared" ref="AN68:AU68" si="183">+AN140</f>
        <v>5.7869999999999999</v>
      </c>
      <c r="AO68" s="282">
        <f t="shared" si="183"/>
        <v>11.068</v>
      </c>
      <c r="AP68" s="282">
        <f t="shared" si="183"/>
        <v>16.265000000000001</v>
      </c>
      <c r="AQ68" s="283">
        <f t="shared" si="183"/>
        <v>0</v>
      </c>
      <c r="AR68" s="280">
        <f t="shared" si="183"/>
        <v>33.120000000000005</v>
      </c>
      <c r="AS68" s="281">
        <f t="shared" ref="AS68" si="184">+AS140</f>
        <v>2.448</v>
      </c>
      <c r="AT68" s="282">
        <f t="shared" si="183"/>
        <v>5.3710000000000004</v>
      </c>
      <c r="AU68" s="282">
        <f t="shared" si="183"/>
        <v>7.3019999999999996</v>
      </c>
      <c r="AV68" s="283">
        <f t="shared" ref="AV68:AW68" si="185">+AV140</f>
        <v>65.608000000000004</v>
      </c>
      <c r="AW68" s="280">
        <f t="shared" si="185"/>
        <v>80.728999999999999</v>
      </c>
      <c r="AX68" s="281">
        <f>+AX67*AX66</f>
        <v>0</v>
      </c>
      <c r="AY68" s="282">
        <f>+AY67*AY66</f>
        <v>0</v>
      </c>
      <c r="AZ68" s="282">
        <f>+AZ67*AZ66</f>
        <v>0</v>
      </c>
      <c r="BA68" s="283">
        <f>+BA67*BA66</f>
        <v>0</v>
      </c>
      <c r="BB68" s="280">
        <f>+SUM(AX68:BA68)</f>
        <v>0</v>
      </c>
      <c r="BC68" s="281">
        <f>+BC67*BC66</f>
        <v>0</v>
      </c>
      <c r="BD68" s="282">
        <f>+BD67*BD66</f>
        <v>0</v>
      </c>
      <c r="BE68" s="282">
        <f>+BE67*BE66</f>
        <v>0</v>
      </c>
      <c r="BF68" s="283">
        <f>+BF67*BF66</f>
        <v>0</v>
      </c>
      <c r="BG68" s="280">
        <f>+SUM(BC68:BF68)</f>
        <v>0</v>
      </c>
      <c r="BH68" s="281">
        <f>+BH67*BH66</f>
        <v>0</v>
      </c>
      <c r="BI68" s="282">
        <f>+BI67*BI66</f>
        <v>0</v>
      </c>
      <c r="BJ68" s="282">
        <f>+BJ67*BJ66</f>
        <v>0</v>
      </c>
      <c r="BK68" s="283">
        <f>+BK67*BK66</f>
        <v>0</v>
      </c>
      <c r="BL68" s="280">
        <f>+SUM(BH68:BK68)</f>
        <v>0</v>
      </c>
      <c r="BM68" s="281">
        <f>+BM67*BM66</f>
        <v>0</v>
      </c>
      <c r="BN68" s="282">
        <f>+BN67*BN66</f>
        <v>0</v>
      </c>
      <c r="BO68" s="282">
        <f>+BO67*BO66</f>
        <v>0</v>
      </c>
      <c r="BP68" s="283">
        <f>+BP67*BP66</f>
        <v>0</v>
      </c>
      <c r="BQ68" s="280">
        <f>+SUM(BM68:BP68)</f>
        <v>0</v>
      </c>
      <c r="BR68" s="276"/>
      <c r="BS68" s="276"/>
      <c r="BT68" s="276"/>
      <c r="BU68" s="276"/>
      <c r="BV68" s="276"/>
      <c r="BW68" s="276"/>
      <c r="BX68" s="276"/>
      <c r="BY68" s="276"/>
      <c r="BZ68" s="276"/>
      <c r="CA68" s="276"/>
      <c r="CB68" s="276"/>
      <c r="CC68" s="276"/>
      <c r="CD68" s="276"/>
      <c r="CE68" s="276"/>
    </row>
    <row r="69" spans="1:89">
      <c r="A69" s="276"/>
      <c r="B69" s="276"/>
      <c r="C69" s="1270"/>
      <c r="D69" s="276"/>
      <c r="E69" s="279"/>
      <c r="F69" s="277"/>
      <c r="G69" s="277"/>
      <c r="H69" s="278"/>
      <c r="I69" s="386"/>
      <c r="J69" s="281"/>
      <c r="K69" s="282"/>
      <c r="L69" s="282"/>
      <c r="M69" s="283"/>
      <c r="N69" s="280"/>
      <c r="O69" s="281"/>
      <c r="P69" s="282"/>
      <c r="Q69" s="282"/>
      <c r="R69" s="283"/>
      <c r="S69" s="280"/>
      <c r="T69" s="281"/>
      <c r="U69" s="282"/>
      <c r="V69" s="282"/>
      <c r="W69" s="283"/>
      <c r="X69" s="280"/>
      <c r="Y69" s="281"/>
      <c r="Z69" s="282"/>
      <c r="AA69" s="282"/>
      <c r="AB69" s="283"/>
      <c r="AC69" s="280"/>
      <c r="AD69" s="281"/>
      <c r="AE69" s="282"/>
      <c r="AF69" s="282"/>
      <c r="AG69" s="283"/>
      <c r="AH69" s="280"/>
      <c r="AI69" s="281"/>
      <c r="AJ69" s="282"/>
      <c r="AK69" s="282"/>
      <c r="AL69" s="283"/>
      <c r="AM69" s="280"/>
      <c r="AN69" s="281"/>
      <c r="AO69" s="282"/>
      <c r="AP69" s="282"/>
      <c r="AQ69" s="283"/>
      <c r="AR69" s="280"/>
      <c r="AS69" s="281"/>
      <c r="AT69" s="282"/>
      <c r="AU69" s="282"/>
      <c r="AV69" s="283"/>
      <c r="AW69" s="280"/>
      <c r="AX69" s="281"/>
      <c r="AY69" s="282"/>
      <c r="AZ69" s="282"/>
      <c r="BA69" s="283"/>
      <c r="BB69" s="280"/>
      <c r="BC69" s="281"/>
      <c r="BD69" s="282"/>
      <c r="BE69" s="282"/>
      <c r="BF69" s="283"/>
      <c r="BG69" s="280"/>
      <c r="BH69" s="281"/>
      <c r="BI69" s="282"/>
      <c r="BJ69" s="282"/>
      <c r="BK69" s="283"/>
      <c r="BL69" s="280"/>
      <c r="BM69" s="281"/>
      <c r="BN69" s="282"/>
      <c r="BO69" s="282"/>
      <c r="BP69" s="283"/>
      <c r="BQ69" s="280"/>
      <c r="BR69" s="276"/>
      <c r="BS69" s="276"/>
      <c r="BT69" s="276"/>
      <c r="BU69" s="276"/>
      <c r="BV69" s="276"/>
      <c r="BW69" s="276"/>
      <c r="BX69" s="276"/>
      <c r="BY69" s="276"/>
      <c r="BZ69" s="276"/>
      <c r="CA69" s="276"/>
      <c r="CB69" s="276"/>
      <c r="CC69" s="276"/>
      <c r="CD69" s="276"/>
      <c r="CE69" s="276"/>
    </row>
    <row r="70" spans="1:89">
      <c r="A70" s="276"/>
      <c r="B70" s="276"/>
      <c r="C70" s="1270"/>
      <c r="D70" s="276"/>
      <c r="E70" s="279"/>
      <c r="F70" s="277"/>
      <c r="G70" s="277"/>
      <c r="H70" s="278"/>
      <c r="I70" s="386"/>
      <c r="J70" s="281"/>
      <c r="K70" s="282"/>
      <c r="L70" s="282"/>
      <c r="M70" s="283"/>
      <c r="N70" s="280"/>
      <c r="O70" s="281"/>
      <c r="P70" s="282"/>
      <c r="Q70" s="282"/>
      <c r="R70" s="283"/>
      <c r="S70" s="280"/>
      <c r="T70" s="281"/>
      <c r="U70" s="282"/>
      <c r="V70" s="282"/>
      <c r="W70" s="283"/>
      <c r="X70" s="280"/>
      <c r="Y70" s="281"/>
      <c r="Z70" s="282"/>
      <c r="AA70" s="282"/>
      <c r="AB70" s="283"/>
      <c r="AC70" s="280"/>
      <c r="AD70" s="281"/>
      <c r="AE70" s="282"/>
      <c r="AF70" s="282"/>
      <c r="AG70" s="283"/>
      <c r="AH70" s="280"/>
      <c r="AI70" s="281"/>
      <c r="AJ70" s="282"/>
      <c r="AK70" s="282"/>
      <c r="AL70" s="283"/>
      <c r="AM70" s="280"/>
      <c r="AN70" s="281"/>
      <c r="AO70" s="282"/>
      <c r="AP70" s="282"/>
      <c r="AQ70" s="283"/>
      <c r="AR70" s="280"/>
      <c r="AS70" s="281"/>
      <c r="AT70" s="282"/>
      <c r="AU70" s="282"/>
      <c r="AV70" s="283"/>
      <c r="AW70" s="280"/>
      <c r="AX70" s="281"/>
      <c r="AY70" s="282"/>
      <c r="AZ70" s="282"/>
      <c r="BA70" s="283"/>
      <c r="BB70" s="280"/>
      <c r="BC70" s="281"/>
      <c r="BD70" s="282"/>
      <c r="BE70" s="282"/>
      <c r="BF70" s="283"/>
      <c r="BG70" s="280"/>
      <c r="BH70" s="281"/>
      <c r="BI70" s="282"/>
      <c r="BJ70" s="282"/>
      <c r="BK70" s="283"/>
      <c r="BL70" s="280"/>
      <c r="BM70" s="281"/>
      <c r="BN70" s="282"/>
      <c r="BO70" s="282"/>
      <c r="BP70" s="283"/>
      <c r="BQ70" s="280"/>
      <c r="BR70" s="276"/>
      <c r="BS70" s="276"/>
      <c r="BT70" s="276"/>
      <c r="BU70" s="276"/>
      <c r="BV70" s="276"/>
      <c r="BW70" s="276"/>
      <c r="BX70" s="276"/>
      <c r="BY70" s="276"/>
      <c r="BZ70" s="276"/>
      <c r="CA70" s="276"/>
      <c r="CB70" s="276"/>
      <c r="CC70" s="276"/>
      <c r="CD70" s="276"/>
      <c r="CE70" s="276"/>
    </row>
    <row r="71" spans="1:89">
      <c r="A71" s="276"/>
      <c r="B71" s="350" t="s">
        <v>0</v>
      </c>
      <c r="C71" s="1271"/>
      <c r="D71" s="351"/>
      <c r="E71" s="279"/>
      <c r="F71" s="277"/>
      <c r="G71" s="277"/>
      <c r="H71" s="278"/>
      <c r="I71" s="386"/>
      <c r="J71" s="281"/>
      <c r="K71" s="282"/>
      <c r="L71" s="282"/>
      <c r="M71" s="283"/>
      <c r="N71" s="280"/>
      <c r="O71" s="281"/>
      <c r="P71" s="282"/>
      <c r="Q71" s="282"/>
      <c r="R71" s="283"/>
      <c r="S71" s="280"/>
      <c r="T71" s="281"/>
      <c r="U71" s="282"/>
      <c r="V71" s="282"/>
      <c r="W71" s="283"/>
      <c r="X71" s="280"/>
      <c r="Y71" s="281"/>
      <c r="Z71" s="282"/>
      <c r="AA71" s="282"/>
      <c r="AB71" s="283"/>
      <c r="AC71" s="280"/>
      <c r="AD71" s="281"/>
      <c r="AE71" s="282"/>
      <c r="AF71" s="282"/>
      <c r="AG71" s="283"/>
      <c r="AH71" s="280"/>
      <c r="AI71" s="281"/>
      <c r="AJ71" s="282"/>
      <c r="AK71" s="282"/>
      <c r="AL71" s="283"/>
      <c r="AM71" s="280"/>
      <c r="AN71" s="281"/>
      <c r="AO71" s="282"/>
      <c r="AP71" s="282"/>
      <c r="AQ71" s="283"/>
      <c r="AR71" s="280"/>
      <c r="AS71" s="281"/>
      <c r="AT71" s="282"/>
      <c r="AU71" s="282"/>
      <c r="AV71" s="283"/>
      <c r="AW71" s="280"/>
      <c r="AX71" s="281"/>
      <c r="AY71" s="282"/>
      <c r="AZ71" s="282"/>
      <c r="BA71" s="283"/>
      <c r="BB71" s="280"/>
      <c r="BC71" s="281"/>
      <c r="BD71" s="282"/>
      <c r="BE71" s="282"/>
      <c r="BF71" s="283"/>
      <c r="BG71" s="280"/>
      <c r="BH71" s="281"/>
      <c r="BI71" s="282"/>
      <c r="BJ71" s="282"/>
      <c r="BK71" s="283"/>
      <c r="BL71" s="280"/>
      <c r="BM71" s="281"/>
      <c r="BN71" s="282"/>
      <c r="BO71" s="282"/>
      <c r="BP71" s="283"/>
      <c r="BQ71" s="280"/>
      <c r="BR71" s="276"/>
      <c r="BS71" s="276"/>
      <c r="BT71" s="276"/>
      <c r="BU71" s="276"/>
      <c r="BV71" s="276"/>
      <c r="BW71" s="276"/>
      <c r="BX71" s="276"/>
      <c r="BY71" s="276"/>
      <c r="BZ71" s="276"/>
      <c r="CA71" s="276"/>
      <c r="CB71" s="276"/>
      <c r="CC71" s="276"/>
      <c r="CD71" s="276"/>
      <c r="CE71" s="276"/>
    </row>
    <row r="72" spans="1:89">
      <c r="A72" s="311"/>
      <c r="B72" s="311"/>
      <c r="C72" s="1272" t="s">
        <v>8</v>
      </c>
      <c r="D72" s="311"/>
      <c r="E72" s="319"/>
      <c r="F72" s="314"/>
      <c r="G72" s="314"/>
      <c r="H72" s="315"/>
      <c r="I72" s="379"/>
      <c r="J72" s="249"/>
      <c r="K72" s="250"/>
      <c r="L72" s="250"/>
      <c r="M72" s="251"/>
      <c r="N72" s="244"/>
      <c r="O72" s="249"/>
      <c r="P72" s="250"/>
      <c r="Q72" s="250"/>
      <c r="R72" s="251"/>
      <c r="S72" s="244"/>
      <c r="T72" s="249"/>
      <c r="U72" s="250"/>
      <c r="V72" s="250"/>
      <c r="W72" s="251"/>
      <c r="X72" s="244"/>
      <c r="Y72" s="249"/>
      <c r="Z72" s="250"/>
      <c r="AA72" s="250"/>
      <c r="AB72" s="251"/>
      <c r="AC72" s="244"/>
      <c r="AD72" s="249"/>
      <c r="AE72" s="250"/>
      <c r="AF72" s="250"/>
      <c r="AG72" s="251"/>
      <c r="AH72" s="244"/>
      <c r="AI72" s="249"/>
      <c r="AJ72" s="250"/>
      <c r="AK72" s="250"/>
      <c r="AL72" s="251"/>
      <c r="AM72" s="244"/>
      <c r="AN72" s="249"/>
      <c r="AO72" s="250"/>
      <c r="AP72" s="250"/>
      <c r="AQ72" s="251"/>
      <c r="AR72" s="244"/>
      <c r="AS72" s="249"/>
      <c r="AT72" s="250"/>
      <c r="AU72" s="250"/>
      <c r="AV72" s="251"/>
      <c r="AW72" s="244"/>
      <c r="AX72" s="249"/>
      <c r="AY72" s="250"/>
      <c r="AZ72" s="250"/>
      <c r="BA72" s="251"/>
      <c r="BB72" s="244"/>
      <c r="BC72" s="249"/>
      <c r="BD72" s="250"/>
      <c r="BE72" s="250"/>
      <c r="BF72" s="251"/>
      <c r="BG72" s="244"/>
      <c r="BH72" s="249"/>
      <c r="BI72" s="250"/>
      <c r="BJ72" s="250"/>
      <c r="BK72" s="251"/>
      <c r="BL72" s="244"/>
      <c r="BM72" s="249"/>
      <c r="BN72" s="250"/>
      <c r="BO72" s="250"/>
      <c r="BP72" s="251"/>
      <c r="BQ72" s="244"/>
      <c r="BR72" s="244"/>
      <c r="BS72" s="244"/>
      <c r="BT72" s="244"/>
      <c r="BU72" s="244"/>
      <c r="BV72" s="244"/>
      <c r="BW72" s="311"/>
      <c r="BX72" s="311"/>
      <c r="BY72" s="311"/>
      <c r="BZ72" s="311"/>
      <c r="CA72" s="311"/>
      <c r="CB72" s="311"/>
      <c r="CC72" s="311"/>
      <c r="CD72" s="311"/>
      <c r="CE72" s="311"/>
    </row>
    <row r="73" spans="1:89">
      <c r="A73" s="358"/>
      <c r="B73" s="358"/>
      <c r="C73" s="1273" t="s">
        <v>237</v>
      </c>
      <c r="D73" s="358"/>
      <c r="E73" s="359">
        <f>Utility!E57</f>
        <v>0.56364801660475083</v>
      </c>
      <c r="F73" s="360">
        <f>Utility!F57</f>
        <v>0.7427393374648894</v>
      </c>
      <c r="G73" s="360">
        <f>Utility!G57</f>
        <v>1.5048201012806923</v>
      </c>
      <c r="H73" s="361">
        <f>Utility!H57</f>
        <v>0.77896429897081454</v>
      </c>
      <c r="I73" s="387">
        <f>Utility!I57</f>
        <v>3.5960633086244602</v>
      </c>
      <c r="J73" s="365">
        <f>Utility!J57</f>
        <v>0.72477951516862216</v>
      </c>
      <c r="K73" s="362">
        <f>Utility!K57</f>
        <v>1.1841517304836087</v>
      </c>
      <c r="L73" s="362">
        <f>Utility!L57</f>
        <v>1.7766217077760644</v>
      </c>
      <c r="M73" s="363">
        <f>Utility!M57</f>
        <v>0.64546725293178719</v>
      </c>
      <c r="N73" s="364">
        <f>Utility!N57</f>
        <v>4.3509425519377292</v>
      </c>
      <c r="O73" s="365">
        <f>Utility!O57</f>
        <v>0.91246948712718945</v>
      </c>
      <c r="P73" s="362">
        <f>Utility!P57</f>
        <v>1.3883414838619528</v>
      </c>
      <c r="Q73" s="362">
        <f>Utility!Q57</f>
        <v>2.9491227416684662</v>
      </c>
      <c r="R73" s="363">
        <f>Utility!R57</f>
        <v>0.95819707156949374</v>
      </c>
      <c r="S73" s="364">
        <f>Utility!S57</f>
        <v>6.20358069468754</v>
      </c>
      <c r="T73" s="365">
        <f>Utility!T57</f>
        <v>0.38717378051040757</v>
      </c>
      <c r="U73" s="362">
        <f>Utility!U57</f>
        <v>1.7688867689057157</v>
      </c>
      <c r="V73" s="362">
        <f>Utility!V57</f>
        <v>1.7242526797642876</v>
      </c>
      <c r="W73" s="363">
        <f>Utility!W57</f>
        <v>1.631947619631575</v>
      </c>
      <c r="X73" s="364">
        <f>Utility!X57</f>
        <v>5.5142704357404666</v>
      </c>
      <c r="Y73" s="365">
        <f>Utility!Y57</f>
        <v>0.72754110516443593</v>
      </c>
      <c r="Z73" s="362">
        <f>Utility!Z57</f>
        <v>1.1820044749699665</v>
      </c>
      <c r="AA73" s="362">
        <f>Utility!AA57</f>
        <v>2.0333977396641223</v>
      </c>
      <c r="AB73" s="363">
        <f>Utility!AB57</f>
        <v>0.8602692348446257</v>
      </c>
      <c r="AC73" s="364">
        <f>Utility!AC57</f>
        <v>4.8041892721302144</v>
      </c>
      <c r="AD73" s="365">
        <f>Utility!AD57</f>
        <v>1.1360023539455666</v>
      </c>
      <c r="AE73" s="362">
        <f>Utility!AE57</f>
        <v>1.1734982534852643</v>
      </c>
      <c r="AF73" s="362">
        <f>Utility!AF57</f>
        <v>1.7240124746689007</v>
      </c>
      <c r="AG73" s="363">
        <f>Utility!AG57</f>
        <v>0.61026376697344697</v>
      </c>
      <c r="AH73" s="364">
        <f>Utility!AH57</f>
        <v>4.6409454051299877</v>
      </c>
      <c r="AI73" s="365">
        <f>Utility!AI57</f>
        <v>1.2379064304905605</v>
      </c>
      <c r="AJ73" s="362">
        <f>Utility!AJ57</f>
        <v>1.1087229664770362</v>
      </c>
      <c r="AK73" s="362">
        <f>Utility!AK57</f>
        <v>2.0095691792869879</v>
      </c>
      <c r="AL73" s="363">
        <f>Utility!AL57</f>
        <v>1.752030441199435</v>
      </c>
      <c r="AM73" s="364">
        <f>Utility!AM57</f>
        <v>6.121761958369107</v>
      </c>
      <c r="AN73" s="365">
        <f>Utility!AN57</f>
        <v>1.0890934323288919</v>
      </c>
      <c r="AO73" s="362">
        <f>Utility!AO57</f>
        <v>2.0923705021106507</v>
      </c>
      <c r="AP73" s="362">
        <f>Utility!AP57</f>
        <v>2.4628746761891631</v>
      </c>
      <c r="AQ73" s="363">
        <f>Utility!AQ57</f>
        <v>0.67214346355136168</v>
      </c>
      <c r="AR73" s="364">
        <f>Utility!AR57</f>
        <v>6.3403908396011168</v>
      </c>
      <c r="AS73" s="365">
        <f>Utility!AS57</f>
        <v>0.91593705283157456</v>
      </c>
      <c r="AT73" s="362">
        <f>Utility!AT57</f>
        <v>1.3509219262746368</v>
      </c>
      <c r="AU73" s="362">
        <f>Utility!AU57</f>
        <v>2.2211291268180386</v>
      </c>
      <c r="AV73" s="363">
        <f>Utility!AV57</f>
        <v>0.73905385255822387</v>
      </c>
      <c r="AW73" s="364">
        <f>Utility!AW57</f>
        <v>5.2194330132457329</v>
      </c>
      <c r="AX73" s="365">
        <f>Utility!AX57</f>
        <v>1.197820309318705</v>
      </c>
      <c r="AY73" s="362">
        <f>Utility!AY57</f>
        <v>1.3087187183404219</v>
      </c>
      <c r="AZ73" s="362">
        <f>Utility!AZ57</f>
        <v>2.4063323261463876</v>
      </c>
      <c r="BA73" s="363">
        <f>Utility!BA57</f>
        <v>0.86524014996757637</v>
      </c>
      <c r="BB73" s="364">
        <f>Utility!BB57</f>
        <v>5.7781115037731023</v>
      </c>
      <c r="BC73" s="365">
        <f>Utility!BC57</f>
        <v>1.2690873570573242</v>
      </c>
      <c r="BD73" s="362">
        <f>Utility!BD57</f>
        <v>1.4707011138355832</v>
      </c>
      <c r="BE73" s="362">
        <f>Utility!BE57</f>
        <v>2.4870799356748217</v>
      </c>
      <c r="BF73" s="363">
        <f>Utility!BF57</f>
        <v>0.96078650269131038</v>
      </c>
      <c r="BG73" s="364">
        <f>Utility!BG57</f>
        <v>6.1876549092590487</v>
      </c>
      <c r="BH73" s="365">
        <f>Utility!BH57</f>
        <v>1.3673058268972516</v>
      </c>
      <c r="BI73" s="362">
        <f>Utility!BI57</f>
        <v>1.5662375486565081</v>
      </c>
      <c r="BJ73" s="362">
        <f>Utility!BJ57</f>
        <v>2.5593950106254613</v>
      </c>
      <c r="BK73" s="363">
        <f>Utility!BK57</f>
        <v>1.0672942443435627</v>
      </c>
      <c r="BL73" s="364">
        <f>Utility!BL57</f>
        <v>6.5602326305227807</v>
      </c>
      <c r="BM73" s="365">
        <f>Utility!BM57</f>
        <v>1.470763204213734</v>
      </c>
      <c r="BN73" s="362">
        <f>Utility!BN57</f>
        <v>1.6758983858470906</v>
      </c>
      <c r="BO73" s="362">
        <f>Utility!BO57</f>
        <v>2.6231611798697339</v>
      </c>
      <c r="BP73" s="363">
        <f>Utility!BP57</f>
        <v>1.1518249239849334</v>
      </c>
      <c r="BQ73" s="364">
        <f>Utility!BQ57</f>
        <v>6.9216476939154878</v>
      </c>
      <c r="BR73" s="364"/>
      <c r="BS73" s="364"/>
      <c r="BT73" s="364"/>
      <c r="BU73" s="364"/>
      <c r="BV73" s="364"/>
      <c r="BW73" s="358"/>
      <c r="BX73" s="358"/>
      <c r="BY73" s="358"/>
      <c r="BZ73" s="358"/>
      <c r="CA73" s="358"/>
      <c r="CB73" s="358"/>
      <c r="CC73" s="358"/>
      <c r="CD73" s="358"/>
      <c r="CE73" s="358"/>
    </row>
    <row r="74" spans="1:89">
      <c r="A74" s="358"/>
      <c r="B74" s="358"/>
      <c r="C74" s="1273" t="s">
        <v>731</v>
      </c>
      <c r="D74" s="358"/>
      <c r="E74" s="359">
        <f>EWC!E45</f>
        <v>0.94660149101170854</v>
      </c>
      <c r="F74" s="360">
        <f>EWC!F45</f>
        <v>0.48077823049731405</v>
      </c>
      <c r="G74" s="360">
        <f>EWC!G45</f>
        <v>1.0758480700478121</v>
      </c>
      <c r="H74" s="361">
        <f>EWC!H45</f>
        <v>1.0669598933424116</v>
      </c>
      <c r="I74" s="387">
        <f>EWC!I45</f>
        <v>3.5486878461953388</v>
      </c>
      <c r="J74" s="365">
        <f>EWC!J45</f>
        <v>0.7536425087435894</v>
      </c>
      <c r="K74" s="362">
        <f>EWC!K45</f>
        <v>0.620675689071713</v>
      </c>
      <c r="L74" s="362">
        <f>EWC!L45</f>
        <v>0.89594490218438227</v>
      </c>
      <c r="M74" s="363">
        <f>EWC!M45</f>
        <v>0.8844405183412466</v>
      </c>
      <c r="N74" s="364">
        <f>EWC!N45</f>
        <v>3.1459146263821349</v>
      </c>
      <c r="O74" s="365">
        <f>EWC!O45</f>
        <v>0.6805164017224643</v>
      </c>
      <c r="P74" s="362">
        <f>EWC!P45</f>
        <v>0.36257090959899391</v>
      </c>
      <c r="Q74" s="362">
        <f>EWC!Q45</f>
        <v>0.73248248876256983</v>
      </c>
      <c r="R74" s="363">
        <f>EWC!R45</f>
        <v>0.96561733884932976</v>
      </c>
      <c r="S74" s="364">
        <f>EWC!S45</f>
        <v>2.7392167754910628</v>
      </c>
      <c r="T74" s="365">
        <f>EWC!T45</f>
        <v>0.30998706818151034</v>
      </c>
      <c r="U74" s="362">
        <f>EWC!U45</f>
        <v>0.45795533611734829</v>
      </c>
      <c r="V74" s="362">
        <f>EWC!V45</f>
        <v>0.66731816238875075</v>
      </c>
      <c r="W74" s="363">
        <f>EWC!W45</f>
        <v>4.9759776755256765E-2</v>
      </c>
      <c r="X74" s="364">
        <f>EWC!X45</f>
        <v>1.4849252604535221</v>
      </c>
      <c r="Y74" s="365">
        <f>EWC!Y45</f>
        <v>0.46024599053544663</v>
      </c>
      <c r="Z74" s="362">
        <f>EWC!Z45</f>
        <v>7.0716589492124518E-2</v>
      </c>
      <c r="AA74" s="362">
        <f>EWC!AA45</f>
        <v>0.46107462090729306</v>
      </c>
      <c r="AB74" s="363">
        <f>EWC!AB45</f>
        <v>0.47896412812357636</v>
      </c>
      <c r="AC74" s="364">
        <f>EWC!AC45</f>
        <v>1.4710444732161656</v>
      </c>
      <c r="AD74" s="365">
        <f>EWC!AD45</f>
        <v>1.3879626809644381</v>
      </c>
      <c r="AE74" s="362">
        <f>EWC!AE45</f>
        <v>0.18559759961030239</v>
      </c>
      <c r="AF74" s="362">
        <f>EWC!AF45</f>
        <v>0.22586634575162634</v>
      </c>
      <c r="AG74" s="363">
        <f>EWC!AG45</f>
        <v>0.3932689799638775</v>
      </c>
      <c r="AH74" s="364">
        <f>EWC!AH45</f>
        <v>2.1860222377108753</v>
      </c>
      <c r="AI74" s="365">
        <f>EWC!AI45</f>
        <v>0.70636430946069473</v>
      </c>
      <c r="AJ74" s="362">
        <f>EWC!AJ45</f>
        <v>-1.6611163155782736E-2</v>
      </c>
      <c r="AK74" s="362">
        <f>EWC!AK45</f>
        <v>0.17718490313847399</v>
      </c>
      <c r="AL74" s="363">
        <f>EWC!AL45</f>
        <v>0.15870893088102347</v>
      </c>
      <c r="AM74" s="364">
        <f>EWC!AM45</f>
        <v>1.0305824056383917</v>
      </c>
      <c r="AN74" s="365">
        <f>EWC!AN45</f>
        <v>0.51352586302170111</v>
      </c>
      <c r="AO74" s="362">
        <f>EWC!AO45</f>
        <v>1.3410707313907533</v>
      </c>
      <c r="AP74" s="362">
        <f>EWC!AP45</f>
        <v>0.1954210037565903</v>
      </c>
      <c r="AQ74" s="363">
        <f>EWC!AQ45</f>
        <v>-4.3666994783214022E-2</v>
      </c>
      <c r="AR74" s="364">
        <f>EWC!AR45</f>
        <v>2.0123916025465602</v>
      </c>
      <c r="AS74" s="365">
        <f>EWC!AS45</f>
        <v>0.37452864264177388</v>
      </c>
      <c r="AT74" s="362">
        <f>EWC!AT45</f>
        <v>2.0786175607233539</v>
      </c>
      <c r="AU74" s="362">
        <f>EWC!AU45</f>
        <v>0.44728017298557082</v>
      </c>
      <c r="AV74" s="363">
        <f>EWC!AV45</f>
        <v>0.34865656105797882</v>
      </c>
      <c r="AW74" s="364">
        <f>EWC!AW45</f>
        <v>3.2435489157826356</v>
      </c>
      <c r="AX74" s="365">
        <f>EWC!AX45</f>
        <v>0.28870232606711799</v>
      </c>
      <c r="AY74" s="362">
        <f>EWC!AY45</f>
        <v>0.36717909100884488</v>
      </c>
      <c r="AZ74" s="362">
        <f>EWC!AZ45</f>
        <v>0.40239846955552533</v>
      </c>
      <c r="BA74" s="363">
        <f>EWC!BA45</f>
        <v>0.35056822396004239</v>
      </c>
      <c r="BB74" s="364">
        <f>EWC!BB45</f>
        <v>1.4088481105915296</v>
      </c>
      <c r="BC74" s="365">
        <f>EWC!BC45</f>
        <v>0.35385908739851091</v>
      </c>
      <c r="BD74" s="362">
        <f>EWC!BD45</f>
        <v>0.20694151376288736</v>
      </c>
      <c r="BE74" s="362">
        <f>EWC!BE45</f>
        <v>0.10727959008637281</v>
      </c>
      <c r="BF74" s="363">
        <f>EWC!BF45</f>
        <v>3.3914688648601816E-2</v>
      </c>
      <c r="BG74" s="364">
        <f>EWC!BG45</f>
        <v>0.70199487989637377</v>
      </c>
      <c r="BH74" s="365">
        <f>EWC!BH45</f>
        <v>0.60394591101311845</v>
      </c>
      <c r="BI74" s="362">
        <f>EWC!BI45</f>
        <v>8.9493043814757894E-2</v>
      </c>
      <c r="BJ74" s="362">
        <f>EWC!BJ45</f>
        <v>-2.5438488282601219E-2</v>
      </c>
      <c r="BK74" s="363">
        <f>EWC!BK45</f>
        <v>-6.9448248433609777E-2</v>
      </c>
      <c r="BL74" s="364">
        <f>EWC!BL45</f>
        <v>0.5985522181116647</v>
      </c>
      <c r="BM74" s="365">
        <f>EWC!BM45</f>
        <v>0.14436055216617721</v>
      </c>
      <c r="BN74" s="362">
        <f>EWC!BN45</f>
        <v>8.9162223663939597E-2</v>
      </c>
      <c r="BO74" s="362">
        <f>EWC!BO45</f>
        <v>-5.6576901112291106E-2</v>
      </c>
      <c r="BP74" s="363">
        <f>EWC!BP45</f>
        <v>-5.6416163888553264E-2</v>
      </c>
      <c r="BQ74" s="364">
        <f>EWC!BQ45</f>
        <v>0.12052971082927283</v>
      </c>
      <c r="BR74" s="364"/>
      <c r="BS74" s="364"/>
      <c r="BT74" s="364"/>
      <c r="BU74" s="364"/>
      <c r="BV74" s="364"/>
      <c r="BW74" s="358"/>
      <c r="BX74" s="358"/>
      <c r="BY74" s="358"/>
      <c r="BZ74" s="358"/>
      <c r="CA74" s="358"/>
      <c r="CB74" s="358"/>
      <c r="CC74" s="358"/>
      <c r="CD74" s="358"/>
      <c r="CE74" s="358"/>
    </row>
    <row r="75" spans="1:89">
      <c r="A75" s="358"/>
      <c r="B75" s="358"/>
      <c r="C75" s="1273" t="s">
        <v>4</v>
      </c>
      <c r="D75" s="358"/>
      <c r="E75" s="359">
        <f>Parent!E45</f>
        <v>-0.23519372875426561</v>
      </c>
      <c r="F75" s="360">
        <f>Parent!F45</f>
        <v>7.3596482913370412E-3</v>
      </c>
      <c r="G75" s="360">
        <f>Parent!G45</f>
        <v>-0.17776621395452682</v>
      </c>
      <c r="H75" s="361">
        <f>Parent!H45</f>
        <v>4.5142782827244973E-2</v>
      </c>
      <c r="I75" s="387">
        <f>Parent!I45</f>
        <v>-0.37412107851085552</v>
      </c>
      <c r="J75" s="365">
        <f>Parent!J45</f>
        <v>-0.15212015704479451</v>
      </c>
      <c r="K75" s="362">
        <f>Parent!K45</f>
        <v>-9.7195881260433589E-2</v>
      </c>
      <c r="L75" s="362">
        <f>Parent!L45</f>
        <v>8.648016064487439E-2</v>
      </c>
      <c r="M75" s="363">
        <f>Parent!M45</f>
        <v>-0.20295052189496365</v>
      </c>
      <c r="N75" s="364">
        <f>Parent!N45</f>
        <v>-0.36062949891459517</v>
      </c>
      <c r="O75" s="365">
        <f>Parent!O45</f>
        <v>-0.21216785538157265</v>
      </c>
      <c r="P75" s="362">
        <f>Parent!P45</f>
        <v>1.2860136928880985E-2</v>
      </c>
      <c r="Q75" s="362">
        <f>Parent!Q45</f>
        <v>-0.14771299744962604</v>
      </c>
      <c r="R75" s="363">
        <f>Parent!R45</f>
        <v>-0.97996657717357694</v>
      </c>
      <c r="S75" s="364">
        <f>Parent!S45</f>
        <v>-1.3213717645715239</v>
      </c>
      <c r="T75" s="365">
        <f>Parent!T45</f>
        <v>-0.25171369355809753</v>
      </c>
      <c r="U75" s="362">
        <f>Parent!U45</f>
        <v>-0.1171906561883224</v>
      </c>
      <c r="V75" s="362">
        <f>Parent!V45</f>
        <v>-0.43743203928977087</v>
      </c>
      <c r="W75" s="363">
        <f>Parent!W45</f>
        <v>4.2505952027263635E-2</v>
      </c>
      <c r="X75" s="364">
        <f>Parent!X45</f>
        <v>-0.76374963278022256</v>
      </c>
      <c r="Y75" s="365">
        <f>Parent!Y45</f>
        <v>-0.24783468060873751</v>
      </c>
      <c r="Z75" s="362">
        <f>Parent!Z45</f>
        <v>-0.24651430226646276</v>
      </c>
      <c r="AA75" s="362">
        <f>Parent!AA45</f>
        <v>-8.5602075675415445E-2</v>
      </c>
      <c r="AB75" s="363">
        <f>Parent!AB45</f>
        <v>-0.33544505270885278</v>
      </c>
      <c r="AC75" s="364">
        <f>Parent!AC45</f>
        <v>-0.915431672886442</v>
      </c>
      <c r="AD75" s="365">
        <f>Parent!AD45</f>
        <v>-0.23376489877044834</v>
      </c>
      <c r="AE75" s="362">
        <f>Parent!AE45</f>
        <v>-0.24613787480040089</v>
      </c>
      <c r="AF75" s="362">
        <f>Parent!AF45</f>
        <v>-0.26405451466914365</v>
      </c>
      <c r="AG75" s="363">
        <f>Parent!AG45</f>
        <v>-0.25835413548139136</v>
      </c>
      <c r="AH75" s="364">
        <f>Parent!AH45</f>
        <v>-1.0025686245217114</v>
      </c>
      <c r="AI75" s="365">
        <f>Parent!AI45</f>
        <v>-0.26735848942547447</v>
      </c>
      <c r="AJ75" s="362">
        <f>Parent!AJ45</f>
        <v>-0.25964935777728826</v>
      </c>
      <c r="AK75" s="362">
        <f>Parent!AK45</f>
        <v>-0.28516593679042129</v>
      </c>
      <c r="AL75" s="363">
        <f>Parent!AL45</f>
        <v>-0.33274148267468417</v>
      </c>
      <c r="AM75" s="364">
        <f>Parent!AM45</f>
        <v>-1.1479918700880347</v>
      </c>
      <c r="AN75" s="365">
        <f>Parent!AN45</f>
        <v>-0.24564693955705302</v>
      </c>
      <c r="AO75" s="362">
        <f>Parent!AO45</f>
        <v>-0.32646145189459347</v>
      </c>
      <c r="AP75" s="362">
        <f>Parent!AP45</f>
        <v>-0.34890099547705911</v>
      </c>
      <c r="AQ75" s="363">
        <f>Parent!AQ45</f>
        <v>-0.31902251136300108</v>
      </c>
      <c r="AR75" s="364">
        <f>Parent!AR45</f>
        <v>-1.2438727620760597</v>
      </c>
      <c r="AS75" s="365">
        <f>Parent!AS45</f>
        <v>-0.30234863922510907</v>
      </c>
      <c r="AT75" s="362">
        <f>Parent!AT45</f>
        <v>-0.31569948458424812</v>
      </c>
      <c r="AU75" s="362">
        <f>Parent!AU45</f>
        <v>-0.32058459238220799</v>
      </c>
      <c r="AV75" s="363">
        <f>Parent!AV45</f>
        <v>-0.32462485962212134</v>
      </c>
      <c r="AW75" s="364">
        <f>Parent!AW45</f>
        <v>-1.2610234796910997</v>
      </c>
      <c r="AX75" s="365">
        <f>Parent!AX45</f>
        <v>-0.27784182473275582</v>
      </c>
      <c r="AY75" s="362">
        <f>Parent!AY45</f>
        <v>-0.33870585770549161</v>
      </c>
      <c r="AZ75" s="362">
        <f>Parent!AZ45</f>
        <v>-0.32466371698279523</v>
      </c>
      <c r="BA75" s="363">
        <f>Parent!BA45</f>
        <v>-0.32434073505359429</v>
      </c>
      <c r="BB75" s="364">
        <f>Parent!BB45</f>
        <v>-1.2655521344746368</v>
      </c>
      <c r="BC75" s="365">
        <f>Parent!BC45</f>
        <v>-0.3080968283855321</v>
      </c>
      <c r="BD75" s="362">
        <f>Parent!BD45</f>
        <v>-0.34566215180870474</v>
      </c>
      <c r="BE75" s="362">
        <f>Parent!BE45</f>
        <v>-0.36642634210622538</v>
      </c>
      <c r="BF75" s="363">
        <f>Parent!BF45</f>
        <v>-0.35505845580981454</v>
      </c>
      <c r="BG75" s="364">
        <f>Parent!BG45</f>
        <v>-1.3752437781102769</v>
      </c>
      <c r="BH75" s="365">
        <f>Parent!BH45</f>
        <v>-0.32473726976818262</v>
      </c>
      <c r="BI75" s="362">
        <f>Parent!BI45</f>
        <v>-0.37246206400471982</v>
      </c>
      <c r="BJ75" s="362">
        <f>Parent!BJ45</f>
        <v>-0.3928526726548498</v>
      </c>
      <c r="BK75" s="363">
        <f>Parent!BK45</f>
        <v>-0.36275271766911377</v>
      </c>
      <c r="BL75" s="364">
        <f>Parent!BL45</f>
        <v>-1.4528047240968656</v>
      </c>
      <c r="BM75" s="365">
        <f>Parent!BM45</f>
        <v>-0.34447534688575432</v>
      </c>
      <c r="BN75" s="362">
        <f>Parent!BN45</f>
        <v>-0.37765724698566228</v>
      </c>
      <c r="BO75" s="362">
        <f>Parent!BO45</f>
        <v>-0.39188250907595851</v>
      </c>
      <c r="BP75" s="363">
        <f>Parent!BP45</f>
        <v>-0.3709535614305331</v>
      </c>
      <c r="BQ75" s="364">
        <f>Parent!BQ45</f>
        <v>-1.4849686643779094</v>
      </c>
      <c r="BR75" s="364"/>
      <c r="BS75" s="364"/>
      <c r="BT75" s="364"/>
      <c r="BU75" s="364"/>
      <c r="BV75" s="364"/>
      <c r="BW75" s="358"/>
      <c r="BX75" s="358"/>
      <c r="BY75" s="358"/>
      <c r="BZ75" s="358"/>
      <c r="CA75" s="358"/>
      <c r="CB75" s="358"/>
      <c r="CC75" s="358"/>
      <c r="CD75" s="358"/>
      <c r="CE75" s="358"/>
    </row>
    <row r="76" spans="1:89" s="37" customFormat="1">
      <c r="A76" s="1328"/>
      <c r="B76" s="1328"/>
      <c r="C76" s="1272" t="s">
        <v>9</v>
      </c>
      <c r="D76" s="1328"/>
      <c r="E76" s="1370">
        <f>SUM(E73:E75)</f>
        <v>1.2750557788621939</v>
      </c>
      <c r="F76" s="867">
        <f t="shared" ref="F76:AM76" si="186">SUM(F73:F75)</f>
        <v>1.2308772162535404</v>
      </c>
      <c r="G76" s="867">
        <f t="shared" si="186"/>
        <v>2.4029019573739778</v>
      </c>
      <c r="H76" s="868">
        <f t="shared" si="186"/>
        <v>1.8910669751404712</v>
      </c>
      <c r="I76" s="1223">
        <f t="shared" si="186"/>
        <v>6.7706300763089438</v>
      </c>
      <c r="J76" s="866">
        <f t="shared" si="186"/>
        <v>1.3263018668674169</v>
      </c>
      <c r="K76" s="1371">
        <f t="shared" si="186"/>
        <v>1.7076315382948879</v>
      </c>
      <c r="L76" s="1371">
        <f t="shared" si="186"/>
        <v>2.759046770605321</v>
      </c>
      <c r="M76" s="1372">
        <f t="shared" si="186"/>
        <v>1.3269572493780701</v>
      </c>
      <c r="N76" s="1223">
        <f t="shared" si="186"/>
        <v>7.1362276794052688</v>
      </c>
      <c r="O76" s="866">
        <f t="shared" si="186"/>
        <v>1.3808180334680811</v>
      </c>
      <c r="P76" s="1371">
        <f t="shared" si="186"/>
        <v>1.7637725303898277</v>
      </c>
      <c r="Q76" s="1371">
        <f t="shared" si="186"/>
        <v>3.5338922329814104</v>
      </c>
      <c r="R76" s="1372">
        <f t="shared" si="186"/>
        <v>0.94384783324524657</v>
      </c>
      <c r="S76" s="1223">
        <f t="shared" si="186"/>
        <v>7.6214257056070789</v>
      </c>
      <c r="T76" s="866">
        <f t="shared" si="186"/>
        <v>0.44544715513382033</v>
      </c>
      <c r="U76" s="1371">
        <f t="shared" si="186"/>
        <v>2.1096514488347418</v>
      </c>
      <c r="V76" s="1371">
        <f t="shared" si="186"/>
        <v>1.9541388028632678</v>
      </c>
      <c r="W76" s="1372">
        <f t="shared" si="186"/>
        <v>1.7242133484140953</v>
      </c>
      <c r="X76" s="1223">
        <f t="shared" si="186"/>
        <v>6.2354460634137663</v>
      </c>
      <c r="Y76" s="866">
        <f t="shared" si="186"/>
        <v>0.93995241509114513</v>
      </c>
      <c r="Z76" s="1371">
        <f t="shared" si="186"/>
        <v>1.0062067621956281</v>
      </c>
      <c r="AA76" s="1371">
        <f t="shared" si="186"/>
        <v>2.408870284896</v>
      </c>
      <c r="AB76" s="1372">
        <f t="shared" si="186"/>
        <v>1.0037883102593492</v>
      </c>
      <c r="AC76" s="1223">
        <f t="shared" si="186"/>
        <v>5.3598020724599387</v>
      </c>
      <c r="AD76" s="866">
        <f t="shared" si="186"/>
        <v>2.2902001361395565</v>
      </c>
      <c r="AE76" s="1371">
        <f t="shared" si="186"/>
        <v>1.1129579782951657</v>
      </c>
      <c r="AF76" s="1371">
        <f t="shared" si="186"/>
        <v>1.6858243057513835</v>
      </c>
      <c r="AG76" s="1372">
        <f t="shared" si="186"/>
        <v>0.74517861145593312</v>
      </c>
      <c r="AH76" s="1223">
        <f t="shared" si="186"/>
        <v>5.8243990183191521</v>
      </c>
      <c r="AI76" s="866">
        <f t="shared" ref="AI76:AJ76" si="187">SUM(AI73:AI75)</f>
        <v>1.6769122505257807</v>
      </c>
      <c r="AJ76" s="1371">
        <f t="shared" si="187"/>
        <v>0.83246244554396509</v>
      </c>
      <c r="AK76" s="1371">
        <f t="shared" ref="AK76" si="188">SUM(AK73:AK75)</f>
        <v>1.9015881456350403</v>
      </c>
      <c r="AL76" s="1372">
        <f t="shared" si="186"/>
        <v>1.5779978894057742</v>
      </c>
      <c r="AM76" s="1223">
        <f t="shared" si="186"/>
        <v>6.0043524939194644</v>
      </c>
      <c r="AN76" s="866">
        <f>SUM(AN73:AN75)</f>
        <v>1.35697235579354</v>
      </c>
      <c r="AO76" s="1371">
        <f t="shared" ref="AO76:AR76" si="189">SUM(AO73:AO75)</f>
        <v>3.1069797816068108</v>
      </c>
      <c r="AP76" s="1371">
        <f t="shared" si="189"/>
        <v>2.3093946844686943</v>
      </c>
      <c r="AQ76" s="1372">
        <f t="shared" si="189"/>
        <v>0.30945395740514658</v>
      </c>
      <c r="AR76" s="1223">
        <f t="shared" si="189"/>
        <v>7.1089096800716183</v>
      </c>
      <c r="AS76" s="866">
        <f>SUM(AS73:AS75)</f>
        <v>0.98811705624823931</v>
      </c>
      <c r="AT76" s="1371">
        <f t="shared" ref="AT76:AW76" si="190">SUM(AT73:AT75)</f>
        <v>3.1138400024137423</v>
      </c>
      <c r="AU76" s="1371">
        <f t="shared" si="190"/>
        <v>2.3478247074214016</v>
      </c>
      <c r="AV76" s="1372">
        <f t="shared" si="190"/>
        <v>0.76308555399408129</v>
      </c>
      <c r="AW76" s="1223">
        <f t="shared" si="190"/>
        <v>7.2019584493372681</v>
      </c>
      <c r="AX76" s="866">
        <f t="shared" ref="AX76:BB76" si="191">SUM(AX73:AX75)</f>
        <v>1.2086808106530671</v>
      </c>
      <c r="AY76" s="1371">
        <f t="shared" si="191"/>
        <v>1.3371919516437751</v>
      </c>
      <c r="AZ76" s="1371">
        <f t="shared" si="191"/>
        <v>2.4840670787191179</v>
      </c>
      <c r="BA76" s="1372">
        <f t="shared" si="191"/>
        <v>0.89146763887402436</v>
      </c>
      <c r="BB76" s="1223">
        <f t="shared" si="191"/>
        <v>5.9214074798899947</v>
      </c>
      <c r="BC76" s="866">
        <f t="shared" ref="BC76:BL76" si="192">SUM(BC73:BC75)</f>
        <v>1.3148496160703029</v>
      </c>
      <c r="BD76" s="1371">
        <f t="shared" si="192"/>
        <v>1.331980475789766</v>
      </c>
      <c r="BE76" s="1371">
        <f t="shared" si="192"/>
        <v>2.2279331836549692</v>
      </c>
      <c r="BF76" s="1372">
        <f t="shared" si="192"/>
        <v>0.63964273553009765</v>
      </c>
      <c r="BG76" s="1223">
        <f t="shared" si="192"/>
        <v>5.5144060110451454</v>
      </c>
      <c r="BH76" s="866">
        <f t="shared" si="192"/>
        <v>1.6465144681421875</v>
      </c>
      <c r="BI76" s="1371">
        <f t="shared" si="192"/>
        <v>1.2832685284665462</v>
      </c>
      <c r="BJ76" s="1371">
        <f t="shared" si="192"/>
        <v>2.1411038496880099</v>
      </c>
      <c r="BK76" s="1372">
        <f t="shared" si="192"/>
        <v>0.63509327824083917</v>
      </c>
      <c r="BL76" s="1223">
        <f t="shared" si="192"/>
        <v>5.7059801245375796</v>
      </c>
      <c r="BM76" s="866">
        <f t="shared" ref="BM76:BQ76" si="193">SUM(BM73:BM75)</f>
        <v>1.2706484094941568</v>
      </c>
      <c r="BN76" s="1371">
        <f t="shared" si="193"/>
        <v>1.3874033625253679</v>
      </c>
      <c r="BO76" s="1371">
        <f t="shared" si="193"/>
        <v>2.1747017696814841</v>
      </c>
      <c r="BP76" s="1372">
        <f t="shared" si="193"/>
        <v>0.72445519866584718</v>
      </c>
      <c r="BQ76" s="1223">
        <f t="shared" si="193"/>
        <v>5.5572087403668515</v>
      </c>
      <c r="BR76" s="1223"/>
      <c r="BS76" s="1223"/>
      <c r="BT76" s="1223"/>
      <c r="BU76" s="1223"/>
      <c r="BV76" s="1223"/>
      <c r="BW76" s="1328"/>
      <c r="BX76" s="1328"/>
      <c r="BY76" s="1328"/>
      <c r="BZ76" s="1328"/>
      <c r="CA76" s="1328"/>
      <c r="CB76" s="1328"/>
      <c r="CC76" s="1328"/>
      <c r="CD76" s="1328"/>
      <c r="CE76" s="1328"/>
      <c r="CF76"/>
      <c r="CG76"/>
      <c r="CH76"/>
      <c r="CI76"/>
      <c r="CJ76"/>
      <c r="CK76"/>
    </row>
    <row r="77" spans="1:89">
      <c r="A77" s="311"/>
      <c r="B77" s="311"/>
      <c r="C77" s="1275"/>
      <c r="D77" s="311"/>
      <c r="E77" s="319"/>
      <c r="F77" s="314"/>
      <c r="G77" s="314"/>
      <c r="H77" s="315"/>
      <c r="I77" s="244"/>
      <c r="J77" s="249"/>
      <c r="K77" s="250"/>
      <c r="L77" s="250"/>
      <c r="M77" s="251"/>
      <c r="N77" s="244"/>
      <c r="O77" s="249"/>
      <c r="P77" s="250"/>
      <c r="Q77" s="250"/>
      <c r="R77" s="251"/>
      <c r="S77" s="244"/>
      <c r="T77" s="249"/>
      <c r="U77" s="250"/>
      <c r="V77" s="250"/>
      <c r="W77" s="251"/>
      <c r="X77" s="244"/>
      <c r="Y77" s="249"/>
      <c r="Z77" s="250"/>
      <c r="AA77" s="250"/>
      <c r="AB77" s="251"/>
      <c r="AC77" s="244"/>
      <c r="AD77" s="249"/>
      <c r="AE77" s="250"/>
      <c r="AF77" s="250"/>
      <c r="AG77" s="251"/>
      <c r="AH77" s="244"/>
      <c r="AI77" s="249"/>
      <c r="AJ77" s="250"/>
      <c r="AK77" s="250"/>
      <c r="AL77" s="251"/>
      <c r="AM77" s="244"/>
      <c r="AN77" s="249"/>
      <c r="AO77" s="250"/>
      <c r="AP77" s="250"/>
      <c r="AQ77" s="251"/>
      <c r="AR77" s="244"/>
      <c r="AS77" s="249"/>
      <c r="AT77" s="250"/>
      <c r="AU77" s="250"/>
      <c r="AV77" s="251"/>
      <c r="AW77" s="244"/>
      <c r="AX77" s="249"/>
      <c r="AY77" s="250"/>
      <c r="AZ77" s="250"/>
      <c r="BA77" s="251"/>
      <c r="BB77" s="244"/>
      <c r="BC77" s="249"/>
      <c r="BD77" s="250"/>
      <c r="BE77" s="250"/>
      <c r="BF77" s="251"/>
      <c r="BG77" s="244"/>
      <c r="BH77" s="249"/>
      <c r="BI77" s="250"/>
      <c r="BJ77" s="250"/>
      <c r="BK77" s="251"/>
      <c r="BL77" s="244"/>
      <c r="BM77" s="249"/>
      <c r="BN77" s="250"/>
      <c r="BO77" s="250"/>
      <c r="BP77" s="251"/>
      <c r="BQ77" s="244"/>
      <c r="BR77" s="244"/>
      <c r="BS77" s="244"/>
      <c r="BT77" s="244"/>
      <c r="BU77" s="244"/>
      <c r="BV77" s="244"/>
      <c r="BW77" s="311"/>
      <c r="BX77" s="311"/>
      <c r="BY77" s="311"/>
      <c r="BZ77" s="311"/>
      <c r="CA77" s="311"/>
      <c r="CB77" s="311"/>
      <c r="CC77" s="311"/>
      <c r="CD77" s="311"/>
      <c r="CE77" s="311"/>
    </row>
    <row r="78" spans="1:89">
      <c r="A78" s="311"/>
      <c r="B78" s="356"/>
      <c r="C78" s="1274" t="s">
        <v>10</v>
      </c>
      <c r="D78" s="311"/>
      <c r="E78" s="313"/>
      <c r="F78" s="314"/>
      <c r="G78" s="314"/>
      <c r="H78" s="315"/>
      <c r="I78" s="244"/>
      <c r="J78" s="249"/>
      <c r="K78" s="250"/>
      <c r="L78" s="250"/>
      <c r="M78" s="251"/>
      <c r="N78" s="244"/>
      <c r="O78" s="249"/>
      <c r="P78" s="250"/>
      <c r="Q78" s="250"/>
      <c r="R78" s="251"/>
      <c r="S78" s="244"/>
      <c r="T78" s="249"/>
      <c r="U78" s="250"/>
      <c r="V78" s="250"/>
      <c r="W78" s="251"/>
      <c r="X78" s="244"/>
      <c r="Y78" s="249"/>
      <c r="Z78" s="250"/>
      <c r="AA78" s="250"/>
      <c r="AB78" s="251"/>
      <c r="AC78" s="244"/>
      <c r="AD78" s="249"/>
      <c r="AE78" s="250"/>
      <c r="AF78" s="250"/>
      <c r="AG78" s="251"/>
      <c r="AH78" s="244"/>
      <c r="AI78" s="249"/>
      <c r="AJ78" s="250"/>
      <c r="AK78" s="250"/>
      <c r="AL78" s="251"/>
      <c r="AM78" s="244"/>
      <c r="AN78" s="249"/>
      <c r="AO78" s="250"/>
      <c r="AP78" s="250"/>
      <c r="AQ78" s="251"/>
      <c r="AR78" s="244"/>
      <c r="AS78" s="249"/>
      <c r="AT78" s="250"/>
      <c r="AU78" s="250"/>
      <c r="AV78" s="251"/>
      <c r="AW78" s="244"/>
      <c r="AX78" s="249"/>
      <c r="AY78" s="250"/>
      <c r="AZ78" s="250"/>
      <c r="BA78" s="251"/>
      <c r="BB78" s="244"/>
      <c r="BC78" s="249"/>
      <c r="BD78" s="250"/>
      <c r="BE78" s="250"/>
      <c r="BF78" s="251"/>
      <c r="BG78" s="244"/>
      <c r="BH78" s="249"/>
      <c r="BI78" s="250"/>
      <c r="BJ78" s="250"/>
      <c r="BK78" s="251"/>
      <c r="BL78" s="244"/>
      <c r="BM78" s="249"/>
      <c r="BN78" s="250"/>
      <c r="BO78" s="250"/>
      <c r="BP78" s="251"/>
      <c r="BQ78" s="244"/>
      <c r="BR78" s="244"/>
      <c r="BS78" s="244"/>
      <c r="BT78" s="244"/>
      <c r="BU78" s="244"/>
      <c r="BV78" s="244"/>
      <c r="BW78" s="311"/>
      <c r="BX78" s="311"/>
      <c r="BY78" s="311"/>
      <c r="BZ78" s="311"/>
      <c r="CA78" s="311"/>
      <c r="CB78" s="311"/>
      <c r="CC78" s="311"/>
      <c r="CD78" s="311"/>
      <c r="CE78" s="311"/>
    </row>
    <row r="79" spans="1:89">
      <c r="A79" s="311"/>
      <c r="B79" s="311"/>
      <c r="C79" s="1276" t="s">
        <v>237</v>
      </c>
      <c r="D79" s="311"/>
      <c r="E79" s="313"/>
      <c r="F79" s="314"/>
      <c r="G79" s="314"/>
      <c r="H79" s="315"/>
      <c r="I79" s="244"/>
      <c r="J79" s="249"/>
      <c r="K79" s="250"/>
      <c r="L79" s="250"/>
      <c r="M79" s="251"/>
      <c r="N79" s="244">
        <f>-Utility!N213</f>
        <v>2309.5979999999981</v>
      </c>
      <c r="O79" s="249"/>
      <c r="P79" s="250"/>
      <c r="Q79" s="250"/>
      <c r="R79" s="251"/>
      <c r="S79" s="244">
        <f>-Utility!S213</f>
        <v>1622.8609999999971</v>
      </c>
      <c r="T79" s="249"/>
      <c r="U79" s="250"/>
      <c r="V79" s="250"/>
      <c r="W79" s="251"/>
      <c r="X79" s="244">
        <f>-Utility!X213</f>
        <v>2465.5070000000051</v>
      </c>
      <c r="Y79" s="249">
        <f>-Utility!Y213</f>
        <v>136.11599999999453</v>
      </c>
      <c r="Z79" s="250">
        <f>-Utility!Z213</f>
        <v>417.47100000000501</v>
      </c>
      <c r="AA79" s="250">
        <f>-Utility!AA213</f>
        <v>337.90999999999622</v>
      </c>
      <c r="AB79" s="251">
        <f>-Utility!AB213</f>
        <v>150.60399999999936</v>
      </c>
      <c r="AC79" s="244">
        <f>-Utility!AC213</f>
        <v>1042.1009999999951</v>
      </c>
      <c r="AD79" s="249">
        <f>-Utility!AD213</f>
        <v>308.08800000000338</v>
      </c>
      <c r="AE79" s="250">
        <f>-Utility!AE213</f>
        <v>347.12099999999919</v>
      </c>
      <c r="AF79" s="250">
        <f>-Utility!AF213</f>
        <v>342.78699999999662</v>
      </c>
      <c r="AG79" s="251">
        <f>-Utility!AG213</f>
        <v>573.02999999999884</v>
      </c>
      <c r="AH79" s="244">
        <f>-Utility!AH213</f>
        <v>1571.025999999998</v>
      </c>
      <c r="AI79" s="249">
        <f>-Utility!AI213</f>
        <v>261.82200000000012</v>
      </c>
      <c r="AJ79" s="250">
        <f>-Utility!AJ213</f>
        <v>346.4600000000064</v>
      </c>
      <c r="AK79" s="250">
        <f>-Utility!AK213</f>
        <v>495.50499999999738</v>
      </c>
      <c r="AL79" s="251">
        <f>-Utility!AL213</f>
        <v>833.75</v>
      </c>
      <c r="AM79" s="244">
        <f>-Utility!AM213</f>
        <v>1937.5370000000039</v>
      </c>
      <c r="AN79" s="249">
        <f>-Utility!AN213</f>
        <v>1675.2349999999933</v>
      </c>
      <c r="AO79" s="250">
        <f>-Utility!AO213</f>
        <v>241.4030000000057</v>
      </c>
      <c r="AP79" s="250">
        <f>-Utility!AP213</f>
        <v>670.9059999999954</v>
      </c>
      <c r="AQ79" s="251">
        <f>-Utility!AQ213</f>
        <v>876.25</v>
      </c>
      <c r="AR79" s="244">
        <f>-Utility!AR213</f>
        <v>3463.7939999999944</v>
      </c>
      <c r="AS79" s="249">
        <f>-Utility!AS213</f>
        <v>880</v>
      </c>
      <c r="AT79" s="250">
        <f>-Utility!AT213</f>
        <v>880</v>
      </c>
      <c r="AU79" s="250">
        <f>-Utility!AU213</f>
        <v>880</v>
      </c>
      <c r="AV79" s="251">
        <f>-Utility!AV213</f>
        <v>880</v>
      </c>
      <c r="AW79" s="244">
        <f>-Utility!AW213</f>
        <v>3520</v>
      </c>
      <c r="AX79" s="249">
        <f>-Utility!AX213</f>
        <v>980</v>
      </c>
      <c r="AY79" s="250">
        <f>-Utility!AY213</f>
        <v>980</v>
      </c>
      <c r="AZ79" s="250">
        <f>-Utility!AZ213</f>
        <v>980</v>
      </c>
      <c r="BA79" s="251">
        <f>-Utility!BA213</f>
        <v>980</v>
      </c>
      <c r="BB79" s="244">
        <f>-Utility!BB213</f>
        <v>3920</v>
      </c>
      <c r="BC79" s="249">
        <f>-Utility!BC213</f>
        <v>910</v>
      </c>
      <c r="BD79" s="250">
        <f>-Utility!BD213</f>
        <v>910</v>
      </c>
      <c r="BE79" s="250">
        <f>-Utility!BE213</f>
        <v>910</v>
      </c>
      <c r="BF79" s="251">
        <f>-Utility!BF213</f>
        <v>910</v>
      </c>
      <c r="BG79" s="244">
        <f>-Utility!BG213</f>
        <v>3640</v>
      </c>
      <c r="BH79" s="249">
        <f>-Utility!BH213</f>
        <v>825</v>
      </c>
      <c r="BI79" s="250">
        <f>-Utility!BI213</f>
        <v>825</v>
      </c>
      <c r="BJ79" s="250">
        <f>-Utility!BJ213</f>
        <v>825</v>
      </c>
      <c r="BK79" s="251">
        <f>-Utility!BK213</f>
        <v>825</v>
      </c>
      <c r="BL79" s="244">
        <f>-Utility!BL213</f>
        <v>3300</v>
      </c>
      <c r="BM79" s="249">
        <f>-Utility!BM213</f>
        <v>891.66666666666663</v>
      </c>
      <c r="BN79" s="250">
        <f>-Utility!BN213</f>
        <v>891.66666666666663</v>
      </c>
      <c r="BO79" s="250">
        <f>-Utility!BO213</f>
        <v>891.66666666666663</v>
      </c>
      <c r="BP79" s="251">
        <f>-Utility!BP213</f>
        <v>891.66666666666663</v>
      </c>
      <c r="BQ79" s="244">
        <f>-Utility!BQ213</f>
        <v>3566.6666666666665</v>
      </c>
      <c r="BR79" s="244"/>
      <c r="BS79" s="244"/>
      <c r="BT79" s="244"/>
      <c r="BU79" s="244"/>
      <c r="BV79" s="244"/>
      <c r="BW79" s="311"/>
      <c r="BX79" s="311"/>
      <c r="BY79" s="311"/>
      <c r="BZ79" s="311"/>
      <c r="CA79" s="311"/>
      <c r="CB79" s="311"/>
      <c r="CC79" s="311"/>
      <c r="CD79" s="311"/>
      <c r="CE79" s="311"/>
    </row>
    <row r="80" spans="1:89">
      <c r="A80" s="311"/>
      <c r="B80" s="311"/>
      <c r="C80" s="1276" t="s">
        <v>731</v>
      </c>
      <c r="D80" s="311"/>
      <c r="E80" s="313"/>
      <c r="F80" s="314"/>
      <c r="G80" s="314"/>
      <c r="H80" s="315"/>
      <c r="I80" s="244"/>
      <c r="J80" s="249"/>
      <c r="K80" s="250"/>
      <c r="L80" s="250"/>
      <c r="M80" s="251"/>
      <c r="N80" s="244">
        <f>-EWC!N460</f>
        <v>441</v>
      </c>
      <c r="O80" s="249"/>
      <c r="P80" s="250"/>
      <c r="Q80" s="250"/>
      <c r="R80" s="251"/>
      <c r="S80" s="244">
        <f>-EWC!S460</f>
        <v>366</v>
      </c>
      <c r="T80" s="249"/>
      <c r="U80" s="250"/>
      <c r="V80" s="250"/>
      <c r="W80" s="251"/>
      <c r="X80" s="244">
        <f>-EWC!X460</f>
        <v>349</v>
      </c>
      <c r="Y80" s="249">
        <f>-EWC!Y460</f>
        <v>0</v>
      </c>
      <c r="Z80" s="250">
        <f>-EWC!Z460</f>
        <v>0</v>
      </c>
      <c r="AA80" s="250">
        <f>-EWC!AA460</f>
        <v>0</v>
      </c>
      <c r="AB80" s="251">
        <f>-EWC!AB460</f>
        <v>0</v>
      </c>
      <c r="AC80" s="244">
        <f>-EWC!AC460</f>
        <v>0</v>
      </c>
      <c r="AD80" s="249">
        <f>-EWC!AD460</f>
        <v>0</v>
      </c>
      <c r="AE80" s="250">
        <f>-EWC!AE460</f>
        <v>0</v>
      </c>
      <c r="AF80" s="250">
        <f>-EWC!AF460</f>
        <v>0</v>
      </c>
      <c r="AG80" s="251">
        <f>-EWC!AG460</f>
        <v>0</v>
      </c>
      <c r="AH80" s="244">
        <f>-EWC!AH460</f>
        <v>0</v>
      </c>
      <c r="AI80" s="249">
        <f>-EWC!AI460</f>
        <v>0</v>
      </c>
      <c r="AJ80" s="250">
        <f>-EWC!AJ460</f>
        <v>0</v>
      </c>
      <c r="AK80" s="250">
        <f>-EWC!AK460</f>
        <v>0</v>
      </c>
      <c r="AL80" s="251">
        <f>-EWC!AL460</f>
        <v>0</v>
      </c>
      <c r="AM80" s="244">
        <f>-EWC!AM460</f>
        <v>0</v>
      </c>
      <c r="AN80" s="249">
        <f>-EWC!AN460</f>
        <v>0</v>
      </c>
      <c r="AO80" s="250">
        <f>-EWC!AO460</f>
        <v>0</v>
      </c>
      <c r="AP80" s="250">
        <f>-EWC!AP460</f>
        <v>0</v>
      </c>
      <c r="AQ80" s="251">
        <f>-EWC!AQ460</f>
        <v>0</v>
      </c>
      <c r="AR80" s="244">
        <f>-EWC!AR460</f>
        <v>0</v>
      </c>
      <c r="AS80" s="249">
        <f>-EWC!AS460</f>
        <v>0</v>
      </c>
      <c r="AT80" s="250">
        <f>-EWC!AT460</f>
        <v>0</v>
      </c>
      <c r="AU80" s="250">
        <f>-EWC!AU460</f>
        <v>0</v>
      </c>
      <c r="AV80" s="251">
        <f>-EWC!AV460</f>
        <v>0</v>
      </c>
      <c r="AW80" s="244">
        <f>-EWC!AW460</f>
        <v>0</v>
      </c>
      <c r="AX80" s="249">
        <f>-EWC!AX460</f>
        <v>58.75</v>
      </c>
      <c r="AY80" s="250">
        <f>-EWC!AY460</f>
        <v>58.75</v>
      </c>
      <c r="AZ80" s="250">
        <f>-EWC!AZ460</f>
        <v>58.75</v>
      </c>
      <c r="BA80" s="251">
        <f>-EWC!BA460</f>
        <v>58.75</v>
      </c>
      <c r="BB80" s="244">
        <f>-EWC!BB460</f>
        <v>235</v>
      </c>
      <c r="BC80" s="249">
        <f>-EWC!BC460</f>
        <v>18.75</v>
      </c>
      <c r="BD80" s="250">
        <f>-EWC!BD460</f>
        <v>18.75</v>
      </c>
      <c r="BE80" s="250">
        <f>-EWC!BE460</f>
        <v>18.75</v>
      </c>
      <c r="BF80" s="251">
        <f>-EWC!BF460</f>
        <v>18.75</v>
      </c>
      <c r="BG80" s="244">
        <f>-EWC!BG460</f>
        <v>75</v>
      </c>
      <c r="BH80" s="249">
        <f>-EWC!BH460</f>
        <v>8.75</v>
      </c>
      <c r="BI80" s="250">
        <f>-EWC!BI460</f>
        <v>8.75</v>
      </c>
      <c r="BJ80" s="250">
        <f>-EWC!BJ460</f>
        <v>8.75</v>
      </c>
      <c r="BK80" s="251">
        <f>-EWC!BK460</f>
        <v>8.75</v>
      </c>
      <c r="BL80" s="244">
        <f>-EWC!BL460</f>
        <v>35</v>
      </c>
      <c r="BM80" s="249">
        <f>-EWC!BM460</f>
        <v>6.25</v>
      </c>
      <c r="BN80" s="250">
        <f>-EWC!BN460</f>
        <v>6.25</v>
      </c>
      <c r="BO80" s="250">
        <f>-EWC!BO460</f>
        <v>6.25</v>
      </c>
      <c r="BP80" s="251">
        <f>-EWC!BP460</f>
        <v>6.25</v>
      </c>
      <c r="BQ80" s="244">
        <f>-EWC!BQ460</f>
        <v>25</v>
      </c>
      <c r="BR80" s="244"/>
      <c r="BS80" s="244"/>
      <c r="BT80" s="244"/>
      <c r="BU80" s="244"/>
      <c r="BV80" s="244"/>
      <c r="BW80" s="311"/>
      <c r="BX80" s="311"/>
      <c r="BY80" s="311"/>
      <c r="BZ80" s="311"/>
      <c r="CA80" s="311"/>
      <c r="CB80" s="311"/>
      <c r="CC80" s="311"/>
      <c r="CD80" s="311"/>
      <c r="CE80" s="311"/>
    </row>
    <row r="81" spans="1:89">
      <c r="A81" s="311"/>
      <c r="B81" s="311"/>
      <c r="C81" s="1276" t="s">
        <v>4</v>
      </c>
      <c r="D81" s="311"/>
      <c r="E81" s="313"/>
      <c r="F81" s="314"/>
      <c r="G81" s="314"/>
      <c r="H81" s="315"/>
      <c r="I81" s="244"/>
      <c r="J81" s="249"/>
      <c r="K81" s="250"/>
      <c r="L81" s="250"/>
      <c r="M81" s="251"/>
      <c r="N81" s="244">
        <f>N82-SUM(N79:N80)</f>
        <v>-776.31199999999808</v>
      </c>
      <c r="O81" s="249"/>
      <c r="P81" s="250"/>
      <c r="Q81" s="250"/>
      <c r="R81" s="251"/>
      <c r="S81" s="244">
        <f>S82-SUM(S79:S80)</f>
        <v>51.166000000002896</v>
      </c>
      <c r="T81" s="249"/>
      <c r="U81" s="250"/>
      <c r="V81" s="250"/>
      <c r="W81" s="251"/>
      <c r="X81" s="244">
        <f>X82-SUM(X79:X80)</f>
        <v>-150.09000000000515</v>
      </c>
      <c r="Y81" s="249">
        <f>Y82-SUM(Y79:Y80)</f>
        <v>495.74100000000544</v>
      </c>
      <c r="Z81" s="250">
        <f>Z82-SUM(Z79:Z80)</f>
        <v>195.53099999999495</v>
      </c>
      <c r="AA81" s="250">
        <f>AA82-SUM(AA79:AA80)</f>
        <v>198.43900000000383</v>
      </c>
      <c r="AB81" s="251">
        <f>+(AC81-SUM(Y81:AA81))/1</f>
        <v>355.78100000000052</v>
      </c>
      <c r="AC81" s="244">
        <f>-Parent!AC61</f>
        <v>1245.4920000000047</v>
      </c>
      <c r="AD81" s="249">
        <f>AD82-SUM(AD79:AD80)</f>
        <v>175.26199999999665</v>
      </c>
      <c r="AE81" s="250">
        <f>AE82-SUM(AE79:AE80)</f>
        <v>129.14700000000079</v>
      </c>
      <c r="AF81" s="250">
        <f>-Parent!AF61</f>
        <v>204.20600000000343</v>
      </c>
      <c r="AG81" s="251">
        <f>-Parent!AG61</f>
        <v>39.550000000001205</v>
      </c>
      <c r="AH81" s="244">
        <f>-Parent!AH61</f>
        <v>548.16500000000201</v>
      </c>
      <c r="AI81" s="249">
        <f>AI82-SUM(AI79:AI80)</f>
        <v>271.13599999999985</v>
      </c>
      <c r="AJ81" s="250">
        <f>AJ82-SUM(AJ79:AJ80)</f>
        <v>216.50799999999356</v>
      </c>
      <c r="AK81" s="250">
        <f>-Parent!AK61</f>
        <v>110.32700000000261</v>
      </c>
      <c r="AL81" s="251">
        <f>-Parent!AL61</f>
        <v>-34.648000000000025</v>
      </c>
      <c r="AM81" s="244">
        <f>-Parent!AM61</f>
        <v>563.322999999996</v>
      </c>
      <c r="AN81" s="249">
        <f>AN82-SUM(AN79:AN80)</f>
        <v>-1039.2239999999933</v>
      </c>
      <c r="AO81" s="250">
        <f>AO82-SUM(AO79:AO80)</f>
        <v>417.08399999999426</v>
      </c>
      <c r="AP81" s="250">
        <f>-Parent!AP61</f>
        <v>38.023000000004572</v>
      </c>
      <c r="AQ81" s="251">
        <f>-Parent!AQ61</f>
        <v>-99.455000000000041</v>
      </c>
      <c r="AR81" s="244">
        <f>-Parent!AR61</f>
        <v>-683.57199999999455</v>
      </c>
      <c r="AS81" s="249">
        <f>AS82-SUM(AS79:AS80)</f>
        <v>-85.552000000000021</v>
      </c>
      <c r="AT81" s="250">
        <f>AT82-SUM(AT79:AT80)</f>
        <v>45.26400000000001</v>
      </c>
      <c r="AU81" s="250">
        <f t="shared" ref="AU81" si="194">AU82-SUM(AU79:AU80)</f>
        <v>22.392000000000053</v>
      </c>
      <c r="AV81" s="251">
        <f>-Parent!AV61</f>
        <v>105.428</v>
      </c>
      <c r="AW81" s="244">
        <f>-Parent!AW61</f>
        <v>87.532000000000039</v>
      </c>
      <c r="AX81" s="249">
        <f>-Parent!AX61</f>
        <v>0</v>
      </c>
      <c r="AY81" s="250">
        <f>-Parent!AY61</f>
        <v>0</v>
      </c>
      <c r="AZ81" s="250">
        <f>-Parent!AZ61</f>
        <v>0</v>
      </c>
      <c r="BA81" s="251">
        <f>-Parent!BA61</f>
        <v>0</v>
      </c>
      <c r="BB81" s="244">
        <f>-Parent!BB61</f>
        <v>0</v>
      </c>
      <c r="BC81" s="249">
        <f>-Parent!BC61</f>
        <v>0</v>
      </c>
      <c r="BD81" s="250">
        <f>-Parent!BD61</f>
        <v>0</v>
      </c>
      <c r="BE81" s="250">
        <f>-Parent!BE61</f>
        <v>0</v>
      </c>
      <c r="BF81" s="251">
        <f>-Parent!BF61</f>
        <v>0</v>
      </c>
      <c r="BG81" s="244">
        <f>-Parent!BG61</f>
        <v>0</v>
      </c>
      <c r="BH81" s="249">
        <f>-Parent!BH61</f>
        <v>0</v>
      </c>
      <c r="BI81" s="250">
        <f>-Parent!BI61</f>
        <v>0</v>
      </c>
      <c r="BJ81" s="250">
        <f>-Parent!BJ61</f>
        <v>0</v>
      </c>
      <c r="BK81" s="251">
        <f>-Parent!BK61</f>
        <v>0</v>
      </c>
      <c r="BL81" s="244">
        <f>-Parent!BL61</f>
        <v>0</v>
      </c>
      <c r="BM81" s="249">
        <f>-Parent!BM61</f>
        <v>0</v>
      </c>
      <c r="BN81" s="250">
        <f>-Parent!BN61</f>
        <v>0</v>
      </c>
      <c r="BO81" s="250">
        <f>-Parent!BO61</f>
        <v>0</v>
      </c>
      <c r="BP81" s="251">
        <f>-Parent!BP61</f>
        <v>0</v>
      </c>
      <c r="BQ81" s="244">
        <f>-Parent!BQ61</f>
        <v>0</v>
      </c>
      <c r="BR81" s="244"/>
      <c r="BS81" s="244"/>
      <c r="BT81" s="244"/>
      <c r="BU81" s="244"/>
      <c r="BV81" s="244"/>
      <c r="BW81" s="311"/>
      <c r="BX81" s="311"/>
      <c r="BY81" s="311"/>
      <c r="BZ81" s="311"/>
      <c r="CA81" s="311"/>
      <c r="CB81" s="311"/>
      <c r="CC81" s="311"/>
      <c r="CD81" s="311"/>
      <c r="CE81" s="311"/>
    </row>
    <row r="82" spans="1:89" s="37" customFormat="1">
      <c r="A82" s="327"/>
      <c r="B82" s="327"/>
      <c r="C82" s="1272" t="s">
        <v>11</v>
      </c>
      <c r="D82" s="327"/>
      <c r="E82" s="335"/>
      <c r="F82" s="336"/>
      <c r="G82" s="336"/>
      <c r="H82" s="337"/>
      <c r="I82" s="110"/>
      <c r="J82" s="180"/>
      <c r="K82" s="181"/>
      <c r="L82" s="181"/>
      <c r="M82" s="182"/>
      <c r="N82" s="110">
        <f>-N131</f>
        <v>1974.2860000000001</v>
      </c>
      <c r="O82" s="180"/>
      <c r="P82" s="181"/>
      <c r="Q82" s="181"/>
      <c r="R82" s="182"/>
      <c r="S82" s="110">
        <f>-S131</f>
        <v>2040.027</v>
      </c>
      <c r="T82" s="180"/>
      <c r="U82" s="181"/>
      <c r="V82" s="181"/>
      <c r="W82" s="182"/>
      <c r="X82" s="110">
        <f>-X131</f>
        <v>2664.4169999999999</v>
      </c>
      <c r="Y82" s="180">
        <f>-Y131</f>
        <v>631.85699999999997</v>
      </c>
      <c r="Z82" s="181">
        <f>-Z131</f>
        <v>613.00199999999995</v>
      </c>
      <c r="AA82" s="181">
        <f>-AA131</f>
        <v>536.34900000000005</v>
      </c>
      <c r="AB82" s="182">
        <f>SUM(AB79:AB81)</f>
        <v>506.38499999999988</v>
      </c>
      <c r="AC82" s="110">
        <f>SUM(AC79:AC81)</f>
        <v>2287.5929999999998</v>
      </c>
      <c r="AD82" s="180">
        <f>-AD131</f>
        <v>483.35</v>
      </c>
      <c r="AE82" s="181">
        <f>-AE131</f>
        <v>476.26799999999997</v>
      </c>
      <c r="AF82" s="181">
        <f t="shared" ref="AF82:AM82" si="195">SUM(AF79:AF81)</f>
        <v>546.99300000000005</v>
      </c>
      <c r="AG82" s="182">
        <f t="shared" si="195"/>
        <v>612.58000000000004</v>
      </c>
      <c r="AH82" s="110">
        <f t="shared" si="195"/>
        <v>2119.1909999999998</v>
      </c>
      <c r="AI82" s="180">
        <f>-AI131</f>
        <v>532.95799999999997</v>
      </c>
      <c r="AJ82" s="181">
        <f>-AJ131</f>
        <v>562.96799999999996</v>
      </c>
      <c r="AK82" s="181">
        <f t="shared" ref="AK82" si="196">SUM(AK79:AK81)</f>
        <v>605.83199999999999</v>
      </c>
      <c r="AL82" s="182">
        <f t="shared" si="195"/>
        <v>799.10199999999998</v>
      </c>
      <c r="AM82" s="110">
        <f t="shared" si="195"/>
        <v>2500.8599999999997</v>
      </c>
      <c r="AN82" s="180">
        <f>-AN131</f>
        <v>636.01099999999997</v>
      </c>
      <c r="AO82" s="181">
        <f>-AO131</f>
        <v>658.48699999999997</v>
      </c>
      <c r="AP82" s="181">
        <f t="shared" ref="AP82:AR82" si="197">SUM(AP79:AP81)</f>
        <v>708.92899999999997</v>
      </c>
      <c r="AQ82" s="182">
        <f t="shared" si="197"/>
        <v>776.79499999999996</v>
      </c>
      <c r="AR82" s="110">
        <f t="shared" si="197"/>
        <v>2780.2219999999998</v>
      </c>
      <c r="AS82" s="180">
        <f>-AS131</f>
        <v>794.44799999999998</v>
      </c>
      <c r="AT82" s="181">
        <f>-AT131</f>
        <v>925.26400000000001</v>
      </c>
      <c r="AU82" s="181">
        <f t="shared" ref="AU82" si="198">-AU131</f>
        <v>902.39200000000005</v>
      </c>
      <c r="AV82" s="182">
        <f t="shared" ref="AV82:AW82" si="199">SUM(AV79:AV81)</f>
        <v>985.428</v>
      </c>
      <c r="AW82" s="110">
        <f t="shared" si="199"/>
        <v>3607.5320000000002</v>
      </c>
      <c r="AX82" s="180">
        <f t="shared" ref="AX82:BB82" si="200">SUM(AX79:AX81)</f>
        <v>1038.75</v>
      </c>
      <c r="AY82" s="181">
        <f t="shared" si="200"/>
        <v>1038.75</v>
      </c>
      <c r="AZ82" s="181">
        <f t="shared" si="200"/>
        <v>1038.75</v>
      </c>
      <c r="BA82" s="182">
        <f t="shared" si="200"/>
        <v>1038.75</v>
      </c>
      <c r="BB82" s="110">
        <f t="shared" si="200"/>
        <v>4155</v>
      </c>
      <c r="BC82" s="180">
        <f t="shared" ref="BC82:BL82" si="201">SUM(BC79:BC81)</f>
        <v>928.75</v>
      </c>
      <c r="BD82" s="181">
        <f t="shared" si="201"/>
        <v>928.75</v>
      </c>
      <c r="BE82" s="181">
        <f t="shared" si="201"/>
        <v>928.75</v>
      </c>
      <c r="BF82" s="182">
        <f t="shared" si="201"/>
        <v>928.75</v>
      </c>
      <c r="BG82" s="110">
        <f t="shared" si="201"/>
        <v>3715</v>
      </c>
      <c r="BH82" s="180">
        <f t="shared" si="201"/>
        <v>833.75</v>
      </c>
      <c r="BI82" s="181">
        <f t="shared" si="201"/>
        <v>833.75</v>
      </c>
      <c r="BJ82" s="181">
        <f t="shared" si="201"/>
        <v>833.75</v>
      </c>
      <c r="BK82" s="182">
        <f t="shared" si="201"/>
        <v>833.75</v>
      </c>
      <c r="BL82" s="110">
        <f t="shared" si="201"/>
        <v>3335</v>
      </c>
      <c r="BM82" s="180">
        <f t="shared" ref="BM82:BQ82" si="202">SUM(BM79:BM81)</f>
        <v>897.91666666666663</v>
      </c>
      <c r="BN82" s="181">
        <f t="shared" si="202"/>
        <v>897.91666666666663</v>
      </c>
      <c r="BO82" s="181">
        <f t="shared" si="202"/>
        <v>897.91666666666663</v>
      </c>
      <c r="BP82" s="182">
        <f t="shared" si="202"/>
        <v>897.91666666666663</v>
      </c>
      <c r="BQ82" s="110">
        <f t="shared" si="202"/>
        <v>3591.6666666666665</v>
      </c>
      <c r="BR82" s="110"/>
      <c r="BS82" s="110"/>
      <c r="BT82" s="110"/>
      <c r="BU82" s="110"/>
      <c r="BV82" s="110"/>
      <c r="BW82" s="327"/>
      <c r="BX82" s="327"/>
      <c r="BY82" s="327"/>
      <c r="BZ82" s="327"/>
      <c r="CA82" s="327"/>
      <c r="CB82" s="327"/>
      <c r="CC82" s="327"/>
      <c r="CD82" s="327"/>
      <c r="CE82" s="327"/>
      <c r="CF82"/>
      <c r="CG82"/>
      <c r="CH82"/>
      <c r="CI82"/>
      <c r="CJ82"/>
      <c r="CK82"/>
    </row>
    <row r="83" spans="1:89">
      <c r="A83" s="311"/>
      <c r="B83" s="311"/>
      <c r="C83" s="1277"/>
      <c r="D83" s="311"/>
      <c r="E83" s="319"/>
      <c r="F83" s="314"/>
      <c r="G83" s="314"/>
      <c r="H83" s="315"/>
      <c r="I83" s="244"/>
      <c r="J83" s="249"/>
      <c r="K83" s="250"/>
      <c r="L83" s="250"/>
      <c r="M83" s="251"/>
      <c r="N83" s="244"/>
      <c r="O83" s="249"/>
      <c r="P83" s="250"/>
      <c r="Q83" s="250"/>
      <c r="R83" s="251"/>
      <c r="S83" s="244"/>
      <c r="T83" s="249"/>
      <c r="U83" s="250"/>
      <c r="V83" s="250"/>
      <c r="W83" s="251"/>
      <c r="X83" s="244"/>
      <c r="Y83" s="249"/>
      <c r="Z83" s="250"/>
      <c r="AA83" s="250"/>
      <c r="AB83" s="251"/>
      <c r="AC83" s="244"/>
      <c r="AD83" s="249"/>
      <c r="AE83" s="250"/>
      <c r="AF83" s="250"/>
      <c r="AG83" s="251"/>
      <c r="AH83" s="244"/>
      <c r="AI83" s="249"/>
      <c r="AJ83" s="250"/>
      <c r="AK83" s="250"/>
      <c r="AL83" s="251"/>
      <c r="AM83" s="244"/>
      <c r="AN83" s="249"/>
      <c r="AO83" s="250"/>
      <c r="AP83" s="250"/>
      <c r="AQ83" s="251"/>
      <c r="AR83" s="244"/>
      <c r="AS83" s="249"/>
      <c r="AT83" s="250"/>
      <c r="AU83" s="250"/>
      <c r="AV83" s="251"/>
      <c r="AW83" s="244"/>
      <c r="AX83" s="249"/>
      <c r="AY83" s="250"/>
      <c r="AZ83" s="250"/>
      <c r="BA83" s="251"/>
      <c r="BB83" s="244"/>
      <c r="BC83" s="249"/>
      <c r="BD83" s="250"/>
      <c r="BE83" s="250"/>
      <c r="BF83" s="251"/>
      <c r="BG83" s="244"/>
      <c r="BH83" s="249"/>
      <c r="BI83" s="250"/>
      <c r="BJ83" s="250"/>
      <c r="BK83" s="251"/>
      <c r="BL83" s="244"/>
      <c r="BM83" s="249"/>
      <c r="BN83" s="250"/>
      <c r="BO83" s="250"/>
      <c r="BP83" s="251"/>
      <c r="BQ83" s="244"/>
      <c r="BR83" s="244"/>
      <c r="BS83" s="244"/>
      <c r="BT83" s="244"/>
      <c r="BU83" s="244"/>
      <c r="BV83" s="244"/>
      <c r="BW83" s="311"/>
      <c r="BX83" s="311"/>
      <c r="BY83" s="311"/>
      <c r="BZ83" s="311"/>
      <c r="CA83" s="311"/>
      <c r="CB83" s="311"/>
      <c r="CC83" s="311"/>
      <c r="CD83" s="311"/>
      <c r="CE83" s="311"/>
    </row>
    <row r="84" spans="1:89">
      <c r="A84" s="311"/>
      <c r="B84" s="311"/>
      <c r="C84" s="1277"/>
      <c r="D84" s="311"/>
      <c r="E84" s="319"/>
      <c r="F84" s="314"/>
      <c r="G84" s="314"/>
      <c r="H84" s="315"/>
      <c r="I84" s="244"/>
      <c r="J84" s="249"/>
      <c r="K84" s="250"/>
      <c r="L84" s="250"/>
      <c r="M84" s="251"/>
      <c r="N84" s="244"/>
      <c r="O84" s="249"/>
      <c r="P84" s="250"/>
      <c r="Q84" s="250"/>
      <c r="R84" s="251"/>
      <c r="S84" s="244"/>
      <c r="T84" s="249"/>
      <c r="U84" s="250"/>
      <c r="V84" s="250"/>
      <c r="W84" s="251"/>
      <c r="X84" s="244"/>
      <c r="Y84" s="249"/>
      <c r="Z84" s="250"/>
      <c r="AA84" s="250"/>
      <c r="AB84" s="251"/>
      <c r="AC84" s="244"/>
      <c r="AD84" s="249"/>
      <c r="AE84" s="250"/>
      <c r="AF84" s="250"/>
      <c r="AG84" s="251"/>
      <c r="AH84" s="244"/>
      <c r="AI84" s="249"/>
      <c r="AJ84" s="250"/>
      <c r="AK84" s="250"/>
      <c r="AL84" s="251"/>
      <c r="AM84" s="244"/>
      <c r="AN84" s="249"/>
      <c r="AO84" s="250"/>
      <c r="AP84" s="250"/>
      <c r="AQ84" s="251"/>
      <c r="AR84" s="244"/>
      <c r="AS84" s="249"/>
      <c r="AT84" s="250"/>
      <c r="AU84" s="250"/>
      <c r="AV84" s="251"/>
      <c r="AW84" s="244"/>
      <c r="AX84" s="249"/>
      <c r="AY84" s="250"/>
      <c r="AZ84" s="250"/>
      <c r="BA84" s="251"/>
      <c r="BB84" s="244"/>
      <c r="BC84" s="249"/>
      <c r="BD84" s="250"/>
      <c r="BE84" s="250"/>
      <c r="BF84" s="251"/>
      <c r="BG84" s="244"/>
      <c r="BH84" s="249"/>
      <c r="BI84" s="250"/>
      <c r="BJ84" s="250"/>
      <c r="BK84" s="251"/>
      <c r="BL84" s="244"/>
      <c r="BM84" s="249"/>
      <c r="BN84" s="250"/>
      <c r="BO84" s="250"/>
      <c r="BP84" s="251"/>
      <c r="BQ84" s="244"/>
      <c r="BR84" s="244"/>
      <c r="BS84" s="244"/>
      <c r="BT84" s="244"/>
      <c r="BU84" s="244"/>
      <c r="BV84" s="244"/>
      <c r="BW84" s="311"/>
      <c r="BX84" s="311"/>
      <c r="BY84" s="311"/>
      <c r="BZ84" s="311"/>
      <c r="CA84" s="311"/>
      <c r="CB84" s="311"/>
      <c r="CC84" s="311"/>
      <c r="CD84" s="311"/>
      <c r="CE84" s="311"/>
    </row>
    <row r="85" spans="1:89">
      <c r="A85" s="233"/>
      <c r="B85" s="350" t="s">
        <v>3</v>
      </c>
      <c r="C85" s="1265"/>
      <c r="D85" s="102"/>
      <c r="E85" s="237"/>
      <c r="F85" s="238"/>
      <c r="G85" s="238"/>
      <c r="H85" s="239"/>
      <c r="I85" s="233"/>
      <c r="J85" s="237"/>
      <c r="K85" s="238"/>
      <c r="L85" s="238"/>
      <c r="M85" s="239"/>
      <c r="N85" s="233"/>
      <c r="O85" s="237"/>
      <c r="P85" s="238"/>
      <c r="Q85" s="238"/>
      <c r="R85" s="239"/>
      <c r="S85" s="233"/>
      <c r="T85" s="237"/>
      <c r="U85" s="238"/>
      <c r="V85" s="238"/>
      <c r="W85" s="239"/>
      <c r="X85" s="233"/>
      <c r="Y85" s="237"/>
      <c r="Z85" s="238"/>
      <c r="AA85" s="238"/>
      <c r="AB85" s="239"/>
      <c r="AC85" s="233"/>
      <c r="AD85" s="237"/>
      <c r="AE85" s="238"/>
      <c r="AF85" s="238"/>
      <c r="AG85" s="239"/>
      <c r="AH85" s="233"/>
      <c r="AI85" s="237"/>
      <c r="AJ85" s="238"/>
      <c r="AK85" s="238"/>
      <c r="AL85" s="239"/>
      <c r="AM85" s="233"/>
      <c r="AN85" s="237"/>
      <c r="AO85" s="238"/>
      <c r="AP85" s="238"/>
      <c r="AQ85" s="239"/>
      <c r="AR85" s="233"/>
      <c r="AS85" s="237"/>
      <c r="AT85" s="238"/>
      <c r="AU85" s="238"/>
      <c r="AV85" s="239"/>
      <c r="AW85" s="233"/>
      <c r="AX85" s="237"/>
      <c r="AY85" s="238"/>
      <c r="AZ85" s="238"/>
      <c r="BA85" s="239"/>
      <c r="BB85" s="233"/>
      <c r="BC85" s="237"/>
      <c r="BD85" s="238"/>
      <c r="BE85" s="238"/>
      <c r="BF85" s="239"/>
      <c r="BG85" s="233"/>
      <c r="BH85" s="237"/>
      <c r="BI85" s="238"/>
      <c r="BJ85" s="238"/>
      <c r="BK85" s="239"/>
      <c r="BL85" s="233"/>
      <c r="BM85" s="237"/>
      <c r="BN85" s="238"/>
      <c r="BO85" s="238"/>
      <c r="BP85" s="239"/>
      <c r="BQ85" s="233"/>
      <c r="BR85" s="233"/>
      <c r="BS85" s="233"/>
      <c r="BT85" s="233"/>
      <c r="BU85" s="233"/>
      <c r="BV85" s="233"/>
      <c r="BW85" s="233"/>
      <c r="BX85" s="233"/>
      <c r="BY85" s="233"/>
      <c r="BZ85" s="233"/>
      <c r="CA85" s="233"/>
      <c r="CB85" s="233"/>
      <c r="CC85" s="233"/>
      <c r="CD85" s="233"/>
      <c r="CE85" s="233"/>
    </row>
    <row r="86" spans="1:89">
      <c r="A86" s="233"/>
      <c r="B86" s="233"/>
      <c r="C86" s="1278" t="s">
        <v>455</v>
      </c>
      <c r="D86" s="233"/>
      <c r="E86" s="234"/>
      <c r="F86" s="235"/>
      <c r="G86" s="235"/>
      <c r="H86" s="236"/>
      <c r="I86" s="233"/>
      <c r="J86" s="234"/>
      <c r="K86" s="235"/>
      <c r="L86" s="235"/>
      <c r="M86" s="236"/>
      <c r="N86" s="233"/>
      <c r="O86" s="234"/>
      <c r="P86" s="235"/>
      <c r="Q86" s="235"/>
      <c r="R86" s="236"/>
      <c r="S86" s="233"/>
      <c r="T86" s="234"/>
      <c r="U86" s="235"/>
      <c r="V86" s="235"/>
      <c r="W86" s="236"/>
      <c r="X86" s="233"/>
      <c r="Y86" s="237"/>
      <c r="Z86" s="235"/>
      <c r="AA86" s="235"/>
      <c r="AB86" s="236"/>
      <c r="AC86" s="233"/>
      <c r="AD86" s="237"/>
      <c r="AE86" s="235"/>
      <c r="AF86" s="235"/>
      <c r="AG86" s="236"/>
      <c r="AH86" s="233"/>
      <c r="AI86" s="237"/>
      <c r="AJ86" s="235"/>
      <c r="AK86" s="235"/>
      <c r="AL86" s="236"/>
      <c r="AM86" s="233"/>
      <c r="AN86" s="237"/>
      <c r="AO86" s="235"/>
      <c r="AP86" s="235"/>
      <c r="AQ86" s="236"/>
      <c r="AR86" s="233"/>
      <c r="AS86" s="237"/>
      <c r="AT86" s="235"/>
      <c r="AU86" s="235"/>
      <c r="AV86" s="236"/>
      <c r="AW86" s="233"/>
      <c r="AX86" s="234"/>
      <c r="AY86" s="235"/>
      <c r="AZ86" s="235"/>
      <c r="BA86" s="236"/>
      <c r="BB86" s="233"/>
      <c r="BC86" s="234"/>
      <c r="BD86" s="235"/>
      <c r="BE86" s="235"/>
      <c r="BF86" s="236"/>
      <c r="BG86" s="233"/>
      <c r="BH86" s="234"/>
      <c r="BI86" s="235"/>
      <c r="BJ86" s="235"/>
      <c r="BK86" s="236"/>
      <c r="BL86" s="233"/>
      <c r="BM86" s="234"/>
      <c r="BN86" s="235"/>
      <c r="BO86" s="235"/>
      <c r="BP86" s="236"/>
      <c r="BQ86" s="233"/>
      <c r="BR86" s="233"/>
      <c r="BS86" s="233"/>
      <c r="BT86" s="233"/>
      <c r="BU86" s="233"/>
      <c r="BV86" s="233"/>
      <c r="BW86" s="233"/>
      <c r="BX86" s="233"/>
      <c r="BY86" s="233"/>
      <c r="BZ86" s="233"/>
      <c r="CA86" s="233"/>
      <c r="CB86" s="233"/>
      <c r="CC86" s="233"/>
      <c r="CD86" s="233"/>
      <c r="CE86" s="233"/>
    </row>
    <row r="87" spans="1:89">
      <c r="A87" s="356"/>
      <c r="B87" s="356"/>
      <c r="C87" s="1279" t="s">
        <v>451</v>
      </c>
      <c r="D87" s="356"/>
      <c r="E87" s="321"/>
      <c r="F87" s="322"/>
      <c r="G87" s="322"/>
      <c r="H87" s="323"/>
      <c r="I87" s="357"/>
      <c r="J87" s="197">
        <f t="shared" ref="J87:M88" si="203">+J136</f>
        <v>42.545000000000002</v>
      </c>
      <c r="K87" s="198">
        <f t="shared" si="203"/>
        <v>483.24400000000003</v>
      </c>
      <c r="L87" s="198">
        <f t="shared" si="203"/>
        <v>1746.4349999999999</v>
      </c>
      <c r="M87" s="193">
        <f t="shared" si="203"/>
        <v>1598.47</v>
      </c>
      <c r="N87" s="357">
        <f>+SUM(J87:M87)</f>
        <v>3870.6940000000004</v>
      </c>
      <c r="O87" s="197">
        <f>+O136</f>
        <v>411.44400000000002</v>
      </c>
      <c r="P87" s="198">
        <f t="shared" ref="P87:U87" si="204">+P136</f>
        <v>663.73599999999999</v>
      </c>
      <c r="Q87" s="198">
        <f t="shared" si="204"/>
        <v>460.45400000000001</v>
      </c>
      <c r="R87" s="193">
        <f t="shared" si="204"/>
        <v>1455.2470000000001</v>
      </c>
      <c r="S87" s="357">
        <f t="shared" si="204"/>
        <v>2990.8810000000003</v>
      </c>
      <c r="T87" s="197">
        <f t="shared" si="204"/>
        <v>1034.9449999999999</v>
      </c>
      <c r="U87" s="198">
        <f t="shared" si="204"/>
        <v>290.21699999999998</v>
      </c>
      <c r="V87" s="198">
        <f t="shared" ref="V87:Z88" si="205">+V136</f>
        <v>964.33199999999999</v>
      </c>
      <c r="W87" s="193">
        <f t="shared" si="205"/>
        <v>1188.867</v>
      </c>
      <c r="X87" s="357">
        <f t="shared" si="205"/>
        <v>3478.3609999999999</v>
      </c>
      <c r="Y87" s="197">
        <f t="shared" si="205"/>
        <v>564.71699999999998</v>
      </c>
      <c r="Z87" s="198">
        <f t="shared" si="205"/>
        <v>1409.1489999999999</v>
      </c>
      <c r="AA87" s="198">
        <f t="shared" ref="AA87:AE88" si="206">+AA136</f>
        <v>952.13099999999997</v>
      </c>
      <c r="AB87" s="193">
        <f t="shared" si="206"/>
        <v>820.01900000000001</v>
      </c>
      <c r="AC87" s="357">
        <f t="shared" si="206"/>
        <v>3746.0159999999996</v>
      </c>
      <c r="AD87" s="197">
        <f t="shared" si="206"/>
        <v>753.24400000000003</v>
      </c>
      <c r="AE87" s="198">
        <f t="shared" si="206"/>
        <v>478.91699999999997</v>
      </c>
      <c r="AF87" s="198">
        <f t="shared" ref="AF87:AJ87" si="207">+AF136</f>
        <v>435.45499999999998</v>
      </c>
      <c r="AG87" s="193">
        <f t="shared" si="207"/>
        <v>1432.453</v>
      </c>
      <c r="AH87" s="357">
        <f t="shared" si="207"/>
        <v>3100.069</v>
      </c>
      <c r="AI87" s="197">
        <f t="shared" si="207"/>
        <v>488.065</v>
      </c>
      <c r="AJ87" s="198">
        <f t="shared" si="207"/>
        <v>377.56900000000002</v>
      </c>
      <c r="AK87" s="198">
        <f t="shared" ref="AK87:AN87" si="208">+AK136</f>
        <v>1340.25</v>
      </c>
      <c r="AL87" s="193">
        <f t="shared" si="208"/>
        <v>1296.3050000000001</v>
      </c>
      <c r="AM87" s="357">
        <f t="shared" si="208"/>
        <v>3502.1890000000003</v>
      </c>
      <c r="AN87" s="197">
        <f t="shared" si="208"/>
        <v>2869.808</v>
      </c>
      <c r="AO87" s="198">
        <f>+AO136</f>
        <v>986.96</v>
      </c>
      <c r="AP87" s="198">
        <f t="shared" ref="AP87:AS87" si="209">+AP136</f>
        <v>1651.693</v>
      </c>
      <c r="AQ87" s="193">
        <f t="shared" si="209"/>
        <v>1442.097</v>
      </c>
      <c r="AR87" s="357">
        <f t="shared" si="209"/>
        <v>6950.558</v>
      </c>
      <c r="AS87" s="197">
        <f t="shared" si="209"/>
        <v>236.19800000000001</v>
      </c>
      <c r="AT87" s="198">
        <f>+AT136</f>
        <v>800.33100000000002</v>
      </c>
      <c r="AU87" s="198">
        <f t="shared" ref="AU87:AW87" si="210">+AU136</f>
        <v>186.077</v>
      </c>
      <c r="AV87" s="193">
        <f t="shared" si="210"/>
        <v>586.78399999999999</v>
      </c>
      <c r="AW87" s="357">
        <f t="shared" si="210"/>
        <v>1809.3899999999999</v>
      </c>
      <c r="AX87" s="197">
        <f>+Debt!AW11</f>
        <v>0</v>
      </c>
      <c r="AY87" s="198">
        <f>+Debt!AX11</f>
        <v>3700</v>
      </c>
      <c r="AZ87" s="198">
        <f>+Debt!AY11</f>
        <v>0</v>
      </c>
      <c r="BA87" s="193">
        <f>+Debt!AZ11</f>
        <v>0</v>
      </c>
      <c r="BB87" s="357">
        <f>+SUM(AX87:BA87)</f>
        <v>3700</v>
      </c>
      <c r="BC87" s="197">
        <f>+Debt!BB11</f>
        <v>0</v>
      </c>
      <c r="BD87" s="198">
        <f>+Debt!BC11</f>
        <v>0</v>
      </c>
      <c r="BE87" s="198">
        <f>+Debt!BD11</f>
        <v>2500</v>
      </c>
      <c r="BF87" s="193">
        <f>+Debt!BE11</f>
        <v>0</v>
      </c>
      <c r="BG87" s="357">
        <f>+SUM(BC87:BF87)</f>
        <v>2500</v>
      </c>
      <c r="BH87" s="197">
        <f>+Debt!BG11</f>
        <v>0</v>
      </c>
      <c r="BI87" s="198">
        <f>+Debt!BH11</f>
        <v>0</v>
      </c>
      <c r="BJ87" s="198">
        <f>+Debt!BI11</f>
        <v>2300</v>
      </c>
      <c r="BK87" s="193">
        <f>+Debt!BJ11</f>
        <v>0</v>
      </c>
      <c r="BL87" s="357">
        <f>+SUM(BH87:BK87)</f>
        <v>2300</v>
      </c>
      <c r="BM87" s="197">
        <f>+Debt!BL11</f>
        <v>0</v>
      </c>
      <c r="BN87" s="198">
        <f>+Debt!BM11</f>
        <v>0</v>
      </c>
      <c r="BO87" s="198">
        <f>+Debt!BN11</f>
        <v>2300</v>
      </c>
      <c r="BP87" s="193">
        <f>+Debt!BO11</f>
        <v>0</v>
      </c>
      <c r="BQ87" s="357">
        <f>+SUM(BM87:BP87)</f>
        <v>2300</v>
      </c>
      <c r="BR87" s="357"/>
      <c r="BS87" s="357"/>
      <c r="BT87" s="357"/>
      <c r="BU87" s="357"/>
      <c r="BV87" s="357"/>
      <c r="BW87" s="356"/>
      <c r="BX87" s="356"/>
      <c r="BY87" s="356"/>
      <c r="BZ87" s="356"/>
      <c r="CA87" s="356"/>
      <c r="CB87" s="356"/>
      <c r="CC87" s="356"/>
      <c r="CD87" s="356"/>
      <c r="CE87" s="356"/>
    </row>
    <row r="88" spans="1:89">
      <c r="A88" s="356"/>
      <c r="B88" s="356"/>
      <c r="C88" s="1279" t="s">
        <v>454</v>
      </c>
      <c r="D88" s="356"/>
      <c r="E88" s="321"/>
      <c r="F88" s="322"/>
      <c r="G88" s="322"/>
      <c r="H88" s="323"/>
      <c r="I88" s="357"/>
      <c r="J88" s="197">
        <f t="shared" si="203"/>
        <v>-100.289</v>
      </c>
      <c r="K88" s="198">
        <f t="shared" si="203"/>
        <v>-674.48299999999995</v>
      </c>
      <c r="L88" s="198">
        <f t="shared" si="203"/>
        <v>-1339.155</v>
      </c>
      <c r="M88" s="193">
        <f t="shared" si="203"/>
        <v>-2064.1999999999998</v>
      </c>
      <c r="N88" s="357">
        <f>+SUM(J88:M88)</f>
        <v>-4178.1269999999995</v>
      </c>
      <c r="O88" s="197">
        <f>+O137</f>
        <v>-278.084</v>
      </c>
      <c r="P88" s="198">
        <f t="shared" ref="P88:U88" si="211">+P137</f>
        <v>-277.85599999999999</v>
      </c>
      <c r="Q88" s="198">
        <f t="shared" si="211"/>
        <v>-391.46100000000001</v>
      </c>
      <c r="R88" s="193">
        <f t="shared" si="211"/>
        <v>-1489.971</v>
      </c>
      <c r="S88" s="357">
        <f t="shared" si="211"/>
        <v>-2437.3720000000003</v>
      </c>
      <c r="T88" s="197">
        <f t="shared" si="211"/>
        <v>-859.64800000000002</v>
      </c>
      <c r="U88" s="198">
        <f t="shared" si="211"/>
        <v>-340.27800000000002</v>
      </c>
      <c r="V88" s="198">
        <f t="shared" si="205"/>
        <v>-829.09</v>
      </c>
      <c r="W88" s="193">
        <f t="shared" si="205"/>
        <v>-1101.2170000000001</v>
      </c>
      <c r="X88" s="357">
        <f t="shared" si="205"/>
        <v>-3130.2330000000002</v>
      </c>
      <c r="Y88" s="197">
        <f t="shared" si="205"/>
        <v>-849.86</v>
      </c>
      <c r="Z88" s="198">
        <f t="shared" si="205"/>
        <v>-1160.251</v>
      </c>
      <c r="AA88" s="198">
        <f t="shared" si="206"/>
        <v>-1096.115</v>
      </c>
      <c r="AB88" s="193">
        <f t="shared" si="206"/>
        <v>-708.44</v>
      </c>
      <c r="AC88" s="357">
        <f t="shared" si="206"/>
        <v>-3814.6659999999997</v>
      </c>
      <c r="AD88" s="197">
        <f t="shared" si="206"/>
        <v>-735.79399999999998</v>
      </c>
      <c r="AE88" s="198">
        <f t="shared" si="206"/>
        <v>-488.93900000000002</v>
      </c>
      <c r="AF88" s="198">
        <f t="shared" ref="AF88:AJ88" si="212">+AF137</f>
        <v>-310.96199999999999</v>
      </c>
      <c r="AG88" s="193">
        <f t="shared" si="212"/>
        <v>-787.61800000000005</v>
      </c>
      <c r="AH88" s="357">
        <f t="shared" si="212"/>
        <v>-2323.3130000000001</v>
      </c>
      <c r="AI88" s="197">
        <f t="shared" si="212"/>
        <v>-685.25800000000004</v>
      </c>
      <c r="AJ88" s="198">
        <f t="shared" si="212"/>
        <v>-699.4</v>
      </c>
      <c r="AK88" s="198">
        <f t="shared" ref="AK88:AO88" si="213">+AK137</f>
        <v>-910.46</v>
      </c>
      <c r="AL88" s="193">
        <f t="shared" si="213"/>
        <v>-1166.4000000000001</v>
      </c>
      <c r="AM88" s="357">
        <f t="shared" si="213"/>
        <v>-3461.518</v>
      </c>
      <c r="AN88" s="197">
        <f t="shared" si="213"/>
        <v>-1903.67</v>
      </c>
      <c r="AO88" s="198">
        <f t="shared" si="213"/>
        <v>-1516.5260000000001</v>
      </c>
      <c r="AP88" s="198">
        <f t="shared" ref="AP88:AT88" si="214">+AP137</f>
        <v>-809.40300000000002</v>
      </c>
      <c r="AQ88" s="193">
        <f t="shared" si="214"/>
        <v>-1231.7249999999999</v>
      </c>
      <c r="AR88" s="357">
        <f t="shared" si="214"/>
        <v>-5461.3240000000005</v>
      </c>
      <c r="AS88" s="197">
        <f t="shared" si="214"/>
        <v>-811.69</v>
      </c>
      <c r="AT88" s="198">
        <f t="shared" si="214"/>
        <v>-54.646999999999998</v>
      </c>
      <c r="AU88" s="198">
        <f t="shared" ref="AU88:AW88" si="215">+AU137</f>
        <v>-356.57799999999997</v>
      </c>
      <c r="AV88" s="193">
        <f t="shared" si="215"/>
        <v>-362.76600000000002</v>
      </c>
      <c r="AW88" s="357">
        <f t="shared" si="215"/>
        <v>-1585.681</v>
      </c>
      <c r="AX88" s="197">
        <f>+Debt!AW10</f>
        <v>0</v>
      </c>
      <c r="AY88" s="198">
        <f>+Debt!AX10</f>
        <v>-375</v>
      </c>
      <c r="AZ88" s="198">
        <f>+Debt!AY10</f>
        <v>-300</v>
      </c>
      <c r="BA88" s="193">
        <f>+Debt!AZ10</f>
        <v>-85</v>
      </c>
      <c r="BB88" s="357">
        <f>+SUM(AX88:BA88)</f>
        <v>-760</v>
      </c>
      <c r="BC88" s="197">
        <f>+Debt!BB10</f>
        <v>-500</v>
      </c>
      <c r="BD88" s="198">
        <f>+Debt!BC10</f>
        <v>0</v>
      </c>
      <c r="BE88" s="198">
        <f>+Debt!BD10</f>
        <v>-180.76900000000001</v>
      </c>
      <c r="BF88" s="193">
        <f>+Debt!BE10</f>
        <v>0</v>
      </c>
      <c r="BG88" s="357">
        <f>+SUM(BC88:BF88)</f>
        <v>-680.76900000000001</v>
      </c>
      <c r="BH88" s="197">
        <f>+Debt!BG10</f>
        <v>0</v>
      </c>
      <c r="BI88" s="198">
        <f>+Debt!BH10</f>
        <v>0</v>
      </c>
      <c r="BJ88" s="198">
        <f>+Debt!BI10</f>
        <v>-520</v>
      </c>
      <c r="BK88" s="193">
        <f>+Debt!BJ10</f>
        <v>-275</v>
      </c>
      <c r="BL88" s="357">
        <f>+SUM(BH88:BK88)</f>
        <v>-795</v>
      </c>
      <c r="BM88" s="197">
        <f>+Debt!BL10</f>
        <v>-390</v>
      </c>
      <c r="BN88" s="198">
        <f>+Debt!BM10</f>
        <v>-449.22800000000001</v>
      </c>
      <c r="BO88" s="198">
        <f>+Debt!BN10</f>
        <v>-200.76400000000001</v>
      </c>
      <c r="BP88" s="193">
        <f>+Debt!BO10</f>
        <v>0</v>
      </c>
      <c r="BQ88" s="357">
        <f>+SUM(BM88:BP88)</f>
        <v>-1039.9920000000002</v>
      </c>
      <c r="BR88" s="357"/>
      <c r="BS88" s="357"/>
      <c r="BT88" s="357"/>
      <c r="BU88" s="357"/>
      <c r="BV88" s="357"/>
      <c r="BW88" s="356"/>
      <c r="BX88" s="356"/>
      <c r="BY88" s="356"/>
      <c r="BZ88" s="356"/>
      <c r="CA88" s="356"/>
      <c r="CB88" s="356"/>
      <c r="CC88" s="356"/>
      <c r="CD88" s="356"/>
      <c r="CE88" s="356"/>
    </row>
    <row r="89" spans="1:89">
      <c r="A89" s="356"/>
      <c r="B89" s="356"/>
      <c r="C89" s="1279"/>
      <c r="D89" s="356"/>
      <c r="E89" s="321"/>
      <c r="F89" s="322"/>
      <c r="G89" s="322"/>
      <c r="H89" s="323"/>
      <c r="I89" s="357"/>
      <c r="J89" s="197"/>
      <c r="K89" s="198"/>
      <c r="L89" s="198"/>
      <c r="M89" s="193"/>
      <c r="N89" s="357"/>
      <c r="O89" s="197"/>
      <c r="P89" s="198"/>
      <c r="Q89" s="198"/>
      <c r="R89" s="193"/>
      <c r="S89" s="357"/>
      <c r="T89" s="197"/>
      <c r="U89" s="198"/>
      <c r="V89" s="198"/>
      <c r="W89" s="193"/>
      <c r="X89" s="357"/>
      <c r="Y89" s="197"/>
      <c r="Z89" s="198"/>
      <c r="AA89" s="198"/>
      <c r="AB89" s="193"/>
      <c r="AC89" s="357"/>
      <c r="AD89" s="197"/>
      <c r="AE89" s="198"/>
      <c r="AF89" s="198"/>
      <c r="AG89" s="193"/>
      <c r="AH89" s="357"/>
      <c r="AI89" s="197"/>
      <c r="AJ89" s="198"/>
      <c r="AK89" s="198"/>
      <c r="AL89" s="193"/>
      <c r="AM89" s="357"/>
      <c r="AN89" s="197"/>
      <c r="AO89" s="198"/>
      <c r="AP89" s="198"/>
      <c r="AQ89" s="193"/>
      <c r="AR89" s="357"/>
      <c r="AS89" s="197"/>
      <c r="AT89" s="198"/>
      <c r="AU89" s="198"/>
      <c r="AV89" s="193"/>
      <c r="AW89" s="357"/>
      <c r="AX89" s="197"/>
      <c r="AY89" s="198"/>
      <c r="AZ89" s="198"/>
      <c r="BA89" s="193"/>
      <c r="BB89" s="357"/>
      <c r="BC89" s="197"/>
      <c r="BD89" s="198"/>
      <c r="BE89" s="198"/>
      <c r="BF89" s="193"/>
      <c r="BG89" s="357"/>
      <c r="BH89" s="197"/>
      <c r="BI89" s="198"/>
      <c r="BJ89" s="198"/>
      <c r="BK89" s="193"/>
      <c r="BL89" s="357"/>
      <c r="BM89" s="197"/>
      <c r="BN89" s="198"/>
      <c r="BO89" s="198"/>
      <c r="BP89" s="193"/>
      <c r="BQ89" s="357"/>
      <c r="BR89" s="357"/>
      <c r="BS89" s="357"/>
      <c r="BT89" s="357"/>
      <c r="BU89" s="357"/>
      <c r="BV89" s="357"/>
      <c r="BW89" s="356"/>
      <c r="BX89" s="356"/>
      <c r="BY89" s="356"/>
      <c r="BZ89" s="356"/>
      <c r="CA89" s="356"/>
      <c r="CB89" s="356"/>
      <c r="CC89" s="356"/>
      <c r="CD89" s="356"/>
      <c r="CE89" s="356"/>
    </row>
    <row r="90" spans="1:89">
      <c r="A90" s="311"/>
      <c r="B90" s="311"/>
      <c r="C90" s="1278" t="s">
        <v>324</v>
      </c>
      <c r="D90" s="311"/>
      <c r="E90" s="319"/>
      <c r="F90" s="316"/>
      <c r="G90" s="316"/>
      <c r="H90" s="317"/>
      <c r="I90" s="244"/>
      <c r="J90" s="183"/>
      <c r="K90" s="184"/>
      <c r="L90" s="184"/>
      <c r="M90" s="185"/>
      <c r="N90" s="244"/>
      <c r="O90" s="183"/>
      <c r="P90" s="184"/>
      <c r="Q90" s="184"/>
      <c r="R90" s="185"/>
      <c r="S90" s="244"/>
      <c r="T90" s="183"/>
      <c r="U90" s="184"/>
      <c r="V90" s="184"/>
      <c r="W90" s="185"/>
      <c r="X90" s="244"/>
      <c r="Y90" s="183"/>
      <c r="Z90" s="184"/>
      <c r="AA90" s="184"/>
      <c r="AB90" s="185"/>
      <c r="AC90" s="244"/>
      <c r="AD90" s="183"/>
      <c r="AE90" s="184"/>
      <c r="AF90" s="184"/>
      <c r="AG90" s="185"/>
      <c r="AH90" s="244"/>
      <c r="AI90" s="183"/>
      <c r="AJ90" s="184"/>
      <c r="AK90" s="184"/>
      <c r="AL90" s="185"/>
      <c r="AM90" s="244"/>
      <c r="AN90" s="183"/>
      <c r="AO90" s="184"/>
      <c r="AP90" s="184"/>
      <c r="AQ90" s="185"/>
      <c r="AR90" s="244"/>
      <c r="AS90" s="183"/>
      <c r="AT90" s="184"/>
      <c r="AU90" s="184"/>
      <c r="AV90" s="185"/>
      <c r="AW90" s="244"/>
      <c r="AX90" s="183"/>
      <c r="AY90" s="184"/>
      <c r="AZ90" s="184"/>
      <c r="BA90" s="185"/>
      <c r="BB90" s="244"/>
      <c r="BC90" s="183"/>
      <c r="BD90" s="184"/>
      <c r="BE90" s="184"/>
      <c r="BF90" s="185"/>
      <c r="BG90" s="244"/>
      <c r="BH90" s="183"/>
      <c r="BI90" s="184"/>
      <c r="BJ90" s="184"/>
      <c r="BK90" s="185"/>
      <c r="BL90" s="244"/>
      <c r="BM90" s="183"/>
      <c r="BN90" s="184"/>
      <c r="BO90" s="184"/>
      <c r="BP90" s="185"/>
      <c r="BQ90" s="244"/>
      <c r="BR90" s="244"/>
      <c r="BS90" s="244"/>
      <c r="BT90" s="244"/>
      <c r="BU90" s="244"/>
      <c r="BV90" s="244"/>
      <c r="BW90" s="311"/>
      <c r="BX90" s="311"/>
      <c r="BY90" s="311"/>
      <c r="BZ90" s="311"/>
      <c r="CA90" s="311"/>
      <c r="CB90" s="311"/>
      <c r="CC90" s="311"/>
      <c r="CD90" s="311"/>
      <c r="CE90" s="311"/>
    </row>
    <row r="91" spans="1:89">
      <c r="A91" s="311"/>
      <c r="B91" s="311"/>
      <c r="C91" s="1277" t="s">
        <v>707</v>
      </c>
      <c r="D91" s="311"/>
      <c r="E91" s="319"/>
      <c r="F91" s="314"/>
      <c r="G91" s="314"/>
      <c r="H91" s="315"/>
      <c r="I91" s="244"/>
      <c r="J91" s="249"/>
      <c r="K91" s="250"/>
      <c r="L91" s="250"/>
      <c r="M91" s="251"/>
      <c r="N91" s="244"/>
      <c r="O91" s="249"/>
      <c r="P91" s="250"/>
      <c r="Q91" s="250"/>
      <c r="R91" s="251"/>
      <c r="S91" s="244"/>
      <c r="T91" s="249"/>
      <c r="U91" s="250"/>
      <c r="V91" s="178"/>
      <c r="W91" s="251"/>
      <c r="X91" s="244"/>
      <c r="Y91" s="249"/>
      <c r="Z91" s="250"/>
      <c r="AA91" s="250"/>
      <c r="AB91" s="251"/>
      <c r="AC91" s="244"/>
      <c r="AD91" s="249"/>
      <c r="AE91" s="250"/>
      <c r="AF91" s="250"/>
      <c r="AG91" s="251"/>
      <c r="AH91" s="244"/>
      <c r="AI91" s="249"/>
      <c r="AJ91" s="250"/>
      <c r="AK91" s="250"/>
      <c r="AL91" s="251"/>
      <c r="AM91" s="244"/>
      <c r="AN91" s="249"/>
      <c r="AO91" s="250"/>
      <c r="AP91" s="250"/>
      <c r="AQ91" s="251"/>
      <c r="AR91" s="244"/>
      <c r="AS91" s="249"/>
      <c r="AT91" s="250"/>
      <c r="AU91" s="250"/>
      <c r="AV91" s="251"/>
      <c r="AW91" s="244"/>
      <c r="AX91" s="249">
        <f>AX96*((AW203-AS203)-(AW155-AS155))/4</f>
        <v>2.7835349999999988</v>
      </c>
      <c r="AY91" s="250">
        <f>AY96*((AX203-AT203)-(AX155-AT155))/4</f>
        <v>5.311081144192265</v>
      </c>
      <c r="AZ91" s="250">
        <f>AZ96*((AY203-AU203)-(AY155-AU155))/4</f>
        <v>-11.031324010155132</v>
      </c>
      <c r="BA91" s="251">
        <f>BA96*((AZ203-AV203)-(AZ155-AV155))/4</f>
        <v>-7.8166614997343755</v>
      </c>
      <c r="BB91" s="244">
        <f>+SUM(AX91:BA91)</f>
        <v>-10.753369365697242</v>
      </c>
      <c r="BC91" s="249">
        <f>BC96*((BB203-AX203)-(BB155-AX155))/4</f>
        <v>-7.2044611929960674</v>
      </c>
      <c r="BD91" s="250">
        <f>BD96*((BC203-AY203)-(BC155-AY155))/4</f>
        <v>11.311939849318653</v>
      </c>
      <c r="BE91" s="250">
        <f>BE96*((BD203-AZ203)-(BD155-AZ155))/4</f>
        <v>10.228385671972388</v>
      </c>
      <c r="BF91" s="251">
        <f>BF96*((BE203-BA203)-(BE155-BA155))/4</f>
        <v>-3.6356833453561697</v>
      </c>
      <c r="BG91" s="244">
        <f>+SUM(BC91:BF91)</f>
        <v>10.700180982938804</v>
      </c>
      <c r="BH91" s="249">
        <f>BH96*((BG203-BC203)-(BG155-BC155))/4</f>
        <v>-5.606935652148139</v>
      </c>
      <c r="BI91" s="250">
        <f>BI96*((BH203-BD203)-(BH155-BD155))/4</f>
        <v>-6.3554736613203016</v>
      </c>
      <c r="BJ91" s="250">
        <f>BJ96*((BI203-BE203)-(BI155-BE155))/4</f>
        <v>5.6342754957298089</v>
      </c>
      <c r="BK91" s="251">
        <f>BK96*((BJ203-BF203)-(BJ155-BF155))/4</f>
        <v>-5.0929463318000847</v>
      </c>
      <c r="BL91" s="244">
        <f>+SUM(BH91:BK91)</f>
        <v>-11.421080149538717</v>
      </c>
      <c r="BM91" s="249">
        <f>BM96*((BL203-BH203)-(BL155-BH155))/4</f>
        <v>-2.866799434230618</v>
      </c>
      <c r="BN91" s="250">
        <f>BN96*((BM203-BI203)-(BM155-BI155))/4</f>
        <v>-0.53844943458300121</v>
      </c>
      <c r="BO91" s="250">
        <f>BO96*((BN203-BJ203)-(BN155-BJ155))/4</f>
        <v>11.65158915811744</v>
      </c>
      <c r="BP91" s="251">
        <f>BP96*((BO203-BK203)-(BO155-BK155))/4</f>
        <v>-1.267410921003123</v>
      </c>
      <c r="BQ91" s="244">
        <f>+SUM(BM91:BP91)</f>
        <v>6.9789293683006992</v>
      </c>
      <c r="BR91" s="244"/>
      <c r="BS91" s="244"/>
      <c r="BT91" s="244"/>
      <c r="BU91" s="244"/>
      <c r="BV91" s="244"/>
      <c r="BW91" s="311"/>
      <c r="BX91" s="311"/>
      <c r="BY91" s="311"/>
      <c r="BZ91" s="311"/>
      <c r="CA91" s="311"/>
      <c r="CB91" s="311"/>
      <c r="CC91" s="311"/>
      <c r="CD91" s="311"/>
      <c r="CE91" s="311"/>
    </row>
    <row r="92" spans="1:89">
      <c r="A92" s="311"/>
      <c r="B92" s="311"/>
      <c r="C92" s="1277" t="s">
        <v>442</v>
      </c>
      <c r="D92" s="311"/>
      <c r="E92" s="319"/>
      <c r="F92" s="316"/>
      <c r="G92" s="316"/>
      <c r="H92" s="317"/>
      <c r="I92" s="244"/>
      <c r="J92" s="183"/>
      <c r="K92" s="184"/>
      <c r="L92" s="184"/>
      <c r="M92" s="185"/>
      <c r="N92" s="244"/>
      <c r="O92" s="183"/>
      <c r="P92" s="184"/>
      <c r="Q92" s="184"/>
      <c r="R92" s="185"/>
      <c r="S92" s="244"/>
      <c r="T92" s="197"/>
      <c r="U92" s="198"/>
      <c r="V92" s="198"/>
      <c r="W92" s="193"/>
      <c r="X92" s="357"/>
      <c r="Y92" s="197"/>
      <c r="Z92" s="198"/>
      <c r="AA92" s="198"/>
      <c r="AB92" s="193"/>
      <c r="AC92" s="357"/>
      <c r="AD92" s="197"/>
      <c r="AE92" s="198"/>
      <c r="AF92" s="198"/>
      <c r="AG92" s="193"/>
      <c r="AH92" s="357"/>
      <c r="AI92" s="197"/>
      <c r="AJ92" s="198"/>
      <c r="AK92" s="198"/>
      <c r="AL92" s="193"/>
      <c r="AM92" s="357"/>
      <c r="AN92" s="197"/>
      <c r="AO92" s="198"/>
      <c r="AP92" s="198"/>
      <c r="AQ92" s="193"/>
      <c r="AR92" s="357"/>
      <c r="AS92" s="197"/>
      <c r="AT92" s="198"/>
      <c r="AU92" s="198"/>
      <c r="AV92" s="193"/>
      <c r="AW92" s="357"/>
      <c r="AX92" s="197">
        <f>+Debt!DC11</f>
        <v>7.3995833333333332</v>
      </c>
      <c r="AY92" s="198">
        <f>+Debt!DD11</f>
        <v>57.446249999999999</v>
      </c>
      <c r="AZ92" s="198">
        <f>+Debt!DE11</f>
        <v>55.106250000000003</v>
      </c>
      <c r="BA92" s="193">
        <f>+Debt!DF11</f>
        <v>54.237499999999997</v>
      </c>
      <c r="BB92" s="357">
        <f>+SUM(AX92:BA92)</f>
        <v>174.18958333333333</v>
      </c>
      <c r="BC92" s="197">
        <f>+Debt!DH11</f>
        <v>52.5</v>
      </c>
      <c r="BD92" s="198">
        <f>+Debt!DI11</f>
        <v>0</v>
      </c>
      <c r="BE92" s="198">
        <f>+Debt!DJ11</f>
        <v>35.75</v>
      </c>
      <c r="BF92" s="193">
        <f>+Debt!DK11</f>
        <v>35.75</v>
      </c>
      <c r="BG92" s="357">
        <f>+SUM(BC92:BF92)</f>
        <v>124</v>
      </c>
      <c r="BH92" s="197">
        <f>+Debt!DM11</f>
        <v>35.75</v>
      </c>
      <c r="BI92" s="198">
        <f>+Debt!DN11</f>
        <v>35.75</v>
      </c>
      <c r="BJ92" s="198">
        <f>+Debt!DO11</f>
        <v>33</v>
      </c>
      <c r="BK92" s="193">
        <f>+Debt!DP11</f>
        <v>33</v>
      </c>
      <c r="BL92" s="357">
        <f>+SUM(BH92:BK92)</f>
        <v>137.5</v>
      </c>
      <c r="BM92" s="197">
        <f>+Debt!DR11</f>
        <v>33</v>
      </c>
      <c r="BN92" s="198">
        <f>+Debt!DS11</f>
        <v>33</v>
      </c>
      <c r="BO92" s="198">
        <f>+Debt!DT11</f>
        <v>34</v>
      </c>
      <c r="BP92" s="193">
        <f>+Debt!DU11</f>
        <v>34</v>
      </c>
      <c r="BQ92" s="357">
        <f>+SUM(BM92:BP92)</f>
        <v>134</v>
      </c>
      <c r="BR92" s="357"/>
      <c r="BS92" s="357"/>
      <c r="BT92" s="357"/>
      <c r="BU92" s="357"/>
      <c r="BV92" s="357"/>
      <c r="BW92" s="356"/>
      <c r="BX92" s="356"/>
      <c r="BY92" s="356"/>
      <c r="BZ92" s="356"/>
      <c r="CA92" s="356"/>
      <c r="CB92" s="356"/>
      <c r="CC92" s="356"/>
      <c r="CD92" s="356"/>
      <c r="CE92" s="356"/>
    </row>
    <row r="93" spans="1:89">
      <c r="A93" s="311"/>
      <c r="B93" s="311"/>
      <c r="C93" s="1277" t="s">
        <v>443</v>
      </c>
      <c r="D93" s="311"/>
      <c r="E93" s="319"/>
      <c r="F93" s="316"/>
      <c r="G93" s="316"/>
      <c r="H93" s="317"/>
      <c r="I93" s="244"/>
      <c r="J93" s="183"/>
      <c r="K93" s="184"/>
      <c r="L93" s="184"/>
      <c r="M93" s="185"/>
      <c r="N93" s="244"/>
      <c r="O93" s="183"/>
      <c r="P93" s="184"/>
      <c r="Q93" s="184"/>
      <c r="R93" s="185"/>
      <c r="S93" s="244"/>
      <c r="T93" s="197"/>
      <c r="U93" s="198"/>
      <c r="V93" s="198"/>
      <c r="W93" s="193"/>
      <c r="X93" s="357"/>
      <c r="Y93" s="197"/>
      <c r="Z93" s="198"/>
      <c r="AA93" s="198"/>
      <c r="AB93" s="193"/>
      <c r="AC93" s="357"/>
      <c r="AD93" s="197"/>
      <c r="AE93" s="198"/>
      <c r="AF93" s="198"/>
      <c r="AG93" s="193"/>
      <c r="AH93" s="357"/>
      <c r="AI93" s="197"/>
      <c r="AJ93" s="198"/>
      <c r="AK93" s="198"/>
      <c r="AL93" s="193"/>
      <c r="AM93" s="357"/>
      <c r="AN93" s="197"/>
      <c r="AO93" s="198"/>
      <c r="AP93" s="198"/>
      <c r="AQ93" s="193"/>
      <c r="AR93" s="357"/>
      <c r="AS93" s="197"/>
      <c r="AT93" s="198"/>
      <c r="AU93" s="198"/>
      <c r="AV93" s="193"/>
      <c r="AW93" s="357"/>
      <c r="AX93" s="197">
        <f>+Debt!DC10</f>
        <v>-4.1402918999999994</v>
      </c>
      <c r="AY93" s="198">
        <f>+Debt!DD10</f>
        <v>-7.6521377333333334</v>
      </c>
      <c r="AZ93" s="198">
        <f>+Debt!DE10</f>
        <v>-7.9843783999999998</v>
      </c>
      <c r="BA93" s="193">
        <f>+Debt!DF10</f>
        <v>-11.565250000000001</v>
      </c>
      <c r="BB93" s="357">
        <f>+SUM(AX93:BA93)</f>
        <v>-31.342058033333331</v>
      </c>
      <c r="BC93" s="197">
        <f>+Debt!DH10</f>
        <v>-17.240749999999998</v>
      </c>
      <c r="BD93" s="198">
        <f>+Debt!DI10</f>
        <v>-16.459499999999998</v>
      </c>
      <c r="BE93" s="198">
        <f>+Debt!DJ10</f>
        <v>-15.636678083333333</v>
      </c>
      <c r="BF93" s="193">
        <f>+Debt!DK10</f>
        <v>-11.677017125000001</v>
      </c>
      <c r="BG93" s="357">
        <f>+SUM(BC93:BF93)</f>
        <v>-61.013945208333332</v>
      </c>
      <c r="BH93" s="197">
        <f>+Debt!DM10</f>
        <v>-5.7395171249999999</v>
      </c>
      <c r="BI93" s="198">
        <f>+Debt!DN10</f>
        <v>-2.7707671250000003</v>
      </c>
      <c r="BJ93" s="198">
        <f>+Debt!DO10</f>
        <v>-2.4097973750000001</v>
      </c>
      <c r="BK93" s="193">
        <f>+Debt!DP10</f>
        <v>-8.9321249999999992</v>
      </c>
      <c r="BL93" s="357">
        <f>+SUM(BH93:BK93)</f>
        <v>-19.852206625000001</v>
      </c>
      <c r="BM93" s="197">
        <f>+Debt!DR10</f>
        <v>-11.593458333333333</v>
      </c>
      <c r="BN93" s="198">
        <f>+Debt!DS10</f>
        <v>-14.907250099999999</v>
      </c>
      <c r="BO93" s="198">
        <f>+Debt!DT10</f>
        <v>-15.584387299999998</v>
      </c>
      <c r="BP93" s="193">
        <f>+Debt!DU10</f>
        <v>-9.5495183000000008</v>
      </c>
      <c r="BQ93" s="357">
        <f>+SUM(BM93:BP93)</f>
        <v>-51.634614033333328</v>
      </c>
      <c r="BR93" s="357"/>
      <c r="BS93" s="357"/>
      <c r="BT93" s="357"/>
      <c r="BU93" s="357"/>
      <c r="BV93" s="357"/>
      <c r="BW93" s="356"/>
      <c r="BX93" s="356"/>
      <c r="BY93" s="356"/>
      <c r="BZ93" s="356"/>
      <c r="CA93" s="356"/>
      <c r="CB93" s="356"/>
      <c r="CC93" s="356"/>
      <c r="CD93" s="356"/>
      <c r="CE93" s="356"/>
    </row>
    <row r="94" spans="1:89" s="37" customFormat="1">
      <c r="A94" s="327"/>
      <c r="B94" s="327"/>
      <c r="C94" s="1280" t="s">
        <v>450</v>
      </c>
      <c r="D94" s="327"/>
      <c r="E94" s="328"/>
      <c r="F94" s="329"/>
      <c r="G94" s="329"/>
      <c r="H94" s="330"/>
      <c r="I94" s="110"/>
      <c r="J94" s="186"/>
      <c r="K94" s="192"/>
      <c r="L94" s="192"/>
      <c r="M94" s="125"/>
      <c r="N94" s="110"/>
      <c r="O94" s="186"/>
      <c r="P94" s="192"/>
      <c r="Q94" s="192"/>
      <c r="R94" s="125"/>
      <c r="S94" s="110"/>
      <c r="T94" s="180"/>
      <c r="U94" s="181"/>
      <c r="V94" s="181"/>
      <c r="W94" s="182"/>
      <c r="X94" s="110"/>
      <c r="Y94" s="180"/>
      <c r="Z94" s="181"/>
      <c r="AA94" s="181"/>
      <c r="AB94" s="182"/>
      <c r="AC94" s="110"/>
      <c r="AD94" s="180"/>
      <c r="AE94" s="181"/>
      <c r="AF94" s="181"/>
      <c r="AG94" s="182"/>
      <c r="AH94" s="110"/>
      <c r="AI94" s="180"/>
      <c r="AJ94" s="181"/>
      <c r="AK94" s="181"/>
      <c r="AL94" s="182"/>
      <c r="AM94" s="110"/>
      <c r="AN94" s="180"/>
      <c r="AO94" s="181"/>
      <c r="AP94" s="181"/>
      <c r="AQ94" s="182"/>
      <c r="AR94" s="110"/>
      <c r="AS94" s="180"/>
      <c r="AT94" s="181"/>
      <c r="AU94" s="181"/>
      <c r="AV94" s="182"/>
      <c r="AW94" s="110"/>
      <c r="AX94" s="180">
        <f>+SUM(AX91:AX93)</f>
        <v>6.0428264333333335</v>
      </c>
      <c r="AY94" s="181">
        <f>+SUM(AY91:AY93)</f>
        <v>55.105193410858931</v>
      </c>
      <c r="AZ94" s="181">
        <f>+SUM(AZ91:AZ93)</f>
        <v>36.090547589844874</v>
      </c>
      <c r="BA94" s="182">
        <f>+SUM(BA91:BA93)</f>
        <v>34.855588500265625</v>
      </c>
      <c r="BB94" s="110">
        <f>+SUM(AX94:BA94)</f>
        <v>132.09415593430276</v>
      </c>
      <c r="BC94" s="180">
        <f>+SUM(BC91:BC93)</f>
        <v>28.054788807003938</v>
      </c>
      <c r="BD94" s="181">
        <f>+SUM(BD91:BD93)</f>
        <v>-5.1475601506813451</v>
      </c>
      <c r="BE94" s="181">
        <f>+SUM(BE91:BE93)</f>
        <v>30.341707588639057</v>
      </c>
      <c r="BF94" s="182">
        <f>+SUM(BF91:BF93)</f>
        <v>20.43729952964383</v>
      </c>
      <c r="BG94" s="110">
        <f>+SUM(BC94:BF94)</f>
        <v>73.686235774605478</v>
      </c>
      <c r="BH94" s="180">
        <f>+SUM(BH91:BH93)</f>
        <v>24.403547222851863</v>
      </c>
      <c r="BI94" s="181">
        <f>+SUM(BI91:BI93)</f>
        <v>26.623759213679698</v>
      </c>
      <c r="BJ94" s="181">
        <f>+SUM(BJ91:BJ93)</f>
        <v>36.224478120729813</v>
      </c>
      <c r="BK94" s="182">
        <f>+SUM(BK91:BK93)</f>
        <v>18.974928668199915</v>
      </c>
      <c r="BL94" s="110">
        <f>+SUM(BH94:BK94)</f>
        <v>106.22671322546128</v>
      </c>
      <c r="BM94" s="180">
        <f>+SUM(BM91:BM93)</f>
        <v>18.539742232436048</v>
      </c>
      <c r="BN94" s="181">
        <f>+SUM(BN91:BN93)</f>
        <v>17.554300465417001</v>
      </c>
      <c r="BO94" s="181">
        <f>+SUM(BO91:BO93)</f>
        <v>30.067201858117443</v>
      </c>
      <c r="BP94" s="182">
        <f>+SUM(BP91:BP93)</f>
        <v>23.183070778996871</v>
      </c>
      <c r="BQ94" s="110">
        <f>+SUM(BM94:BP94)</f>
        <v>89.344315334967348</v>
      </c>
      <c r="BR94" s="110"/>
      <c r="BS94" s="110"/>
      <c r="BT94" s="110"/>
      <c r="BU94" s="110"/>
      <c r="BV94" s="110"/>
      <c r="BW94" s="110"/>
      <c r="BX94" s="327"/>
      <c r="BY94" s="327"/>
      <c r="BZ94" s="327"/>
      <c r="CA94" s="327"/>
      <c r="CB94" s="327"/>
      <c r="CC94" s="327"/>
      <c r="CD94" s="327"/>
      <c r="CE94" s="327"/>
      <c r="CF94"/>
      <c r="CG94"/>
      <c r="CH94"/>
      <c r="CI94"/>
      <c r="CJ94"/>
      <c r="CK94"/>
    </row>
    <row r="95" spans="1:89">
      <c r="A95" s="233"/>
      <c r="B95" s="233"/>
      <c r="C95" s="1264"/>
      <c r="D95" s="233"/>
      <c r="E95" s="148"/>
      <c r="F95" s="144"/>
      <c r="G95" s="144"/>
      <c r="H95" s="145"/>
      <c r="I95" s="244"/>
      <c r="J95" s="183"/>
      <c r="K95" s="184"/>
      <c r="L95" s="184"/>
      <c r="M95" s="185"/>
      <c r="N95" s="244"/>
      <c r="O95" s="183"/>
      <c r="P95" s="184"/>
      <c r="Q95" s="184"/>
      <c r="R95" s="185"/>
      <c r="S95" s="244"/>
      <c r="T95" s="197"/>
      <c r="U95" s="198"/>
      <c r="V95" s="198"/>
      <c r="W95" s="193"/>
      <c r="X95" s="357"/>
      <c r="Y95" s="197"/>
      <c r="Z95" s="198"/>
      <c r="AA95" s="198"/>
      <c r="AB95" s="193"/>
      <c r="AC95" s="357"/>
      <c r="AD95" s="197"/>
      <c r="AE95" s="198"/>
      <c r="AF95" s="198"/>
      <c r="AG95" s="193"/>
      <c r="AH95" s="357"/>
      <c r="AI95" s="197"/>
      <c r="AJ95" s="198"/>
      <c r="AK95" s="198"/>
      <c r="AL95" s="193"/>
      <c r="AM95" s="357"/>
      <c r="AN95" s="197"/>
      <c r="AO95" s="198"/>
      <c r="AP95" s="198"/>
      <c r="AQ95" s="193"/>
      <c r="AR95" s="357"/>
      <c r="AS95" s="197"/>
      <c r="AT95" s="198"/>
      <c r="AU95" s="198"/>
      <c r="AV95" s="193"/>
      <c r="AW95" s="357"/>
      <c r="AX95" s="197"/>
      <c r="AY95" s="198"/>
      <c r="AZ95" s="198"/>
      <c r="BA95" s="193"/>
      <c r="BB95" s="357"/>
      <c r="BC95" s="197"/>
      <c r="BD95" s="198"/>
      <c r="BE95" s="198"/>
      <c r="BF95" s="193"/>
      <c r="BG95" s="357"/>
      <c r="BH95" s="197"/>
      <c r="BI95" s="198"/>
      <c r="BJ95" s="198"/>
      <c r="BK95" s="193"/>
      <c r="BL95" s="357"/>
      <c r="BM95" s="197"/>
      <c r="BN95" s="198"/>
      <c r="BO95" s="198"/>
      <c r="BP95" s="193"/>
      <c r="BQ95" s="357"/>
      <c r="BR95" s="357"/>
      <c r="BS95" s="357"/>
      <c r="BT95" s="357"/>
      <c r="BU95" s="357"/>
      <c r="BV95" s="357"/>
      <c r="BW95" s="16"/>
      <c r="BX95" s="16"/>
      <c r="BY95" s="16"/>
      <c r="BZ95" s="16"/>
      <c r="CA95" s="16"/>
      <c r="CB95" s="16"/>
      <c r="CC95" s="16"/>
      <c r="CD95" s="16"/>
      <c r="CE95" s="16"/>
    </row>
    <row r="96" spans="1:89">
      <c r="A96" s="233"/>
      <c r="B96" s="233"/>
      <c r="C96" s="1277" t="s">
        <v>456</v>
      </c>
      <c r="D96" s="233"/>
      <c r="E96" s="300"/>
      <c r="F96" s="301"/>
      <c r="G96" s="301"/>
      <c r="H96" s="302"/>
      <c r="I96" s="233"/>
      <c r="J96" s="300"/>
      <c r="K96" s="301"/>
      <c r="L96" s="301"/>
      <c r="M96" s="302"/>
      <c r="N96" s="233"/>
      <c r="O96" s="300"/>
      <c r="P96" s="301"/>
      <c r="Q96" s="301"/>
      <c r="R96" s="302"/>
      <c r="S96" s="233"/>
      <c r="T96" s="300"/>
      <c r="U96" s="301"/>
      <c r="V96" s="301"/>
      <c r="W96" s="302"/>
      <c r="X96" s="552"/>
      <c r="Y96" s="505"/>
      <c r="Z96" s="506"/>
      <c r="AA96" s="506"/>
      <c r="AB96" s="510"/>
      <c r="AC96" s="552"/>
      <c r="AD96" s="505"/>
      <c r="AE96" s="506"/>
      <c r="AF96" s="506"/>
      <c r="AG96" s="510"/>
      <c r="AH96" s="552"/>
      <c r="AI96" s="505"/>
      <c r="AJ96" s="506"/>
      <c r="AK96" s="506"/>
      <c r="AL96" s="510"/>
      <c r="AM96" s="552"/>
      <c r="AN96" s="505"/>
      <c r="AO96" s="506"/>
      <c r="AP96" s="506"/>
      <c r="AQ96" s="510"/>
      <c r="AR96" s="552"/>
      <c r="AS96" s="505"/>
      <c r="AT96" s="506"/>
      <c r="AU96" s="506"/>
      <c r="AV96" s="510"/>
      <c r="AW96" s="552"/>
      <c r="AX96" s="505">
        <f>+AY96</f>
        <v>0.02</v>
      </c>
      <c r="AY96" s="506">
        <f>+AZ96</f>
        <v>0.02</v>
      </c>
      <c r="AZ96" s="506">
        <f>+BA96</f>
        <v>0.02</v>
      </c>
      <c r="BA96" s="510">
        <f>+BB96</f>
        <v>0.02</v>
      </c>
      <c r="BB96" s="552">
        <v>0.02</v>
      </c>
      <c r="BC96" s="505">
        <f>+BD96</f>
        <v>0.02</v>
      </c>
      <c r="BD96" s="506">
        <f>+BE96</f>
        <v>0.02</v>
      </c>
      <c r="BE96" s="506">
        <f>+BF96</f>
        <v>0.02</v>
      </c>
      <c r="BF96" s="510">
        <f>+BG96</f>
        <v>0.02</v>
      </c>
      <c r="BG96" s="552">
        <v>0.02</v>
      </c>
      <c r="BH96" s="505">
        <f>+BI96</f>
        <v>0.02</v>
      </c>
      <c r="BI96" s="506">
        <f>+BJ96</f>
        <v>0.02</v>
      </c>
      <c r="BJ96" s="506">
        <f>+BK96</f>
        <v>0.02</v>
      </c>
      <c r="BK96" s="510">
        <f>+BL96</f>
        <v>0.02</v>
      </c>
      <c r="BL96" s="552">
        <v>0.02</v>
      </c>
      <c r="BM96" s="505">
        <f>+BN96</f>
        <v>0.02</v>
      </c>
      <c r="BN96" s="506">
        <f>+BO96</f>
        <v>0.02</v>
      </c>
      <c r="BO96" s="506">
        <f>+BP96</f>
        <v>0.02</v>
      </c>
      <c r="BP96" s="510">
        <f>+BQ96</f>
        <v>0.02</v>
      </c>
      <c r="BQ96" s="552">
        <v>0.02</v>
      </c>
      <c r="BR96" s="233"/>
      <c r="BS96" s="233"/>
      <c r="BT96" s="233"/>
      <c r="BU96" s="233"/>
      <c r="BV96" s="233"/>
      <c r="BW96" s="233"/>
      <c r="BX96" s="233"/>
      <c r="BY96" s="233"/>
      <c r="BZ96" s="233"/>
      <c r="CA96" s="233"/>
      <c r="CB96" s="233"/>
      <c r="CC96" s="233"/>
      <c r="CD96" s="233"/>
      <c r="CE96" s="233"/>
    </row>
    <row r="97" spans="1:89">
      <c r="A97" s="233"/>
      <c r="B97" s="233"/>
      <c r="C97" s="1277"/>
      <c r="D97" s="233"/>
      <c r="E97" s="148"/>
      <c r="F97" s="242"/>
      <c r="G97" s="242"/>
      <c r="H97" s="243"/>
      <c r="I97" s="233"/>
      <c r="J97" s="241"/>
      <c r="K97" s="242"/>
      <c r="L97" s="242"/>
      <c r="M97" s="243"/>
      <c r="N97" s="233"/>
      <c r="O97" s="241"/>
      <c r="P97" s="242"/>
      <c r="Q97" s="242"/>
      <c r="R97" s="243"/>
      <c r="S97" s="233"/>
      <c r="T97" s="241"/>
      <c r="U97" s="242"/>
      <c r="V97" s="242"/>
      <c r="W97" s="243"/>
      <c r="X97" s="233"/>
      <c r="Y97" s="241"/>
      <c r="Z97" s="242"/>
      <c r="AA97" s="242"/>
      <c r="AB97" s="243"/>
      <c r="AC97" s="233"/>
      <c r="AD97" s="241"/>
      <c r="AE97" s="242"/>
      <c r="AF97" s="242"/>
      <c r="AG97" s="243"/>
      <c r="AH97" s="233"/>
      <c r="AI97" s="241"/>
      <c r="AJ97" s="242"/>
      <c r="AK97" s="242"/>
      <c r="AL97" s="243"/>
      <c r="AM97" s="233"/>
      <c r="AN97" s="241"/>
      <c r="AO97" s="242"/>
      <c r="AP97" s="242"/>
      <c r="AQ97" s="243"/>
      <c r="AR97" s="233"/>
      <c r="AS97" s="241"/>
      <c r="AT97" s="242"/>
      <c r="AU97" s="242"/>
      <c r="AV97" s="243"/>
      <c r="AW97" s="233"/>
      <c r="AX97" s="241"/>
      <c r="AY97" s="242"/>
      <c r="AZ97" s="242"/>
      <c r="BA97" s="243"/>
      <c r="BB97" s="233"/>
      <c r="BC97" s="241"/>
      <c r="BD97" s="242"/>
      <c r="BE97" s="242"/>
      <c r="BF97" s="243"/>
      <c r="BG97" s="233"/>
      <c r="BH97" s="241"/>
      <c r="BI97" s="242"/>
      <c r="BJ97" s="242"/>
      <c r="BK97" s="243"/>
      <c r="BL97" s="233"/>
      <c r="BM97" s="241"/>
      <c r="BN97" s="242"/>
      <c r="BO97" s="242"/>
      <c r="BP97" s="243"/>
      <c r="BQ97" s="233"/>
      <c r="BR97" s="233"/>
      <c r="BS97" s="233"/>
      <c r="BT97" s="233"/>
      <c r="BU97" s="233"/>
      <c r="BV97" s="233"/>
      <c r="BW97" s="233"/>
      <c r="BX97" s="233"/>
      <c r="BY97" s="233"/>
      <c r="BZ97" s="233"/>
      <c r="CA97" s="233"/>
      <c r="CB97" s="233"/>
      <c r="CC97" s="233"/>
      <c r="CD97" s="233"/>
      <c r="CE97" s="233"/>
    </row>
    <row r="98" spans="1:89">
      <c r="A98" s="233"/>
      <c r="B98" s="233"/>
      <c r="C98" s="1278" t="s">
        <v>459</v>
      </c>
      <c r="D98" s="233"/>
      <c r="E98" s="148"/>
      <c r="F98" s="144"/>
      <c r="G98" s="144"/>
      <c r="H98" s="145"/>
      <c r="I98" s="33"/>
      <c r="J98" s="148"/>
      <c r="K98" s="144"/>
      <c r="L98" s="144"/>
      <c r="M98" s="145"/>
      <c r="N98" s="33"/>
      <c r="O98" s="148"/>
      <c r="P98" s="144"/>
      <c r="Q98" s="144"/>
      <c r="R98" s="145"/>
      <c r="S98" s="33"/>
      <c r="T98" s="148"/>
      <c r="U98" s="144"/>
      <c r="V98" s="144"/>
      <c r="W98" s="145"/>
      <c r="X98" s="33"/>
      <c r="Y98" s="148"/>
      <c r="Z98" s="144"/>
      <c r="AA98" s="144"/>
      <c r="AB98" s="145"/>
      <c r="AC98" s="33"/>
      <c r="AD98" s="148"/>
      <c r="AE98" s="144"/>
      <c r="AF98" s="144"/>
      <c r="AG98" s="145"/>
      <c r="AH98" s="33"/>
      <c r="AI98" s="148"/>
      <c r="AJ98" s="144"/>
      <c r="AK98" s="144"/>
      <c r="AL98" s="145"/>
      <c r="AM98" s="33"/>
      <c r="AN98" s="148"/>
      <c r="AO98" s="144"/>
      <c r="AP98" s="144"/>
      <c r="AQ98" s="145"/>
      <c r="AR98" s="33"/>
      <c r="AS98" s="148"/>
      <c r="AT98" s="144"/>
      <c r="AU98" s="144"/>
      <c r="AV98" s="145"/>
      <c r="AW98" s="33"/>
      <c r="AX98" s="148"/>
      <c r="AY98" s="144"/>
      <c r="AZ98" s="144"/>
      <c r="BA98" s="145"/>
      <c r="BB98" s="33"/>
      <c r="BC98" s="148"/>
      <c r="BD98" s="144"/>
      <c r="BE98" s="144"/>
      <c r="BF98" s="145"/>
      <c r="BG98" s="33"/>
      <c r="BH98" s="148"/>
      <c r="BI98" s="144"/>
      <c r="BJ98" s="144"/>
      <c r="BK98" s="145"/>
      <c r="BL98" s="33"/>
      <c r="BM98" s="148"/>
      <c r="BN98" s="144"/>
      <c r="BO98" s="144"/>
      <c r="BP98" s="145"/>
      <c r="BQ98" s="33"/>
      <c r="BR98" s="233"/>
      <c r="BS98" s="233"/>
      <c r="BT98" s="233"/>
      <c r="BU98" s="233"/>
      <c r="BV98" s="233"/>
      <c r="BW98" s="233"/>
      <c r="BX98" s="233"/>
      <c r="BY98" s="233"/>
      <c r="BZ98" s="233"/>
      <c r="CA98" s="233"/>
      <c r="CB98" s="233"/>
      <c r="CC98" s="233"/>
      <c r="CD98" s="233"/>
      <c r="CE98" s="233"/>
    </row>
    <row r="99" spans="1:89">
      <c r="A99" s="16"/>
      <c r="B99" s="16"/>
      <c r="C99" s="1279" t="s">
        <v>55</v>
      </c>
      <c r="D99" s="16"/>
      <c r="E99" s="161">
        <f t="shared" ref="E99:AC99" si="216">+SUM(E36:E36)/(E34-E22)</f>
        <v>0.42192675554819425</v>
      </c>
      <c r="F99" s="163">
        <f t="shared" si="216"/>
        <v>0.29556526559493906</v>
      </c>
      <c r="G99" s="163">
        <f t="shared" si="216"/>
        <v>0.38634575667770277</v>
      </c>
      <c r="H99" s="164">
        <f t="shared" si="216"/>
        <v>0.24335359655788311</v>
      </c>
      <c r="I99" s="28">
        <f t="shared" si="216"/>
        <v>0.34685034082593075</v>
      </c>
      <c r="J99" s="161">
        <f t="shared" si="216"/>
        <v>0.41813065007941619</v>
      </c>
      <c r="K99" s="163">
        <f t="shared" si="216"/>
        <v>0.40260430035342681</v>
      </c>
      <c r="L99" s="163">
        <f t="shared" si="216"/>
        <v>0.2766194288008656</v>
      </c>
      <c r="M99" s="164">
        <f t="shared" si="216"/>
        <v>0.26912433517043982</v>
      </c>
      <c r="N99" s="28">
        <f t="shared" si="216"/>
        <v>0.33762799050194109</v>
      </c>
      <c r="O99" s="161">
        <f t="shared" si="216"/>
        <v>0.4099700728086878</v>
      </c>
      <c r="P99" s="163">
        <f t="shared" si="216"/>
        <v>0.33485729750353849</v>
      </c>
      <c r="Q99" s="163">
        <f t="shared" si="216"/>
        <v>-0.24192867093671708</v>
      </c>
      <c r="R99" s="164">
        <f t="shared" si="216"/>
        <v>0.40001153141645773</v>
      </c>
      <c r="S99" s="28">
        <f t="shared" si="216"/>
        <v>0.18241096518896596</v>
      </c>
      <c r="T99" s="161">
        <f t="shared" si="216"/>
        <v>9.4621193979288411E-4</v>
      </c>
      <c r="U99" s="163">
        <f t="shared" si="216"/>
        <v>-0.55520672421626549</v>
      </c>
      <c r="V99" s="163">
        <f t="shared" si="216"/>
        <v>0.41758729257853661</v>
      </c>
      <c r="W99" s="164">
        <f t="shared" si="216"/>
        <v>-0.39486331558685345</v>
      </c>
      <c r="X99" s="28">
        <f t="shared" si="216"/>
        <v>3.8259849539778221E-2</v>
      </c>
      <c r="Y99" s="161">
        <f t="shared" si="216"/>
        <v>0.43039218220831998</v>
      </c>
      <c r="Z99" s="163">
        <f t="shared" si="216"/>
        <v>0.3250636895949206</v>
      </c>
      <c r="AA99" s="163">
        <f t="shared" si="216"/>
        <v>9.7797728820715316E-2</v>
      </c>
      <c r="AB99" s="164">
        <f t="shared" si="216"/>
        <v>8.193801954714687E-2</v>
      </c>
      <c r="AC99" s="28">
        <f t="shared" si="216"/>
        <v>0.25376866928691783</v>
      </c>
      <c r="AD99" s="161">
        <f t="shared" ref="AD99:AH99" si="217">+SUM(AD36:AD36)/(AD34-AD22)</f>
        <v>0.35691654740166806</v>
      </c>
      <c r="AE99" s="163">
        <f t="shared" si="217"/>
        <v>0.41767671524416372</v>
      </c>
      <c r="AF99" s="163">
        <f t="shared" si="217"/>
        <v>0.42576011201650826</v>
      </c>
      <c r="AG99" s="164">
        <f t="shared" si="217"/>
        <v>0.43455461366691128</v>
      </c>
      <c r="AH99" s="28">
        <f t="shared" si="217"/>
        <v>0.39702111441215493</v>
      </c>
      <c r="AI99" s="161">
        <f t="shared" ref="AI99:AM99" si="218">+SUM(AI36:AI36)/(AI34-AI22)</f>
        <v>0.34069265637523705</v>
      </c>
      <c r="AJ99" s="163">
        <f t="shared" si="218"/>
        <v>0.4131222337690294</v>
      </c>
      <c r="AK99" s="163">
        <f t="shared" si="218"/>
        <v>0.3342327051972363</v>
      </c>
      <c r="AL99" s="164">
        <f>+SUM(AL36:AL36)/(AL34-AL22)</f>
        <v>1.2088201263764242</v>
      </c>
      <c r="AM99" s="28">
        <f t="shared" si="218"/>
        <v>0.75499108116899671</v>
      </c>
      <c r="AN99" s="161">
        <f t="shared" ref="AN99:AP99" si="219">+SUM(AN36:AN36)/(AN34-AN22)</f>
        <v>0.39282255687639506</v>
      </c>
      <c r="AO99" s="163">
        <f t="shared" si="219"/>
        <v>-0.80376876067368985</v>
      </c>
      <c r="AP99" s="163">
        <f t="shared" si="219"/>
        <v>0.4057301163044964</v>
      </c>
      <c r="AQ99" s="164">
        <f>+SUM(AQ36:AQ36)/(AQ34-AQ22)</f>
        <v>0.35119534888454945</v>
      </c>
      <c r="AR99" s="28">
        <f t="shared" ref="AR99:AT99" si="220">+SUM(AR36:AR36)/(AR34-AR22)</f>
        <v>0.56388939678816008</v>
      </c>
      <c r="AS99" s="161">
        <f t="shared" si="220"/>
        <v>0.10377509825415059</v>
      </c>
      <c r="AT99" s="163">
        <f t="shared" si="220"/>
        <v>-6.2567186340014391</v>
      </c>
      <c r="AU99" s="159">
        <f t="shared" ref="AU99" si="221">+SUM(AU36:AU36)/(AU34-AU22)</f>
        <v>0.39055824493903246</v>
      </c>
      <c r="AV99" s="164">
        <f>+SUM(AV36:AV36)/(AV34-AV22)</f>
        <v>5.0390570021112087</v>
      </c>
      <c r="AW99" s="28">
        <f t="shared" ref="AW99" si="222">+SUM(AW36:AW36)/(AW34-AW22)</f>
        <v>0.62161806068729952</v>
      </c>
      <c r="AX99" s="158">
        <f>+AY99</f>
        <v>0.38</v>
      </c>
      <c r="AY99" s="159">
        <f>+AZ99</f>
        <v>0.38</v>
      </c>
      <c r="AZ99" s="159">
        <f>+BA99</f>
        <v>0.38</v>
      </c>
      <c r="BA99" s="160">
        <f>+BB99</f>
        <v>0.38</v>
      </c>
      <c r="BB99" s="1046">
        <v>0.38</v>
      </c>
      <c r="BC99" s="158">
        <f>+BD99</f>
        <v>0.38</v>
      </c>
      <c r="BD99" s="159">
        <f>+BE99</f>
        <v>0.38</v>
      </c>
      <c r="BE99" s="159">
        <f>+BF99</f>
        <v>0.38</v>
      </c>
      <c r="BF99" s="160">
        <f>+BG99</f>
        <v>0.38</v>
      </c>
      <c r="BG99" s="1046">
        <v>0.38</v>
      </c>
      <c r="BH99" s="158">
        <f>+BI99</f>
        <v>0.38</v>
      </c>
      <c r="BI99" s="159">
        <f>+BJ99</f>
        <v>0.38</v>
      </c>
      <c r="BJ99" s="159">
        <f>+BK99</f>
        <v>0.38</v>
      </c>
      <c r="BK99" s="160">
        <f>+BL99</f>
        <v>0.38</v>
      </c>
      <c r="BL99" s="1046">
        <v>0.38</v>
      </c>
      <c r="BM99" s="158">
        <f>+BN99</f>
        <v>0.38</v>
      </c>
      <c r="BN99" s="159">
        <f>+BO99</f>
        <v>0.38</v>
      </c>
      <c r="BO99" s="159">
        <f>+BP99</f>
        <v>0.38</v>
      </c>
      <c r="BP99" s="160">
        <f>+BQ99</f>
        <v>0.38</v>
      </c>
      <c r="BQ99" s="1046">
        <v>0.38</v>
      </c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</row>
    <row r="100" spans="1:89">
      <c r="A100" s="233"/>
      <c r="B100" s="233"/>
      <c r="C100" s="1277" t="s">
        <v>448</v>
      </c>
      <c r="D100" s="233"/>
      <c r="E100" s="303">
        <f t="shared" ref="E100:AC100" si="223">+SUM(E36:E36)/E34</f>
        <v>0.40420051613990765</v>
      </c>
      <c r="F100" s="304">
        <f t="shared" si="223"/>
        <v>0.28109920236190183</v>
      </c>
      <c r="G100" s="304">
        <f t="shared" si="223"/>
        <v>0.37864055383543477</v>
      </c>
      <c r="H100" s="305">
        <f t="shared" si="223"/>
        <v>0.23633013718978929</v>
      </c>
      <c r="I100" s="306">
        <f t="shared" si="223"/>
        <v>0.33588669650014069</v>
      </c>
      <c r="J100" s="303">
        <f t="shared" si="223"/>
        <v>0.40296153604784746</v>
      </c>
      <c r="K100" s="304">
        <f t="shared" si="223"/>
        <v>0.38906124785346324</v>
      </c>
      <c r="L100" s="304">
        <f t="shared" si="223"/>
        <v>0.27051427248632698</v>
      </c>
      <c r="M100" s="305">
        <f t="shared" si="223"/>
        <v>0.25766201877814898</v>
      </c>
      <c r="N100" s="306">
        <f t="shared" si="223"/>
        <v>0.32700641680405867</v>
      </c>
      <c r="O100" s="303">
        <f t="shared" si="223"/>
        <v>0.39301027928255561</v>
      </c>
      <c r="P100" s="304">
        <f t="shared" si="223"/>
        <v>0.32012019908769174</v>
      </c>
      <c r="Q100" s="304">
        <f t="shared" si="223"/>
        <v>-0.23180033389241519</v>
      </c>
      <c r="R100" s="305">
        <f t="shared" si="223"/>
        <v>0.36044968787217596</v>
      </c>
      <c r="S100" s="306">
        <f t="shared" si="223"/>
        <v>0.17311135770590241</v>
      </c>
      <c r="T100" s="303">
        <f t="shared" si="223"/>
        <v>1.1027760003267475E-3</v>
      </c>
      <c r="U100" s="304">
        <f t="shared" si="223"/>
        <v>-0.49198814728925622</v>
      </c>
      <c r="V100" s="304">
        <f t="shared" si="223"/>
        <v>0.4042314225459121</v>
      </c>
      <c r="W100" s="305">
        <f t="shared" si="223"/>
        <v>-0.35623301058117807</v>
      </c>
      <c r="X100" s="306">
        <f t="shared" si="223"/>
        <v>3.4313147646065807E-2</v>
      </c>
      <c r="Y100" s="303">
        <f t="shared" si="223"/>
        <v>0.41103563089468809</v>
      </c>
      <c r="Z100" s="304">
        <f t="shared" si="223"/>
        <v>0.30316211105951019</v>
      </c>
      <c r="AA100" s="304">
        <f t="shared" si="223"/>
        <v>9.1365099447410905E-2</v>
      </c>
      <c r="AB100" s="305">
        <f t="shared" si="223"/>
        <v>7.2205330652478292E-2</v>
      </c>
      <c r="AC100" s="306">
        <f t="shared" si="223"/>
        <v>0.23624514271556338</v>
      </c>
      <c r="AD100" s="303">
        <f t="shared" ref="AD100:AH100" si="224">+SUM(AD36:AD36)/AD34</f>
        <v>0.34824941133416476</v>
      </c>
      <c r="AE100" s="304">
        <f t="shared" si="224"/>
        <v>0.39855552528604699</v>
      </c>
      <c r="AF100" s="304">
        <f t="shared" si="224"/>
        <v>0.40779618887720914</v>
      </c>
      <c r="AG100" s="305">
        <f t="shared" si="224"/>
        <v>0.3964804712016618</v>
      </c>
      <c r="AH100" s="306">
        <f t="shared" si="224"/>
        <v>0.38042099449367461</v>
      </c>
      <c r="AI100" s="303">
        <f t="shared" ref="AI100:AM100" si="225">+SUM(AI36:AI36)/AI34</f>
        <v>0.33187251874724288</v>
      </c>
      <c r="AJ100" s="304">
        <f t="shared" si="225"/>
        <v>0.39360875413703156</v>
      </c>
      <c r="AK100" s="304">
        <f t="shared" si="225"/>
        <v>0.33858152423155785</v>
      </c>
      <c r="AL100" s="305">
        <f t="shared" si="225"/>
        <v>1.249242867262869</v>
      </c>
      <c r="AM100" s="306">
        <f t="shared" si="225"/>
        <v>0.80399944476472085</v>
      </c>
      <c r="AN100" s="303">
        <f t="shared" ref="AN100:AR100" si="226">+SUM(AN36:AN36)/AN34</f>
        <v>0.37300066366905066</v>
      </c>
      <c r="AO100" s="304">
        <f t="shared" si="226"/>
        <v>-0.76934462651838476</v>
      </c>
      <c r="AP100" s="304">
        <f t="shared" si="226"/>
        <v>0.39610204112976283</v>
      </c>
      <c r="AQ100" s="305">
        <f t="shared" si="226"/>
        <v>0.35367920646518847</v>
      </c>
      <c r="AR100" s="306">
        <f t="shared" si="226"/>
        <v>0.59146148178919389</v>
      </c>
      <c r="AS100" s="303">
        <f t="shared" ref="AS100:AT100" si="227">+SUM(AS36:AS36)/AS34</f>
        <v>8.2748843456200469E-2</v>
      </c>
      <c r="AT100" s="304">
        <f t="shared" si="227"/>
        <v>-4.4207931179185671</v>
      </c>
      <c r="AU100" s="304">
        <f t="shared" ref="AU100:AW100" si="228">+SUM(AU36:AU36)/AU34</f>
        <v>0.37578542798928877</v>
      </c>
      <c r="AV100" s="305">
        <f t="shared" si="228"/>
        <v>4.0807439739920088</v>
      </c>
      <c r="AW100" s="306">
        <f t="shared" si="228"/>
        <v>0.56055078761430321</v>
      </c>
      <c r="AX100" s="303">
        <f t="shared" ref="AX100:BB100" si="229">+SUM(AX36:AX36)/AX34</f>
        <v>0.25560627122060758</v>
      </c>
      <c r="AY100" s="304">
        <f t="shared" si="229"/>
        <v>0.26953156055705391</v>
      </c>
      <c r="AZ100" s="304">
        <f t="shared" si="229"/>
        <v>0.32472023433575914</v>
      </c>
      <c r="BA100" s="305">
        <f t="shared" si="229"/>
        <v>0.19940917937301347</v>
      </c>
      <c r="BB100" s="306">
        <f t="shared" si="229"/>
        <v>0.28176463007306296</v>
      </c>
      <c r="BC100" s="303">
        <f t="shared" ref="BC100:BL100" si="230">+SUM(BC36:BC36)/BC34</f>
        <v>0.3495128761880848</v>
      </c>
      <c r="BD100" s="304">
        <f t="shared" si="230"/>
        <v>0.34992114144878428</v>
      </c>
      <c r="BE100" s="304">
        <f t="shared" si="230"/>
        <v>0.36227293800474947</v>
      </c>
      <c r="BF100" s="305">
        <f t="shared" si="230"/>
        <v>0.31479745915613483</v>
      </c>
      <c r="BG100" s="306">
        <f t="shared" si="230"/>
        <v>0.35097124997133378</v>
      </c>
      <c r="BH100" s="303">
        <f t="shared" si="230"/>
        <v>0.35770797056208636</v>
      </c>
      <c r="BI100" s="304">
        <f t="shared" si="230"/>
        <v>0.35118892993662038</v>
      </c>
      <c r="BJ100" s="304">
        <f t="shared" si="230"/>
        <v>0.36295999469034174</v>
      </c>
      <c r="BK100" s="305">
        <f t="shared" si="230"/>
        <v>0.31969734386107679</v>
      </c>
      <c r="BL100" s="306">
        <f t="shared" si="230"/>
        <v>0.35416628284248391</v>
      </c>
      <c r="BM100" s="303">
        <f t="shared" ref="BM100:BQ100" si="231">+SUM(BM36:BM36)/BM34</f>
        <v>0.3486786654086832</v>
      </c>
      <c r="BN100" s="304">
        <f t="shared" si="231"/>
        <v>0.35140614790313823</v>
      </c>
      <c r="BO100" s="304">
        <f t="shared" si="231"/>
        <v>0.36197970564378773</v>
      </c>
      <c r="BP100" s="305">
        <f t="shared" si="231"/>
        <v>0.32345343756088607</v>
      </c>
      <c r="BQ100" s="306">
        <f t="shared" si="231"/>
        <v>0.35144431838320261</v>
      </c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</row>
    <row r="101" spans="1:89">
      <c r="A101" s="233"/>
      <c r="B101" s="233"/>
      <c r="C101" s="1277"/>
      <c r="D101" s="233"/>
      <c r="E101" s="303"/>
      <c r="F101" s="304"/>
      <c r="G101" s="304"/>
      <c r="H101" s="305"/>
      <c r="I101" s="306"/>
      <c r="J101" s="303"/>
      <c r="K101" s="304"/>
      <c r="L101" s="304"/>
      <c r="M101" s="305"/>
      <c r="N101" s="306"/>
      <c r="O101" s="303"/>
      <c r="P101" s="304"/>
      <c r="Q101" s="304"/>
      <c r="R101" s="305"/>
      <c r="S101" s="306"/>
      <c r="T101" s="303"/>
      <c r="U101" s="304"/>
      <c r="V101" s="304"/>
      <c r="W101" s="305"/>
      <c r="X101" s="306"/>
      <c r="Y101" s="303"/>
      <c r="Z101" s="304"/>
      <c r="AA101" s="304"/>
      <c r="AB101" s="305"/>
      <c r="AC101" s="306"/>
      <c r="AD101" s="303"/>
      <c r="AE101" s="304"/>
      <c r="AF101" s="304"/>
      <c r="AG101" s="305"/>
      <c r="AH101" s="306"/>
      <c r="AI101" s="303"/>
      <c r="AJ101" s="304"/>
      <c r="AK101" s="304"/>
      <c r="AL101" s="305"/>
      <c r="AM101" s="306"/>
      <c r="AN101" s="303"/>
      <c r="AO101" s="304"/>
      <c r="AP101" s="304"/>
      <c r="AQ101" s="305"/>
      <c r="AR101" s="306"/>
      <c r="AS101" s="303"/>
      <c r="AT101" s="304"/>
      <c r="AU101" s="304"/>
      <c r="AV101" s="305"/>
      <c r="AW101" s="306"/>
      <c r="AX101" s="303"/>
      <c r="AY101" s="304"/>
      <c r="AZ101" s="304"/>
      <c r="BA101" s="305"/>
      <c r="BB101" s="306"/>
      <c r="BC101" s="303"/>
      <c r="BD101" s="304"/>
      <c r="BE101" s="304"/>
      <c r="BF101" s="305"/>
      <c r="BG101" s="306"/>
      <c r="BH101" s="303"/>
      <c r="BI101" s="304"/>
      <c r="BJ101" s="304"/>
      <c r="BK101" s="305"/>
      <c r="BL101" s="306"/>
      <c r="BM101" s="303"/>
      <c r="BN101" s="304"/>
      <c r="BO101" s="304"/>
      <c r="BP101" s="305"/>
      <c r="BQ101" s="306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</row>
    <row r="102" spans="1:89">
      <c r="A102" s="233"/>
      <c r="B102" s="233"/>
      <c r="C102" s="1277" t="s">
        <v>846</v>
      </c>
      <c r="D102" s="244"/>
      <c r="E102" s="249"/>
      <c r="F102" s="250"/>
      <c r="G102" s="250"/>
      <c r="H102" s="251"/>
      <c r="I102" s="244"/>
      <c r="J102" s="249"/>
      <c r="K102" s="250"/>
      <c r="L102" s="250"/>
      <c r="M102" s="251"/>
      <c r="N102" s="244"/>
      <c r="O102" s="249"/>
      <c r="P102" s="250"/>
      <c r="Q102" s="250"/>
      <c r="R102" s="251"/>
      <c r="S102" s="244"/>
      <c r="T102" s="249"/>
      <c r="U102" s="250"/>
      <c r="V102" s="250"/>
      <c r="W102" s="251"/>
      <c r="X102" s="244"/>
      <c r="Y102" s="249"/>
      <c r="Z102" s="250"/>
      <c r="AA102" s="250"/>
      <c r="AB102" s="251"/>
      <c r="AC102" s="244"/>
      <c r="AD102" s="249"/>
      <c r="AE102" s="250"/>
      <c r="AF102" s="250"/>
      <c r="AG102" s="251"/>
      <c r="AH102" s="244"/>
      <c r="AI102" s="249"/>
      <c r="AJ102" s="250"/>
      <c r="AK102" s="250"/>
      <c r="AL102" s="251"/>
      <c r="AM102" s="244"/>
      <c r="AN102" s="249"/>
      <c r="AO102" s="250"/>
      <c r="AP102" s="250"/>
      <c r="AQ102" s="251"/>
      <c r="AR102" s="244"/>
      <c r="AS102" s="249"/>
      <c r="AT102" s="250"/>
      <c r="AU102" s="250"/>
      <c r="AV102" s="251"/>
      <c r="AW102" s="244"/>
      <c r="AX102" s="249">
        <f>EWC!AX353</f>
        <v>1.6349937834297485</v>
      </c>
      <c r="AY102" s="250">
        <f>EWC!AY353</f>
        <v>1.6349937834297485</v>
      </c>
      <c r="AZ102" s="250">
        <f>EWC!AZ353</f>
        <v>1.6349937834297485</v>
      </c>
      <c r="BA102" s="251">
        <f>EWC!BA353</f>
        <v>1.6349937834297485</v>
      </c>
      <c r="BB102" s="244">
        <f>EWC!BB353</f>
        <v>6.5399751337189942</v>
      </c>
      <c r="BC102" s="249">
        <f>EWC!BC353</f>
        <v>1.6840435969326408</v>
      </c>
      <c r="BD102" s="250">
        <f>EWC!BD353</f>
        <v>1.6840435969326408</v>
      </c>
      <c r="BE102" s="250">
        <f>EWC!BE353</f>
        <v>1.6840435969326408</v>
      </c>
      <c r="BF102" s="251">
        <f>EWC!BF353</f>
        <v>1.6840435969326408</v>
      </c>
      <c r="BG102" s="244">
        <f>EWC!BG353</f>
        <v>6.7361743877305633</v>
      </c>
      <c r="BH102" s="249">
        <f>EWC!BH353</f>
        <v>1.7345649048406202</v>
      </c>
      <c r="BI102" s="250">
        <f>EWC!BI353</f>
        <v>1.7345649048406202</v>
      </c>
      <c r="BJ102" s="250">
        <f>EWC!BJ353</f>
        <v>1.7345649048406202</v>
      </c>
      <c r="BK102" s="251">
        <f>EWC!BK353</f>
        <v>1.7345649048406202</v>
      </c>
      <c r="BL102" s="244">
        <f>EWC!BL353</f>
        <v>6.9382596193624808</v>
      </c>
      <c r="BM102" s="249">
        <f>EWC!BM353</f>
        <v>1.7866018519858389</v>
      </c>
      <c r="BN102" s="250">
        <f>EWC!BN353</f>
        <v>1.7866018519858389</v>
      </c>
      <c r="BO102" s="250">
        <f>EWC!BO353</f>
        <v>1.7866018519858389</v>
      </c>
      <c r="BP102" s="251">
        <f>EWC!BP353</f>
        <v>1.7866018519858389</v>
      </c>
      <c r="BQ102" s="244">
        <f>EWC!BQ353</f>
        <v>7.1464074079433555</v>
      </c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</row>
    <row r="103" spans="1:89">
      <c r="A103" s="233"/>
      <c r="B103" s="233"/>
      <c r="C103" s="1277"/>
      <c r="D103" s="233"/>
      <c r="E103" s="303"/>
      <c r="F103" s="304"/>
      <c r="G103" s="304"/>
      <c r="H103" s="305"/>
      <c r="I103" s="306"/>
      <c r="J103" s="303"/>
      <c r="K103" s="304"/>
      <c r="L103" s="304"/>
      <c r="M103" s="305"/>
      <c r="N103" s="306"/>
      <c r="O103" s="303"/>
      <c r="P103" s="304"/>
      <c r="Q103" s="304"/>
      <c r="R103" s="305"/>
      <c r="S103" s="306"/>
      <c r="T103" s="303"/>
      <c r="U103" s="304"/>
      <c r="V103" s="304"/>
      <c r="W103" s="305"/>
      <c r="X103" s="306"/>
      <c r="Y103" s="303"/>
      <c r="Z103" s="304"/>
      <c r="AA103" s="304"/>
      <c r="AB103" s="305"/>
      <c r="AC103" s="306"/>
      <c r="AD103" s="303"/>
      <c r="AE103" s="304"/>
      <c r="AF103" s="304"/>
      <c r="AG103" s="305"/>
      <c r="AH103" s="306"/>
      <c r="AI103" s="303"/>
      <c r="AJ103" s="304"/>
      <c r="AK103" s="304"/>
      <c r="AL103" s="305"/>
      <c r="AM103" s="306"/>
      <c r="AN103" s="303"/>
      <c r="AO103" s="304"/>
      <c r="AP103" s="304"/>
      <c r="AQ103" s="305"/>
      <c r="AR103" s="306"/>
      <c r="AS103" s="303"/>
      <c r="AT103" s="304"/>
      <c r="AU103" s="304"/>
      <c r="AV103" s="305"/>
      <c r="AW103" s="306"/>
      <c r="AX103" s="303"/>
      <c r="AY103" s="304"/>
      <c r="AZ103" s="304"/>
      <c r="BA103" s="305"/>
      <c r="BB103" s="306"/>
      <c r="BC103" s="303"/>
      <c r="BD103" s="304"/>
      <c r="BE103" s="304"/>
      <c r="BF103" s="305"/>
      <c r="BG103" s="306"/>
      <c r="BH103" s="303"/>
      <c r="BI103" s="304"/>
      <c r="BJ103" s="304"/>
      <c r="BK103" s="305"/>
      <c r="BL103" s="306"/>
      <c r="BM103" s="303"/>
      <c r="BN103" s="304"/>
      <c r="BO103" s="304"/>
      <c r="BP103" s="305"/>
      <c r="BQ103" s="306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</row>
    <row r="104" spans="1:89">
      <c r="A104" s="233"/>
      <c r="B104" s="233"/>
      <c r="C104" s="1277"/>
      <c r="D104" s="233"/>
      <c r="E104" s="303"/>
      <c r="F104" s="304"/>
      <c r="G104" s="304"/>
      <c r="H104" s="305"/>
      <c r="I104" s="306"/>
      <c r="J104" s="303"/>
      <c r="K104" s="304"/>
      <c r="L104" s="304"/>
      <c r="M104" s="305"/>
      <c r="N104" s="306"/>
      <c r="O104" s="303"/>
      <c r="P104" s="304"/>
      <c r="Q104" s="304"/>
      <c r="R104" s="305"/>
      <c r="S104" s="306"/>
      <c r="T104" s="303"/>
      <c r="U104" s="304"/>
      <c r="V104" s="304"/>
      <c r="W104" s="305"/>
      <c r="X104" s="306"/>
      <c r="Y104" s="303"/>
      <c r="Z104" s="304"/>
      <c r="AA104" s="304"/>
      <c r="AB104" s="305"/>
      <c r="AC104" s="306"/>
      <c r="AD104" s="303"/>
      <c r="AE104" s="304"/>
      <c r="AF104" s="304"/>
      <c r="AG104" s="305"/>
      <c r="AH104" s="306"/>
      <c r="AI104" s="303"/>
      <c r="AJ104" s="304"/>
      <c r="AK104" s="304"/>
      <c r="AL104" s="305"/>
      <c r="AM104" s="306"/>
      <c r="AN104" s="303"/>
      <c r="AO104" s="304"/>
      <c r="AP104" s="304"/>
      <c r="AQ104" s="305"/>
      <c r="AR104" s="306"/>
      <c r="AS104" s="303"/>
      <c r="AT104" s="304"/>
      <c r="AU104" s="304"/>
      <c r="AV104" s="305"/>
      <c r="AW104" s="306"/>
      <c r="AX104" s="303"/>
      <c r="AY104" s="304"/>
      <c r="AZ104" s="304"/>
      <c r="BA104" s="305"/>
      <c r="BB104" s="306"/>
      <c r="BC104" s="303"/>
      <c r="BD104" s="304"/>
      <c r="BE104" s="304"/>
      <c r="BF104" s="305"/>
      <c r="BG104" s="306"/>
      <c r="BH104" s="303"/>
      <c r="BI104" s="304"/>
      <c r="BJ104" s="304"/>
      <c r="BK104" s="305"/>
      <c r="BL104" s="306"/>
      <c r="BM104" s="303"/>
      <c r="BN104" s="304"/>
      <c r="BO104" s="304"/>
      <c r="BP104" s="305"/>
      <c r="BQ104" s="306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</row>
    <row r="105" spans="1:89">
      <c r="A105" s="233"/>
      <c r="B105" s="350" t="s">
        <v>299</v>
      </c>
      <c r="C105" s="1265"/>
      <c r="D105" s="102"/>
      <c r="E105" s="303"/>
      <c r="F105" s="304"/>
      <c r="G105" s="304"/>
      <c r="H105" s="305"/>
      <c r="I105" s="306"/>
      <c r="J105" s="303"/>
      <c r="K105" s="304"/>
      <c r="L105" s="304"/>
      <c r="M105" s="305"/>
      <c r="N105" s="306"/>
      <c r="O105" s="303"/>
      <c r="P105" s="304"/>
      <c r="Q105" s="304"/>
      <c r="R105" s="305"/>
      <c r="S105" s="306"/>
      <c r="T105" s="303"/>
      <c r="U105" s="304"/>
      <c r="V105" s="304"/>
      <c r="W105" s="305"/>
      <c r="X105" s="306"/>
      <c r="Y105" s="303"/>
      <c r="Z105" s="304"/>
      <c r="AA105" s="304"/>
      <c r="AB105" s="305"/>
      <c r="AC105" s="306"/>
      <c r="AD105" s="303"/>
      <c r="AE105" s="304"/>
      <c r="AF105" s="304"/>
      <c r="AG105" s="305"/>
      <c r="AH105" s="306"/>
      <c r="AI105" s="303"/>
      <c r="AJ105" s="304"/>
      <c r="AK105" s="304"/>
      <c r="AL105" s="305"/>
      <c r="AM105" s="306"/>
      <c r="AN105" s="303"/>
      <c r="AO105" s="304"/>
      <c r="AP105" s="304"/>
      <c r="AQ105" s="305"/>
      <c r="AR105" s="306"/>
      <c r="AS105" s="303"/>
      <c r="AT105" s="304"/>
      <c r="AU105" s="304"/>
      <c r="AV105" s="305"/>
      <c r="AW105" s="306"/>
      <c r="AX105" s="303"/>
      <c r="AY105" s="304"/>
      <c r="AZ105" s="304"/>
      <c r="BA105" s="305"/>
      <c r="BB105" s="306"/>
      <c r="BC105" s="303"/>
      <c r="BD105" s="304"/>
      <c r="BE105" s="304"/>
      <c r="BF105" s="305"/>
      <c r="BG105" s="306"/>
      <c r="BH105" s="303"/>
      <c r="BI105" s="304"/>
      <c r="BJ105" s="304"/>
      <c r="BK105" s="305"/>
      <c r="BL105" s="306"/>
      <c r="BM105" s="303"/>
      <c r="BN105" s="304"/>
      <c r="BO105" s="304"/>
      <c r="BP105" s="305"/>
      <c r="BQ105" s="306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</row>
    <row r="106" spans="1:89">
      <c r="A106" s="233"/>
      <c r="B106" s="233"/>
      <c r="C106" s="1277" t="s">
        <v>300</v>
      </c>
      <c r="D106" s="233"/>
      <c r="E106" s="303">
        <f>Utility!E236+Utility!E248</f>
        <v>0</v>
      </c>
      <c r="F106" s="304">
        <f>Utility!F236+Utility!F248</f>
        <v>0</v>
      </c>
      <c r="G106" s="304">
        <f>Utility!G236+Utility!G248</f>
        <v>0</v>
      </c>
      <c r="H106" s="305">
        <f>Utility!H236+Utility!H248</f>
        <v>8850.5750000000007</v>
      </c>
      <c r="I106" s="244">
        <f>Utility!I236+Utility!I248</f>
        <v>8850.5750000000007</v>
      </c>
      <c r="J106" s="249">
        <f>Utility!J236+Utility!J248</f>
        <v>9157.8220000000001</v>
      </c>
      <c r="K106" s="250">
        <f>Utility!K236+Utility!K248</f>
        <v>8945.7720000000008</v>
      </c>
      <c r="L106" s="250">
        <f>Utility!L236+Utility!L248</f>
        <v>9024.509</v>
      </c>
      <c r="M106" s="251">
        <f>Utility!M236+Utility!M248</f>
        <v>8861.7559999999994</v>
      </c>
      <c r="N106" s="244">
        <f>Utility!N236+Utility!N248</f>
        <v>8861.7559999999994</v>
      </c>
      <c r="O106" s="249">
        <f>Utility!O236+Utility!O248</f>
        <v>8903.0679999999993</v>
      </c>
      <c r="P106" s="250">
        <f>Utility!P236+Utility!P248</f>
        <v>9261.2060000000001</v>
      </c>
      <c r="Q106" s="250">
        <f>Utility!Q236+Utility!Q248</f>
        <v>9389.0330000000013</v>
      </c>
      <c r="R106" s="251">
        <f>Utility!R236+Utility!R248</f>
        <v>9290.1450000000004</v>
      </c>
      <c r="S106" s="244">
        <f>Utility!S236+Utility!S248</f>
        <v>9290.1450000000004</v>
      </c>
      <c r="T106" s="249">
        <f>Utility!T236+Utility!T248</f>
        <v>9479.2199999999993</v>
      </c>
      <c r="U106" s="250">
        <f>Utility!U236+Utility!U248</f>
        <v>9388.9560000000001</v>
      </c>
      <c r="V106" s="250">
        <f>Utility!V236+Utility!V248</f>
        <v>9797.9319999999989</v>
      </c>
      <c r="W106" s="251">
        <f>Utility!W236+Utility!W248</f>
        <v>10394.249</v>
      </c>
      <c r="X106" s="244">
        <f>Utility!X236+Utility!X248</f>
        <v>10394.249</v>
      </c>
      <c r="Y106" s="249">
        <f>Utility!Y236+Utility!Y248</f>
        <v>10371.081999999999</v>
      </c>
      <c r="Z106" s="250">
        <f>Utility!Z236+Utility!Z248</f>
        <v>10962.859999999999</v>
      </c>
      <c r="AA106" s="250">
        <f>Utility!AA236+Utility!AA248</f>
        <v>10811.596</v>
      </c>
      <c r="AB106" s="251">
        <f>Utility!AB236+Utility!AB248</f>
        <v>10749.712000000001</v>
      </c>
      <c r="AC106" s="244">
        <f>Utility!AC236+Utility!AC248</f>
        <v>10749.712000000001</v>
      </c>
      <c r="AD106" s="249">
        <f>Utility!AD236+Utility!AD248</f>
        <v>11057.966</v>
      </c>
      <c r="AE106" s="250">
        <f>Utility!AE236+Utility!AE248</f>
        <v>10959.639000000001</v>
      </c>
      <c r="AF106" s="250">
        <f>Utility!AF236+Utility!AF248</f>
        <v>11022.237000000001</v>
      </c>
      <c r="AG106" s="251">
        <f>Utility!AG236+Utility!AG248</f>
        <v>11239.595999999998</v>
      </c>
      <c r="AH106" s="244">
        <f>Utility!AH236+Utility!AH248</f>
        <v>11239.595999999998</v>
      </c>
      <c r="AI106" s="249">
        <f>Utility!AI236+Utility!AI248</f>
        <v>11163.127999999997</v>
      </c>
      <c r="AJ106" s="250">
        <f>Utility!AJ236+Utility!AJ248</f>
        <v>11079.808999999997</v>
      </c>
      <c r="AK106" s="250">
        <f>Utility!AK236+Utility!AK248</f>
        <v>11243.919999999998</v>
      </c>
      <c r="AL106" s="251">
        <f>Utility!AL236+Utility!AL248</f>
        <v>11972.64</v>
      </c>
      <c r="AM106" s="244">
        <f>Utility!AM236+Utility!AM248</f>
        <v>11972.64</v>
      </c>
      <c r="AN106" s="249">
        <f>Utility!AN236+Utility!AN248</f>
        <v>12181.65</v>
      </c>
      <c r="AO106" s="250">
        <f>Utility!AO236+Utility!AO248</f>
        <v>12028.909999999998</v>
      </c>
      <c r="AP106" s="250">
        <f>Utility!AP236+Utility!AP248</f>
        <v>12223.768</v>
      </c>
      <c r="AQ106" s="251">
        <f>Utility!AQ236+Utility!AQ248</f>
        <v>12322.183999999999</v>
      </c>
      <c r="AR106" s="244">
        <f>Utility!AR236+Utility!AR248</f>
        <v>12322.183999999999</v>
      </c>
      <c r="AS106" s="249">
        <f>Utility!AS236+Utility!AS248</f>
        <v>12376.918</v>
      </c>
      <c r="AT106" s="250">
        <f>Utility!AT236+Utility!AT248</f>
        <v>12980.018</v>
      </c>
      <c r="AU106" s="250">
        <f>Utility!AU236+Utility!AU248</f>
        <v>12859.777</v>
      </c>
      <c r="AV106" s="251">
        <f>Utility!AV236+Utility!AV248</f>
        <v>13035.022999999999</v>
      </c>
      <c r="AW106" s="244">
        <f>Utility!AW236+Utility!AW248</f>
        <v>13035.022999999999</v>
      </c>
      <c r="AX106" s="249">
        <f>Utility!AX236+Utility!AX248</f>
        <v>12960.144063404008</v>
      </c>
      <c r="AY106" s="250">
        <f>Utility!AY236+Utility!AY248</f>
        <v>15048.678</v>
      </c>
      <c r="AZ106" s="250">
        <f>Utility!AZ236+Utility!AZ248</f>
        <v>14748.678</v>
      </c>
      <c r="BA106" s="251">
        <f>Utility!BA236+Utility!BA248</f>
        <v>14663.678</v>
      </c>
      <c r="BB106" s="244">
        <f>Utility!BB236+Utility!BB248</f>
        <v>14663.678</v>
      </c>
      <c r="BC106" s="249">
        <f>Utility!BC236+Utility!BC248</f>
        <v>14495.557821145476</v>
      </c>
      <c r="BD106" s="250">
        <f>Utility!BD236+Utility!BD248</f>
        <v>14804.294331827394</v>
      </c>
      <c r="BE106" s="250">
        <f>Utility!BE236+Utility!BE248</f>
        <v>15782.909</v>
      </c>
      <c r="BF106" s="251">
        <f>Utility!BF236+Utility!BF248</f>
        <v>15782.909</v>
      </c>
      <c r="BG106" s="244">
        <f>Utility!BG236+Utility!BG248</f>
        <v>15782.909</v>
      </c>
      <c r="BH106" s="249">
        <f>Utility!BH236+Utility!BH248</f>
        <v>15782.909</v>
      </c>
      <c r="BI106" s="250">
        <f>Utility!BI236+Utility!BI248</f>
        <v>15974.508236211419</v>
      </c>
      <c r="BJ106" s="250">
        <f>Utility!BJ236+Utility!BJ248</f>
        <v>17412.909</v>
      </c>
      <c r="BK106" s="251">
        <f>Utility!BK236+Utility!BK248</f>
        <v>17137.909</v>
      </c>
      <c r="BL106" s="244">
        <f>Utility!BL236+Utility!BL248</f>
        <v>17137.909</v>
      </c>
      <c r="BM106" s="249">
        <f>Utility!BM236+Utility!BM248</f>
        <v>16836.706970044455</v>
      </c>
      <c r="BN106" s="250">
        <f>Utility!BN236+Utility!BN248</f>
        <v>17138.536231552189</v>
      </c>
      <c r="BO106" s="250">
        <f>Utility!BO236+Utility!BO248</f>
        <v>18197.917000000001</v>
      </c>
      <c r="BP106" s="251">
        <f>Utility!BP236+Utility!BP248</f>
        <v>18197.917000000001</v>
      </c>
      <c r="BQ106" s="244">
        <f>Utility!BQ236+Utility!BQ248</f>
        <v>18197.917000000001</v>
      </c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</row>
    <row r="107" spans="1:89">
      <c r="A107" s="233"/>
      <c r="B107" s="233"/>
      <c r="C107" s="1277" t="s">
        <v>301</v>
      </c>
      <c r="D107" s="233"/>
      <c r="E107" s="303"/>
      <c r="F107" s="304"/>
      <c r="G107" s="304"/>
      <c r="H107" s="305"/>
      <c r="I107" s="244">
        <f>EWC!I483</f>
        <v>568.03700000000003</v>
      </c>
      <c r="J107" s="249">
        <f>EWC!J483</f>
        <v>185.54300000000001</v>
      </c>
      <c r="K107" s="250">
        <f>EWC!K483</f>
        <v>185.87100000000001</v>
      </c>
      <c r="L107" s="250">
        <f>EWC!L483</f>
        <v>176.18899999999999</v>
      </c>
      <c r="M107" s="251">
        <f>EWC!M483</f>
        <v>305.89700000000005</v>
      </c>
      <c r="N107" s="244">
        <f>EWC!N483</f>
        <v>305.89700000000005</v>
      </c>
      <c r="O107" s="249">
        <f>EWC!O483</f>
        <v>259.10899999999998</v>
      </c>
      <c r="P107" s="250">
        <f>EWC!P483</f>
        <v>257.13599999999997</v>
      </c>
      <c r="Q107" s="250">
        <f>EWC!Q483</f>
        <v>221.20400000000001</v>
      </c>
      <c r="R107" s="251">
        <f>EWC!R483</f>
        <v>273.86699999999996</v>
      </c>
      <c r="S107" s="244">
        <f>EWC!S483</f>
        <v>273.86699999999996</v>
      </c>
      <c r="T107" s="249">
        <f>EWC!T483</f>
        <v>272.13900000000001</v>
      </c>
      <c r="U107" s="250">
        <f>EWC!U483</f>
        <v>134.93200000000002</v>
      </c>
      <c r="V107" s="250">
        <f>EWC!V483</f>
        <v>125.25500000000001</v>
      </c>
      <c r="W107" s="251">
        <f>EWC!W483</f>
        <v>111.167</v>
      </c>
      <c r="X107" s="244">
        <f>EWC!X483</f>
        <v>111.167</v>
      </c>
      <c r="Y107" s="249">
        <f>EWC!Y483</f>
        <v>110.35600000000001</v>
      </c>
      <c r="Z107" s="250">
        <f>EWC!Z483</f>
        <v>111.033</v>
      </c>
      <c r="AA107" s="250">
        <f>EWC!AA483</f>
        <v>315.77300000000002</v>
      </c>
      <c r="AB107" s="251">
        <f>EWC!AB483</f>
        <v>198.75</v>
      </c>
      <c r="AC107" s="244">
        <f>EWC!AC483</f>
        <v>198.75</v>
      </c>
      <c r="AD107" s="249">
        <f>EWC!AD483</f>
        <v>95.72</v>
      </c>
      <c r="AE107" s="250">
        <f>EWC!AE483</f>
        <v>96.606999999999999</v>
      </c>
      <c r="AF107" s="250">
        <f>EWC!AF483</f>
        <v>138.50200000000001</v>
      </c>
      <c r="AG107" s="251">
        <f>EWC!AG483</f>
        <v>317.834</v>
      </c>
      <c r="AH107" s="244">
        <f>EWC!AH483</f>
        <v>317.834</v>
      </c>
      <c r="AI107" s="249">
        <f>EWC!AI483</f>
        <v>355.899</v>
      </c>
      <c r="AJ107" s="250">
        <f>EWC!AJ483</f>
        <v>292.02</v>
      </c>
      <c r="AK107" s="250">
        <f>EWC!AK483</f>
        <v>295.26</v>
      </c>
      <c r="AL107" s="251">
        <f>EWC!AL483</f>
        <v>370.57400000000001</v>
      </c>
      <c r="AM107" s="244">
        <f>EWC!AM483</f>
        <v>370.57400000000001</v>
      </c>
      <c r="AN107" s="249">
        <f>EWC!AN483</f>
        <v>119.43</v>
      </c>
      <c r="AO107" s="250">
        <f>EWC!AO483</f>
        <v>117.51600000000001</v>
      </c>
      <c r="AP107" s="250">
        <f>EWC!AP483</f>
        <v>64.859000000000009</v>
      </c>
      <c r="AQ107" s="251">
        <f>EWC!AQ483</f>
        <v>60.055</v>
      </c>
      <c r="AR107" s="244">
        <f>EWC!AR483</f>
        <v>60.055</v>
      </c>
      <c r="AS107" s="249">
        <f>EWC!AS483</f>
        <v>72.597999999999999</v>
      </c>
      <c r="AT107" s="250">
        <f>EWC!AT483</f>
        <v>85.296999999999997</v>
      </c>
      <c r="AU107" s="250">
        <f>EWC!AU483</f>
        <v>90.075999999999993</v>
      </c>
      <c r="AV107" s="251">
        <f>EWC!AV483</f>
        <v>109.50299999999999</v>
      </c>
      <c r="AW107" s="244">
        <f>EWC!AW483</f>
        <v>109.50299999999999</v>
      </c>
      <c r="AX107" s="249">
        <f>EWC!AX483</f>
        <v>103.07</v>
      </c>
      <c r="AY107" s="250">
        <f>EWC!AY483</f>
        <v>103.07</v>
      </c>
      <c r="AZ107" s="250">
        <f>EWC!AZ483</f>
        <v>103.07</v>
      </c>
      <c r="BA107" s="251">
        <f>EWC!BA483</f>
        <v>103.07</v>
      </c>
      <c r="BB107" s="244">
        <f>EWC!BB483</f>
        <v>103.07</v>
      </c>
      <c r="BC107" s="249">
        <f>EWC!BC483</f>
        <v>103.07</v>
      </c>
      <c r="BD107" s="250">
        <f>EWC!BD483</f>
        <v>103.07</v>
      </c>
      <c r="BE107" s="250">
        <f>EWC!BE483</f>
        <v>103.07</v>
      </c>
      <c r="BF107" s="251">
        <f>EWC!BF483</f>
        <v>103.07</v>
      </c>
      <c r="BG107" s="244">
        <f>EWC!BG483</f>
        <v>103.07</v>
      </c>
      <c r="BH107" s="249">
        <f>EWC!BH483</f>
        <v>103.07</v>
      </c>
      <c r="BI107" s="250">
        <f>EWC!BI483</f>
        <v>103.07</v>
      </c>
      <c r="BJ107" s="250">
        <f>EWC!BJ483</f>
        <v>103.07</v>
      </c>
      <c r="BK107" s="251">
        <f>EWC!BK483</f>
        <v>103.07</v>
      </c>
      <c r="BL107" s="244">
        <f>EWC!BL483</f>
        <v>103.07</v>
      </c>
      <c r="BM107" s="249">
        <f>EWC!BM483</f>
        <v>103.07</v>
      </c>
      <c r="BN107" s="250">
        <f>EWC!BN483</f>
        <v>103.07</v>
      </c>
      <c r="BO107" s="250">
        <f>EWC!BO483</f>
        <v>103.07</v>
      </c>
      <c r="BP107" s="251">
        <f>EWC!BP483</f>
        <v>103.07</v>
      </c>
      <c r="BQ107" s="244">
        <f>EWC!BQ483</f>
        <v>103.07</v>
      </c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</row>
    <row r="108" spans="1:89">
      <c r="A108" s="233"/>
      <c r="B108" s="233"/>
      <c r="C108" s="1277" t="s">
        <v>302</v>
      </c>
      <c r="D108" s="233"/>
      <c r="E108" s="303"/>
      <c r="F108" s="304"/>
      <c r="G108" s="304"/>
      <c r="H108" s="305"/>
      <c r="I108" s="244">
        <f>I109-SUM(I106:I107)</f>
        <v>2029.1139999999996</v>
      </c>
      <c r="J108" s="249">
        <f t="shared" ref="J108:AM108" si="232">J109-SUM(J106:J107)</f>
        <v>2769.2810000000009</v>
      </c>
      <c r="K108" s="250">
        <f t="shared" si="232"/>
        <v>2683.110999999999</v>
      </c>
      <c r="L108" s="250">
        <f t="shared" si="232"/>
        <v>3000.5130000000008</v>
      </c>
      <c r="M108" s="251">
        <f t="shared" si="232"/>
        <v>2603.1869999999999</v>
      </c>
      <c r="N108" s="244">
        <f t="shared" si="232"/>
        <v>2603.1869999999999</v>
      </c>
      <c r="O108" s="249">
        <f t="shared" si="232"/>
        <v>2810.875</v>
      </c>
      <c r="P108" s="250">
        <f t="shared" si="232"/>
        <v>2797.8829999999998</v>
      </c>
      <c r="Q108" s="250">
        <f t="shared" si="232"/>
        <v>2799.0369999999984</v>
      </c>
      <c r="R108" s="251">
        <f t="shared" si="232"/>
        <v>2780.7649999999994</v>
      </c>
      <c r="S108" s="244">
        <f t="shared" si="232"/>
        <v>2780.7649999999994</v>
      </c>
      <c r="T108" s="249">
        <f t="shared" si="232"/>
        <v>2826.134</v>
      </c>
      <c r="U108" s="250">
        <f t="shared" si="232"/>
        <v>2969.1519999999982</v>
      </c>
      <c r="V108" s="250">
        <f t="shared" si="232"/>
        <v>2968.849000000002</v>
      </c>
      <c r="W108" s="251">
        <f t="shared" si="232"/>
        <v>2929.42</v>
      </c>
      <c r="X108" s="244">
        <f t="shared" si="232"/>
        <v>2929.42</v>
      </c>
      <c r="Y108" s="249">
        <f t="shared" si="232"/>
        <v>2952.2060000000019</v>
      </c>
      <c r="Z108" s="250">
        <f t="shared" si="232"/>
        <v>2636.6050000000014</v>
      </c>
      <c r="AA108" s="250">
        <f t="shared" si="232"/>
        <v>2460.4220000000023</v>
      </c>
      <c r="AB108" s="251">
        <f t="shared" si="232"/>
        <v>2694.6689999999981</v>
      </c>
      <c r="AC108" s="244">
        <f t="shared" si="232"/>
        <v>2694.6689999999981</v>
      </c>
      <c r="AD108" s="249">
        <f t="shared" ref="AD108:AH108" si="233">AD109-SUM(AD106:AD107)</f>
        <v>2672.4669999999987</v>
      </c>
      <c r="AE108" s="250">
        <f t="shared" si="233"/>
        <v>2601.873999999998</v>
      </c>
      <c r="AF108" s="250">
        <f t="shared" si="233"/>
        <v>2479.4139999999989</v>
      </c>
      <c r="AG108" s="251">
        <f t="shared" si="233"/>
        <v>2440.4610000000011</v>
      </c>
      <c r="AH108" s="244">
        <f t="shared" si="233"/>
        <v>2440.4610000000011</v>
      </c>
      <c r="AI108" s="249">
        <f t="shared" ref="AI108:AJ108" si="234">AI109-SUM(AI106:AI107)</f>
        <v>2493.8090000000047</v>
      </c>
      <c r="AJ108" s="250">
        <f t="shared" si="234"/>
        <v>2454.9750000000022</v>
      </c>
      <c r="AK108" s="250">
        <f t="shared" ref="AK108" si="235">AK109-SUM(AK106:AK107)</f>
        <v>2574.1030000000028</v>
      </c>
      <c r="AL108" s="251">
        <f t="shared" si="232"/>
        <v>1477.0640000000003</v>
      </c>
      <c r="AM108" s="244">
        <f t="shared" si="232"/>
        <v>1477.0640000000003</v>
      </c>
      <c r="AN108" s="249">
        <f t="shared" ref="AN108:AP108" si="236">AN109-SUM(AN106:AN107)</f>
        <v>2761.8709999999992</v>
      </c>
      <c r="AO108" s="250">
        <f t="shared" si="236"/>
        <v>2662.2660000000014</v>
      </c>
      <c r="AP108" s="250">
        <f t="shared" si="236"/>
        <v>2756.6389999999992</v>
      </c>
      <c r="AQ108" s="251">
        <f t="shared" ref="AQ108:AT108" si="237">AQ109-SUM(AQ106:AQ107)</f>
        <v>2865.3270000000011</v>
      </c>
      <c r="AR108" s="244">
        <f t="shared" si="237"/>
        <v>2865.3270000000011</v>
      </c>
      <c r="AS108" s="249">
        <f t="shared" si="237"/>
        <v>3134.7870000000003</v>
      </c>
      <c r="AT108" s="250">
        <f t="shared" si="237"/>
        <v>3194.3219999999983</v>
      </c>
      <c r="AU108" s="250">
        <f t="shared" ref="AU108:AW108" si="238">AU109-SUM(AU106:AU107)</f>
        <v>3249.5640000000021</v>
      </c>
      <c r="AV108" s="251">
        <f t="shared" si="238"/>
        <v>3509.0480000000007</v>
      </c>
      <c r="AW108" s="244">
        <f t="shared" si="238"/>
        <v>3509.0480000000007</v>
      </c>
      <c r="AX108" s="249">
        <f t="shared" ref="AX108:BB108" si="239">AX109-SUM(AX106:AX107)</f>
        <v>3388.7421654344435</v>
      </c>
      <c r="AY108" s="250">
        <f t="shared" si="239"/>
        <v>3248.518</v>
      </c>
      <c r="AZ108" s="250">
        <f t="shared" si="239"/>
        <v>3248.518</v>
      </c>
      <c r="BA108" s="251">
        <f t="shared" si="239"/>
        <v>3248.518</v>
      </c>
      <c r="BB108" s="244">
        <f t="shared" si="239"/>
        <v>3248.518</v>
      </c>
      <c r="BC108" s="249">
        <f t="shared" ref="BC108:BL108" si="240">BC109-SUM(BC106:BC107)</f>
        <v>3779.1583466872271</v>
      </c>
      <c r="BD108" s="250">
        <f t="shared" si="240"/>
        <v>3887.2815026202079</v>
      </c>
      <c r="BE108" s="250">
        <f t="shared" si="240"/>
        <v>3948.518</v>
      </c>
      <c r="BF108" s="251">
        <f t="shared" si="240"/>
        <v>3948.518</v>
      </c>
      <c r="BG108" s="244">
        <f t="shared" si="240"/>
        <v>3948.518</v>
      </c>
      <c r="BH108" s="249">
        <f t="shared" si="240"/>
        <v>3956.8031021835413</v>
      </c>
      <c r="BI108" s="250">
        <f t="shared" si="240"/>
        <v>4092.4351841025491</v>
      </c>
      <c r="BJ108" s="250">
        <f t="shared" si="240"/>
        <v>4098.518</v>
      </c>
      <c r="BK108" s="251">
        <f t="shared" si="240"/>
        <v>4098.518</v>
      </c>
      <c r="BL108" s="244">
        <f t="shared" si="240"/>
        <v>4098.5179999999964</v>
      </c>
      <c r="BM108" s="249">
        <f t="shared" ref="BM108:BQ108" si="241">BM109-SUM(BM106:BM107)</f>
        <v>4237.5465633529093</v>
      </c>
      <c r="BN108" s="250">
        <f t="shared" si="241"/>
        <v>4311.5243711143557</v>
      </c>
      <c r="BO108" s="250">
        <f t="shared" si="241"/>
        <v>4298.5179999999964</v>
      </c>
      <c r="BP108" s="251">
        <f t="shared" si="241"/>
        <v>4298.5179999999964</v>
      </c>
      <c r="BQ108" s="244">
        <f t="shared" si="241"/>
        <v>4298.5179999999964</v>
      </c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</row>
    <row r="109" spans="1:89" s="37" customFormat="1">
      <c r="A109" s="36"/>
      <c r="B109" s="36"/>
      <c r="C109" s="1280" t="s">
        <v>617</v>
      </c>
      <c r="D109" s="36"/>
      <c r="E109" s="1026"/>
      <c r="F109" s="564"/>
      <c r="G109" s="564"/>
      <c r="H109" s="565"/>
      <c r="I109" s="110">
        <f>I205</f>
        <v>11447.726000000001</v>
      </c>
      <c r="J109" s="180">
        <f t="shared" ref="J109:AM109" si="242">J205</f>
        <v>12112.646000000001</v>
      </c>
      <c r="K109" s="181">
        <f t="shared" si="242"/>
        <v>11814.753999999999</v>
      </c>
      <c r="L109" s="181">
        <f t="shared" si="242"/>
        <v>12201.211000000001</v>
      </c>
      <c r="M109" s="182">
        <f t="shared" si="242"/>
        <v>11770.84</v>
      </c>
      <c r="N109" s="110">
        <f t="shared" si="242"/>
        <v>11770.84</v>
      </c>
      <c r="O109" s="180">
        <f t="shared" si="242"/>
        <v>11973.052</v>
      </c>
      <c r="P109" s="181">
        <f t="shared" si="242"/>
        <v>12316.225</v>
      </c>
      <c r="Q109" s="181">
        <f t="shared" si="242"/>
        <v>12409.273999999999</v>
      </c>
      <c r="R109" s="182">
        <f t="shared" si="242"/>
        <v>12344.777</v>
      </c>
      <c r="S109" s="110">
        <f t="shared" si="242"/>
        <v>12344.777</v>
      </c>
      <c r="T109" s="180">
        <f t="shared" si="242"/>
        <v>12577.492999999999</v>
      </c>
      <c r="U109" s="181">
        <f t="shared" si="242"/>
        <v>12493.039999999999</v>
      </c>
      <c r="V109" s="181">
        <f t="shared" si="242"/>
        <v>12892.036</v>
      </c>
      <c r="W109" s="182">
        <f t="shared" si="242"/>
        <v>13434.835999999999</v>
      </c>
      <c r="X109" s="110">
        <f t="shared" si="242"/>
        <v>13434.835999999999</v>
      </c>
      <c r="Y109" s="180">
        <f>Y205</f>
        <v>13433.644</v>
      </c>
      <c r="Z109" s="181">
        <f>Z205</f>
        <v>13710.498</v>
      </c>
      <c r="AA109" s="181">
        <f>AA205</f>
        <v>13587.791000000001</v>
      </c>
      <c r="AB109" s="182">
        <f t="shared" si="242"/>
        <v>13643.130999999999</v>
      </c>
      <c r="AC109" s="110">
        <f t="shared" si="242"/>
        <v>13643.130999999999</v>
      </c>
      <c r="AD109" s="180">
        <f>AD205</f>
        <v>13826.152999999998</v>
      </c>
      <c r="AE109" s="181">
        <f>AE205</f>
        <v>13658.119999999999</v>
      </c>
      <c r="AF109" s="181">
        <f>AF205</f>
        <v>13640.153</v>
      </c>
      <c r="AG109" s="182">
        <f t="shared" ref="AG109:AH109" si="243">AG205</f>
        <v>13997.891</v>
      </c>
      <c r="AH109" s="110">
        <f t="shared" si="243"/>
        <v>13997.891</v>
      </c>
      <c r="AI109" s="180">
        <f>AI205</f>
        <v>14012.836000000001</v>
      </c>
      <c r="AJ109" s="181">
        <f>AJ205</f>
        <v>13826.804</v>
      </c>
      <c r="AK109" s="181">
        <f>AK205</f>
        <v>14113.283000000001</v>
      </c>
      <c r="AL109" s="182">
        <f t="shared" si="242"/>
        <v>13820.278</v>
      </c>
      <c r="AM109" s="110">
        <f t="shared" si="242"/>
        <v>13820.278</v>
      </c>
      <c r="AN109" s="180">
        <f>AN205</f>
        <v>15062.950999999999</v>
      </c>
      <c r="AO109" s="181">
        <f>AO205</f>
        <v>14808.691999999999</v>
      </c>
      <c r="AP109" s="181">
        <f>AP205</f>
        <v>15045.266</v>
      </c>
      <c r="AQ109" s="182">
        <f t="shared" ref="AQ109:AR109" si="244">AQ205</f>
        <v>15247.566000000001</v>
      </c>
      <c r="AR109" s="110">
        <f t="shared" si="244"/>
        <v>15247.566000000001</v>
      </c>
      <c r="AS109" s="180">
        <f>AS205</f>
        <v>15584.303</v>
      </c>
      <c r="AT109" s="181">
        <f>AT205</f>
        <v>16259.636999999999</v>
      </c>
      <c r="AU109" s="181">
        <f t="shared" ref="AU109:AW109" si="245">AU205</f>
        <v>16199.417000000001</v>
      </c>
      <c r="AV109" s="182">
        <f t="shared" si="245"/>
        <v>16653.574000000001</v>
      </c>
      <c r="AW109" s="110">
        <f t="shared" si="245"/>
        <v>16653.574000000001</v>
      </c>
      <c r="AX109" s="180">
        <f t="shared" ref="AX109:BB109" si="246">AX205</f>
        <v>16451.956228838451</v>
      </c>
      <c r="AY109" s="181">
        <f t="shared" si="246"/>
        <v>18400.266</v>
      </c>
      <c r="AZ109" s="181">
        <f t="shared" si="246"/>
        <v>18100.266</v>
      </c>
      <c r="BA109" s="182">
        <f t="shared" si="246"/>
        <v>18015.266</v>
      </c>
      <c r="BB109" s="110">
        <f t="shared" si="246"/>
        <v>18015.266</v>
      </c>
      <c r="BC109" s="180">
        <f t="shared" ref="BC109:BL109" si="247">BC205</f>
        <v>18377.786167832703</v>
      </c>
      <c r="BD109" s="181">
        <f t="shared" si="247"/>
        <v>18794.645834447601</v>
      </c>
      <c r="BE109" s="181">
        <f t="shared" si="247"/>
        <v>19834.496999999999</v>
      </c>
      <c r="BF109" s="182">
        <f t="shared" si="247"/>
        <v>19834.496999999999</v>
      </c>
      <c r="BG109" s="110">
        <f t="shared" si="247"/>
        <v>19834.496999999999</v>
      </c>
      <c r="BH109" s="180">
        <f t="shared" si="247"/>
        <v>19842.782102183541</v>
      </c>
      <c r="BI109" s="181">
        <f t="shared" si="247"/>
        <v>20170.013420313968</v>
      </c>
      <c r="BJ109" s="181">
        <f t="shared" si="247"/>
        <v>21614.496999999999</v>
      </c>
      <c r="BK109" s="182">
        <f t="shared" si="247"/>
        <v>21339.496999999999</v>
      </c>
      <c r="BL109" s="110">
        <f t="shared" si="247"/>
        <v>21339.496999999996</v>
      </c>
      <c r="BM109" s="180">
        <f t="shared" ref="BM109:BQ109" si="248">BM205</f>
        <v>21177.323533397364</v>
      </c>
      <c r="BN109" s="181">
        <f t="shared" si="248"/>
        <v>21553.130602666544</v>
      </c>
      <c r="BO109" s="181">
        <f t="shared" si="248"/>
        <v>22599.504999999997</v>
      </c>
      <c r="BP109" s="182">
        <f t="shared" si="248"/>
        <v>22599.504999999997</v>
      </c>
      <c r="BQ109" s="110">
        <f t="shared" si="248"/>
        <v>22599.504999999997</v>
      </c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/>
      <c r="CG109"/>
      <c r="CH109"/>
      <c r="CI109"/>
      <c r="CJ109"/>
      <c r="CK109"/>
    </row>
    <row r="110" spans="1:89">
      <c r="A110" s="233"/>
      <c r="B110" s="233"/>
      <c r="C110" s="1277"/>
      <c r="D110" s="233"/>
      <c r="E110" s="303"/>
      <c r="F110" s="304"/>
      <c r="G110" s="304"/>
      <c r="H110" s="305"/>
      <c r="I110" s="306"/>
      <c r="J110" s="303"/>
      <c r="K110" s="304"/>
      <c r="L110" s="304"/>
      <c r="M110" s="305"/>
      <c r="N110" s="306"/>
      <c r="O110" s="303"/>
      <c r="P110" s="304"/>
      <c r="Q110" s="304"/>
      <c r="R110" s="305"/>
      <c r="S110" s="306"/>
      <c r="T110" s="303"/>
      <c r="U110" s="304"/>
      <c r="V110" s="304"/>
      <c r="W110" s="305"/>
      <c r="X110" s="306"/>
      <c r="Y110" s="303"/>
      <c r="Z110" s="304"/>
      <c r="AA110" s="304"/>
      <c r="AB110" s="305"/>
      <c r="AC110" s="306"/>
      <c r="AD110" s="303"/>
      <c r="AE110" s="304"/>
      <c r="AF110" s="304"/>
      <c r="AG110" s="305"/>
      <c r="AH110" s="306"/>
      <c r="AI110" s="303"/>
      <c r="AJ110" s="304"/>
      <c r="AK110" s="304"/>
      <c r="AL110" s="305"/>
      <c r="AM110" s="306"/>
      <c r="AN110" s="303"/>
      <c r="AO110" s="304"/>
      <c r="AP110" s="304"/>
      <c r="AQ110" s="305"/>
      <c r="AR110" s="306"/>
      <c r="AS110" s="303"/>
      <c r="AT110" s="304"/>
      <c r="AU110" s="304"/>
      <c r="AV110" s="305"/>
      <c r="AW110" s="306"/>
      <c r="AX110" s="303"/>
      <c r="AY110" s="304"/>
      <c r="AZ110" s="304"/>
      <c r="BA110" s="305"/>
      <c r="BB110" s="306"/>
      <c r="BC110" s="303"/>
      <c r="BD110" s="304"/>
      <c r="BE110" s="304"/>
      <c r="BF110" s="305"/>
      <c r="BG110" s="306"/>
      <c r="BH110" s="303"/>
      <c r="BI110" s="304"/>
      <c r="BJ110" s="304"/>
      <c r="BK110" s="305"/>
      <c r="BL110" s="306"/>
      <c r="BM110" s="303"/>
      <c r="BN110" s="304"/>
      <c r="BO110" s="304"/>
      <c r="BP110" s="305"/>
      <c r="BQ110" s="306"/>
      <c r="BR110" s="233"/>
      <c r="BS110" s="233"/>
      <c r="BT110" s="233"/>
      <c r="BU110" s="233"/>
      <c r="BV110" s="233"/>
      <c r="BW110" s="233"/>
      <c r="BX110" s="233"/>
      <c r="BY110" s="233"/>
      <c r="BZ110" s="233"/>
      <c r="CA110" s="233"/>
      <c r="CB110" s="233"/>
      <c r="CC110" s="233"/>
      <c r="CD110" s="233"/>
      <c r="CE110" s="233"/>
    </row>
    <row r="111" spans="1:89">
      <c r="A111" s="233"/>
      <c r="B111" s="233"/>
      <c r="C111" s="1277"/>
      <c r="D111" s="233"/>
      <c r="E111" s="303"/>
      <c r="F111" s="304"/>
      <c r="G111" s="304"/>
      <c r="H111" s="305"/>
      <c r="I111" s="306"/>
      <c r="J111" s="303"/>
      <c r="K111" s="304"/>
      <c r="L111" s="304"/>
      <c r="M111" s="305"/>
      <c r="N111" s="306"/>
      <c r="O111" s="303"/>
      <c r="P111" s="304"/>
      <c r="Q111" s="304"/>
      <c r="R111" s="305"/>
      <c r="S111" s="306"/>
      <c r="T111" s="303"/>
      <c r="U111" s="304"/>
      <c r="V111" s="304"/>
      <c r="W111" s="305"/>
      <c r="X111" s="306"/>
      <c r="Y111" s="303"/>
      <c r="Z111" s="304"/>
      <c r="AA111" s="304"/>
      <c r="AB111" s="305"/>
      <c r="AC111" s="306"/>
      <c r="AD111" s="303"/>
      <c r="AE111" s="304"/>
      <c r="AF111" s="304"/>
      <c r="AG111" s="305"/>
      <c r="AH111" s="306"/>
      <c r="AI111" s="303"/>
      <c r="AJ111" s="304"/>
      <c r="AK111" s="304"/>
      <c r="AL111" s="305"/>
      <c r="AM111" s="306"/>
      <c r="AN111" s="303"/>
      <c r="AO111" s="304"/>
      <c r="AP111" s="304"/>
      <c r="AQ111" s="305"/>
      <c r="AR111" s="306"/>
      <c r="AS111" s="303"/>
      <c r="AT111" s="304"/>
      <c r="AU111" s="304"/>
      <c r="AV111" s="305"/>
      <c r="AW111" s="306"/>
      <c r="AX111" s="303"/>
      <c r="AY111" s="304"/>
      <c r="AZ111" s="304"/>
      <c r="BA111" s="305"/>
      <c r="BB111" s="306"/>
      <c r="BC111" s="303"/>
      <c r="BD111" s="304"/>
      <c r="BE111" s="304"/>
      <c r="BF111" s="305"/>
      <c r="BG111" s="306"/>
      <c r="BH111" s="303"/>
      <c r="BI111" s="304"/>
      <c r="BJ111" s="304"/>
      <c r="BK111" s="305"/>
      <c r="BL111" s="306"/>
      <c r="BM111" s="303"/>
      <c r="BN111" s="304"/>
      <c r="BO111" s="304"/>
      <c r="BP111" s="305"/>
      <c r="BQ111" s="306"/>
      <c r="BR111" s="233"/>
      <c r="BS111" s="233"/>
      <c r="BT111" s="233"/>
      <c r="BU111" s="233"/>
      <c r="BV111" s="233"/>
      <c r="BW111" s="233"/>
      <c r="BX111" s="233"/>
      <c r="BY111" s="233"/>
      <c r="BZ111" s="233"/>
      <c r="CA111" s="233"/>
      <c r="CB111" s="233"/>
      <c r="CC111" s="233"/>
      <c r="CD111" s="233"/>
      <c r="CE111" s="233"/>
    </row>
    <row r="112" spans="1:89">
      <c r="A112" s="233"/>
      <c r="B112" s="101" t="s">
        <v>298</v>
      </c>
      <c r="C112" s="1265"/>
      <c r="D112" s="102"/>
      <c r="E112" s="234"/>
      <c r="F112" s="235"/>
      <c r="G112" s="235"/>
      <c r="H112" s="236"/>
      <c r="I112" s="233"/>
      <c r="J112" s="234"/>
      <c r="K112" s="235"/>
      <c r="L112" s="235"/>
      <c r="M112" s="236"/>
      <c r="N112" s="233"/>
      <c r="O112" s="234"/>
      <c r="P112" s="235"/>
      <c r="Q112" s="235"/>
      <c r="R112" s="236"/>
      <c r="S112" s="233"/>
      <c r="T112" s="234"/>
      <c r="U112" s="235"/>
      <c r="V112" s="235"/>
      <c r="W112" s="236"/>
      <c r="X112" s="233"/>
      <c r="Y112" s="234"/>
      <c r="Z112" s="235"/>
      <c r="AA112" s="235"/>
      <c r="AB112" s="236"/>
      <c r="AC112" s="233"/>
      <c r="AD112" s="234"/>
      <c r="AE112" s="235"/>
      <c r="AF112" s="235"/>
      <c r="AG112" s="236"/>
      <c r="AH112" s="233"/>
      <c r="AI112" s="234"/>
      <c r="AJ112" s="235"/>
      <c r="AK112" s="235"/>
      <c r="AL112" s="236"/>
      <c r="AM112" s="233"/>
      <c r="AN112" s="234"/>
      <c r="AO112" s="235"/>
      <c r="AP112" s="235"/>
      <c r="AQ112" s="236"/>
      <c r="AR112" s="233"/>
      <c r="AS112" s="234"/>
      <c r="AT112" s="235"/>
      <c r="AU112" s="235"/>
      <c r="AV112" s="236"/>
      <c r="AW112" s="233"/>
      <c r="AX112" s="234"/>
      <c r="AY112" s="235"/>
      <c r="AZ112" s="235"/>
      <c r="BA112" s="236"/>
      <c r="BB112" s="233"/>
      <c r="BC112" s="234"/>
      <c r="BD112" s="235"/>
      <c r="BE112" s="235"/>
      <c r="BF112" s="236"/>
      <c r="BG112" s="233"/>
      <c r="BH112" s="234"/>
      <c r="BI112" s="235"/>
      <c r="BJ112" s="235"/>
      <c r="BK112" s="236"/>
      <c r="BL112" s="233"/>
      <c r="BM112" s="234"/>
      <c r="BN112" s="235"/>
      <c r="BO112" s="235"/>
      <c r="BP112" s="236"/>
      <c r="BQ112" s="233"/>
      <c r="BR112" s="233"/>
      <c r="BS112" s="233"/>
      <c r="BT112" s="233"/>
      <c r="BU112" s="233"/>
      <c r="BV112" s="233"/>
      <c r="BW112" s="233"/>
      <c r="BX112" s="233"/>
      <c r="BY112" s="233"/>
      <c r="BZ112" s="233"/>
      <c r="CA112" s="233"/>
      <c r="CB112" s="233"/>
      <c r="CC112" s="233"/>
      <c r="CD112" s="233"/>
      <c r="CE112" s="233"/>
    </row>
    <row r="113" spans="1:89">
      <c r="A113" s="311"/>
      <c r="B113" s="311"/>
      <c r="C113" s="1264" t="s">
        <v>461</v>
      </c>
      <c r="D113" s="311"/>
      <c r="E113" s="313"/>
      <c r="F113" s="314"/>
      <c r="G113" s="314"/>
      <c r="H113" s="315"/>
      <c r="I113" s="311"/>
      <c r="J113" s="313"/>
      <c r="K113" s="314"/>
      <c r="L113" s="314"/>
      <c r="M113" s="315"/>
      <c r="N113" s="311"/>
      <c r="O113" s="313"/>
      <c r="P113" s="314"/>
      <c r="Q113" s="314"/>
      <c r="R113" s="315"/>
      <c r="S113" s="311"/>
      <c r="T113" s="313"/>
      <c r="U113" s="314"/>
      <c r="V113" s="314"/>
      <c r="W113" s="315"/>
      <c r="X113" s="311"/>
      <c r="Y113" s="313"/>
      <c r="Z113" s="314"/>
      <c r="AA113" s="314"/>
      <c r="AB113" s="315"/>
      <c r="AC113" s="311"/>
      <c r="AD113" s="313">
        <f>-Utility!AD221</f>
        <v>0</v>
      </c>
      <c r="AE113" s="314">
        <f>-Utility!AE221</f>
        <v>0</v>
      </c>
      <c r="AF113" s="314">
        <f>-Utility!AF221</f>
        <v>0</v>
      </c>
      <c r="AG113" s="315">
        <f>-Utility!AG221</f>
        <v>0</v>
      </c>
      <c r="AH113" s="311">
        <f>-Utility!AH221</f>
        <v>0</v>
      </c>
      <c r="AI113" s="313">
        <f>-Utility!AI221</f>
        <v>0</v>
      </c>
      <c r="AJ113" s="314">
        <f>-Utility!AJ221</f>
        <v>0</v>
      </c>
      <c r="AK113" s="314">
        <f>-Utility!AK221</f>
        <v>0</v>
      </c>
      <c r="AL113" s="315">
        <f>-Utility!AL221</f>
        <v>0</v>
      </c>
      <c r="AM113" s="311">
        <f>-Utility!AM221</f>
        <v>0</v>
      </c>
      <c r="AN113" s="313">
        <f>-Utility!AN221</f>
        <v>0</v>
      </c>
      <c r="AO113" s="314">
        <f>-Utility!AO221</f>
        <v>0</v>
      </c>
      <c r="AP113" s="314">
        <f>-Utility!AP221</f>
        <v>0</v>
      </c>
      <c r="AQ113" s="315">
        <f>-Utility!AQ221</f>
        <v>0</v>
      </c>
      <c r="AR113" s="311">
        <f>-Utility!AR221</f>
        <v>0</v>
      </c>
      <c r="AS113" s="313">
        <f>-Utility!AS221</f>
        <v>0</v>
      </c>
      <c r="AT113" s="314">
        <f>-Utility!AT221</f>
        <v>0</v>
      </c>
      <c r="AU113" s="314">
        <f>-Utility!AU221</f>
        <v>0</v>
      </c>
      <c r="AV113" s="315">
        <f>-Utility!AV221</f>
        <v>0</v>
      </c>
      <c r="AW113" s="311">
        <f>-Utility!AW221</f>
        <v>0</v>
      </c>
      <c r="AX113" s="313">
        <f>-Utility!AX221</f>
        <v>112.5</v>
      </c>
      <c r="AY113" s="314">
        <f>-Utility!AY221</f>
        <v>112.5</v>
      </c>
      <c r="AZ113" s="314">
        <f>-Utility!AZ221</f>
        <v>112.5</v>
      </c>
      <c r="BA113" s="315">
        <f>-Utility!BA221</f>
        <v>112.5</v>
      </c>
      <c r="BB113" s="311">
        <f>-Utility!BB221</f>
        <v>450</v>
      </c>
      <c r="BC113" s="313">
        <f>-Utility!BC221</f>
        <v>62.5</v>
      </c>
      <c r="BD113" s="314">
        <f>-Utility!BD221</f>
        <v>62.5</v>
      </c>
      <c r="BE113" s="314">
        <f>-Utility!BE221</f>
        <v>62.5</v>
      </c>
      <c r="BF113" s="315">
        <f>-Utility!BF221</f>
        <v>62.5</v>
      </c>
      <c r="BG113" s="311">
        <f>-Utility!BG221</f>
        <v>250</v>
      </c>
      <c r="BH113" s="313">
        <f>-Utility!BH221</f>
        <v>100</v>
      </c>
      <c r="BI113" s="314">
        <f>-Utility!BI221</f>
        <v>100</v>
      </c>
      <c r="BJ113" s="314">
        <f>-Utility!BJ221</f>
        <v>100</v>
      </c>
      <c r="BK113" s="315">
        <f>-Utility!BK221</f>
        <v>100</v>
      </c>
      <c r="BL113" s="311">
        <f>-Utility!BL221</f>
        <v>400</v>
      </c>
      <c r="BM113" s="313">
        <f>-Utility!BM221</f>
        <v>62.5</v>
      </c>
      <c r="BN113" s="314">
        <f>-Utility!BN221</f>
        <v>62.5</v>
      </c>
      <c r="BO113" s="314">
        <f>-Utility!BO221</f>
        <v>62.5</v>
      </c>
      <c r="BP113" s="315">
        <f>-Utility!BP221</f>
        <v>62.5</v>
      </c>
      <c r="BQ113" s="311">
        <f>-Utility!BQ221</f>
        <v>250</v>
      </c>
      <c r="BR113" s="311"/>
      <c r="BS113" s="311"/>
      <c r="BT113" s="311"/>
      <c r="BU113" s="311"/>
      <c r="BV113" s="311"/>
      <c r="BW113" s="311"/>
      <c r="BX113" s="311"/>
      <c r="BY113" s="311"/>
      <c r="BZ113" s="311"/>
      <c r="CA113" s="311"/>
      <c r="CB113" s="311"/>
      <c r="CC113" s="311"/>
      <c r="CD113" s="311"/>
      <c r="CE113" s="311"/>
    </row>
    <row r="114" spans="1:89">
      <c r="A114" s="311"/>
      <c r="B114" s="311"/>
      <c r="C114" s="1264" t="s">
        <v>462</v>
      </c>
      <c r="D114" s="311"/>
      <c r="E114" s="313"/>
      <c r="F114" s="314"/>
      <c r="G114" s="314"/>
      <c r="H114" s="315"/>
      <c r="I114" s="311"/>
      <c r="J114" s="313"/>
      <c r="K114" s="314"/>
      <c r="L114" s="314"/>
      <c r="M114" s="315"/>
      <c r="N114" s="311"/>
      <c r="O114" s="313"/>
      <c r="P114" s="314"/>
      <c r="Q114" s="314"/>
      <c r="R114" s="315"/>
      <c r="S114" s="311"/>
      <c r="T114" s="313"/>
      <c r="U114" s="314"/>
      <c r="V114" s="314"/>
      <c r="W114" s="315"/>
      <c r="X114" s="311"/>
      <c r="Y114" s="313"/>
      <c r="Z114" s="314"/>
      <c r="AA114" s="314"/>
      <c r="AB114" s="315"/>
      <c r="AC114" s="311"/>
      <c r="AD114" s="313">
        <f>-EWC!AD467</f>
        <v>0</v>
      </c>
      <c r="AE114" s="314">
        <f>-EWC!AE467</f>
        <v>0</v>
      </c>
      <c r="AF114" s="314">
        <f>-EWC!AF467</f>
        <v>0</v>
      </c>
      <c r="AG114" s="315">
        <f>-EWC!AG467</f>
        <v>0</v>
      </c>
      <c r="AH114" s="311">
        <f>-EWC!AH467</f>
        <v>0</v>
      </c>
      <c r="AI114" s="313">
        <f>-EWC!AI467</f>
        <v>0</v>
      </c>
      <c r="AJ114" s="314">
        <f>-EWC!AJ467</f>
        <v>0</v>
      </c>
      <c r="AK114" s="314">
        <f>-EWC!AK467</f>
        <v>0</v>
      </c>
      <c r="AL114" s="315">
        <f>-EWC!AL467</f>
        <v>0</v>
      </c>
      <c r="AM114" s="311">
        <f>-EWC!AM467</f>
        <v>0</v>
      </c>
      <c r="AN114" s="313">
        <f>-EWC!AN467</f>
        <v>0</v>
      </c>
      <c r="AO114" s="314">
        <f>-EWC!AO467</f>
        <v>0</v>
      </c>
      <c r="AP114" s="314">
        <f>-EWC!AP467</f>
        <v>0</v>
      </c>
      <c r="AQ114" s="315">
        <f>-EWC!AQ467</f>
        <v>0</v>
      </c>
      <c r="AR114" s="311">
        <f>-EWC!AR467</f>
        <v>0</v>
      </c>
      <c r="AS114" s="313">
        <f>-EWC!AS467</f>
        <v>0</v>
      </c>
      <c r="AT114" s="314">
        <f>-EWC!AT467</f>
        <v>0</v>
      </c>
      <c r="AU114" s="314">
        <f>-EWC!AU467</f>
        <v>0</v>
      </c>
      <c r="AV114" s="315">
        <f>-EWC!AV467</f>
        <v>0</v>
      </c>
      <c r="AW114" s="311">
        <f>-EWC!AW467</f>
        <v>0</v>
      </c>
      <c r="AX114" s="313">
        <f>-EWC!AX467</f>
        <v>0</v>
      </c>
      <c r="AY114" s="314">
        <f>-EWC!AY467</f>
        <v>0</v>
      </c>
      <c r="AZ114" s="314">
        <f>-EWC!AZ467</f>
        <v>0</v>
      </c>
      <c r="BA114" s="315">
        <f>-EWC!BA467</f>
        <v>0</v>
      </c>
      <c r="BB114" s="311">
        <f>-EWC!BB467</f>
        <v>0</v>
      </c>
      <c r="BC114" s="313">
        <f>-EWC!BC467</f>
        <v>0</v>
      </c>
      <c r="BD114" s="314">
        <f>-EWC!BD467</f>
        <v>0</v>
      </c>
      <c r="BE114" s="314">
        <f>-EWC!BE467</f>
        <v>0</v>
      </c>
      <c r="BF114" s="315">
        <f>-EWC!BF467</f>
        <v>0</v>
      </c>
      <c r="BG114" s="311">
        <f>-EWC!BG467</f>
        <v>0</v>
      </c>
      <c r="BH114" s="313">
        <f>-EWC!BH467</f>
        <v>0</v>
      </c>
      <c r="BI114" s="314">
        <f>-EWC!BI467</f>
        <v>0</v>
      </c>
      <c r="BJ114" s="314">
        <f>-EWC!BJ467</f>
        <v>0</v>
      </c>
      <c r="BK114" s="315">
        <f>-EWC!BK467</f>
        <v>0</v>
      </c>
      <c r="BL114" s="311">
        <f>-EWC!BL467</f>
        <v>0</v>
      </c>
      <c r="BM114" s="313">
        <f>-EWC!BM467</f>
        <v>0</v>
      </c>
      <c r="BN114" s="314">
        <f>-EWC!BN467</f>
        <v>0</v>
      </c>
      <c r="BO114" s="314">
        <f>-EWC!BO467</f>
        <v>0</v>
      </c>
      <c r="BP114" s="315">
        <f>-EWC!BP467</f>
        <v>0</v>
      </c>
      <c r="BQ114" s="311">
        <f>-EWC!BQ467</f>
        <v>0</v>
      </c>
      <c r="BR114" s="311"/>
      <c r="BS114" s="311"/>
      <c r="BT114" s="311"/>
      <c r="BU114" s="311"/>
      <c r="BV114" s="311"/>
      <c r="BW114" s="311"/>
      <c r="BX114" s="311"/>
      <c r="BY114" s="311"/>
      <c r="BZ114" s="311"/>
      <c r="CA114" s="311"/>
      <c r="CB114" s="311"/>
      <c r="CC114" s="311"/>
      <c r="CD114" s="311"/>
      <c r="CE114" s="311"/>
    </row>
    <row r="115" spans="1:89">
      <c r="A115" s="311"/>
      <c r="B115" s="311"/>
      <c r="C115" s="1264" t="s">
        <v>20</v>
      </c>
      <c r="D115" s="311"/>
      <c r="E115" s="313"/>
      <c r="F115" s="314"/>
      <c r="G115" s="314"/>
      <c r="H115" s="315"/>
      <c r="I115" s="311"/>
      <c r="J115" s="313"/>
      <c r="K115" s="314"/>
      <c r="L115" s="314"/>
      <c r="M115" s="315"/>
      <c r="N115" s="311"/>
      <c r="O115" s="313"/>
      <c r="P115" s="314"/>
      <c r="Q115" s="314"/>
      <c r="R115" s="315"/>
      <c r="S115" s="311"/>
      <c r="T115" s="313"/>
      <c r="U115" s="314"/>
      <c r="V115" s="314"/>
      <c r="W115" s="315"/>
      <c r="X115" s="311"/>
      <c r="Y115" s="313"/>
      <c r="Z115" s="314"/>
      <c r="AA115" s="314"/>
      <c r="AB115" s="315"/>
      <c r="AC115" s="311"/>
      <c r="AD115" s="313">
        <f>+AD140</f>
        <v>35.537999999999997</v>
      </c>
      <c r="AE115" s="314">
        <f>+AE140</f>
        <v>27.561</v>
      </c>
      <c r="AF115" s="314">
        <f>+AF140</f>
        <v>6.71</v>
      </c>
      <c r="AG115" s="315">
        <f>+AG140</f>
        <v>-58.213999999999999</v>
      </c>
      <c r="AH115" s="311">
        <f>+SUM(AD115:AG115)</f>
        <v>11.594999999999999</v>
      </c>
      <c r="AI115" s="313">
        <f>+AI140</f>
        <v>-1.9220000000000006</v>
      </c>
      <c r="AJ115" s="314">
        <f>+AJ140</f>
        <v>0.74099999999999999</v>
      </c>
      <c r="AK115" s="314">
        <f>+AK140</f>
        <v>-74.728999999999999</v>
      </c>
      <c r="AL115" s="315">
        <f>+AL140</f>
        <v>0.14799999999999999</v>
      </c>
      <c r="AM115" s="311">
        <f t="shared" ref="AM115:AM120" si="249">+SUM(AI115:AL115)</f>
        <v>-75.762</v>
      </c>
      <c r="AN115" s="313">
        <f>+AN140</f>
        <v>5.7869999999999999</v>
      </c>
      <c r="AO115" s="314">
        <f>+AO140</f>
        <v>11.068</v>
      </c>
      <c r="AP115" s="314">
        <f>+AP140</f>
        <v>16.265000000000001</v>
      </c>
      <c r="AQ115" s="315">
        <f>+AQ140</f>
        <v>0</v>
      </c>
      <c r="AR115" s="311">
        <f t="shared" ref="AR115:AR116" si="250">+SUM(AN115:AQ115)</f>
        <v>33.120000000000005</v>
      </c>
      <c r="AS115" s="313">
        <f>+AS140</f>
        <v>2.448</v>
      </c>
      <c r="AT115" s="314">
        <f>+AT140</f>
        <v>5.3710000000000004</v>
      </c>
      <c r="AU115" s="314">
        <f t="shared" ref="AU115" si="251">+AU140</f>
        <v>7.3019999999999996</v>
      </c>
      <c r="AV115" s="315">
        <f>+AV140</f>
        <v>65.608000000000004</v>
      </c>
      <c r="AW115" s="311">
        <f t="shared" ref="AW115:AW116" si="252">+SUM(AS115:AV115)</f>
        <v>80.728999999999999</v>
      </c>
      <c r="AX115" s="313">
        <f>+AX140</f>
        <v>0</v>
      </c>
      <c r="AY115" s="314">
        <f>+AY140</f>
        <v>0</v>
      </c>
      <c r="AZ115" s="314">
        <f>+AZ140</f>
        <v>0</v>
      </c>
      <c r="BA115" s="315">
        <f>+BA140</f>
        <v>0</v>
      </c>
      <c r="BB115" s="311">
        <f>+SUM(AX115:BA115)</f>
        <v>0</v>
      </c>
      <c r="BC115" s="313">
        <f>+BC140</f>
        <v>0</v>
      </c>
      <c r="BD115" s="314">
        <f>+BD140</f>
        <v>0</v>
      </c>
      <c r="BE115" s="314">
        <f>+BE140</f>
        <v>0</v>
      </c>
      <c r="BF115" s="315">
        <f>+BF140</f>
        <v>0</v>
      </c>
      <c r="BG115" s="311">
        <f>+SUM(BC115:BF115)</f>
        <v>0</v>
      </c>
      <c r="BH115" s="313">
        <f>+BH140</f>
        <v>0</v>
      </c>
      <c r="BI115" s="314">
        <f>+BI140</f>
        <v>0</v>
      </c>
      <c r="BJ115" s="314">
        <f>+BJ140</f>
        <v>0</v>
      </c>
      <c r="BK115" s="315">
        <f>+BK140</f>
        <v>0</v>
      </c>
      <c r="BL115" s="311">
        <f>+SUM(BH115:BK115)</f>
        <v>0</v>
      </c>
      <c r="BM115" s="313">
        <f>+BM140</f>
        <v>0</v>
      </c>
      <c r="BN115" s="314">
        <f>+BN140</f>
        <v>0</v>
      </c>
      <c r="BO115" s="314">
        <f>+BO140</f>
        <v>0</v>
      </c>
      <c r="BP115" s="315">
        <f>+BP140</f>
        <v>0</v>
      </c>
      <c r="BQ115" s="311">
        <f>+SUM(BM115:BP115)</f>
        <v>0</v>
      </c>
      <c r="BR115" s="311"/>
      <c r="BS115" s="311"/>
      <c r="BT115" s="311"/>
      <c r="BU115" s="311"/>
      <c r="BV115" s="311"/>
      <c r="BW115" s="311"/>
      <c r="BX115" s="311"/>
      <c r="BY115" s="311"/>
      <c r="BZ115" s="311"/>
      <c r="CA115" s="311"/>
      <c r="CB115" s="311"/>
      <c r="CC115" s="311"/>
      <c r="CD115" s="311"/>
      <c r="CE115" s="311"/>
    </row>
    <row r="116" spans="1:89">
      <c r="A116" s="311"/>
      <c r="B116" s="311"/>
      <c r="C116" s="1264" t="s">
        <v>463</v>
      </c>
      <c r="D116" s="311"/>
      <c r="E116" s="313"/>
      <c r="F116" s="314"/>
      <c r="G116" s="314"/>
      <c r="H116" s="315"/>
      <c r="I116" s="311"/>
      <c r="J116" s="313"/>
      <c r="K116" s="314"/>
      <c r="L116" s="314"/>
      <c r="M116" s="315"/>
      <c r="N116" s="311"/>
      <c r="O116" s="313"/>
      <c r="P116" s="314"/>
      <c r="Q116" s="314"/>
      <c r="R116" s="315"/>
      <c r="S116" s="311"/>
      <c r="T116" s="313"/>
      <c r="U116" s="314"/>
      <c r="V116" s="314"/>
      <c r="W116" s="315"/>
      <c r="X116" s="311"/>
      <c r="Y116" s="313"/>
      <c r="Z116" s="314"/>
      <c r="AA116" s="314"/>
      <c r="AB116" s="315"/>
      <c r="AC116" s="311"/>
      <c r="AD116" s="313">
        <f>+Parent!AD37</f>
        <v>-41.856999999999744</v>
      </c>
      <c r="AE116" s="314">
        <f>+Parent!AE37</f>
        <v>-44.316000000000095</v>
      </c>
      <c r="AF116" s="314">
        <f>+Parent!AF37</f>
        <v>-47.669000000000196</v>
      </c>
      <c r="AG116" s="315">
        <f>+Parent!AG37</f>
        <v>-46.918000000000866</v>
      </c>
      <c r="AH116" s="311">
        <f>+SUM(AD116:AG116)</f>
        <v>-180.7600000000009</v>
      </c>
      <c r="AI116" s="313">
        <f>+Parent!AI37</f>
        <v>-48.252999999999602</v>
      </c>
      <c r="AJ116" s="314">
        <f>+Parent!AJ37</f>
        <v>-46.767999999999844</v>
      </c>
      <c r="AK116" s="314">
        <f>+Parent!AK37</f>
        <v>-51.088000000000179</v>
      </c>
      <c r="AL116" s="315">
        <f>+Parent!AL37</f>
        <v>-59.483999999998687</v>
      </c>
      <c r="AM116" s="311">
        <f t="shared" si="249"/>
        <v>-205.59299999999831</v>
      </c>
      <c r="AN116" s="313">
        <f>+Parent!AN37</f>
        <v>-43.965000000000153</v>
      </c>
      <c r="AO116" s="314">
        <f>+Parent!AO37</f>
        <v>-58.601000000000212</v>
      </c>
      <c r="AP116" s="314">
        <f>+Parent!AP37</f>
        <v>-62.798999999999857</v>
      </c>
      <c r="AQ116" s="315">
        <f>+Parent!AQ37</f>
        <v>-57.145999999998985</v>
      </c>
      <c r="AR116" s="311">
        <f t="shared" si="250"/>
        <v>-222.51099999999923</v>
      </c>
      <c r="AS116" s="313">
        <f>+Parent!AS37</f>
        <v>-54.374999999999943</v>
      </c>
      <c r="AT116" s="314">
        <f>+Parent!AT37</f>
        <v>-56.899999999999679</v>
      </c>
      <c r="AU116" s="314">
        <f>+Parent!AU37</f>
        <v>-57.853999999999658</v>
      </c>
      <c r="AV116" s="315">
        <f>+Parent!AV37</f>
        <v>-6.3310000000013495</v>
      </c>
      <c r="AW116" s="311">
        <f t="shared" si="252"/>
        <v>-175.46000000000063</v>
      </c>
      <c r="AX116" s="313">
        <f>+Parent!AX37</f>
        <v>-50.155354105994434</v>
      </c>
      <c r="AY116" s="314">
        <f>+Parent!AY37</f>
        <v>-61.142386490347306</v>
      </c>
      <c r="AZ116" s="314">
        <f>+Parent!AZ37</f>
        <v>-58.607532203990431</v>
      </c>
      <c r="BA116" s="315">
        <f>+Parent!BA37</f>
        <v>-58.54922826416967</v>
      </c>
      <c r="BB116" s="311">
        <f>+SUM(AX116:BA116)</f>
        <v>-228.45450106450184</v>
      </c>
      <c r="BC116" s="313">
        <f>+Parent!BC37</f>
        <v>-55.616916356900035</v>
      </c>
      <c r="BD116" s="314">
        <f>+Parent!BD37</f>
        <v>-62.398120375437088</v>
      </c>
      <c r="BE116" s="314">
        <f>+Parent!BE37</f>
        <v>-66.146423274390884</v>
      </c>
      <c r="BF116" s="315">
        <f>+Parent!BF37</f>
        <v>-64.094319120591933</v>
      </c>
      <c r="BG116" s="311">
        <f>+SUM(BC116:BF116)</f>
        <v>-248.25577912731995</v>
      </c>
      <c r="BH116" s="313">
        <f>+Parent!BH37</f>
        <v>-58.620809780180181</v>
      </c>
      <c r="BI116" s="314">
        <f>+Parent!BI37</f>
        <v>-67.2359776256678</v>
      </c>
      <c r="BJ116" s="314">
        <f>+Parent!BJ37</f>
        <v>-70.916842442430763</v>
      </c>
      <c r="BK116" s="315">
        <f>+Parent!BK37</f>
        <v>-65.483269213000042</v>
      </c>
      <c r="BL116" s="311">
        <f>+SUM(BH116:BK116)</f>
        <v>-262.25689906127877</v>
      </c>
      <c r="BM116" s="313">
        <f>+Parent!BM37</f>
        <v>-62.183881136177227</v>
      </c>
      <c r="BN116" s="314">
        <f>+Parent!BN37</f>
        <v>-68.173799864293073</v>
      </c>
      <c r="BO116" s="314">
        <f>+Parent!BO37</f>
        <v>-70.74171079014323</v>
      </c>
      <c r="BP116" s="315">
        <f>+Parent!BP37</f>
        <v>-66.963666281431159</v>
      </c>
      <c r="BQ116" s="311">
        <f>+SUM(BM116:BP116)</f>
        <v>-268.06305807204467</v>
      </c>
      <c r="BR116" s="311"/>
      <c r="BS116" s="311"/>
      <c r="BT116" s="311"/>
      <c r="BU116" s="311"/>
      <c r="BV116" s="311"/>
      <c r="BW116" s="311"/>
      <c r="BX116" s="311"/>
      <c r="BY116" s="311"/>
      <c r="BZ116" s="311"/>
      <c r="CA116" s="311"/>
      <c r="CB116" s="311"/>
      <c r="CC116" s="311"/>
      <c r="CD116" s="311"/>
      <c r="CE116" s="311"/>
    </row>
    <row r="117" spans="1:89">
      <c r="A117" s="311"/>
      <c r="B117" s="311"/>
      <c r="C117" s="1264" t="s">
        <v>203</v>
      </c>
      <c r="D117" s="311"/>
      <c r="E117" s="313"/>
      <c r="F117" s="314"/>
      <c r="G117" s="314"/>
      <c r="H117" s="315"/>
      <c r="I117" s="311"/>
      <c r="J117" s="313"/>
      <c r="K117" s="314"/>
      <c r="L117" s="314"/>
      <c r="M117" s="315"/>
      <c r="N117" s="311"/>
      <c r="O117" s="313"/>
      <c r="P117" s="314"/>
      <c r="Q117" s="314"/>
      <c r="R117" s="315"/>
      <c r="S117" s="311"/>
      <c r="T117" s="313"/>
      <c r="U117" s="314"/>
      <c r="V117" s="314"/>
      <c r="W117" s="315"/>
      <c r="X117" s="311"/>
      <c r="Y117" s="313"/>
      <c r="Z117" s="314"/>
      <c r="AA117" s="314"/>
      <c r="AB117" s="315"/>
      <c r="AC117" s="311"/>
      <c r="AD117" s="313">
        <f>+SUM(Parent!AD51:AD52)</f>
        <v>0</v>
      </c>
      <c r="AE117" s="314">
        <f>+SUM(Parent!AE51:AE52)</f>
        <v>0</v>
      </c>
      <c r="AF117" s="314">
        <f>+SUM(Parent!AF51:AF52)</f>
        <v>0</v>
      </c>
      <c r="AG117" s="315">
        <f>+SUM(Parent!AG51:AG52)</f>
        <v>0</v>
      </c>
      <c r="AH117" s="311">
        <f>+SUM(Parent!AH51:AH52)</f>
        <v>0</v>
      </c>
      <c r="AI117" s="313">
        <f>+SUM(Parent!AI51:AI52)</f>
        <v>0</v>
      </c>
      <c r="AJ117" s="314">
        <f>+SUM(Parent!AJ51:AJ52)</f>
        <v>0</v>
      </c>
      <c r="AK117" s="314">
        <f>+SUM(Parent!AK51:AK52)</f>
        <v>0</v>
      </c>
      <c r="AL117" s="315">
        <f>+SUM(Parent!AL51:AL52)</f>
        <v>0</v>
      </c>
      <c r="AM117" s="311">
        <f>+SUM(Parent!AM51:AM52)</f>
        <v>0</v>
      </c>
      <c r="AN117" s="313">
        <f>+SUM(Parent!AN51:AN52)</f>
        <v>0</v>
      </c>
      <c r="AO117" s="314">
        <f>+SUM(Parent!AO51:AO52)</f>
        <v>0</v>
      </c>
      <c r="AP117" s="314">
        <f>+SUM(Parent!AP51:AP52)</f>
        <v>0</v>
      </c>
      <c r="AQ117" s="315">
        <f>+SUM(Parent!AQ51:AQ52)</f>
        <v>0</v>
      </c>
      <c r="AR117" s="311">
        <f>+SUM(Parent!AR51:AR52)</f>
        <v>0</v>
      </c>
      <c r="AS117" s="313">
        <f>+SUM(Parent!AS51:AS52)</f>
        <v>0</v>
      </c>
      <c r="AT117" s="314">
        <f>+SUM(Parent!AT51:AT52)</f>
        <v>0</v>
      </c>
      <c r="AU117" s="314">
        <f>+SUM(Parent!AU51:AU52)</f>
        <v>0</v>
      </c>
      <c r="AV117" s="315">
        <f>+SUM(Parent!AV51:AV52)</f>
        <v>0</v>
      </c>
      <c r="AW117" s="311">
        <f>+SUM(Parent!AW51:AW52)</f>
        <v>0</v>
      </c>
      <c r="AX117" s="313">
        <f>+SUM(Parent!AX51:AX52)</f>
        <v>0</v>
      </c>
      <c r="AY117" s="314">
        <f>+SUM(Parent!AY51:AY52)</f>
        <v>1200</v>
      </c>
      <c r="AZ117" s="314">
        <f>+SUM(Parent!AZ51:AZ52)</f>
        <v>0</v>
      </c>
      <c r="BA117" s="315">
        <f>+SUM(Parent!BA51:BA52)</f>
        <v>0</v>
      </c>
      <c r="BB117" s="311">
        <f>+SUM(Parent!BB51:BB52)</f>
        <v>1200</v>
      </c>
      <c r="BC117" s="313">
        <f>+SUM(Parent!BC51:BC52)</f>
        <v>0</v>
      </c>
      <c r="BD117" s="314">
        <f>+SUM(Parent!BD51:BD52)</f>
        <v>0</v>
      </c>
      <c r="BE117" s="314">
        <f>+SUM(Parent!BE51:BE52)</f>
        <v>700</v>
      </c>
      <c r="BF117" s="315">
        <f>+SUM(Parent!BF51:BF52)</f>
        <v>0</v>
      </c>
      <c r="BG117" s="311">
        <f>+SUM(Parent!BG51:BG52)</f>
        <v>700</v>
      </c>
      <c r="BH117" s="313">
        <f>+SUM(Parent!BH51:BH52)</f>
        <v>0</v>
      </c>
      <c r="BI117" s="314">
        <f>+SUM(Parent!BI51:BI52)</f>
        <v>0</v>
      </c>
      <c r="BJ117" s="314">
        <f>+SUM(Parent!BJ51:BJ52)</f>
        <v>150</v>
      </c>
      <c r="BK117" s="315">
        <f>+SUM(Parent!BK51:BK52)</f>
        <v>0</v>
      </c>
      <c r="BL117" s="311">
        <f>+SUM(Parent!BL51:BL52)</f>
        <v>150</v>
      </c>
      <c r="BM117" s="313">
        <f>+SUM(Parent!BM51:BM52)</f>
        <v>0</v>
      </c>
      <c r="BN117" s="314">
        <f>+SUM(Parent!BN51:BN52)</f>
        <v>0</v>
      </c>
      <c r="BO117" s="314">
        <f>+SUM(Parent!BO51:BO52)</f>
        <v>200</v>
      </c>
      <c r="BP117" s="315">
        <f>+SUM(Parent!BP51:BP52)</f>
        <v>0</v>
      </c>
      <c r="BQ117" s="311">
        <f>+SUM(Parent!BQ51:BQ52)</f>
        <v>200</v>
      </c>
      <c r="BR117" s="311"/>
      <c r="BS117" s="311"/>
      <c r="BT117" s="311"/>
      <c r="BU117" s="311"/>
      <c r="BV117" s="311"/>
      <c r="BW117" s="311"/>
      <c r="BX117" s="311"/>
      <c r="BY117" s="311"/>
      <c r="BZ117" s="311"/>
      <c r="CA117" s="311"/>
      <c r="CB117" s="311"/>
      <c r="CC117" s="311"/>
      <c r="CD117" s="311"/>
      <c r="CE117" s="311"/>
    </row>
    <row r="118" spans="1:89">
      <c r="A118" s="311"/>
      <c r="B118" s="311"/>
      <c r="C118" s="1264" t="s">
        <v>464</v>
      </c>
      <c r="D118" s="311"/>
      <c r="E118" s="313"/>
      <c r="F118" s="314"/>
      <c r="G118" s="314"/>
      <c r="H118" s="315"/>
      <c r="I118" s="311"/>
      <c r="J118" s="313"/>
      <c r="K118" s="314"/>
      <c r="L118" s="314"/>
      <c r="M118" s="315"/>
      <c r="N118" s="311"/>
      <c r="O118" s="313"/>
      <c r="P118" s="314"/>
      <c r="Q118" s="314"/>
      <c r="R118" s="315"/>
      <c r="S118" s="311"/>
      <c r="T118" s="313"/>
      <c r="U118" s="314"/>
      <c r="V118" s="314"/>
      <c r="W118" s="315"/>
      <c r="X118" s="311"/>
      <c r="Y118" s="313"/>
      <c r="Z118" s="314"/>
      <c r="AA118" s="314"/>
      <c r="AB118" s="315"/>
      <c r="AC118" s="311"/>
      <c r="AD118" s="313">
        <f t="shared" ref="AD118:AN118" si="253">AD141</f>
        <v>-153.148</v>
      </c>
      <c r="AE118" s="314">
        <f>AE141</f>
        <v>-153.83199999999999</v>
      </c>
      <c r="AF118" s="314">
        <f t="shared" si="253"/>
        <v>-149.08000000000001</v>
      </c>
      <c r="AG118" s="315">
        <f t="shared" si="253"/>
        <v>-149.809</v>
      </c>
      <c r="AH118" s="311">
        <f t="shared" si="253"/>
        <v>-605.86900000000003</v>
      </c>
      <c r="AI118" s="313">
        <f t="shared" ref="AI118" si="254">AI141</f>
        <v>-149.25700000000001</v>
      </c>
      <c r="AJ118" s="314">
        <f>AJ141</f>
        <v>-149.00200000000001</v>
      </c>
      <c r="AK118" s="314">
        <f t="shared" ref="AK118" si="255">AK141</f>
        <v>-148.68799999999999</v>
      </c>
      <c r="AL118" s="315">
        <f t="shared" si="253"/>
        <v>-151.62899999999999</v>
      </c>
      <c r="AM118" s="311">
        <f t="shared" si="253"/>
        <v>-598.57600000000002</v>
      </c>
      <c r="AN118" s="313">
        <f t="shared" si="253"/>
        <v>-151.839</v>
      </c>
      <c r="AO118" s="314">
        <f>AO141</f>
        <v>-152.00399999999999</v>
      </c>
      <c r="AP118" s="314">
        <f t="shared" ref="AP118:AS118" si="256">AP141</f>
        <v>-152.15</v>
      </c>
      <c r="AQ118" s="315">
        <f t="shared" si="256"/>
        <v>-155.84200000000001</v>
      </c>
      <c r="AR118" s="311">
        <f t="shared" si="256"/>
        <v>-611.83499999999992</v>
      </c>
      <c r="AS118" s="313">
        <f t="shared" si="256"/>
        <v>-156.07300000000001</v>
      </c>
      <c r="AT118" s="314">
        <f>AT141</f>
        <v>-156.136</v>
      </c>
      <c r="AU118" s="314">
        <f t="shared" ref="AU118:AW118" si="257">AU141</f>
        <v>-156.18700000000001</v>
      </c>
      <c r="AV118" s="315">
        <f t="shared" si="257"/>
        <v>-160.489</v>
      </c>
      <c r="AW118" s="311">
        <f t="shared" si="257"/>
        <v>-628.88499999999999</v>
      </c>
      <c r="AX118" s="313">
        <f t="shared" ref="AX118:BB118" si="258">AX141</f>
        <v>-160.66071116999998</v>
      </c>
      <c r="AY118" s="314">
        <f t="shared" si="258"/>
        <v>-160.66071116999998</v>
      </c>
      <c r="AZ118" s="314">
        <f t="shared" si="258"/>
        <v>-160.66071116999998</v>
      </c>
      <c r="BA118" s="315">
        <f t="shared" si="258"/>
        <v>-164.27106423000004</v>
      </c>
      <c r="BB118" s="311">
        <f t="shared" si="258"/>
        <v>-646.25319773999991</v>
      </c>
      <c r="BC118" s="313">
        <f t="shared" ref="BC118:BL118" si="259">BC141</f>
        <v>-164.27106423000001</v>
      </c>
      <c r="BD118" s="314">
        <f t="shared" si="259"/>
        <v>-164.27106423000001</v>
      </c>
      <c r="BE118" s="314">
        <f t="shared" si="259"/>
        <v>-164.27106423000001</v>
      </c>
      <c r="BF118" s="315">
        <f t="shared" si="259"/>
        <v>-167.88141729000003</v>
      </c>
      <c r="BG118" s="311">
        <f t="shared" si="259"/>
        <v>-660.69460998000011</v>
      </c>
      <c r="BH118" s="313">
        <f t="shared" si="259"/>
        <v>-167.88141729</v>
      </c>
      <c r="BI118" s="314">
        <f t="shared" si="259"/>
        <v>-167.88141729</v>
      </c>
      <c r="BJ118" s="314">
        <f t="shared" si="259"/>
        <v>-167.88141729</v>
      </c>
      <c r="BK118" s="315">
        <f t="shared" si="259"/>
        <v>-171.49177035000002</v>
      </c>
      <c r="BL118" s="311">
        <f t="shared" si="259"/>
        <v>-675.13602222000009</v>
      </c>
      <c r="BM118" s="313">
        <f t="shared" ref="BM118:BQ118" si="260">BM141</f>
        <v>-171.49177035</v>
      </c>
      <c r="BN118" s="314">
        <f t="shared" si="260"/>
        <v>-171.49177035</v>
      </c>
      <c r="BO118" s="314">
        <f t="shared" si="260"/>
        <v>-171.49177035</v>
      </c>
      <c r="BP118" s="315">
        <f t="shared" si="260"/>
        <v>-175.10212341000002</v>
      </c>
      <c r="BQ118" s="311">
        <f t="shared" si="260"/>
        <v>-689.57743445999995</v>
      </c>
      <c r="BR118" s="311"/>
      <c r="BS118" s="311"/>
      <c r="BT118" s="311"/>
      <c r="BU118" s="311"/>
      <c r="BV118" s="311"/>
      <c r="BW118" s="311"/>
      <c r="BX118" s="311"/>
      <c r="BY118" s="311"/>
      <c r="BZ118" s="311"/>
      <c r="CA118" s="311"/>
      <c r="CB118" s="311"/>
      <c r="CC118" s="311"/>
      <c r="CD118" s="311"/>
      <c r="CE118" s="311"/>
    </row>
    <row r="119" spans="1:89">
      <c r="A119" s="311"/>
      <c r="B119" s="311"/>
      <c r="C119" s="1264" t="s">
        <v>313</v>
      </c>
      <c r="D119" s="311"/>
      <c r="E119" s="313"/>
      <c r="F119" s="314"/>
      <c r="G119" s="314"/>
      <c r="H119" s="315"/>
      <c r="I119" s="311"/>
      <c r="J119" s="313"/>
      <c r="K119" s="314"/>
      <c r="L119" s="314"/>
      <c r="M119" s="315"/>
      <c r="N119" s="311"/>
      <c r="O119" s="313"/>
      <c r="P119" s="314"/>
      <c r="Q119" s="314"/>
      <c r="R119" s="315"/>
      <c r="S119" s="311"/>
      <c r="T119" s="313"/>
      <c r="U119" s="314"/>
      <c r="V119" s="314"/>
      <c r="W119" s="315"/>
      <c r="X119" s="311"/>
      <c r="Y119" s="313"/>
      <c r="Z119" s="314"/>
      <c r="AA119" s="314"/>
      <c r="AB119" s="315"/>
      <c r="AC119" s="311"/>
      <c r="AD119" s="313">
        <v>0</v>
      </c>
      <c r="AE119" s="314">
        <v>0</v>
      </c>
      <c r="AF119" s="314">
        <v>0</v>
      </c>
      <c r="AG119" s="315">
        <v>0</v>
      </c>
      <c r="AH119" s="311">
        <f>+SUM(AD119:AG119)</f>
        <v>0</v>
      </c>
      <c r="AI119" s="313">
        <v>0</v>
      </c>
      <c r="AJ119" s="314">
        <v>0</v>
      </c>
      <c r="AK119" s="314">
        <v>0</v>
      </c>
      <c r="AL119" s="315">
        <v>0</v>
      </c>
      <c r="AM119" s="311">
        <f t="shared" si="249"/>
        <v>0</v>
      </c>
      <c r="AN119" s="313">
        <v>0</v>
      </c>
      <c r="AO119" s="314">
        <v>0</v>
      </c>
      <c r="AP119" s="314">
        <v>0</v>
      </c>
      <c r="AQ119" s="315">
        <v>0</v>
      </c>
      <c r="AR119" s="311">
        <f t="shared" ref="AR119:AR120" si="261">+SUM(AN119:AQ119)</f>
        <v>0</v>
      </c>
      <c r="AS119" s="313">
        <v>0</v>
      </c>
      <c r="AT119" s="314">
        <v>0</v>
      </c>
      <c r="AU119" s="314">
        <v>0</v>
      </c>
      <c r="AV119" s="315">
        <v>0</v>
      </c>
      <c r="AW119" s="311">
        <f t="shared" ref="AW119:AW120" si="262">+SUM(AS119:AV119)</f>
        <v>0</v>
      </c>
      <c r="AX119" s="313">
        <v>0</v>
      </c>
      <c r="AY119" s="314">
        <v>0</v>
      </c>
      <c r="AZ119" s="314">
        <v>0</v>
      </c>
      <c r="BA119" s="315">
        <v>0</v>
      </c>
      <c r="BB119" s="311">
        <f>+SUM(AX119:BA119)</f>
        <v>0</v>
      </c>
      <c r="BC119" s="313">
        <v>0</v>
      </c>
      <c r="BD119" s="314">
        <v>0</v>
      </c>
      <c r="BE119" s="314">
        <v>0</v>
      </c>
      <c r="BF119" s="315">
        <v>0</v>
      </c>
      <c r="BG119" s="311">
        <f>+SUM(BC119:BF119)</f>
        <v>0</v>
      </c>
      <c r="BH119" s="313">
        <v>0</v>
      </c>
      <c r="BI119" s="314">
        <v>0</v>
      </c>
      <c r="BJ119" s="314">
        <v>0</v>
      </c>
      <c r="BK119" s="315">
        <v>0</v>
      </c>
      <c r="BL119" s="311">
        <f>+SUM(BH119:BK119)</f>
        <v>0</v>
      </c>
      <c r="BM119" s="313">
        <v>0</v>
      </c>
      <c r="BN119" s="314">
        <v>0</v>
      </c>
      <c r="BO119" s="314">
        <v>0</v>
      </c>
      <c r="BP119" s="315">
        <v>0</v>
      </c>
      <c r="BQ119" s="311">
        <f>+SUM(BM119:BP119)</f>
        <v>0</v>
      </c>
      <c r="BR119" s="311"/>
      <c r="BS119" s="311"/>
      <c r="BT119" s="311"/>
      <c r="BU119" s="311"/>
      <c r="BV119" s="311"/>
      <c r="BW119" s="311"/>
      <c r="BX119" s="311"/>
      <c r="BY119" s="311"/>
      <c r="BZ119" s="311"/>
      <c r="CA119" s="311"/>
      <c r="CB119" s="311"/>
      <c r="CC119" s="311"/>
      <c r="CD119" s="311"/>
      <c r="CE119" s="311"/>
    </row>
    <row r="120" spans="1:89" s="37" customFormat="1">
      <c r="A120" s="327"/>
      <c r="B120" s="327"/>
      <c r="C120" s="1173" t="s">
        <v>617</v>
      </c>
      <c r="D120" s="327"/>
      <c r="E120" s="335"/>
      <c r="F120" s="336"/>
      <c r="G120" s="336"/>
      <c r="H120" s="337"/>
      <c r="I120" s="327"/>
      <c r="J120" s="335"/>
      <c r="K120" s="336"/>
      <c r="L120" s="336"/>
      <c r="M120" s="337"/>
      <c r="N120" s="327"/>
      <c r="O120" s="335"/>
      <c r="P120" s="336"/>
      <c r="Q120" s="336"/>
      <c r="R120" s="337"/>
      <c r="S120" s="327"/>
      <c r="T120" s="335"/>
      <c r="U120" s="336"/>
      <c r="V120" s="336"/>
      <c r="W120" s="337"/>
      <c r="X120" s="327"/>
      <c r="Y120" s="335"/>
      <c r="Z120" s="336"/>
      <c r="AA120" s="336"/>
      <c r="AB120" s="337"/>
      <c r="AC120" s="327"/>
      <c r="AD120" s="335">
        <f>+SUM(AD113:AD119)</f>
        <v>-159.46699999999976</v>
      </c>
      <c r="AE120" s="336">
        <f>+SUM(AE113:AE119)</f>
        <v>-170.5870000000001</v>
      </c>
      <c r="AF120" s="336">
        <f>+SUM(AF113:AF119)</f>
        <v>-190.03900000000021</v>
      </c>
      <c r="AG120" s="337">
        <f>+SUM(AG113:AG119)</f>
        <v>-254.94100000000086</v>
      </c>
      <c r="AH120" s="327">
        <f>+SUM(AD120:AG120)</f>
        <v>-775.0340000000009</v>
      </c>
      <c r="AI120" s="335">
        <f>+SUM(AI113:AI119)</f>
        <v>-199.43199999999962</v>
      </c>
      <c r="AJ120" s="336">
        <f>+SUM(AJ113:AJ119)</f>
        <v>-195.02899999999985</v>
      </c>
      <c r="AK120" s="336">
        <f>+SUM(AK113:AK119)</f>
        <v>-274.50500000000017</v>
      </c>
      <c r="AL120" s="337">
        <f>+SUM(AL113:AL119)</f>
        <v>-210.96499999999867</v>
      </c>
      <c r="AM120" s="327">
        <f t="shared" si="249"/>
        <v>-879.93099999999833</v>
      </c>
      <c r="AN120" s="335">
        <f>+SUM(AN113:AN119)</f>
        <v>-190.01700000000017</v>
      </c>
      <c r="AO120" s="336">
        <f>+SUM(AO113:AO119)</f>
        <v>-199.53700000000021</v>
      </c>
      <c r="AP120" s="336">
        <f>+SUM(AP113:AP119)</f>
        <v>-198.68399999999986</v>
      </c>
      <c r="AQ120" s="337">
        <f>+SUM(AQ113:AQ119)</f>
        <v>-212.987999999999</v>
      </c>
      <c r="AR120" s="327">
        <f t="shared" si="261"/>
        <v>-801.22599999999932</v>
      </c>
      <c r="AS120" s="335">
        <f>+SUM(AS113:AS119)</f>
        <v>-207.99999999999994</v>
      </c>
      <c r="AT120" s="336">
        <f>+SUM(AT113:AT119)</f>
        <v>-207.66499999999968</v>
      </c>
      <c r="AU120" s="336">
        <f t="shared" ref="AU120" si="263">+SUM(AU113:AU119)</f>
        <v>-206.73899999999966</v>
      </c>
      <c r="AV120" s="337">
        <f>+SUM(AV113:AV119)</f>
        <v>-101.21200000000135</v>
      </c>
      <c r="AW120" s="327">
        <f t="shared" si="262"/>
        <v>-723.61600000000067</v>
      </c>
      <c r="AX120" s="335">
        <f>+SUM(AX113:AX119)</f>
        <v>-98.316065275994418</v>
      </c>
      <c r="AY120" s="336">
        <f>+SUM(AY113:AY119)</f>
        <v>1090.6969023396528</v>
      </c>
      <c r="AZ120" s="336">
        <f>+SUM(AZ113:AZ119)</f>
        <v>-106.76824337399042</v>
      </c>
      <c r="BA120" s="337">
        <f>+SUM(BA113:BA119)</f>
        <v>-110.32029249416971</v>
      </c>
      <c r="BB120" s="327">
        <f>+SUM(AX120:BA120)</f>
        <v>775.29230119549811</v>
      </c>
      <c r="BC120" s="335">
        <f>+SUM(BC113:BC119)</f>
        <v>-157.38798058690003</v>
      </c>
      <c r="BD120" s="336">
        <f>+SUM(BD113:BD119)</f>
        <v>-164.1691846054371</v>
      </c>
      <c r="BE120" s="336">
        <f>+SUM(BE113:BE119)</f>
        <v>532.08251249560919</v>
      </c>
      <c r="BF120" s="337">
        <f>+SUM(BF113:BF119)</f>
        <v>-169.47573641059196</v>
      </c>
      <c r="BG120" s="327">
        <f>+SUM(BC120:BF120)</f>
        <v>41.049610892680079</v>
      </c>
      <c r="BH120" s="335">
        <f>+SUM(BH113:BH119)</f>
        <v>-126.50222707018018</v>
      </c>
      <c r="BI120" s="336">
        <f>+SUM(BI113:BI119)</f>
        <v>-135.1173949156678</v>
      </c>
      <c r="BJ120" s="336">
        <f>+SUM(BJ113:BJ119)</f>
        <v>11.201740267569221</v>
      </c>
      <c r="BK120" s="337">
        <f>+SUM(BK113:BK119)</f>
        <v>-136.97503956300005</v>
      </c>
      <c r="BL120" s="327">
        <f>+SUM(BH120:BK120)</f>
        <v>-387.3929212812788</v>
      </c>
      <c r="BM120" s="335">
        <f>+SUM(BM113:BM119)</f>
        <v>-171.17565148617723</v>
      </c>
      <c r="BN120" s="336">
        <f>+SUM(BN113:BN119)</f>
        <v>-177.16557021429307</v>
      </c>
      <c r="BO120" s="336">
        <f>+SUM(BO113:BO119)</f>
        <v>20.266518859856774</v>
      </c>
      <c r="BP120" s="337">
        <f>+SUM(BP113:BP119)</f>
        <v>-179.56578969143118</v>
      </c>
      <c r="BQ120" s="327">
        <f>+SUM(BM120:BP120)</f>
        <v>-507.64049253204473</v>
      </c>
      <c r="BR120" s="327"/>
      <c r="BS120" s="327"/>
      <c r="BT120" s="327"/>
      <c r="BU120" s="327"/>
      <c r="BV120" s="327"/>
      <c r="BW120" s="327"/>
      <c r="BX120" s="327"/>
      <c r="BY120" s="327"/>
      <c r="BZ120" s="327"/>
      <c r="CA120" s="327"/>
      <c r="CB120" s="327"/>
      <c r="CC120" s="327"/>
      <c r="CD120" s="327"/>
      <c r="CE120" s="327"/>
      <c r="CF120"/>
      <c r="CG120"/>
      <c r="CH120"/>
      <c r="CI120"/>
      <c r="CJ120"/>
      <c r="CK120"/>
    </row>
    <row r="121" spans="1:89">
      <c r="A121" s="233"/>
      <c r="B121" s="233"/>
      <c r="C121" s="1175"/>
      <c r="D121" s="233"/>
      <c r="E121" s="234"/>
      <c r="F121" s="235"/>
      <c r="G121" s="235"/>
      <c r="H121" s="236"/>
      <c r="I121" s="233"/>
      <c r="J121" s="234"/>
      <c r="K121" s="235"/>
      <c r="L121" s="235"/>
      <c r="M121" s="236"/>
      <c r="N121" s="233"/>
      <c r="O121" s="234"/>
      <c r="P121" s="235"/>
      <c r="Q121" s="235"/>
      <c r="R121" s="236"/>
      <c r="S121" s="233"/>
      <c r="T121" s="234"/>
      <c r="U121" s="235"/>
      <c r="V121" s="235"/>
      <c r="W121" s="236"/>
      <c r="X121" s="233"/>
      <c r="Y121" s="234"/>
      <c r="Z121" s="235"/>
      <c r="AA121" s="235"/>
      <c r="AB121" s="236"/>
      <c r="AC121" s="233"/>
      <c r="AD121" s="234"/>
      <c r="AE121" s="235"/>
      <c r="AF121" s="235"/>
      <c r="AG121" s="236"/>
      <c r="AH121" s="233"/>
      <c r="AI121" s="234"/>
      <c r="AJ121" s="235"/>
      <c r="AK121" s="235"/>
      <c r="AL121" s="236"/>
      <c r="AM121" s="233"/>
      <c r="AN121" s="234"/>
      <c r="AO121" s="235"/>
      <c r="AP121" s="235"/>
      <c r="AQ121" s="236"/>
      <c r="AR121" s="233"/>
      <c r="AS121" s="234"/>
      <c r="AT121" s="235"/>
      <c r="AU121" s="235"/>
      <c r="AV121" s="236"/>
      <c r="AW121" s="233"/>
      <c r="AX121" s="234"/>
      <c r="AY121" s="235"/>
      <c r="AZ121" s="235"/>
      <c r="BA121" s="236"/>
      <c r="BB121" s="233"/>
      <c r="BC121" s="234"/>
      <c r="BD121" s="235"/>
      <c r="BE121" s="235"/>
      <c r="BF121" s="236"/>
      <c r="BG121" s="233"/>
      <c r="BH121" s="234"/>
      <c r="BI121" s="235"/>
      <c r="BJ121" s="235"/>
      <c r="BK121" s="236"/>
      <c r="BL121" s="233"/>
      <c r="BM121" s="234"/>
      <c r="BN121" s="235"/>
      <c r="BO121" s="235"/>
      <c r="BP121" s="236"/>
      <c r="BQ121" s="233"/>
      <c r="BR121" s="233"/>
      <c r="BS121" s="233"/>
      <c r="BT121" s="233"/>
      <c r="BU121" s="233"/>
      <c r="BV121" s="233"/>
      <c r="BW121" s="233"/>
      <c r="BX121" s="233"/>
      <c r="BY121" s="233"/>
      <c r="BZ121" s="233"/>
      <c r="CA121" s="233"/>
      <c r="CB121" s="233"/>
      <c r="CC121" s="233"/>
      <c r="CD121" s="233"/>
      <c r="CE121" s="233"/>
    </row>
    <row r="122" spans="1:89">
      <c r="A122" s="233"/>
      <c r="B122" s="233"/>
      <c r="C122" s="1175"/>
      <c r="D122" s="233"/>
      <c r="E122" s="235"/>
      <c r="F122" s="235"/>
      <c r="G122" s="235"/>
      <c r="H122" s="236"/>
      <c r="I122" s="233"/>
      <c r="J122" s="234"/>
      <c r="K122" s="235"/>
      <c r="L122" s="235"/>
      <c r="M122" s="236"/>
      <c r="N122" s="233"/>
      <c r="O122" s="234"/>
      <c r="P122" s="235"/>
      <c r="Q122" s="235"/>
      <c r="R122" s="236"/>
      <c r="S122" s="233"/>
      <c r="T122" s="234"/>
      <c r="U122" s="235"/>
      <c r="V122" s="235"/>
      <c r="W122" s="236"/>
      <c r="X122" s="233"/>
      <c r="Y122" s="234"/>
      <c r="Z122" s="235"/>
      <c r="AA122" s="235"/>
      <c r="AB122" s="236"/>
      <c r="AC122" s="233"/>
      <c r="AD122" s="234"/>
      <c r="AE122" s="235"/>
      <c r="AF122" s="235"/>
      <c r="AG122" s="236"/>
      <c r="AH122" s="233"/>
      <c r="AI122" s="234"/>
      <c r="AJ122" s="235"/>
      <c r="AK122" s="235"/>
      <c r="AL122" s="236"/>
      <c r="AM122" s="233"/>
      <c r="AN122" s="234"/>
      <c r="AO122" s="235"/>
      <c r="AP122" s="235"/>
      <c r="AQ122" s="236"/>
      <c r="AR122" s="233"/>
      <c r="AS122" s="234"/>
      <c r="AT122" s="235"/>
      <c r="AU122" s="235"/>
      <c r="AV122" s="236"/>
      <c r="AW122" s="233"/>
      <c r="AX122" s="234"/>
      <c r="AY122" s="235"/>
      <c r="AZ122" s="235"/>
      <c r="BA122" s="236"/>
      <c r="BB122" s="233"/>
      <c r="BC122" s="234"/>
      <c r="BD122" s="235"/>
      <c r="BE122" s="235"/>
      <c r="BF122" s="236"/>
      <c r="BG122" s="233"/>
      <c r="BH122" s="234"/>
      <c r="BI122" s="235"/>
      <c r="BJ122" s="235"/>
      <c r="BK122" s="236"/>
      <c r="BL122" s="233"/>
      <c r="BM122" s="234"/>
      <c r="BN122" s="235"/>
      <c r="BO122" s="235"/>
      <c r="BP122" s="236"/>
      <c r="BQ122" s="233"/>
      <c r="BR122" s="233"/>
      <c r="BS122" s="233"/>
      <c r="BT122" s="233"/>
      <c r="BU122" s="233"/>
      <c r="BV122" s="233"/>
      <c r="BW122" s="233"/>
      <c r="BX122" s="233"/>
      <c r="BY122" s="233"/>
      <c r="BZ122" s="233"/>
      <c r="CA122" s="233"/>
      <c r="CB122" s="233"/>
      <c r="CC122" s="233"/>
      <c r="CD122" s="233"/>
      <c r="CE122" s="233"/>
    </row>
    <row r="123" spans="1:89">
      <c r="A123" s="233"/>
      <c r="B123" s="350" t="s">
        <v>5</v>
      </c>
      <c r="C123" s="1265"/>
      <c r="D123" s="102"/>
      <c r="E123" s="238"/>
      <c r="F123" s="238"/>
      <c r="G123" s="238"/>
      <c r="H123" s="239"/>
      <c r="I123" s="382"/>
      <c r="J123" s="237"/>
      <c r="K123" s="238"/>
      <c r="L123" s="238"/>
      <c r="M123" s="239"/>
      <c r="N123" s="233"/>
      <c r="O123" s="237"/>
      <c r="P123" s="238"/>
      <c r="Q123" s="238"/>
      <c r="R123" s="239"/>
      <c r="S123" s="233"/>
      <c r="T123" s="237"/>
      <c r="U123" s="238"/>
      <c r="V123" s="238"/>
      <c r="W123" s="239"/>
      <c r="X123" s="233"/>
      <c r="Y123" s="237"/>
      <c r="Z123" s="238"/>
      <c r="AA123" s="238"/>
      <c r="AB123" s="239"/>
      <c r="AC123" s="233"/>
      <c r="AD123" s="237"/>
      <c r="AE123" s="238"/>
      <c r="AF123" s="238"/>
      <c r="AG123" s="239"/>
      <c r="AH123" s="233"/>
      <c r="AI123" s="237"/>
      <c r="AJ123" s="238"/>
      <c r="AK123" s="238"/>
      <c r="AL123" s="239"/>
      <c r="AM123" s="233"/>
      <c r="AN123" s="237"/>
      <c r="AO123" s="238"/>
      <c r="AP123" s="238"/>
      <c r="AQ123" s="239"/>
      <c r="AR123" s="233"/>
      <c r="AS123" s="237"/>
      <c r="AT123" s="238"/>
      <c r="AU123" s="238"/>
      <c r="AV123" s="239"/>
      <c r="AW123" s="233"/>
      <c r="AX123" s="237"/>
      <c r="AY123" s="238"/>
      <c r="AZ123" s="238"/>
      <c r="BA123" s="239"/>
      <c r="BB123" s="233"/>
      <c r="BC123" s="237"/>
      <c r="BD123" s="238"/>
      <c r="BE123" s="238"/>
      <c r="BF123" s="239"/>
      <c r="BG123" s="233"/>
      <c r="BH123" s="237"/>
      <c r="BI123" s="238"/>
      <c r="BJ123" s="238"/>
      <c r="BK123" s="239"/>
      <c r="BL123" s="233"/>
      <c r="BM123" s="237"/>
      <c r="BN123" s="238"/>
      <c r="BO123" s="238"/>
      <c r="BP123" s="239"/>
      <c r="BQ123" s="233"/>
      <c r="BR123" s="233"/>
      <c r="BS123" s="233"/>
      <c r="BT123" s="233"/>
      <c r="BU123" s="233"/>
      <c r="BV123" s="233"/>
      <c r="BW123" s="233"/>
      <c r="BX123" s="233"/>
      <c r="BY123" s="233"/>
      <c r="BZ123" s="233"/>
      <c r="CA123" s="233"/>
      <c r="CB123" s="233"/>
      <c r="CC123" s="233"/>
      <c r="CD123" s="233"/>
      <c r="CE123" s="233"/>
    </row>
    <row r="124" spans="1:89" s="103" customFormat="1">
      <c r="A124" s="31"/>
      <c r="B124" s="31"/>
      <c r="C124" s="1174" t="s">
        <v>354</v>
      </c>
      <c r="D124" s="31"/>
      <c r="E124" s="190">
        <v>240.333</v>
      </c>
      <c r="F124" s="190">
        <v>231.81100000000001</v>
      </c>
      <c r="G124" s="428">
        <v>460.16699999999997</v>
      </c>
      <c r="H124" s="429">
        <v>318.74</v>
      </c>
      <c r="I124" s="1289">
        <f>SUM(E124:H124)</f>
        <v>1251.0509999999999</v>
      </c>
      <c r="J124" s="427">
        <v>218.81399999999999</v>
      </c>
      <c r="K124" s="428">
        <v>320.28300000000002</v>
      </c>
      <c r="L124" s="428">
        <v>497.90100000000001</v>
      </c>
      <c r="M124" s="429">
        <v>233.30699999999999</v>
      </c>
      <c r="N124" s="44">
        <f>SUM(J124:M124)</f>
        <v>1270.3050000000001</v>
      </c>
      <c r="O124" s="427">
        <v>253.678</v>
      </c>
      <c r="P124" s="428">
        <v>320.59899999999999</v>
      </c>
      <c r="Q124" s="428">
        <v>633.06899999999996</v>
      </c>
      <c r="R124" s="429">
        <v>160.02699999999999</v>
      </c>
      <c r="S124" s="44">
        <f>SUM(O124:R124)</f>
        <v>1367.373</v>
      </c>
      <c r="T124" s="427">
        <v>-146.74</v>
      </c>
      <c r="U124" s="428">
        <v>370.58300000000003</v>
      </c>
      <c r="V124" s="428">
        <v>342.67</v>
      </c>
      <c r="W124" s="429">
        <v>301.85000000000002</v>
      </c>
      <c r="X124" s="44">
        <f>SUM(T124:W124)</f>
        <v>868.36300000000006</v>
      </c>
      <c r="Y124" s="427">
        <v>166.982</v>
      </c>
      <c r="Z124" s="428">
        <v>168.05500000000001</v>
      </c>
      <c r="AA124" s="428">
        <v>244.18199999999999</v>
      </c>
      <c r="AB124" s="429">
        <v>151.352</v>
      </c>
      <c r="AC124" s="44">
        <f>SUM(Y124:AB124)</f>
        <v>730.57100000000003</v>
      </c>
      <c r="AD124" s="427">
        <v>406.053</v>
      </c>
      <c r="AE124" s="428">
        <v>194.28100000000001</v>
      </c>
      <c r="AF124" s="428">
        <v>234.916</v>
      </c>
      <c r="AG124" s="429">
        <v>125.006</v>
      </c>
      <c r="AH124" s="44">
        <f>SUM(AD124:AG124)</f>
        <v>960.25599999999997</v>
      </c>
      <c r="AI124" s="427">
        <v>302.92899999999997</v>
      </c>
      <c r="AJ124" s="428">
        <v>153.72200000000001</v>
      </c>
      <c r="AK124" s="428">
        <v>-718.23299999999995</v>
      </c>
      <c r="AL124" s="429">
        <v>104.849</v>
      </c>
      <c r="AM124" s="44">
        <f>SUM(AI124:AL124)</f>
        <v>-156.733</v>
      </c>
      <c r="AN124" s="427">
        <v>235.24199999999999</v>
      </c>
      <c r="AO124" s="428">
        <v>572.59</v>
      </c>
      <c r="AP124" s="428">
        <v>393.20400000000001</v>
      </c>
      <c r="AQ124" s="429">
        <v>-1765.538</v>
      </c>
      <c r="AR124" s="44">
        <f>SUM(AN124:AQ124)</f>
        <v>-564.50199999999995</v>
      </c>
      <c r="AS124" s="427">
        <v>86.051000000000002</v>
      </c>
      <c r="AT124" s="428">
        <v>413.36799999999999</v>
      </c>
      <c r="AU124" s="428">
        <v>401.64400000000001</v>
      </c>
      <c r="AV124" s="429">
        <v>-475.71100000000001</v>
      </c>
      <c r="AW124" s="44">
        <f>SUM(AS124:AV124)</f>
        <v>425.35199999999998</v>
      </c>
      <c r="AX124" s="177">
        <f>AX41</f>
        <v>218.20922316522933</v>
      </c>
      <c r="AY124" s="178">
        <f>AY41</f>
        <v>241.42375272122354</v>
      </c>
      <c r="AZ124" s="178">
        <f>AZ41</f>
        <v>448.45595894494147</v>
      </c>
      <c r="BA124" s="179">
        <f>BA41</f>
        <v>160.94464589499182</v>
      </c>
      <c r="BB124" s="44">
        <f>SUM(AX124:BA124)</f>
        <v>1069.0335807263862</v>
      </c>
      <c r="BC124" s="177">
        <f>BC41</f>
        <v>237.37456674096245</v>
      </c>
      <c r="BD124" s="178">
        <f>BD41</f>
        <v>240.48298933139165</v>
      </c>
      <c r="BE124" s="178">
        <f>BE41</f>
        <v>402.219269354213</v>
      </c>
      <c r="BF124" s="179">
        <f>BF41</f>
        <v>115.48580537639475</v>
      </c>
      <c r="BG124" s="44">
        <f>SUM(BC124:BF124)</f>
        <v>995.56263080296185</v>
      </c>
      <c r="BH124" s="177">
        <f>BH41</f>
        <v>297.2459274195711</v>
      </c>
      <c r="BI124" s="178">
        <f>BI41</f>
        <v>231.68962292754472</v>
      </c>
      <c r="BJ124" s="178">
        <f>BJ41</f>
        <v>386.54504177494346</v>
      </c>
      <c r="BK124" s="179">
        <f>BK41</f>
        <v>114.66454802411346</v>
      </c>
      <c r="BL124" s="44">
        <f>SUM(BH124:BK124)</f>
        <v>1030.1451401461727</v>
      </c>
      <c r="BM124" s="177">
        <f>BM41</f>
        <v>229.39546867006845</v>
      </c>
      <c r="BN124" s="178">
        <f>BN41</f>
        <v>250.48779876738709</v>
      </c>
      <c r="BO124" s="178">
        <f>BO41</f>
        <v>392.61005943784755</v>
      </c>
      <c r="BP124" s="179">
        <f>BP41</f>
        <v>130.7959521668086</v>
      </c>
      <c r="BQ124" s="44">
        <f>SUM(BM124:BP124)</f>
        <v>1003.2892790421117</v>
      </c>
      <c r="BR124" s="44"/>
      <c r="BS124" s="44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/>
      <c r="CG124"/>
      <c r="CH124"/>
      <c r="CI124"/>
      <c r="CJ124"/>
      <c r="CK124"/>
    </row>
    <row r="125" spans="1:89">
      <c r="A125" s="233"/>
      <c r="B125" s="233"/>
      <c r="C125" s="1129" t="s">
        <v>318</v>
      </c>
      <c r="D125" s="233"/>
      <c r="E125" s="190">
        <v>348.44400000000002</v>
      </c>
      <c r="F125" s="190">
        <v>348.76100000000002</v>
      </c>
      <c r="G125" s="190">
        <v>330.71</v>
      </c>
      <c r="H125" s="191">
        <v>382.74599999999998</v>
      </c>
      <c r="I125" s="379">
        <f>SUM(E125:H125)</f>
        <v>1410.6610000000001</v>
      </c>
      <c r="J125" s="393">
        <v>423.43200000000002</v>
      </c>
      <c r="K125" s="190">
        <v>408.35300000000001</v>
      </c>
      <c r="L125" s="190">
        <v>427.75799999999998</v>
      </c>
      <c r="M125" s="191">
        <v>445.78800000000001</v>
      </c>
      <c r="N125" s="244">
        <f>SUM(J125:M125)</f>
        <v>1705.3310000000001</v>
      </c>
      <c r="O125" s="393">
        <v>422.411</v>
      </c>
      <c r="P125" s="190">
        <v>429.61700000000002</v>
      </c>
      <c r="Q125" s="190">
        <v>463.702</v>
      </c>
      <c r="R125" s="191">
        <v>429.72500000000002</v>
      </c>
      <c r="S125" s="244">
        <f>SUM(O125:R125)</f>
        <v>1745.4549999999999</v>
      </c>
      <c r="T125" s="393">
        <v>450.00900000000001</v>
      </c>
      <c r="U125" s="190">
        <v>382.65300000000002</v>
      </c>
      <c r="V125" s="190">
        <v>461.005</v>
      </c>
      <c r="W125" s="191">
        <v>477.98200000000003</v>
      </c>
      <c r="X125" s="244">
        <f>SUM(T125:W125)</f>
        <v>1771.6489999999999</v>
      </c>
      <c r="Y125" s="393">
        <v>472.93299999999999</v>
      </c>
      <c r="Z125" s="190">
        <v>476.017</v>
      </c>
      <c r="AA125" s="190">
        <v>524.03499999999997</v>
      </c>
      <c r="AB125" s="191">
        <v>539.09100000000001</v>
      </c>
      <c r="AC125" s="244">
        <f>SUM(Y125:AB125)</f>
        <v>2012.076</v>
      </c>
      <c r="AD125" s="393">
        <v>516.44200000000001</v>
      </c>
      <c r="AE125" s="190">
        <v>525.52800000000002</v>
      </c>
      <c r="AF125" s="190">
        <v>543.577</v>
      </c>
      <c r="AG125" s="191">
        <v>542.34500000000003</v>
      </c>
      <c r="AH125" s="244">
        <f>SUM(AD125:AG125)</f>
        <v>2127.8919999999998</v>
      </c>
      <c r="AI125" s="393">
        <v>526.00800000000004</v>
      </c>
      <c r="AJ125" s="190">
        <v>543.88</v>
      </c>
      <c r="AK125" s="190">
        <v>542.80200000000002</v>
      </c>
      <c r="AL125" s="191">
        <v>504.54599999999999</v>
      </c>
      <c r="AM125" s="244">
        <f>SUM(AI125:AL125)</f>
        <v>2117.2359999999999</v>
      </c>
      <c r="AN125" s="393">
        <v>500.24799999999999</v>
      </c>
      <c r="AO125" s="190">
        <v>512.505</v>
      </c>
      <c r="AP125" s="190">
        <v>536.11900000000003</v>
      </c>
      <c r="AQ125" s="191">
        <v>574.41899999999998</v>
      </c>
      <c r="AR125" s="244">
        <f>SUM(AN125:AQ125)</f>
        <v>2123.2909999999997</v>
      </c>
      <c r="AS125" s="393">
        <v>531.37300000000005</v>
      </c>
      <c r="AT125" s="190">
        <v>511.298</v>
      </c>
      <c r="AU125" s="190">
        <v>518.89400000000001</v>
      </c>
      <c r="AV125" s="191">
        <v>517.01300000000003</v>
      </c>
      <c r="AW125" s="244">
        <f>SUM(AS125:AV125)</f>
        <v>2078.578</v>
      </c>
      <c r="AX125" s="249">
        <f>+AX16</f>
        <v>350.54973174999992</v>
      </c>
      <c r="AY125" s="250">
        <f>+AY16</f>
        <v>358.54846190193746</v>
      </c>
      <c r="AZ125" s="250">
        <f>+AZ16</f>
        <v>366.38772272458971</v>
      </c>
      <c r="BA125" s="251">
        <f>+BA16</f>
        <v>373.98460073257587</v>
      </c>
      <c r="BB125" s="244">
        <f>SUM(AX125:BA125)</f>
        <v>1449.4705171091032</v>
      </c>
      <c r="BC125" s="249">
        <f>+BC16</f>
        <v>374.21935755324529</v>
      </c>
      <c r="BD125" s="250">
        <f>+BD16</f>
        <v>380.97344594138298</v>
      </c>
      <c r="BE125" s="250">
        <f>+BE16</f>
        <v>387.5843458130571</v>
      </c>
      <c r="BF125" s="251">
        <f>+BF16</f>
        <v>393.96893333620704</v>
      </c>
      <c r="BG125" s="244">
        <f>SUM(BC125:BF125)</f>
        <v>1536.7460826438924</v>
      </c>
      <c r="BH125" s="249">
        <f>+BH16</f>
        <v>390.26607460284055</v>
      </c>
      <c r="BI125" s="250">
        <f>+BI16</f>
        <v>395.7431257449079</v>
      </c>
      <c r="BJ125" s="250">
        <f>+BJ16</f>
        <v>401.0916742988415</v>
      </c>
      <c r="BK125" s="251">
        <f>+BK16</f>
        <v>406.22842754440495</v>
      </c>
      <c r="BL125" s="244">
        <f>SUM(BH125:BK125)</f>
        <v>1593.3293021909949</v>
      </c>
      <c r="BM125" s="249">
        <f>+BM16</f>
        <v>401.29208462764404</v>
      </c>
      <c r="BN125" s="250">
        <f>+BN16</f>
        <v>407.29400332109287</v>
      </c>
      <c r="BO125" s="250">
        <f>+BO16</f>
        <v>413.16138344956693</v>
      </c>
      <c r="BP125" s="251">
        <f>+BP16</f>
        <v>418.81100170656367</v>
      </c>
      <c r="BQ125" s="244">
        <f>SUM(BM125:BP125)</f>
        <v>1640.5584731048675</v>
      </c>
      <c r="BR125" s="244"/>
      <c r="BS125" s="244"/>
      <c r="BT125" s="233"/>
      <c r="BU125" s="233"/>
      <c r="BV125" s="233"/>
      <c r="BW125" s="233"/>
      <c r="BX125" s="233"/>
      <c r="BY125" s="233"/>
      <c r="BZ125" s="233"/>
      <c r="CA125" s="233"/>
      <c r="CB125" s="233"/>
      <c r="CC125" s="233"/>
      <c r="CD125" s="233"/>
      <c r="CE125" s="233"/>
    </row>
    <row r="126" spans="1:89">
      <c r="A126" s="233"/>
      <c r="B126" s="233"/>
      <c r="C126" s="1174" t="s">
        <v>187</v>
      </c>
      <c r="D126" s="233"/>
      <c r="E126" s="190">
        <v>0</v>
      </c>
      <c r="F126" s="190">
        <v>0</v>
      </c>
      <c r="G126" s="190">
        <v>0</v>
      </c>
      <c r="H126" s="191">
        <v>0</v>
      </c>
      <c r="I126" s="379">
        <f>SUM(E126:H126)</f>
        <v>0</v>
      </c>
      <c r="J126" s="393">
        <v>0</v>
      </c>
      <c r="K126" s="190">
        <v>0</v>
      </c>
      <c r="L126" s="190">
        <v>0</v>
      </c>
      <c r="M126" s="191">
        <v>0</v>
      </c>
      <c r="N126" s="244">
        <f>SUM(J126:M126)</f>
        <v>0</v>
      </c>
      <c r="O126" s="393">
        <v>0</v>
      </c>
      <c r="P126" s="190">
        <v>0</v>
      </c>
      <c r="Q126" s="190">
        <v>0</v>
      </c>
      <c r="R126" s="191">
        <v>0</v>
      </c>
      <c r="S126" s="244">
        <f>SUM(O126:R126)</f>
        <v>0</v>
      </c>
      <c r="T126" s="393">
        <v>0</v>
      </c>
      <c r="U126" s="190">
        <v>0</v>
      </c>
      <c r="V126" s="190">
        <v>0</v>
      </c>
      <c r="W126" s="191">
        <v>0</v>
      </c>
      <c r="X126" s="244">
        <f>SUM(T126:W126)</f>
        <v>0</v>
      </c>
      <c r="Y126" s="393">
        <v>0</v>
      </c>
      <c r="Z126" s="190">
        <v>0</v>
      </c>
      <c r="AA126" s="190">
        <v>0</v>
      </c>
      <c r="AB126" s="191">
        <v>0</v>
      </c>
      <c r="AC126" s="244">
        <f>SUM(Y126:AB126)</f>
        <v>0</v>
      </c>
      <c r="AD126" s="393">
        <v>0</v>
      </c>
      <c r="AE126" s="190">
        <v>0</v>
      </c>
      <c r="AF126" s="190">
        <v>0</v>
      </c>
      <c r="AG126" s="191">
        <v>0</v>
      </c>
      <c r="AH126" s="244">
        <f>SUM(AD126:AG126)</f>
        <v>0</v>
      </c>
      <c r="AI126" s="393">
        <v>0</v>
      </c>
      <c r="AJ126" s="190">
        <v>0</v>
      </c>
      <c r="AK126" s="190">
        <v>0</v>
      </c>
      <c r="AL126" s="191">
        <v>0</v>
      </c>
      <c r="AM126" s="244">
        <f>SUM(AI126:AL126)</f>
        <v>0</v>
      </c>
      <c r="AN126" s="393">
        <v>0</v>
      </c>
      <c r="AO126" s="190">
        <v>0</v>
      </c>
      <c r="AP126" s="190">
        <v>0</v>
      </c>
      <c r="AQ126" s="191">
        <v>0</v>
      </c>
      <c r="AR126" s="244">
        <f>SUM(AN126:AQ126)</f>
        <v>0</v>
      </c>
      <c r="AS126" s="393">
        <v>0</v>
      </c>
      <c r="AT126" s="190">
        <v>0</v>
      </c>
      <c r="AU126" s="190">
        <v>0</v>
      </c>
      <c r="AV126" s="191">
        <v>0</v>
      </c>
      <c r="AW126" s="244">
        <f>SUM(AS126:AV126)</f>
        <v>0</v>
      </c>
      <c r="AX126" s="249">
        <f>-(AX22-AX31)</f>
        <v>-40.712506107954553</v>
      </c>
      <c r="AY126" s="250">
        <f>-(AY22-AY31)</f>
        <v>-40.712506107954553</v>
      </c>
      <c r="AZ126" s="250">
        <f>-(AZ22-AZ31)</f>
        <v>-40.712506107954553</v>
      </c>
      <c r="BA126" s="251">
        <f>-(BA22-BA31)</f>
        <v>-40.712506107954553</v>
      </c>
      <c r="BB126" s="244">
        <f>SUM(AX126:BA126)</f>
        <v>-162.85002443181821</v>
      </c>
      <c r="BC126" s="249">
        <f>-(BC22-BC31)</f>
        <v>-37.804469957386367</v>
      </c>
      <c r="BD126" s="250">
        <f>-(BD22-BD31)</f>
        <v>-37.804469957386367</v>
      </c>
      <c r="BE126" s="250">
        <f>-(BE22-BE31)</f>
        <v>-37.804469957386367</v>
      </c>
      <c r="BF126" s="251">
        <f>-(BF22-BF31)</f>
        <v>-37.804469957386367</v>
      </c>
      <c r="BG126" s="244">
        <f>SUM(BC126:BF126)</f>
        <v>-151.21787982954547</v>
      </c>
      <c r="BH126" s="249">
        <f>-(BH22-BH31)</f>
        <v>-34.273283203125004</v>
      </c>
      <c r="BI126" s="250">
        <f>-(BI22-BI31)</f>
        <v>-34.273283203125004</v>
      </c>
      <c r="BJ126" s="250">
        <f>-(BJ22-BJ31)</f>
        <v>-34.273283203125004</v>
      </c>
      <c r="BK126" s="251">
        <f>-(BK22-BK31)</f>
        <v>-34.273283203125004</v>
      </c>
      <c r="BL126" s="244">
        <f>SUM(BH126:BK126)</f>
        <v>-137.09313281250002</v>
      </c>
      <c r="BM126" s="249">
        <f>-(BM22-BM31)</f>
        <v>-37.042841441761368</v>
      </c>
      <c r="BN126" s="250">
        <f>-(BN22-BN31)</f>
        <v>-37.042841441761368</v>
      </c>
      <c r="BO126" s="250">
        <f>-(BO22-BO31)</f>
        <v>-37.042841441761368</v>
      </c>
      <c r="BP126" s="251">
        <f>-(BP22-BP31)</f>
        <v>-37.042841441761368</v>
      </c>
      <c r="BQ126" s="244">
        <f>SUM(BM126:BP126)</f>
        <v>-148.17136576704547</v>
      </c>
      <c r="BR126" s="244"/>
      <c r="BS126" s="244"/>
      <c r="BT126" s="233"/>
      <c r="BU126" s="233"/>
      <c r="BV126" s="233"/>
      <c r="BW126" s="233"/>
      <c r="BX126" s="233"/>
      <c r="BY126" s="233"/>
      <c r="BZ126" s="233"/>
      <c r="CA126" s="233"/>
      <c r="CB126" s="233"/>
      <c r="CC126" s="233"/>
      <c r="CD126" s="233"/>
      <c r="CE126" s="233"/>
    </row>
    <row r="127" spans="1:89">
      <c r="A127" s="233"/>
      <c r="B127" s="233"/>
      <c r="C127" s="1174" t="s">
        <v>708</v>
      </c>
      <c r="D127" s="233"/>
      <c r="E127" s="190">
        <v>155.029</v>
      </c>
      <c r="F127" s="190">
        <v>94.418999999999997</v>
      </c>
      <c r="G127" s="190">
        <v>263.34699999999998</v>
      </c>
      <c r="H127" s="191">
        <v>351.88900000000001</v>
      </c>
      <c r="I127" s="379">
        <f>SUM(E127:H127)</f>
        <v>864.68399999999997</v>
      </c>
      <c r="J127" s="393">
        <v>133.53299999999999</v>
      </c>
      <c r="K127" s="190">
        <v>209.108</v>
      </c>
      <c r="L127" s="190">
        <v>181.71799999999999</v>
      </c>
      <c r="M127" s="191">
        <v>232.208</v>
      </c>
      <c r="N127" s="244">
        <f>SUM(J127:M127)</f>
        <v>756.56699999999989</v>
      </c>
      <c r="O127" s="393">
        <v>173.78399999999999</v>
      </c>
      <c r="P127" s="190">
        <v>131.33699999999999</v>
      </c>
      <c r="Q127" s="190">
        <v>-311.10000000000002</v>
      </c>
      <c r="R127" s="191">
        <f>-274.05</f>
        <v>-274.05</v>
      </c>
      <c r="S127" s="244">
        <f>SUM(O127:R127)</f>
        <v>-280.02900000000005</v>
      </c>
      <c r="T127" s="393">
        <v>38.857999999999997</v>
      </c>
      <c r="U127" s="190">
        <v>-161.51499999999999</v>
      </c>
      <c r="V127" s="190">
        <v>233.88499999999999</v>
      </c>
      <c r="W127" s="191">
        <v>-137.12799999999999</v>
      </c>
      <c r="X127" s="244">
        <f>SUM(T127:W127)</f>
        <v>-25.899999999999977</v>
      </c>
      <c r="Y127" s="393">
        <v>98.671999999999997</v>
      </c>
      <c r="Z127" s="190">
        <v>63.518000000000001</v>
      </c>
      <c r="AA127" s="190">
        <v>11.863</v>
      </c>
      <c r="AB127" s="191">
        <v>137.73699999999999</v>
      </c>
      <c r="AC127" s="244">
        <f>SUM(Y127:AB127)</f>
        <v>311.78999999999996</v>
      </c>
      <c r="AD127" s="393">
        <v>234.102</v>
      </c>
      <c r="AE127" s="190">
        <v>123.46899999999999</v>
      </c>
      <c r="AF127" s="190">
        <v>122.81100000000001</v>
      </c>
      <c r="AG127" s="191">
        <v>116.553</v>
      </c>
      <c r="AH127" s="244">
        <f>SUM(AD127:AG127)</f>
        <v>596.93500000000006</v>
      </c>
      <c r="AI127" s="393">
        <v>95.731999999999999</v>
      </c>
      <c r="AJ127" s="190">
        <v>84.274000000000001</v>
      </c>
      <c r="AK127" s="190">
        <v>-447.99</v>
      </c>
      <c r="AL127" s="191">
        <v>-552.36599999999999</v>
      </c>
      <c r="AM127" s="244">
        <f>SUM(AI127:AL127)</f>
        <v>-820.35</v>
      </c>
      <c r="AN127" s="393">
        <v>75.415000000000006</v>
      </c>
      <c r="AO127" s="190">
        <v>-245.441</v>
      </c>
      <c r="AP127" s="190">
        <v>289.62900000000002</v>
      </c>
      <c r="AQ127" s="191">
        <v>-955.86</v>
      </c>
      <c r="AR127" s="244">
        <f>SUM(AN127:AQ127)</f>
        <v>-836.25700000000006</v>
      </c>
      <c r="AS127" s="393">
        <v>16.497</v>
      </c>
      <c r="AT127" s="190">
        <v>-340.72399999999999</v>
      </c>
      <c r="AU127" s="190">
        <v>233.62</v>
      </c>
      <c r="AV127" s="191">
        <v>619.66</v>
      </c>
      <c r="AW127" s="244">
        <f>SUM(AS127:AV127)</f>
        <v>529.053</v>
      </c>
      <c r="AX127" s="197">
        <f>BB127/4</f>
        <v>121.20903352427244</v>
      </c>
      <c r="AY127" s="198">
        <f>BB127/4</f>
        <v>121.20903352427244</v>
      </c>
      <c r="AZ127" s="198">
        <f>BB127/4</f>
        <v>121.20903352427244</v>
      </c>
      <c r="BA127" s="193">
        <f>BB127/4</f>
        <v>121.20903352427244</v>
      </c>
      <c r="BB127" s="1949">
        <f>Valuation!DW16</f>
        <v>484.83613409708977</v>
      </c>
      <c r="BC127" s="197">
        <f>BG127/4</f>
        <v>122.00943229971354</v>
      </c>
      <c r="BD127" s="198">
        <f>BG127/4</f>
        <v>122.00943229971354</v>
      </c>
      <c r="BE127" s="198">
        <f>BG127/4</f>
        <v>122.00943229971354</v>
      </c>
      <c r="BF127" s="193">
        <f>BG127/4</f>
        <v>122.00943229971354</v>
      </c>
      <c r="BG127" s="1949">
        <f>Valuation!DX16</f>
        <v>488.03772919885415</v>
      </c>
      <c r="BH127" s="197">
        <f>BL127/4</f>
        <v>110.74063369024753</v>
      </c>
      <c r="BI127" s="198">
        <f>BL127/4</f>
        <v>110.74063369024753</v>
      </c>
      <c r="BJ127" s="198">
        <f>BL127/4</f>
        <v>110.74063369024753</v>
      </c>
      <c r="BK127" s="193">
        <f>BL127/4</f>
        <v>110.74063369024753</v>
      </c>
      <c r="BL127" s="1949">
        <f>Valuation!DY16</f>
        <v>442.96253476099014</v>
      </c>
      <c r="BM127" s="197">
        <f>BQ127/4</f>
        <v>102.36240710076727</v>
      </c>
      <c r="BN127" s="198">
        <f>BQ127/4</f>
        <v>102.36240710076727</v>
      </c>
      <c r="BO127" s="198">
        <f>BQ127/4</f>
        <v>102.36240710076727</v>
      </c>
      <c r="BP127" s="193">
        <f>BQ127/4</f>
        <v>102.36240710076727</v>
      </c>
      <c r="BQ127" s="1949">
        <f>Valuation!DZ16</f>
        <v>409.44962840306908</v>
      </c>
      <c r="BR127" s="244"/>
      <c r="BS127" s="244"/>
      <c r="BT127" s="233"/>
      <c r="BU127" s="233"/>
      <c r="BV127" s="233"/>
      <c r="BW127" s="233"/>
      <c r="BX127" s="233"/>
      <c r="BY127" s="233"/>
      <c r="BZ127" s="233"/>
      <c r="CA127" s="233"/>
      <c r="CB127" s="233"/>
      <c r="CC127" s="233"/>
      <c r="CD127" s="233"/>
      <c r="CE127" s="233"/>
    </row>
    <row r="128" spans="1:89">
      <c r="A128" s="233"/>
      <c r="B128" s="233"/>
      <c r="C128" s="129" t="s">
        <v>186</v>
      </c>
      <c r="D128" s="233"/>
      <c r="E128" s="190">
        <f>1.21-29.474+102.428-17.631-134.008-12.784-37.413+275.508-120.505+1.281-447.882-29.158+79.241</f>
        <v>-369.18700000000007</v>
      </c>
      <c r="F128" s="190">
        <f>-2.84+13.327-100.54+13.668+75.831+17.977+0.37-9.446-36.587-19.923-7.695-15.803+38.4</f>
        <v>-33.261000000000017</v>
      </c>
      <c r="G128" s="190">
        <f>12.968+13.793-131.409+41.738+24.867-69.951+39.421+8.316+123.03-7.753+0.55-13.224-1.316-102.272</f>
        <v>-61.24199999999999</v>
      </c>
      <c r="H128" s="191">
        <f>101.588+9.461+175.335-306.96+17.15-123.797+74.28-1.704-82.61+124.503-116.794</f>
        <v>-129.54799999999994</v>
      </c>
      <c r="I128" s="379">
        <f>SUM(E128:H128)</f>
        <v>-593.23800000000006</v>
      </c>
      <c r="J128" s="393">
        <f>43.83-6.324-79.25-15.038-36.676+0.964+34.565-35.87-66.248-40.884+99.417</f>
        <v>-101.51400000000004</v>
      </c>
      <c r="K128" s="190">
        <f>-221.275+11.326+102.344+7.861-3.034-136.247+5.652+43.545-33.303+78.956</f>
        <v>-144.17500000000001</v>
      </c>
      <c r="L128" s="190">
        <f>0.875-1.814-65.881-1.674+21.254+17.833-63.585-0.366+289.18+505.663-68.233-43.374</f>
        <v>589.87799999999993</v>
      </c>
      <c r="M128" s="191">
        <f>-44.173+143.686-13.993+172.287-162.186+28.633+74.564+1.958+6.322-143.552+61.576-275.433</f>
        <v>-150.31100000000001</v>
      </c>
      <c r="N128" s="244">
        <f>SUM(J128:M128)</f>
        <v>193.87799999999984</v>
      </c>
      <c r="O128" s="393">
        <f>102.711-12.508-154.398-63.918-67.978-66.548-102.294-0.779+48.889-190.958-18.991</f>
        <v>-526.77199999999993</v>
      </c>
      <c r="P128" s="190">
        <f>-270.964+7.051+77.595+61.108+28.573-131.504-10.092-5.175+47.66-41.348+0.002+9.69</f>
        <v>-227.404</v>
      </c>
      <c r="Q128" s="190">
        <f>-45.271+18.134-162.076+248.052-13.903+78.571+81.067+1.346+154.198-43.384+50.102</f>
        <v>366.83600000000001</v>
      </c>
      <c r="R128" s="191">
        <f>999.061-429.725+274.05-160.027</f>
        <v>683.35899999999992</v>
      </c>
      <c r="S128" s="244">
        <f>+SUM(O128:R128)</f>
        <v>296.01900000000001</v>
      </c>
      <c r="T128" s="393">
        <f>600.5-SUM(T124:T127)</f>
        <v>258.37299999999999</v>
      </c>
      <c r="U128" s="190">
        <f>1187.919-SUM(U124:U127,T124:T128)</f>
        <v>-4.3019999999999072</v>
      </c>
      <c r="V128" s="190">
        <f>-109.83+10.159+135.257+57.071-17.774-46.101-22.933+1.788-64.395-40.563+91.63</f>
        <v>-5.6909999999999883</v>
      </c>
      <c r="W128" s="191">
        <f>147.813-2.541-150.375+10.28+25.904-59.795-3.735-7.329-447.678+719.203-153.954</f>
        <v>77.79299999999995</v>
      </c>
      <c r="X128" s="244">
        <f>+SUM(T128:W128)</f>
        <v>326.17300000000006</v>
      </c>
      <c r="Y128" s="393">
        <f>543.989-SUM(Y124:Y127)</f>
        <v>-194.59799999999996</v>
      </c>
      <c r="Z128" s="190">
        <f>1115.905-SUM(Z124:Z127,Y124:Y128)</f>
        <v>-135.67400000000021</v>
      </c>
      <c r="AA128" s="190">
        <f>-55.597+10.231-232.619+52.026-22.414+58.002+52.26+2.783-43.495-73.769+264.561+291.505</f>
        <v>303.47399999999993</v>
      </c>
      <c r="AB128" s="191">
        <f>50.032-43.569+93.228-11.548+175.062-136.476+21.919+38.595+14.985-0.645+932.458+106.376-1384.849+306.012</f>
        <v>161.57999999999998</v>
      </c>
      <c r="AC128" s="244">
        <f>+SUM(Y128:AB128)</f>
        <v>134.78199999999975</v>
      </c>
      <c r="AD128" s="393">
        <f>767.157-SUM(AD124:AD127)</f>
        <v>-389.43999999999994</v>
      </c>
      <c r="AE128" s="190">
        <f>-96.227+16.185+13.827+40.512+26.31-76.537-0.545+0.995+7.443+70.226-82.748-1.313</f>
        <v>-81.872000000000014</v>
      </c>
      <c r="AF128" s="190">
        <f>102.978-71.988-2.262-86.864+59.062-5.439+113.251+111.51+283.199+120.985-48.266-162.532+47.988</f>
        <v>461.62200000000001</v>
      </c>
      <c r="AG128" s="191">
        <f>16.612+217.601-26.339+27.171-82.73+28.944+53.784+116.485+14.358-1208.592+46.06+1599.62-588.806</f>
        <v>214.16799999999967</v>
      </c>
      <c r="AH128" s="244">
        <f>+SUM(AD128:AG128)</f>
        <v>204.47799999999972</v>
      </c>
      <c r="AI128" s="393">
        <f>22.288-22.553-153.7-67.941-42.551+81.271-90.619+1.334+93.082+15.857-52.509-97.67</f>
        <v>-313.71099999999996</v>
      </c>
      <c r="AJ128" s="190">
        <f>-122.456+18.805+49.105+48.914+23.567-8.822-33.527-8.321+31.703-30.916-64.387+41.862</f>
        <v>-54.473000000000006</v>
      </c>
      <c r="AK128" s="190">
        <f>1642.204-122.143-3.83+14.286+127.256-15.384+92.935-8.996+62.164+30.459-80.268-190.742+86.764</f>
        <v>1634.7049999999999</v>
      </c>
      <c r="AL128" s="191">
        <f>462.702-154.037+260.463-4.798-44.902-26.26+22.923+133.341+19.441-12.611+107.073+156.568-138.78+103.387</f>
        <v>884.51</v>
      </c>
      <c r="AM128" s="244">
        <f>+SUM(AI128:AL128)</f>
        <v>2151.0309999999999</v>
      </c>
      <c r="AN128" s="393">
        <f>7.361+76.532-9.089-67.364-15.996-27.535+97.566-95.291-3.968+56.047+18.735-89.046-226.036</f>
        <v>-278.084</v>
      </c>
      <c r="AO128" s="190">
        <f>-134.205+18.675+112.776+23.052+17.992-93.809-26.638+5.501+53.653+51.77-79.81-76.321+6.969</f>
        <v>-120.39500000000002</v>
      </c>
      <c r="AP128" s="190">
        <f>18.841-213.174+19.314+54.521+22.373-3.944-163.349+43.376+1.227+55.016+40.494-136.344+43.012</f>
        <v>-218.637</v>
      </c>
      <c r="AQ128" s="191">
        <f>2802.467+173.872+9.31+74.488-58.392+6.152-82.304+109.75+18.145-213.185+47.032+168.281-162.333</f>
        <v>2893.2829999999999</v>
      </c>
      <c r="AR128" s="244">
        <f>+SUM(AN128:AQ128)</f>
        <v>2276.1669999999999</v>
      </c>
      <c r="AS128" s="393">
        <f>145.026-16.27+156.201+6.465-47.682-58.832-13.921-7.389-7.324-4.031+47.497-18.324-86.43-199.514</f>
        <v>-104.52800000000008</v>
      </c>
      <c r="AT128" s="190">
        <f>-150.11-0.252+57.369+56.63+9.974-120.556-84.181-3.309+15.115+10.074-93.916-66.292+75.802</f>
        <v>-293.65200000000004</v>
      </c>
      <c r="AU128" s="190">
        <f>21.01-204.12+14.533-85.649+69.097-2.164+10.309+9.726-2.733+54.818+30.374-173.951-2.34</f>
        <v>-261.08999999999997</v>
      </c>
      <c r="AV128" s="191">
        <f>115.413+100.392-23.789+177.764-33.042+6.853+173.926+77.448+6.794+478.074+2893.671-3665.498+223.611-281.83</f>
        <v>249.78699999999986</v>
      </c>
      <c r="AW128" s="244">
        <f>+SUM(AS128:AV128)</f>
        <v>-409.48300000000023</v>
      </c>
      <c r="AX128" s="249">
        <f>Utility!AX210+EWC!AX457</f>
        <v>-29.5</v>
      </c>
      <c r="AY128" s="250">
        <f>Utility!AY210+EWC!AY457</f>
        <v>-29.5</v>
      </c>
      <c r="AZ128" s="250">
        <f>Utility!AZ210+EWC!AZ457</f>
        <v>-29.5</v>
      </c>
      <c r="BA128" s="251">
        <f>Utility!BA210+EWC!BA457</f>
        <v>-29.5</v>
      </c>
      <c r="BB128" s="244">
        <f>SUM(AX128:BA128)</f>
        <v>-118</v>
      </c>
      <c r="BC128" s="249">
        <f>Utility!BC210+EWC!BC457</f>
        <v>-29.5</v>
      </c>
      <c r="BD128" s="250">
        <f>Utility!BD210+EWC!BD457</f>
        <v>-29.5</v>
      </c>
      <c r="BE128" s="250">
        <f>Utility!BE210+EWC!BE457</f>
        <v>-29.5</v>
      </c>
      <c r="BF128" s="251">
        <f>Utility!BF210+EWC!BF457</f>
        <v>-29.5</v>
      </c>
      <c r="BG128" s="244">
        <f>SUM(BC128:BF128)</f>
        <v>-118</v>
      </c>
      <c r="BH128" s="249">
        <f>Utility!BH210+EWC!BH457</f>
        <v>-29.5</v>
      </c>
      <c r="BI128" s="250">
        <f>Utility!BI210+EWC!BI457</f>
        <v>-29.5</v>
      </c>
      <c r="BJ128" s="250">
        <f>Utility!BJ210+EWC!BJ457</f>
        <v>-29.5</v>
      </c>
      <c r="BK128" s="251">
        <f>Utility!BK210+EWC!BK457</f>
        <v>-29.5</v>
      </c>
      <c r="BL128" s="244">
        <f>SUM(BH128:BK128)</f>
        <v>-118</v>
      </c>
      <c r="BM128" s="249">
        <f>Utility!BM210+EWC!BM457</f>
        <v>-29.5</v>
      </c>
      <c r="BN128" s="250">
        <f>Utility!BN210+EWC!BN457</f>
        <v>-29.5</v>
      </c>
      <c r="BO128" s="250">
        <f>Utility!BO210+EWC!BO457</f>
        <v>-29.5</v>
      </c>
      <c r="BP128" s="251">
        <f>Utility!BP210+EWC!BP457</f>
        <v>-29.5</v>
      </c>
      <c r="BQ128" s="244">
        <f>SUM(BM128:BP128)</f>
        <v>-118</v>
      </c>
      <c r="BR128" s="244"/>
      <c r="BS128" s="244"/>
      <c r="BT128" s="233"/>
      <c r="BU128" s="233"/>
      <c r="BV128" s="233"/>
      <c r="BW128" s="233"/>
      <c r="BX128" s="233"/>
      <c r="BY128" s="233"/>
      <c r="BZ128" s="233"/>
      <c r="CA128" s="233"/>
      <c r="CB128" s="233"/>
      <c r="CC128" s="233"/>
      <c r="CD128" s="233"/>
      <c r="CE128" s="233"/>
    </row>
    <row r="129" spans="1:83">
      <c r="A129" s="233"/>
      <c r="B129" s="233"/>
      <c r="C129" s="1175" t="s">
        <v>359</v>
      </c>
      <c r="D129" s="233"/>
      <c r="E129" s="246">
        <f t="shared" ref="E129:AP129" si="264">SUM(E124,E125:E128)</f>
        <v>374.61899999999997</v>
      </c>
      <c r="F129" s="246">
        <f t="shared" si="264"/>
        <v>641.73</v>
      </c>
      <c r="G129" s="246">
        <f t="shared" si="264"/>
        <v>992.98199999999997</v>
      </c>
      <c r="H129" s="247">
        <f t="shared" si="264"/>
        <v>923.827</v>
      </c>
      <c r="I129" s="380">
        <f t="shared" si="264"/>
        <v>2933.1579999999994</v>
      </c>
      <c r="J129" s="248">
        <f t="shared" si="264"/>
        <v>674.26499999999999</v>
      </c>
      <c r="K129" s="246">
        <f t="shared" si="264"/>
        <v>793.56899999999996</v>
      </c>
      <c r="L129" s="246">
        <f t="shared" si="264"/>
        <v>1697.2549999999999</v>
      </c>
      <c r="M129" s="247">
        <f t="shared" si="264"/>
        <v>760.99199999999996</v>
      </c>
      <c r="N129" s="245">
        <f t="shared" si="264"/>
        <v>3926.0810000000001</v>
      </c>
      <c r="O129" s="248">
        <f t="shared" si="264"/>
        <v>323.101</v>
      </c>
      <c r="P129" s="246">
        <f t="shared" si="264"/>
        <v>654.149</v>
      </c>
      <c r="Q129" s="246">
        <f t="shared" si="264"/>
        <v>1152.5070000000001</v>
      </c>
      <c r="R129" s="247">
        <f t="shared" si="264"/>
        <v>999.06099999999992</v>
      </c>
      <c r="S129" s="245">
        <f t="shared" si="264"/>
        <v>3128.8180000000002</v>
      </c>
      <c r="T129" s="248">
        <f t="shared" si="264"/>
        <v>600.5</v>
      </c>
      <c r="U129" s="246">
        <f t="shared" si="264"/>
        <v>587.41900000000021</v>
      </c>
      <c r="V129" s="246">
        <f t="shared" si="264"/>
        <v>1031.8689999999999</v>
      </c>
      <c r="W129" s="247">
        <f t="shared" si="264"/>
        <v>720.49700000000007</v>
      </c>
      <c r="X129" s="245">
        <f t="shared" si="264"/>
        <v>2940.2849999999999</v>
      </c>
      <c r="Y129" s="248">
        <f t="shared" si="264"/>
        <v>543.98900000000003</v>
      </c>
      <c r="Z129" s="246">
        <f t="shared" si="264"/>
        <v>571.91599999999983</v>
      </c>
      <c r="AA129" s="246">
        <f t="shared" si="264"/>
        <v>1083.5539999999999</v>
      </c>
      <c r="AB129" s="247">
        <f>SUM(AB124,AB125:AB128)</f>
        <v>989.76</v>
      </c>
      <c r="AC129" s="245">
        <f>SUM(AC124,AC125:AC128)</f>
        <v>3189.2189999999996</v>
      </c>
      <c r="AD129" s="248">
        <f t="shared" si="264"/>
        <v>767.15700000000004</v>
      </c>
      <c r="AE129" s="246">
        <f t="shared" si="264"/>
        <v>761.40599999999995</v>
      </c>
      <c r="AF129" s="246">
        <f t="shared" ref="AF129" si="265">SUM(AF124,AF125:AF128)</f>
        <v>1362.9259999999999</v>
      </c>
      <c r="AG129" s="247">
        <f>SUM(AG124,AG125:AG128)</f>
        <v>998.07199999999966</v>
      </c>
      <c r="AH129" s="245">
        <f>SUM(AH124,AH125:AH128)</f>
        <v>3889.5609999999992</v>
      </c>
      <c r="AI129" s="248">
        <f t="shared" ref="AI129:AJ129" si="266">SUM(AI124,AI125:AI128)</f>
        <v>610.95800000000008</v>
      </c>
      <c r="AJ129" s="246">
        <f t="shared" si="266"/>
        <v>727.40300000000002</v>
      </c>
      <c r="AK129" s="246">
        <f t="shared" si="264"/>
        <v>1011.284</v>
      </c>
      <c r="AL129" s="247">
        <f>SUM(AL124,AL125:AL128)</f>
        <v>941.53899999999999</v>
      </c>
      <c r="AM129" s="245">
        <f>SUM(AM124,AM125:AM128)</f>
        <v>3291.1839999999997</v>
      </c>
      <c r="AN129" s="248">
        <f>SUM(AN124,AN125:AN128)</f>
        <v>532.82099999999991</v>
      </c>
      <c r="AO129" s="246">
        <f t="shared" ref="AO129" si="267">SUM(AO124,AO125:AO128)</f>
        <v>719.25900000000001</v>
      </c>
      <c r="AP129" s="246">
        <f t="shared" si="264"/>
        <v>1000.3150000000003</v>
      </c>
      <c r="AQ129" s="247">
        <f>SUM(AQ124,AQ125:AQ128)</f>
        <v>746.30399999999963</v>
      </c>
      <c r="AR129" s="245">
        <f>SUM(AR124,AR125:AR128)</f>
        <v>2998.6989999999996</v>
      </c>
      <c r="AS129" s="248">
        <f>SUM(AS124,AS125:AS128)</f>
        <v>529.39300000000003</v>
      </c>
      <c r="AT129" s="246">
        <f t="shared" ref="AT129:BB129" si="268">SUM(AT124,AT125:AT128)</f>
        <v>290.28999999999996</v>
      </c>
      <c r="AU129" s="246">
        <f t="shared" si="268"/>
        <v>893.06799999999998</v>
      </c>
      <c r="AV129" s="247">
        <f>SUM(AV124,AV125:AV128)</f>
        <v>910.7489999999998</v>
      </c>
      <c r="AW129" s="245">
        <f>SUM(AW124,AW125:AW128)</f>
        <v>2623.4999999999995</v>
      </c>
      <c r="AX129" s="248">
        <f t="shared" si="268"/>
        <v>619.755482331547</v>
      </c>
      <c r="AY129" s="246">
        <f t="shared" si="268"/>
        <v>650.9687420394788</v>
      </c>
      <c r="AZ129" s="246">
        <f t="shared" si="268"/>
        <v>865.84020908584898</v>
      </c>
      <c r="BA129" s="247">
        <f t="shared" si="268"/>
        <v>585.92577404388555</v>
      </c>
      <c r="BB129" s="245">
        <f t="shared" si="268"/>
        <v>2722.4902075007603</v>
      </c>
      <c r="BC129" s="248">
        <f t="shared" ref="BC129:BL129" si="269">SUM(BC124,BC125:BC128)</f>
        <v>666.29888663653492</v>
      </c>
      <c r="BD129" s="246">
        <f t="shared" si="269"/>
        <v>676.16139761510181</v>
      </c>
      <c r="BE129" s="246">
        <f t="shared" si="269"/>
        <v>844.50857750959733</v>
      </c>
      <c r="BF129" s="247">
        <f t="shared" si="269"/>
        <v>564.15970105492897</v>
      </c>
      <c r="BG129" s="245">
        <f t="shared" si="269"/>
        <v>2751.1285628161631</v>
      </c>
      <c r="BH129" s="248">
        <f t="shared" si="269"/>
        <v>734.47935250953424</v>
      </c>
      <c r="BI129" s="246">
        <f t="shared" si="269"/>
        <v>674.40009915957512</v>
      </c>
      <c r="BJ129" s="246">
        <f t="shared" si="269"/>
        <v>834.60406656090754</v>
      </c>
      <c r="BK129" s="247">
        <f t="shared" si="269"/>
        <v>567.86032605564094</v>
      </c>
      <c r="BL129" s="245">
        <f t="shared" si="269"/>
        <v>2811.3438442856577</v>
      </c>
      <c r="BM129" s="248">
        <f t="shared" ref="BM129:BQ129" si="270">SUM(BM124,BM125:BM128)</f>
        <v>666.50711895671839</v>
      </c>
      <c r="BN129" s="246">
        <f t="shared" si="270"/>
        <v>693.60136774748594</v>
      </c>
      <c r="BO129" s="246">
        <f t="shared" si="270"/>
        <v>841.59100854642043</v>
      </c>
      <c r="BP129" s="247">
        <f t="shared" si="270"/>
        <v>585.42651953237828</v>
      </c>
      <c r="BQ129" s="245">
        <f t="shared" si="270"/>
        <v>2787.1260147830035</v>
      </c>
      <c r="BR129" s="244"/>
      <c r="BS129" s="244"/>
      <c r="BT129" s="233"/>
      <c r="BU129" s="233"/>
      <c r="BV129" s="233"/>
      <c r="BW129" s="233"/>
      <c r="BX129" s="233"/>
      <c r="BY129" s="233"/>
      <c r="BZ129" s="233"/>
      <c r="CA129" s="233"/>
      <c r="CB129" s="233"/>
      <c r="CC129" s="233"/>
      <c r="CD129" s="233"/>
      <c r="CE129" s="233"/>
    </row>
    <row r="130" spans="1:83">
      <c r="A130" s="233"/>
      <c r="B130" s="233"/>
      <c r="C130" s="1264"/>
      <c r="D130" s="233"/>
      <c r="E130" s="190"/>
      <c r="F130" s="190"/>
      <c r="G130" s="190"/>
      <c r="H130" s="191">
        <f>923.827-H129</f>
        <v>0</v>
      </c>
      <c r="I130" s="379"/>
      <c r="J130" s="393"/>
      <c r="K130" s="190"/>
      <c r="L130" s="190"/>
      <c r="M130" s="191"/>
      <c r="N130" s="244"/>
      <c r="O130" s="393"/>
      <c r="P130" s="190"/>
      <c r="Q130" s="190"/>
      <c r="R130" s="251"/>
      <c r="S130" s="244"/>
      <c r="T130" s="393"/>
      <c r="U130" s="190"/>
      <c r="V130" s="190"/>
      <c r="W130" s="251"/>
      <c r="X130" s="244"/>
      <c r="Y130" s="249"/>
      <c r="Z130" s="190"/>
      <c r="AA130" s="190"/>
      <c r="AB130" s="251"/>
      <c r="AC130" s="244"/>
      <c r="AD130" s="249"/>
      <c r="AE130" s="190"/>
      <c r="AF130" s="190"/>
      <c r="AG130" s="251"/>
      <c r="AH130" s="244"/>
      <c r="AI130" s="249"/>
      <c r="AJ130" s="190"/>
      <c r="AK130" s="190"/>
      <c r="AL130" s="251"/>
      <c r="AM130" s="244"/>
      <c r="AN130" s="249"/>
      <c r="AO130" s="190"/>
      <c r="AP130" s="190"/>
      <c r="AQ130" s="251"/>
      <c r="AR130" s="244"/>
      <c r="AS130" s="249"/>
      <c r="AT130" s="250"/>
      <c r="AU130" s="250"/>
      <c r="AV130" s="251"/>
      <c r="AW130" s="244"/>
      <c r="AX130" s="249"/>
      <c r="AY130" s="250"/>
      <c r="AZ130" s="250"/>
      <c r="BA130" s="251"/>
      <c r="BB130" s="244"/>
      <c r="BC130" s="249"/>
      <c r="BD130" s="250"/>
      <c r="BE130" s="250"/>
      <c r="BF130" s="251"/>
      <c r="BG130" s="244"/>
      <c r="BH130" s="249"/>
      <c r="BI130" s="250"/>
      <c r="BJ130" s="250"/>
      <c r="BK130" s="251"/>
      <c r="BL130" s="244"/>
      <c r="BM130" s="249"/>
      <c r="BN130" s="250"/>
      <c r="BO130" s="250"/>
      <c r="BP130" s="251"/>
      <c r="BQ130" s="244"/>
      <c r="BR130" s="244"/>
      <c r="BS130" s="244"/>
      <c r="BT130" s="233"/>
      <c r="BU130" s="233"/>
      <c r="BV130" s="233"/>
      <c r="BW130" s="233"/>
      <c r="BX130" s="233"/>
      <c r="BY130" s="233"/>
      <c r="BZ130" s="233"/>
      <c r="CA130" s="233"/>
      <c r="CB130" s="233"/>
      <c r="CC130" s="233"/>
      <c r="CD130" s="233"/>
      <c r="CE130" s="233"/>
    </row>
    <row r="131" spans="1:83">
      <c r="A131" s="233"/>
      <c r="B131" s="233"/>
      <c r="C131" s="1129" t="s">
        <v>709</v>
      </c>
      <c r="D131" s="233"/>
      <c r="E131" s="190">
        <v>-455.73700000000002</v>
      </c>
      <c r="F131" s="190">
        <v>-476.31900000000002</v>
      </c>
      <c r="G131" s="190">
        <v>-410.78399999999999</v>
      </c>
      <c r="H131" s="191">
        <v>-588.40499999999997</v>
      </c>
      <c r="I131" s="379">
        <f>SUM(E131:H131)</f>
        <v>-1931.2450000000001</v>
      </c>
      <c r="J131" s="393">
        <v>-447.476</v>
      </c>
      <c r="K131" s="190">
        <v>-471.10599999999999</v>
      </c>
      <c r="L131" s="190">
        <v>-492.12599999999998</v>
      </c>
      <c r="M131" s="191">
        <v>-563.57799999999997</v>
      </c>
      <c r="N131" s="244">
        <f>SUM(J131:M131)</f>
        <v>-1974.2860000000001</v>
      </c>
      <c r="O131" s="393">
        <v>-486.56099999999998</v>
      </c>
      <c r="P131" s="190">
        <v>-504.73200000000003</v>
      </c>
      <c r="Q131" s="190">
        <v>-469.375</v>
      </c>
      <c r="R131" s="191">
        <f>-579.359</f>
        <v>-579.35900000000004</v>
      </c>
      <c r="S131" s="244">
        <f>SUM(O131:R131)</f>
        <v>-2040.027</v>
      </c>
      <c r="T131" s="393">
        <v>-563.53899999999999</v>
      </c>
      <c r="U131" s="190">
        <v>-688.73800000000006</v>
      </c>
      <c r="V131" s="190">
        <v>-606.17999999999995</v>
      </c>
      <c r="W131" s="191">
        <v>-805.96</v>
      </c>
      <c r="X131" s="244">
        <f>SUM(T131:W131)</f>
        <v>-2664.4169999999999</v>
      </c>
      <c r="Y131" s="393">
        <v>-631.85699999999997</v>
      </c>
      <c r="Z131" s="190">
        <v>-613.00199999999995</v>
      </c>
      <c r="AA131" s="190">
        <v>-536.34900000000005</v>
      </c>
      <c r="AB131" s="191">
        <v>-506.38499999999999</v>
      </c>
      <c r="AC131" s="244">
        <f>SUM(Y131:AB131)</f>
        <v>-2287.5929999999998</v>
      </c>
      <c r="AD131" s="393">
        <v>-483.35</v>
      </c>
      <c r="AE131" s="190">
        <v>-476.26799999999997</v>
      </c>
      <c r="AF131" s="190">
        <v>-546.99300000000005</v>
      </c>
      <c r="AG131" s="191">
        <v>-612.58000000000004</v>
      </c>
      <c r="AH131" s="244">
        <f>SUM(AD131:AG131)</f>
        <v>-2119.1909999999998</v>
      </c>
      <c r="AI131" s="393">
        <v>-532.95799999999997</v>
      </c>
      <c r="AJ131" s="190">
        <v>-562.96799999999996</v>
      </c>
      <c r="AK131" s="190">
        <v>-605.83199999999999</v>
      </c>
      <c r="AL131" s="191">
        <v>-799.10199999999998</v>
      </c>
      <c r="AM131" s="244">
        <f>SUM(AI131:AL131)</f>
        <v>-2500.8599999999997</v>
      </c>
      <c r="AN131" s="393">
        <v>-636.01099999999997</v>
      </c>
      <c r="AO131" s="190">
        <v>-658.48699999999997</v>
      </c>
      <c r="AP131" s="190">
        <v>-708.92899999999997</v>
      </c>
      <c r="AQ131" s="191">
        <v>-776.79499999999996</v>
      </c>
      <c r="AR131" s="244">
        <f>SUM(AN131:AQ131)</f>
        <v>-2780.2220000000002</v>
      </c>
      <c r="AS131" s="393">
        <v>-794.44799999999998</v>
      </c>
      <c r="AT131" s="190">
        <v>-925.26400000000001</v>
      </c>
      <c r="AU131" s="190">
        <v>-902.39200000000005</v>
      </c>
      <c r="AV131" s="191">
        <v>-985.428</v>
      </c>
      <c r="AW131" s="244">
        <f>SUM(AS131:AV131)</f>
        <v>-3607.5320000000002</v>
      </c>
      <c r="AX131" s="249">
        <f>-AX82</f>
        <v>-1038.75</v>
      </c>
      <c r="AY131" s="250">
        <f>-AY82</f>
        <v>-1038.75</v>
      </c>
      <c r="AZ131" s="250">
        <f>-AZ82</f>
        <v>-1038.75</v>
      </c>
      <c r="BA131" s="251">
        <f>-BA82</f>
        <v>-1038.75</v>
      </c>
      <c r="BB131" s="244">
        <f>SUM(AX131:BA131)</f>
        <v>-4155</v>
      </c>
      <c r="BC131" s="249">
        <f>-BC82</f>
        <v>-928.75</v>
      </c>
      <c r="BD131" s="250">
        <f>-BD82</f>
        <v>-928.75</v>
      </c>
      <c r="BE131" s="250">
        <f>-BE82</f>
        <v>-928.75</v>
      </c>
      <c r="BF131" s="251">
        <f>-BF82</f>
        <v>-928.75</v>
      </c>
      <c r="BG131" s="244">
        <f>SUM(BC131:BF131)</f>
        <v>-3715</v>
      </c>
      <c r="BH131" s="249">
        <f>-BH82</f>
        <v>-833.75</v>
      </c>
      <c r="BI131" s="250">
        <f>-BI82</f>
        <v>-833.75</v>
      </c>
      <c r="BJ131" s="250">
        <f>-BJ82</f>
        <v>-833.75</v>
      </c>
      <c r="BK131" s="251">
        <f>-BK82</f>
        <v>-833.75</v>
      </c>
      <c r="BL131" s="244">
        <f>SUM(BH131:BK131)</f>
        <v>-3335</v>
      </c>
      <c r="BM131" s="249">
        <f>-BM82</f>
        <v>-897.91666666666663</v>
      </c>
      <c r="BN131" s="250">
        <f>-BN82</f>
        <v>-897.91666666666663</v>
      </c>
      <c r="BO131" s="250">
        <f>-BO82</f>
        <v>-897.91666666666663</v>
      </c>
      <c r="BP131" s="251">
        <f>-BP82</f>
        <v>-897.91666666666663</v>
      </c>
      <c r="BQ131" s="244">
        <f>SUM(BM131:BP131)</f>
        <v>-3591.6666666666665</v>
      </c>
      <c r="BR131" s="244"/>
      <c r="BS131" s="244"/>
      <c r="BT131" s="233"/>
      <c r="BU131" s="233"/>
      <c r="BV131" s="233"/>
      <c r="BW131" s="233"/>
      <c r="BX131" s="233"/>
      <c r="BY131" s="233"/>
      <c r="BZ131" s="233"/>
      <c r="CA131" s="233"/>
      <c r="CB131" s="233"/>
      <c r="CC131" s="233"/>
      <c r="CD131" s="233"/>
      <c r="CE131" s="233"/>
    </row>
    <row r="132" spans="1:83">
      <c r="A132" s="233"/>
      <c r="B132" s="233"/>
      <c r="C132" s="1129" t="s">
        <v>465</v>
      </c>
      <c r="D132" s="233"/>
      <c r="E132" s="190">
        <f>583.166-610.836</f>
        <v>-27.669999999999959</v>
      </c>
      <c r="F132" s="190">
        <f>15.783-30.678+10.17+8.654+10.793+9.772</f>
        <v>24.494</v>
      </c>
      <c r="G132" s="190">
        <f>451.164-476.859</f>
        <v>-25.694999999999993</v>
      </c>
      <c r="H132" s="191">
        <f>837.153-859.583</f>
        <v>-22.42999999999995</v>
      </c>
      <c r="I132" s="379">
        <f>SUM(E132:H132)</f>
        <v>-51.300999999999902</v>
      </c>
      <c r="J132" s="393">
        <f>770.781-798.864</f>
        <v>-28.083000000000084</v>
      </c>
      <c r="K132" s="190">
        <f>716.606-732.411</f>
        <v>-15.80499999999995</v>
      </c>
      <c r="L132" s="190">
        <f>486.621-512.086-229.605</f>
        <v>-255.07000000000002</v>
      </c>
      <c r="M132" s="191">
        <f>632.375-687.016</f>
        <v>-54.640999999999963</v>
      </c>
      <c r="N132" s="244">
        <f>SUM(J132:M132)</f>
        <v>-353.59900000000005</v>
      </c>
      <c r="O132" s="393">
        <f>492.682-530.672</f>
        <v>-37.990000000000009</v>
      </c>
      <c r="P132" s="190">
        <f>143.677-168.858-299.59</f>
        <v>-324.77099999999996</v>
      </c>
      <c r="Q132" s="190">
        <f>416.73-442.834</f>
        <v>-26.103999999999985</v>
      </c>
      <c r="R132" s="191">
        <f>-1051.35+579.359</f>
        <v>-471.99099999999987</v>
      </c>
      <c r="S132" s="244">
        <f>SUM(O132:R132)</f>
        <v>-860.85599999999977</v>
      </c>
      <c r="T132" s="393">
        <f>535.551-567.78</f>
        <v>-32.228999999999928</v>
      </c>
      <c r="U132" s="190">
        <f>28.969-39.745-0.645+11.936-1.504+17.023-56.71</f>
        <v>-40.676000000000002</v>
      </c>
      <c r="V132" s="190">
        <f>471.864-508.544</f>
        <v>-36.680000000000007</v>
      </c>
      <c r="W132" s="191">
        <f>657.358-689.366</f>
        <v>-32.008000000000038</v>
      </c>
      <c r="X132" s="244">
        <f>SUM(T132:W132)</f>
        <v>-141.59299999999996</v>
      </c>
      <c r="Y132" s="393">
        <f>398.01-432.247</f>
        <v>-34.237000000000023</v>
      </c>
      <c r="Z132" s="190">
        <f>17.305-64.341+7.517-1.636+7.748+15.403</f>
        <v>-18.003999999999998</v>
      </c>
      <c r="AA132" s="190">
        <f>284.005-310.457</f>
        <v>-26.451999999999998</v>
      </c>
      <c r="AB132" s="191">
        <f>967.841-999.528</f>
        <v>-31.687000000000012</v>
      </c>
      <c r="AC132" s="244">
        <f>SUM(Y132:AB132)</f>
        <v>-110.38000000000002</v>
      </c>
      <c r="AD132" s="393">
        <f>536.515-562.278</f>
        <v>-25.763000000000034</v>
      </c>
      <c r="AE132" s="190">
        <f>15.694-93.624+9.206-1.727-158.865</f>
        <v>-229.316</v>
      </c>
      <c r="AF132" s="190">
        <f>465.287-497.004</f>
        <v>-31.717000000000041</v>
      </c>
      <c r="AG132" s="191">
        <f>425.298-455.672</f>
        <v>-30.374000000000024</v>
      </c>
      <c r="AH132" s="244">
        <f>SUM(AD132:AG132)</f>
        <v>-317.17000000000007</v>
      </c>
      <c r="AI132" s="393">
        <f>492.841-516.564</f>
        <v>-23.722999999999956</v>
      </c>
      <c r="AJ132" s="190">
        <f>455.701-456.452</f>
        <v>-0.75099999999997635</v>
      </c>
      <c r="AK132" s="190">
        <f>539.217-547.445</f>
        <v>-8.2280000000000655</v>
      </c>
      <c r="AL132" s="191">
        <f>1004.417-1030.497</f>
        <v>-26.080000000000041</v>
      </c>
      <c r="AM132" s="244">
        <f>SUM(AI132:AL132)</f>
        <v>-58.782000000000039</v>
      </c>
      <c r="AN132" s="393">
        <f>729.414-758.665</f>
        <v>-29.250999999999976</v>
      </c>
      <c r="AO132" s="190">
        <f>503.258-508.787</f>
        <v>-5.5289999999999964</v>
      </c>
      <c r="AP132" s="190">
        <f>563.894-577.062</f>
        <v>-13.168000000000006</v>
      </c>
      <c r="AQ132" s="191">
        <f>612.354-640.113</f>
        <v>-27.759000000000015</v>
      </c>
      <c r="AR132" s="244">
        <f>SUM(AN132:AQ132)</f>
        <v>-75.706999999999994</v>
      </c>
      <c r="AS132" s="393">
        <f>513.75-556.161</f>
        <v>-42.410999999999945</v>
      </c>
      <c r="AT132" s="190">
        <f>948.948-960.245</f>
        <v>-11.297000000000025</v>
      </c>
      <c r="AU132" s="190">
        <f>440.085-472.228</f>
        <v>-32.143000000000029</v>
      </c>
      <c r="AV132" s="191">
        <f>1259.964-1272.04</f>
        <v>-12.076000000000022</v>
      </c>
      <c r="AW132" s="244">
        <f>SUM(AS132:AV132)</f>
        <v>-97.927000000000021</v>
      </c>
      <c r="AX132" s="183">
        <v>0</v>
      </c>
      <c r="AY132" s="184">
        <v>0</v>
      </c>
      <c r="AZ132" s="184">
        <v>0</v>
      </c>
      <c r="BA132" s="185">
        <v>0</v>
      </c>
      <c r="BB132" s="244">
        <f>SUM(AX132:BA132)</f>
        <v>0</v>
      </c>
      <c r="BC132" s="183">
        <v>0</v>
      </c>
      <c r="BD132" s="184">
        <v>0</v>
      </c>
      <c r="BE132" s="184">
        <v>0</v>
      </c>
      <c r="BF132" s="185">
        <v>0</v>
      </c>
      <c r="BG132" s="244">
        <f>SUM(BC132:BF132)</f>
        <v>0</v>
      </c>
      <c r="BH132" s="183">
        <v>0</v>
      </c>
      <c r="BI132" s="184">
        <v>0</v>
      </c>
      <c r="BJ132" s="184">
        <v>0</v>
      </c>
      <c r="BK132" s="185">
        <v>0</v>
      </c>
      <c r="BL132" s="244">
        <f>SUM(BH132:BK132)</f>
        <v>0</v>
      </c>
      <c r="BM132" s="183">
        <v>0</v>
      </c>
      <c r="BN132" s="184">
        <v>0</v>
      </c>
      <c r="BO132" s="184">
        <v>0</v>
      </c>
      <c r="BP132" s="185">
        <v>0</v>
      </c>
      <c r="BQ132" s="244">
        <f>SUM(BM132:BP132)</f>
        <v>0</v>
      </c>
      <c r="BR132" s="244"/>
      <c r="BS132" s="244"/>
      <c r="BT132" s="233"/>
      <c r="BU132" s="233"/>
      <c r="BV132" s="233"/>
      <c r="BW132" s="233"/>
      <c r="BX132" s="233"/>
      <c r="BY132" s="233"/>
      <c r="BZ132" s="233"/>
      <c r="CA132" s="233"/>
      <c r="CB132" s="233"/>
      <c r="CC132" s="233"/>
      <c r="CD132" s="233"/>
      <c r="CE132" s="233"/>
    </row>
    <row r="133" spans="1:83">
      <c r="A133" s="233"/>
      <c r="B133" s="233"/>
      <c r="C133" s="1264" t="s">
        <v>360</v>
      </c>
      <c r="D133" s="233"/>
      <c r="E133" s="190">
        <f>16.947-118.89+11.04-7.831-72+7.339</f>
        <v>-163.39499999999998</v>
      </c>
      <c r="F133" s="190">
        <f>699.04-719.894</f>
        <v>-20.854000000000042</v>
      </c>
      <c r="G133" s="190">
        <f>14.769-142.153+176.496+30.401+32.914-11.321+7.193</f>
        <v>108.29900000000002</v>
      </c>
      <c r="H133" s="191">
        <f>12.046-233.753+87.291+0.5+20.846+7.323-1.54+71.389</f>
        <v>-35.897999999999996</v>
      </c>
      <c r="I133" s="379">
        <f>SUM(E133:H133)</f>
        <v>-111.848</v>
      </c>
      <c r="J133" s="393">
        <f>13.296-65.336+9.675-21.94-72-1.609+9.925+88.1</f>
        <v>-39.889000000000024</v>
      </c>
      <c r="K133" s="190">
        <f>17.63-153.493-0.588-1.421-32.67</f>
        <v>-170.54199999999997</v>
      </c>
      <c r="L133" s="190">
        <f>15.064-96.951+7.894-0.654</f>
        <v>-74.646999999999991</v>
      </c>
      <c r="M133" s="191">
        <f>13.391-91.931+218.496-6.763-1.713-92.74</f>
        <v>38.740000000000023</v>
      </c>
      <c r="N133" s="244">
        <f>SUM(J133:M133)</f>
        <v>-246.33799999999997</v>
      </c>
      <c r="O133" s="393">
        <f>17.289-300.975+6.36-72-1.736-21.212</f>
        <v>-372.274</v>
      </c>
      <c r="P133" s="190">
        <f>21.391-102.193+2.746-1.559-21.781</f>
        <v>-101.39599999999999</v>
      </c>
      <c r="Q133" s="190">
        <f>22.415-72.25+6.531-9.549-1.749-17.699</f>
        <v>-72.301000000000002</v>
      </c>
      <c r="R133" s="191">
        <v>0</v>
      </c>
      <c r="S133" s="244">
        <f>SUM(O133:R133)</f>
        <v>-545.971</v>
      </c>
      <c r="T133" s="393">
        <f>25.448-201.059+0.94-72-1.483+0.861+93.786</f>
        <v>-153.50700000000001</v>
      </c>
      <c r="U133" s="190">
        <f>409.282-430.799</f>
        <v>-21.516999999999996</v>
      </c>
      <c r="V133" s="190">
        <f>19.08-172.108-14.912-4.022-107.071+98.872</f>
        <v>-180.161</v>
      </c>
      <c r="W133" s="191">
        <f>22.634-145.048-455.711+6.301-1.948+10+85.17</f>
        <v>-478.60199999999992</v>
      </c>
      <c r="X133" s="244">
        <f>SUM(T133:W133)</f>
        <v>-833.78699999999992</v>
      </c>
      <c r="Y133" s="393">
        <f>13.672-145.168+1.601-71.736-2.219+252.482-44.298</f>
        <v>4.3339999999999748</v>
      </c>
      <c r="Z133" s="190">
        <f>10.763+381.696-404.867</f>
        <v>-12.408000000000015</v>
      </c>
      <c r="AA133" s="190">
        <f>18.434-188.947-12.82-2.027+0.049-14.761+10.271</f>
        <v>-189.80099999999999</v>
      </c>
      <c r="AB133" s="191">
        <f>20.278-119.369-17.3+147.922+3.857-1.834-39.299</f>
        <v>-5.7450000000000117</v>
      </c>
      <c r="AC133" s="244">
        <f>SUM(Y133:AB133)</f>
        <v>-203.62000000000003</v>
      </c>
      <c r="AD133" s="393">
        <f>15.883-142.672+10.1+28.226-2.219-72-1.897+18.093</f>
        <v>-146.48600000000002</v>
      </c>
      <c r="AE133" s="190">
        <f>445.015-474.492</f>
        <v>-29.477000000000032</v>
      </c>
      <c r="AF133" s="190">
        <f>17.56-117.176+5.124-11.895-270.546+177.862</f>
        <v>-199.071</v>
      </c>
      <c r="AG133" s="191">
        <f>-184.076+7.32+6.419-1.887+9.893+19.238</f>
        <v>-143.09299999999999</v>
      </c>
      <c r="AH133" s="244">
        <f>SUM(AD133:AG133)</f>
        <v>-518.12700000000007</v>
      </c>
      <c r="AI133" s="393">
        <f>13.077-96.392+12.745-0.251-70.79-1.865+0.278</f>
        <v>-143.19800000000001</v>
      </c>
      <c r="AJ133" s="190">
        <f>12.088-69.312+6.855-1.824-54.3</f>
        <v>-106.49299999999999</v>
      </c>
      <c r="AK133" s="190">
        <f>14.263-174.558-15.36-65.267+38.699</f>
        <v>-202.22299999999996</v>
      </c>
      <c r="AL133" s="191">
        <f>14.207-153.342+487.406+11.654+2.95-0.207+5.916+15.894+18.296</f>
        <v>402.77399999999994</v>
      </c>
      <c r="AM133" s="244">
        <f>SUM(AI133:AL133)</f>
        <v>-49.140000000000043</v>
      </c>
      <c r="AN133" s="393">
        <f>19.107-85.819-947.778-1.399-0.367-196.509</f>
        <v>-1212.7649999999999</v>
      </c>
      <c r="AO133" s="190">
        <f>14.045-38.288-0.125+14.638-0.438+196.566+89.407</f>
        <v>275.80500000000001</v>
      </c>
      <c r="AP133" s="190">
        <f>15.655-36.236-1.426-17.15-0.398+12.317+33.081</f>
        <v>5.8430000000000035</v>
      </c>
      <c r="AQ133" s="191">
        <f>19.538-154.363+20.968+7.918-0.341-3.319+46.597</f>
        <v>-63.001999999999974</v>
      </c>
      <c r="AR133" s="244">
        <f>SUM(AN133:AQ133)</f>
        <v>-994.1189999999998</v>
      </c>
      <c r="AS133" s="393">
        <f>19.254-137.613+100+20.909-0.963-0.48+8.836-10.377+25.493</f>
        <v>25.059000000000005</v>
      </c>
      <c r="AT133" s="190">
        <f>22.623-72.143+5.248+10.991-0.644+12.082</f>
        <v>-21.842999999999996</v>
      </c>
      <c r="AU133" s="190">
        <f>24.56-16.298-16.522-0.801-113.922</f>
        <v>-122.98299999999999</v>
      </c>
      <c r="AV133" s="191">
        <f>29.563-151.27-16.762+7.817-0.953+2.487+113.295</f>
        <v>-15.822999999999993</v>
      </c>
      <c r="AW133" s="244">
        <f>SUM(AS133:AV133)</f>
        <v>-135.58999999999997</v>
      </c>
      <c r="AX133" s="183">
        <v>0</v>
      </c>
      <c r="AY133" s="184">
        <v>0</v>
      </c>
      <c r="AZ133" s="184">
        <v>0</v>
      </c>
      <c r="BA133" s="185">
        <v>0</v>
      </c>
      <c r="BB133" s="244">
        <f>SUM(AX133:BA133)</f>
        <v>0</v>
      </c>
      <c r="BC133" s="183">
        <v>0</v>
      </c>
      <c r="BD133" s="184">
        <v>0</v>
      </c>
      <c r="BE133" s="184">
        <v>0</v>
      </c>
      <c r="BF133" s="185">
        <v>0</v>
      </c>
      <c r="BG133" s="244">
        <f>SUM(BC133:BF133)</f>
        <v>0</v>
      </c>
      <c r="BH133" s="183">
        <v>0</v>
      </c>
      <c r="BI133" s="184">
        <v>0</v>
      </c>
      <c r="BJ133" s="184">
        <v>0</v>
      </c>
      <c r="BK133" s="185">
        <v>0</v>
      </c>
      <c r="BL133" s="244">
        <f>SUM(BH133:BK133)</f>
        <v>0</v>
      </c>
      <c r="BM133" s="183">
        <v>0</v>
      </c>
      <c r="BN133" s="184">
        <v>0</v>
      </c>
      <c r="BO133" s="184">
        <v>0</v>
      </c>
      <c r="BP133" s="185">
        <v>0</v>
      </c>
      <c r="BQ133" s="244">
        <f>SUM(BM133:BP133)</f>
        <v>0</v>
      </c>
      <c r="BR133" s="244"/>
      <c r="BS133" s="244"/>
      <c r="BT133" s="233"/>
      <c r="BU133" s="233"/>
      <c r="BV133" s="233"/>
      <c r="BW133" s="233"/>
      <c r="BX133" s="233"/>
      <c r="BY133" s="233"/>
      <c r="BZ133" s="233"/>
      <c r="CA133" s="233"/>
      <c r="CB133" s="233"/>
      <c r="CC133" s="233"/>
      <c r="CD133" s="233"/>
      <c r="CE133" s="233"/>
    </row>
    <row r="134" spans="1:83">
      <c r="A134" s="233"/>
      <c r="B134" s="233"/>
      <c r="C134" s="1175" t="s">
        <v>361</v>
      </c>
      <c r="D134" s="233"/>
      <c r="E134" s="346">
        <f t="shared" ref="E134:N134" si="271">SUM(E131:E133)</f>
        <v>-646.80199999999991</v>
      </c>
      <c r="F134" s="346">
        <f t="shared" si="271"/>
        <v>-472.67900000000009</v>
      </c>
      <c r="G134" s="346">
        <f t="shared" si="271"/>
        <v>-328.17999999999995</v>
      </c>
      <c r="H134" s="349">
        <f t="shared" si="271"/>
        <v>-646.73299999999995</v>
      </c>
      <c r="I134" s="380">
        <f t="shared" si="271"/>
        <v>-2094.3940000000002</v>
      </c>
      <c r="J134" s="392">
        <f>SUM(J131:J133)</f>
        <v>-515.44800000000009</v>
      </c>
      <c r="K134" s="346">
        <f>SUM(K131:K133)</f>
        <v>-657.45299999999997</v>
      </c>
      <c r="L134" s="346">
        <f t="shared" si="271"/>
        <v>-821.84300000000007</v>
      </c>
      <c r="M134" s="349">
        <f t="shared" si="271"/>
        <v>-579.47899999999993</v>
      </c>
      <c r="N134" s="245">
        <f t="shared" si="271"/>
        <v>-2574.223</v>
      </c>
      <c r="O134" s="248">
        <f>SUM(O131:O133)</f>
        <v>-896.82499999999993</v>
      </c>
      <c r="P134" s="246">
        <f>SUM(P131:P133)</f>
        <v>-930.89899999999989</v>
      </c>
      <c r="Q134" s="246">
        <f t="shared" ref="Q134:AK134" si="272">SUM(Q131:Q133)</f>
        <v>-567.78</v>
      </c>
      <c r="R134" s="247">
        <f t="shared" si="272"/>
        <v>-1051.3499999999999</v>
      </c>
      <c r="S134" s="245">
        <f t="shared" si="272"/>
        <v>-3446.8539999999998</v>
      </c>
      <c r="T134" s="248">
        <f>SUM(T131:T133)</f>
        <v>-749.27499999999986</v>
      </c>
      <c r="U134" s="246">
        <f t="shared" si="272"/>
        <v>-750.93100000000004</v>
      </c>
      <c r="V134" s="246">
        <f t="shared" si="272"/>
        <v>-823.02099999999996</v>
      </c>
      <c r="W134" s="247">
        <f>SUM(W131:W133)</f>
        <v>-1316.57</v>
      </c>
      <c r="X134" s="245">
        <f>SUM(X131:X133)</f>
        <v>-3639.7969999999996</v>
      </c>
      <c r="Y134" s="248">
        <f>SUM(Y131:Y133)</f>
        <v>-661.7600000000001</v>
      </c>
      <c r="Z134" s="246">
        <f t="shared" si="272"/>
        <v>-643.41399999999999</v>
      </c>
      <c r="AA134" s="246">
        <f t="shared" si="272"/>
        <v>-752.60200000000009</v>
      </c>
      <c r="AB134" s="247">
        <f>SUM(AB131:AB133)</f>
        <v>-543.81700000000001</v>
      </c>
      <c r="AC134" s="245">
        <f>SUM(AC131:AC133)</f>
        <v>-2601.5929999999998</v>
      </c>
      <c r="AD134" s="248">
        <f>SUM(AD131:AD133)</f>
        <v>-655.59900000000005</v>
      </c>
      <c r="AE134" s="246">
        <f t="shared" si="272"/>
        <v>-735.06099999999992</v>
      </c>
      <c r="AF134" s="246">
        <f t="shared" ref="AF134" si="273">SUM(AF131:AF133)</f>
        <v>-777.78100000000006</v>
      </c>
      <c r="AG134" s="247">
        <f>SUM(AG131:AG133)</f>
        <v>-786.04700000000003</v>
      </c>
      <c r="AH134" s="245">
        <f>SUM(AH131:AH133)</f>
        <v>-2954.4879999999998</v>
      </c>
      <c r="AI134" s="248">
        <f>SUM(AI131:AI133)</f>
        <v>-699.87899999999991</v>
      </c>
      <c r="AJ134" s="246">
        <f t="shared" ref="AJ134" si="274">SUM(AJ131:AJ133)</f>
        <v>-670.21199999999999</v>
      </c>
      <c r="AK134" s="246">
        <f t="shared" si="272"/>
        <v>-816.28300000000002</v>
      </c>
      <c r="AL134" s="247">
        <f>SUM(AL131:AL133)</f>
        <v>-422.40800000000007</v>
      </c>
      <c r="AM134" s="245">
        <f>SUM(AM131:AM133)</f>
        <v>-2608.7819999999997</v>
      </c>
      <c r="AN134" s="248">
        <f>SUM(AN131:AN133)</f>
        <v>-1878.0269999999998</v>
      </c>
      <c r="AO134" s="246">
        <f t="shared" ref="AO134" si="275">SUM(AO131:AO133)</f>
        <v>-388.21099999999996</v>
      </c>
      <c r="AP134" s="246">
        <f t="shared" ref="AP134:AU134" si="276">SUM(AP131:AP133)</f>
        <v>-716.25400000000002</v>
      </c>
      <c r="AQ134" s="247">
        <f>SUM(AQ131:AQ133)</f>
        <v>-867.55599999999993</v>
      </c>
      <c r="AR134" s="245">
        <f>SUM(AR131:AR133)</f>
        <v>-3850.0479999999998</v>
      </c>
      <c r="AS134" s="248">
        <f>SUM(AS131:AS133)</f>
        <v>-811.8</v>
      </c>
      <c r="AT134" s="246">
        <f t="shared" si="276"/>
        <v>-958.404</v>
      </c>
      <c r="AU134" s="246">
        <f t="shared" si="276"/>
        <v>-1057.518</v>
      </c>
      <c r="AV134" s="247">
        <f>SUM(AV131:AV133)</f>
        <v>-1013.327</v>
      </c>
      <c r="AW134" s="245">
        <f>SUM(AW131:AW133)</f>
        <v>-3841.0490000000004</v>
      </c>
      <c r="AX134" s="248">
        <f t="shared" ref="AX134:BL134" si="277">SUM(AX131:AX133)</f>
        <v>-1038.75</v>
      </c>
      <c r="AY134" s="246">
        <f t="shared" si="277"/>
        <v>-1038.75</v>
      </c>
      <c r="AZ134" s="246">
        <f t="shared" si="277"/>
        <v>-1038.75</v>
      </c>
      <c r="BA134" s="247">
        <f t="shared" si="277"/>
        <v>-1038.75</v>
      </c>
      <c r="BB134" s="245">
        <f t="shared" si="277"/>
        <v>-4155</v>
      </c>
      <c r="BC134" s="248">
        <f t="shared" si="277"/>
        <v>-928.75</v>
      </c>
      <c r="BD134" s="246">
        <f t="shared" si="277"/>
        <v>-928.75</v>
      </c>
      <c r="BE134" s="246">
        <f t="shared" si="277"/>
        <v>-928.75</v>
      </c>
      <c r="BF134" s="247">
        <f t="shared" si="277"/>
        <v>-928.75</v>
      </c>
      <c r="BG134" s="245">
        <f t="shared" si="277"/>
        <v>-3715</v>
      </c>
      <c r="BH134" s="248">
        <f t="shared" si="277"/>
        <v>-833.75</v>
      </c>
      <c r="BI134" s="246">
        <f t="shared" si="277"/>
        <v>-833.75</v>
      </c>
      <c r="BJ134" s="246">
        <f t="shared" si="277"/>
        <v>-833.75</v>
      </c>
      <c r="BK134" s="247">
        <f t="shared" si="277"/>
        <v>-833.75</v>
      </c>
      <c r="BL134" s="245">
        <f t="shared" si="277"/>
        <v>-3335</v>
      </c>
      <c r="BM134" s="248">
        <f t="shared" ref="BM134:BQ134" si="278">SUM(BM131:BM133)</f>
        <v>-897.91666666666663</v>
      </c>
      <c r="BN134" s="246">
        <f t="shared" si="278"/>
        <v>-897.91666666666663</v>
      </c>
      <c r="BO134" s="246">
        <f t="shared" si="278"/>
        <v>-897.91666666666663</v>
      </c>
      <c r="BP134" s="247">
        <f t="shared" si="278"/>
        <v>-897.91666666666663</v>
      </c>
      <c r="BQ134" s="245">
        <f t="shared" si="278"/>
        <v>-3591.6666666666665</v>
      </c>
      <c r="BR134" s="244"/>
      <c r="BS134" s="244"/>
      <c r="BT134" s="233"/>
      <c r="BU134" s="233"/>
      <c r="BV134" s="233"/>
      <c r="BW134" s="233"/>
      <c r="BX134" s="233"/>
      <c r="BY134" s="233"/>
      <c r="BZ134" s="233"/>
      <c r="CA134" s="233"/>
      <c r="CB134" s="233"/>
      <c r="CC134" s="233"/>
      <c r="CD134" s="233"/>
      <c r="CE134" s="233"/>
    </row>
    <row r="135" spans="1:83">
      <c r="A135" s="233"/>
      <c r="B135" s="233"/>
      <c r="C135" s="1264"/>
      <c r="D135" s="233"/>
      <c r="E135" s="190"/>
      <c r="F135" s="190"/>
      <c r="G135" s="190"/>
      <c r="H135" s="191"/>
      <c r="I135" s="379"/>
      <c r="J135" s="393"/>
      <c r="K135" s="190"/>
      <c r="L135" s="190"/>
      <c r="M135" s="191"/>
      <c r="N135" s="244"/>
      <c r="O135" s="249"/>
      <c r="P135" s="250"/>
      <c r="Q135" s="250"/>
      <c r="R135" s="251"/>
      <c r="S135" s="244"/>
      <c r="T135" s="249"/>
      <c r="U135" s="250"/>
      <c r="V135" s="250"/>
      <c r="W135" s="251"/>
      <c r="X135" s="244"/>
      <c r="Y135" s="249"/>
      <c r="Z135" s="250"/>
      <c r="AA135" s="250"/>
      <c r="AB135" s="251"/>
      <c r="AC135" s="244"/>
      <c r="AD135" s="249"/>
      <c r="AE135" s="250"/>
      <c r="AF135" s="250"/>
      <c r="AG135" s="251"/>
      <c r="AH135" s="244"/>
      <c r="AI135" s="249"/>
      <c r="AJ135" s="250"/>
      <c r="AK135" s="250"/>
      <c r="AL135" s="251"/>
      <c r="AM135" s="244"/>
      <c r="AN135" s="249"/>
      <c r="AO135" s="250"/>
      <c r="AP135" s="250"/>
      <c r="AQ135" s="251"/>
      <c r="AR135" s="244"/>
      <c r="AS135" s="249"/>
      <c r="AT135" s="250"/>
      <c r="AU135" s="250"/>
      <c r="AV135" s="251"/>
      <c r="AW135" s="244"/>
      <c r="AX135" s="249"/>
      <c r="AY135" s="250"/>
      <c r="AZ135" s="250"/>
      <c r="BA135" s="251"/>
      <c r="BB135" s="244"/>
      <c r="BC135" s="249"/>
      <c r="BD135" s="250"/>
      <c r="BE135" s="250"/>
      <c r="BF135" s="251"/>
      <c r="BG135" s="244"/>
      <c r="BH135" s="249"/>
      <c r="BI135" s="250"/>
      <c r="BJ135" s="250"/>
      <c r="BK135" s="251"/>
      <c r="BL135" s="244"/>
      <c r="BM135" s="249"/>
      <c r="BN135" s="250"/>
      <c r="BO135" s="250"/>
      <c r="BP135" s="251"/>
      <c r="BQ135" s="244"/>
      <c r="BR135" s="244"/>
      <c r="BS135" s="244"/>
      <c r="BT135" s="233"/>
      <c r="BU135" s="233"/>
      <c r="BV135" s="233"/>
      <c r="BW135" s="233"/>
      <c r="BX135" s="233"/>
      <c r="BY135" s="233"/>
      <c r="BZ135" s="233"/>
      <c r="CA135" s="233"/>
      <c r="CB135" s="233"/>
      <c r="CC135" s="233"/>
      <c r="CD135" s="233"/>
      <c r="CE135" s="233"/>
    </row>
    <row r="136" spans="1:83">
      <c r="A136" s="233"/>
      <c r="B136" s="233"/>
      <c r="C136" s="1264" t="s">
        <v>457</v>
      </c>
      <c r="D136" s="233"/>
      <c r="E136" s="190">
        <v>489.98700000000002</v>
      </c>
      <c r="F136" s="190">
        <v>293.31700000000001</v>
      </c>
      <c r="G136" s="190">
        <v>-1.8069999999999999</v>
      </c>
      <c r="H136" s="191">
        <v>1221.972</v>
      </c>
      <c r="I136" s="379">
        <f t="shared" ref="I136:I143" si="279">SUM(E136:H136)</f>
        <v>2003.4690000000001</v>
      </c>
      <c r="J136" s="393">
        <v>42.545000000000002</v>
      </c>
      <c r="K136" s="190">
        <v>483.24400000000003</v>
      </c>
      <c r="L136" s="190">
        <v>1746.4349999999999</v>
      </c>
      <c r="M136" s="191">
        <v>1598.47</v>
      </c>
      <c r="N136" s="244">
        <f t="shared" ref="N136:N145" si="280">SUM(J136:M136)</f>
        <v>3870.6940000000004</v>
      </c>
      <c r="O136" s="393">
        <v>411.44400000000002</v>
      </c>
      <c r="P136" s="190">
        <v>663.73599999999999</v>
      </c>
      <c r="Q136" s="190">
        <v>460.45400000000001</v>
      </c>
      <c r="R136" s="191">
        <f>1455.247</f>
        <v>1455.2470000000001</v>
      </c>
      <c r="S136" s="244">
        <f>SUM(O136:R136)</f>
        <v>2990.8810000000003</v>
      </c>
      <c r="T136" s="393">
        <v>1034.9449999999999</v>
      </c>
      <c r="U136" s="190">
        <v>290.21699999999998</v>
      </c>
      <c r="V136" s="190">
        <v>964.33199999999999</v>
      </c>
      <c r="W136" s="191">
        <v>1188.867</v>
      </c>
      <c r="X136" s="244">
        <f t="shared" ref="X136:X143" si="281">SUM(T136:W136)</f>
        <v>3478.3609999999999</v>
      </c>
      <c r="Y136" s="393">
        <v>564.71699999999998</v>
      </c>
      <c r="Z136" s="190">
        <v>1409.1489999999999</v>
      </c>
      <c r="AA136" s="190">
        <v>952.13099999999997</v>
      </c>
      <c r="AB136" s="191">
        <v>820.01900000000001</v>
      </c>
      <c r="AC136" s="244">
        <f t="shared" ref="AC136:AC143" si="282">SUM(Y136:AB136)</f>
        <v>3746.0159999999996</v>
      </c>
      <c r="AD136" s="393">
        <v>753.24400000000003</v>
      </c>
      <c r="AE136" s="190">
        <v>478.91699999999997</v>
      </c>
      <c r="AF136" s="190">
        <v>435.45499999999998</v>
      </c>
      <c r="AG136" s="191">
        <v>1432.453</v>
      </c>
      <c r="AH136" s="244">
        <f t="shared" ref="AH136:AH143" si="283">SUM(AD136:AG136)</f>
        <v>3100.069</v>
      </c>
      <c r="AI136" s="393">
        <v>488.065</v>
      </c>
      <c r="AJ136" s="190">
        <v>377.56900000000002</v>
      </c>
      <c r="AK136" s="190">
        <v>1340.25</v>
      </c>
      <c r="AL136" s="191">
        <v>1296.3050000000001</v>
      </c>
      <c r="AM136" s="244">
        <f t="shared" ref="AM136:AM143" si="284">SUM(AI136:AL136)</f>
        <v>3502.1890000000003</v>
      </c>
      <c r="AN136" s="393">
        <v>2869.808</v>
      </c>
      <c r="AO136" s="190">
        <v>986.96</v>
      </c>
      <c r="AP136" s="190">
        <v>1651.693</v>
      </c>
      <c r="AQ136" s="191">
        <v>1442.097</v>
      </c>
      <c r="AR136" s="244">
        <f t="shared" ref="AR136:AR143" si="285">SUM(AN136:AQ136)</f>
        <v>6950.558</v>
      </c>
      <c r="AS136" s="393">
        <v>236.19800000000001</v>
      </c>
      <c r="AT136" s="190">
        <v>800.33100000000002</v>
      </c>
      <c r="AU136" s="190">
        <v>186.077</v>
      </c>
      <c r="AV136" s="191">
        <v>586.78399999999999</v>
      </c>
      <c r="AW136" s="244">
        <f t="shared" ref="AW136:AW143" si="286">SUM(AS136:AV136)</f>
        <v>1809.3899999999999</v>
      </c>
      <c r="AX136" s="249">
        <f t="shared" ref="AX136:BA137" si="287">+AX87</f>
        <v>0</v>
      </c>
      <c r="AY136" s="250">
        <f t="shared" si="287"/>
        <v>3700</v>
      </c>
      <c r="AZ136" s="250">
        <f t="shared" si="287"/>
        <v>0</v>
      </c>
      <c r="BA136" s="251">
        <f t="shared" si="287"/>
        <v>0</v>
      </c>
      <c r="BB136" s="244">
        <f t="shared" ref="BB136:BB142" si="288">SUM(AX136:BA136)</f>
        <v>3700</v>
      </c>
      <c r="BC136" s="249">
        <f t="shared" ref="BC136:BF136" si="289">+BC87</f>
        <v>0</v>
      </c>
      <c r="BD136" s="250">
        <f t="shared" si="289"/>
        <v>0</v>
      </c>
      <c r="BE136" s="250">
        <f t="shared" si="289"/>
        <v>2500</v>
      </c>
      <c r="BF136" s="251">
        <f t="shared" si="289"/>
        <v>0</v>
      </c>
      <c r="BG136" s="244">
        <f t="shared" ref="BG136:BG142" si="290">SUM(BC136:BF136)</f>
        <v>2500</v>
      </c>
      <c r="BH136" s="249">
        <f t="shared" ref="BH136:BK136" si="291">+BH87</f>
        <v>0</v>
      </c>
      <c r="BI136" s="250">
        <f t="shared" si="291"/>
        <v>0</v>
      </c>
      <c r="BJ136" s="250">
        <f t="shared" si="291"/>
        <v>2300</v>
      </c>
      <c r="BK136" s="251">
        <f t="shared" si="291"/>
        <v>0</v>
      </c>
      <c r="BL136" s="244">
        <f t="shared" ref="BL136:BL142" si="292">SUM(BH136:BK136)</f>
        <v>2300</v>
      </c>
      <c r="BM136" s="249">
        <f t="shared" ref="BM136:BP136" si="293">+BM87</f>
        <v>0</v>
      </c>
      <c r="BN136" s="250">
        <f t="shared" si="293"/>
        <v>0</v>
      </c>
      <c r="BO136" s="250">
        <f t="shared" si="293"/>
        <v>2300</v>
      </c>
      <c r="BP136" s="251">
        <f t="shared" si="293"/>
        <v>0</v>
      </c>
      <c r="BQ136" s="244">
        <f t="shared" ref="BQ136:BQ142" si="294">SUM(BM136:BP136)</f>
        <v>2300</v>
      </c>
      <c r="BR136" s="244"/>
      <c r="BS136" s="244"/>
      <c r="BT136" s="233"/>
      <c r="BU136" s="233"/>
      <c r="BV136" s="233"/>
      <c r="BW136" s="233"/>
      <c r="BX136" s="233"/>
      <c r="BY136" s="233"/>
      <c r="BZ136" s="233"/>
      <c r="CA136" s="233"/>
      <c r="CB136" s="233"/>
      <c r="CC136" s="233"/>
      <c r="CD136" s="233"/>
      <c r="CE136" s="233"/>
    </row>
    <row r="137" spans="1:83">
      <c r="A137" s="233"/>
      <c r="B137" s="233"/>
      <c r="C137" s="1264" t="s">
        <v>466</v>
      </c>
      <c r="D137" s="233"/>
      <c r="E137" s="190">
        <v>-215.023</v>
      </c>
      <c r="F137" s="190">
        <v>-807.76700000000005</v>
      </c>
      <c r="G137" s="190">
        <v>-61.942</v>
      </c>
      <c r="H137" s="191">
        <v>-758.43700000000001</v>
      </c>
      <c r="I137" s="379">
        <f t="shared" si="279"/>
        <v>-1843.1689999999999</v>
      </c>
      <c r="J137" s="393">
        <v>-100.289</v>
      </c>
      <c r="K137" s="190">
        <v>-674.48299999999995</v>
      </c>
      <c r="L137" s="190">
        <v>-1339.155</v>
      </c>
      <c r="M137" s="191">
        <v>-2064.1999999999998</v>
      </c>
      <c r="N137" s="244">
        <f t="shared" si="280"/>
        <v>-4178.1269999999995</v>
      </c>
      <c r="O137" s="393">
        <v>-278.084</v>
      </c>
      <c r="P137" s="190">
        <v>-277.85599999999999</v>
      </c>
      <c r="Q137" s="190">
        <v>-391.46100000000001</v>
      </c>
      <c r="R137" s="191">
        <f>-1489.971</f>
        <v>-1489.971</v>
      </c>
      <c r="S137" s="244">
        <f t="shared" ref="S137:S143" si="295">SUM(O137:R137)</f>
        <v>-2437.3720000000003</v>
      </c>
      <c r="T137" s="393">
        <v>-859.64800000000002</v>
      </c>
      <c r="U137" s="190">
        <v>-340.27800000000002</v>
      </c>
      <c r="V137" s="190">
        <v>-829.09</v>
      </c>
      <c r="W137" s="191">
        <v>-1101.2170000000001</v>
      </c>
      <c r="X137" s="244">
        <f t="shared" si="281"/>
        <v>-3130.2330000000002</v>
      </c>
      <c r="Y137" s="393">
        <v>-849.86</v>
      </c>
      <c r="Z137" s="190">
        <v>-1160.251</v>
      </c>
      <c r="AA137" s="190">
        <v>-1096.115</v>
      </c>
      <c r="AB137" s="191">
        <v>-708.44</v>
      </c>
      <c r="AC137" s="244">
        <f t="shared" si="282"/>
        <v>-3814.6659999999997</v>
      </c>
      <c r="AD137" s="393">
        <v>-735.79399999999998</v>
      </c>
      <c r="AE137" s="190">
        <v>-488.93900000000002</v>
      </c>
      <c r="AF137" s="190">
        <v>-310.96199999999999</v>
      </c>
      <c r="AG137" s="191">
        <v>-787.61800000000005</v>
      </c>
      <c r="AH137" s="244">
        <f t="shared" si="283"/>
        <v>-2323.3130000000001</v>
      </c>
      <c r="AI137" s="393">
        <v>-685.25800000000004</v>
      </c>
      <c r="AJ137" s="190">
        <v>-699.4</v>
      </c>
      <c r="AK137" s="190">
        <v>-910.46</v>
      </c>
      <c r="AL137" s="191">
        <v>-1166.4000000000001</v>
      </c>
      <c r="AM137" s="244">
        <f t="shared" si="284"/>
        <v>-3461.518</v>
      </c>
      <c r="AN137" s="393">
        <v>-1903.67</v>
      </c>
      <c r="AO137" s="190">
        <v>-1516.5260000000001</v>
      </c>
      <c r="AP137" s="190">
        <v>-809.40300000000002</v>
      </c>
      <c r="AQ137" s="191">
        <v>-1231.7249999999999</v>
      </c>
      <c r="AR137" s="244">
        <f t="shared" si="285"/>
        <v>-5461.3240000000005</v>
      </c>
      <c r="AS137" s="393">
        <v>-811.69</v>
      </c>
      <c r="AT137" s="190">
        <v>-54.646999999999998</v>
      </c>
      <c r="AU137" s="190">
        <v>-356.57799999999997</v>
      </c>
      <c r="AV137" s="191">
        <v>-362.76600000000002</v>
      </c>
      <c r="AW137" s="244">
        <f t="shared" si="286"/>
        <v>-1585.681</v>
      </c>
      <c r="AX137" s="249">
        <f t="shared" si="287"/>
        <v>0</v>
      </c>
      <c r="AY137" s="250">
        <f t="shared" si="287"/>
        <v>-375</v>
      </c>
      <c r="AZ137" s="250">
        <f t="shared" si="287"/>
        <v>-300</v>
      </c>
      <c r="BA137" s="251">
        <f t="shared" si="287"/>
        <v>-85</v>
      </c>
      <c r="BB137" s="244">
        <f t="shared" si="288"/>
        <v>-760</v>
      </c>
      <c r="BC137" s="249">
        <f t="shared" ref="BC137:BF137" si="296">+BC88</f>
        <v>-500</v>
      </c>
      <c r="BD137" s="250">
        <f t="shared" si="296"/>
        <v>0</v>
      </c>
      <c r="BE137" s="250">
        <f t="shared" si="296"/>
        <v>-180.76900000000001</v>
      </c>
      <c r="BF137" s="251">
        <f t="shared" si="296"/>
        <v>0</v>
      </c>
      <c r="BG137" s="244">
        <f t="shared" si="290"/>
        <v>-680.76900000000001</v>
      </c>
      <c r="BH137" s="249">
        <f t="shared" ref="BH137:BK137" si="297">+BH88</f>
        <v>0</v>
      </c>
      <c r="BI137" s="250">
        <f t="shared" si="297"/>
        <v>0</v>
      </c>
      <c r="BJ137" s="250">
        <f t="shared" si="297"/>
        <v>-520</v>
      </c>
      <c r="BK137" s="251">
        <f t="shared" si="297"/>
        <v>-275</v>
      </c>
      <c r="BL137" s="244">
        <f t="shared" si="292"/>
        <v>-795</v>
      </c>
      <c r="BM137" s="249">
        <f t="shared" ref="BM137:BP137" si="298">+BM88</f>
        <v>-390</v>
      </c>
      <c r="BN137" s="250">
        <f t="shared" si="298"/>
        <v>-449.22800000000001</v>
      </c>
      <c r="BO137" s="250">
        <f t="shared" si="298"/>
        <v>-200.76400000000001</v>
      </c>
      <c r="BP137" s="251">
        <f t="shared" si="298"/>
        <v>0</v>
      </c>
      <c r="BQ137" s="244">
        <f t="shared" si="294"/>
        <v>-1039.9920000000002</v>
      </c>
      <c r="BR137" s="244"/>
      <c r="BS137" s="244"/>
      <c r="BT137" s="233"/>
      <c r="BU137" s="233"/>
      <c r="BV137" s="233"/>
      <c r="BW137" s="233"/>
      <c r="BX137" s="233"/>
      <c r="BY137" s="233"/>
      <c r="BZ137" s="233"/>
      <c r="CA137" s="233"/>
      <c r="CB137" s="233"/>
      <c r="CC137" s="233"/>
      <c r="CD137" s="233"/>
      <c r="CE137" s="233"/>
    </row>
    <row r="138" spans="1:83">
      <c r="A138" s="233"/>
      <c r="B138" s="233"/>
      <c r="C138" s="1264" t="s">
        <v>467</v>
      </c>
      <c r="D138" s="233"/>
      <c r="E138" s="190">
        <v>25</v>
      </c>
      <c r="F138" s="190">
        <v>-25</v>
      </c>
      <c r="G138" s="190">
        <v>0</v>
      </c>
      <c r="H138" s="191">
        <v>-25</v>
      </c>
      <c r="I138" s="379">
        <f t="shared" si="279"/>
        <v>-25</v>
      </c>
      <c r="J138" s="393">
        <v>-13.368</v>
      </c>
      <c r="K138" s="190">
        <v>30.491</v>
      </c>
      <c r="L138" s="190">
        <v>-36.055</v>
      </c>
      <c r="M138" s="191">
        <v>10.42</v>
      </c>
      <c r="N138" s="244">
        <f t="shared" si="280"/>
        <v>-8.5120000000000022</v>
      </c>
      <c r="O138" s="393">
        <v>68.244</v>
      </c>
      <c r="P138" s="190">
        <v>-52.283999999999999</v>
      </c>
      <c r="Q138" s="190">
        <v>14.076000000000001</v>
      </c>
      <c r="R138" s="191">
        <f>-36.537</f>
        <v>-36.536999999999999</v>
      </c>
      <c r="S138" s="244">
        <f t="shared" si="295"/>
        <v>-6.5009999999999977</v>
      </c>
      <c r="T138" s="393">
        <v>32.781999999999996</v>
      </c>
      <c r="U138" s="190">
        <v>-37.396999999999998</v>
      </c>
      <c r="V138" s="190">
        <v>252.46</v>
      </c>
      <c r="W138" s="191">
        <v>439.83</v>
      </c>
      <c r="X138" s="244">
        <f t="shared" si="281"/>
        <v>687.67499999999995</v>
      </c>
      <c r="Y138" s="393">
        <v>277.88600000000002</v>
      </c>
      <c r="Z138" s="190">
        <v>16.236999999999998</v>
      </c>
      <c r="AA138" s="190">
        <v>15.919</v>
      </c>
      <c r="AB138" s="191">
        <v>-59.152999999999999</v>
      </c>
      <c r="AC138" s="244">
        <f t="shared" si="282"/>
        <v>250.88900000000004</v>
      </c>
      <c r="AD138" s="393">
        <v>157.959</v>
      </c>
      <c r="AE138" s="190">
        <v>-165.49700000000001</v>
      </c>
      <c r="AF138" s="190">
        <v>-147.899</v>
      </c>
      <c r="AG138" s="191">
        <v>-293.03800000000001</v>
      </c>
      <c r="AH138" s="244">
        <f t="shared" si="283"/>
        <v>-448.47500000000002</v>
      </c>
      <c r="AI138" s="393">
        <v>210.012</v>
      </c>
      <c r="AJ138" s="190">
        <v>131.566</v>
      </c>
      <c r="AK138" s="190">
        <v>-157.95099999999999</v>
      </c>
      <c r="AL138" s="191">
        <v>-287.67399999999998</v>
      </c>
      <c r="AM138" s="244">
        <f t="shared" si="284"/>
        <v>-104.047</v>
      </c>
      <c r="AN138" s="393">
        <v>271.73</v>
      </c>
      <c r="AO138" s="190">
        <v>258.81</v>
      </c>
      <c r="AP138" s="190">
        <v>-591.52499999999998</v>
      </c>
      <c r="AQ138" s="191">
        <v>-18.352</v>
      </c>
      <c r="AR138" s="244">
        <f t="shared" si="285"/>
        <v>-79.337000000000018</v>
      </c>
      <c r="AS138" s="393">
        <v>908.37800000000004</v>
      </c>
      <c r="AT138" s="190">
        <v>-74.421000000000006</v>
      </c>
      <c r="AU138" s="190">
        <v>103.72</v>
      </c>
      <c r="AV138" s="191">
        <v>225.619</v>
      </c>
      <c r="AW138" s="244">
        <f t="shared" si="286"/>
        <v>1163.296</v>
      </c>
      <c r="AX138" s="183">
        <v>0</v>
      </c>
      <c r="AY138" s="184">
        <v>0</v>
      </c>
      <c r="AZ138" s="184">
        <v>0</v>
      </c>
      <c r="BA138" s="185">
        <v>0</v>
      </c>
      <c r="BB138" s="244">
        <f t="shared" si="288"/>
        <v>0</v>
      </c>
      <c r="BC138" s="183">
        <v>0</v>
      </c>
      <c r="BD138" s="184">
        <v>0</v>
      </c>
      <c r="BE138" s="184">
        <v>0</v>
      </c>
      <c r="BF138" s="185">
        <v>0</v>
      </c>
      <c r="BG138" s="244">
        <f t="shared" si="290"/>
        <v>0</v>
      </c>
      <c r="BH138" s="183">
        <v>0</v>
      </c>
      <c r="BI138" s="184">
        <v>0</v>
      </c>
      <c r="BJ138" s="184">
        <v>0</v>
      </c>
      <c r="BK138" s="185">
        <v>0</v>
      </c>
      <c r="BL138" s="244">
        <f t="shared" si="292"/>
        <v>0</v>
      </c>
      <c r="BM138" s="183">
        <v>0</v>
      </c>
      <c r="BN138" s="184">
        <v>0</v>
      </c>
      <c r="BO138" s="184">
        <v>0</v>
      </c>
      <c r="BP138" s="185">
        <v>0</v>
      </c>
      <c r="BQ138" s="244">
        <f t="shared" si="294"/>
        <v>0</v>
      </c>
      <c r="BR138" s="244"/>
      <c r="BS138" s="244"/>
      <c r="BT138" s="233"/>
      <c r="BU138" s="233"/>
      <c r="BV138" s="233"/>
      <c r="BW138" s="233"/>
      <c r="BX138" s="233"/>
      <c r="BY138" s="233"/>
      <c r="BZ138" s="233"/>
      <c r="CA138" s="233"/>
      <c r="CB138" s="233"/>
      <c r="CC138" s="233"/>
      <c r="CD138" s="233"/>
      <c r="CE138" s="233"/>
    </row>
    <row r="139" spans="1:83">
      <c r="A139" s="233"/>
      <c r="B139" s="233"/>
      <c r="C139" s="1264" t="s">
        <v>458</v>
      </c>
      <c r="D139" s="233"/>
      <c r="E139" s="190">
        <v>0</v>
      </c>
      <c r="F139" s="190">
        <v>0</v>
      </c>
      <c r="G139" s="190">
        <v>-1.847</v>
      </c>
      <c r="H139" s="191">
        <v>0</v>
      </c>
      <c r="I139" s="379">
        <f t="shared" si="279"/>
        <v>-1.847</v>
      </c>
      <c r="J139" s="393">
        <v>0</v>
      </c>
      <c r="K139" s="190">
        <v>0</v>
      </c>
      <c r="L139" s="190">
        <v>0</v>
      </c>
      <c r="M139" s="191">
        <v>0</v>
      </c>
      <c r="N139" s="244">
        <f t="shared" si="280"/>
        <v>0</v>
      </c>
      <c r="O139" s="393">
        <v>0</v>
      </c>
      <c r="P139" s="190">
        <v>0</v>
      </c>
      <c r="Q139" s="190">
        <v>0</v>
      </c>
      <c r="R139" s="191">
        <v>0</v>
      </c>
      <c r="S139" s="244">
        <f t="shared" si="295"/>
        <v>0</v>
      </c>
      <c r="T139" s="393">
        <v>51</v>
      </c>
      <c r="U139" s="190">
        <v>0</v>
      </c>
      <c r="V139" s="190">
        <v>0</v>
      </c>
      <c r="W139" s="191">
        <v>0</v>
      </c>
      <c r="X139" s="244">
        <f t="shared" si="281"/>
        <v>51</v>
      </c>
      <c r="Y139" s="393">
        <v>0</v>
      </c>
      <c r="Z139" s="190">
        <v>0</v>
      </c>
      <c r="AA139" s="190">
        <v>0</v>
      </c>
      <c r="AB139" s="191">
        <v>24.248999999999999</v>
      </c>
      <c r="AC139" s="244">
        <f t="shared" si="282"/>
        <v>24.248999999999999</v>
      </c>
      <c r="AD139" s="393">
        <v>0</v>
      </c>
      <c r="AE139" s="190">
        <v>0</v>
      </c>
      <c r="AF139" s="190">
        <v>0</v>
      </c>
      <c r="AG139" s="191">
        <v>0</v>
      </c>
      <c r="AH139" s="244">
        <f t="shared" si="283"/>
        <v>0</v>
      </c>
      <c r="AI139" s="393">
        <v>0</v>
      </c>
      <c r="AJ139" s="190">
        <v>0</v>
      </c>
      <c r="AK139" s="190">
        <v>-94.284999999999997</v>
      </c>
      <c r="AL139" s="191">
        <v>107.426</v>
      </c>
      <c r="AM139" s="244">
        <f t="shared" si="284"/>
        <v>13.141000000000005</v>
      </c>
      <c r="AN139" s="393">
        <v>0</v>
      </c>
      <c r="AO139" s="190">
        <v>0</v>
      </c>
      <c r="AP139" s="190">
        <v>-85.283000000000001</v>
      </c>
      <c r="AQ139" s="191">
        <v>-30</v>
      </c>
      <c r="AR139" s="244">
        <f t="shared" si="285"/>
        <v>-115.283</v>
      </c>
      <c r="AS139" s="393">
        <v>0</v>
      </c>
      <c r="AT139" s="190">
        <v>0</v>
      </c>
      <c r="AU139" s="190">
        <v>0</v>
      </c>
      <c r="AV139" s="191">
        <f>-20.599+14.399</f>
        <v>-6.2000000000000011</v>
      </c>
      <c r="AW139" s="244">
        <f t="shared" si="286"/>
        <v>-6.2000000000000011</v>
      </c>
      <c r="AX139" s="249">
        <f>AX89+AX90</f>
        <v>0</v>
      </c>
      <c r="AY139" s="250">
        <f>AY89+AY90</f>
        <v>0</v>
      </c>
      <c r="AZ139" s="250">
        <f>AZ89+AZ90</f>
        <v>0</v>
      </c>
      <c r="BA139" s="251">
        <f>BA89+BA90</f>
        <v>0</v>
      </c>
      <c r="BB139" s="244">
        <f t="shared" si="288"/>
        <v>0</v>
      </c>
      <c r="BC139" s="249">
        <f>BC89+BC90</f>
        <v>0</v>
      </c>
      <c r="BD139" s="250">
        <f>BD89+BD90</f>
        <v>0</v>
      </c>
      <c r="BE139" s="250">
        <f>BE89+BE90</f>
        <v>0</v>
      </c>
      <c r="BF139" s="251">
        <f>BF89+BF90</f>
        <v>0</v>
      </c>
      <c r="BG139" s="244">
        <f t="shared" si="290"/>
        <v>0</v>
      </c>
      <c r="BH139" s="249">
        <f>BH89+BH90</f>
        <v>0</v>
      </c>
      <c r="BI139" s="250">
        <f>BI89+BI90</f>
        <v>0</v>
      </c>
      <c r="BJ139" s="250">
        <f>BJ89+BJ90</f>
        <v>0</v>
      </c>
      <c r="BK139" s="251">
        <f>BK89+BK90</f>
        <v>0</v>
      </c>
      <c r="BL139" s="244">
        <f t="shared" si="292"/>
        <v>0</v>
      </c>
      <c r="BM139" s="249">
        <f>BM89+BM90</f>
        <v>0</v>
      </c>
      <c r="BN139" s="250">
        <f>BN89+BN90</f>
        <v>0</v>
      </c>
      <c r="BO139" s="250">
        <f>BO89+BO90</f>
        <v>0</v>
      </c>
      <c r="BP139" s="251">
        <f>BP89+BP90</f>
        <v>0</v>
      </c>
      <c r="BQ139" s="244">
        <f t="shared" si="294"/>
        <v>0</v>
      </c>
      <c r="BR139" s="244"/>
      <c r="BS139" s="244"/>
      <c r="BT139" s="233"/>
      <c r="BU139" s="233"/>
      <c r="BV139" s="233"/>
      <c r="BW139" s="233"/>
      <c r="BX139" s="233"/>
      <c r="BY139" s="233"/>
      <c r="BZ139" s="233"/>
      <c r="CA139" s="233"/>
      <c r="CB139" s="233"/>
      <c r="CC139" s="233"/>
      <c r="CD139" s="233"/>
      <c r="CE139" s="233"/>
    </row>
    <row r="140" spans="1:83">
      <c r="A140" s="233"/>
      <c r="B140" s="233"/>
      <c r="C140" s="1264" t="s">
        <v>468</v>
      </c>
      <c r="D140" s="233"/>
      <c r="E140" s="190">
        <v>0.92700000000000005</v>
      </c>
      <c r="F140" s="190">
        <v>1.764</v>
      </c>
      <c r="G140" s="190">
        <f>-613.125+14.524</f>
        <v>-598.601</v>
      </c>
      <c r="H140" s="191">
        <v>10.983000000000001</v>
      </c>
      <c r="I140" s="379">
        <f t="shared" si="279"/>
        <v>-584.92700000000002</v>
      </c>
      <c r="J140" s="393">
        <f>6.078-0</f>
        <v>6.0780000000000003</v>
      </c>
      <c r="K140" s="190">
        <f>2.638-137.749</f>
        <v>-135.11099999999999</v>
      </c>
      <c r="L140" s="190">
        <f>-527.875+37.047</f>
        <v>-490.82799999999997</v>
      </c>
      <c r="M140" s="191">
        <f>5.4-212.952</f>
        <v>-207.55199999999999</v>
      </c>
      <c r="N140" s="244">
        <f t="shared" si="280"/>
        <v>-827.41300000000001</v>
      </c>
      <c r="O140" s="393">
        <f>12.28-54.404</f>
        <v>-42.124000000000002</v>
      </c>
      <c r="P140" s="190">
        <f>4.678-105.198</f>
        <v>-100.52</v>
      </c>
      <c r="Q140" s="190">
        <f>-75.03+15.931</f>
        <v>-59.099000000000004</v>
      </c>
      <c r="R140" s="191">
        <f>13.296-30.308</f>
        <v>-17.012</v>
      </c>
      <c r="S140" s="244">
        <f>SUM(O140:R140)</f>
        <v>-218.755</v>
      </c>
      <c r="T140" s="393">
        <v>32.826000000000001</v>
      </c>
      <c r="U140" s="190">
        <v>1.802</v>
      </c>
      <c r="V140" s="190">
        <v>21.974</v>
      </c>
      <c r="W140" s="191">
        <v>6.2839999999999998</v>
      </c>
      <c r="X140" s="244">
        <f t="shared" si="281"/>
        <v>62.886000000000003</v>
      </c>
      <c r="Y140" s="393">
        <v>8.1020000000000003</v>
      </c>
      <c r="Z140" s="190">
        <v>8.532</v>
      </c>
      <c r="AA140" s="190">
        <v>4.0860000000000003</v>
      </c>
      <c r="AB140" s="191">
        <v>3.8069999999999999</v>
      </c>
      <c r="AC140" s="244">
        <f t="shared" si="282"/>
        <v>24.526999999999997</v>
      </c>
      <c r="AD140" s="393">
        <v>35.537999999999997</v>
      </c>
      <c r="AE140" s="190">
        <f>45.82-18.259</f>
        <v>27.561</v>
      </c>
      <c r="AF140" s="190">
        <v>6.71</v>
      </c>
      <c r="AG140" s="191">
        <f>106.798-165.012</f>
        <v>-58.213999999999999</v>
      </c>
      <c r="AH140" s="244">
        <f t="shared" si="283"/>
        <v>11.594999999999999</v>
      </c>
      <c r="AI140" s="393">
        <f>23.156-25.078</f>
        <v>-1.9220000000000006</v>
      </c>
      <c r="AJ140" s="190">
        <v>0.74099999999999999</v>
      </c>
      <c r="AK140" s="190">
        <v>-74.728999999999999</v>
      </c>
      <c r="AL140" s="191">
        <v>0.14799999999999999</v>
      </c>
      <c r="AM140" s="244">
        <f t="shared" si="284"/>
        <v>-75.762</v>
      </c>
      <c r="AN140" s="393">
        <v>5.7869999999999999</v>
      </c>
      <c r="AO140" s="190">
        <v>11.068</v>
      </c>
      <c r="AP140" s="190">
        <v>16.265000000000001</v>
      </c>
      <c r="AQ140" s="191">
        <v>0</v>
      </c>
      <c r="AR140" s="244">
        <f t="shared" si="285"/>
        <v>33.120000000000005</v>
      </c>
      <c r="AS140" s="393">
        <v>2.448</v>
      </c>
      <c r="AT140" s="190">
        <v>5.3710000000000004</v>
      </c>
      <c r="AU140" s="190">
        <v>7.3019999999999996</v>
      </c>
      <c r="AV140" s="191">
        <v>65.608000000000004</v>
      </c>
      <c r="AW140" s="244">
        <f t="shared" si="286"/>
        <v>80.728999999999999</v>
      </c>
      <c r="AX140" s="249">
        <f>+AX68</f>
        <v>0</v>
      </c>
      <c r="AY140" s="250">
        <f>+AY68</f>
        <v>0</v>
      </c>
      <c r="AZ140" s="250">
        <f>+AZ68</f>
        <v>0</v>
      </c>
      <c r="BA140" s="251">
        <f>+BA68</f>
        <v>0</v>
      </c>
      <c r="BB140" s="244">
        <f t="shared" si="288"/>
        <v>0</v>
      </c>
      <c r="BC140" s="249">
        <f>+BC68</f>
        <v>0</v>
      </c>
      <c r="BD140" s="250">
        <f>+BD68</f>
        <v>0</v>
      </c>
      <c r="BE140" s="250">
        <f>+BE68</f>
        <v>0</v>
      </c>
      <c r="BF140" s="251">
        <f>+BF68</f>
        <v>0</v>
      </c>
      <c r="BG140" s="244">
        <f t="shared" si="290"/>
        <v>0</v>
      </c>
      <c r="BH140" s="249">
        <f>+BH68</f>
        <v>0</v>
      </c>
      <c r="BI140" s="250">
        <f>+BI68</f>
        <v>0</v>
      </c>
      <c r="BJ140" s="250">
        <f>+BJ68</f>
        <v>0</v>
      </c>
      <c r="BK140" s="251">
        <f>+BK68</f>
        <v>0</v>
      </c>
      <c r="BL140" s="244">
        <f t="shared" si="292"/>
        <v>0</v>
      </c>
      <c r="BM140" s="249">
        <f>+BM68</f>
        <v>0</v>
      </c>
      <c r="BN140" s="250">
        <f>+BN68</f>
        <v>0</v>
      </c>
      <c r="BO140" s="250">
        <f>+BO68</f>
        <v>0</v>
      </c>
      <c r="BP140" s="251">
        <f>+BP68</f>
        <v>0</v>
      </c>
      <c r="BQ140" s="244">
        <f t="shared" si="294"/>
        <v>0</v>
      </c>
      <c r="BR140" s="244"/>
      <c r="BS140" s="244"/>
      <c r="BT140" s="233"/>
      <c r="BU140" s="233"/>
      <c r="BV140" s="233"/>
      <c r="BW140" s="233"/>
      <c r="BX140" s="233"/>
      <c r="BY140" s="233"/>
      <c r="BZ140" s="233"/>
      <c r="CA140" s="233"/>
      <c r="CB140" s="233"/>
      <c r="CC140" s="233"/>
      <c r="CD140" s="233"/>
      <c r="CE140" s="233"/>
    </row>
    <row r="141" spans="1:83">
      <c r="A141" s="233"/>
      <c r="B141" s="233"/>
      <c r="C141" s="1264" t="s">
        <v>460</v>
      </c>
      <c r="D141" s="233"/>
      <c r="E141" s="190">
        <v>-142.08500000000001</v>
      </c>
      <c r="F141" s="190">
        <v>-147.07400000000001</v>
      </c>
      <c r="G141" s="190">
        <v>-146.01900000000001</v>
      </c>
      <c r="H141" s="191">
        <v>-141.77799999999999</v>
      </c>
      <c r="I141" s="379">
        <f>SUM(E141:H141)</f>
        <v>-576.95600000000002</v>
      </c>
      <c r="J141" s="393">
        <v>-141.892</v>
      </c>
      <c r="K141" s="190">
        <v>-156.904</v>
      </c>
      <c r="L141" s="190">
        <v>-154.887</v>
      </c>
      <c r="M141" s="191">
        <v>-150.17099999999999</v>
      </c>
      <c r="N141" s="244">
        <f t="shared" si="280"/>
        <v>-603.85400000000004</v>
      </c>
      <c r="O141" s="393">
        <v>-148.678</v>
      </c>
      <c r="P141" s="190">
        <v>-147.67699999999999</v>
      </c>
      <c r="Q141" s="190">
        <v>-146.935</v>
      </c>
      <c r="R141" s="191">
        <f>-146.315</f>
        <v>-146.315</v>
      </c>
      <c r="S141" s="244">
        <f t="shared" si="295"/>
        <v>-589.60500000000002</v>
      </c>
      <c r="T141" s="393">
        <f>-146.674-5.582</f>
        <v>-152.256</v>
      </c>
      <c r="U141" s="190">
        <f>-147.067-5.583</f>
        <v>-152.65</v>
      </c>
      <c r="V141" s="190">
        <v>-147.55099999999999</v>
      </c>
      <c r="W141" s="191">
        <v>-147.917</v>
      </c>
      <c r="X141" s="244">
        <f t="shared" si="281"/>
        <v>-600.37400000000002</v>
      </c>
      <c r="Y141" s="393">
        <f>-147.902-5.582</f>
        <v>-153.48399999999998</v>
      </c>
      <c r="Z141" s="190">
        <f>-149.152-4.555</f>
        <v>-153.70699999999999</v>
      </c>
      <c r="AA141" s="190">
        <v>-147.977</v>
      </c>
      <c r="AB141" s="191">
        <v>-148.006</v>
      </c>
      <c r="AC141" s="244">
        <f t="shared" si="282"/>
        <v>-603.17399999999998</v>
      </c>
      <c r="AD141" s="393">
        <f>-148.275-4.873</f>
        <v>-153.148</v>
      </c>
      <c r="AE141" s="190">
        <f>-148.953-4.879</f>
        <v>-153.83199999999999</v>
      </c>
      <c r="AF141" s="190">
        <v>-149.08000000000001</v>
      </c>
      <c r="AG141" s="191">
        <v>-149.809</v>
      </c>
      <c r="AH141" s="244">
        <f t="shared" si="283"/>
        <v>-605.86900000000003</v>
      </c>
      <c r="AI141" s="393">
        <v>-149.25700000000001</v>
      </c>
      <c r="AJ141" s="190">
        <v>-149.00200000000001</v>
      </c>
      <c r="AK141" s="190">
        <f>-149.009+0.321</f>
        <v>-148.68799999999999</v>
      </c>
      <c r="AL141" s="191">
        <v>-151.62899999999999</v>
      </c>
      <c r="AM141" s="244">
        <f t="shared" si="284"/>
        <v>-598.57600000000002</v>
      </c>
      <c r="AN141" s="393">
        <v>-151.839</v>
      </c>
      <c r="AO141" s="190">
        <v>-152.00399999999999</v>
      </c>
      <c r="AP141" s="190">
        <f>-152.15</f>
        <v>-152.15</v>
      </c>
      <c r="AQ141" s="191">
        <v>-155.84200000000001</v>
      </c>
      <c r="AR141" s="244">
        <f t="shared" si="285"/>
        <v>-611.83499999999992</v>
      </c>
      <c r="AS141" s="393">
        <v>-156.07300000000001</v>
      </c>
      <c r="AT141" s="190">
        <v>-156.136</v>
      </c>
      <c r="AU141" s="190">
        <v>-156.18700000000001</v>
      </c>
      <c r="AV141" s="191">
        <v>-160.489</v>
      </c>
      <c r="AW141" s="244">
        <f t="shared" si="286"/>
        <v>-628.88499999999999</v>
      </c>
      <c r="AX141" s="249">
        <f>-AX58*AX47</f>
        <v>-160.66071116999998</v>
      </c>
      <c r="AY141" s="250">
        <f>-AY58*AY47</f>
        <v>-160.66071116999998</v>
      </c>
      <c r="AZ141" s="250">
        <f>-AZ58*AZ47</f>
        <v>-160.66071116999998</v>
      </c>
      <c r="BA141" s="251">
        <f>-BA58*BA47</f>
        <v>-164.27106423000004</v>
      </c>
      <c r="BB141" s="244">
        <f t="shared" si="288"/>
        <v>-646.25319773999991</v>
      </c>
      <c r="BC141" s="249">
        <f>-BC58*BC47</f>
        <v>-164.27106423000001</v>
      </c>
      <c r="BD141" s="250">
        <f>-BD58*BD47</f>
        <v>-164.27106423000001</v>
      </c>
      <c r="BE141" s="250">
        <f>-BE58*BE47</f>
        <v>-164.27106423000001</v>
      </c>
      <c r="BF141" s="251">
        <f>-BF58*BF47</f>
        <v>-167.88141729000003</v>
      </c>
      <c r="BG141" s="244">
        <f t="shared" si="290"/>
        <v>-660.69460998000011</v>
      </c>
      <c r="BH141" s="249">
        <f>-BH58*BH47</f>
        <v>-167.88141729</v>
      </c>
      <c r="BI141" s="250">
        <f>-BI58*BI47</f>
        <v>-167.88141729</v>
      </c>
      <c r="BJ141" s="250">
        <f>-BJ58*BJ47</f>
        <v>-167.88141729</v>
      </c>
      <c r="BK141" s="251">
        <f>-BK58*BK47</f>
        <v>-171.49177035000002</v>
      </c>
      <c r="BL141" s="244">
        <f t="shared" si="292"/>
        <v>-675.13602222000009</v>
      </c>
      <c r="BM141" s="249">
        <f>-BM58*BM47</f>
        <v>-171.49177035</v>
      </c>
      <c r="BN141" s="250">
        <f>-BN58*BN47</f>
        <v>-171.49177035</v>
      </c>
      <c r="BO141" s="250">
        <f>-BO58*BO47</f>
        <v>-171.49177035</v>
      </c>
      <c r="BP141" s="251">
        <f>-BP58*BP47</f>
        <v>-175.10212341000002</v>
      </c>
      <c r="BQ141" s="244">
        <f t="shared" si="294"/>
        <v>-689.57743445999995</v>
      </c>
      <c r="BR141" s="244"/>
      <c r="BS141" s="244"/>
      <c r="BT141" s="233"/>
      <c r="BU141" s="233"/>
      <c r="BV141" s="233"/>
      <c r="BW141" s="233"/>
      <c r="BX141" s="233"/>
      <c r="BY141" s="233"/>
      <c r="BZ141" s="233"/>
      <c r="CA141" s="233"/>
      <c r="CB141" s="233"/>
      <c r="CC141" s="233"/>
      <c r="CD141" s="233"/>
      <c r="CE141" s="233"/>
    </row>
    <row r="142" spans="1:83">
      <c r="A142" s="233"/>
      <c r="B142" s="233"/>
      <c r="C142" s="1264" t="s">
        <v>363</v>
      </c>
      <c r="D142" s="233"/>
      <c r="E142" s="190">
        <v>-4.9980000000000002</v>
      </c>
      <c r="F142" s="190">
        <v>-4.9969999999999999</v>
      </c>
      <c r="G142" s="190">
        <f>-4.998</f>
        <v>-4.9980000000000002</v>
      </c>
      <c r="H142" s="191">
        <v>-4.9649999999999999</v>
      </c>
      <c r="I142" s="379">
        <f t="shared" si="279"/>
        <v>-19.958000000000002</v>
      </c>
      <c r="J142" s="393">
        <v>-5.0149999999999997</v>
      </c>
      <c r="K142" s="190">
        <v>-5.0179999999999998</v>
      </c>
      <c r="L142" s="190">
        <v>-5.0149999999999997</v>
      </c>
      <c r="M142" s="191">
        <v>-5.0149999999999997</v>
      </c>
      <c r="N142" s="244">
        <f t="shared" si="280"/>
        <v>-20.062999999999999</v>
      </c>
      <c r="O142" s="393">
        <v>-5.0149999999999997</v>
      </c>
      <c r="P142" s="190">
        <v>-5.016</v>
      </c>
      <c r="Q142" s="190">
        <v>-5.0149999999999997</v>
      </c>
      <c r="R142" s="191">
        <f>-5.887</f>
        <v>-5.8869999999999996</v>
      </c>
      <c r="S142" s="244">
        <f t="shared" si="295"/>
        <v>-20.933</v>
      </c>
      <c r="T142" s="393">
        <v>0</v>
      </c>
      <c r="U142" s="190">
        <v>0</v>
      </c>
      <c r="V142" s="190">
        <v>-4.3319999999999999</v>
      </c>
      <c r="W142" s="191">
        <v>-6.8319999999999999</v>
      </c>
      <c r="X142" s="244">
        <f t="shared" si="281"/>
        <v>-11.164</v>
      </c>
      <c r="Y142" s="393">
        <v>0</v>
      </c>
      <c r="Z142" s="190">
        <v>0</v>
      </c>
      <c r="AA142" s="190">
        <v>-4.3319999999999999</v>
      </c>
      <c r="AB142" s="191">
        <v>-4.3330000000000002</v>
      </c>
      <c r="AC142" s="244">
        <f t="shared" si="282"/>
        <v>-8.6649999999999991</v>
      </c>
      <c r="AD142" s="393">
        <v>0</v>
      </c>
      <c r="AE142" s="190">
        <v>17.03</v>
      </c>
      <c r="AF142" s="190">
        <f>-4.88+3.952</f>
        <v>-0.92799999999999994</v>
      </c>
      <c r="AG142" s="191">
        <f>-4.879+2.597</f>
        <v>-2.2819999999999996</v>
      </c>
      <c r="AH142" s="244">
        <f t="shared" si="283"/>
        <v>13.82</v>
      </c>
      <c r="AI142" s="393">
        <f>-4.879-9.32</f>
        <v>-14.199</v>
      </c>
      <c r="AJ142" s="190">
        <f>-4.879+16.038</f>
        <v>11.159000000000001</v>
      </c>
      <c r="AK142" s="190">
        <f>-5.09-13.82</f>
        <v>-18.91</v>
      </c>
      <c r="AL142" s="191">
        <f>-4.91-2.034</f>
        <v>-6.944</v>
      </c>
      <c r="AM142" s="244">
        <f t="shared" si="284"/>
        <v>-28.893999999999998</v>
      </c>
      <c r="AN142" s="393">
        <f>-5.276-0.644</f>
        <v>-5.92</v>
      </c>
      <c r="AO142" s="190">
        <f>-9.632-5.276</f>
        <v>-14.907999999999999</v>
      </c>
      <c r="AP142" s="190">
        <f>-6.395+4.072</f>
        <v>-2.3229999999999995</v>
      </c>
      <c r="AQ142" s="191">
        <f>-0.674-3.842</f>
        <v>-4.516</v>
      </c>
      <c r="AR142" s="244">
        <f t="shared" si="285"/>
        <v>-27.667000000000002</v>
      </c>
      <c r="AS142" s="393">
        <f>1.81-3.446</f>
        <v>-1.6360000000000001</v>
      </c>
      <c r="AT142" s="190">
        <f>2.495-3.446</f>
        <v>-0.95100000000000007</v>
      </c>
      <c r="AU142" s="190">
        <f>-3.446-4.642</f>
        <v>-8.088000000000001</v>
      </c>
      <c r="AV142" s="191">
        <f>-7.394-3.602</f>
        <v>-10.996</v>
      </c>
      <c r="AW142" s="244">
        <f t="shared" si="286"/>
        <v>-21.670999999999999</v>
      </c>
      <c r="AX142" s="183">
        <v>0</v>
      </c>
      <c r="AY142" s="184">
        <v>0</v>
      </c>
      <c r="AZ142" s="184">
        <v>0</v>
      </c>
      <c r="BA142" s="185">
        <v>0</v>
      </c>
      <c r="BB142" s="244">
        <f t="shared" si="288"/>
        <v>0</v>
      </c>
      <c r="BC142" s="183">
        <v>0</v>
      </c>
      <c r="BD142" s="184">
        <v>0</v>
      </c>
      <c r="BE142" s="184">
        <v>0</v>
      </c>
      <c r="BF142" s="185">
        <v>0</v>
      </c>
      <c r="BG142" s="244">
        <f t="shared" si="290"/>
        <v>0</v>
      </c>
      <c r="BH142" s="183">
        <v>0</v>
      </c>
      <c r="BI142" s="184">
        <v>0</v>
      </c>
      <c r="BJ142" s="184">
        <v>0</v>
      </c>
      <c r="BK142" s="185">
        <v>0</v>
      </c>
      <c r="BL142" s="244">
        <f t="shared" si="292"/>
        <v>0</v>
      </c>
      <c r="BM142" s="183">
        <v>0</v>
      </c>
      <c r="BN142" s="184">
        <v>0</v>
      </c>
      <c r="BO142" s="184">
        <v>0</v>
      </c>
      <c r="BP142" s="185">
        <v>0</v>
      </c>
      <c r="BQ142" s="244">
        <f t="shared" si="294"/>
        <v>0</v>
      </c>
      <c r="BR142" s="244"/>
      <c r="BS142" s="244"/>
      <c r="BT142" s="233"/>
      <c r="BU142" s="233"/>
      <c r="BV142" s="233"/>
      <c r="BW142" s="233"/>
      <c r="BX142" s="233"/>
      <c r="BY142" s="233"/>
      <c r="BZ142" s="233"/>
      <c r="CA142" s="233"/>
      <c r="CB142" s="233"/>
      <c r="CC142" s="233"/>
      <c r="CD142" s="233"/>
      <c r="CE142" s="233"/>
    </row>
    <row r="143" spans="1:83">
      <c r="A143" s="233"/>
      <c r="B143" s="233"/>
      <c r="C143" s="1175" t="s">
        <v>364</v>
      </c>
      <c r="D143" s="233"/>
      <c r="E143" s="246">
        <f>SUM(E136:E142)</f>
        <v>153.80800000000008</v>
      </c>
      <c r="F143" s="246">
        <f>SUM(F136:F142)</f>
        <v>-689.75699999999995</v>
      </c>
      <c r="G143" s="246">
        <f>SUM(G136:G142)</f>
        <v>-815.21400000000006</v>
      </c>
      <c r="H143" s="247">
        <f>SUM(H136:H142)</f>
        <v>302.77500000000003</v>
      </c>
      <c r="I143" s="380">
        <f t="shared" si="279"/>
        <v>-1048.3879999999999</v>
      </c>
      <c r="J143" s="248">
        <f>SUM(J136:J142)</f>
        <v>-211.94099999999997</v>
      </c>
      <c r="K143" s="246">
        <f>SUM(K136:K142)</f>
        <v>-457.78099999999989</v>
      </c>
      <c r="L143" s="246">
        <f>SUM(L136:L142)</f>
        <v>-279.505</v>
      </c>
      <c r="M143" s="247">
        <f>SUM(M136:M142)</f>
        <v>-818.04799999999966</v>
      </c>
      <c r="N143" s="245">
        <f t="shared" si="280"/>
        <v>-1767.2749999999996</v>
      </c>
      <c r="O143" s="248">
        <f>SUM(O136:O142)</f>
        <v>5.7870000000000212</v>
      </c>
      <c r="P143" s="246">
        <f>SUM(P136:P142)</f>
        <v>80.383000000000024</v>
      </c>
      <c r="Q143" s="246">
        <f>SUM(Q136:Q142)</f>
        <v>-127.98000000000002</v>
      </c>
      <c r="R143" s="247">
        <f>SUM(R136:R142)</f>
        <v>-240.47499999999994</v>
      </c>
      <c r="S143" s="245">
        <f t="shared" si="295"/>
        <v>-282.28499999999991</v>
      </c>
      <c r="T143" s="248">
        <f>SUM(T136:T142)</f>
        <v>139.64899999999992</v>
      </c>
      <c r="U143" s="246">
        <f>SUM(U136:U142)</f>
        <v>-238.30600000000004</v>
      </c>
      <c r="V143" s="246">
        <f>SUM(V136:V142)</f>
        <v>257.79300000000001</v>
      </c>
      <c r="W143" s="247">
        <f>SUM(W136:W142)</f>
        <v>379.01499999999976</v>
      </c>
      <c r="X143" s="245">
        <f t="shared" si="281"/>
        <v>538.15099999999961</v>
      </c>
      <c r="Y143" s="248">
        <f>SUM(Y136:Y142)</f>
        <v>-152.63899999999998</v>
      </c>
      <c r="Z143" s="246">
        <f>SUM(Z136:Z142)</f>
        <v>119.95999999999992</v>
      </c>
      <c r="AA143" s="246">
        <f>SUM(AA136:AA142)</f>
        <v>-276.28800000000001</v>
      </c>
      <c r="AB143" s="247">
        <f>SUM(AB136:AB142)</f>
        <v>-71.857000000000042</v>
      </c>
      <c r="AC143" s="245">
        <f t="shared" si="282"/>
        <v>-380.82400000000013</v>
      </c>
      <c r="AD143" s="248">
        <f>SUM(AD136:AD142)</f>
        <v>57.799000000000063</v>
      </c>
      <c r="AE143" s="246">
        <f>SUM(AE136:AE142)</f>
        <v>-284.7600000000001</v>
      </c>
      <c r="AF143" s="246">
        <f>SUM(AF136:AF142)</f>
        <v>-166.70400000000001</v>
      </c>
      <c r="AG143" s="247">
        <f>SUM(AG136:AG142)</f>
        <v>141.4919999999999</v>
      </c>
      <c r="AH143" s="245">
        <f t="shared" si="283"/>
        <v>-252.17300000000017</v>
      </c>
      <c r="AI143" s="248">
        <f>SUM(AI136:AI142)</f>
        <v>-152.55900000000005</v>
      </c>
      <c r="AJ143" s="246">
        <f>SUM(AJ136:AJ142)</f>
        <v>-327.36699999999996</v>
      </c>
      <c r="AK143" s="246">
        <f>SUM(AK136:AK142)</f>
        <v>-64.773000000000039</v>
      </c>
      <c r="AL143" s="247">
        <f>SUM(AL136:AL142)</f>
        <v>-208.76799999999997</v>
      </c>
      <c r="AM143" s="245">
        <f t="shared" si="284"/>
        <v>-753.4670000000001</v>
      </c>
      <c r="AN143" s="248">
        <f>SUM(AN136:AN142)</f>
        <v>1085.896</v>
      </c>
      <c r="AO143" s="246">
        <f>SUM(AO136:AO142)</f>
        <v>-426.6</v>
      </c>
      <c r="AP143" s="246">
        <f>SUM(AP136:AP142)</f>
        <v>27.273999999999951</v>
      </c>
      <c r="AQ143" s="247">
        <f>SUM(AQ136:AQ142)</f>
        <v>1.6620000000000541</v>
      </c>
      <c r="AR143" s="245">
        <f t="shared" si="285"/>
        <v>688.23199999999997</v>
      </c>
      <c r="AS143" s="248">
        <f>SUM(AS136:AS142)</f>
        <v>177.62499999999994</v>
      </c>
      <c r="AT143" s="246">
        <f>SUM(AT136:AT142)</f>
        <v>519.54699999999991</v>
      </c>
      <c r="AU143" s="246">
        <f>SUM(AU136:AU142)</f>
        <v>-223.75399999999999</v>
      </c>
      <c r="AV143" s="247">
        <f>SUM(AV136:AV142)</f>
        <v>337.55999999999995</v>
      </c>
      <c r="AW143" s="245">
        <f t="shared" si="286"/>
        <v>810.97799999999972</v>
      </c>
      <c r="AX143" s="248">
        <f>SUM(AX136:AX142)</f>
        <v>-160.66071116999998</v>
      </c>
      <c r="AY143" s="246">
        <f>SUM(AY136:AY142)</f>
        <v>3164.33928883</v>
      </c>
      <c r="AZ143" s="246">
        <f>SUM(AZ136:AZ142)</f>
        <v>-460.66071117000001</v>
      </c>
      <c r="BA143" s="247">
        <f>SUM(BA136:BA142)</f>
        <v>-249.27106423000004</v>
      </c>
      <c r="BB143" s="245">
        <f>+SUM(BB136:BB142)</f>
        <v>2293.7468022600001</v>
      </c>
      <c r="BC143" s="248">
        <f>SUM(BC136:BC142)</f>
        <v>-664.27106422999998</v>
      </c>
      <c r="BD143" s="246">
        <f>SUM(BD136:BD142)</f>
        <v>-164.27106423000001</v>
      </c>
      <c r="BE143" s="246">
        <f>SUM(BE136:BE142)</f>
        <v>2154.9599357699999</v>
      </c>
      <c r="BF143" s="247">
        <f>SUM(BF136:BF142)</f>
        <v>-167.88141729000003</v>
      </c>
      <c r="BG143" s="245">
        <f>+SUM(BG136:BG142)</f>
        <v>1158.53639002</v>
      </c>
      <c r="BH143" s="248">
        <f>SUM(BH136:BH142)</f>
        <v>-167.88141729</v>
      </c>
      <c r="BI143" s="246">
        <f>SUM(BI136:BI142)</f>
        <v>-167.88141729</v>
      </c>
      <c r="BJ143" s="246">
        <f>SUM(BJ136:BJ142)</f>
        <v>1612.1185827100001</v>
      </c>
      <c r="BK143" s="247">
        <f>SUM(BK136:BK142)</f>
        <v>-446.49177035000002</v>
      </c>
      <c r="BL143" s="245">
        <f>+SUM(BL136:BL142)</f>
        <v>829.86397777999991</v>
      </c>
      <c r="BM143" s="248">
        <f>SUM(BM136:BM142)</f>
        <v>-561.49177035000002</v>
      </c>
      <c r="BN143" s="246">
        <f>SUM(BN136:BN142)</f>
        <v>-620.71977034999998</v>
      </c>
      <c r="BO143" s="246">
        <f>SUM(BO136:BO142)</f>
        <v>1927.7442296499999</v>
      </c>
      <c r="BP143" s="247">
        <f>SUM(BP136:BP142)</f>
        <v>-175.10212341000002</v>
      </c>
      <c r="BQ143" s="245">
        <f>+SUM(BQ136:BQ142)</f>
        <v>570.43056553999986</v>
      </c>
      <c r="BR143" s="244"/>
      <c r="BS143" s="244"/>
      <c r="BT143" s="233"/>
      <c r="BU143" s="233"/>
      <c r="BV143" s="233"/>
      <c r="BW143" s="233"/>
      <c r="BX143" s="233"/>
      <c r="BY143" s="233"/>
      <c r="BZ143" s="233"/>
      <c r="CA143" s="233"/>
      <c r="CB143" s="233"/>
      <c r="CC143" s="233"/>
      <c r="CD143" s="233"/>
      <c r="CE143" s="233"/>
    </row>
    <row r="144" spans="1:83">
      <c r="A144" s="233"/>
      <c r="B144" s="233"/>
      <c r="C144" s="1175"/>
      <c r="D144" s="233"/>
      <c r="E144" s="246"/>
      <c r="F144" s="246"/>
      <c r="G144" s="246"/>
      <c r="H144" s="247"/>
      <c r="I144" s="380"/>
      <c r="J144" s="248"/>
      <c r="K144" s="246"/>
      <c r="L144" s="246"/>
      <c r="M144" s="247"/>
      <c r="N144" s="245"/>
      <c r="O144" s="248"/>
      <c r="P144" s="246"/>
      <c r="Q144" s="246"/>
      <c r="R144" s="247"/>
      <c r="S144" s="245"/>
      <c r="T144" s="248"/>
      <c r="U144" s="246"/>
      <c r="V144" s="246"/>
      <c r="W144" s="247"/>
      <c r="X144" s="245"/>
      <c r="Y144" s="248"/>
      <c r="Z144" s="246"/>
      <c r="AA144" s="246"/>
      <c r="AB144" s="247"/>
      <c r="AC144" s="245"/>
      <c r="AD144" s="248"/>
      <c r="AE144" s="246"/>
      <c r="AF144" s="246"/>
      <c r="AG144" s="247"/>
      <c r="AH144" s="245"/>
      <c r="AI144" s="248"/>
      <c r="AJ144" s="246"/>
      <c r="AK144" s="246"/>
      <c r="AL144" s="247"/>
      <c r="AM144" s="245"/>
      <c r="AN144" s="248"/>
      <c r="AO144" s="246"/>
      <c r="AP144" s="246"/>
      <c r="AQ144" s="247"/>
      <c r="AR144" s="245"/>
      <c r="AS144" s="248"/>
      <c r="AT144" s="246"/>
      <c r="AU144" s="246"/>
      <c r="AV144" s="247"/>
      <c r="AW144" s="245"/>
      <c r="AX144" s="248"/>
      <c r="AY144" s="246"/>
      <c r="AZ144" s="246"/>
      <c r="BA144" s="247"/>
      <c r="BB144" s="245"/>
      <c r="BC144" s="248"/>
      <c r="BD144" s="246"/>
      <c r="BE144" s="246"/>
      <c r="BF144" s="247"/>
      <c r="BG144" s="245"/>
      <c r="BH144" s="248"/>
      <c r="BI144" s="246"/>
      <c r="BJ144" s="246"/>
      <c r="BK144" s="247"/>
      <c r="BL144" s="245"/>
      <c r="BM144" s="248"/>
      <c r="BN144" s="246"/>
      <c r="BO144" s="246"/>
      <c r="BP144" s="247"/>
      <c r="BQ144" s="245"/>
      <c r="BR144" s="244"/>
      <c r="BS144" s="244"/>
      <c r="BT144" s="233"/>
      <c r="BU144" s="233"/>
      <c r="BV144" s="233"/>
      <c r="BW144" s="233"/>
      <c r="BX144" s="233"/>
      <c r="BY144" s="233"/>
      <c r="BZ144" s="233"/>
      <c r="CA144" s="233"/>
      <c r="CB144" s="233"/>
      <c r="CC144" s="233"/>
      <c r="CD144" s="233"/>
      <c r="CE144" s="233"/>
    </row>
    <row r="145" spans="1:89" s="103" customFormat="1">
      <c r="A145" s="31"/>
      <c r="B145" s="31"/>
      <c r="C145" s="1174" t="s">
        <v>595</v>
      </c>
      <c r="D145" s="31"/>
      <c r="E145" s="428">
        <v>0.84199999999999997</v>
      </c>
      <c r="F145" s="428">
        <v>-1.345</v>
      </c>
      <c r="G145" s="428">
        <v>0.28499999999999998</v>
      </c>
      <c r="H145" s="429">
        <v>-1.0980000000000001</v>
      </c>
      <c r="I145" s="1289">
        <f>SUM(E145:H145)</f>
        <v>-1.3160000000000001</v>
      </c>
      <c r="J145" s="427">
        <v>0.60699999999999998</v>
      </c>
      <c r="K145" s="428">
        <v>0.155</v>
      </c>
      <c r="L145" s="428">
        <v>-0.51200000000000001</v>
      </c>
      <c r="M145" s="429">
        <v>8.7999999999999995E-2</v>
      </c>
      <c r="N145" s="44">
        <f t="shared" si="280"/>
        <v>0.33799999999999997</v>
      </c>
      <c r="O145" s="427">
        <v>-0.29799999999999999</v>
      </c>
      <c r="P145" s="428">
        <v>-1.2E-2</v>
      </c>
      <c r="Q145" s="428">
        <v>0.53500000000000003</v>
      </c>
      <c r="R145" s="429">
        <v>6.2E-2</v>
      </c>
      <c r="S145" s="44">
        <f>SUM(O145:R145)</f>
        <v>0.28700000000000003</v>
      </c>
      <c r="T145" s="427">
        <v>-0.31</v>
      </c>
      <c r="U145" s="428">
        <v>0.20899999999999999</v>
      </c>
      <c r="V145" s="428">
        <v>-0.315</v>
      </c>
      <c r="W145" s="429">
        <v>-9.1999999999999998E-2</v>
      </c>
      <c r="X145" s="44">
        <f>SUM(T145:W145)</f>
        <v>-0.50800000000000001</v>
      </c>
      <c r="Y145" s="427">
        <v>0.77200000000000002</v>
      </c>
      <c r="Z145" s="428">
        <v>-2.1000000000000001E-2</v>
      </c>
      <c r="AA145" s="428">
        <v>-0.70399999999999996</v>
      </c>
      <c r="AB145" s="429">
        <v>-0.29199999999999998</v>
      </c>
      <c r="AC145" s="44">
        <f>SUM(Y145:AB145)</f>
        <v>-0.24499999999999994</v>
      </c>
      <c r="AD145" s="427">
        <v>0</v>
      </c>
      <c r="AE145" s="428">
        <v>0</v>
      </c>
      <c r="AF145" s="428">
        <v>0</v>
      </c>
      <c r="AG145" s="429">
        <v>0</v>
      </c>
      <c r="AH145" s="44">
        <f>SUM(AD145:AG145)</f>
        <v>0</v>
      </c>
      <c r="AI145" s="427">
        <v>0</v>
      </c>
      <c r="AJ145" s="428">
        <v>0</v>
      </c>
      <c r="AK145" s="428">
        <v>0</v>
      </c>
      <c r="AL145" s="429">
        <v>0</v>
      </c>
      <c r="AM145" s="44">
        <f>SUM(AI145:AL145)</f>
        <v>0</v>
      </c>
      <c r="AN145" s="427">
        <v>0</v>
      </c>
      <c r="AO145" s="428">
        <v>0</v>
      </c>
      <c r="AP145" s="428">
        <v>0</v>
      </c>
      <c r="AQ145" s="429">
        <v>0</v>
      </c>
      <c r="AR145" s="44">
        <f>SUM(AN145:AQ145)</f>
        <v>0</v>
      </c>
      <c r="AS145" s="427">
        <v>0</v>
      </c>
      <c r="AT145" s="428">
        <v>0</v>
      </c>
      <c r="AU145" s="428">
        <v>0</v>
      </c>
      <c r="AV145" s="429">
        <v>0</v>
      </c>
      <c r="AW145" s="44">
        <f>SUM(AS145:AV145)</f>
        <v>0</v>
      </c>
      <c r="AX145" s="217">
        <v>0</v>
      </c>
      <c r="AY145" s="218">
        <v>0</v>
      </c>
      <c r="AZ145" s="218">
        <v>0</v>
      </c>
      <c r="BA145" s="219">
        <v>0</v>
      </c>
      <c r="BB145" s="44">
        <f>SUM(AX145:BA145)</f>
        <v>0</v>
      </c>
      <c r="BC145" s="217">
        <v>0</v>
      </c>
      <c r="BD145" s="218">
        <v>0</v>
      </c>
      <c r="BE145" s="218">
        <v>0</v>
      </c>
      <c r="BF145" s="219">
        <v>0</v>
      </c>
      <c r="BG145" s="44">
        <f>SUM(BC145:BF145)</f>
        <v>0</v>
      </c>
      <c r="BH145" s="217">
        <v>0</v>
      </c>
      <c r="BI145" s="218">
        <v>0</v>
      </c>
      <c r="BJ145" s="218">
        <v>0</v>
      </c>
      <c r="BK145" s="219">
        <v>0</v>
      </c>
      <c r="BL145" s="44">
        <f>SUM(BH145:BK145)</f>
        <v>0</v>
      </c>
      <c r="BM145" s="217">
        <v>0</v>
      </c>
      <c r="BN145" s="218">
        <v>0</v>
      </c>
      <c r="BO145" s="218">
        <v>0</v>
      </c>
      <c r="BP145" s="219">
        <v>0</v>
      </c>
      <c r="BQ145" s="44">
        <f>SUM(BM145:BP145)</f>
        <v>0</v>
      </c>
      <c r="BR145" s="44"/>
      <c r="BS145" s="44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/>
      <c r="CG145"/>
      <c r="CH145"/>
      <c r="CI145"/>
      <c r="CJ145"/>
      <c r="CK145"/>
    </row>
    <row r="146" spans="1:89">
      <c r="A146" s="233"/>
      <c r="B146" s="233"/>
      <c r="C146" s="1264"/>
      <c r="D146" s="233"/>
      <c r="E146" s="250"/>
      <c r="F146" s="250"/>
      <c r="G146" s="250"/>
      <c r="H146" s="251"/>
      <c r="I146" s="379"/>
      <c r="J146" s="249"/>
      <c r="K146" s="250"/>
      <c r="L146" s="250"/>
      <c r="M146" s="251"/>
      <c r="N146" s="244"/>
      <c r="O146" s="249"/>
      <c r="P146" s="250"/>
      <c r="Q146" s="250"/>
      <c r="R146" s="251"/>
      <c r="S146" s="244"/>
      <c r="T146" s="249"/>
      <c r="U146" s="250"/>
      <c r="V146" s="250"/>
      <c r="W146" s="251"/>
      <c r="X146" s="244"/>
      <c r="Y146" s="249"/>
      <c r="Z146" s="250"/>
      <c r="AA146" s="250"/>
      <c r="AB146" s="251"/>
      <c r="AC146" s="244"/>
      <c r="AD146" s="249"/>
      <c r="AE146" s="250"/>
      <c r="AF146" s="250"/>
      <c r="AG146" s="251"/>
      <c r="AH146" s="244"/>
      <c r="AI146" s="249"/>
      <c r="AJ146" s="250"/>
      <c r="AK146" s="250"/>
      <c r="AL146" s="251"/>
      <c r="AM146" s="244"/>
      <c r="AN146" s="249"/>
      <c r="AO146" s="250"/>
      <c r="AP146" s="250"/>
      <c r="AQ146" s="251"/>
      <c r="AR146" s="244"/>
      <c r="AS146" s="249"/>
      <c r="AT146" s="250"/>
      <c r="AU146" s="250"/>
      <c r="AV146" s="251"/>
      <c r="AW146" s="244"/>
      <c r="AX146" s="249"/>
      <c r="AY146" s="250"/>
      <c r="AZ146" s="250"/>
      <c r="BA146" s="251"/>
      <c r="BB146" s="244"/>
      <c r="BC146" s="249"/>
      <c r="BD146" s="250"/>
      <c r="BE146" s="250"/>
      <c r="BF146" s="251"/>
      <c r="BG146" s="244"/>
      <c r="BH146" s="249"/>
      <c r="BI146" s="250"/>
      <c r="BJ146" s="250"/>
      <c r="BK146" s="251"/>
      <c r="BL146" s="244"/>
      <c r="BM146" s="249"/>
      <c r="BN146" s="250"/>
      <c r="BO146" s="250"/>
      <c r="BP146" s="251"/>
      <c r="BQ146" s="244"/>
      <c r="BR146" s="244"/>
      <c r="BS146" s="244"/>
      <c r="BT146" s="233"/>
      <c r="BU146" s="233"/>
      <c r="BV146" s="233"/>
      <c r="BW146" s="233"/>
      <c r="BX146" s="233"/>
      <c r="BY146" s="233"/>
      <c r="BZ146" s="233"/>
      <c r="CA146" s="233"/>
      <c r="CB146" s="233"/>
      <c r="CC146" s="233"/>
      <c r="CD146" s="233"/>
      <c r="CE146" s="233"/>
    </row>
    <row r="147" spans="1:89">
      <c r="A147" s="233"/>
      <c r="B147" s="233"/>
      <c r="C147" s="1175" t="s">
        <v>365</v>
      </c>
      <c r="D147" s="233"/>
      <c r="E147" s="246">
        <f t="shared" ref="E147:O147" si="299">E129+E134+E143+E145</f>
        <v>-117.53299999999986</v>
      </c>
      <c r="F147" s="246">
        <f t="shared" si="299"/>
        <v>-522.05100000000004</v>
      </c>
      <c r="G147" s="246">
        <f>G129+G134+G143+G145</f>
        <v>-150.12700000000004</v>
      </c>
      <c r="H147" s="247">
        <f>H129+H134+H143+H145</f>
        <v>578.77100000000019</v>
      </c>
      <c r="I147" s="380">
        <f t="shared" si="299"/>
        <v>-210.94000000000071</v>
      </c>
      <c r="J147" s="248">
        <f>J129+J134+J143+J145</f>
        <v>-52.517000000000081</v>
      </c>
      <c r="K147" s="246">
        <f>K129+K134+K143+K145</f>
        <v>-321.50999999999993</v>
      </c>
      <c r="L147" s="246">
        <f t="shared" si="299"/>
        <v>595.39499999999987</v>
      </c>
      <c r="M147" s="247">
        <f>M129+M134+M143+M145</f>
        <v>-636.44699999999966</v>
      </c>
      <c r="N147" s="245">
        <f t="shared" si="299"/>
        <v>-415.07899999999944</v>
      </c>
      <c r="O147" s="248">
        <f t="shared" si="299"/>
        <v>-568.2349999999999</v>
      </c>
      <c r="P147" s="246">
        <f>P129+P134+P143+P145</f>
        <v>-196.37899999999985</v>
      </c>
      <c r="Q147" s="246">
        <f>Q129+Q134+Q143+Q145</f>
        <v>457.2820000000001</v>
      </c>
      <c r="R147" s="247">
        <f>R129+R134+R143+R145</f>
        <v>-292.70199999999988</v>
      </c>
      <c r="S147" s="245">
        <f t="shared" ref="S147:U147" si="300">S129+S134+S143+S145</f>
        <v>-600.03399999999942</v>
      </c>
      <c r="T147" s="248">
        <f t="shared" si="300"/>
        <v>-9.4359999999999484</v>
      </c>
      <c r="U147" s="246">
        <f t="shared" si="300"/>
        <v>-401.60899999999987</v>
      </c>
      <c r="V147" s="246">
        <f t="shared" ref="V147:AA147" si="301">V129+V134+V143+V145</f>
        <v>466.32599999999996</v>
      </c>
      <c r="W147" s="247">
        <f t="shared" si="301"/>
        <v>-217.15000000000012</v>
      </c>
      <c r="X147" s="245">
        <f t="shared" si="301"/>
        <v>-161.86900000000011</v>
      </c>
      <c r="Y147" s="248">
        <f t="shared" si="301"/>
        <v>-269.63800000000009</v>
      </c>
      <c r="Z147" s="246">
        <f t="shared" si="301"/>
        <v>48.440999999999761</v>
      </c>
      <c r="AA147" s="246">
        <f t="shared" si="301"/>
        <v>53.959999999999759</v>
      </c>
      <c r="AB147" s="247">
        <f>AB129+AB134+AB143+AB145</f>
        <v>373.79399999999998</v>
      </c>
      <c r="AC147" s="245">
        <f>AC129+AC134+AC143+AC145</f>
        <v>206.55699999999962</v>
      </c>
      <c r="AD147" s="248">
        <f>AD129+AD134+AD143+AD145</f>
        <v>169.35700000000006</v>
      </c>
      <c r="AE147" s="246">
        <f>AE129+AE134+AE143+AE145</f>
        <v>-258.41500000000008</v>
      </c>
      <c r="AF147" s="246">
        <f t="shared" ref="AF147" si="302">AF129+AF134+AF143+AF145</f>
        <v>418.44099999999986</v>
      </c>
      <c r="AG147" s="247">
        <f>AG129+AG134+AG143+AG145</f>
        <v>353.51699999999954</v>
      </c>
      <c r="AH147" s="245">
        <f>AH129+AH134+AH143+AH145</f>
        <v>682.89999999999918</v>
      </c>
      <c r="AI147" s="248">
        <f>AI129+AI134+AI143+AI145</f>
        <v>-241.47999999999988</v>
      </c>
      <c r="AJ147" s="246">
        <f>AJ129+AJ134+AJ143+AJ145</f>
        <v>-270.17599999999993</v>
      </c>
      <c r="AK147" s="246">
        <f t="shared" ref="AK147" si="303">AK129+AK134+AK143+AK145</f>
        <v>130.22799999999995</v>
      </c>
      <c r="AL147" s="247">
        <f>AL129+AL134+AL143+AL145</f>
        <v>310.36299999999989</v>
      </c>
      <c r="AM147" s="245">
        <f>AM129+AM134+AM143+AM145</f>
        <v>-71.065000000000055</v>
      </c>
      <c r="AN147" s="248">
        <f>AN129+AN134+AN143+AN145</f>
        <v>-259.30999999999995</v>
      </c>
      <c r="AO147" s="246">
        <f>AO129+AO134+AO143+AO145</f>
        <v>-95.551999999999964</v>
      </c>
      <c r="AP147" s="246">
        <f t="shared" ref="AP147" si="304">AP129+AP134+AP143+AP145</f>
        <v>311.33500000000021</v>
      </c>
      <c r="AQ147" s="247">
        <f>AQ129+AQ134+AQ143+AQ145</f>
        <v>-119.59000000000024</v>
      </c>
      <c r="AR147" s="245">
        <f>AR129+AR134+AR143+AR145</f>
        <v>-163.11700000000019</v>
      </c>
      <c r="AS147" s="248">
        <f>AS129+AS134+AS143+AS145</f>
        <v>-104.78199999999998</v>
      </c>
      <c r="AT147" s="246">
        <f>AT129+AT134+AT143+AT145</f>
        <v>-148.56700000000012</v>
      </c>
      <c r="AU147" s="246">
        <f t="shared" ref="AU147" si="305">AU129+AU134+AU143+AU145</f>
        <v>-388.20400000000006</v>
      </c>
      <c r="AV147" s="247">
        <f>AV129+AV134+AV143+AV145</f>
        <v>234.98199999999974</v>
      </c>
      <c r="AW147" s="245">
        <f>AW129+AW134+AW143+AW145</f>
        <v>-406.57100000000116</v>
      </c>
      <c r="AX147" s="248">
        <f t="shared" ref="AX147:BL147" si="306">AX129+AX134+AX143+AX145</f>
        <v>-579.65522883845301</v>
      </c>
      <c r="AY147" s="246">
        <f t="shared" si="306"/>
        <v>2776.5580308694789</v>
      </c>
      <c r="AZ147" s="246">
        <f t="shared" si="306"/>
        <v>-633.57050208415103</v>
      </c>
      <c r="BA147" s="247">
        <f t="shared" si="306"/>
        <v>-702.09529018611443</v>
      </c>
      <c r="BB147" s="245">
        <f t="shared" si="306"/>
        <v>861.23700976076043</v>
      </c>
      <c r="BC147" s="248">
        <f t="shared" si="306"/>
        <v>-926.72217759346506</v>
      </c>
      <c r="BD147" s="246">
        <f t="shared" si="306"/>
        <v>-416.85966661489817</v>
      </c>
      <c r="BE147" s="246">
        <f t="shared" si="306"/>
        <v>2070.7185132795971</v>
      </c>
      <c r="BF147" s="247">
        <f t="shared" si="306"/>
        <v>-532.47171623507109</v>
      </c>
      <c r="BG147" s="245">
        <f t="shared" si="306"/>
        <v>194.66495283616314</v>
      </c>
      <c r="BH147" s="248">
        <f t="shared" si="306"/>
        <v>-267.15206478046576</v>
      </c>
      <c r="BI147" s="246">
        <f t="shared" si="306"/>
        <v>-327.23131813042488</v>
      </c>
      <c r="BJ147" s="246">
        <f t="shared" si="306"/>
        <v>1612.9726492709076</v>
      </c>
      <c r="BK147" s="247">
        <f t="shared" si="306"/>
        <v>-712.38144429435908</v>
      </c>
      <c r="BL147" s="245">
        <f t="shared" si="306"/>
        <v>306.20782206565764</v>
      </c>
      <c r="BM147" s="248">
        <f t="shared" ref="BM147:BQ147" si="307">BM129+BM134+BM143+BM145</f>
        <v>-792.90131805994827</v>
      </c>
      <c r="BN147" s="246">
        <f t="shared" si="307"/>
        <v>-825.03506926918067</v>
      </c>
      <c r="BO147" s="246">
        <f t="shared" si="307"/>
        <v>1871.4185715297535</v>
      </c>
      <c r="BP147" s="247">
        <f t="shared" si="307"/>
        <v>-487.59227054428834</v>
      </c>
      <c r="BQ147" s="245">
        <f t="shared" si="307"/>
        <v>-234.11008634366317</v>
      </c>
      <c r="BR147" s="244"/>
      <c r="BS147" s="244"/>
      <c r="BT147" s="233"/>
      <c r="BU147" s="233"/>
      <c r="BV147" s="233"/>
      <c r="BW147" s="233"/>
      <c r="BX147" s="233"/>
      <c r="BY147" s="233"/>
      <c r="BZ147" s="233"/>
      <c r="CA147" s="233"/>
      <c r="CB147" s="233"/>
      <c r="CC147" s="233"/>
      <c r="CD147" s="233"/>
      <c r="CE147" s="233"/>
    </row>
    <row r="148" spans="1:89">
      <c r="A148" s="233"/>
      <c r="B148" s="233"/>
      <c r="C148" s="1264"/>
      <c r="D148" s="233"/>
      <c r="E148" s="250"/>
      <c r="F148" s="250"/>
      <c r="G148" s="250"/>
      <c r="H148" s="251"/>
      <c r="I148" s="379"/>
      <c r="J148" s="249"/>
      <c r="K148" s="250"/>
      <c r="L148" s="250"/>
      <c r="M148" s="251"/>
      <c r="N148" s="244"/>
      <c r="O148" s="249"/>
      <c r="P148" s="250"/>
      <c r="Q148" s="250"/>
      <c r="R148" s="251"/>
      <c r="S148" s="244"/>
      <c r="T148" s="249"/>
      <c r="U148" s="250"/>
      <c r="V148" s="250"/>
      <c r="W148" s="251"/>
      <c r="X148" s="244"/>
      <c r="Y148" s="249"/>
      <c r="Z148" s="250"/>
      <c r="AA148" s="250"/>
      <c r="AB148" s="251"/>
      <c r="AC148" s="244"/>
      <c r="AD148" s="249"/>
      <c r="AE148" s="250"/>
      <c r="AF148" s="250"/>
      <c r="AG148" s="251"/>
      <c r="AH148" s="244"/>
      <c r="AI148" s="249"/>
      <c r="AJ148" s="250"/>
      <c r="AK148" s="250"/>
      <c r="AL148" s="251"/>
      <c r="AM148" s="244"/>
      <c r="AN148" s="249"/>
      <c r="AO148" s="250"/>
      <c r="AP148" s="250"/>
      <c r="AQ148" s="251"/>
      <c r="AR148" s="244"/>
      <c r="AS148" s="249"/>
      <c r="AT148" s="250"/>
      <c r="AU148" s="250"/>
      <c r="AV148" s="251"/>
      <c r="AW148" s="244"/>
      <c r="AX148" s="249"/>
      <c r="AY148" s="250"/>
      <c r="AZ148" s="250"/>
      <c r="BA148" s="251"/>
      <c r="BB148" s="244"/>
      <c r="BC148" s="249"/>
      <c r="BD148" s="250"/>
      <c r="BE148" s="250"/>
      <c r="BF148" s="251"/>
      <c r="BG148" s="244"/>
      <c r="BH148" s="249"/>
      <c r="BI148" s="250"/>
      <c r="BJ148" s="250"/>
      <c r="BK148" s="251"/>
      <c r="BL148" s="244"/>
      <c r="BM148" s="249"/>
      <c r="BN148" s="250"/>
      <c r="BO148" s="250"/>
      <c r="BP148" s="251"/>
      <c r="BQ148" s="244"/>
      <c r="BR148" s="244"/>
      <c r="BS148" s="244"/>
      <c r="BT148" s="233"/>
      <c r="BU148" s="233"/>
      <c r="BV148" s="233"/>
      <c r="BW148" s="233"/>
      <c r="BX148" s="233"/>
      <c r="BY148" s="233"/>
      <c r="BZ148" s="233"/>
      <c r="CA148" s="233"/>
      <c r="CB148" s="233"/>
      <c r="CC148" s="233"/>
      <c r="CD148" s="233"/>
      <c r="CE148" s="233"/>
    </row>
    <row r="149" spans="1:89">
      <c r="A149" s="233"/>
      <c r="B149" s="233"/>
      <c r="C149" s="1264" t="s">
        <v>469</v>
      </c>
      <c r="D149" s="233"/>
      <c r="E149" s="190">
        <v>1920.491</v>
      </c>
      <c r="F149" s="198">
        <f>+E151</f>
        <v>1802.9580000000001</v>
      </c>
      <c r="G149" s="198">
        <f>+F151</f>
        <v>1280.9070000000002</v>
      </c>
      <c r="H149" s="251">
        <f>+G151</f>
        <v>1130.7800000000002</v>
      </c>
      <c r="I149" s="379">
        <f>+E149</f>
        <v>1920.491</v>
      </c>
      <c r="J149" s="197">
        <f>+I151</f>
        <v>1709.5510000000004</v>
      </c>
      <c r="K149" s="198">
        <f>+J151</f>
        <v>1657.0340000000003</v>
      </c>
      <c r="L149" s="198">
        <f>+K151</f>
        <v>1335.5240000000003</v>
      </c>
      <c r="M149" s="251">
        <f>+L151</f>
        <v>1930.9190000000003</v>
      </c>
      <c r="N149" s="244">
        <f>+J149</f>
        <v>1709.5510000000004</v>
      </c>
      <c r="O149" s="197">
        <f>+N151</f>
        <v>1294.4720000000007</v>
      </c>
      <c r="P149" s="198">
        <f>+O151</f>
        <v>726.23700000000076</v>
      </c>
      <c r="Q149" s="198">
        <f>+P151</f>
        <v>529.85800000000086</v>
      </c>
      <c r="R149" s="251">
        <f>+Q151</f>
        <v>987.14000000000101</v>
      </c>
      <c r="S149" s="244">
        <f>+O149</f>
        <v>1294.4720000000007</v>
      </c>
      <c r="T149" s="197">
        <f>+S151</f>
        <v>694.43800000000113</v>
      </c>
      <c r="U149" s="198">
        <f>+T151</f>
        <v>685.0020000000012</v>
      </c>
      <c r="V149" s="198">
        <f>+U151</f>
        <v>283.39300000000134</v>
      </c>
      <c r="W149" s="251">
        <f>+V151</f>
        <v>749.7190000000013</v>
      </c>
      <c r="X149" s="244">
        <f>+T149</f>
        <v>694.43800000000113</v>
      </c>
      <c r="Y149" s="197">
        <f>+X151</f>
        <v>532.56900000000121</v>
      </c>
      <c r="Z149" s="198">
        <f>+Y151</f>
        <v>262.93100000000112</v>
      </c>
      <c r="AA149" s="198">
        <f>+Z151</f>
        <v>311.37200000000087</v>
      </c>
      <c r="AB149" s="251">
        <f>+AA151</f>
        <v>365.33200000000062</v>
      </c>
      <c r="AC149" s="244">
        <f>+Y149</f>
        <v>532.56900000000121</v>
      </c>
      <c r="AD149" s="197">
        <f>+AC151</f>
        <v>739.12600000000066</v>
      </c>
      <c r="AE149" s="198">
        <f>+AD151</f>
        <v>908.48300000000074</v>
      </c>
      <c r="AF149" s="198">
        <f>+AE151</f>
        <v>650.06800000000067</v>
      </c>
      <c r="AG149" s="251">
        <f>+AF151</f>
        <v>1068.5090000000005</v>
      </c>
      <c r="AH149" s="244">
        <f>+AD149</f>
        <v>739.12600000000066</v>
      </c>
      <c r="AI149" s="197">
        <f>+AH151</f>
        <v>1422.0260000000001</v>
      </c>
      <c r="AJ149" s="198">
        <f>+AI151</f>
        <v>1180.5460000000003</v>
      </c>
      <c r="AK149" s="198">
        <f>+AJ151</f>
        <v>910.37000000000035</v>
      </c>
      <c r="AL149" s="251">
        <f>+AK151</f>
        <v>1040.5980000000004</v>
      </c>
      <c r="AM149" s="244">
        <f>+AI149</f>
        <v>1422.0260000000001</v>
      </c>
      <c r="AN149" s="197">
        <f>+AM151</f>
        <v>1350.9610000000002</v>
      </c>
      <c r="AO149" s="198">
        <f>+AN151</f>
        <v>1091.6510000000003</v>
      </c>
      <c r="AP149" s="198">
        <f>+AO151</f>
        <v>996.09900000000039</v>
      </c>
      <c r="AQ149" s="251">
        <f>+AP151</f>
        <v>1307.4340000000007</v>
      </c>
      <c r="AR149" s="244">
        <f>+AN149</f>
        <v>1350.9610000000002</v>
      </c>
      <c r="AS149" s="197">
        <f>+AR151</f>
        <v>1187.8440000000005</v>
      </c>
      <c r="AT149" s="198">
        <f>+AS151</f>
        <v>1083.0620000000006</v>
      </c>
      <c r="AU149" s="198">
        <f t="shared" ref="AU149" si="308">+AT151</f>
        <v>934.49500000000046</v>
      </c>
      <c r="AV149" s="251">
        <f>+AU151</f>
        <v>546.29100000000039</v>
      </c>
      <c r="AW149" s="244">
        <f>+AS149</f>
        <v>1187.8440000000005</v>
      </c>
      <c r="AX149" s="249">
        <f>+AW151</f>
        <v>781.27300000000014</v>
      </c>
      <c r="AY149" s="250">
        <f>+AX151</f>
        <v>0</v>
      </c>
      <c r="AZ149" s="250">
        <f>+AY151</f>
        <v>1399.867802031026</v>
      </c>
      <c r="BA149" s="251">
        <f>+AZ151</f>
        <v>766.297299946875</v>
      </c>
      <c r="BB149" s="244">
        <f>+AX149</f>
        <v>781.27300000000014</v>
      </c>
      <c r="BC149" s="249">
        <f>+BB151</f>
        <v>64.202009760760575</v>
      </c>
      <c r="BD149" s="250">
        <f>+BC151</f>
        <v>0</v>
      </c>
      <c r="BE149" s="250">
        <f>+BD151</f>
        <v>0</v>
      </c>
      <c r="BF149" s="251">
        <f>+BE151</f>
        <v>791.33867883199446</v>
      </c>
      <c r="BG149" s="244">
        <f>+BC149</f>
        <v>64.202009760760575</v>
      </c>
      <c r="BH149" s="249">
        <f>+BG151</f>
        <v>258.86696259692337</v>
      </c>
      <c r="BI149" s="250">
        <f>+BH151</f>
        <v>0</v>
      </c>
      <c r="BJ149" s="250">
        <f>+BI151</f>
        <v>0</v>
      </c>
      <c r="BK149" s="251">
        <f>+BJ151</f>
        <v>1277.4562289569403</v>
      </c>
      <c r="BL149" s="244">
        <f>+BH149</f>
        <v>258.86696259692337</v>
      </c>
      <c r="BM149" s="249">
        <f>+BL151</f>
        <v>565.07478466258124</v>
      </c>
      <c r="BN149" s="250">
        <f>+BM151</f>
        <v>0</v>
      </c>
      <c r="BO149" s="250">
        <f>+BN151</f>
        <v>0</v>
      </c>
      <c r="BP149" s="251">
        <f>+BO151</f>
        <v>818.55696886320584</v>
      </c>
      <c r="BQ149" s="244">
        <f>+BM149</f>
        <v>565.07478466258124</v>
      </c>
      <c r="BR149" s="244"/>
      <c r="BS149" s="244"/>
      <c r="BT149" s="233"/>
      <c r="BU149" s="233"/>
      <c r="BV149" s="233"/>
      <c r="BW149" s="233"/>
      <c r="BX149" s="233"/>
      <c r="BY149" s="233"/>
      <c r="BZ149" s="233"/>
      <c r="CA149" s="233"/>
      <c r="CB149" s="233"/>
      <c r="CC149" s="233"/>
      <c r="CD149" s="233"/>
      <c r="CE149" s="233"/>
    </row>
    <row r="150" spans="1:89">
      <c r="A150" s="233"/>
      <c r="B150" s="233"/>
      <c r="C150" s="1264" t="s">
        <v>467</v>
      </c>
      <c r="D150" s="233"/>
      <c r="E150" s="250"/>
      <c r="F150" s="250"/>
      <c r="G150" s="250"/>
      <c r="H150" s="251"/>
      <c r="I150" s="379"/>
      <c r="J150" s="249"/>
      <c r="K150" s="250"/>
      <c r="L150" s="250"/>
      <c r="M150" s="251"/>
      <c r="N150" s="244"/>
      <c r="O150" s="249"/>
      <c r="P150" s="250"/>
      <c r="Q150" s="250"/>
      <c r="R150" s="251"/>
      <c r="S150" s="244"/>
      <c r="T150" s="249"/>
      <c r="U150" s="250"/>
      <c r="V150" s="250"/>
      <c r="W150" s="251"/>
      <c r="X150" s="244"/>
      <c r="Y150" s="249"/>
      <c r="Z150" s="250"/>
      <c r="AA150" s="250"/>
      <c r="AB150" s="251"/>
      <c r="AC150" s="244"/>
      <c r="AD150" s="249"/>
      <c r="AE150" s="250"/>
      <c r="AF150" s="250"/>
      <c r="AG150" s="251"/>
      <c r="AH150" s="244"/>
      <c r="AI150" s="249"/>
      <c r="AJ150" s="250"/>
      <c r="AK150" s="250"/>
      <c r="AL150" s="251"/>
      <c r="AM150" s="244"/>
      <c r="AN150" s="249"/>
      <c r="AO150" s="250"/>
      <c r="AP150" s="250"/>
      <c r="AQ150" s="251"/>
      <c r="AR150" s="244"/>
      <c r="AS150" s="249"/>
      <c r="AT150" s="250"/>
      <c r="AU150" s="250"/>
      <c r="AV150" s="251"/>
      <c r="AW150" s="244"/>
      <c r="AX150" s="249">
        <f>IF((AX147+AX149)&gt;=AW203,-AW203,-(AX147+AX149))</f>
        <v>-201.61777116154713</v>
      </c>
      <c r="AY150" s="250">
        <f>IF((AY147+AY149)&gt;=AX203,-AX203,-(AY147+AY149))</f>
        <v>-1376.6902288384529</v>
      </c>
      <c r="AZ150" s="250">
        <f>IF((AZ147+AZ149)&gt;=AY203,-AY203,-(AZ147+AZ149))</f>
        <v>0</v>
      </c>
      <c r="BA150" s="251">
        <f>IF((BA147+BA149)&gt;=AZ203,-AZ203,-(BA147+BA149))</f>
        <v>0</v>
      </c>
      <c r="BB150" s="244">
        <f>+SUM(AX150:BA150)</f>
        <v>-1578.308</v>
      </c>
      <c r="BC150" s="249">
        <f>IF((BC147+BC149)&gt;=BB203,-BB203,-(BC147+BC149))</f>
        <v>862.52016783270449</v>
      </c>
      <c r="BD150" s="250">
        <f>IF((BD147+BD149)&gt;=BC203,-BC203,-(BD147+BD149))</f>
        <v>416.85966661489817</v>
      </c>
      <c r="BE150" s="250">
        <f>IF((BE147+BE149)&gt;=BD203,-BD203,-(BE147+BE149))</f>
        <v>-1279.3798344476027</v>
      </c>
      <c r="BF150" s="251">
        <f>IF((BF147+BF149)&gt;=BE203,-BE203,-(BF147+BF149))</f>
        <v>0</v>
      </c>
      <c r="BG150" s="244">
        <f>+SUM(BC150:BF150)</f>
        <v>0</v>
      </c>
      <c r="BH150" s="249">
        <f>IF((BH147+BH149)&gt;=BG203,-BG203,-(BH147+BH149))</f>
        <v>8.2851021835423921</v>
      </c>
      <c r="BI150" s="250">
        <f>IF((BI147+BI149)&gt;=BH203,-BH203,-(BI147+BI149))</f>
        <v>327.23131813042488</v>
      </c>
      <c r="BJ150" s="250">
        <f>IF((BJ147+BJ149)&gt;=BI203,-BI203,-(BJ147+BJ149))</f>
        <v>-335.51642031396727</v>
      </c>
      <c r="BK150" s="251">
        <f>IF((BK147+BK149)&gt;=BJ203,-BJ203,-(BK147+BK149))</f>
        <v>0</v>
      </c>
      <c r="BL150" s="244">
        <f>+SUM(BH150:BK150)</f>
        <v>0</v>
      </c>
      <c r="BM150" s="249">
        <f>IF((BM147+BM149)&gt;=BL203,-BL203,-(BM147+BM149))</f>
        <v>227.82653339736703</v>
      </c>
      <c r="BN150" s="250">
        <f>IF((BN147+BN149)&gt;=BM203,-BM203,-(BN147+BN149))</f>
        <v>825.03506926918067</v>
      </c>
      <c r="BO150" s="250">
        <f>IF((BO147+BO149)&gt;=BN203,-BN203,-(BO147+BO149))</f>
        <v>-1052.8616026665477</v>
      </c>
      <c r="BP150" s="251">
        <f>IF((BP147+BP149)&gt;=BO203,-BO203,-(BP147+BP149))</f>
        <v>0</v>
      </c>
      <c r="BQ150" s="244">
        <f>+SUM(BM150:BP150)</f>
        <v>0</v>
      </c>
      <c r="BR150" s="244"/>
      <c r="BS150" s="244"/>
      <c r="BT150" s="233"/>
      <c r="BU150" s="233"/>
      <c r="BV150" s="233"/>
      <c r="BW150" s="233"/>
      <c r="BX150" s="233"/>
      <c r="BY150" s="233"/>
      <c r="BZ150" s="233"/>
      <c r="CA150" s="233"/>
      <c r="CB150" s="233"/>
      <c r="CC150" s="233"/>
      <c r="CD150" s="233"/>
      <c r="CE150" s="233"/>
    </row>
    <row r="151" spans="1:89" s="37" customFormat="1">
      <c r="A151" s="36"/>
      <c r="B151" s="36"/>
      <c r="C151" s="1173" t="s">
        <v>440</v>
      </c>
      <c r="D151" s="36"/>
      <c r="E151" s="181">
        <f>+E150+E149+E147</f>
        <v>1802.9580000000001</v>
      </c>
      <c r="F151" s="181">
        <f>+F150+F149+F147</f>
        <v>1280.9070000000002</v>
      </c>
      <c r="G151" s="181">
        <f>+G150+G149+G147</f>
        <v>1130.7800000000002</v>
      </c>
      <c r="H151" s="182">
        <f>+H150+H149+H147</f>
        <v>1709.5510000000004</v>
      </c>
      <c r="I151" s="378">
        <f>+H151</f>
        <v>1709.5510000000004</v>
      </c>
      <c r="J151" s="180">
        <f>+J150+J149+J147</f>
        <v>1657.0340000000003</v>
      </c>
      <c r="K151" s="181">
        <f>+K150+K149+K147</f>
        <v>1335.5240000000003</v>
      </c>
      <c r="L151" s="181">
        <f>+L150+L149+L147</f>
        <v>1930.9190000000003</v>
      </c>
      <c r="M151" s="182">
        <f>+M150+M149+M147</f>
        <v>1294.4720000000007</v>
      </c>
      <c r="N151" s="110">
        <f>+M151</f>
        <v>1294.4720000000007</v>
      </c>
      <c r="O151" s="180">
        <f>+O150+O149+O147</f>
        <v>726.23700000000076</v>
      </c>
      <c r="P151" s="181">
        <f>+P150+P149+P147</f>
        <v>529.85800000000086</v>
      </c>
      <c r="Q151" s="181">
        <f>+Q150+Q149+Q147</f>
        <v>987.14000000000101</v>
      </c>
      <c r="R151" s="182">
        <f>+R150+R149+R147</f>
        <v>694.43800000000113</v>
      </c>
      <c r="S151" s="110">
        <f>+R151</f>
        <v>694.43800000000113</v>
      </c>
      <c r="T151" s="180">
        <f>+T150+T149+T147</f>
        <v>685.0020000000012</v>
      </c>
      <c r="U151" s="181">
        <f>+U150+U149+U147</f>
        <v>283.39300000000134</v>
      </c>
      <c r="V151" s="181">
        <f>+V150+V149+V147</f>
        <v>749.7190000000013</v>
      </c>
      <c r="W151" s="182">
        <f>+W150+W149+W147</f>
        <v>532.56900000000121</v>
      </c>
      <c r="X151" s="110">
        <f>+W151</f>
        <v>532.56900000000121</v>
      </c>
      <c r="Y151" s="180">
        <f>+Y150+Y149+Y147</f>
        <v>262.93100000000112</v>
      </c>
      <c r="Z151" s="181">
        <f>+Z150+Z149+Z147</f>
        <v>311.37200000000087</v>
      </c>
      <c r="AA151" s="181">
        <f>+AA150+AA149+AA147</f>
        <v>365.33200000000062</v>
      </c>
      <c r="AB151" s="182">
        <f>+AB150+AB149+AB147</f>
        <v>739.12600000000066</v>
      </c>
      <c r="AC151" s="110">
        <f>+AB151</f>
        <v>739.12600000000066</v>
      </c>
      <c r="AD151" s="180">
        <f>+AD150+AD149+AD147</f>
        <v>908.48300000000074</v>
      </c>
      <c r="AE151" s="181">
        <f>+AE150+AE149+AE147</f>
        <v>650.06800000000067</v>
      </c>
      <c r="AF151" s="181">
        <f>+AF150+AF149+AF147</f>
        <v>1068.5090000000005</v>
      </c>
      <c r="AG151" s="182">
        <f>+AG150+AG149+AG147</f>
        <v>1422.0260000000001</v>
      </c>
      <c r="AH151" s="110">
        <f>+AG151</f>
        <v>1422.0260000000001</v>
      </c>
      <c r="AI151" s="180">
        <f>+AI150+AI149+AI147</f>
        <v>1180.5460000000003</v>
      </c>
      <c r="AJ151" s="181">
        <f>+AJ150+AJ149+AJ147</f>
        <v>910.37000000000035</v>
      </c>
      <c r="AK151" s="181">
        <f>+AK150+AK149+AK147</f>
        <v>1040.5980000000004</v>
      </c>
      <c r="AL151" s="182">
        <f>+AL150+AL149+AL147</f>
        <v>1350.9610000000002</v>
      </c>
      <c r="AM151" s="110">
        <f>+AL151</f>
        <v>1350.9610000000002</v>
      </c>
      <c r="AN151" s="180">
        <f>+AN150+AN149+AN147</f>
        <v>1091.6510000000003</v>
      </c>
      <c r="AO151" s="181">
        <f>+AO150+AO149+AO147</f>
        <v>996.09900000000039</v>
      </c>
      <c r="AP151" s="181">
        <f>+AP150+AP149+AP147</f>
        <v>1307.4340000000007</v>
      </c>
      <c r="AQ151" s="182">
        <f>+AQ150+AQ149+AQ147</f>
        <v>1187.8440000000005</v>
      </c>
      <c r="AR151" s="110">
        <f>+AQ151</f>
        <v>1187.8440000000005</v>
      </c>
      <c r="AS151" s="180">
        <f>+AS150+AS149+AS147</f>
        <v>1083.0620000000006</v>
      </c>
      <c r="AT151" s="181">
        <f>+AT150+AT149+AT147</f>
        <v>934.49500000000046</v>
      </c>
      <c r="AU151" s="181">
        <f t="shared" ref="AU151" si="309">+AU150+AU149+AU147</f>
        <v>546.29100000000039</v>
      </c>
      <c r="AV151" s="182">
        <f>+AV150+AV149+AV147</f>
        <v>781.27300000000014</v>
      </c>
      <c r="AW151" s="110">
        <f>+AV151</f>
        <v>781.27300000000014</v>
      </c>
      <c r="AX151" s="180">
        <f>+AX150+AX149+AX147</f>
        <v>0</v>
      </c>
      <c r="AY151" s="181">
        <f>+AY150+AY149+AY147</f>
        <v>1399.867802031026</v>
      </c>
      <c r="AZ151" s="181">
        <f>+AZ150+AZ149+AZ147</f>
        <v>766.297299946875</v>
      </c>
      <c r="BA151" s="182">
        <f>+BA150+BA149+BA147</f>
        <v>64.202009760760575</v>
      </c>
      <c r="BB151" s="110">
        <f>+BA151</f>
        <v>64.202009760760575</v>
      </c>
      <c r="BC151" s="180">
        <f>+BC150+BC149+BC147</f>
        <v>0</v>
      </c>
      <c r="BD151" s="181">
        <f>+BD150+BD149+BD147</f>
        <v>0</v>
      </c>
      <c r="BE151" s="181">
        <f>+BE150+BE149+BE147</f>
        <v>791.33867883199446</v>
      </c>
      <c r="BF151" s="182">
        <f>+BF150+BF149+BF147</f>
        <v>258.86696259692337</v>
      </c>
      <c r="BG151" s="110">
        <f>+BF151</f>
        <v>258.86696259692337</v>
      </c>
      <c r="BH151" s="180">
        <f>+BH150+BH149+BH147</f>
        <v>0</v>
      </c>
      <c r="BI151" s="181">
        <f>+BI150+BI149+BI147</f>
        <v>0</v>
      </c>
      <c r="BJ151" s="181">
        <f>+BJ150+BJ149+BJ147</f>
        <v>1277.4562289569403</v>
      </c>
      <c r="BK151" s="182">
        <f>+BK150+BK149+BK147</f>
        <v>565.07478466258124</v>
      </c>
      <c r="BL151" s="110">
        <f>+BK151</f>
        <v>565.07478466258124</v>
      </c>
      <c r="BM151" s="180">
        <f>+BM150+BM149+BM147</f>
        <v>0</v>
      </c>
      <c r="BN151" s="181">
        <f>+BN150+BN149+BN147</f>
        <v>0</v>
      </c>
      <c r="BO151" s="181">
        <f>+BO150+BO149+BO147</f>
        <v>818.55696886320584</v>
      </c>
      <c r="BP151" s="182">
        <f>+BP150+BP149+BP147</f>
        <v>330.9646983189175</v>
      </c>
      <c r="BQ151" s="110">
        <f>+BP151</f>
        <v>330.9646983189175</v>
      </c>
      <c r="BR151" s="110"/>
      <c r="BS151" s="110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/>
      <c r="CG151"/>
      <c r="CH151"/>
      <c r="CI151"/>
      <c r="CJ151"/>
      <c r="CK151"/>
    </row>
    <row r="152" spans="1:89">
      <c r="A152" s="233"/>
      <c r="B152" s="233"/>
      <c r="C152" s="1264"/>
      <c r="D152" s="233"/>
      <c r="E152" s="250"/>
      <c r="F152" s="250"/>
      <c r="G152" s="250"/>
      <c r="H152" s="251"/>
      <c r="I152" s="379"/>
      <c r="J152" s="249"/>
      <c r="K152" s="250"/>
      <c r="L152" s="250"/>
      <c r="M152" s="251"/>
      <c r="N152" s="244"/>
      <c r="O152" s="249"/>
      <c r="P152" s="250"/>
      <c r="Q152" s="250"/>
      <c r="R152" s="251"/>
      <c r="S152" s="244"/>
      <c r="T152" s="261"/>
      <c r="U152" s="250"/>
      <c r="V152" s="257"/>
      <c r="W152" s="258"/>
      <c r="X152" s="260"/>
      <c r="Y152" s="261"/>
      <c r="Z152" s="257"/>
      <c r="AA152" s="250"/>
      <c r="AB152" s="258"/>
      <c r="AC152" s="260"/>
      <c r="AD152" s="249"/>
      <c r="AE152" s="257"/>
      <c r="AF152" s="250"/>
      <c r="AG152" s="258"/>
      <c r="AH152" s="260"/>
      <c r="AI152" s="249"/>
      <c r="AJ152" s="250"/>
      <c r="AK152" s="250"/>
      <c r="AL152" s="251"/>
      <c r="AM152" s="244"/>
      <c r="AN152" s="249"/>
      <c r="AO152" s="250"/>
      <c r="AP152" s="250"/>
      <c r="AQ152" s="251"/>
      <c r="AR152" s="244"/>
      <c r="AS152" s="249"/>
      <c r="AT152" s="250"/>
      <c r="AU152" s="250"/>
      <c r="AV152" s="251"/>
      <c r="AW152" s="244"/>
      <c r="AX152" s="249"/>
      <c r="AY152" s="250"/>
      <c r="AZ152" s="250"/>
      <c r="BA152" s="251"/>
      <c r="BB152" s="244"/>
      <c r="BC152" s="249"/>
      <c r="BD152" s="250"/>
      <c r="BE152" s="250"/>
      <c r="BF152" s="251"/>
      <c r="BG152" s="244"/>
      <c r="BH152" s="249"/>
      <c r="BI152" s="250"/>
      <c r="BJ152" s="250"/>
      <c r="BK152" s="251"/>
      <c r="BL152" s="244"/>
      <c r="BM152" s="249"/>
      <c r="BN152" s="250"/>
      <c r="BO152" s="250"/>
      <c r="BP152" s="251"/>
      <c r="BQ152" s="244"/>
      <c r="BR152" s="244"/>
      <c r="BS152" s="244"/>
      <c r="BT152" s="233"/>
      <c r="BU152" s="233"/>
      <c r="BV152" s="233"/>
      <c r="BW152" s="233"/>
      <c r="BX152" s="233"/>
      <c r="BY152" s="233"/>
      <c r="BZ152" s="233"/>
      <c r="CA152" s="233"/>
      <c r="CB152" s="233"/>
      <c r="CC152" s="233"/>
      <c r="CD152" s="233"/>
      <c r="CE152" s="233"/>
    </row>
    <row r="153" spans="1:89">
      <c r="A153" s="233"/>
      <c r="B153" s="233"/>
      <c r="C153" s="1264"/>
      <c r="D153" s="233"/>
      <c r="E153" s="250">
        <f>+E151-E155</f>
        <v>0</v>
      </c>
      <c r="F153" s="250">
        <f t="shared" ref="F153:R153" si="310">+F151-F155</f>
        <v>0</v>
      </c>
      <c r="G153" s="250">
        <f t="shared" si="310"/>
        <v>0</v>
      </c>
      <c r="H153" s="251">
        <f t="shared" si="310"/>
        <v>0</v>
      </c>
      <c r="I153" s="379">
        <f t="shared" si="310"/>
        <v>0</v>
      </c>
      <c r="J153" s="249">
        <f t="shared" si="310"/>
        <v>0</v>
      </c>
      <c r="K153" s="250">
        <f t="shared" si="310"/>
        <v>0</v>
      </c>
      <c r="L153" s="250">
        <f t="shared" si="310"/>
        <v>0</v>
      </c>
      <c r="M153" s="251">
        <f t="shared" si="310"/>
        <v>0</v>
      </c>
      <c r="N153" s="244">
        <f t="shared" si="310"/>
        <v>0</v>
      </c>
      <c r="O153" s="249">
        <f t="shared" si="310"/>
        <v>0</v>
      </c>
      <c r="P153" s="250">
        <f t="shared" si="310"/>
        <v>9.0949470177292824E-13</v>
      </c>
      <c r="Q153" s="250">
        <f t="shared" si="310"/>
        <v>1.0231815394945443E-12</v>
      </c>
      <c r="R153" s="251">
        <f t="shared" si="310"/>
        <v>1.1368683772161603E-12</v>
      </c>
      <c r="S153" s="244"/>
      <c r="T153" s="261"/>
      <c r="U153" s="250"/>
      <c r="V153" s="257"/>
      <c r="W153" s="258"/>
      <c r="X153" s="260"/>
      <c r="Y153" s="261"/>
      <c r="Z153" s="257"/>
      <c r="AA153" s="250"/>
      <c r="AB153" s="251"/>
      <c r="AC153" s="244"/>
      <c r="AD153" s="249"/>
      <c r="AE153" s="257"/>
      <c r="AF153" s="250"/>
      <c r="AG153" s="251"/>
      <c r="AH153" s="244"/>
      <c r="AI153" s="249"/>
      <c r="AJ153" s="250"/>
      <c r="AK153" s="250"/>
      <c r="AL153" s="251"/>
      <c r="AM153" s="244"/>
      <c r="AN153" s="249"/>
      <c r="AO153" s="250"/>
      <c r="AP153" s="250"/>
      <c r="AQ153" s="251"/>
      <c r="AR153" s="244"/>
      <c r="AS153" s="249"/>
      <c r="AT153" s="250"/>
      <c r="AU153" s="250"/>
      <c r="AV153" s="251"/>
      <c r="AW153" s="244"/>
      <c r="AX153" s="249"/>
      <c r="AY153" s="250"/>
      <c r="AZ153" s="250"/>
      <c r="BA153" s="251"/>
      <c r="BB153" s="244"/>
      <c r="BC153" s="249"/>
      <c r="BD153" s="250"/>
      <c r="BE153" s="250"/>
      <c r="BF153" s="251"/>
      <c r="BG153" s="244"/>
      <c r="BH153" s="249"/>
      <c r="BI153" s="250"/>
      <c r="BJ153" s="250"/>
      <c r="BK153" s="251"/>
      <c r="BL153" s="244"/>
      <c r="BM153" s="249"/>
      <c r="BN153" s="250"/>
      <c r="BO153" s="250"/>
      <c r="BP153" s="251"/>
      <c r="BQ153" s="244"/>
      <c r="BR153" s="244"/>
      <c r="BS153" s="244"/>
      <c r="BT153" s="233"/>
      <c r="BU153" s="233"/>
      <c r="BV153" s="233"/>
      <c r="BW153" s="233"/>
      <c r="BX153" s="233"/>
      <c r="BY153" s="233"/>
      <c r="BZ153" s="233"/>
      <c r="CA153" s="233"/>
      <c r="CB153" s="233"/>
      <c r="CC153" s="233"/>
      <c r="CD153" s="233"/>
      <c r="CE153" s="233"/>
    </row>
    <row r="154" spans="1:89">
      <c r="A154" s="233"/>
      <c r="B154" s="350" t="s">
        <v>7</v>
      </c>
      <c r="C154" s="1265"/>
      <c r="D154" s="102"/>
      <c r="E154" s="263"/>
      <c r="F154" s="263"/>
      <c r="G154" s="263"/>
      <c r="H154" s="264"/>
      <c r="I154" s="379"/>
      <c r="J154" s="262"/>
      <c r="K154" s="263"/>
      <c r="L154" s="263"/>
      <c r="M154" s="264"/>
      <c r="N154" s="244"/>
      <c r="O154" s="262"/>
      <c r="P154" s="263"/>
      <c r="Q154" s="263"/>
      <c r="R154" s="264"/>
      <c r="S154" s="244"/>
      <c r="T154" s="265"/>
      <c r="U154" s="263"/>
      <c r="V154" s="266"/>
      <c r="W154" s="267"/>
      <c r="X154" s="260"/>
      <c r="Y154" s="265"/>
      <c r="Z154" s="266"/>
      <c r="AA154" s="263"/>
      <c r="AB154" s="264"/>
      <c r="AC154" s="244"/>
      <c r="AD154" s="262"/>
      <c r="AE154" s="266"/>
      <c r="AF154" s="263"/>
      <c r="AG154" s="264"/>
      <c r="AH154" s="244"/>
      <c r="AI154" s="262"/>
      <c r="AJ154" s="263"/>
      <c r="AK154" s="263"/>
      <c r="AL154" s="264"/>
      <c r="AM154" s="244"/>
      <c r="AN154" s="262"/>
      <c r="AO154" s="263"/>
      <c r="AP154" s="263"/>
      <c r="AQ154" s="264"/>
      <c r="AR154" s="244"/>
      <c r="AS154" s="262"/>
      <c r="AT154" s="263"/>
      <c r="AU154" s="263"/>
      <c r="AV154" s="264"/>
      <c r="AW154" s="244"/>
      <c r="AX154" s="262"/>
      <c r="AY154" s="263"/>
      <c r="AZ154" s="263"/>
      <c r="BA154" s="264"/>
      <c r="BB154" s="244"/>
      <c r="BC154" s="262"/>
      <c r="BD154" s="263"/>
      <c r="BE154" s="263"/>
      <c r="BF154" s="264"/>
      <c r="BG154" s="244"/>
      <c r="BH154" s="262"/>
      <c r="BI154" s="263"/>
      <c r="BJ154" s="263"/>
      <c r="BK154" s="264"/>
      <c r="BL154" s="244"/>
      <c r="BM154" s="262"/>
      <c r="BN154" s="263"/>
      <c r="BO154" s="263"/>
      <c r="BP154" s="264"/>
      <c r="BQ154" s="244"/>
      <c r="BR154" s="244"/>
      <c r="BS154" s="244"/>
      <c r="BT154" s="233"/>
      <c r="BU154" s="233"/>
      <c r="BV154" s="233"/>
      <c r="BW154" s="233"/>
      <c r="BX154" s="233"/>
      <c r="BY154" s="233"/>
      <c r="BZ154" s="233"/>
      <c r="CA154" s="233"/>
      <c r="CB154" s="233"/>
      <c r="CC154" s="233"/>
      <c r="CD154" s="233"/>
      <c r="CE154" s="233"/>
    </row>
    <row r="155" spans="1:89">
      <c r="A155" s="311"/>
      <c r="B155" s="311"/>
      <c r="C155" s="1264" t="s">
        <v>470</v>
      </c>
      <c r="D155" s="311"/>
      <c r="E155" s="190">
        <v>1802.9580000000001</v>
      </c>
      <c r="F155" s="190">
        <v>1280.9069999999999</v>
      </c>
      <c r="G155" s="190">
        <v>1130.78</v>
      </c>
      <c r="H155" s="191">
        <v>1709.5509999999999</v>
      </c>
      <c r="I155" s="379">
        <f>H155</f>
        <v>1709.5509999999999</v>
      </c>
      <c r="J155" s="393">
        <v>1657.0340000000001</v>
      </c>
      <c r="K155" s="190">
        <v>1335.5239999999999</v>
      </c>
      <c r="L155" s="190">
        <v>1930.9190000000001</v>
      </c>
      <c r="M155" s="191">
        <v>1294.472</v>
      </c>
      <c r="N155" s="244">
        <f>M155</f>
        <v>1294.472</v>
      </c>
      <c r="O155" s="393">
        <v>726.23699999999997</v>
      </c>
      <c r="P155" s="190">
        <v>529.85799999999995</v>
      </c>
      <c r="Q155" s="190">
        <v>987.14</v>
      </c>
      <c r="R155" s="191">
        <f>81.468+612.97</f>
        <v>694.43799999999999</v>
      </c>
      <c r="S155" s="244">
        <f>R155</f>
        <v>694.43799999999999</v>
      </c>
      <c r="T155" s="393">
        <v>685.00199999999995</v>
      </c>
      <c r="U155" s="190">
        <v>283.39299999999997</v>
      </c>
      <c r="V155" s="190">
        <v>749.71900000000005</v>
      </c>
      <c r="W155" s="191">
        <v>532.56899999999996</v>
      </c>
      <c r="X155" s="244">
        <f>W155</f>
        <v>532.56899999999996</v>
      </c>
      <c r="Y155" s="393">
        <v>262.93099999999998</v>
      </c>
      <c r="Z155" s="190">
        <v>311.37200000000001</v>
      </c>
      <c r="AA155" s="190">
        <v>365.33199999999999</v>
      </c>
      <c r="AB155" s="191">
        <v>739.12599999999998</v>
      </c>
      <c r="AC155" s="244">
        <f>AB155</f>
        <v>739.12599999999998</v>
      </c>
      <c r="AD155" s="393">
        <v>908.48299999999995</v>
      </c>
      <c r="AE155" s="190">
        <v>650.06799999999998</v>
      </c>
      <c r="AF155" s="190">
        <v>1068.509</v>
      </c>
      <c r="AG155" s="191">
        <v>1422.0260000000001</v>
      </c>
      <c r="AH155" s="244">
        <f>AG155</f>
        <v>1422.0260000000001</v>
      </c>
      <c r="AI155" s="393">
        <v>1180.546</v>
      </c>
      <c r="AJ155" s="190">
        <v>910.37</v>
      </c>
      <c r="AK155" s="190">
        <v>1040.598</v>
      </c>
      <c r="AL155" s="191">
        <v>1350.961</v>
      </c>
      <c r="AM155" s="244">
        <f>AL155</f>
        <v>1350.961</v>
      </c>
      <c r="AN155" s="393">
        <v>1091.6510000000001</v>
      </c>
      <c r="AO155" s="190">
        <v>996.09900000000005</v>
      </c>
      <c r="AP155" s="190">
        <v>1307.434</v>
      </c>
      <c r="AQ155" s="191">
        <v>1187.8440000000001</v>
      </c>
      <c r="AR155" s="244">
        <f>AQ155</f>
        <v>1187.8440000000001</v>
      </c>
      <c r="AS155" s="393">
        <v>1083.0619999999999</v>
      </c>
      <c r="AT155" s="190">
        <v>934.495</v>
      </c>
      <c r="AU155" s="190">
        <v>546.29100000000005</v>
      </c>
      <c r="AV155" s="191">
        <v>781.27300000000002</v>
      </c>
      <c r="AW155" s="244">
        <f>AV155</f>
        <v>781.27300000000002</v>
      </c>
      <c r="AX155" s="249">
        <f>+AX151</f>
        <v>0</v>
      </c>
      <c r="AY155" s="250">
        <f>+AY151</f>
        <v>1399.867802031026</v>
      </c>
      <c r="AZ155" s="250">
        <f>+AZ151</f>
        <v>766.297299946875</v>
      </c>
      <c r="BA155" s="251">
        <f>+BA151</f>
        <v>64.202009760760575</v>
      </c>
      <c r="BB155" s="244">
        <f>BA155</f>
        <v>64.202009760760575</v>
      </c>
      <c r="BC155" s="249">
        <f>+BC151</f>
        <v>0</v>
      </c>
      <c r="BD155" s="250">
        <f>+BD151</f>
        <v>0</v>
      </c>
      <c r="BE155" s="250">
        <f>+BE151</f>
        <v>791.33867883199446</v>
      </c>
      <c r="BF155" s="251">
        <f>+BF151</f>
        <v>258.86696259692337</v>
      </c>
      <c r="BG155" s="244">
        <f>BF155</f>
        <v>258.86696259692337</v>
      </c>
      <c r="BH155" s="249">
        <f>+BH151</f>
        <v>0</v>
      </c>
      <c r="BI155" s="250">
        <f>+BI151</f>
        <v>0</v>
      </c>
      <c r="BJ155" s="250">
        <f>+BJ151</f>
        <v>1277.4562289569403</v>
      </c>
      <c r="BK155" s="251">
        <f>+BK151</f>
        <v>565.07478466258124</v>
      </c>
      <c r="BL155" s="244">
        <f>BK155</f>
        <v>565.07478466258124</v>
      </c>
      <c r="BM155" s="249">
        <f>+BM151</f>
        <v>0</v>
      </c>
      <c r="BN155" s="250">
        <f>+BN151</f>
        <v>0</v>
      </c>
      <c r="BO155" s="250">
        <f>+BO151</f>
        <v>818.55696886320584</v>
      </c>
      <c r="BP155" s="251">
        <f>+BP151</f>
        <v>330.9646983189175</v>
      </c>
      <c r="BQ155" s="244">
        <f>BP155</f>
        <v>330.9646983189175</v>
      </c>
      <c r="BR155" s="244"/>
      <c r="BS155" s="244"/>
      <c r="BT155" s="311"/>
      <c r="BU155" s="311"/>
      <c r="BV155" s="311"/>
      <c r="BW155" s="311"/>
      <c r="BX155" s="311"/>
      <c r="BY155" s="311"/>
      <c r="BZ155" s="311"/>
      <c r="CA155" s="311"/>
      <c r="CB155" s="311"/>
      <c r="CC155" s="311"/>
      <c r="CD155" s="311"/>
      <c r="CE155" s="311"/>
    </row>
    <row r="156" spans="1:89">
      <c r="A156" s="311"/>
      <c r="B156" s="311"/>
      <c r="C156" s="1264" t="s">
        <v>366</v>
      </c>
      <c r="D156" s="311"/>
      <c r="E156" s="190">
        <v>994.98500000000001</v>
      </c>
      <c r="F156" s="190">
        <v>1095.384</v>
      </c>
      <c r="G156" s="190">
        <v>1082.415</v>
      </c>
      <c r="H156" s="191">
        <v>980.827</v>
      </c>
      <c r="I156" s="379">
        <f>H156</f>
        <v>980.827</v>
      </c>
      <c r="J156" s="393">
        <v>936.99800000000005</v>
      </c>
      <c r="K156" s="190">
        <v>1166.155</v>
      </c>
      <c r="L156" s="190">
        <v>1217.2049999999999</v>
      </c>
      <c r="M156" s="191">
        <v>1035.5820000000001</v>
      </c>
      <c r="N156" s="244">
        <f>M156</f>
        <v>1035.5820000000001</v>
      </c>
      <c r="O156" s="393">
        <v>932.13699999999994</v>
      </c>
      <c r="P156" s="190">
        <v>1203.1020000000001</v>
      </c>
      <c r="Q156" s="190">
        <v>1248.373</v>
      </c>
      <c r="R156" s="191">
        <v>1001.8680000000001</v>
      </c>
      <c r="S156" s="244">
        <f>R156</f>
        <v>1001.8680000000001</v>
      </c>
      <c r="T156" s="393">
        <v>829.06299999999999</v>
      </c>
      <c r="U156" s="190">
        <v>1037.45</v>
      </c>
      <c r="V156" s="190">
        <v>1147.28</v>
      </c>
      <c r="W156" s="191">
        <v>1001.715</v>
      </c>
      <c r="X156" s="244">
        <f>W156</f>
        <v>1001.715</v>
      </c>
      <c r="Y156" s="393">
        <v>1031.56</v>
      </c>
      <c r="Z156" s="190">
        <v>1222.433</v>
      </c>
      <c r="AA156" s="190">
        <v>1267.759</v>
      </c>
      <c r="AB156" s="191">
        <v>1172.1859999999999</v>
      </c>
      <c r="AC156" s="244">
        <f>AB156</f>
        <v>1172.1859999999999</v>
      </c>
      <c r="AD156" s="393">
        <v>1128.192</v>
      </c>
      <c r="AE156" s="190">
        <v>1232.9490000000001</v>
      </c>
      <c r="AF156" s="190">
        <v>1313.383</v>
      </c>
      <c r="AG156" s="191">
        <v>1103.2550000000001</v>
      </c>
      <c r="AH156" s="244">
        <f>AG156</f>
        <v>1103.2550000000001</v>
      </c>
      <c r="AI156" s="393">
        <v>1067.9069999999999</v>
      </c>
      <c r="AJ156" s="190">
        <v>1190.3630000000001</v>
      </c>
      <c r="AK156" s="190">
        <v>1333.1389999999999</v>
      </c>
      <c r="AL156" s="191">
        <v>1068.9000000000001</v>
      </c>
      <c r="AM156" s="244">
        <f>AL156</f>
        <v>1068.9000000000001</v>
      </c>
      <c r="AN156" s="393">
        <v>993.42399999999998</v>
      </c>
      <c r="AO156" s="190">
        <v>1169.97</v>
      </c>
      <c r="AP156" s="190">
        <v>1380.4570000000001</v>
      </c>
      <c r="AQ156" s="191">
        <v>1170.1669999999999</v>
      </c>
      <c r="AR156" s="244">
        <f>AQ156</f>
        <v>1170.1669999999999</v>
      </c>
      <c r="AS156" s="393">
        <v>973.14300000000003</v>
      </c>
      <c r="AT156" s="190">
        <v>1120.4359999999999</v>
      </c>
      <c r="AU156" s="190">
        <v>1313.3430000000001</v>
      </c>
      <c r="AV156" s="191">
        <v>1212.95</v>
      </c>
      <c r="AW156" s="244">
        <f>AV156</f>
        <v>1212.95</v>
      </c>
      <c r="AX156" s="249">
        <f t="shared" ref="AX156:BB158" si="311">+AW156</f>
        <v>1212.95</v>
      </c>
      <c r="AY156" s="250">
        <f t="shared" si="311"/>
        <v>1212.95</v>
      </c>
      <c r="AZ156" s="250">
        <f t="shared" si="311"/>
        <v>1212.95</v>
      </c>
      <c r="BA156" s="251">
        <f t="shared" si="311"/>
        <v>1212.95</v>
      </c>
      <c r="BB156" s="244">
        <f t="shared" si="311"/>
        <v>1212.95</v>
      </c>
      <c r="BC156" s="249">
        <f t="shared" ref="BC156:BC158" si="312">+BB156</f>
        <v>1212.95</v>
      </c>
      <c r="BD156" s="250">
        <f t="shared" ref="BD156:BD158" si="313">+BC156</f>
        <v>1212.95</v>
      </c>
      <c r="BE156" s="250">
        <f t="shared" ref="BE156:BE158" si="314">+BD156</f>
        <v>1212.95</v>
      </c>
      <c r="BF156" s="251">
        <f t="shared" ref="BF156:BF158" si="315">+BE156</f>
        <v>1212.95</v>
      </c>
      <c r="BG156" s="244">
        <f t="shared" ref="BG156:BG158" si="316">+BF156</f>
        <v>1212.95</v>
      </c>
      <c r="BH156" s="249">
        <f t="shared" ref="BH156:BH158" si="317">+BG156</f>
        <v>1212.95</v>
      </c>
      <c r="BI156" s="250">
        <f t="shared" ref="BI156:BI158" si="318">+BH156</f>
        <v>1212.95</v>
      </c>
      <c r="BJ156" s="250">
        <f t="shared" ref="BJ156:BJ158" si="319">+BI156</f>
        <v>1212.95</v>
      </c>
      <c r="BK156" s="251">
        <f t="shared" ref="BK156:BK158" si="320">+BJ156</f>
        <v>1212.95</v>
      </c>
      <c r="BL156" s="244">
        <f t="shared" ref="BL156:BL158" si="321">+BK156</f>
        <v>1212.95</v>
      </c>
      <c r="BM156" s="249">
        <f t="shared" ref="BM156:BM158" si="322">+BL156</f>
        <v>1212.95</v>
      </c>
      <c r="BN156" s="250">
        <f t="shared" ref="BN156:BN158" si="323">+BM156</f>
        <v>1212.95</v>
      </c>
      <c r="BO156" s="250">
        <f t="shared" ref="BO156:BO158" si="324">+BN156</f>
        <v>1212.95</v>
      </c>
      <c r="BP156" s="251">
        <f t="shared" ref="BP156:BP158" si="325">+BO156</f>
        <v>1212.95</v>
      </c>
      <c r="BQ156" s="244">
        <f t="shared" ref="BQ156:BQ158" si="326">+BP156</f>
        <v>1212.95</v>
      </c>
      <c r="BR156" s="244"/>
      <c r="BS156" s="244"/>
      <c r="BT156" s="311"/>
      <c r="BU156" s="311"/>
      <c r="BV156" s="311"/>
      <c r="BW156" s="311"/>
      <c r="BX156" s="311"/>
      <c r="BY156" s="311"/>
      <c r="BZ156" s="311"/>
      <c r="CA156" s="311"/>
      <c r="CB156" s="311"/>
      <c r="CC156" s="311"/>
      <c r="CD156" s="311"/>
      <c r="CE156" s="311"/>
    </row>
    <row r="157" spans="1:89">
      <c r="A157" s="311"/>
      <c r="B157" s="311"/>
      <c r="C157" s="1264" t="s">
        <v>367</v>
      </c>
      <c r="D157" s="311"/>
      <c r="E157" s="190">
        <v>1016.0549999999999</v>
      </c>
      <c r="F157" s="190">
        <f>220.108+799.18</f>
        <v>1019.288</v>
      </c>
      <c r="G157" s="190">
        <f>206.315+816.105</f>
        <v>1022.4200000000001</v>
      </c>
      <c r="H157" s="191">
        <f>825.702+196.855</f>
        <v>1022.557</v>
      </c>
      <c r="I157" s="379">
        <f>H157</f>
        <v>1022.557</v>
      </c>
      <c r="J157" s="393">
        <f>203.179+833.715</f>
        <v>1036.894</v>
      </c>
      <c r="K157" s="190">
        <f>191.852+846.344</f>
        <v>1038.1960000000001</v>
      </c>
      <c r="L157" s="190">
        <f>193.526+852.192</f>
        <v>1045.7180000000001</v>
      </c>
      <c r="M157" s="191">
        <f>207.52+866.908</f>
        <v>1074.4280000000001</v>
      </c>
      <c r="N157" s="244">
        <f>M157</f>
        <v>1074.4280000000001</v>
      </c>
      <c r="O157" s="393">
        <f>220.028+866.598</f>
        <v>1086.626</v>
      </c>
      <c r="P157" s="190">
        <f>212.982+869.341</f>
        <v>1082.3230000000001</v>
      </c>
      <c r="Q157" s="190">
        <f>194.848+880.619</f>
        <v>1075.4670000000001</v>
      </c>
      <c r="R157" s="191">
        <f>202.132+894.756</f>
        <v>1096.8879999999999</v>
      </c>
      <c r="S157" s="244">
        <f>R157</f>
        <v>1096.8879999999999</v>
      </c>
      <c r="T157" s="393">
        <f>222.345+896.633</f>
        <v>1118.9780000000001</v>
      </c>
      <c r="U157" s="190">
        <f>221.354+912.884</f>
        <v>1134.2380000000001</v>
      </c>
      <c r="V157" s="190">
        <f>211.195+925.201</f>
        <v>1136.396</v>
      </c>
      <c r="W157" s="191">
        <f>213.831+928.53</f>
        <v>1142.3609999999999</v>
      </c>
      <c r="X157" s="244">
        <f>W157</f>
        <v>1142.3609999999999</v>
      </c>
      <c r="Y157" s="393">
        <f>218.978+928.103</f>
        <v>1147.0809999999999</v>
      </c>
      <c r="Z157" s="190">
        <f>207.64+935.229</f>
        <v>1142.8690000000001</v>
      </c>
      <c r="AA157" s="190">
        <f>197.409+906.119</f>
        <v>1103.528</v>
      </c>
      <c r="AB157" s="191">
        <f>208.958+915.006</f>
        <v>1123.9639999999999</v>
      </c>
      <c r="AC157" s="244">
        <f>AB157</f>
        <v>1123.9639999999999</v>
      </c>
      <c r="AD157" s="393">
        <f>193.018+926.256</f>
        <v>1119.2739999999999</v>
      </c>
      <c r="AE157" s="190">
        <f>932.982+176.833</f>
        <v>1109.8150000000001</v>
      </c>
      <c r="AF157" s="190">
        <f>179.095+929.934</f>
        <v>1109.029</v>
      </c>
      <c r="AG157" s="191">
        <f>205.434+918.584</f>
        <v>1124.018</v>
      </c>
      <c r="AH157" s="244">
        <f>AG157</f>
        <v>1124.018</v>
      </c>
      <c r="AI157" s="393">
        <f>227.986+929.843</f>
        <v>1157.829</v>
      </c>
      <c r="AJ157" s="190">
        <f>209.182+941.422</f>
        <v>1150.604</v>
      </c>
      <c r="AK157" s="190">
        <f>213.012+881.508</f>
        <v>1094.52</v>
      </c>
      <c r="AL157" s="191">
        <f>217.81+873.357</f>
        <v>1091.1669999999999</v>
      </c>
      <c r="AM157" s="244">
        <f>AL157</f>
        <v>1091.1669999999999</v>
      </c>
      <c r="AN157" s="393">
        <f>226.898+873.679</f>
        <v>1100.577</v>
      </c>
      <c r="AO157" s="190">
        <f>208.224+903.973</f>
        <v>1112.1969999999999</v>
      </c>
      <c r="AP157" s="190">
        <f>188.91+918.269</f>
        <v>1107.1790000000001</v>
      </c>
      <c r="AQ157" s="191">
        <f>179.6+698.523</f>
        <v>878.12300000000005</v>
      </c>
      <c r="AR157" s="244">
        <f>AQ157</f>
        <v>878.12300000000005</v>
      </c>
      <c r="AS157" s="393">
        <f>173.135+681.267</f>
        <v>854.40200000000004</v>
      </c>
      <c r="AT157" s="190">
        <f>173.387+695.69</f>
        <v>869.077</v>
      </c>
      <c r="AU157" s="190">
        <f>158.854+719.782</f>
        <v>878.63600000000008</v>
      </c>
      <c r="AV157" s="191">
        <f>182.643+723.222</f>
        <v>905.86500000000001</v>
      </c>
      <c r="AW157" s="244">
        <f>AV157</f>
        <v>905.86500000000001</v>
      </c>
      <c r="AX157" s="249">
        <f t="shared" si="311"/>
        <v>905.86500000000001</v>
      </c>
      <c r="AY157" s="250">
        <f t="shared" si="311"/>
        <v>905.86500000000001</v>
      </c>
      <c r="AZ157" s="250">
        <f t="shared" si="311"/>
        <v>905.86500000000001</v>
      </c>
      <c r="BA157" s="251">
        <f t="shared" si="311"/>
        <v>905.86500000000001</v>
      </c>
      <c r="BB157" s="244">
        <f t="shared" si="311"/>
        <v>905.86500000000001</v>
      </c>
      <c r="BC157" s="249">
        <f t="shared" si="312"/>
        <v>905.86500000000001</v>
      </c>
      <c r="BD157" s="250">
        <f t="shared" si="313"/>
        <v>905.86500000000001</v>
      </c>
      <c r="BE157" s="250">
        <f t="shared" si="314"/>
        <v>905.86500000000001</v>
      </c>
      <c r="BF157" s="251">
        <f t="shared" si="315"/>
        <v>905.86500000000001</v>
      </c>
      <c r="BG157" s="244">
        <f t="shared" si="316"/>
        <v>905.86500000000001</v>
      </c>
      <c r="BH157" s="249">
        <f t="shared" si="317"/>
        <v>905.86500000000001</v>
      </c>
      <c r="BI157" s="250">
        <f t="shared" si="318"/>
        <v>905.86500000000001</v>
      </c>
      <c r="BJ157" s="250">
        <f t="shared" si="319"/>
        <v>905.86500000000001</v>
      </c>
      <c r="BK157" s="251">
        <f t="shared" si="320"/>
        <v>905.86500000000001</v>
      </c>
      <c r="BL157" s="244">
        <f t="shared" si="321"/>
        <v>905.86500000000001</v>
      </c>
      <c r="BM157" s="249">
        <f t="shared" si="322"/>
        <v>905.86500000000001</v>
      </c>
      <c r="BN157" s="250">
        <f t="shared" si="323"/>
        <v>905.86500000000001</v>
      </c>
      <c r="BO157" s="250">
        <f t="shared" si="324"/>
        <v>905.86500000000001</v>
      </c>
      <c r="BP157" s="251">
        <f t="shared" si="325"/>
        <v>905.86500000000001</v>
      </c>
      <c r="BQ157" s="244">
        <f t="shared" si="326"/>
        <v>905.86500000000001</v>
      </c>
      <c r="BR157" s="244"/>
      <c r="BS157" s="244"/>
      <c r="BT157" s="311"/>
      <c r="BU157" s="311"/>
      <c r="BV157" s="311"/>
      <c r="BW157" s="311"/>
      <c r="BX157" s="311"/>
      <c r="BY157" s="311"/>
      <c r="BZ157" s="311"/>
      <c r="CA157" s="311"/>
      <c r="CB157" s="311"/>
      <c r="CC157" s="311"/>
      <c r="CD157" s="311"/>
      <c r="CE157" s="311"/>
    </row>
    <row r="158" spans="1:89">
      <c r="A158" s="311"/>
      <c r="B158" s="311"/>
      <c r="C158" s="1264" t="s">
        <v>644</v>
      </c>
      <c r="D158" s="311"/>
      <c r="E158" s="190">
        <f>E159-SUM(E155:E157)</f>
        <v>1051.3679999999999</v>
      </c>
      <c r="F158" s="190">
        <f>24.736+69.139+245.336+334.286+351.89+9.1</f>
        <v>1034.4870000000001</v>
      </c>
      <c r="G158" s="190">
        <f>20.421+58.971+226.336+167.225+258.235</f>
        <v>731.18799999999999</v>
      </c>
      <c r="H158" s="191">
        <f>126.798+225.29+70+184.819+201.221+13.098</f>
        <v>821.22599999999989</v>
      </c>
      <c r="I158" s="379">
        <f>H158</f>
        <v>821.22599999999989</v>
      </c>
      <c r="J158" s="393">
        <f>35.037+24.678+24.155+214.155+70+733.669</f>
        <v>1101.694</v>
      </c>
      <c r="K158" s="190">
        <f>19.155+25.403+251.237+23.424+467.802+35.626</f>
        <v>822.64699999999993</v>
      </c>
      <c r="L158" s="190">
        <f>36.28+66.071+4.508+220.496+25.976+505.119</f>
        <v>858.45</v>
      </c>
      <c r="M158" s="191">
        <f>43.044+64.659+372.886+218.423+77.96+301.807+246.036</f>
        <v>1324.8150000000001</v>
      </c>
      <c r="N158" s="244">
        <f>M158</f>
        <v>1324.8150000000001</v>
      </c>
      <c r="O158" s="393">
        <f>52.15+9.301+263.301+52.16+365.725+253.265+36.684</f>
        <v>1032.586</v>
      </c>
      <c r="P158" s="190">
        <f>33.938+111.444+6.975+287.282+66.351+304.617+237.252</f>
        <v>1047.8589999999999</v>
      </c>
      <c r="Q158" s="190">
        <f>43.487+87.279+5.292+232.852+33.174+56.565+227.851</f>
        <v>686.5</v>
      </c>
      <c r="R158" s="191">
        <f>209.776+9.856+231.031+24.37+291.742+50.304</f>
        <v>817.07900000000006</v>
      </c>
      <c r="S158" s="244">
        <f>R158</f>
        <v>817.07900000000006</v>
      </c>
      <c r="T158" s="393">
        <f>49.364+69.924+4.65+230.514+36.8+452.042</f>
        <v>843.29399999999998</v>
      </c>
      <c r="U158" s="190">
        <f>37.428+67.716+4.337+235.822+35.38+367.736</f>
        <v>748.41899999999998</v>
      </c>
      <c r="V158" s="190">
        <f>92.763+4.533+235.344+17.689+371.686+52.34</f>
        <v>774.35500000000002</v>
      </c>
      <c r="W158" s="191">
        <f>150.363+306.902+243.374+16.88+242.922+46.04</f>
        <v>1006.481</v>
      </c>
      <c r="X158" s="244">
        <f>W158</f>
        <v>1006.481</v>
      </c>
      <c r="Y158" s="393">
        <f>83.758+192.816+318.024+16.88+225.385+44.438</f>
        <v>881.30099999999993</v>
      </c>
      <c r="Z158" s="190">
        <f>158.461+112.613+329.165+14.6+263.287+36.922</f>
        <v>915.048</v>
      </c>
      <c r="AA158" s="190">
        <f>119.338+84.059+245.992+6.256+247.585+49.741</f>
        <v>752.971</v>
      </c>
      <c r="AB158" s="191">
        <f>116.379+175.073+192.474+61.04+303.564+45.885</f>
        <v>894.41499999999996</v>
      </c>
      <c r="AC158" s="244">
        <f>AB158</f>
        <v>894.41499999999996</v>
      </c>
      <c r="AD158" s="393">
        <f>241.372+64.889+306.355+424.751</f>
        <v>1037.367</v>
      </c>
      <c r="AE158" s="190">
        <f>311.018+33.241+307.287+600.755</f>
        <v>1252.3009999999999</v>
      </c>
      <c r="AF158" s="190">
        <f>205.553+14.159+272.11+281.796</f>
        <v>773.61799999999994</v>
      </c>
      <c r="AG158" s="191">
        <f>155.14+27.783+214.188+343.223</f>
        <v>740.33400000000006</v>
      </c>
      <c r="AH158" s="244">
        <f>AG158</f>
        <v>740.33400000000006</v>
      </c>
      <c r="AI158" s="393">
        <f>127.742+22.953+278.9+304.108</f>
        <v>733.70299999999997</v>
      </c>
      <c r="AJ158" s="190">
        <f>15.58+273.06+446.877+98.196</f>
        <v>833.71300000000008</v>
      </c>
      <c r="AK158" s="190">
        <f>2.951+191.594+400.113+54.431</f>
        <v>649.08900000000006</v>
      </c>
      <c r="AL158" s="191">
        <f>211.512+344.872</f>
        <v>556.38400000000001</v>
      </c>
      <c r="AM158" s="244">
        <f>AL158</f>
        <v>556.38400000000001</v>
      </c>
      <c r="AN158" s="393">
        <f>28.296+245.623+541.624</f>
        <v>815.54300000000001</v>
      </c>
      <c r="AO158" s="190">
        <f>31.895+248.932+292.835</f>
        <v>573.66200000000003</v>
      </c>
      <c r="AP158" s="190">
        <f>217.487+285.792+41.686</f>
        <v>544.96500000000003</v>
      </c>
      <c r="AQ158" s="191">
        <f>108.465+146.221+193.448</f>
        <v>448.13400000000001</v>
      </c>
      <c r="AR158" s="244">
        <f>AQ158</f>
        <v>448.13400000000001</v>
      </c>
      <c r="AS158" s="393">
        <f>117.971+160.55+208.363</f>
        <v>486.88400000000001</v>
      </c>
      <c r="AT158" s="190">
        <f>194.245+228.3+252.791</f>
        <v>675.33600000000001</v>
      </c>
      <c r="AU158" s="190">
        <f>185.066+181.571+366.324</f>
        <v>732.96100000000001</v>
      </c>
      <c r="AV158" s="191">
        <f>95.746+133.164+156.333</f>
        <v>385.24299999999994</v>
      </c>
      <c r="AW158" s="244">
        <f>AV158</f>
        <v>385.24299999999994</v>
      </c>
      <c r="AX158" s="249">
        <f t="shared" si="311"/>
        <v>385.24299999999994</v>
      </c>
      <c r="AY158" s="250">
        <f t="shared" si="311"/>
        <v>385.24299999999994</v>
      </c>
      <c r="AZ158" s="250">
        <f t="shared" si="311"/>
        <v>385.24299999999994</v>
      </c>
      <c r="BA158" s="251">
        <f t="shared" si="311"/>
        <v>385.24299999999994</v>
      </c>
      <c r="BB158" s="244">
        <f t="shared" si="311"/>
        <v>385.24299999999994</v>
      </c>
      <c r="BC158" s="249">
        <f t="shared" si="312"/>
        <v>385.24299999999994</v>
      </c>
      <c r="BD158" s="250">
        <f t="shared" si="313"/>
        <v>385.24299999999994</v>
      </c>
      <c r="BE158" s="250">
        <f t="shared" si="314"/>
        <v>385.24299999999994</v>
      </c>
      <c r="BF158" s="251">
        <f t="shared" si="315"/>
        <v>385.24299999999994</v>
      </c>
      <c r="BG158" s="244">
        <f t="shared" si="316"/>
        <v>385.24299999999994</v>
      </c>
      <c r="BH158" s="249">
        <f t="shared" si="317"/>
        <v>385.24299999999994</v>
      </c>
      <c r="BI158" s="250">
        <f t="shared" si="318"/>
        <v>385.24299999999994</v>
      </c>
      <c r="BJ158" s="250">
        <f t="shared" si="319"/>
        <v>385.24299999999994</v>
      </c>
      <c r="BK158" s="251">
        <f t="shared" si="320"/>
        <v>385.24299999999994</v>
      </c>
      <c r="BL158" s="244">
        <f t="shared" si="321"/>
        <v>385.24299999999994</v>
      </c>
      <c r="BM158" s="249">
        <f t="shared" si="322"/>
        <v>385.24299999999994</v>
      </c>
      <c r="BN158" s="250">
        <f t="shared" si="323"/>
        <v>385.24299999999994</v>
      </c>
      <c r="BO158" s="250">
        <f t="shared" si="324"/>
        <v>385.24299999999994</v>
      </c>
      <c r="BP158" s="251">
        <f t="shared" si="325"/>
        <v>385.24299999999994</v>
      </c>
      <c r="BQ158" s="244">
        <f t="shared" si="326"/>
        <v>385.24299999999994</v>
      </c>
      <c r="BR158" s="244"/>
      <c r="BS158" s="244"/>
      <c r="BT158" s="311"/>
      <c r="BU158" s="311"/>
      <c r="BV158" s="311"/>
      <c r="BW158" s="311"/>
      <c r="BX158" s="311"/>
      <c r="BY158" s="311"/>
      <c r="BZ158" s="311"/>
      <c r="CA158" s="311"/>
      <c r="CB158" s="311"/>
      <c r="CC158" s="311"/>
      <c r="CD158" s="311"/>
      <c r="CE158" s="311"/>
    </row>
    <row r="159" spans="1:89">
      <c r="A159" s="311"/>
      <c r="B159" s="311"/>
      <c r="C159" s="1175" t="s">
        <v>368</v>
      </c>
      <c r="D159" s="311"/>
      <c r="E159" s="246">
        <v>4865.366</v>
      </c>
      <c r="F159" s="246">
        <f t="shared" ref="F159:P159" si="327">SUM(F155:F158)</f>
        <v>4430.0660000000007</v>
      </c>
      <c r="G159" s="246">
        <f t="shared" si="327"/>
        <v>3966.8029999999999</v>
      </c>
      <c r="H159" s="247">
        <f t="shared" si="327"/>
        <v>4534.1609999999991</v>
      </c>
      <c r="I159" s="380">
        <f t="shared" si="327"/>
        <v>4534.1609999999991</v>
      </c>
      <c r="J159" s="248">
        <f t="shared" si="327"/>
        <v>4732.6200000000008</v>
      </c>
      <c r="K159" s="246">
        <f t="shared" si="327"/>
        <v>4362.5219999999999</v>
      </c>
      <c r="L159" s="246">
        <f t="shared" si="327"/>
        <v>5052.2919999999995</v>
      </c>
      <c r="M159" s="247">
        <f t="shared" si="327"/>
        <v>4729.2970000000005</v>
      </c>
      <c r="N159" s="245">
        <f t="shared" si="327"/>
        <v>4729.2970000000005</v>
      </c>
      <c r="O159" s="248">
        <f t="shared" si="327"/>
        <v>3777.5860000000002</v>
      </c>
      <c r="P159" s="246">
        <f t="shared" si="327"/>
        <v>3863.1420000000003</v>
      </c>
      <c r="Q159" s="246">
        <f t="shared" ref="Q159:AE159" si="328">SUM(Q155:Q158)</f>
        <v>3997.48</v>
      </c>
      <c r="R159" s="247">
        <f t="shared" si="328"/>
        <v>3610.2730000000001</v>
      </c>
      <c r="S159" s="245">
        <f t="shared" si="328"/>
        <v>3610.2730000000001</v>
      </c>
      <c r="T159" s="248">
        <f t="shared" si="328"/>
        <v>3476.337</v>
      </c>
      <c r="U159" s="246">
        <f t="shared" si="328"/>
        <v>3203.5</v>
      </c>
      <c r="V159" s="246">
        <f t="shared" si="328"/>
        <v>3807.75</v>
      </c>
      <c r="W159" s="247">
        <f t="shared" si="328"/>
        <v>3683.1260000000002</v>
      </c>
      <c r="X159" s="245">
        <f t="shared" si="328"/>
        <v>3683.1260000000002</v>
      </c>
      <c r="Y159" s="248">
        <f t="shared" si="328"/>
        <v>3322.873</v>
      </c>
      <c r="Z159" s="246">
        <f t="shared" si="328"/>
        <v>3591.7219999999998</v>
      </c>
      <c r="AA159" s="246">
        <f t="shared" si="328"/>
        <v>3489.5899999999997</v>
      </c>
      <c r="AB159" s="247">
        <f t="shared" si="328"/>
        <v>3929.6909999999998</v>
      </c>
      <c r="AC159" s="245">
        <f t="shared" si="328"/>
        <v>3929.6909999999998</v>
      </c>
      <c r="AD159" s="248">
        <f t="shared" si="328"/>
        <v>4193.3159999999998</v>
      </c>
      <c r="AE159" s="246">
        <f t="shared" si="328"/>
        <v>4245.1329999999998</v>
      </c>
      <c r="AF159" s="246">
        <f t="shared" ref="AF159:AH159" si="329">SUM(AF155:AF158)</f>
        <v>4264.5389999999998</v>
      </c>
      <c r="AG159" s="247">
        <f t="shared" si="329"/>
        <v>4389.6329999999998</v>
      </c>
      <c r="AH159" s="245">
        <f t="shared" si="329"/>
        <v>4389.6329999999998</v>
      </c>
      <c r="AI159" s="248">
        <f t="shared" ref="AI159:AM159" si="330">SUM(AI155:AI158)</f>
        <v>4139.9850000000006</v>
      </c>
      <c r="AJ159" s="246">
        <f t="shared" si="330"/>
        <v>4085.0500000000006</v>
      </c>
      <c r="AK159" s="246">
        <f t="shared" si="330"/>
        <v>4117.3460000000005</v>
      </c>
      <c r="AL159" s="247">
        <f t="shared" si="330"/>
        <v>4067.4119999999998</v>
      </c>
      <c r="AM159" s="245">
        <f t="shared" si="330"/>
        <v>4067.4119999999998</v>
      </c>
      <c r="AN159" s="248">
        <f>SUM(AN155:AN158)</f>
        <v>4001.1950000000002</v>
      </c>
      <c r="AO159" s="246">
        <f t="shared" ref="AO159" si="331">SUM(AO155:AO158)</f>
        <v>3851.9279999999999</v>
      </c>
      <c r="AP159" s="246">
        <f t="shared" ref="AP159:AR159" si="332">SUM(AP155:AP158)</f>
        <v>4340.0349999999999</v>
      </c>
      <c r="AQ159" s="247">
        <f t="shared" si="332"/>
        <v>3684.268</v>
      </c>
      <c r="AR159" s="245">
        <f t="shared" si="332"/>
        <v>3684.268</v>
      </c>
      <c r="AS159" s="248">
        <f t="shared" ref="AS159" si="333">SUM(AS155:AS158)</f>
        <v>3397.491</v>
      </c>
      <c r="AT159" s="246">
        <f t="shared" ref="AT159:BB159" si="334">SUM(AT155:AT158)</f>
        <v>3599.3440000000001</v>
      </c>
      <c r="AU159" s="246">
        <f t="shared" si="334"/>
        <v>3471.2309999999998</v>
      </c>
      <c r="AV159" s="247">
        <f t="shared" si="334"/>
        <v>3285.3309999999997</v>
      </c>
      <c r="AW159" s="245">
        <f t="shared" si="334"/>
        <v>3285.3309999999997</v>
      </c>
      <c r="AX159" s="248">
        <f t="shared" si="334"/>
        <v>2504.058</v>
      </c>
      <c r="AY159" s="246">
        <f t="shared" si="334"/>
        <v>3903.9258020310258</v>
      </c>
      <c r="AZ159" s="246">
        <f t="shared" si="334"/>
        <v>3270.3552999468752</v>
      </c>
      <c r="BA159" s="247">
        <f t="shared" si="334"/>
        <v>2568.2600097607606</v>
      </c>
      <c r="BB159" s="245">
        <f t="shared" si="334"/>
        <v>2568.2600097607606</v>
      </c>
      <c r="BC159" s="248">
        <f t="shared" ref="BC159:BL159" si="335">SUM(BC155:BC158)</f>
        <v>2504.058</v>
      </c>
      <c r="BD159" s="246">
        <f t="shared" si="335"/>
        <v>2504.058</v>
      </c>
      <c r="BE159" s="246">
        <f t="shared" si="335"/>
        <v>3295.3966788319944</v>
      </c>
      <c r="BF159" s="247">
        <f t="shared" si="335"/>
        <v>2762.9249625969237</v>
      </c>
      <c r="BG159" s="245">
        <f t="shared" si="335"/>
        <v>2762.9249625969237</v>
      </c>
      <c r="BH159" s="248">
        <f t="shared" si="335"/>
        <v>2504.058</v>
      </c>
      <c r="BI159" s="246">
        <f t="shared" si="335"/>
        <v>2504.058</v>
      </c>
      <c r="BJ159" s="246">
        <f t="shared" si="335"/>
        <v>3781.5142289569399</v>
      </c>
      <c r="BK159" s="247">
        <f t="shared" si="335"/>
        <v>3069.1327846625813</v>
      </c>
      <c r="BL159" s="245">
        <f t="shared" si="335"/>
        <v>3069.1327846625813</v>
      </c>
      <c r="BM159" s="248">
        <f t="shared" ref="BM159:BQ159" si="336">SUM(BM155:BM158)</f>
        <v>2504.058</v>
      </c>
      <c r="BN159" s="246">
        <f t="shared" si="336"/>
        <v>2504.058</v>
      </c>
      <c r="BO159" s="246">
        <f t="shared" si="336"/>
        <v>3322.6149688632058</v>
      </c>
      <c r="BP159" s="247">
        <f t="shared" si="336"/>
        <v>2835.0226983189173</v>
      </c>
      <c r="BQ159" s="245">
        <f t="shared" si="336"/>
        <v>2835.0226983189173</v>
      </c>
      <c r="BR159" s="244"/>
      <c r="BS159" s="244"/>
      <c r="BT159" s="311"/>
      <c r="BU159" s="311"/>
      <c r="BV159" s="311"/>
      <c r="BW159" s="311"/>
      <c r="BX159" s="311"/>
      <c r="BY159" s="311"/>
      <c r="BZ159" s="311"/>
      <c r="CA159" s="311"/>
      <c r="CB159" s="311"/>
      <c r="CC159" s="311"/>
      <c r="CD159" s="311"/>
      <c r="CE159" s="311"/>
    </row>
    <row r="160" spans="1:89">
      <c r="A160" s="311"/>
      <c r="B160" s="311"/>
      <c r="C160" s="1264"/>
      <c r="D160" s="311"/>
      <c r="E160" s="250"/>
      <c r="F160" s="250"/>
      <c r="G160" s="250"/>
      <c r="H160" s="251"/>
      <c r="I160" s="379"/>
      <c r="J160" s="249"/>
      <c r="K160" s="250"/>
      <c r="L160" s="250"/>
      <c r="M160" s="251"/>
      <c r="N160" s="244"/>
      <c r="O160" s="249"/>
      <c r="P160" s="250"/>
      <c r="Q160" s="250"/>
      <c r="R160" s="251"/>
      <c r="S160" s="244"/>
      <c r="T160" s="249"/>
      <c r="U160" s="250"/>
      <c r="V160" s="250"/>
      <c r="W160" s="251"/>
      <c r="X160" s="244"/>
      <c r="Y160" s="249"/>
      <c r="Z160" s="250"/>
      <c r="AA160" s="250"/>
      <c r="AB160" s="251"/>
      <c r="AC160" s="244"/>
      <c r="AD160" s="249"/>
      <c r="AE160" s="250"/>
      <c r="AF160" s="250"/>
      <c r="AG160" s="251"/>
      <c r="AH160" s="244"/>
      <c r="AI160" s="249"/>
      <c r="AJ160" s="250"/>
      <c r="AK160" s="250"/>
      <c r="AL160" s="251"/>
      <c r="AM160" s="244"/>
      <c r="AN160" s="249"/>
      <c r="AO160" s="250"/>
      <c r="AP160" s="250"/>
      <c r="AQ160" s="251"/>
      <c r="AR160" s="244"/>
      <c r="AS160" s="249"/>
      <c r="AT160" s="250"/>
      <c r="AU160" s="250"/>
      <c r="AV160" s="251"/>
      <c r="AW160" s="244"/>
      <c r="AX160" s="249"/>
      <c r="AY160" s="250"/>
      <c r="AZ160" s="250"/>
      <c r="BA160" s="251"/>
      <c r="BB160" s="244"/>
      <c r="BC160" s="249"/>
      <c r="BD160" s="250"/>
      <c r="BE160" s="250"/>
      <c r="BF160" s="251"/>
      <c r="BG160" s="244"/>
      <c r="BH160" s="249"/>
      <c r="BI160" s="250"/>
      <c r="BJ160" s="250"/>
      <c r="BK160" s="251"/>
      <c r="BL160" s="244"/>
      <c r="BM160" s="249"/>
      <c r="BN160" s="250"/>
      <c r="BO160" s="250"/>
      <c r="BP160" s="251"/>
      <c r="BQ160" s="244"/>
      <c r="BR160" s="244"/>
      <c r="BS160" s="244"/>
      <c r="BT160" s="311"/>
      <c r="BU160" s="311"/>
      <c r="BV160" s="311"/>
      <c r="BW160" s="311"/>
      <c r="BX160" s="311"/>
      <c r="BY160" s="311"/>
      <c r="BZ160" s="311"/>
      <c r="CA160" s="311"/>
      <c r="CB160" s="311"/>
      <c r="CC160" s="311"/>
      <c r="CD160" s="311"/>
      <c r="CE160" s="311"/>
    </row>
    <row r="161" spans="1:83">
      <c r="A161" s="311"/>
      <c r="B161" s="311"/>
      <c r="C161" s="1264" t="s">
        <v>152</v>
      </c>
      <c r="D161" s="311"/>
      <c r="E161" s="190">
        <f>38884.842-1561.23</f>
        <v>37323.611999999994</v>
      </c>
      <c r="F161" s="190">
        <f>39244.449-1566.268</f>
        <v>37678.180999999997</v>
      </c>
      <c r="G161" s="190">
        <f>39563.805-1504.699</f>
        <v>38059.106</v>
      </c>
      <c r="H161" s="191">
        <f>40255.791-1547.319</f>
        <v>38708.471999999994</v>
      </c>
      <c r="I161" s="379">
        <f>H161</f>
        <v>38708.471999999994</v>
      </c>
      <c r="J161" s="393">
        <f>40515.183-1667.72</f>
        <v>38847.462999999996</v>
      </c>
      <c r="K161" s="190">
        <f>40687.355-1679.226</f>
        <v>39008.129000000001</v>
      </c>
      <c r="L161" s="190">
        <f>36893.624+793.241+321.094+1267.551</f>
        <v>39275.51</v>
      </c>
      <c r="M161" s="191">
        <f>41323.269-1661.56</f>
        <v>39661.709000000003</v>
      </c>
      <c r="N161" s="244">
        <f>M161</f>
        <v>39661.709000000003</v>
      </c>
      <c r="O161" s="393">
        <f>41877.838-1764.437</f>
        <v>40113.401000000005</v>
      </c>
      <c r="P161" s="190">
        <f>42558.004-1799.906</f>
        <v>40758.097999999998</v>
      </c>
      <c r="Q161" s="190">
        <f>42922.828-1403.982</f>
        <v>41518.846000000005</v>
      </c>
      <c r="R161" s="191">
        <f>43864.413-1779.723</f>
        <v>42084.69</v>
      </c>
      <c r="S161" s="244">
        <f>R161</f>
        <v>42084.69</v>
      </c>
      <c r="T161" s="393">
        <f>43979.671-2025.005</f>
        <v>41954.666000000005</v>
      </c>
      <c r="U161" s="190">
        <f>44559.443-1582.583</f>
        <v>42976.86</v>
      </c>
      <c r="V161" s="190">
        <f>45162.721-1965.524</f>
        <v>43197.197</v>
      </c>
      <c r="W161" s="191">
        <f>46197.387-1365.699</f>
        <v>44831.688000000002</v>
      </c>
      <c r="X161" s="244">
        <f>W161</f>
        <v>44831.688000000002</v>
      </c>
      <c r="Y161" s="393">
        <f>46377.3479999999-1413.897</f>
        <v>44963.450999999906</v>
      </c>
      <c r="Z161" s="190">
        <f>46916.55-1573.328</f>
        <v>45343.222000000002</v>
      </c>
      <c r="AA161" s="190">
        <f>47116.122-1599.127</f>
        <v>45516.995000000003</v>
      </c>
      <c r="AB161" s="191">
        <f>47325.137-1514.857</f>
        <v>45810.28</v>
      </c>
      <c r="AC161" s="244">
        <f>AB161</f>
        <v>45810.28</v>
      </c>
      <c r="AD161" s="393">
        <f>47699.483-1645.58</f>
        <v>46053.902999999998</v>
      </c>
      <c r="AE161" s="190">
        <f>48082.029-1668.324</f>
        <v>46413.705000000002</v>
      </c>
      <c r="AF161" s="190">
        <f>48560.138-1913.757</f>
        <v>46646.381000000001</v>
      </c>
      <c r="AG161" s="191">
        <f>49172.804-1425.981</f>
        <v>47746.822999999997</v>
      </c>
      <c r="AH161" s="244">
        <f>AG161</f>
        <v>47746.822999999997</v>
      </c>
      <c r="AI161" s="393">
        <f>49470.256-1387.574</f>
        <v>48082.682000000001</v>
      </c>
      <c r="AJ161" s="190">
        <f>49774.289-1349.863</f>
        <v>48424.425999999999</v>
      </c>
      <c r="AK161" s="190">
        <f>48862.124-1424.863</f>
        <v>47437.261000000006</v>
      </c>
      <c r="AL161" s="191">
        <f>48613.813-1456.735</f>
        <v>47157.078000000001</v>
      </c>
      <c r="AM161" s="244">
        <f>AL161</f>
        <v>47157.078000000001</v>
      </c>
      <c r="AN161" s="393">
        <f>50315.669-1426.671</f>
        <v>48888.998</v>
      </c>
      <c r="AO161" s="190">
        <f>50462.56-1258.37</f>
        <v>49204.189999999995</v>
      </c>
      <c r="AP161" s="190">
        <f>51127.355-1451.492</f>
        <v>49675.863000000005</v>
      </c>
      <c r="AQ161" s="191">
        <f>48640.046-1378.18</f>
        <v>47261.866000000002</v>
      </c>
      <c r="AR161" s="244">
        <f>AQ161</f>
        <v>47261.866000000002</v>
      </c>
      <c r="AS161" s="393">
        <f>49016.384-1594.449</f>
        <v>47421.934999999998</v>
      </c>
      <c r="AT161" s="190">
        <f>49662.364-1741.867</f>
        <v>47920.497000000003</v>
      </c>
      <c r="AU161" s="190">
        <f>50340.866-2191.32</f>
        <v>48149.546000000002</v>
      </c>
      <c r="AV161" s="191">
        <f>51264.784-1980.508</f>
        <v>49284.275999999998</v>
      </c>
      <c r="AW161" s="244">
        <f>AV161</f>
        <v>49284.275999999998</v>
      </c>
      <c r="AX161" s="249">
        <f>+AW161-AX131-AX126</f>
        <v>50363.738506107955</v>
      </c>
      <c r="AY161" s="250">
        <f>+AX161-AY131-AY126</f>
        <v>51443.201012215912</v>
      </c>
      <c r="AZ161" s="250">
        <f>+AY161-AZ131-AZ126</f>
        <v>52522.663518323869</v>
      </c>
      <c r="BA161" s="251">
        <f>+AZ161-BA131-BA126</f>
        <v>53602.126024431825</v>
      </c>
      <c r="BB161" s="244">
        <f>BA161</f>
        <v>53602.126024431825</v>
      </c>
      <c r="BC161" s="249">
        <f>+BB161-BC131-BC126</f>
        <v>54568.680494389213</v>
      </c>
      <c r="BD161" s="250">
        <f>+BC161-BD131-BD126</f>
        <v>55535.2349643466</v>
      </c>
      <c r="BE161" s="250">
        <f>+BD161-BE131-BE126</f>
        <v>56501.789434303988</v>
      </c>
      <c r="BF161" s="251">
        <f>+BE161-BF131-BF126</f>
        <v>57468.343904261375</v>
      </c>
      <c r="BG161" s="244">
        <f>BF161</f>
        <v>57468.343904261375</v>
      </c>
      <c r="BH161" s="249">
        <f>+BG161-BH131-BH126</f>
        <v>58336.367187464501</v>
      </c>
      <c r="BI161" s="250">
        <f>+BH161-BI131-BI126</f>
        <v>59204.390470667626</v>
      </c>
      <c r="BJ161" s="250">
        <f>+BI161-BJ131-BJ126</f>
        <v>60072.413753870751</v>
      </c>
      <c r="BK161" s="251">
        <f>+BJ161-BK131-BK126</f>
        <v>60940.437037073876</v>
      </c>
      <c r="BL161" s="244">
        <f>BK161</f>
        <v>60940.437037073876</v>
      </c>
      <c r="BM161" s="249">
        <f>+BL161-BM131-BM126</f>
        <v>61875.396545182302</v>
      </c>
      <c r="BN161" s="250">
        <f>+BM161-BN131-BN126</f>
        <v>62810.356053290729</v>
      </c>
      <c r="BO161" s="250">
        <f>+BN161-BO131-BO126</f>
        <v>63745.315561399155</v>
      </c>
      <c r="BP161" s="251">
        <f>+BO161-BP131-BP126</f>
        <v>64680.275069507581</v>
      </c>
      <c r="BQ161" s="244">
        <f>BP161</f>
        <v>64680.275069507581</v>
      </c>
      <c r="BR161" s="244"/>
      <c r="BS161" s="244"/>
      <c r="BT161" s="311"/>
      <c r="BU161" s="311"/>
      <c r="BV161" s="311"/>
      <c r="BW161" s="311"/>
      <c r="BX161" s="311"/>
      <c r="BY161" s="311"/>
      <c r="BZ161" s="311"/>
      <c r="CA161" s="311"/>
      <c r="CB161" s="311"/>
      <c r="CC161" s="311"/>
      <c r="CD161" s="311"/>
      <c r="CE161" s="311"/>
    </row>
    <row r="162" spans="1:83">
      <c r="A162" s="311"/>
      <c r="B162" s="311"/>
      <c r="C162" s="1264" t="s">
        <v>612</v>
      </c>
      <c r="D162" s="311"/>
      <c r="E162" s="190">
        <v>-16265.165000000001</v>
      </c>
      <c r="F162" s="190">
        <v>-16425.278999999999</v>
      </c>
      <c r="G162" s="190">
        <v>-16597.538</v>
      </c>
      <c r="H162" s="191">
        <v>-16866.388999999999</v>
      </c>
      <c r="I162" s="379">
        <f>H162</f>
        <v>-16866.388999999999</v>
      </c>
      <c r="J162" s="393">
        <v>-16976.187999999998</v>
      </c>
      <c r="K162" s="190">
        <v>-17195.687000000002</v>
      </c>
      <c r="L162" s="190">
        <v>-17348.633999999998</v>
      </c>
      <c r="M162" s="191">
        <v>-17474.914000000001</v>
      </c>
      <c r="N162" s="244">
        <f>M162</f>
        <v>-17474.914000000001</v>
      </c>
      <c r="O162" s="393">
        <v>-17682.149000000001</v>
      </c>
      <c r="P162" s="190">
        <v>-17919.151000000002</v>
      </c>
      <c r="Q162" s="190">
        <v>-18123.800999999999</v>
      </c>
      <c r="R162" s="191">
        <f>-18255.128</f>
        <v>-18255.128000000001</v>
      </c>
      <c r="S162" s="244">
        <f>R162</f>
        <v>-18255.128000000001</v>
      </c>
      <c r="T162" s="393">
        <v>-18392.874</v>
      </c>
      <c r="U162" s="190">
        <v>-18563.697</v>
      </c>
      <c r="V162" s="190">
        <v>-18731.189999999999</v>
      </c>
      <c r="W162" s="191">
        <v>-18898.842000000001</v>
      </c>
      <c r="X162" s="244">
        <f>W162</f>
        <v>-18898.842000000001</v>
      </c>
      <c r="Y162" s="393">
        <v>-19067.906999999999</v>
      </c>
      <c r="Z162" s="190">
        <v>-19344.473000000002</v>
      </c>
      <c r="AA162" s="190">
        <v>-19548.683000000001</v>
      </c>
      <c r="AB162" s="191">
        <v>-19443.492999999999</v>
      </c>
      <c r="AC162" s="244">
        <f>AB162</f>
        <v>-19443.492999999999</v>
      </c>
      <c r="AD162" s="393">
        <v>-19690.826000000001</v>
      </c>
      <c r="AE162" s="190">
        <v>-19972.785</v>
      </c>
      <c r="AF162" s="190">
        <v>-20271</v>
      </c>
      <c r="AG162" s="191">
        <v>-20449.858</v>
      </c>
      <c r="AH162" s="244">
        <f>AG162</f>
        <v>-20449.858</v>
      </c>
      <c r="AI162" s="393">
        <v>-20662.228999999999</v>
      </c>
      <c r="AJ162" s="190">
        <v>-20916.386999999999</v>
      </c>
      <c r="AK162" s="190">
        <v>-20875.573</v>
      </c>
      <c r="AL162" s="191">
        <v>-20789.452000000001</v>
      </c>
      <c r="AM162" s="244">
        <f>AL162</f>
        <v>-20789.452000000001</v>
      </c>
      <c r="AN162" s="393">
        <v>-21333.661</v>
      </c>
      <c r="AO162" s="190">
        <v>-21392.881000000001</v>
      </c>
      <c r="AP162" s="190">
        <v>-21798.23</v>
      </c>
      <c r="AQ162" s="191">
        <v>-20718.638999999999</v>
      </c>
      <c r="AR162" s="244">
        <f>AQ162</f>
        <v>-20718.638999999999</v>
      </c>
      <c r="AS162" s="393">
        <v>-20843.030999999999</v>
      </c>
      <c r="AT162" s="190">
        <v>-21095.138999999999</v>
      </c>
      <c r="AU162" s="190">
        <v>-21380.1</v>
      </c>
      <c r="AV162" s="191">
        <v>-21600.423999999999</v>
      </c>
      <c r="AW162" s="244">
        <f>AV162</f>
        <v>-21600.423999999999</v>
      </c>
      <c r="AX162" s="249">
        <f>+AW162-AX16</f>
        <v>-21950.97373175</v>
      </c>
      <c r="AY162" s="250">
        <f>+AX162-AY16</f>
        <v>-22309.522193651937</v>
      </c>
      <c r="AZ162" s="250">
        <f>+AY162-AZ16</f>
        <v>-22675.909916376528</v>
      </c>
      <c r="BA162" s="251">
        <f>+AZ162-BA16</f>
        <v>-23049.894517109104</v>
      </c>
      <c r="BB162" s="244">
        <f>BA162</f>
        <v>-23049.894517109104</v>
      </c>
      <c r="BC162" s="249">
        <f>+BB162-BC16</f>
        <v>-23424.113874662347</v>
      </c>
      <c r="BD162" s="250">
        <f>+BC162-BD16</f>
        <v>-23805.087320603729</v>
      </c>
      <c r="BE162" s="250">
        <f>+BD162-BE16</f>
        <v>-24192.671666416787</v>
      </c>
      <c r="BF162" s="251">
        <f>+BE162-BF16</f>
        <v>-24586.640599752995</v>
      </c>
      <c r="BG162" s="244">
        <f>BF162</f>
        <v>-24586.640599752995</v>
      </c>
      <c r="BH162" s="249">
        <f>+BG162-BH16</f>
        <v>-24976.906674355836</v>
      </c>
      <c r="BI162" s="250">
        <f>+BH162-BI16</f>
        <v>-25372.649800100742</v>
      </c>
      <c r="BJ162" s="250">
        <f>+BI162-BJ16</f>
        <v>-25773.741474399583</v>
      </c>
      <c r="BK162" s="251">
        <f>+BJ162-BK16</f>
        <v>-26179.969901943987</v>
      </c>
      <c r="BL162" s="244">
        <f>BK162</f>
        <v>-26179.969901943987</v>
      </c>
      <c r="BM162" s="249">
        <f>+BL162-BM16</f>
        <v>-26581.26198657163</v>
      </c>
      <c r="BN162" s="250">
        <f>+BM162-BN16</f>
        <v>-26988.555989892724</v>
      </c>
      <c r="BO162" s="250">
        <f>+BN162-BO16</f>
        <v>-27401.71737334229</v>
      </c>
      <c r="BP162" s="251">
        <f>+BO162-BP16</f>
        <v>-27820.528375048852</v>
      </c>
      <c r="BQ162" s="244">
        <f>BP162</f>
        <v>-27820.528375048852</v>
      </c>
      <c r="BR162" s="244"/>
      <c r="BS162" s="244"/>
      <c r="BT162" s="311"/>
      <c r="BU162" s="311"/>
      <c r="BV162" s="311"/>
      <c r="BW162" s="311"/>
      <c r="BX162" s="311"/>
      <c r="BY162" s="311"/>
      <c r="BZ162" s="311"/>
      <c r="CA162" s="311"/>
      <c r="CB162" s="311"/>
      <c r="CC162" s="311"/>
      <c r="CD162" s="311"/>
      <c r="CE162" s="311"/>
    </row>
    <row r="163" spans="1:83">
      <c r="A163" s="311"/>
      <c r="B163" s="311"/>
      <c r="C163" s="1264" t="s">
        <v>35</v>
      </c>
      <c r="D163" s="311"/>
      <c r="E163" s="190">
        <v>1561.23</v>
      </c>
      <c r="F163" s="190">
        <v>1566.268</v>
      </c>
      <c r="G163" s="190">
        <v>1504.6990000000001</v>
      </c>
      <c r="H163" s="191">
        <v>1547.319</v>
      </c>
      <c r="I163" s="379">
        <f>H163</f>
        <v>1547.319</v>
      </c>
      <c r="J163" s="393">
        <v>1667.72</v>
      </c>
      <c r="K163" s="190">
        <v>1679.2260000000001</v>
      </c>
      <c r="L163" s="190">
        <v>1643.58</v>
      </c>
      <c r="M163" s="191">
        <v>1661.56</v>
      </c>
      <c r="N163" s="244">
        <f>M163</f>
        <v>1661.56</v>
      </c>
      <c r="O163" s="393">
        <v>1764.4369999999999</v>
      </c>
      <c r="P163" s="190">
        <v>1799.9059999999999</v>
      </c>
      <c r="Q163" s="190">
        <v>1403.982</v>
      </c>
      <c r="R163" s="191">
        <v>1779.723</v>
      </c>
      <c r="S163" s="244">
        <f>R163</f>
        <v>1779.723</v>
      </c>
      <c r="T163" s="393">
        <v>2025.0050000000001</v>
      </c>
      <c r="U163" s="190">
        <v>1582.5830000000001</v>
      </c>
      <c r="V163" s="190">
        <v>1965.5239999999999</v>
      </c>
      <c r="W163" s="191">
        <v>1365.6990000000001</v>
      </c>
      <c r="X163" s="244">
        <f>W163</f>
        <v>1365.6990000000001</v>
      </c>
      <c r="Y163" s="393">
        <v>1413.8969999999999</v>
      </c>
      <c r="Z163" s="190">
        <v>1573.328</v>
      </c>
      <c r="AA163" s="190">
        <v>1599.127</v>
      </c>
      <c r="AB163" s="191">
        <v>1514.857</v>
      </c>
      <c r="AC163" s="244">
        <f>AB163</f>
        <v>1514.857</v>
      </c>
      <c r="AD163" s="393">
        <v>1645.58</v>
      </c>
      <c r="AE163" s="190">
        <v>1668.3240000000001</v>
      </c>
      <c r="AF163" s="190">
        <v>1913.7570000000001</v>
      </c>
      <c r="AG163" s="191">
        <v>1425.981</v>
      </c>
      <c r="AH163" s="244">
        <f>AG163</f>
        <v>1425.981</v>
      </c>
      <c r="AI163" s="393">
        <v>1387.5740000000001</v>
      </c>
      <c r="AJ163" s="190">
        <v>1349.8630000000001</v>
      </c>
      <c r="AK163" s="190">
        <v>1424.8630000000001</v>
      </c>
      <c r="AL163" s="191">
        <v>1456.7349999999999</v>
      </c>
      <c r="AM163" s="244">
        <f>AL163</f>
        <v>1456.7349999999999</v>
      </c>
      <c r="AN163" s="393">
        <v>1426.671</v>
      </c>
      <c r="AO163" s="190">
        <v>1258.3699999999999</v>
      </c>
      <c r="AP163" s="190">
        <v>1451.492</v>
      </c>
      <c r="AQ163" s="191">
        <v>1378.18</v>
      </c>
      <c r="AR163" s="244">
        <f>AQ163</f>
        <v>1378.18</v>
      </c>
      <c r="AS163" s="393">
        <v>1594.4490000000001</v>
      </c>
      <c r="AT163" s="190">
        <v>1741.867</v>
      </c>
      <c r="AU163" s="190">
        <v>2191.3200000000002</v>
      </c>
      <c r="AV163" s="191">
        <v>1980.508</v>
      </c>
      <c r="AW163" s="244">
        <f>AV163</f>
        <v>1980.508</v>
      </c>
      <c r="AX163" s="249">
        <f t="shared" ref="AX163:BB163" si="337">+AW163</f>
        <v>1980.508</v>
      </c>
      <c r="AY163" s="250">
        <f t="shared" si="337"/>
        <v>1980.508</v>
      </c>
      <c r="AZ163" s="250">
        <f t="shared" si="337"/>
        <v>1980.508</v>
      </c>
      <c r="BA163" s="251">
        <f t="shared" si="337"/>
        <v>1980.508</v>
      </c>
      <c r="BB163" s="244">
        <f t="shared" si="337"/>
        <v>1980.508</v>
      </c>
      <c r="BC163" s="249">
        <f t="shared" ref="BC163" si="338">+BB163</f>
        <v>1980.508</v>
      </c>
      <c r="BD163" s="250">
        <f t="shared" ref="BD163" si="339">+BC163</f>
        <v>1980.508</v>
      </c>
      <c r="BE163" s="250">
        <f t="shared" ref="BE163" si="340">+BD163</f>
        <v>1980.508</v>
      </c>
      <c r="BF163" s="251">
        <f t="shared" ref="BF163" si="341">+BE163</f>
        <v>1980.508</v>
      </c>
      <c r="BG163" s="244">
        <f t="shared" ref="BG163" si="342">+BF163</f>
        <v>1980.508</v>
      </c>
      <c r="BH163" s="249">
        <f t="shared" ref="BH163" si="343">+BG163</f>
        <v>1980.508</v>
      </c>
      <c r="BI163" s="250">
        <f t="shared" ref="BI163" si="344">+BH163</f>
        <v>1980.508</v>
      </c>
      <c r="BJ163" s="250">
        <f t="shared" ref="BJ163" si="345">+BI163</f>
        <v>1980.508</v>
      </c>
      <c r="BK163" s="251">
        <f t="shared" ref="BK163" si="346">+BJ163</f>
        <v>1980.508</v>
      </c>
      <c r="BL163" s="244">
        <f t="shared" ref="BL163" si="347">+BK163</f>
        <v>1980.508</v>
      </c>
      <c r="BM163" s="249">
        <f t="shared" ref="BM163" si="348">+BL163</f>
        <v>1980.508</v>
      </c>
      <c r="BN163" s="250">
        <f t="shared" ref="BN163" si="349">+BM163</f>
        <v>1980.508</v>
      </c>
      <c r="BO163" s="250">
        <f t="shared" ref="BO163" si="350">+BN163</f>
        <v>1980.508</v>
      </c>
      <c r="BP163" s="251">
        <f t="shared" ref="BP163" si="351">+BO163</f>
        <v>1980.508</v>
      </c>
      <c r="BQ163" s="244">
        <f t="shared" ref="BQ163" si="352">+BP163</f>
        <v>1980.508</v>
      </c>
      <c r="BR163" s="244"/>
      <c r="BS163" s="244"/>
      <c r="BT163" s="311"/>
      <c r="BU163" s="311"/>
      <c r="BV163" s="311"/>
      <c r="BW163" s="311"/>
      <c r="BX163" s="311"/>
      <c r="BY163" s="311"/>
      <c r="BZ163" s="311"/>
      <c r="CA163" s="311"/>
      <c r="CB163" s="311"/>
      <c r="CC163" s="311"/>
      <c r="CD163" s="311"/>
      <c r="CE163" s="311"/>
    </row>
    <row r="164" spans="1:83">
      <c r="A164" s="311"/>
      <c r="B164" s="311"/>
      <c r="C164" s="1175" t="s">
        <v>620</v>
      </c>
      <c r="D164" s="311"/>
      <c r="E164" s="246">
        <f t="shared" ref="E164:AA164" si="353">+SUM(E161:E163)</f>
        <v>22619.676999999992</v>
      </c>
      <c r="F164" s="246">
        <f t="shared" si="353"/>
        <v>22819.17</v>
      </c>
      <c r="G164" s="246">
        <f t="shared" si="353"/>
        <v>22966.267</v>
      </c>
      <c r="H164" s="247">
        <f t="shared" si="353"/>
        <v>23389.401999999995</v>
      </c>
      <c r="I164" s="380">
        <f t="shared" si="353"/>
        <v>23389.401999999995</v>
      </c>
      <c r="J164" s="248">
        <f t="shared" si="353"/>
        <v>23538.994999999999</v>
      </c>
      <c r="K164" s="246">
        <f t="shared" si="353"/>
        <v>23491.667999999998</v>
      </c>
      <c r="L164" s="246">
        <f t="shared" si="353"/>
        <v>23570.456000000006</v>
      </c>
      <c r="M164" s="247">
        <f t="shared" si="353"/>
        <v>23848.355000000003</v>
      </c>
      <c r="N164" s="245">
        <f t="shared" si="353"/>
        <v>23848.355000000003</v>
      </c>
      <c r="O164" s="248">
        <f t="shared" si="353"/>
        <v>24195.689000000006</v>
      </c>
      <c r="P164" s="246">
        <f t="shared" si="353"/>
        <v>24638.852999999996</v>
      </c>
      <c r="Q164" s="246">
        <f t="shared" si="353"/>
        <v>24799.027000000006</v>
      </c>
      <c r="R164" s="247">
        <f t="shared" si="353"/>
        <v>25609.285000000003</v>
      </c>
      <c r="S164" s="245">
        <f t="shared" si="353"/>
        <v>25609.285000000003</v>
      </c>
      <c r="T164" s="248">
        <f t="shared" si="353"/>
        <v>25586.797000000006</v>
      </c>
      <c r="U164" s="246">
        <f t="shared" si="353"/>
        <v>25995.745999999999</v>
      </c>
      <c r="V164" s="246">
        <f t="shared" si="353"/>
        <v>26431.531000000003</v>
      </c>
      <c r="W164" s="247">
        <f>+SUM(W161:W163)</f>
        <v>27298.545000000002</v>
      </c>
      <c r="X164" s="245">
        <f>+SUM(X161:X163)</f>
        <v>27298.545000000002</v>
      </c>
      <c r="Y164" s="248">
        <f>+SUM(Y161:Y163)</f>
        <v>27309.440999999908</v>
      </c>
      <c r="Z164" s="246">
        <f t="shared" si="353"/>
        <v>27572.077000000001</v>
      </c>
      <c r="AA164" s="246">
        <f t="shared" si="353"/>
        <v>27567.439000000002</v>
      </c>
      <c r="AB164" s="247">
        <f t="shared" ref="AB164:AH164" si="354">+SUM(AB161:AB163)</f>
        <v>27881.644</v>
      </c>
      <c r="AC164" s="245">
        <f t="shared" si="354"/>
        <v>27881.644</v>
      </c>
      <c r="AD164" s="248">
        <f t="shared" si="354"/>
        <v>28008.656999999999</v>
      </c>
      <c r="AE164" s="246">
        <f t="shared" si="354"/>
        <v>28109.244000000002</v>
      </c>
      <c r="AF164" s="246">
        <f t="shared" si="354"/>
        <v>28289.138000000003</v>
      </c>
      <c r="AG164" s="247">
        <f t="shared" si="354"/>
        <v>28722.945999999996</v>
      </c>
      <c r="AH164" s="245">
        <f t="shared" si="354"/>
        <v>28722.945999999996</v>
      </c>
      <c r="AI164" s="248">
        <f t="shared" ref="AI164:AM164" si="355">+SUM(AI161:AI163)</f>
        <v>28808.027000000002</v>
      </c>
      <c r="AJ164" s="246">
        <f t="shared" si="355"/>
        <v>28857.902000000002</v>
      </c>
      <c r="AK164" s="246">
        <f t="shared" si="355"/>
        <v>27986.551000000007</v>
      </c>
      <c r="AL164" s="247">
        <f t="shared" si="355"/>
        <v>27824.361000000001</v>
      </c>
      <c r="AM164" s="245">
        <f t="shared" si="355"/>
        <v>27824.361000000001</v>
      </c>
      <c r="AN164" s="248">
        <f>+SUM(AN161:AN163)</f>
        <v>28982.007999999998</v>
      </c>
      <c r="AO164" s="246">
        <f t="shared" ref="AO164" si="356">+SUM(AO161:AO163)</f>
        <v>29069.678999999993</v>
      </c>
      <c r="AP164" s="246">
        <f t="shared" ref="AP164:AU164" si="357">+SUM(AP161:AP163)</f>
        <v>29329.125000000004</v>
      </c>
      <c r="AQ164" s="247">
        <f t="shared" si="357"/>
        <v>27921.407000000003</v>
      </c>
      <c r="AR164" s="245">
        <f t="shared" si="357"/>
        <v>27921.407000000003</v>
      </c>
      <c r="AS164" s="248">
        <f t="shared" ref="AS164" si="358">+SUM(AS161:AS163)</f>
        <v>28173.352999999999</v>
      </c>
      <c r="AT164" s="246">
        <f t="shared" si="357"/>
        <v>28567.225000000002</v>
      </c>
      <c r="AU164" s="246">
        <f t="shared" si="357"/>
        <v>28960.766000000003</v>
      </c>
      <c r="AV164" s="247">
        <f t="shared" ref="AV164:AW164" si="359">+SUM(AV161:AV163)</f>
        <v>29664.36</v>
      </c>
      <c r="AW164" s="245">
        <f t="shared" si="359"/>
        <v>29664.36</v>
      </c>
      <c r="AX164" s="248">
        <f t="shared" ref="AX164:BL164" si="360">+SUM(AX161:AX163)</f>
        <v>30393.272774357956</v>
      </c>
      <c r="AY164" s="246">
        <f t="shared" si="360"/>
        <v>31114.186818563976</v>
      </c>
      <c r="AZ164" s="246">
        <f t="shared" si="360"/>
        <v>31827.261601947343</v>
      </c>
      <c r="BA164" s="247">
        <f t="shared" si="360"/>
        <v>32532.739507322724</v>
      </c>
      <c r="BB164" s="245">
        <f t="shared" si="360"/>
        <v>32532.739507322724</v>
      </c>
      <c r="BC164" s="248">
        <f t="shared" si="360"/>
        <v>33125.074619726867</v>
      </c>
      <c r="BD164" s="246">
        <f t="shared" si="360"/>
        <v>33710.655643742874</v>
      </c>
      <c r="BE164" s="246">
        <f t="shared" si="360"/>
        <v>34289.625767887199</v>
      </c>
      <c r="BF164" s="247">
        <f t="shared" si="360"/>
        <v>34862.211304508382</v>
      </c>
      <c r="BG164" s="245">
        <f t="shared" si="360"/>
        <v>34862.211304508382</v>
      </c>
      <c r="BH164" s="248">
        <f t="shared" si="360"/>
        <v>35339.968513108666</v>
      </c>
      <c r="BI164" s="246">
        <f t="shared" si="360"/>
        <v>35812.248670566885</v>
      </c>
      <c r="BJ164" s="246">
        <f t="shared" si="360"/>
        <v>36279.180279471169</v>
      </c>
      <c r="BK164" s="247">
        <f t="shared" si="360"/>
        <v>36740.975135129891</v>
      </c>
      <c r="BL164" s="245">
        <f t="shared" si="360"/>
        <v>36740.975135129891</v>
      </c>
      <c r="BM164" s="248">
        <f t="shared" ref="BM164:BQ164" si="361">+SUM(BM161:BM163)</f>
        <v>37274.642558610678</v>
      </c>
      <c r="BN164" s="246">
        <f t="shared" si="361"/>
        <v>37802.308063398006</v>
      </c>
      <c r="BO164" s="246">
        <f t="shared" si="361"/>
        <v>38324.106188056867</v>
      </c>
      <c r="BP164" s="247">
        <f t="shared" si="361"/>
        <v>38840.25469445873</v>
      </c>
      <c r="BQ164" s="245">
        <f t="shared" si="361"/>
        <v>38840.25469445873</v>
      </c>
      <c r="BR164" s="244"/>
      <c r="BS164" s="244"/>
      <c r="BT164" s="311"/>
      <c r="BU164" s="311"/>
      <c r="BV164" s="311"/>
      <c r="BW164" s="311"/>
      <c r="BX164" s="311"/>
      <c r="BY164" s="311"/>
      <c r="BZ164" s="311"/>
      <c r="CA164" s="311"/>
      <c r="CB164" s="311"/>
      <c r="CC164" s="311"/>
      <c r="CD164" s="311"/>
      <c r="CE164" s="311"/>
    </row>
    <row r="165" spans="1:83">
      <c r="A165" s="233"/>
      <c r="B165" s="233"/>
      <c r="C165" s="1264"/>
      <c r="D165" s="233"/>
      <c r="E165" s="250"/>
      <c r="F165" s="250"/>
      <c r="G165" s="250"/>
      <c r="H165" s="251"/>
      <c r="I165" s="379"/>
      <c r="J165" s="249"/>
      <c r="K165" s="250"/>
      <c r="L165" s="250"/>
      <c r="M165" s="251"/>
      <c r="N165" s="244"/>
      <c r="O165" s="249"/>
      <c r="P165" s="250"/>
      <c r="Q165" s="250"/>
      <c r="R165" s="251"/>
      <c r="S165" s="244"/>
      <c r="T165" s="249"/>
      <c r="U165" s="250"/>
      <c r="V165" s="250"/>
      <c r="W165" s="251"/>
      <c r="X165" s="244"/>
      <c r="Y165" s="249"/>
      <c r="Z165" s="250"/>
      <c r="AA165" s="250"/>
      <c r="AB165" s="251"/>
      <c r="AC165" s="244"/>
      <c r="AD165" s="249"/>
      <c r="AE165" s="250"/>
      <c r="AF165" s="250"/>
      <c r="AG165" s="251"/>
      <c r="AH165" s="244"/>
      <c r="AI165" s="249"/>
      <c r="AJ165" s="250"/>
      <c r="AK165" s="250"/>
      <c r="AL165" s="251"/>
      <c r="AM165" s="244"/>
      <c r="AN165" s="249"/>
      <c r="AO165" s="250"/>
      <c r="AP165" s="250"/>
      <c r="AQ165" s="251"/>
      <c r="AR165" s="244"/>
      <c r="AS165" s="249"/>
      <c r="AT165" s="250"/>
      <c r="AU165" s="250"/>
      <c r="AV165" s="251"/>
      <c r="AW165" s="244"/>
      <c r="AX165" s="249"/>
      <c r="AY165" s="250"/>
      <c r="AZ165" s="250"/>
      <c r="BA165" s="251"/>
      <c r="BB165" s="244"/>
      <c r="BC165" s="249"/>
      <c r="BD165" s="250"/>
      <c r="BE165" s="250"/>
      <c r="BF165" s="251"/>
      <c r="BG165" s="244"/>
      <c r="BH165" s="249"/>
      <c r="BI165" s="250"/>
      <c r="BJ165" s="250"/>
      <c r="BK165" s="251"/>
      <c r="BL165" s="244"/>
      <c r="BM165" s="249"/>
      <c r="BN165" s="250"/>
      <c r="BO165" s="250"/>
      <c r="BP165" s="251"/>
      <c r="BQ165" s="244"/>
      <c r="BR165" s="244"/>
      <c r="BS165" s="244"/>
      <c r="BT165" s="233"/>
      <c r="BU165" s="240"/>
      <c r="BV165" s="233"/>
      <c r="BW165" s="233"/>
      <c r="BX165" s="233"/>
      <c r="BY165" s="233"/>
      <c r="BZ165" s="233"/>
      <c r="CA165" s="233"/>
      <c r="CB165" s="233"/>
      <c r="CC165" s="233"/>
      <c r="CD165" s="233"/>
      <c r="CE165" s="233"/>
    </row>
    <row r="166" spans="1:83">
      <c r="A166" s="233"/>
      <c r="B166" s="233"/>
      <c r="C166" s="1264" t="s">
        <v>369</v>
      </c>
      <c r="D166" s="233"/>
      <c r="E166" s="190">
        <v>3123.7689999999998</v>
      </c>
      <c r="F166" s="190">
        <v>3314.143</v>
      </c>
      <c r="G166" s="190">
        <v>3551.424</v>
      </c>
      <c r="H166" s="191">
        <v>3618.7</v>
      </c>
      <c r="I166" s="379">
        <f>H166</f>
        <v>3618.7</v>
      </c>
      <c r="J166" s="393">
        <v>3728.9679999999998</v>
      </c>
      <c r="K166" s="190">
        <v>3611.674</v>
      </c>
      <c r="L166" s="190">
        <v>4117.2579999999998</v>
      </c>
      <c r="M166" s="191">
        <v>4300.2060000000001</v>
      </c>
      <c r="N166" s="244">
        <f>M166</f>
        <v>4300.2060000000001</v>
      </c>
      <c r="O166" s="393">
        <v>4442.3149999999996</v>
      </c>
      <c r="P166" s="190">
        <v>4491.902</v>
      </c>
      <c r="Q166" s="190">
        <v>4282.6980000000003</v>
      </c>
      <c r="R166" s="191">
        <f>4509.766</f>
        <v>4509.7659999999996</v>
      </c>
      <c r="S166" s="244">
        <f>R166</f>
        <v>4509.7659999999996</v>
      </c>
      <c r="T166" s="393">
        <v>4764.616</v>
      </c>
      <c r="U166" s="190">
        <v>4725.5420000000004</v>
      </c>
      <c r="V166" s="190">
        <v>4892.1329999999998</v>
      </c>
      <c r="W166" s="191">
        <v>4929.1189999999997</v>
      </c>
      <c r="X166" s="244">
        <f>W166</f>
        <v>4929.1189999999997</v>
      </c>
      <c r="Y166" s="393">
        <v>4947.2250000000004</v>
      </c>
      <c r="Z166" s="190">
        <v>4952.3289999999997</v>
      </c>
      <c r="AA166" s="190">
        <v>5118.2269999999999</v>
      </c>
      <c r="AB166" s="191">
        <v>5353.4849999999997</v>
      </c>
      <c r="AC166" s="244">
        <f>AB166</f>
        <v>5353.4849999999997</v>
      </c>
      <c r="AD166" s="393">
        <v>5397.2520000000004</v>
      </c>
      <c r="AE166" s="190">
        <v>5539.8689999999997</v>
      </c>
      <c r="AF166" s="190">
        <v>5830.19</v>
      </c>
      <c r="AG166" s="191">
        <v>6026.1260000000002</v>
      </c>
      <c r="AH166" s="244">
        <f>AG166</f>
        <v>6026.1260000000002</v>
      </c>
      <c r="AI166" s="393">
        <v>6113.6880000000001</v>
      </c>
      <c r="AJ166" s="190">
        <v>6050.9849999999997</v>
      </c>
      <c r="AK166" s="190">
        <v>5919.7219999999998</v>
      </c>
      <c r="AL166" s="191">
        <v>6042.9970000000003</v>
      </c>
      <c r="AM166" s="244">
        <f>AL166</f>
        <v>6042.9970000000003</v>
      </c>
      <c r="AN166" s="393">
        <v>6168.0450000000001</v>
      </c>
      <c r="AO166" s="190">
        <v>6256.2830000000004</v>
      </c>
      <c r="AP166" s="190">
        <v>6368.7629999999999</v>
      </c>
      <c r="AQ166" s="191">
        <v>6427.4</v>
      </c>
      <c r="AR166" s="244">
        <f>AQ166</f>
        <v>6427.4</v>
      </c>
      <c r="AS166" s="393">
        <v>7364.9219999999996</v>
      </c>
      <c r="AT166" s="190">
        <v>7498.1769999999997</v>
      </c>
      <c r="AU166" s="190">
        <v>7683.0959999999995</v>
      </c>
      <c r="AV166" s="191">
        <v>7915.0330000000004</v>
      </c>
      <c r="AW166" s="244">
        <f>AV166</f>
        <v>7915.0330000000004</v>
      </c>
      <c r="AX166" s="249">
        <f>+AW166-AX132</f>
        <v>7915.0330000000004</v>
      </c>
      <c r="AY166" s="250">
        <f>+AX166-AY132</f>
        <v>7915.0330000000004</v>
      </c>
      <c r="AZ166" s="250">
        <f>+AY166-AZ132</f>
        <v>7915.0330000000004</v>
      </c>
      <c r="BA166" s="251">
        <f>+AZ166-BA132</f>
        <v>7915.0330000000004</v>
      </c>
      <c r="BB166" s="244">
        <f>BA166</f>
        <v>7915.0330000000004</v>
      </c>
      <c r="BC166" s="249">
        <f>+BB166-BC132</f>
        <v>7915.0330000000004</v>
      </c>
      <c r="BD166" s="250">
        <f>+BC166-BD132</f>
        <v>7915.0330000000004</v>
      </c>
      <c r="BE166" s="250">
        <f>+BD166-BE132</f>
        <v>7915.0330000000004</v>
      </c>
      <c r="BF166" s="251">
        <f>+BE166-BF132</f>
        <v>7915.0330000000004</v>
      </c>
      <c r="BG166" s="244">
        <f>BF166</f>
        <v>7915.0330000000004</v>
      </c>
      <c r="BH166" s="249">
        <f>+BG166-BH132</f>
        <v>7915.0330000000004</v>
      </c>
      <c r="BI166" s="250">
        <f>+BH166-BI132</f>
        <v>7915.0330000000004</v>
      </c>
      <c r="BJ166" s="250">
        <f>+BI166-BJ132</f>
        <v>7915.0330000000004</v>
      </c>
      <c r="BK166" s="251">
        <f>+BJ166-BK132</f>
        <v>7915.0330000000004</v>
      </c>
      <c r="BL166" s="244">
        <f>BK166</f>
        <v>7915.0330000000004</v>
      </c>
      <c r="BM166" s="249">
        <f>+BL166-BM132</f>
        <v>7915.0330000000004</v>
      </c>
      <c r="BN166" s="250">
        <f>+BM166-BN132</f>
        <v>7915.0330000000004</v>
      </c>
      <c r="BO166" s="250">
        <f>+BN166-BO132</f>
        <v>7915.0330000000004</v>
      </c>
      <c r="BP166" s="251">
        <f>+BO166-BP132</f>
        <v>7915.0330000000004</v>
      </c>
      <c r="BQ166" s="244">
        <f>BP166</f>
        <v>7915.0330000000004</v>
      </c>
      <c r="BR166" s="244"/>
      <c r="BS166" s="244"/>
      <c r="BT166" s="233"/>
      <c r="BU166" s="240"/>
      <c r="BV166" s="233"/>
      <c r="BW166" s="233"/>
      <c r="BX166" s="233"/>
      <c r="BY166" s="233"/>
      <c r="BZ166" s="233"/>
      <c r="CA166" s="233"/>
      <c r="CB166" s="233"/>
      <c r="CC166" s="233"/>
      <c r="CD166" s="233"/>
      <c r="CE166" s="233"/>
    </row>
    <row r="167" spans="1:83">
      <c r="A167" s="233"/>
      <c r="B167" s="233"/>
      <c r="C167" s="1264" t="s">
        <v>370</v>
      </c>
      <c r="D167" s="233"/>
      <c r="E167" s="190">
        <v>377.17200000000003</v>
      </c>
      <c r="F167" s="190">
        <v>377.17200000000003</v>
      </c>
      <c r="G167" s="190">
        <v>377.17200000000003</v>
      </c>
      <c r="H167" s="191">
        <v>377.17200000000003</v>
      </c>
      <c r="I167" s="379">
        <f>H167</f>
        <v>377.17200000000003</v>
      </c>
      <c r="J167" s="393">
        <v>377.17200000000003</v>
      </c>
      <c r="K167" s="190">
        <v>377.17200000000003</v>
      </c>
      <c r="L167" s="190">
        <v>377.17200000000003</v>
      </c>
      <c r="M167" s="191">
        <v>377.17200000000003</v>
      </c>
      <c r="N167" s="244">
        <f>M167</f>
        <v>377.17200000000003</v>
      </c>
      <c r="O167" s="393">
        <v>377.17200000000003</v>
      </c>
      <c r="P167" s="190">
        <v>377.17200000000003</v>
      </c>
      <c r="Q167" s="190">
        <v>377.17200000000003</v>
      </c>
      <c r="R167" s="191">
        <v>377.17200000000003</v>
      </c>
      <c r="S167" s="244">
        <f>R167</f>
        <v>377.17200000000003</v>
      </c>
      <c r="T167" s="393">
        <v>377.17200000000003</v>
      </c>
      <c r="U167" s="190">
        <v>377.17200000000003</v>
      </c>
      <c r="V167" s="190">
        <v>377.17200000000003</v>
      </c>
      <c r="W167" s="191">
        <v>377.17200000000003</v>
      </c>
      <c r="X167" s="244">
        <f>W167</f>
        <v>377.17200000000003</v>
      </c>
      <c r="Y167" s="393">
        <v>377.17200000000003</v>
      </c>
      <c r="Z167" s="190">
        <v>377.17200000000003</v>
      </c>
      <c r="AA167" s="190">
        <v>377.17200000000003</v>
      </c>
      <c r="AB167" s="191">
        <v>377.17200000000003</v>
      </c>
      <c r="AC167" s="244">
        <f>AB167</f>
        <v>377.17200000000003</v>
      </c>
      <c r="AD167" s="393">
        <v>377.17200000000003</v>
      </c>
      <c r="AE167" s="190">
        <v>377.17200000000003</v>
      </c>
      <c r="AF167" s="190">
        <v>377.17200000000003</v>
      </c>
      <c r="AG167" s="191">
        <v>377.17200000000003</v>
      </c>
      <c r="AH167" s="244">
        <f>AG167</f>
        <v>377.17200000000003</v>
      </c>
      <c r="AI167" s="393">
        <v>377.17200000000003</v>
      </c>
      <c r="AJ167" s="190">
        <v>377.17200000000003</v>
      </c>
      <c r="AK167" s="190">
        <v>377.17200000000003</v>
      </c>
      <c r="AL167" s="191">
        <v>377.17200000000003</v>
      </c>
      <c r="AM167" s="244">
        <f>AL167</f>
        <v>377.17200000000003</v>
      </c>
      <c r="AN167" s="393">
        <v>377.17200000000003</v>
      </c>
      <c r="AO167" s="190">
        <v>377.17200000000003</v>
      </c>
      <c r="AP167" s="190">
        <v>377.17200000000003</v>
      </c>
      <c r="AQ167" s="191">
        <v>377.17200000000003</v>
      </c>
      <c r="AR167" s="244">
        <f>AQ167</f>
        <v>377.17200000000003</v>
      </c>
      <c r="AS167" s="393">
        <v>377.17200000000003</v>
      </c>
      <c r="AT167" s="190">
        <v>377.17200000000003</v>
      </c>
      <c r="AU167" s="190">
        <v>377.17200000000003</v>
      </c>
      <c r="AV167" s="191">
        <v>377.17200000000003</v>
      </c>
      <c r="AW167" s="244">
        <f>AV167</f>
        <v>377.17200000000003</v>
      </c>
      <c r="AX167" s="249">
        <f t="shared" ref="AX167:BB168" si="362">+AW167</f>
        <v>377.17200000000003</v>
      </c>
      <c r="AY167" s="250">
        <f t="shared" si="362"/>
        <v>377.17200000000003</v>
      </c>
      <c r="AZ167" s="250">
        <f t="shared" si="362"/>
        <v>377.17200000000003</v>
      </c>
      <c r="BA167" s="251">
        <f t="shared" si="362"/>
        <v>377.17200000000003</v>
      </c>
      <c r="BB167" s="244">
        <f t="shared" si="362"/>
        <v>377.17200000000003</v>
      </c>
      <c r="BC167" s="249">
        <f t="shared" ref="BC167:BC168" si="363">+BB167</f>
        <v>377.17200000000003</v>
      </c>
      <c r="BD167" s="250">
        <f t="shared" ref="BD167:BD168" si="364">+BC167</f>
        <v>377.17200000000003</v>
      </c>
      <c r="BE167" s="250">
        <f t="shared" ref="BE167:BE168" si="365">+BD167</f>
        <v>377.17200000000003</v>
      </c>
      <c r="BF167" s="251">
        <f t="shared" ref="BF167:BF168" si="366">+BE167</f>
        <v>377.17200000000003</v>
      </c>
      <c r="BG167" s="244">
        <f t="shared" ref="BG167:BG168" si="367">+BF167</f>
        <v>377.17200000000003</v>
      </c>
      <c r="BH167" s="249">
        <f t="shared" ref="BH167:BH168" si="368">+BG167</f>
        <v>377.17200000000003</v>
      </c>
      <c r="BI167" s="250">
        <f t="shared" ref="BI167:BI168" si="369">+BH167</f>
        <v>377.17200000000003</v>
      </c>
      <c r="BJ167" s="250">
        <f t="shared" ref="BJ167:BJ168" si="370">+BI167</f>
        <v>377.17200000000003</v>
      </c>
      <c r="BK167" s="251">
        <f t="shared" ref="BK167:BK168" si="371">+BJ167</f>
        <v>377.17200000000003</v>
      </c>
      <c r="BL167" s="244">
        <f t="shared" ref="BL167:BL168" si="372">+BK167</f>
        <v>377.17200000000003</v>
      </c>
      <c r="BM167" s="249">
        <f t="shared" ref="BM167:BM168" si="373">+BL167</f>
        <v>377.17200000000003</v>
      </c>
      <c r="BN167" s="250">
        <f t="shared" ref="BN167:BN168" si="374">+BM167</f>
        <v>377.17200000000003</v>
      </c>
      <c r="BO167" s="250">
        <f t="shared" ref="BO167:BO168" si="375">+BN167</f>
        <v>377.17200000000003</v>
      </c>
      <c r="BP167" s="251">
        <f t="shared" ref="BP167:BP168" si="376">+BO167</f>
        <v>377.17200000000003</v>
      </c>
      <c r="BQ167" s="244">
        <f t="shared" ref="BQ167:BQ168" si="377">+BP167</f>
        <v>377.17200000000003</v>
      </c>
      <c r="BR167" s="244"/>
      <c r="BS167" s="244"/>
      <c r="BT167" s="233"/>
      <c r="BU167" s="240"/>
      <c r="BV167" s="233"/>
      <c r="BW167" s="233"/>
      <c r="BX167" s="233"/>
      <c r="BY167" s="233"/>
      <c r="BZ167" s="233"/>
      <c r="CA167" s="233"/>
      <c r="CB167" s="233"/>
      <c r="CC167" s="233"/>
      <c r="CD167" s="233"/>
      <c r="CE167" s="233"/>
    </row>
    <row r="168" spans="1:83">
      <c r="A168" s="233"/>
      <c r="B168" s="233"/>
      <c r="C168" s="1264" t="s">
        <v>33</v>
      </c>
      <c r="D168" s="233"/>
      <c r="E168" s="190">
        <f>3703.332+607.706</f>
        <v>4311.0379999999996</v>
      </c>
      <c r="F168" s="190">
        <f>3666.893+622.227</f>
        <v>4289.12</v>
      </c>
      <c r="G168" s="190">
        <f>625.469+3492.131</f>
        <v>4117.6000000000004</v>
      </c>
      <c r="H168" s="191">
        <f>767.646+3647.154</f>
        <v>4414.8</v>
      </c>
      <c r="I168" s="379">
        <f>H168</f>
        <v>4414.8</v>
      </c>
      <c r="J168" s="393">
        <f>625.391+3738.435</f>
        <v>4363.826</v>
      </c>
      <c r="K168" s="190">
        <f>606.779+4015.339</f>
        <v>4622.1180000000004</v>
      </c>
      <c r="L168" s="190">
        <f>592.355+3688.785</f>
        <v>4281.1399999999994</v>
      </c>
      <c r="M168" s="191">
        <f>3838.237+796.515</f>
        <v>4634.7520000000004</v>
      </c>
      <c r="N168" s="244">
        <f>M168</f>
        <v>4634.7520000000004</v>
      </c>
      <c r="O168" s="393">
        <f>839.752+3768.072</f>
        <v>4607.8240000000005</v>
      </c>
      <c r="P168" s="190">
        <f>841.137+3736.785</f>
        <v>4577.9219999999996</v>
      </c>
      <c r="Q168" s="190">
        <f>737.475+3700.902</f>
        <v>4438.3770000000004</v>
      </c>
      <c r="R168" s="191">
        <f>799.006+4636.871+172.202</f>
        <v>5608.0790000000006</v>
      </c>
      <c r="S168" s="244">
        <f>R168</f>
        <v>5608.0790000000006</v>
      </c>
      <c r="T168" s="393">
        <f>730.467+4577.018+258.534</f>
        <v>5566.0189999999993</v>
      </c>
      <c r="U168" s="190">
        <f>738.734+4542.228+238.428</f>
        <v>5519.39</v>
      </c>
      <c r="V168" s="190">
        <f>730.526+4587.122+201.118</f>
        <v>5518.7660000000005</v>
      </c>
      <c r="W168" s="191">
        <f>742.03+5025.912+172.202</f>
        <v>5940.1440000000002</v>
      </c>
      <c r="X168" s="244">
        <f>W168</f>
        <v>5940.1440000000002</v>
      </c>
      <c r="Y168" s="393">
        <f>752.696+4860.886+172.202</f>
        <v>5785.7840000000006</v>
      </c>
      <c r="Z168" s="190">
        <f>754.87+4810.706+172.202</f>
        <v>5737.7780000000002</v>
      </c>
      <c r="AA168" s="190">
        <f>860.169+4750.482+172.202</f>
        <v>5782.8530000000001</v>
      </c>
      <c r="AB168" s="191">
        <f>849.718+3893.363+172.202</f>
        <v>4915.2830000000004</v>
      </c>
      <c r="AC168" s="244">
        <f>AB168</f>
        <v>4915.2830000000004</v>
      </c>
      <c r="AD168" s="393">
        <f>847.868+3876.586+172.202</f>
        <v>4896.6559999999999</v>
      </c>
      <c r="AE168" s="190">
        <f>846.935+3870.076+172.202</f>
        <v>4889.2130000000006</v>
      </c>
      <c r="AF168" s="190">
        <f>838.899+3757.127+238.102</f>
        <v>4834.1279999999997</v>
      </c>
      <c r="AG168" s="191">
        <f>836.064+4968.553+238.102</f>
        <v>6042.7190000000001</v>
      </c>
      <c r="AH168" s="244">
        <f>AG168</f>
        <v>6042.7190000000001</v>
      </c>
      <c r="AI168" s="393">
        <f>803.744+4877.838+238.706</f>
        <v>5920.2879999999996</v>
      </c>
      <c r="AJ168" s="190">
        <f>791.58+4858.3+238.771</f>
        <v>5888.6509999999998</v>
      </c>
      <c r="AK168" s="190">
        <f>785.753+4825.115+238.837</f>
        <v>5849.7049999999999</v>
      </c>
      <c r="AL168" s="191">
        <f>775.528+4704.796+238.902</f>
        <v>5719.2260000000006</v>
      </c>
      <c r="AM168" s="244">
        <f>AL168</f>
        <v>5719.2260000000006</v>
      </c>
      <c r="AN168" s="393">
        <f>776.37+4647.907+238.951</f>
        <v>5663.2280000000001</v>
      </c>
      <c r="AO168" s="190">
        <f>769.535+4603.489+239.001</f>
        <v>5612.0249999999996</v>
      </c>
      <c r="AP168" s="190">
        <f>777.113+4540.895+239.05</f>
        <v>5557.0580000000009</v>
      </c>
      <c r="AQ168" s="191">
        <f>761.28+4769.913+239.1</f>
        <v>5770.2929999999997</v>
      </c>
      <c r="AR168" s="244">
        <f>AQ168</f>
        <v>5770.2929999999997</v>
      </c>
      <c r="AS168" s="393">
        <f>764.266+4719.43+239.149</f>
        <v>5722.8450000000003</v>
      </c>
      <c r="AT168" s="190">
        <f>769.364+4699.217+239.199</f>
        <v>5707.78</v>
      </c>
      <c r="AU168" s="190">
        <f>775.148+4638.615+239.248</f>
        <v>5653.0109999999995</v>
      </c>
      <c r="AV168" s="191">
        <f>4935.689+239.298</f>
        <v>5174.9870000000001</v>
      </c>
      <c r="AW168" s="244">
        <f>AV168</f>
        <v>5174.9870000000001</v>
      </c>
      <c r="AX168" s="249">
        <f t="shared" si="362"/>
        <v>5174.9870000000001</v>
      </c>
      <c r="AY168" s="250">
        <f t="shared" si="362"/>
        <v>5174.9870000000001</v>
      </c>
      <c r="AZ168" s="250">
        <f t="shared" si="362"/>
        <v>5174.9870000000001</v>
      </c>
      <c r="BA168" s="251">
        <f t="shared" si="362"/>
        <v>5174.9870000000001</v>
      </c>
      <c r="BB168" s="244">
        <f t="shared" si="362"/>
        <v>5174.9870000000001</v>
      </c>
      <c r="BC168" s="249">
        <f t="shared" si="363"/>
        <v>5174.9870000000001</v>
      </c>
      <c r="BD168" s="250">
        <f t="shared" si="364"/>
        <v>5174.9870000000001</v>
      </c>
      <c r="BE168" s="250">
        <f t="shared" si="365"/>
        <v>5174.9870000000001</v>
      </c>
      <c r="BF168" s="251">
        <f t="shared" si="366"/>
        <v>5174.9870000000001</v>
      </c>
      <c r="BG168" s="244">
        <f t="shared" si="367"/>
        <v>5174.9870000000001</v>
      </c>
      <c r="BH168" s="249">
        <f t="shared" si="368"/>
        <v>5174.9870000000001</v>
      </c>
      <c r="BI168" s="250">
        <f t="shared" si="369"/>
        <v>5174.9870000000001</v>
      </c>
      <c r="BJ168" s="250">
        <f t="shared" si="370"/>
        <v>5174.9870000000001</v>
      </c>
      <c r="BK168" s="251">
        <f t="shared" si="371"/>
        <v>5174.9870000000001</v>
      </c>
      <c r="BL168" s="244">
        <f t="shared" si="372"/>
        <v>5174.9870000000001</v>
      </c>
      <c r="BM168" s="249">
        <f t="shared" si="373"/>
        <v>5174.9870000000001</v>
      </c>
      <c r="BN168" s="250">
        <f t="shared" si="374"/>
        <v>5174.9870000000001</v>
      </c>
      <c r="BO168" s="250">
        <f t="shared" si="375"/>
        <v>5174.9870000000001</v>
      </c>
      <c r="BP168" s="251">
        <f t="shared" si="376"/>
        <v>5174.9870000000001</v>
      </c>
      <c r="BQ168" s="244">
        <f t="shared" si="377"/>
        <v>5174.9870000000001</v>
      </c>
      <c r="BR168" s="244"/>
      <c r="BS168" s="244"/>
      <c r="BT168" s="233"/>
      <c r="BU168" s="240"/>
      <c r="BV168" s="233"/>
      <c r="BW168" s="233"/>
      <c r="BX168" s="233"/>
      <c r="BY168" s="233"/>
      <c r="BZ168" s="233"/>
      <c r="CA168" s="233"/>
      <c r="CB168" s="233"/>
      <c r="CC168" s="233"/>
      <c r="CD168" s="233"/>
      <c r="CE168" s="233"/>
    </row>
    <row r="169" spans="1:83">
      <c r="A169" s="233"/>
      <c r="B169" s="233"/>
      <c r="C169" s="1264" t="s">
        <v>371</v>
      </c>
      <c r="D169" s="233"/>
      <c r="E169" s="190">
        <v>0</v>
      </c>
      <c r="F169" s="190">
        <v>0</v>
      </c>
      <c r="G169" s="190">
        <v>0</v>
      </c>
      <c r="H169" s="191">
        <v>0</v>
      </c>
      <c r="I169" s="379">
        <f>H169</f>
        <v>0</v>
      </c>
      <c r="J169" s="393">
        <v>74.028000000000006</v>
      </c>
      <c r="K169" s="190">
        <v>74.754000000000005</v>
      </c>
      <c r="L169" s="190">
        <v>74.703000000000003</v>
      </c>
      <c r="M169" s="191">
        <v>115.319</v>
      </c>
      <c r="N169" s="244">
        <f>M169</f>
        <v>115.319</v>
      </c>
      <c r="O169" s="393">
        <v>74.271000000000001</v>
      </c>
      <c r="P169" s="190">
        <v>80.91</v>
      </c>
      <c r="Q169" s="190">
        <f>58.001+0.02</f>
        <v>58.021000000000001</v>
      </c>
      <c r="R169" s="191">
        <f>19.003</f>
        <v>19.003</v>
      </c>
      <c r="S169" s="244">
        <f>R169</f>
        <v>19.003</v>
      </c>
      <c r="T169" s="393">
        <v>31.271000000000001</v>
      </c>
      <c r="U169" s="190">
        <v>29.904</v>
      </c>
      <c r="V169" s="190">
        <v>30.122</v>
      </c>
      <c r="W169" s="191">
        <v>37.747999999999998</v>
      </c>
      <c r="X169" s="244">
        <f>W169</f>
        <v>37.747999999999998</v>
      </c>
      <c r="Y169" s="393">
        <v>66.832999999999998</v>
      </c>
      <c r="Z169" s="190">
        <v>66.843000000000004</v>
      </c>
      <c r="AA169" s="190">
        <v>66.349000000000004</v>
      </c>
      <c r="AB169" s="191">
        <v>62.011000000000003</v>
      </c>
      <c r="AC169" s="244">
        <f>AB169</f>
        <v>62.011000000000003</v>
      </c>
      <c r="AD169" s="393">
        <v>42.5</v>
      </c>
      <c r="AE169" s="190">
        <v>42.531999999999996</v>
      </c>
      <c r="AF169" s="190">
        <v>43.276000000000003</v>
      </c>
      <c r="AG169" s="191">
        <v>48.350999999999999</v>
      </c>
      <c r="AH169" s="244">
        <f>AG169</f>
        <v>48.350999999999999</v>
      </c>
      <c r="AI169" s="393">
        <v>53.134999999999998</v>
      </c>
      <c r="AJ169" s="190">
        <v>56.566000000000003</v>
      </c>
      <c r="AK169" s="190">
        <v>52.595999999999997</v>
      </c>
      <c r="AL169" s="191">
        <v>54.902999999999999</v>
      </c>
      <c r="AM169" s="244">
        <f>AL169</f>
        <v>54.902999999999999</v>
      </c>
      <c r="AN169" s="393">
        <v>121.7</v>
      </c>
      <c r="AO169" s="190">
        <v>122.389</v>
      </c>
      <c r="AP169" s="190">
        <v>123.08499999999999</v>
      </c>
      <c r="AQ169" s="191">
        <v>117.88500000000001</v>
      </c>
      <c r="AR169" s="244">
        <f>AQ169</f>
        <v>117.88500000000001</v>
      </c>
      <c r="AS169" s="393">
        <v>115.134</v>
      </c>
      <c r="AT169" s="190">
        <v>115.562</v>
      </c>
      <c r="AU169" s="190">
        <v>123.953</v>
      </c>
      <c r="AV169" s="191">
        <v>178.20400000000001</v>
      </c>
      <c r="AW169" s="244">
        <f>AV169</f>
        <v>178.20400000000001</v>
      </c>
      <c r="AX169" s="249">
        <f>AV169</f>
        <v>178.20400000000001</v>
      </c>
      <c r="AY169" s="250">
        <f t="shared" ref="AY169:BB170" si="378">AX169</f>
        <v>178.20400000000001</v>
      </c>
      <c r="AZ169" s="250">
        <f t="shared" si="378"/>
        <v>178.20400000000001</v>
      </c>
      <c r="BA169" s="251">
        <f t="shared" si="378"/>
        <v>178.20400000000001</v>
      </c>
      <c r="BB169" s="244">
        <f t="shared" si="378"/>
        <v>178.20400000000001</v>
      </c>
      <c r="BC169" s="249">
        <f>BA169</f>
        <v>178.20400000000001</v>
      </c>
      <c r="BD169" s="250">
        <f t="shared" ref="BD169:BD170" si="379">BC169</f>
        <v>178.20400000000001</v>
      </c>
      <c r="BE169" s="250">
        <f t="shared" ref="BE169:BE170" si="380">BD169</f>
        <v>178.20400000000001</v>
      </c>
      <c r="BF169" s="251">
        <f t="shared" ref="BF169:BF170" si="381">BE169</f>
        <v>178.20400000000001</v>
      </c>
      <c r="BG169" s="244">
        <f t="shared" ref="BG169:BG170" si="382">BF169</f>
        <v>178.20400000000001</v>
      </c>
      <c r="BH169" s="249">
        <f>BF169</f>
        <v>178.20400000000001</v>
      </c>
      <c r="BI169" s="250">
        <f t="shared" ref="BI169:BI170" si="383">BH169</f>
        <v>178.20400000000001</v>
      </c>
      <c r="BJ169" s="250">
        <f t="shared" ref="BJ169:BJ170" si="384">BI169</f>
        <v>178.20400000000001</v>
      </c>
      <c r="BK169" s="251">
        <f t="shared" ref="BK169:BK170" si="385">BJ169</f>
        <v>178.20400000000001</v>
      </c>
      <c r="BL169" s="244">
        <f t="shared" ref="BL169:BL170" si="386">BK169</f>
        <v>178.20400000000001</v>
      </c>
      <c r="BM169" s="249">
        <f>BK169</f>
        <v>178.20400000000001</v>
      </c>
      <c r="BN169" s="250">
        <f t="shared" ref="BN169:BN170" si="387">BM169</f>
        <v>178.20400000000001</v>
      </c>
      <c r="BO169" s="250">
        <f t="shared" ref="BO169:BO170" si="388">BN169</f>
        <v>178.20400000000001</v>
      </c>
      <c r="BP169" s="251">
        <f t="shared" ref="BP169:BP170" si="389">BO169</f>
        <v>178.20400000000001</v>
      </c>
      <c r="BQ169" s="244">
        <f t="shared" ref="BQ169:BQ170" si="390">BP169</f>
        <v>178.20400000000001</v>
      </c>
      <c r="BR169" s="244"/>
      <c r="BS169" s="244"/>
      <c r="BT169" s="233"/>
      <c r="BU169" s="240"/>
      <c r="BV169" s="233"/>
      <c r="BW169" s="233"/>
      <c r="BX169" s="233"/>
      <c r="BY169" s="233"/>
      <c r="BZ169" s="233"/>
      <c r="CA169" s="233"/>
      <c r="CB169" s="233"/>
      <c r="CC169" s="233"/>
      <c r="CD169" s="233"/>
      <c r="CE169" s="233"/>
    </row>
    <row r="170" spans="1:83">
      <c r="A170" s="233"/>
      <c r="B170" s="233"/>
      <c r="C170" s="1264" t="s">
        <v>372</v>
      </c>
      <c r="D170" s="233"/>
      <c r="E170" s="190">
        <f>168.122+1147.443</f>
        <v>1315.5650000000001</v>
      </c>
      <c r="F170" s="190">
        <f>172.202+1083.347</f>
        <v>1255.549</v>
      </c>
      <c r="G170" s="190">
        <f>172.202+1018.867</f>
        <v>1191.069</v>
      </c>
      <c r="H170" s="191">
        <f>172.202+1006.306</f>
        <v>1178.508</v>
      </c>
      <c r="I170" s="379">
        <f>H170</f>
        <v>1178.508</v>
      </c>
      <c r="J170" s="393">
        <f>1121.591+172.202</f>
        <v>1293.7929999999999</v>
      </c>
      <c r="K170" s="190">
        <f>1039.964+172.202</f>
        <v>1212.1659999999999</v>
      </c>
      <c r="L170" s="190">
        <f>172.202+1034.815</f>
        <v>1207.0170000000001</v>
      </c>
      <c r="M170" s="191">
        <f>172.202+909.773</f>
        <v>1081.9749999999999</v>
      </c>
      <c r="N170" s="244">
        <f>M170</f>
        <v>1081.9749999999999</v>
      </c>
      <c r="O170" s="393">
        <f>172.202+951.507</f>
        <v>1123.7089999999998</v>
      </c>
      <c r="P170" s="190">
        <f>172.202+927.658</f>
        <v>1099.8600000000001</v>
      </c>
      <c r="Q170" s="190">
        <f>879.523+172.202</f>
        <v>1051.7249999999999</v>
      </c>
      <c r="R170" s="191">
        <f>955.691</f>
        <v>955.69100000000003</v>
      </c>
      <c r="S170" s="244">
        <f>R170</f>
        <v>955.69100000000003</v>
      </c>
      <c r="T170" s="393">
        <v>1128.0119999999999</v>
      </c>
      <c r="U170" s="190">
        <v>1066.3510000000001</v>
      </c>
      <c r="V170" s="190">
        <v>966.20600000000002</v>
      </c>
      <c r="W170" s="191">
        <v>936.64800000000002</v>
      </c>
      <c r="X170" s="244">
        <f>W170</f>
        <v>936.64800000000002</v>
      </c>
      <c r="Y170" s="393">
        <v>983.64499999999998</v>
      </c>
      <c r="Z170" s="190">
        <v>964.36400000000003</v>
      </c>
      <c r="AA170" s="190">
        <v>922.49599999999998</v>
      </c>
      <c r="AB170" s="191">
        <v>887.16</v>
      </c>
      <c r="AC170" s="244">
        <f>AB170</f>
        <v>887.16</v>
      </c>
      <c r="AD170" s="393">
        <v>961.21600000000001</v>
      </c>
      <c r="AE170" s="190">
        <v>947.58399999999995</v>
      </c>
      <c r="AF170" s="190">
        <v>903.20600000000002</v>
      </c>
      <c r="AG170" s="191">
        <v>920.90700000000004</v>
      </c>
      <c r="AH170" s="244">
        <f>AG170</f>
        <v>920.90700000000004</v>
      </c>
      <c r="AI170" s="393">
        <v>965.23800000000006</v>
      </c>
      <c r="AJ170" s="190">
        <v>949.32500000000005</v>
      </c>
      <c r="AK170" s="190">
        <v>738.51300000000003</v>
      </c>
      <c r="AL170" s="191">
        <v>561.61</v>
      </c>
      <c r="AM170" s="244">
        <f>AL170</f>
        <v>561.61</v>
      </c>
      <c r="AN170" s="393">
        <v>620.53399999999999</v>
      </c>
      <c r="AO170" s="190">
        <v>587.56600000000003</v>
      </c>
      <c r="AP170" s="190">
        <v>1642.943</v>
      </c>
      <c r="AQ170" s="191">
        <v>1606.009</v>
      </c>
      <c r="AR170" s="244">
        <f>AQ170</f>
        <v>1606.009</v>
      </c>
      <c r="AS170" s="393">
        <v>167.28899999999999</v>
      </c>
      <c r="AT170" s="190">
        <v>141.77699999999999</v>
      </c>
      <c r="AU170" s="190">
        <v>129.21299999999999</v>
      </c>
      <c r="AV170" s="191">
        <v>112.062</v>
      </c>
      <c r="AW170" s="244">
        <f>AV170</f>
        <v>112.062</v>
      </c>
      <c r="AX170" s="249">
        <f>AV170</f>
        <v>112.062</v>
      </c>
      <c r="AY170" s="250">
        <f t="shared" si="378"/>
        <v>112.062</v>
      </c>
      <c r="AZ170" s="250">
        <f t="shared" si="378"/>
        <v>112.062</v>
      </c>
      <c r="BA170" s="251">
        <f t="shared" si="378"/>
        <v>112.062</v>
      </c>
      <c r="BB170" s="244">
        <f t="shared" si="378"/>
        <v>112.062</v>
      </c>
      <c r="BC170" s="249">
        <f>BA170</f>
        <v>112.062</v>
      </c>
      <c r="BD170" s="250">
        <f t="shared" si="379"/>
        <v>112.062</v>
      </c>
      <c r="BE170" s="250">
        <f t="shared" si="380"/>
        <v>112.062</v>
      </c>
      <c r="BF170" s="251">
        <f t="shared" si="381"/>
        <v>112.062</v>
      </c>
      <c r="BG170" s="244">
        <f t="shared" si="382"/>
        <v>112.062</v>
      </c>
      <c r="BH170" s="249">
        <f>BF170</f>
        <v>112.062</v>
      </c>
      <c r="BI170" s="250">
        <f t="shared" si="383"/>
        <v>112.062</v>
      </c>
      <c r="BJ170" s="250">
        <f t="shared" si="384"/>
        <v>112.062</v>
      </c>
      <c r="BK170" s="251">
        <f t="shared" si="385"/>
        <v>112.062</v>
      </c>
      <c r="BL170" s="244">
        <f t="shared" si="386"/>
        <v>112.062</v>
      </c>
      <c r="BM170" s="249">
        <f>BK170</f>
        <v>112.062</v>
      </c>
      <c r="BN170" s="250">
        <f t="shared" si="387"/>
        <v>112.062</v>
      </c>
      <c r="BO170" s="250">
        <f t="shared" si="388"/>
        <v>112.062</v>
      </c>
      <c r="BP170" s="251">
        <f t="shared" si="389"/>
        <v>112.062</v>
      </c>
      <c r="BQ170" s="244">
        <f t="shared" si="390"/>
        <v>112.062</v>
      </c>
      <c r="BR170" s="244"/>
      <c r="BS170" s="244"/>
      <c r="BT170" s="233"/>
      <c r="BU170" s="240"/>
      <c r="BV170" s="233"/>
      <c r="BW170" s="233"/>
      <c r="BX170" s="233"/>
      <c r="BY170" s="233"/>
      <c r="BZ170" s="233"/>
      <c r="CA170" s="233"/>
      <c r="CB170" s="233"/>
      <c r="CC170" s="233"/>
      <c r="CD170" s="233"/>
      <c r="CE170" s="233"/>
    </row>
    <row r="171" spans="1:83">
      <c r="A171" s="233"/>
      <c r="B171" s="233"/>
      <c r="C171" s="1175" t="s">
        <v>373</v>
      </c>
      <c r="D171" s="233"/>
      <c r="E171" s="246">
        <f t="shared" ref="E171:AP171" si="391">E159+E164+SUM(E166:E170)</f>
        <v>36612.586999999992</v>
      </c>
      <c r="F171" s="246">
        <f t="shared" si="391"/>
        <v>36485.22</v>
      </c>
      <c r="G171" s="246">
        <f t="shared" si="391"/>
        <v>36170.334999999999</v>
      </c>
      <c r="H171" s="247">
        <f t="shared" si="391"/>
        <v>37512.742999999995</v>
      </c>
      <c r="I171" s="380">
        <f t="shared" si="391"/>
        <v>37512.742999999995</v>
      </c>
      <c r="J171" s="248">
        <f t="shared" si="391"/>
        <v>38109.402000000002</v>
      </c>
      <c r="K171" s="246">
        <f t="shared" si="391"/>
        <v>37752.074000000001</v>
      </c>
      <c r="L171" s="246">
        <f t="shared" si="391"/>
        <v>38680.038000000008</v>
      </c>
      <c r="M171" s="247">
        <f t="shared" si="391"/>
        <v>39087.076000000001</v>
      </c>
      <c r="N171" s="245">
        <f t="shared" si="391"/>
        <v>39087.076000000001</v>
      </c>
      <c r="O171" s="248">
        <f t="shared" si="391"/>
        <v>38598.566000000006</v>
      </c>
      <c r="P171" s="246">
        <f t="shared" si="391"/>
        <v>39129.760999999999</v>
      </c>
      <c r="Q171" s="246">
        <f t="shared" si="391"/>
        <v>39004.500000000007</v>
      </c>
      <c r="R171" s="247">
        <f t="shared" si="391"/>
        <v>40689.269000000008</v>
      </c>
      <c r="S171" s="245">
        <f t="shared" si="391"/>
        <v>40689.269000000008</v>
      </c>
      <c r="T171" s="248">
        <f t="shared" si="391"/>
        <v>40930.224000000009</v>
      </c>
      <c r="U171" s="246">
        <f t="shared" si="391"/>
        <v>40917.604999999996</v>
      </c>
      <c r="V171" s="246">
        <f t="shared" si="391"/>
        <v>42023.68</v>
      </c>
      <c r="W171" s="247">
        <f t="shared" si="391"/>
        <v>43202.502</v>
      </c>
      <c r="X171" s="245">
        <f t="shared" si="391"/>
        <v>43202.502</v>
      </c>
      <c r="Y171" s="248">
        <f t="shared" si="391"/>
        <v>42792.972999999911</v>
      </c>
      <c r="Z171" s="246">
        <f t="shared" si="391"/>
        <v>43262.285000000003</v>
      </c>
      <c r="AA171" s="246">
        <f t="shared" si="391"/>
        <v>43324.126000000004</v>
      </c>
      <c r="AB171" s="247">
        <f>AB159+AB164+SUM(AB166:AB170)</f>
        <v>43406.445999999996</v>
      </c>
      <c r="AC171" s="245">
        <f>AC159+AC164+SUM(AC166:AC170)</f>
        <v>43406.445999999996</v>
      </c>
      <c r="AD171" s="248">
        <f>AD159+AD164+SUM(AD166:AD170)</f>
        <v>43876.769</v>
      </c>
      <c r="AE171" s="246">
        <f t="shared" si="391"/>
        <v>44150.747000000003</v>
      </c>
      <c r="AF171" s="246">
        <f t="shared" ref="AF171:AK171" si="392">AF159+AF164+SUM(AF166:AF170)</f>
        <v>44541.649000000005</v>
      </c>
      <c r="AG171" s="247">
        <f t="shared" si="392"/>
        <v>46527.853999999999</v>
      </c>
      <c r="AH171" s="245">
        <f t="shared" si="392"/>
        <v>46527.853999999999</v>
      </c>
      <c r="AI171" s="248">
        <f t="shared" si="392"/>
        <v>46377.533000000003</v>
      </c>
      <c r="AJ171" s="246">
        <f t="shared" si="392"/>
        <v>46265.651000000005</v>
      </c>
      <c r="AK171" s="246">
        <f t="shared" si="392"/>
        <v>45041.60500000001</v>
      </c>
      <c r="AL171" s="247">
        <f t="shared" ref="AL171:AM171" si="393">AL159+AL164+SUM(AL166:AL170)</f>
        <v>44647.681000000004</v>
      </c>
      <c r="AM171" s="245">
        <f t="shared" si="393"/>
        <v>44647.681000000004</v>
      </c>
      <c r="AN171" s="248">
        <f>AN159+AN164+SUM(AN166:AN170)</f>
        <v>45933.881999999998</v>
      </c>
      <c r="AO171" s="246">
        <f t="shared" ref="AO171" si="394">AO159+AO164+SUM(AO166:AO170)</f>
        <v>45877.041999999987</v>
      </c>
      <c r="AP171" s="246">
        <f t="shared" si="391"/>
        <v>47738.181000000004</v>
      </c>
      <c r="AQ171" s="247">
        <f t="shared" ref="AQ171:AR171" si="395">AQ159+AQ164+SUM(AQ166:AQ170)</f>
        <v>45904.434000000001</v>
      </c>
      <c r="AR171" s="245">
        <f t="shared" si="395"/>
        <v>45904.434000000001</v>
      </c>
      <c r="AS171" s="248">
        <f t="shared" ref="AS171" si="396">AS159+AS164+SUM(AS166:AS170)</f>
        <v>45318.205999999998</v>
      </c>
      <c r="AT171" s="246">
        <f t="shared" ref="AT171:BB171" si="397">AT159+AT164+SUM(AT166:AT170)</f>
        <v>46007.037000000004</v>
      </c>
      <c r="AU171" s="246">
        <f t="shared" si="397"/>
        <v>46398.442000000003</v>
      </c>
      <c r="AV171" s="247">
        <f t="shared" si="397"/>
        <v>46707.148999999998</v>
      </c>
      <c r="AW171" s="245">
        <f t="shared" si="397"/>
        <v>46707.148999999998</v>
      </c>
      <c r="AX171" s="248">
        <f t="shared" si="397"/>
        <v>46654.788774357956</v>
      </c>
      <c r="AY171" s="246">
        <f t="shared" si="397"/>
        <v>48775.570620594997</v>
      </c>
      <c r="AZ171" s="246">
        <f t="shared" si="397"/>
        <v>48855.074901894215</v>
      </c>
      <c r="BA171" s="247">
        <f t="shared" si="397"/>
        <v>48858.45751708348</v>
      </c>
      <c r="BB171" s="245">
        <f t="shared" si="397"/>
        <v>48858.45751708348</v>
      </c>
      <c r="BC171" s="248">
        <f t="shared" ref="BC171:BL171" si="398">BC159+BC164+SUM(BC166:BC170)</f>
        <v>49386.590619726863</v>
      </c>
      <c r="BD171" s="246">
        <f t="shared" si="398"/>
        <v>49972.171643742869</v>
      </c>
      <c r="BE171" s="246">
        <f t="shared" si="398"/>
        <v>51342.480446719193</v>
      </c>
      <c r="BF171" s="247">
        <f t="shared" si="398"/>
        <v>51382.594267105305</v>
      </c>
      <c r="BG171" s="245">
        <f t="shared" si="398"/>
        <v>51382.594267105305</v>
      </c>
      <c r="BH171" s="248">
        <f t="shared" si="398"/>
        <v>51601.484513108662</v>
      </c>
      <c r="BI171" s="246">
        <f t="shared" si="398"/>
        <v>52073.764670566881</v>
      </c>
      <c r="BJ171" s="246">
        <f t="shared" si="398"/>
        <v>53818.152508428109</v>
      </c>
      <c r="BK171" s="247">
        <f t="shared" si="398"/>
        <v>53567.565919792469</v>
      </c>
      <c r="BL171" s="245">
        <f t="shared" si="398"/>
        <v>53567.565919792469</v>
      </c>
      <c r="BM171" s="248">
        <f t="shared" ref="BM171:BQ171" si="399">BM159+BM164+SUM(BM166:BM170)</f>
        <v>53536.158558610674</v>
      </c>
      <c r="BN171" s="246">
        <f t="shared" si="399"/>
        <v>54063.824063398002</v>
      </c>
      <c r="BO171" s="246">
        <f t="shared" si="399"/>
        <v>55404.179156920072</v>
      </c>
      <c r="BP171" s="247">
        <f t="shared" si="399"/>
        <v>55432.735392777649</v>
      </c>
      <c r="BQ171" s="245">
        <f t="shared" si="399"/>
        <v>55432.735392777649</v>
      </c>
      <c r="BR171" s="244"/>
      <c r="BS171" s="244"/>
      <c r="BT171" s="233"/>
      <c r="BU171" s="240"/>
      <c r="BV171" s="233"/>
      <c r="BW171" s="233"/>
      <c r="BX171" s="233"/>
      <c r="BY171" s="233"/>
      <c r="BZ171" s="233"/>
      <c r="CA171" s="233"/>
      <c r="CB171" s="233"/>
      <c r="CC171" s="233"/>
      <c r="CD171" s="233"/>
      <c r="CE171" s="233"/>
    </row>
    <row r="172" spans="1:83">
      <c r="A172" s="233"/>
      <c r="B172" s="233"/>
      <c r="C172" s="1264"/>
      <c r="D172" s="233"/>
      <c r="E172" s="250"/>
      <c r="F172" s="250"/>
      <c r="G172" s="250"/>
      <c r="H172" s="251"/>
      <c r="I172" s="379"/>
      <c r="J172" s="249"/>
      <c r="K172" s="250"/>
      <c r="L172" s="250"/>
      <c r="M172" s="251"/>
      <c r="N172" s="244"/>
      <c r="O172" s="249"/>
      <c r="P172" s="250"/>
      <c r="Q172" s="250"/>
      <c r="R172" s="251"/>
      <c r="S172" s="244"/>
      <c r="T172" s="249"/>
      <c r="U172" s="250"/>
      <c r="V172" s="250"/>
      <c r="W172" s="251"/>
      <c r="X172" s="244"/>
      <c r="Y172" s="249"/>
      <c r="Z172" s="250"/>
      <c r="AA172" s="250"/>
      <c r="AB172" s="251"/>
      <c r="AC172" s="244"/>
      <c r="AD172" s="249"/>
      <c r="AE172" s="250"/>
      <c r="AF172" s="250"/>
      <c r="AG172" s="251"/>
      <c r="AH172" s="244"/>
      <c r="AI172" s="249"/>
      <c r="AJ172" s="250"/>
      <c r="AK172" s="1728"/>
      <c r="AL172" s="251"/>
      <c r="AM172" s="244"/>
      <c r="AN172" s="249"/>
      <c r="AO172" s="250"/>
      <c r="AP172" s="250"/>
      <c r="AQ172" s="251"/>
      <c r="AR172" s="244"/>
      <c r="AS172" s="249"/>
      <c r="AT172" s="250"/>
      <c r="AU172" s="250"/>
      <c r="AV172" s="251"/>
      <c r="AW172" s="244"/>
      <c r="AX172" s="249"/>
      <c r="AY172" s="250"/>
      <c r="AZ172" s="250"/>
      <c r="BA172" s="251"/>
      <c r="BB172" s="244"/>
      <c r="BC172" s="249"/>
      <c r="BD172" s="250"/>
      <c r="BE172" s="250"/>
      <c r="BF172" s="251"/>
      <c r="BG172" s="244"/>
      <c r="BH172" s="249"/>
      <c r="BI172" s="250"/>
      <c r="BJ172" s="250"/>
      <c r="BK172" s="251"/>
      <c r="BL172" s="244"/>
      <c r="BM172" s="249"/>
      <c r="BN172" s="250"/>
      <c r="BO172" s="250"/>
      <c r="BP172" s="251"/>
      <c r="BQ172" s="244"/>
      <c r="BR172" s="244"/>
      <c r="BS172" s="244"/>
      <c r="BT172" s="233"/>
      <c r="BU172" s="233"/>
      <c r="BV172" s="233"/>
      <c r="BW172" s="233"/>
      <c r="BX172" s="233"/>
      <c r="BY172" s="233"/>
      <c r="BZ172" s="233"/>
      <c r="CA172" s="233"/>
      <c r="CB172" s="233"/>
      <c r="CC172" s="233"/>
      <c r="CD172" s="233"/>
      <c r="CE172" s="233"/>
    </row>
    <row r="173" spans="1:83">
      <c r="A173" s="233"/>
      <c r="B173" s="233"/>
      <c r="C173" s="1264" t="s">
        <v>591</v>
      </c>
      <c r="D173" s="233"/>
      <c r="E173" s="190">
        <v>575.64700000000005</v>
      </c>
      <c r="F173" s="190">
        <v>805.68399999999997</v>
      </c>
      <c r="G173" s="190">
        <v>957.81600000000003</v>
      </c>
      <c r="H173" s="191">
        <v>711.95699999999999</v>
      </c>
      <c r="I173" s="379">
        <f>H173</f>
        <v>711.95699999999999</v>
      </c>
      <c r="J173" s="393">
        <v>800.41399999999999</v>
      </c>
      <c r="K173" s="190">
        <v>590.45399999999995</v>
      </c>
      <c r="L173" s="190">
        <v>588.78300000000002</v>
      </c>
      <c r="M173" s="191">
        <v>299.548</v>
      </c>
      <c r="N173" s="244">
        <f>M173</f>
        <v>299.548</v>
      </c>
      <c r="O173" s="393">
        <v>208.655</v>
      </c>
      <c r="P173" s="190">
        <v>128.06200000000001</v>
      </c>
      <c r="Q173" s="190">
        <v>2022.41</v>
      </c>
      <c r="R173" s="191">
        <v>2192.7330000000002</v>
      </c>
      <c r="S173" s="244">
        <f>R173</f>
        <v>2192.7330000000002</v>
      </c>
      <c r="T173" s="393">
        <v>315.27499999999998</v>
      </c>
      <c r="U173" s="190">
        <v>420.38900000000001</v>
      </c>
      <c r="V173" s="190">
        <v>787.71100000000001</v>
      </c>
      <c r="W173" s="191">
        <v>718.51599999999996</v>
      </c>
      <c r="X173" s="244">
        <f>W173</f>
        <v>718.51599999999996</v>
      </c>
      <c r="Y173" s="393">
        <v>630.62199999999996</v>
      </c>
      <c r="Z173" s="190">
        <v>525.62199999999996</v>
      </c>
      <c r="AA173" s="190">
        <v>206.26</v>
      </c>
      <c r="AB173" s="191">
        <v>457.09500000000003</v>
      </c>
      <c r="AC173" s="244">
        <f>AB173</f>
        <v>457.09500000000003</v>
      </c>
      <c r="AD173" s="393">
        <v>422.666</v>
      </c>
      <c r="AE173" s="190">
        <v>682.66600000000005</v>
      </c>
      <c r="AF173" s="190">
        <v>1114.046</v>
      </c>
      <c r="AG173" s="191">
        <v>899.375</v>
      </c>
      <c r="AH173" s="244">
        <f>AG173</f>
        <v>899.375</v>
      </c>
      <c r="AI173" s="393">
        <v>896.87699999999995</v>
      </c>
      <c r="AJ173" s="190">
        <v>794.77700000000004</v>
      </c>
      <c r="AK173" s="190">
        <v>278.714</v>
      </c>
      <c r="AL173" s="191">
        <v>214.374</v>
      </c>
      <c r="AM173" s="244">
        <f>AL173</f>
        <v>214.374</v>
      </c>
      <c r="AN173" s="393">
        <v>796.73199999999997</v>
      </c>
      <c r="AO173" s="190">
        <v>671.73199999999997</v>
      </c>
      <c r="AP173" s="190">
        <v>750.2</v>
      </c>
      <c r="AQ173" s="191">
        <v>364.9</v>
      </c>
      <c r="AR173" s="244">
        <f>AQ173</f>
        <v>364.9</v>
      </c>
      <c r="AS173" s="393">
        <v>333.709</v>
      </c>
      <c r="AT173" s="190">
        <v>702.90899999999999</v>
      </c>
      <c r="AU173" s="190">
        <v>869.20699999999999</v>
      </c>
      <c r="AV173" s="191">
        <v>760.00699999999995</v>
      </c>
      <c r="AW173" s="244">
        <f>AV173</f>
        <v>760.00699999999995</v>
      </c>
      <c r="AX173" s="177">
        <f>-SUM(AY137:BA137,BC137)</f>
        <v>1260</v>
      </c>
      <c r="AY173" s="178">
        <f>-SUM(AZ137:BA137,BC137:BD137)</f>
        <v>885</v>
      </c>
      <c r="AZ173" s="178">
        <f>-SUM(BA137,BC137:BE137)</f>
        <v>765.76900000000001</v>
      </c>
      <c r="BA173" s="179">
        <f>-SUM(BC137:BF137)</f>
        <v>680.76900000000001</v>
      </c>
      <c r="BB173" s="244">
        <f>BA173</f>
        <v>680.76900000000001</v>
      </c>
      <c r="BC173" s="177">
        <f>-SUM(BD137:BF137,BH137)</f>
        <v>180.76900000000001</v>
      </c>
      <c r="BD173" s="178">
        <f>-SUM(BE137:BF137,BH137:BI137)</f>
        <v>180.76900000000001</v>
      </c>
      <c r="BE173" s="178">
        <f>-SUM(BF137,BH137:BJ137)</f>
        <v>520</v>
      </c>
      <c r="BF173" s="179">
        <f>-SUM(BH137:BK137)</f>
        <v>795</v>
      </c>
      <c r="BG173" s="244">
        <f>BF173</f>
        <v>795</v>
      </c>
      <c r="BH173" s="177">
        <f>-SUM(BI137:BK137,BM137)</f>
        <v>1185</v>
      </c>
      <c r="BI173" s="178">
        <f>-SUM(BJ137:BK137,BM137:BN137)</f>
        <v>1634.2280000000001</v>
      </c>
      <c r="BJ173" s="178">
        <f>-SUM(BK137,BM137:BO137)</f>
        <v>1314.9920000000002</v>
      </c>
      <c r="BK173" s="179">
        <f>-SUM(BM137:BP137)</f>
        <v>1039.9920000000002</v>
      </c>
      <c r="BL173" s="244">
        <f>BK173</f>
        <v>1039.9920000000002</v>
      </c>
      <c r="BM173" s="177">
        <f>-SUM(BN137:BP137)</f>
        <v>649.99199999999996</v>
      </c>
      <c r="BN173" s="178">
        <f>-SUM(BO137:BP137)</f>
        <v>200.76400000000001</v>
      </c>
      <c r="BO173" s="178">
        <f>-SUM(BP137)</f>
        <v>0</v>
      </c>
      <c r="BP173" s="219">
        <v>0</v>
      </c>
      <c r="BQ173" s="244">
        <f>BP173</f>
        <v>0</v>
      </c>
      <c r="BR173" s="244"/>
      <c r="BS173" s="244"/>
      <c r="BT173" s="233"/>
      <c r="BU173" s="233"/>
      <c r="BV173" s="233"/>
      <c r="BW173" s="233"/>
      <c r="BX173" s="233"/>
      <c r="BY173" s="233"/>
      <c r="BZ173" s="233"/>
      <c r="CA173" s="233"/>
      <c r="CB173" s="233"/>
      <c r="CC173" s="233"/>
      <c r="CD173" s="233"/>
      <c r="CE173" s="233"/>
    </row>
    <row r="174" spans="1:83">
      <c r="A174" s="233"/>
      <c r="B174" s="233"/>
      <c r="C174" s="1264" t="s">
        <v>613</v>
      </c>
      <c r="D174" s="233"/>
      <c r="E174" s="190">
        <v>80.034000000000006</v>
      </c>
      <c r="F174" s="190">
        <v>55.033999999999999</v>
      </c>
      <c r="G174" s="190">
        <v>55.030999999999999</v>
      </c>
      <c r="H174" s="191">
        <v>30.030999999999999</v>
      </c>
      <c r="I174" s="379">
        <f>H174</f>
        <v>30.030999999999999</v>
      </c>
      <c r="J174" s="393">
        <v>175.49799999999999</v>
      </c>
      <c r="K174" s="190">
        <v>203.97399999999999</v>
      </c>
      <c r="L174" s="190">
        <v>167.91499999999999</v>
      </c>
      <c r="M174" s="191">
        <v>30.027999999999999</v>
      </c>
      <c r="N174" s="244">
        <f>M174</f>
        <v>30.027999999999999</v>
      </c>
      <c r="O174" s="393">
        <v>183.07900000000001</v>
      </c>
      <c r="P174" s="190">
        <v>130.79499999999999</v>
      </c>
      <c r="Q174" s="190">
        <v>144.87100000000001</v>
      </c>
      <c r="R174" s="191">
        <f>108.331</f>
        <v>108.331</v>
      </c>
      <c r="S174" s="244">
        <f>R174</f>
        <v>108.331</v>
      </c>
      <c r="T174" s="393">
        <v>141.113</v>
      </c>
      <c r="U174" s="190">
        <v>103.71599999999999</v>
      </c>
      <c r="V174" s="190">
        <v>356.17200000000003</v>
      </c>
      <c r="W174" s="191">
        <v>796.00199999999995</v>
      </c>
      <c r="X174" s="244">
        <f>W174</f>
        <v>796.00199999999995</v>
      </c>
      <c r="Y174" s="393">
        <v>1073.8879999999999</v>
      </c>
      <c r="Z174" s="190">
        <v>1090.124</v>
      </c>
      <c r="AA174" s="190">
        <v>1106.039</v>
      </c>
      <c r="AB174" s="191">
        <v>1046.8869999999999</v>
      </c>
      <c r="AC174" s="244">
        <f>AB174</f>
        <v>1046.8869999999999</v>
      </c>
      <c r="AD174" s="393">
        <v>1204.846</v>
      </c>
      <c r="AE174" s="190">
        <v>1039.3489999999999</v>
      </c>
      <c r="AF174" s="190">
        <v>891.44500000000005</v>
      </c>
      <c r="AG174" s="191">
        <v>598.40700000000004</v>
      </c>
      <c r="AH174" s="244">
        <f>AG174</f>
        <v>598.40700000000004</v>
      </c>
      <c r="AI174" s="393">
        <v>808.41899999999998</v>
      </c>
      <c r="AJ174" s="190">
        <v>939.98500000000001</v>
      </c>
      <c r="AK174" s="190">
        <v>782.02200000000005</v>
      </c>
      <c r="AL174" s="191">
        <v>494.34800000000001</v>
      </c>
      <c r="AM174" s="244">
        <f>AL174</f>
        <v>494.34800000000001</v>
      </c>
      <c r="AN174" s="393">
        <v>766.07899999999995</v>
      </c>
      <c r="AO174" s="190">
        <v>1024.8879999999999</v>
      </c>
      <c r="AP174" s="190">
        <v>433.363</v>
      </c>
      <c r="AQ174" s="191">
        <v>415.01100000000002</v>
      </c>
      <c r="AR174" s="244">
        <f>AQ174</f>
        <v>415.01100000000002</v>
      </c>
      <c r="AS174" s="393">
        <v>1323.39</v>
      </c>
      <c r="AT174" s="190">
        <v>1248.9690000000001</v>
      </c>
      <c r="AU174" s="190">
        <v>1352.6880000000001</v>
      </c>
      <c r="AV174" s="191">
        <v>1578.308</v>
      </c>
      <c r="AW174" s="244">
        <f>AV174</f>
        <v>1578.308</v>
      </c>
      <c r="AX174" s="249">
        <f>AW174+AX138+AX150</f>
        <v>1376.6902288384529</v>
      </c>
      <c r="AY174" s="250">
        <f>AX174+AY138+AY150</f>
        <v>0</v>
      </c>
      <c r="AZ174" s="250">
        <f>AY174+AZ138+AZ150</f>
        <v>0</v>
      </c>
      <c r="BA174" s="251">
        <f>AZ174+BA138+BA150</f>
        <v>0</v>
      </c>
      <c r="BB174" s="244">
        <f>BA174</f>
        <v>0</v>
      </c>
      <c r="BC174" s="249">
        <f>BB174+BC138+BC150</f>
        <v>862.52016783270449</v>
      </c>
      <c r="BD174" s="250">
        <f>BC174+BD138+BD150</f>
        <v>1279.3798344476027</v>
      </c>
      <c r="BE174" s="250">
        <f>BD174+BE138+BE150</f>
        <v>0</v>
      </c>
      <c r="BF174" s="251">
        <f>BE174+BF138+BF150</f>
        <v>0</v>
      </c>
      <c r="BG174" s="244">
        <f>BF174</f>
        <v>0</v>
      </c>
      <c r="BH174" s="249">
        <f>BG174+BH138+BH150</f>
        <v>8.2851021835423921</v>
      </c>
      <c r="BI174" s="250">
        <f>BH174+BI138+BI150</f>
        <v>335.51642031396727</v>
      </c>
      <c r="BJ174" s="250">
        <f>BI174+BJ138+BJ150</f>
        <v>0</v>
      </c>
      <c r="BK174" s="251">
        <f>BJ174+BK138+BK150</f>
        <v>0</v>
      </c>
      <c r="BL174" s="244">
        <f>BK174</f>
        <v>0</v>
      </c>
      <c r="BM174" s="249">
        <f>BL174+BM138+BM150</f>
        <v>227.82653339736703</v>
      </c>
      <c r="BN174" s="250">
        <f>BM174+BN138+BN150</f>
        <v>1052.8616026665477</v>
      </c>
      <c r="BO174" s="250">
        <f>BN174+BO138+BO150</f>
        <v>0</v>
      </c>
      <c r="BP174" s="251">
        <f>BO174+BP138+BP150</f>
        <v>0</v>
      </c>
      <c r="BQ174" s="244">
        <f>BP174</f>
        <v>0</v>
      </c>
      <c r="BR174" s="244"/>
      <c r="BS174" s="244"/>
      <c r="BT174" s="233"/>
      <c r="BU174" s="233"/>
      <c r="BV174" s="233"/>
      <c r="BW174" s="233"/>
      <c r="BX174" s="233"/>
      <c r="BY174" s="233"/>
      <c r="BZ174" s="233"/>
      <c r="CA174" s="233"/>
      <c r="CB174" s="233"/>
      <c r="CC174" s="233"/>
      <c r="CD174" s="233"/>
      <c r="CE174" s="233"/>
    </row>
    <row r="175" spans="1:83">
      <c r="A175" s="233"/>
      <c r="B175" s="233"/>
      <c r="C175" s="1264" t="s">
        <v>378</v>
      </c>
      <c r="D175" s="233"/>
      <c r="E175" s="190">
        <v>874.06799999999998</v>
      </c>
      <c r="F175" s="190">
        <v>949.75800000000004</v>
      </c>
      <c r="G175" s="190">
        <v>818.34900000000005</v>
      </c>
      <c r="H175" s="191">
        <v>998.22799999999995</v>
      </c>
      <c r="I175" s="379">
        <f>H175</f>
        <v>998.22799999999995</v>
      </c>
      <c r="J175" s="393">
        <v>877.09299999999996</v>
      </c>
      <c r="K175" s="190">
        <v>976.74</v>
      </c>
      <c r="L175" s="190">
        <v>1009.194</v>
      </c>
      <c r="M175" s="191">
        <v>1181.0989999999999</v>
      </c>
      <c r="N175" s="244">
        <f>M175</f>
        <v>1181.0989999999999</v>
      </c>
      <c r="O175" s="393">
        <v>986.30700000000002</v>
      </c>
      <c r="P175" s="190">
        <v>1044.2170000000001</v>
      </c>
      <c r="Q175" s="190">
        <v>882.65099999999995</v>
      </c>
      <c r="R175" s="191">
        <f>1069.096</f>
        <v>1069.096</v>
      </c>
      <c r="S175" s="244">
        <f>R175</f>
        <v>1069.096</v>
      </c>
      <c r="T175" s="393">
        <v>916.24800000000005</v>
      </c>
      <c r="U175" s="190">
        <v>1035.8340000000001</v>
      </c>
      <c r="V175" s="190">
        <v>1362.702</v>
      </c>
      <c r="W175" s="191">
        <v>1217.18</v>
      </c>
      <c r="X175" s="244">
        <f>W175</f>
        <v>1217.18</v>
      </c>
      <c r="Y175" s="393">
        <v>1036.1220000000001</v>
      </c>
      <c r="Z175" s="190">
        <v>1170.405</v>
      </c>
      <c r="AA175" s="190">
        <v>900.13099999999997</v>
      </c>
      <c r="AB175" s="191">
        <v>1173.3130000000001</v>
      </c>
      <c r="AC175" s="244">
        <f>AB175</f>
        <v>1173.3130000000001</v>
      </c>
      <c r="AD175" s="393">
        <v>1145.5909999999999</v>
      </c>
      <c r="AE175" s="190">
        <v>1159.7260000000001</v>
      </c>
      <c r="AF175" s="190">
        <v>1104.105</v>
      </c>
      <c r="AG175" s="191">
        <v>1166.431</v>
      </c>
      <c r="AH175" s="244">
        <f>AG175</f>
        <v>1166.431</v>
      </c>
      <c r="AI175" s="393">
        <v>941.596</v>
      </c>
      <c r="AJ175" s="190">
        <v>1013.026</v>
      </c>
      <c r="AK175" s="190">
        <v>1042.173</v>
      </c>
      <c r="AL175" s="191">
        <v>1071.798</v>
      </c>
      <c r="AM175" s="244">
        <f>AL175</f>
        <v>1071.798</v>
      </c>
      <c r="AN175" s="393">
        <v>888.34900000000005</v>
      </c>
      <c r="AO175" s="190">
        <v>967.08</v>
      </c>
      <c r="AP175" s="190">
        <v>1063.1389999999999</v>
      </c>
      <c r="AQ175" s="191">
        <v>1285.577</v>
      </c>
      <c r="AR175" s="244">
        <f>AQ175</f>
        <v>1285.577</v>
      </c>
      <c r="AS175" s="393">
        <v>1149.498</v>
      </c>
      <c r="AT175" s="190">
        <v>1165.6990000000001</v>
      </c>
      <c r="AU175" s="190">
        <v>1105.038</v>
      </c>
      <c r="AV175" s="191">
        <v>1452.2159999999999</v>
      </c>
      <c r="AW175" s="244">
        <f>AV175</f>
        <v>1452.2159999999999</v>
      </c>
      <c r="AX175" s="249">
        <f t="shared" ref="AX175:BB176" si="400">+AW175</f>
        <v>1452.2159999999999</v>
      </c>
      <c r="AY175" s="250">
        <f t="shared" si="400"/>
        <v>1452.2159999999999</v>
      </c>
      <c r="AZ175" s="250">
        <f t="shared" si="400"/>
        <v>1452.2159999999999</v>
      </c>
      <c r="BA175" s="251">
        <f t="shared" si="400"/>
        <v>1452.2159999999999</v>
      </c>
      <c r="BB175" s="244">
        <f t="shared" si="400"/>
        <v>1452.2159999999999</v>
      </c>
      <c r="BC175" s="249">
        <f t="shared" ref="BC175:BC176" si="401">+BB175</f>
        <v>1452.2159999999999</v>
      </c>
      <c r="BD175" s="250">
        <f t="shared" ref="BD175:BD176" si="402">+BC175</f>
        <v>1452.2159999999999</v>
      </c>
      <c r="BE175" s="250">
        <f t="shared" ref="BE175:BE176" si="403">+BD175</f>
        <v>1452.2159999999999</v>
      </c>
      <c r="BF175" s="251">
        <f t="shared" ref="BF175:BF176" si="404">+BE175</f>
        <v>1452.2159999999999</v>
      </c>
      <c r="BG175" s="244">
        <f t="shared" ref="BG175:BG176" si="405">+BF175</f>
        <v>1452.2159999999999</v>
      </c>
      <c r="BH175" s="249">
        <f t="shared" ref="BH175:BH176" si="406">+BG175</f>
        <v>1452.2159999999999</v>
      </c>
      <c r="BI175" s="250">
        <f t="shared" ref="BI175:BI176" si="407">+BH175</f>
        <v>1452.2159999999999</v>
      </c>
      <c r="BJ175" s="250">
        <f t="shared" ref="BJ175:BJ176" si="408">+BI175</f>
        <v>1452.2159999999999</v>
      </c>
      <c r="BK175" s="251">
        <f t="shared" ref="BK175:BK176" si="409">+BJ175</f>
        <v>1452.2159999999999</v>
      </c>
      <c r="BL175" s="244">
        <f t="shared" ref="BL175:BL176" si="410">+BK175</f>
        <v>1452.2159999999999</v>
      </c>
      <c r="BM175" s="249">
        <f t="shared" ref="BM175:BM176" si="411">+BL175</f>
        <v>1452.2159999999999</v>
      </c>
      <c r="BN175" s="250">
        <f t="shared" ref="BN175:BN176" si="412">+BM175</f>
        <v>1452.2159999999999</v>
      </c>
      <c r="BO175" s="250">
        <f t="shared" ref="BO175:BO176" si="413">+BN175</f>
        <v>1452.2159999999999</v>
      </c>
      <c r="BP175" s="251">
        <f t="shared" ref="BP175:BP176" si="414">+BO175</f>
        <v>1452.2159999999999</v>
      </c>
      <c r="BQ175" s="244">
        <f t="shared" ref="BQ175:BQ176" si="415">+BP175</f>
        <v>1452.2159999999999</v>
      </c>
      <c r="BR175" s="244"/>
      <c r="BS175" s="244"/>
      <c r="BT175" s="233"/>
      <c r="BU175" s="233"/>
      <c r="BV175" s="233"/>
      <c r="BW175" s="233"/>
      <c r="BX175" s="233"/>
      <c r="BY175" s="233"/>
      <c r="BZ175" s="233"/>
      <c r="CA175" s="233"/>
      <c r="CB175" s="233"/>
      <c r="CC175" s="233"/>
      <c r="CD175" s="233"/>
      <c r="CE175" s="233"/>
    </row>
    <row r="176" spans="1:83">
      <c r="A176" s="233"/>
      <c r="B176" s="233"/>
      <c r="C176" s="1264" t="s">
        <v>379</v>
      </c>
      <c r="D176" s="233"/>
      <c r="E176" s="190">
        <f>310.033+62.426+149.896+311.482+162.415+38.338+460.315+229.463</f>
        <v>1724.3679999999999</v>
      </c>
      <c r="F176" s="190">
        <f>318.115+80.403+150.267+311.325+164.702+38.849+418.64+208.442</f>
        <v>1690.7429999999999</v>
      </c>
      <c r="G176" s="190">
        <f>320.632+122.141+15.597+175.134+275.609+162.893+39.367+255.859+175.766</f>
        <v>1542.998</v>
      </c>
      <c r="H176" s="191">
        <f>323.342+48.584+192.283+219.639+212.496+55.031+187.204+215.202</f>
        <v>1453.7809999999999</v>
      </c>
      <c r="I176" s="379">
        <f>H176</f>
        <v>1453.7809999999999</v>
      </c>
      <c r="J176" s="393">
        <f>325.859+7.1+161.343+118.483+2.395+55.71+187.314+348.572</f>
        <v>1206.7760000000001</v>
      </c>
      <c r="K176" s="190">
        <f>327.805+5.33+171.219+109.926+2.432+41.288+79.018+298.318</f>
        <v>1035.336</v>
      </c>
      <c r="L176" s="190">
        <f>330.293+86.562+189.052+93.257+3.352+41.965+25.931+382.711</f>
        <v>1153.123</v>
      </c>
      <c r="M176" s="191">
        <f>335.058+15.425+217.685+166.409+3.388+39.862+77.96+277.598</f>
        <v>1133.385</v>
      </c>
      <c r="N176" s="244">
        <f>M176</f>
        <v>1133.385</v>
      </c>
      <c r="O176" s="393">
        <f>340.279+68.57+149.707+87.351+3.461+39.897+52.16+191.278</f>
        <v>932.70300000000009</v>
      </c>
      <c r="P176" s="190">
        <f>345.079+99.147+178.28+15.142+3.599+40.235+66.351+191.497</f>
        <v>939.33000000000015</v>
      </c>
      <c r="Q176" s="190">
        <f>347.185+64.821+164.378+69.566+3.578+40.57+33.19+231.123</f>
        <v>954.41100000000006</v>
      </c>
      <c r="R176" s="191">
        <f>4938.269-2192.733-108.331-1069.096</f>
        <v>1568.1089999999999</v>
      </c>
      <c r="S176" s="244">
        <f>R176</f>
        <v>1568.1089999999999</v>
      </c>
      <c r="T176" s="393">
        <f>354.178+188.652+94.126+151.318+279.723+3.692+46.341+74.207+345.781</f>
        <v>1538.0179999999996</v>
      </c>
      <c r="U176" s="190">
        <f>357.402+265.789+83.107+176.534+185.914+3.753+46.341+72.785+290.379</f>
        <v>1482.0039999999999</v>
      </c>
      <c r="V176" s="190">
        <f>361.174+322.86+73.69+158.761+127.551+3.816+50.874+55.094+263.863</f>
        <v>1417.683</v>
      </c>
      <c r="W176" s="191">
        <f>359.078+333.719+13.109+184.664+96.439+3.88+95.9+25.848+261.986</f>
        <v>1374.623</v>
      </c>
      <c r="X176" s="244">
        <f>W176</f>
        <v>1374.623</v>
      </c>
      <c r="Y176" s="393">
        <f>361.299+298.071+15.004+154.095+27.684+3.495+97.404+16.88+181.856</f>
        <v>1155.788</v>
      </c>
      <c r="Z176" s="190">
        <f>365.223+275.543+22.103+181.492+3.116+3.111+93.044+14.6+239.571</f>
        <v>1197.8029999999999</v>
      </c>
      <c r="AA176" s="190">
        <f>366.151+327.569+35.095+159.078+21.995+2.717+53.822+6.256+253.915</f>
        <v>1226.598</v>
      </c>
      <c r="AB176" s="191">
        <f>370.997+191.093+28.307+180.997+57.631+2.323+67.419+61.04+423.47</f>
        <v>1383.277</v>
      </c>
      <c r="AC176" s="244">
        <f>AB176</f>
        <v>1383.277</v>
      </c>
      <c r="AD176" s="393">
        <f>372.723+111.264+28.382+156.195+21.435+2.368+57.109+394.882</f>
        <v>1144.3580000000002</v>
      </c>
      <c r="AE176" s="190">
        <f>401.055+151.776+36.098+182.505+14.545+2.413+51.844+406.092</f>
        <v>1246.328</v>
      </c>
      <c r="AF176" s="190">
        <f>406.114+210.838+55.126+177.066+88.23+2.46+52.497+351.64</f>
        <v>1343.971</v>
      </c>
      <c r="AG176" s="191">
        <f>412.166+128.108+38.039+206.01+91.602+2.508+57.994+248.251</f>
        <v>1184.6780000000001</v>
      </c>
      <c r="AH176" s="244">
        <f>AG176</f>
        <v>1184.6780000000001</v>
      </c>
      <c r="AI176" s="393">
        <f>415.195+60.167+94.719+163.459+146.078+2.557+58.786+177.572</f>
        <v>1118.5329999999999</v>
      </c>
      <c r="AJ176" s="190">
        <f>417.296+109.081+124.598+187.026+107.776+2.606+57.666+244.534</f>
        <v>1250.5830000000001</v>
      </c>
      <c r="AK176" s="190">
        <f>419.963+236.337+93.558+171.642+157.011+2.657+54.587+215.162</f>
        <v>1350.9169999999999</v>
      </c>
      <c r="AL176" s="191">
        <f>419.407+210.077+194.565+235.986+2.709+62.513+184.181</f>
        <v>1309.4379999999999</v>
      </c>
      <c r="AM176" s="244">
        <f>AL176</f>
        <v>1309.4379999999999</v>
      </c>
      <c r="AN176" s="393">
        <f>423.564+194.081+167.03+361.897+2.762+62.789+176.065</f>
        <v>1388.1879999999999</v>
      </c>
      <c r="AO176" s="190">
        <f>424.977+217.133+185.021+271.736+2.815+62.789+193.672</f>
        <v>1358.143</v>
      </c>
      <c r="AP176" s="190">
        <f>402.794+239.506+181.078+118.228+2.743+59.767+200.929</f>
        <v>1205.0450000000001</v>
      </c>
      <c r="AQ176" s="191">
        <f>403.311+181.114+187.229+102.753+2.423+76.942+180.836</f>
        <v>1134.6080000000002</v>
      </c>
      <c r="AR176" s="244">
        <f>AQ176</f>
        <v>1134.6080000000002</v>
      </c>
      <c r="AS176" s="393">
        <f>403.842+122.282+173.308+104.92+2.721+73.317+192.056</f>
        <v>1072.4459999999999</v>
      </c>
      <c r="AT176" s="190">
        <f>401.089+178.912+183.282+60.687+2.387+72.127+224.469</f>
        <v>1122.953</v>
      </c>
      <c r="AU176" s="190">
        <f>403.262+248.009+181.118+61.867+2.043+64.904+172.735</f>
        <v>1133.9379999999999</v>
      </c>
      <c r="AV176" s="191">
        <f>401.33+214.967+187.972+146.522+1.502+71.612+221.771</f>
        <v>1245.6759999999999</v>
      </c>
      <c r="AW176" s="244">
        <f>AV176</f>
        <v>1245.6759999999999</v>
      </c>
      <c r="AX176" s="249">
        <f t="shared" si="400"/>
        <v>1245.6759999999999</v>
      </c>
      <c r="AY176" s="250">
        <f t="shared" si="400"/>
        <v>1245.6759999999999</v>
      </c>
      <c r="AZ176" s="250">
        <f t="shared" si="400"/>
        <v>1245.6759999999999</v>
      </c>
      <c r="BA176" s="251">
        <f t="shared" si="400"/>
        <v>1245.6759999999999</v>
      </c>
      <c r="BB176" s="244">
        <f t="shared" si="400"/>
        <v>1245.6759999999999</v>
      </c>
      <c r="BC176" s="249">
        <f t="shared" si="401"/>
        <v>1245.6759999999999</v>
      </c>
      <c r="BD176" s="250">
        <f t="shared" si="402"/>
        <v>1245.6759999999999</v>
      </c>
      <c r="BE176" s="250">
        <f t="shared" si="403"/>
        <v>1245.6759999999999</v>
      </c>
      <c r="BF176" s="251">
        <f t="shared" si="404"/>
        <v>1245.6759999999999</v>
      </c>
      <c r="BG176" s="244">
        <f t="shared" si="405"/>
        <v>1245.6759999999999</v>
      </c>
      <c r="BH176" s="249">
        <f t="shared" si="406"/>
        <v>1245.6759999999999</v>
      </c>
      <c r="BI176" s="250">
        <f t="shared" si="407"/>
        <v>1245.6759999999999</v>
      </c>
      <c r="BJ176" s="250">
        <f t="shared" si="408"/>
        <v>1245.6759999999999</v>
      </c>
      <c r="BK176" s="251">
        <f t="shared" si="409"/>
        <v>1245.6759999999999</v>
      </c>
      <c r="BL176" s="244">
        <f t="shared" si="410"/>
        <v>1245.6759999999999</v>
      </c>
      <c r="BM176" s="249">
        <f t="shared" si="411"/>
        <v>1245.6759999999999</v>
      </c>
      <c r="BN176" s="250">
        <f t="shared" si="412"/>
        <v>1245.6759999999999</v>
      </c>
      <c r="BO176" s="250">
        <f t="shared" si="413"/>
        <v>1245.6759999999999</v>
      </c>
      <c r="BP176" s="251">
        <f t="shared" si="414"/>
        <v>1245.6759999999999</v>
      </c>
      <c r="BQ176" s="244">
        <f t="shared" si="415"/>
        <v>1245.6759999999999</v>
      </c>
      <c r="BR176" s="244"/>
      <c r="BS176" s="244"/>
      <c r="BT176" s="233"/>
      <c r="BU176" s="233"/>
      <c r="BV176" s="233"/>
      <c r="BW176" s="233"/>
      <c r="BX176" s="233"/>
      <c r="BY176" s="233"/>
      <c r="BZ176" s="233"/>
      <c r="CA176" s="233"/>
      <c r="CB176" s="233"/>
      <c r="CC176" s="233"/>
      <c r="CD176" s="233"/>
      <c r="CE176" s="233"/>
    </row>
    <row r="177" spans="1:83">
      <c r="A177" s="233"/>
      <c r="B177" s="233"/>
      <c r="C177" s="1175" t="s">
        <v>387</v>
      </c>
      <c r="D177" s="233"/>
      <c r="E177" s="246">
        <f t="shared" ref="E177:P177" si="416">SUM(E173:E176)</f>
        <v>3254.1170000000002</v>
      </c>
      <c r="F177" s="246">
        <f t="shared" si="416"/>
        <v>3501.2190000000001</v>
      </c>
      <c r="G177" s="246">
        <f t="shared" si="416"/>
        <v>3374.194</v>
      </c>
      <c r="H177" s="247">
        <f t="shared" si="416"/>
        <v>3193.9969999999998</v>
      </c>
      <c r="I177" s="380">
        <f t="shared" si="416"/>
        <v>3193.9969999999998</v>
      </c>
      <c r="J177" s="248">
        <f t="shared" si="416"/>
        <v>3059.7809999999999</v>
      </c>
      <c r="K177" s="246">
        <f t="shared" si="416"/>
        <v>2806.5039999999999</v>
      </c>
      <c r="L177" s="246">
        <f t="shared" si="416"/>
        <v>2919.0149999999999</v>
      </c>
      <c r="M177" s="247">
        <f t="shared" si="416"/>
        <v>2644.06</v>
      </c>
      <c r="N177" s="245">
        <f t="shared" si="416"/>
        <v>2644.06</v>
      </c>
      <c r="O177" s="248">
        <f t="shared" si="416"/>
        <v>2310.7440000000001</v>
      </c>
      <c r="P177" s="246">
        <f t="shared" si="416"/>
        <v>2242.4040000000005</v>
      </c>
      <c r="Q177" s="246">
        <f t="shared" ref="Q177:AA177" si="417">SUM(Q173:Q176)</f>
        <v>4004.3429999999998</v>
      </c>
      <c r="R177" s="247">
        <f t="shared" si="417"/>
        <v>4938.2690000000002</v>
      </c>
      <c r="S177" s="245">
        <f>SUM(S173:S176)</f>
        <v>4938.2690000000002</v>
      </c>
      <c r="T177" s="248">
        <f t="shared" si="417"/>
        <v>2910.6539999999995</v>
      </c>
      <c r="U177" s="246">
        <f t="shared" si="417"/>
        <v>3041.9430000000002</v>
      </c>
      <c r="V177" s="246">
        <f t="shared" si="417"/>
        <v>3924.268</v>
      </c>
      <c r="W177" s="247">
        <f>SUM(W173:W176)</f>
        <v>4106.3209999999999</v>
      </c>
      <c r="X177" s="245">
        <f>SUM(X173:X176)</f>
        <v>4106.3209999999999</v>
      </c>
      <c r="Y177" s="248">
        <f>SUM(Y173:Y176)</f>
        <v>3896.4199999999996</v>
      </c>
      <c r="Z177" s="246">
        <f t="shared" si="417"/>
        <v>3983.9539999999997</v>
      </c>
      <c r="AA177" s="246">
        <f t="shared" si="417"/>
        <v>3439.0279999999998</v>
      </c>
      <c r="AB177" s="247">
        <f>SUM(AB173:AB176)</f>
        <v>4060.5720000000001</v>
      </c>
      <c r="AC177" s="245">
        <f>SUM(AC173:AC176)</f>
        <v>4060.5720000000001</v>
      </c>
      <c r="AD177" s="248">
        <f>SUM(AD173:AD176)</f>
        <v>3917.4610000000002</v>
      </c>
      <c r="AE177" s="246">
        <f t="shared" ref="AE177" si="418">SUM(AE173:AE176)</f>
        <v>4128.0689999999995</v>
      </c>
      <c r="AF177" s="246">
        <f t="shared" ref="AF177:AK177" si="419">SUM(AF173:AF176)</f>
        <v>4453.567</v>
      </c>
      <c r="AG177" s="247">
        <f t="shared" si="419"/>
        <v>3848.8910000000005</v>
      </c>
      <c r="AH177" s="245">
        <f t="shared" si="419"/>
        <v>3848.8910000000005</v>
      </c>
      <c r="AI177" s="248">
        <f t="shared" si="419"/>
        <v>3765.4249999999997</v>
      </c>
      <c r="AJ177" s="246">
        <f t="shared" si="419"/>
        <v>3998.3710000000001</v>
      </c>
      <c r="AK177" s="246">
        <f t="shared" si="419"/>
        <v>3453.826</v>
      </c>
      <c r="AL177" s="247">
        <f t="shared" ref="AL177:AN177" si="420">SUM(AL173:AL176)</f>
        <v>3089.9579999999996</v>
      </c>
      <c r="AM177" s="245">
        <f t="shared" si="420"/>
        <v>3089.9579999999996</v>
      </c>
      <c r="AN177" s="248">
        <f t="shared" si="420"/>
        <v>3839.348</v>
      </c>
      <c r="AO177" s="246">
        <f t="shared" ref="AO177" si="421">SUM(AO173:AO176)</f>
        <v>4021.8429999999998</v>
      </c>
      <c r="AP177" s="246">
        <f t="shared" ref="AP177:AR177" si="422">SUM(AP173:AP176)</f>
        <v>3451.7470000000003</v>
      </c>
      <c r="AQ177" s="247">
        <f t="shared" si="422"/>
        <v>3200.0960000000005</v>
      </c>
      <c r="AR177" s="245">
        <f t="shared" si="422"/>
        <v>3200.0960000000005</v>
      </c>
      <c r="AS177" s="248">
        <f t="shared" ref="AS177" si="423">SUM(AS173:AS176)</f>
        <v>3879.0430000000001</v>
      </c>
      <c r="AT177" s="246">
        <f t="shared" ref="AT177:BB177" si="424">SUM(AT173:AT176)</f>
        <v>4240.5300000000007</v>
      </c>
      <c r="AU177" s="246">
        <f t="shared" si="424"/>
        <v>4460.8710000000001</v>
      </c>
      <c r="AV177" s="247">
        <f t="shared" si="424"/>
        <v>5036.2070000000003</v>
      </c>
      <c r="AW177" s="245">
        <f t="shared" si="424"/>
        <v>5036.2070000000003</v>
      </c>
      <c r="AX177" s="248">
        <f t="shared" si="424"/>
        <v>5334.5822288384525</v>
      </c>
      <c r="AY177" s="246">
        <f t="shared" si="424"/>
        <v>3582.8919999999998</v>
      </c>
      <c r="AZ177" s="246">
        <f t="shared" si="424"/>
        <v>3463.6609999999996</v>
      </c>
      <c r="BA177" s="247">
        <f t="shared" si="424"/>
        <v>3378.6609999999996</v>
      </c>
      <c r="BB177" s="245">
        <f t="shared" si="424"/>
        <v>3378.6609999999996</v>
      </c>
      <c r="BC177" s="248">
        <f t="shared" ref="BC177:BL177" si="425">SUM(BC173:BC176)</f>
        <v>3741.1811678327044</v>
      </c>
      <c r="BD177" s="246">
        <f t="shared" si="425"/>
        <v>4158.0408344476018</v>
      </c>
      <c r="BE177" s="246">
        <f t="shared" si="425"/>
        <v>3217.8919999999998</v>
      </c>
      <c r="BF177" s="247">
        <f t="shared" si="425"/>
        <v>3492.8919999999998</v>
      </c>
      <c r="BG177" s="245">
        <f t="shared" si="425"/>
        <v>3492.8919999999998</v>
      </c>
      <c r="BH177" s="248">
        <f t="shared" si="425"/>
        <v>3891.1771021835425</v>
      </c>
      <c r="BI177" s="246">
        <f t="shared" si="425"/>
        <v>4667.6364203139674</v>
      </c>
      <c r="BJ177" s="246">
        <f t="shared" si="425"/>
        <v>4012.884</v>
      </c>
      <c r="BK177" s="247">
        <f t="shared" si="425"/>
        <v>3737.884</v>
      </c>
      <c r="BL177" s="245">
        <f t="shared" si="425"/>
        <v>3737.884</v>
      </c>
      <c r="BM177" s="248">
        <f t="shared" ref="BM177:BQ177" si="426">SUM(BM173:BM176)</f>
        <v>3575.7105333973668</v>
      </c>
      <c r="BN177" s="246">
        <f t="shared" si="426"/>
        <v>3951.5176026665476</v>
      </c>
      <c r="BO177" s="246">
        <f t="shared" si="426"/>
        <v>2697.8919999999998</v>
      </c>
      <c r="BP177" s="247">
        <f t="shared" si="426"/>
        <v>2697.8919999999998</v>
      </c>
      <c r="BQ177" s="245">
        <f t="shared" si="426"/>
        <v>2697.8919999999998</v>
      </c>
      <c r="BR177" s="244"/>
      <c r="BS177" s="244"/>
      <c r="BT177" s="233"/>
      <c r="BU177" s="233"/>
      <c r="BV177" s="233"/>
      <c r="BW177" s="233"/>
      <c r="BX177" s="233"/>
      <c r="BY177" s="233"/>
      <c r="BZ177" s="233"/>
      <c r="CA177" s="233"/>
      <c r="CB177" s="233"/>
      <c r="CC177" s="233"/>
      <c r="CD177" s="233"/>
      <c r="CE177" s="233"/>
    </row>
    <row r="178" spans="1:83">
      <c r="A178" s="233"/>
      <c r="B178" s="233"/>
      <c r="C178" s="1264"/>
      <c r="D178" s="233"/>
      <c r="E178" s="250"/>
      <c r="F178" s="250"/>
      <c r="G178" s="250"/>
      <c r="H178" s="251"/>
      <c r="I178" s="379"/>
      <c r="J178" s="249"/>
      <c r="K178" s="250"/>
      <c r="L178" s="250"/>
      <c r="M178" s="251"/>
      <c r="N178" s="244"/>
      <c r="O178" s="249"/>
      <c r="P178" s="250"/>
      <c r="Q178" s="250"/>
      <c r="R178" s="251"/>
      <c r="S178" s="244"/>
      <c r="T178" s="249"/>
      <c r="U178" s="250"/>
      <c r="V178" s="250"/>
      <c r="W178" s="251"/>
      <c r="X178" s="244"/>
      <c r="Y178" s="249"/>
      <c r="Z178" s="250"/>
      <c r="AA178" s="250"/>
      <c r="AB178" s="251"/>
      <c r="AC178" s="244"/>
      <c r="AD178" s="249"/>
      <c r="AE178" s="250"/>
      <c r="AF178" s="250"/>
      <c r="AG178" s="251"/>
      <c r="AH178" s="244"/>
      <c r="AI178" s="249"/>
      <c r="AJ178" s="250"/>
      <c r="AK178" s="250"/>
      <c r="AL178" s="251"/>
      <c r="AM178" s="244"/>
      <c r="AN178" s="249"/>
      <c r="AO178" s="250"/>
      <c r="AP178" s="250"/>
      <c r="AQ178" s="251"/>
      <c r="AR178" s="244"/>
      <c r="AS178" s="249"/>
      <c r="AT178" s="250"/>
      <c r="AU178" s="250"/>
      <c r="AV178" s="251"/>
      <c r="AW178" s="244"/>
      <c r="AX178" s="249"/>
      <c r="AY178" s="250"/>
      <c r="AZ178" s="250"/>
      <c r="BA178" s="251"/>
      <c r="BB178" s="244"/>
      <c r="BC178" s="249"/>
      <c r="BD178" s="250"/>
      <c r="BE178" s="250"/>
      <c r="BF178" s="251"/>
      <c r="BG178" s="244"/>
      <c r="BH178" s="249"/>
      <c r="BI178" s="250"/>
      <c r="BJ178" s="250"/>
      <c r="BK178" s="251"/>
      <c r="BL178" s="244"/>
      <c r="BM178" s="249"/>
      <c r="BN178" s="250"/>
      <c r="BO178" s="250"/>
      <c r="BP178" s="251"/>
      <c r="BQ178" s="244"/>
      <c r="BR178" s="244"/>
      <c r="BS178" s="244"/>
      <c r="BT178" s="233"/>
      <c r="BU178" s="233"/>
      <c r="BV178" s="233"/>
      <c r="BW178" s="233"/>
      <c r="BX178" s="233"/>
      <c r="BY178" s="233"/>
      <c r="BZ178" s="233"/>
      <c r="CA178" s="233"/>
      <c r="CB178" s="233"/>
      <c r="CC178" s="233"/>
      <c r="CD178" s="233"/>
      <c r="CE178" s="233"/>
    </row>
    <row r="179" spans="1:83">
      <c r="A179" s="233"/>
      <c r="B179" s="233"/>
      <c r="C179" s="1264" t="s">
        <v>614</v>
      </c>
      <c r="D179" s="233"/>
      <c r="E179" s="190">
        <v>10921.434999999999</v>
      </c>
      <c r="F179" s="190">
        <v>10184.849</v>
      </c>
      <c r="G179" s="190">
        <v>9972.0910000000003</v>
      </c>
      <c r="H179" s="191">
        <v>10705.737999999999</v>
      </c>
      <c r="I179" s="379">
        <f>H179</f>
        <v>10705.737999999999</v>
      </c>
      <c r="J179" s="393">
        <v>11136.734</v>
      </c>
      <c r="K179" s="190">
        <v>11020.325999999999</v>
      </c>
      <c r="L179" s="190">
        <v>11444.513000000001</v>
      </c>
      <c r="M179" s="191">
        <v>11441.263999999999</v>
      </c>
      <c r="N179" s="244">
        <f>M179</f>
        <v>11441.263999999999</v>
      </c>
      <c r="O179" s="393">
        <v>11581.317999999999</v>
      </c>
      <c r="P179" s="190">
        <v>12057.368</v>
      </c>
      <c r="Q179" s="190">
        <v>10241.993</v>
      </c>
      <c r="R179" s="191">
        <f>10043.713</f>
        <v>10043.713</v>
      </c>
      <c r="S179" s="244">
        <f>R179</f>
        <v>10043.713</v>
      </c>
      <c r="T179" s="393">
        <v>12121.105</v>
      </c>
      <c r="U179" s="190">
        <v>11968.934999999999</v>
      </c>
      <c r="V179" s="190">
        <v>11748.153</v>
      </c>
      <c r="W179" s="191">
        <v>11920.317999999999</v>
      </c>
      <c r="X179" s="244">
        <f>W179</f>
        <v>11920.317999999999</v>
      </c>
      <c r="Y179" s="393">
        <v>11729.134</v>
      </c>
      <c r="Z179" s="190">
        <v>12094.752</v>
      </c>
      <c r="AA179" s="190">
        <v>12275.492</v>
      </c>
      <c r="AB179" s="191">
        <v>12139.148999999999</v>
      </c>
      <c r="AC179" s="244">
        <f>AB179</f>
        <v>12139.148999999999</v>
      </c>
      <c r="AD179" s="393">
        <v>12198.641</v>
      </c>
      <c r="AE179" s="190">
        <v>11936.105</v>
      </c>
      <c r="AF179" s="190">
        <v>11634.662</v>
      </c>
      <c r="AG179" s="191">
        <v>12500.109</v>
      </c>
      <c r="AH179" s="244">
        <f>AG179</f>
        <v>12500.109</v>
      </c>
      <c r="AI179" s="393">
        <v>12307.54</v>
      </c>
      <c r="AJ179" s="190">
        <v>12092.041999999999</v>
      </c>
      <c r="AK179" s="190">
        <v>13052.547</v>
      </c>
      <c r="AL179" s="191">
        <v>13111.556</v>
      </c>
      <c r="AM179" s="244">
        <f>AL179</f>
        <v>13111.556</v>
      </c>
      <c r="AN179" s="393">
        <v>13500.14</v>
      </c>
      <c r="AO179" s="190">
        <v>13112.072</v>
      </c>
      <c r="AP179" s="190">
        <v>13861.703</v>
      </c>
      <c r="AQ179" s="191">
        <v>14467.655000000001</v>
      </c>
      <c r="AR179" s="244">
        <f>AQ179</f>
        <v>14467.655000000001</v>
      </c>
      <c r="AS179" s="393">
        <v>13927.204</v>
      </c>
      <c r="AT179" s="190">
        <v>14307.759</v>
      </c>
      <c r="AU179" s="190">
        <v>13977.522000000001</v>
      </c>
      <c r="AV179" s="191">
        <v>14315.259</v>
      </c>
      <c r="AW179" s="244">
        <f>AV179</f>
        <v>14315.259</v>
      </c>
      <c r="AX179" s="249">
        <f>+AX204-AX173</f>
        <v>13815.266</v>
      </c>
      <c r="AY179" s="250">
        <f>+AY204-AY173</f>
        <v>17515.266</v>
      </c>
      <c r="AZ179" s="250">
        <f>+AZ204-AZ173</f>
        <v>17334.496999999999</v>
      </c>
      <c r="BA179" s="251">
        <f>+BA204-BA173</f>
        <v>17334.496999999999</v>
      </c>
      <c r="BB179" s="244">
        <f>BA179</f>
        <v>17334.496999999999</v>
      </c>
      <c r="BC179" s="249">
        <f>+BC204-BC173</f>
        <v>17334.496999999999</v>
      </c>
      <c r="BD179" s="250">
        <f>+BD204-BD173</f>
        <v>17334.496999999999</v>
      </c>
      <c r="BE179" s="250">
        <f>+BE204-BE173</f>
        <v>19314.496999999999</v>
      </c>
      <c r="BF179" s="251">
        <f>+BF204-BF173</f>
        <v>19039.496999999999</v>
      </c>
      <c r="BG179" s="244">
        <f>BF179</f>
        <v>19039.496999999999</v>
      </c>
      <c r="BH179" s="249">
        <f>+BH204-BH173</f>
        <v>18649.496999999999</v>
      </c>
      <c r="BI179" s="250">
        <f>+BI204-BI173</f>
        <v>18200.269</v>
      </c>
      <c r="BJ179" s="250">
        <f>+BJ204-BJ173</f>
        <v>20299.504999999997</v>
      </c>
      <c r="BK179" s="251">
        <f>+BK204-BK173</f>
        <v>20299.504999999997</v>
      </c>
      <c r="BL179" s="244">
        <f>BK179</f>
        <v>20299.504999999997</v>
      </c>
      <c r="BM179" s="249">
        <f>+BM204-BM173</f>
        <v>20299.504999999997</v>
      </c>
      <c r="BN179" s="250">
        <f>+BN204-BN173</f>
        <v>20299.504999999997</v>
      </c>
      <c r="BO179" s="250">
        <f>+BO204-BO173</f>
        <v>22599.504999999997</v>
      </c>
      <c r="BP179" s="251">
        <f>+BP204-BP173</f>
        <v>22599.504999999997</v>
      </c>
      <c r="BQ179" s="244">
        <f>BP179</f>
        <v>22599.504999999997</v>
      </c>
      <c r="BR179" s="244"/>
      <c r="BS179" s="244"/>
      <c r="BT179" s="233"/>
      <c r="BU179" s="233"/>
      <c r="BV179" s="233"/>
      <c r="BW179" s="233"/>
      <c r="BX179" s="233"/>
      <c r="BY179" s="233"/>
      <c r="BZ179" s="233"/>
      <c r="CA179" s="233"/>
      <c r="CB179" s="233"/>
      <c r="CC179" s="233"/>
      <c r="CD179" s="233"/>
      <c r="CE179" s="233"/>
    </row>
    <row r="180" spans="1:83">
      <c r="A180" s="233"/>
      <c r="B180" s="233"/>
      <c r="C180" s="1264" t="s">
        <v>649</v>
      </c>
      <c r="D180" s="233"/>
      <c r="E180" s="190">
        <v>284.23899999999998</v>
      </c>
      <c r="F180" s="190">
        <v>360.49200000000002</v>
      </c>
      <c r="G180" s="190">
        <v>387.351</v>
      </c>
      <c r="H180" s="191">
        <v>378.86200000000002</v>
      </c>
      <c r="I180" s="379">
        <f>H180</f>
        <v>378.86200000000002</v>
      </c>
      <c r="J180" s="393">
        <v>534.52300000000002</v>
      </c>
      <c r="K180" s="190">
        <v>524.96199999999999</v>
      </c>
      <c r="L180" s="190">
        <v>555.24</v>
      </c>
      <c r="M180" s="191">
        <v>539.02599999999995</v>
      </c>
      <c r="N180" s="244">
        <f>M180</f>
        <v>539.02599999999995</v>
      </c>
      <c r="O180" s="393">
        <v>605.94000000000005</v>
      </c>
      <c r="P180" s="190">
        <v>578.82100000000003</v>
      </c>
      <c r="Q180" s="190">
        <v>645.84299999999996</v>
      </c>
      <c r="R180" s="191">
        <v>728.19299999999998</v>
      </c>
      <c r="S180" s="244">
        <f>R180</f>
        <v>728.19299999999998</v>
      </c>
      <c r="T180" s="393">
        <v>809.72900000000004</v>
      </c>
      <c r="U180" s="190">
        <v>913.73599999999999</v>
      </c>
      <c r="V180" s="190">
        <v>965.82</v>
      </c>
      <c r="W180" s="191">
        <v>898.61400000000003</v>
      </c>
      <c r="X180" s="244">
        <f>W180</f>
        <v>898.61400000000003</v>
      </c>
      <c r="Y180" s="393">
        <v>1046.106</v>
      </c>
      <c r="Z180" s="190">
        <v>997.42100000000005</v>
      </c>
      <c r="AA180" s="190">
        <v>1189.579</v>
      </c>
      <c r="AB180" s="191">
        <v>1295.9549999999999</v>
      </c>
      <c r="AC180" s="244">
        <f>AB180</f>
        <v>1295.9549999999999</v>
      </c>
      <c r="AD180" s="393">
        <v>1315.5889999999999</v>
      </c>
      <c r="AE180" s="190">
        <v>1385.816</v>
      </c>
      <c r="AF180" s="190">
        <v>1337.549</v>
      </c>
      <c r="AG180" s="191">
        <v>1383.6089999999999</v>
      </c>
      <c r="AH180" s="244">
        <f>AG180</f>
        <v>1383.6089999999999</v>
      </c>
      <c r="AI180" s="393">
        <v>1369.5139999999999</v>
      </c>
      <c r="AJ180" s="190">
        <v>1338.598</v>
      </c>
      <c r="AK180" s="190">
        <v>1258.329</v>
      </c>
      <c r="AL180" s="191">
        <v>1414.8979999999999</v>
      </c>
      <c r="AM180" s="244">
        <f>AL180</f>
        <v>1414.8979999999999</v>
      </c>
      <c r="AN180" s="393">
        <v>1433.6320000000001</v>
      </c>
      <c r="AO180" s="190">
        <v>1485.402</v>
      </c>
      <c r="AP180" s="190">
        <v>1525.8969999999999</v>
      </c>
      <c r="AQ180" s="191">
        <v>1572.9290000000001</v>
      </c>
      <c r="AR180" s="244">
        <f>AQ180</f>
        <v>1572.9290000000001</v>
      </c>
      <c r="AS180" s="393">
        <v>1554.605</v>
      </c>
      <c r="AT180" s="190">
        <v>1564.6790000000001</v>
      </c>
      <c r="AU180" s="190">
        <v>1595.0530000000001</v>
      </c>
      <c r="AV180" s="191">
        <v>1588.52</v>
      </c>
      <c r="AW180" s="244">
        <f>AV180</f>
        <v>1588.52</v>
      </c>
      <c r="AX180" s="249">
        <f t="shared" ref="AX180:BB180" si="427">+AW180</f>
        <v>1588.52</v>
      </c>
      <c r="AY180" s="250">
        <f t="shared" si="427"/>
        <v>1588.52</v>
      </c>
      <c r="AZ180" s="250">
        <f t="shared" si="427"/>
        <v>1588.52</v>
      </c>
      <c r="BA180" s="251">
        <f t="shared" si="427"/>
        <v>1588.52</v>
      </c>
      <c r="BB180" s="244">
        <f t="shared" si="427"/>
        <v>1588.52</v>
      </c>
      <c r="BC180" s="249">
        <f t="shared" ref="BC180" si="428">+BB180</f>
        <v>1588.52</v>
      </c>
      <c r="BD180" s="250">
        <f t="shared" ref="BD180" si="429">+BC180</f>
        <v>1588.52</v>
      </c>
      <c r="BE180" s="250">
        <f t="shared" ref="BE180" si="430">+BD180</f>
        <v>1588.52</v>
      </c>
      <c r="BF180" s="251">
        <f t="shared" ref="BF180" si="431">+BE180</f>
        <v>1588.52</v>
      </c>
      <c r="BG180" s="244">
        <f t="shared" ref="BG180" si="432">+BF180</f>
        <v>1588.52</v>
      </c>
      <c r="BH180" s="249">
        <f t="shared" ref="BH180" si="433">+BG180</f>
        <v>1588.52</v>
      </c>
      <c r="BI180" s="250">
        <f t="shared" ref="BI180" si="434">+BH180</f>
        <v>1588.52</v>
      </c>
      <c r="BJ180" s="250">
        <f t="shared" ref="BJ180" si="435">+BI180</f>
        <v>1588.52</v>
      </c>
      <c r="BK180" s="251">
        <f t="shared" ref="BK180" si="436">+BJ180</f>
        <v>1588.52</v>
      </c>
      <c r="BL180" s="244">
        <f t="shared" ref="BL180" si="437">+BK180</f>
        <v>1588.52</v>
      </c>
      <c r="BM180" s="249">
        <f t="shared" ref="BM180" si="438">+BL180</f>
        <v>1588.52</v>
      </c>
      <c r="BN180" s="250">
        <f t="shared" ref="BN180" si="439">+BM180</f>
        <v>1588.52</v>
      </c>
      <c r="BO180" s="250">
        <f t="shared" ref="BO180" si="440">+BN180</f>
        <v>1588.52</v>
      </c>
      <c r="BP180" s="251">
        <f t="shared" ref="BP180" si="441">+BO180</f>
        <v>1588.52</v>
      </c>
      <c r="BQ180" s="244">
        <f t="shared" ref="BQ180" si="442">+BP180</f>
        <v>1588.52</v>
      </c>
      <c r="BR180" s="244"/>
      <c r="BS180" s="244"/>
      <c r="BT180" s="233"/>
      <c r="BU180" s="233"/>
      <c r="BV180" s="233"/>
      <c r="BW180" s="233"/>
      <c r="BX180" s="233"/>
      <c r="BY180" s="233"/>
      <c r="BZ180" s="233"/>
      <c r="CA180" s="233"/>
      <c r="CB180" s="233"/>
      <c r="CC180" s="233"/>
      <c r="CD180" s="233"/>
      <c r="CE180" s="233"/>
    </row>
    <row r="181" spans="1:83">
      <c r="A181" s="233"/>
      <c r="B181" s="233"/>
      <c r="C181" s="1264" t="s">
        <v>388</v>
      </c>
      <c r="D181" s="233"/>
      <c r="E181" s="190">
        <f>6796.949+321.276</f>
        <v>7118.2249999999995</v>
      </c>
      <c r="F181" s="190">
        <f>6955.214+316.982</f>
        <v>7272.1959999999999</v>
      </c>
      <c r="G181" s="190">
        <f>7150.319+312.688</f>
        <v>7463.0070000000005</v>
      </c>
      <c r="H181" s="191">
        <f>7613.588+308.395</f>
        <v>7921.9830000000002</v>
      </c>
      <c r="I181" s="379">
        <f>H181</f>
        <v>7921.9830000000002</v>
      </c>
      <c r="J181" s="393">
        <f>7906.361+304.132</f>
        <v>8210.4930000000004</v>
      </c>
      <c r="K181" s="190">
        <f>8003.988+299.892</f>
        <v>8303.880000000001</v>
      </c>
      <c r="L181" s="190">
        <f>8146.036+296.1</f>
        <v>8442.1360000000004</v>
      </c>
      <c r="M181" s="191">
        <f>8983.528+292.33</f>
        <v>9275.8580000000002</v>
      </c>
      <c r="N181" s="244">
        <f>M181</f>
        <v>9275.8580000000002</v>
      </c>
      <c r="O181" s="393">
        <f>8759.164+288.591</f>
        <v>9047.755000000001</v>
      </c>
      <c r="P181" s="190">
        <f>8867.158+284.852</f>
        <v>9152.01</v>
      </c>
      <c r="Q181" s="190">
        <f>8403.453+281.112</f>
        <v>8684.5649999999987</v>
      </c>
      <c r="R181" s="191">
        <f>8096.452+284.747</f>
        <v>8381.1990000000005</v>
      </c>
      <c r="S181" s="244">
        <f>R181</f>
        <v>8381.1990000000005</v>
      </c>
      <c r="T181" s="393">
        <f>8163.494+282.14</f>
        <v>8445.634</v>
      </c>
      <c r="U181" s="190">
        <f>7963.476+280.041</f>
        <v>8243.5169999999998</v>
      </c>
      <c r="V181" s="190">
        <f>8173.216+276.413</f>
        <v>8449.6290000000008</v>
      </c>
      <c r="W181" s="191">
        <f>8311.756+273.696</f>
        <v>8585.4519999999993</v>
      </c>
      <c r="X181" s="244">
        <f>W181</f>
        <v>8585.4519999999993</v>
      </c>
      <c r="Y181" s="393">
        <f>8348.976+270.912</f>
        <v>8619.8880000000008</v>
      </c>
      <c r="Z181" s="190">
        <f>8339.892+268.128</f>
        <v>8608.02</v>
      </c>
      <c r="AA181" s="190">
        <f>8330.667+266.547</f>
        <v>8597.2139999999999</v>
      </c>
      <c r="AB181" s="191">
        <f>8724.635+263.765</f>
        <v>8988.4</v>
      </c>
      <c r="AC181" s="244">
        <f>AB181</f>
        <v>8988.4</v>
      </c>
      <c r="AD181" s="393">
        <f>8876.125+260.714</f>
        <v>9136.8389999999999</v>
      </c>
      <c r="AE181" s="190">
        <f>8986.343+258.419</f>
        <v>9244.7620000000006</v>
      </c>
      <c r="AF181" s="190">
        <f>9063.086+257.036</f>
        <v>9320.1219999999994</v>
      </c>
      <c r="AG181" s="191">
        <f>9133.161+247.521</f>
        <v>9380.6820000000007</v>
      </c>
      <c r="AH181" s="244">
        <f>AG181</f>
        <v>9380.6820000000007</v>
      </c>
      <c r="AI181" s="393">
        <f>9158.586+251.616</f>
        <v>9410.2019999999993</v>
      </c>
      <c r="AJ181" s="190">
        <f>9190.368+249.345</f>
        <v>9439.7129999999997</v>
      </c>
      <c r="AK181" s="190">
        <f>8693.338+247.001</f>
        <v>8940.3389999999999</v>
      </c>
      <c r="AL181" s="191">
        <f>8306.865+234.3</f>
        <v>8541.1649999999991</v>
      </c>
      <c r="AM181" s="244">
        <f>AL181</f>
        <v>8541.1649999999991</v>
      </c>
      <c r="AN181" s="393">
        <f>8467.757+231.61</f>
        <v>8699.3670000000002</v>
      </c>
      <c r="AO181" s="190">
        <f>8183.048+228.917</f>
        <v>8411.9650000000001</v>
      </c>
      <c r="AP181" s="190">
        <f>8510.946+228.757</f>
        <v>8739.7029999999995</v>
      </c>
      <c r="AQ181" s="191">
        <f>7495.29+227.147</f>
        <v>7722.4369999999999</v>
      </c>
      <c r="AR181" s="244">
        <f>AQ181</f>
        <v>7722.4369999999999</v>
      </c>
      <c r="AS181" s="393">
        <f>7561.382+224.338</f>
        <v>7785.7199999999993</v>
      </c>
      <c r="AT181" s="190">
        <f>7246.612+221.449</f>
        <v>7468.0609999999997</v>
      </c>
      <c r="AU181" s="190">
        <f>7538.63+219.892</f>
        <v>7758.5219999999999</v>
      </c>
      <c r="AV181" s="191">
        <f>4466.503+219.634+2900.204</f>
        <v>7586.3410000000003</v>
      </c>
      <c r="AW181" s="244">
        <f>AV181</f>
        <v>7586.3410000000003</v>
      </c>
      <c r="AX181" s="249">
        <f>+AW181+AX127+AX128</f>
        <v>7678.0500335242732</v>
      </c>
      <c r="AY181" s="250">
        <f>+AX181+AY127+AY128</f>
        <v>7769.7590670485461</v>
      </c>
      <c r="AZ181" s="250">
        <f>+AY181+AZ127+AZ128</f>
        <v>7861.4681005728189</v>
      </c>
      <c r="BA181" s="251">
        <f>+AZ181+BA127+BA128</f>
        <v>7953.1771340970918</v>
      </c>
      <c r="BB181" s="244">
        <f>+BA181</f>
        <v>7953.1771340970918</v>
      </c>
      <c r="BC181" s="249">
        <f>+BB181+BC127+BC128</f>
        <v>8045.6865663968056</v>
      </c>
      <c r="BD181" s="250">
        <f>+BC181+BD127+BD128</f>
        <v>8138.1959986965194</v>
      </c>
      <c r="BE181" s="250">
        <f>+BD181+BE127+BE128</f>
        <v>8230.7054309962332</v>
      </c>
      <c r="BF181" s="251">
        <f>+BE181+BF127+BF128</f>
        <v>8323.214863295947</v>
      </c>
      <c r="BG181" s="244">
        <f>+BF181</f>
        <v>8323.214863295947</v>
      </c>
      <c r="BH181" s="249">
        <f>+BG181+BH127+BH128</f>
        <v>8404.4554969861947</v>
      </c>
      <c r="BI181" s="250">
        <f>+BH181+BI127+BI128</f>
        <v>8485.6961306764424</v>
      </c>
      <c r="BJ181" s="250">
        <f>+BI181+BJ127+BJ128</f>
        <v>8566.9367643666901</v>
      </c>
      <c r="BK181" s="251">
        <f>+BJ181+BK127+BK128</f>
        <v>8648.1773980569378</v>
      </c>
      <c r="BL181" s="244">
        <f>+BK181</f>
        <v>8648.1773980569378</v>
      </c>
      <c r="BM181" s="249">
        <f>+BL181+BM127+BM128</f>
        <v>8721.0398051577049</v>
      </c>
      <c r="BN181" s="250">
        <f>+BM181+BN127+BN128</f>
        <v>8793.902212258472</v>
      </c>
      <c r="BO181" s="250">
        <f>+BN181+BO127+BO128</f>
        <v>8866.7646193592391</v>
      </c>
      <c r="BP181" s="251">
        <f>+BO181+BP127+BP128</f>
        <v>8939.6270264600062</v>
      </c>
      <c r="BQ181" s="244">
        <f>+BP181</f>
        <v>8939.6270264600062</v>
      </c>
      <c r="BR181" s="244"/>
      <c r="BS181" s="244"/>
      <c r="BT181" s="233"/>
      <c r="BU181" s="233"/>
      <c r="BV181" s="233"/>
      <c r="BW181" s="233"/>
      <c r="BX181" s="233"/>
      <c r="BY181" s="233"/>
      <c r="BZ181" s="233"/>
      <c r="CA181" s="233"/>
      <c r="CB181" s="233"/>
      <c r="CC181" s="233"/>
      <c r="CD181" s="233"/>
      <c r="CE181" s="233"/>
    </row>
    <row r="182" spans="1:83">
      <c r="A182" s="233"/>
      <c r="B182" s="233"/>
      <c r="C182" s="1264" t="s">
        <v>389</v>
      </c>
      <c r="D182" s="233"/>
      <c r="E182" s="190">
        <v>0</v>
      </c>
      <c r="F182" s="190">
        <v>0</v>
      </c>
      <c r="G182" s="190">
        <v>0</v>
      </c>
      <c r="H182" s="191">
        <v>0</v>
      </c>
      <c r="I182" s="379">
        <f>H182</f>
        <v>0</v>
      </c>
      <c r="J182" s="393">
        <v>0</v>
      </c>
      <c r="K182" s="190">
        <v>0</v>
      </c>
      <c r="L182" s="190">
        <v>0</v>
      </c>
      <c r="M182" s="191">
        <v>0</v>
      </c>
      <c r="N182" s="244">
        <f>M182</f>
        <v>0</v>
      </c>
      <c r="O182" s="393">
        <v>0</v>
      </c>
      <c r="P182" s="190">
        <v>0</v>
      </c>
      <c r="Q182" s="190">
        <v>0</v>
      </c>
      <c r="R182" s="191">
        <v>0</v>
      </c>
      <c r="S182" s="244">
        <f>R182</f>
        <v>0</v>
      </c>
      <c r="T182" s="393">
        <v>0</v>
      </c>
      <c r="U182" s="190">
        <v>0</v>
      </c>
      <c r="V182" s="190">
        <v>0</v>
      </c>
      <c r="W182" s="191">
        <v>0</v>
      </c>
      <c r="X182" s="244">
        <f>W182</f>
        <v>0</v>
      </c>
      <c r="Y182" s="393">
        <v>0</v>
      </c>
      <c r="Z182" s="190">
        <v>0</v>
      </c>
      <c r="AA182" s="190">
        <v>0</v>
      </c>
      <c r="AB182" s="191">
        <v>0</v>
      </c>
      <c r="AC182" s="244">
        <f>AB182</f>
        <v>0</v>
      </c>
      <c r="AD182" s="393">
        <v>0</v>
      </c>
      <c r="AE182" s="190">
        <v>0</v>
      </c>
      <c r="AF182" s="190">
        <v>0</v>
      </c>
      <c r="AG182" s="191">
        <v>0</v>
      </c>
      <c r="AH182" s="244">
        <f>AG182</f>
        <v>0</v>
      </c>
      <c r="AI182" s="393">
        <v>0</v>
      </c>
      <c r="AJ182" s="190">
        <v>0</v>
      </c>
      <c r="AK182" s="190">
        <v>0</v>
      </c>
      <c r="AL182" s="191">
        <v>0</v>
      </c>
      <c r="AM182" s="244">
        <f>AL182</f>
        <v>0</v>
      </c>
      <c r="AN182" s="393">
        <v>0</v>
      </c>
      <c r="AO182" s="190">
        <v>0</v>
      </c>
      <c r="AP182" s="190">
        <v>0</v>
      </c>
      <c r="AQ182" s="191">
        <v>0</v>
      </c>
      <c r="AR182" s="244">
        <f>AQ182</f>
        <v>0</v>
      </c>
      <c r="AS182" s="393">
        <v>0</v>
      </c>
      <c r="AT182" s="190">
        <v>0</v>
      </c>
      <c r="AU182" s="190">
        <v>0</v>
      </c>
      <c r="AV182" s="191">
        <v>0</v>
      </c>
      <c r="AW182" s="244">
        <f>AV182</f>
        <v>0</v>
      </c>
      <c r="AX182" s="183">
        <v>0</v>
      </c>
      <c r="AY182" s="184">
        <v>0</v>
      </c>
      <c r="AZ182" s="184">
        <v>0</v>
      </c>
      <c r="BA182" s="185">
        <v>0</v>
      </c>
      <c r="BB182" s="244">
        <f>BA182</f>
        <v>0</v>
      </c>
      <c r="BC182" s="183">
        <v>0</v>
      </c>
      <c r="BD182" s="184">
        <v>0</v>
      </c>
      <c r="BE182" s="184">
        <v>0</v>
      </c>
      <c r="BF182" s="185">
        <v>0</v>
      </c>
      <c r="BG182" s="244">
        <f>BF182</f>
        <v>0</v>
      </c>
      <c r="BH182" s="183">
        <v>0</v>
      </c>
      <c r="BI182" s="184">
        <v>0</v>
      </c>
      <c r="BJ182" s="184">
        <v>0</v>
      </c>
      <c r="BK182" s="185">
        <v>0</v>
      </c>
      <c r="BL182" s="244">
        <f>BK182</f>
        <v>0</v>
      </c>
      <c r="BM182" s="183">
        <v>0</v>
      </c>
      <c r="BN182" s="184">
        <v>0</v>
      </c>
      <c r="BO182" s="184">
        <v>0</v>
      </c>
      <c r="BP182" s="185">
        <v>0</v>
      </c>
      <c r="BQ182" s="244">
        <f>BP182</f>
        <v>0</v>
      </c>
      <c r="BR182" s="244"/>
      <c r="BS182" s="244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</row>
    <row r="183" spans="1:83">
      <c r="A183" s="233"/>
      <c r="B183" s="233"/>
      <c r="C183" s="1264" t="s">
        <v>390</v>
      </c>
      <c r="D183" s="233"/>
      <c r="E183" s="190">
        <f>294.257+2717.086+139.712+2156.785+785.294</f>
        <v>6093.134</v>
      </c>
      <c r="F183" s="190">
        <f>300.025+2761.435+129.603+2140.471+757.406</f>
        <v>6088.94</v>
      </c>
      <c r="G183" s="190">
        <f>374.177+2810.824+138.316+2132.2+725.605</f>
        <v>6181.1219999999994</v>
      </c>
      <c r="H183" s="191">
        <f>354.233+2939.539+141.315+2241.039+711.334</f>
        <v>6387.46</v>
      </c>
      <c r="I183" s="379">
        <f>H183</f>
        <v>6387.46</v>
      </c>
      <c r="J183" s="393">
        <f>36.62+92.907+2199.476+677.464+2990.604</f>
        <v>5997.0709999999999</v>
      </c>
      <c r="K183" s="190">
        <f>35.998+3042.067+98.956+2180.595+657.324</f>
        <v>6014.94</v>
      </c>
      <c r="L183" s="190">
        <f>42.873+3094.833+388.532+2111.685+638.723</f>
        <v>6276.6460000000006</v>
      </c>
      <c r="M183" s="191">
        <f>42.078+3148.479+395.25+2175.364+618.559</f>
        <v>6379.7300000000005</v>
      </c>
      <c r="N183" s="244">
        <f>M183</f>
        <v>6379.7300000000005</v>
      </c>
      <c r="O183" s="393">
        <f>621.98+1984.371+394.985+3164.406+41.187</f>
        <v>6206.9290000000001</v>
      </c>
      <c r="P183" s="190">
        <f>40.177+3218.881+390.089+1942.685+599.015</f>
        <v>6190.8470000000007</v>
      </c>
      <c r="Q183" s="190">
        <f>39.341+3274.479+391.712+1898.966+547.146</f>
        <v>6151.6439999999993</v>
      </c>
      <c r="R183" s="191">
        <f>501.954+3133.657+385.512+3296.57+38.421+186.511</f>
        <v>7542.6250000000018</v>
      </c>
      <c r="S183" s="244">
        <f>R183</f>
        <v>7542.6250000000018</v>
      </c>
      <c r="T183" s="393">
        <f>37.471+3352.82+370.761+3126.583+560.697</f>
        <v>7448.3320000000003</v>
      </c>
      <c r="U183" s="190">
        <f>537.866+36.513+3400.985+366.799+3096.805</f>
        <v>7438.9680000000008</v>
      </c>
      <c r="V183" s="190">
        <f>551.567+3051.709+369.286+3456.685+35.531</f>
        <v>7464.7779999999993</v>
      </c>
      <c r="W183" s="191">
        <f>577.91+3725.886+362.226+3513.634+34.541</f>
        <v>8214.1970000000001</v>
      </c>
      <c r="X183" s="244">
        <f>W183</f>
        <v>8214.1970000000001</v>
      </c>
      <c r="Y183" s="393">
        <f>33.976+3525.687+116.542+3757.078+574.555</f>
        <v>8007.8379999999997</v>
      </c>
      <c r="Z183" s="190">
        <f>33.402+3584.788+112.45+3753.697+538.773</f>
        <v>8023.11</v>
      </c>
      <c r="AA183" s="190">
        <f>32.814+3702.881+115.507+3719.15+563.499</f>
        <v>8133.8509999999997</v>
      </c>
      <c r="AB183" s="191">
        <f>583.667+2320.704+115.139+3933.416+32.218</f>
        <v>6985.1440000000002</v>
      </c>
      <c r="AC183" s="244">
        <f>AB183</f>
        <v>6985.1440000000002</v>
      </c>
      <c r="AD183" s="393">
        <f>31.608+4040.099+118.741+2284.84+579.763</f>
        <v>7055.0510000000004</v>
      </c>
      <c r="AE183" s="190">
        <f>30.988+4108.256+120.015+2207.357+622.151</f>
        <v>7088.7670000000007</v>
      </c>
      <c r="AF183" s="190">
        <f>591.784+2044.173+403.492+30.354+4272.151</f>
        <v>7341.9539999999997</v>
      </c>
      <c r="AG183" s="191">
        <f>557.649+0+418.128+3638.295+4458.296+29.71</f>
        <v>9102.0779999999995</v>
      </c>
      <c r="AH183" s="244">
        <f>AG183</f>
        <v>9102.0779999999995</v>
      </c>
      <c r="AI183" s="393">
        <f>29.051+4513.168+419.471+3584.994+539.429</f>
        <v>9086.1130000000012</v>
      </c>
      <c r="AJ183" s="190">
        <f>28.382+411.157+3521.728+486.348+4486.356</f>
        <v>8933.9709999999995</v>
      </c>
      <c r="AK183" s="190">
        <f>27.697+4668.821+473.33+3334.064+464.767</f>
        <v>8968.6790000000001</v>
      </c>
      <c r="AL183" s="191">
        <f>27.001+4790.187+460.727+3187.357+449.856</f>
        <v>8915.1280000000006</v>
      </c>
      <c r="AM183" s="244">
        <f>AL183</f>
        <v>8915.1280000000006</v>
      </c>
      <c r="AN183" s="393">
        <f>26.29+4808.315+456.698+3098.036+392.924</f>
        <v>8782.262999999999</v>
      </c>
      <c r="AO183" s="190">
        <f>25.567+4868.788+462.214+3018.226+394.993</f>
        <v>8769.7880000000005</v>
      </c>
      <c r="AP183" s="190">
        <f>24.957+6101.283+463.466+2884.903+382.275</f>
        <v>9856.884</v>
      </c>
      <c r="AQ183" s="191">
        <f>24.582+5992.476+481.636+3036.01+1121.619</f>
        <v>10656.323000000002</v>
      </c>
      <c r="AR183" s="244">
        <f>AQ183</f>
        <v>10656.323000000002</v>
      </c>
      <c r="AS183" s="393">
        <f>23.573+6078.576+477.281+2953.206+378.624</f>
        <v>9911.26</v>
      </c>
      <c r="AT183" s="190">
        <f>23.179+6118.86+474.02+2860.479+375.429</f>
        <v>9851.9669999999987</v>
      </c>
      <c r="AU183" s="190">
        <f>22.783+6116.01+471.383+2693.751+409.125</f>
        <v>9713.0519999999997</v>
      </c>
      <c r="AV183" s="191">
        <f>22.015+6185.814+478.273+2910.654+393.748</f>
        <v>9990.5040000000008</v>
      </c>
      <c r="AW183" s="244">
        <f>AV183</f>
        <v>9990.5040000000008</v>
      </c>
      <c r="AX183" s="249">
        <f>AV183</f>
        <v>9990.5040000000008</v>
      </c>
      <c r="AY183" s="250">
        <f>AX183</f>
        <v>9990.5040000000008</v>
      </c>
      <c r="AZ183" s="250">
        <f>AY183</f>
        <v>9990.5040000000008</v>
      </c>
      <c r="BA183" s="251">
        <f>AZ183</f>
        <v>9990.5040000000008</v>
      </c>
      <c r="BB183" s="244">
        <f>BA183</f>
        <v>9990.5040000000008</v>
      </c>
      <c r="BC183" s="249">
        <f>BA183</f>
        <v>9990.5040000000008</v>
      </c>
      <c r="BD183" s="250">
        <f>BC183</f>
        <v>9990.5040000000008</v>
      </c>
      <c r="BE183" s="250">
        <f>BD183</f>
        <v>9990.5040000000008</v>
      </c>
      <c r="BF183" s="251">
        <f>BE183</f>
        <v>9990.5040000000008</v>
      </c>
      <c r="BG183" s="244">
        <f>BF183</f>
        <v>9990.5040000000008</v>
      </c>
      <c r="BH183" s="249">
        <f>BF183</f>
        <v>9990.5040000000008</v>
      </c>
      <c r="BI183" s="250">
        <f>BH183</f>
        <v>9990.5040000000008</v>
      </c>
      <c r="BJ183" s="250">
        <f>BI183</f>
        <v>9990.5040000000008</v>
      </c>
      <c r="BK183" s="251">
        <f>BJ183</f>
        <v>9990.5040000000008</v>
      </c>
      <c r="BL183" s="244">
        <f>BK183</f>
        <v>9990.5040000000008</v>
      </c>
      <c r="BM183" s="249">
        <f>BK183</f>
        <v>9990.5040000000008</v>
      </c>
      <c r="BN183" s="250">
        <f>BM183</f>
        <v>9990.5040000000008</v>
      </c>
      <c r="BO183" s="250">
        <f>BN183</f>
        <v>9990.5040000000008</v>
      </c>
      <c r="BP183" s="251">
        <f>BO183</f>
        <v>9990.5040000000008</v>
      </c>
      <c r="BQ183" s="244">
        <f>BP183</f>
        <v>9990.5040000000008</v>
      </c>
      <c r="BR183" s="244"/>
      <c r="BS183" s="244"/>
      <c r="BT183" s="233"/>
      <c r="BU183" s="233"/>
      <c r="BV183" s="233"/>
      <c r="BW183" s="233"/>
      <c r="BX183" s="233"/>
      <c r="BY183" s="233"/>
      <c r="BZ183" s="233"/>
      <c r="CA183" s="233"/>
      <c r="CB183" s="233"/>
      <c r="CC183" s="233"/>
      <c r="CD183" s="233"/>
      <c r="CE183" s="233"/>
    </row>
    <row r="184" spans="1:83">
      <c r="A184" s="233"/>
      <c r="B184" s="233"/>
      <c r="C184" s="1175" t="s">
        <v>391</v>
      </c>
      <c r="D184" s="233"/>
      <c r="E184" s="246">
        <f>SUM(E177:E183)</f>
        <v>27671.15</v>
      </c>
      <c r="F184" s="246">
        <f t="shared" ref="F184:P184" si="443">SUM(F177:F183)</f>
        <v>27407.696</v>
      </c>
      <c r="G184" s="246">
        <f t="shared" si="443"/>
        <v>27377.764999999999</v>
      </c>
      <c r="H184" s="247">
        <f t="shared" si="443"/>
        <v>28588.039999999997</v>
      </c>
      <c r="I184" s="380">
        <f t="shared" si="443"/>
        <v>28588.039999999997</v>
      </c>
      <c r="J184" s="248">
        <f t="shared" si="443"/>
        <v>28938.601999999999</v>
      </c>
      <c r="K184" s="246">
        <f t="shared" si="443"/>
        <v>28670.611999999997</v>
      </c>
      <c r="L184" s="246">
        <f t="shared" si="443"/>
        <v>29637.550000000003</v>
      </c>
      <c r="M184" s="247">
        <f t="shared" si="443"/>
        <v>30279.937999999998</v>
      </c>
      <c r="N184" s="245">
        <f t="shared" si="443"/>
        <v>30279.937999999998</v>
      </c>
      <c r="O184" s="248">
        <f t="shared" si="443"/>
        <v>29752.686000000002</v>
      </c>
      <c r="P184" s="246">
        <f t="shared" si="443"/>
        <v>30221.450000000004</v>
      </c>
      <c r="Q184" s="246">
        <f>SUM(Q177:Q183)</f>
        <v>29728.387999999999</v>
      </c>
      <c r="R184" s="247">
        <f>SUM(R177:R183)</f>
        <v>31633.999000000003</v>
      </c>
      <c r="S184" s="245">
        <f>SUM(S177:S183)</f>
        <v>31633.999000000003</v>
      </c>
      <c r="T184" s="248">
        <f t="shared" ref="T184:AA184" si="444">SUM(T177:T183)</f>
        <v>31735.453999999998</v>
      </c>
      <c r="U184" s="246">
        <f t="shared" si="444"/>
        <v>31607.099000000002</v>
      </c>
      <c r="V184" s="246">
        <f>SUM(V177:V183)</f>
        <v>32552.648000000001</v>
      </c>
      <c r="W184" s="247">
        <f>SUM(W177:W183)</f>
        <v>33724.902000000002</v>
      </c>
      <c r="X184" s="245">
        <f>SUM(X177:X183)</f>
        <v>33724.902000000002</v>
      </c>
      <c r="Y184" s="248">
        <f t="shared" si="444"/>
        <v>33299.385999999999</v>
      </c>
      <c r="Z184" s="246">
        <f t="shared" si="444"/>
        <v>33707.256999999998</v>
      </c>
      <c r="AA184" s="246">
        <f t="shared" si="444"/>
        <v>33635.164000000004</v>
      </c>
      <c r="AB184" s="247">
        <f>SUM(AB177:AB183)</f>
        <v>33469.22</v>
      </c>
      <c r="AC184" s="245">
        <f>SUM(AC177:AC183)</f>
        <v>33469.22</v>
      </c>
      <c r="AD184" s="248">
        <f>SUM(AD177:AD183)</f>
        <v>33623.580999999998</v>
      </c>
      <c r="AE184" s="246">
        <f t="shared" ref="AE184" si="445">SUM(AE177:AE183)</f>
        <v>33783.519</v>
      </c>
      <c r="AF184" s="246">
        <f t="shared" ref="AF184:AK184" si="446">SUM(AF177:AF183)</f>
        <v>34087.853999999999</v>
      </c>
      <c r="AG184" s="247">
        <f t="shared" si="446"/>
        <v>36215.368999999999</v>
      </c>
      <c r="AH184" s="245">
        <f t="shared" si="446"/>
        <v>36215.368999999999</v>
      </c>
      <c r="AI184" s="248">
        <f t="shared" si="446"/>
        <v>35938.793999999994</v>
      </c>
      <c r="AJ184" s="246">
        <f t="shared" si="446"/>
        <v>35802.695</v>
      </c>
      <c r="AK184" s="246">
        <f t="shared" si="446"/>
        <v>35673.72</v>
      </c>
      <c r="AL184" s="247">
        <f t="shared" ref="AL184:AN184" si="447">SUM(AL177:AL183)</f>
        <v>35072.705000000002</v>
      </c>
      <c r="AM184" s="245">
        <f t="shared" si="447"/>
        <v>35072.705000000002</v>
      </c>
      <c r="AN184" s="248">
        <f t="shared" si="447"/>
        <v>36254.75</v>
      </c>
      <c r="AO184" s="246">
        <f t="shared" ref="AO184" si="448">SUM(AO177:AO183)</f>
        <v>35801.070000000007</v>
      </c>
      <c r="AP184" s="246">
        <f t="shared" ref="AP184:AR184" si="449">SUM(AP177:AP183)</f>
        <v>37435.934000000001</v>
      </c>
      <c r="AQ184" s="247">
        <f t="shared" si="449"/>
        <v>37619.440000000002</v>
      </c>
      <c r="AR184" s="245">
        <f t="shared" si="449"/>
        <v>37619.440000000002</v>
      </c>
      <c r="AS184" s="248">
        <f t="shared" ref="AS184" si="450">SUM(AS177:AS183)</f>
        <v>37057.832000000002</v>
      </c>
      <c r="AT184" s="246">
        <f t="shared" ref="AT184:BB184" si="451">SUM(AT177:AT183)</f>
        <v>37432.995999999999</v>
      </c>
      <c r="AU184" s="246">
        <f t="shared" si="451"/>
        <v>37505.020000000004</v>
      </c>
      <c r="AV184" s="247">
        <f t="shared" si="451"/>
        <v>38516.831000000006</v>
      </c>
      <c r="AW184" s="245">
        <f t="shared" si="451"/>
        <v>38516.831000000006</v>
      </c>
      <c r="AX184" s="248">
        <f t="shared" si="451"/>
        <v>38406.922262362728</v>
      </c>
      <c r="AY184" s="246">
        <f t="shared" si="451"/>
        <v>40446.941067048545</v>
      </c>
      <c r="AZ184" s="246">
        <f t="shared" si="451"/>
        <v>40238.650100572821</v>
      </c>
      <c r="BA184" s="247">
        <f t="shared" si="451"/>
        <v>40245.359134097089</v>
      </c>
      <c r="BB184" s="245">
        <f t="shared" si="451"/>
        <v>40245.359134097089</v>
      </c>
      <c r="BC184" s="248">
        <f t="shared" ref="BC184:BL184" si="452">SUM(BC177:BC183)</f>
        <v>40700.388734229506</v>
      </c>
      <c r="BD184" s="246">
        <f t="shared" si="452"/>
        <v>41209.757833144118</v>
      </c>
      <c r="BE184" s="246">
        <f t="shared" si="452"/>
        <v>42342.118430996234</v>
      </c>
      <c r="BF184" s="247">
        <f t="shared" si="452"/>
        <v>42434.627863295944</v>
      </c>
      <c r="BG184" s="245">
        <f t="shared" si="452"/>
        <v>42434.627863295944</v>
      </c>
      <c r="BH184" s="248">
        <f t="shared" si="452"/>
        <v>42524.153599169738</v>
      </c>
      <c r="BI184" s="246">
        <f t="shared" si="452"/>
        <v>42932.625550990415</v>
      </c>
      <c r="BJ184" s="246">
        <f t="shared" si="452"/>
        <v>44458.349764366685</v>
      </c>
      <c r="BK184" s="247">
        <f t="shared" si="452"/>
        <v>44264.590398056935</v>
      </c>
      <c r="BL184" s="245">
        <f t="shared" si="452"/>
        <v>44264.590398056935</v>
      </c>
      <c r="BM184" s="248">
        <f t="shared" ref="BM184:BQ184" si="453">SUM(BM177:BM183)</f>
        <v>44175.279338555069</v>
      </c>
      <c r="BN184" s="246">
        <f t="shared" si="453"/>
        <v>44623.948814925017</v>
      </c>
      <c r="BO184" s="246">
        <f t="shared" si="453"/>
        <v>45743.185619359239</v>
      </c>
      <c r="BP184" s="247">
        <f t="shared" si="453"/>
        <v>45816.048026460005</v>
      </c>
      <c r="BQ184" s="245">
        <f t="shared" si="453"/>
        <v>45816.048026460005</v>
      </c>
      <c r="BR184" s="244"/>
      <c r="BS184" s="244"/>
      <c r="BT184" s="233"/>
      <c r="BU184" s="233"/>
      <c r="BV184" s="233"/>
      <c r="BW184" s="233"/>
      <c r="BX184" s="233"/>
      <c r="BY184" s="233"/>
      <c r="BZ184" s="233"/>
      <c r="CA184" s="233"/>
      <c r="CB184" s="233"/>
      <c r="CC184" s="233"/>
      <c r="CD184" s="233"/>
      <c r="CE184" s="233"/>
    </row>
    <row r="185" spans="1:83">
      <c r="A185" s="233"/>
      <c r="B185" s="233"/>
      <c r="C185" s="1175"/>
      <c r="D185" s="233"/>
      <c r="E185" s="250"/>
      <c r="F185" s="250"/>
      <c r="G185" s="250"/>
      <c r="H185" s="251"/>
      <c r="I185" s="379"/>
      <c r="J185" s="249"/>
      <c r="K185" s="250"/>
      <c r="L185" s="250"/>
      <c r="M185" s="251"/>
      <c r="N185" s="244"/>
      <c r="O185" s="249"/>
      <c r="P185" s="250"/>
      <c r="Q185" s="250"/>
      <c r="R185" s="251"/>
      <c r="S185" s="244"/>
      <c r="T185" s="249"/>
      <c r="U185" s="250"/>
      <c r="V185" s="250"/>
      <c r="W185" s="251"/>
      <c r="X185" s="244"/>
      <c r="Y185" s="249"/>
      <c r="Z185" s="250"/>
      <c r="AA185" s="250"/>
      <c r="AB185" s="251"/>
      <c r="AC185" s="244"/>
      <c r="AD185" s="249"/>
      <c r="AE185" s="250"/>
      <c r="AF185" s="250"/>
      <c r="AG185" s="251"/>
      <c r="AH185" s="244"/>
      <c r="AI185" s="249"/>
      <c r="AJ185" s="250"/>
      <c r="AK185" s="250"/>
      <c r="AL185" s="251"/>
      <c r="AM185" s="244"/>
      <c r="AN185" s="249"/>
      <c r="AO185" s="250"/>
      <c r="AP185" s="250"/>
      <c r="AQ185" s="251"/>
      <c r="AR185" s="244"/>
      <c r="AS185" s="249"/>
      <c r="AT185" s="250"/>
      <c r="AU185" s="250"/>
      <c r="AV185" s="251"/>
      <c r="AW185" s="244"/>
      <c r="AX185" s="249"/>
      <c r="AY185" s="250"/>
      <c r="AZ185" s="250"/>
      <c r="BA185" s="251"/>
      <c r="BB185" s="244"/>
      <c r="BC185" s="249"/>
      <c r="BD185" s="250"/>
      <c r="BE185" s="250"/>
      <c r="BF185" s="251"/>
      <c r="BG185" s="244"/>
      <c r="BH185" s="249"/>
      <c r="BI185" s="250"/>
      <c r="BJ185" s="250"/>
      <c r="BK185" s="251"/>
      <c r="BL185" s="244"/>
      <c r="BM185" s="249"/>
      <c r="BN185" s="250"/>
      <c r="BO185" s="250"/>
      <c r="BP185" s="251"/>
      <c r="BQ185" s="244"/>
      <c r="BR185" s="244"/>
      <c r="BS185" s="244"/>
      <c r="BT185" s="233"/>
      <c r="BU185" s="233"/>
      <c r="BV185" s="233"/>
      <c r="BW185" s="233"/>
      <c r="BX185" s="233"/>
      <c r="BY185" s="233"/>
      <c r="BZ185" s="233"/>
      <c r="CA185" s="233"/>
      <c r="CB185" s="233"/>
      <c r="CC185" s="233"/>
      <c r="CD185" s="233"/>
      <c r="CE185" s="233"/>
    </row>
    <row r="186" spans="1:83">
      <c r="A186" s="233"/>
      <c r="B186" s="233"/>
      <c r="C186" s="1264" t="s">
        <v>392</v>
      </c>
      <c r="D186" s="233"/>
      <c r="E186" s="190">
        <v>0</v>
      </c>
      <c r="F186" s="190">
        <v>0</v>
      </c>
      <c r="G186" s="190">
        <v>0</v>
      </c>
      <c r="H186" s="191">
        <v>0</v>
      </c>
      <c r="I186" s="379">
        <f>H186</f>
        <v>0</v>
      </c>
      <c r="J186" s="393">
        <v>0</v>
      </c>
      <c r="K186" s="190">
        <v>0</v>
      </c>
      <c r="L186" s="190">
        <v>0</v>
      </c>
      <c r="M186" s="191">
        <v>0</v>
      </c>
      <c r="N186" s="244">
        <f>M186</f>
        <v>0</v>
      </c>
      <c r="O186" s="393">
        <v>0</v>
      </c>
      <c r="P186" s="190">
        <f>O186</f>
        <v>0</v>
      </c>
      <c r="Q186" s="190">
        <v>0</v>
      </c>
      <c r="R186" s="191">
        <f>Q186</f>
        <v>0</v>
      </c>
      <c r="S186" s="244">
        <f>R186</f>
        <v>0</v>
      </c>
      <c r="T186" s="393">
        <v>0</v>
      </c>
      <c r="U186" s="190">
        <v>0</v>
      </c>
      <c r="V186" s="190">
        <v>0</v>
      </c>
      <c r="W186" s="191">
        <v>0</v>
      </c>
      <c r="X186" s="244">
        <f>W186</f>
        <v>0</v>
      </c>
      <c r="Y186" s="393">
        <v>0</v>
      </c>
      <c r="Z186" s="190">
        <v>0</v>
      </c>
      <c r="AA186" s="190">
        <v>0</v>
      </c>
      <c r="AB186" s="191">
        <v>0</v>
      </c>
      <c r="AC186" s="244">
        <f>AB186</f>
        <v>0</v>
      </c>
      <c r="AD186" s="393">
        <v>0</v>
      </c>
      <c r="AE186" s="190">
        <v>0</v>
      </c>
      <c r="AF186" s="190">
        <v>0</v>
      </c>
      <c r="AG186" s="191">
        <v>0</v>
      </c>
      <c r="AH186" s="244">
        <f>AG186</f>
        <v>0</v>
      </c>
      <c r="AI186" s="393">
        <v>0</v>
      </c>
      <c r="AJ186" s="190">
        <v>0</v>
      </c>
      <c r="AK186" s="190">
        <v>0</v>
      </c>
      <c r="AL186" s="191">
        <v>0</v>
      </c>
      <c r="AM186" s="244">
        <f>AL186</f>
        <v>0</v>
      </c>
      <c r="AN186" s="393">
        <v>0</v>
      </c>
      <c r="AO186" s="190">
        <v>0</v>
      </c>
      <c r="AP186" s="190">
        <v>0</v>
      </c>
      <c r="AQ186" s="191">
        <v>0</v>
      </c>
      <c r="AR186" s="244">
        <f>AQ186</f>
        <v>0</v>
      </c>
      <c r="AS186" s="393">
        <v>0</v>
      </c>
      <c r="AT186" s="190">
        <v>0</v>
      </c>
      <c r="AU186" s="190">
        <v>0</v>
      </c>
      <c r="AV186" s="191">
        <v>0</v>
      </c>
      <c r="AW186" s="244">
        <f>AV186</f>
        <v>0</v>
      </c>
      <c r="AX186" s="249">
        <f>AV186</f>
        <v>0</v>
      </c>
      <c r="AY186" s="250">
        <f>AX186</f>
        <v>0</v>
      </c>
      <c r="AZ186" s="250">
        <f>AY186</f>
        <v>0</v>
      </c>
      <c r="BA186" s="251">
        <f>AZ186</f>
        <v>0</v>
      </c>
      <c r="BB186" s="244">
        <f>BA186</f>
        <v>0</v>
      </c>
      <c r="BC186" s="249">
        <f>BA186</f>
        <v>0</v>
      </c>
      <c r="BD186" s="250">
        <f>BC186</f>
        <v>0</v>
      </c>
      <c r="BE186" s="250">
        <f>BD186</f>
        <v>0</v>
      </c>
      <c r="BF186" s="251">
        <f>BE186</f>
        <v>0</v>
      </c>
      <c r="BG186" s="244">
        <f>BF186</f>
        <v>0</v>
      </c>
      <c r="BH186" s="249">
        <f>BF186</f>
        <v>0</v>
      </c>
      <c r="BI186" s="250">
        <f>BH186</f>
        <v>0</v>
      </c>
      <c r="BJ186" s="250">
        <f>BI186</f>
        <v>0</v>
      </c>
      <c r="BK186" s="251">
        <f>BJ186</f>
        <v>0</v>
      </c>
      <c r="BL186" s="244">
        <f>BK186</f>
        <v>0</v>
      </c>
      <c r="BM186" s="249">
        <f>BK186</f>
        <v>0</v>
      </c>
      <c r="BN186" s="250">
        <f>BM186</f>
        <v>0</v>
      </c>
      <c r="BO186" s="250">
        <f>BN186</f>
        <v>0</v>
      </c>
      <c r="BP186" s="251">
        <f>BO186</f>
        <v>0</v>
      </c>
      <c r="BQ186" s="244">
        <f>BP186</f>
        <v>0</v>
      </c>
      <c r="BR186" s="244"/>
      <c r="BS186" s="244"/>
      <c r="BT186" s="233"/>
      <c r="BU186" s="233"/>
      <c r="BV186" s="233"/>
      <c r="BW186" s="233"/>
      <c r="BX186" s="233"/>
      <c r="BY186" s="233"/>
      <c r="BZ186" s="233"/>
      <c r="CA186" s="233"/>
      <c r="CB186" s="233"/>
      <c r="CC186" s="233"/>
      <c r="CD186" s="233"/>
      <c r="CE186" s="233"/>
    </row>
    <row r="187" spans="1:83">
      <c r="A187" s="233"/>
      <c r="B187" s="233"/>
      <c r="C187" s="1264" t="s">
        <v>393</v>
      </c>
      <c r="D187" s="233"/>
      <c r="E187" s="190">
        <v>311.03100000000001</v>
      </c>
      <c r="F187" s="190">
        <f>217.05+94</f>
        <v>311.05</v>
      </c>
      <c r="G187" s="190">
        <f>215.223+94</f>
        <v>309.22300000000001</v>
      </c>
      <c r="H187" s="191">
        <v>311.34300000000002</v>
      </c>
      <c r="I187" s="379">
        <f>H187</f>
        <v>311.34300000000002</v>
      </c>
      <c r="J187" s="393">
        <f>216.721+94</f>
        <v>310.721</v>
      </c>
      <c r="K187" s="190">
        <f>216.724+94</f>
        <v>310.72399999999999</v>
      </c>
      <c r="L187" s="190">
        <v>310.73599999999999</v>
      </c>
      <c r="M187" s="191">
        <f>216.738+94</f>
        <v>310.738</v>
      </c>
      <c r="N187" s="244">
        <f>M187</f>
        <v>310.738</v>
      </c>
      <c r="O187" s="393">
        <f>216.742+94</f>
        <v>310.74199999999996</v>
      </c>
      <c r="P187" s="190">
        <f>216.745+94</f>
        <v>310.745</v>
      </c>
      <c r="Q187" s="190">
        <f>216.748+94</f>
        <v>310.74799999999999</v>
      </c>
      <c r="R187" s="191">
        <v>94</v>
      </c>
      <c r="S187" s="244">
        <f>R187</f>
        <v>94</v>
      </c>
      <c r="T187" s="393">
        <f>94+186.51</f>
        <v>280.51</v>
      </c>
      <c r="U187" s="190">
        <f>186.51+94</f>
        <v>280.51</v>
      </c>
      <c r="V187" s="190">
        <f>186.51+94</f>
        <v>280.51</v>
      </c>
      <c r="W187" s="191">
        <f>186.511+94</f>
        <v>280.51099999999997</v>
      </c>
      <c r="X187" s="244">
        <f>W187</f>
        <v>280.51099999999997</v>
      </c>
      <c r="Y187" s="393">
        <f>186.511+94</f>
        <v>280.51099999999997</v>
      </c>
      <c r="Z187" s="190">
        <f>186.511+94</f>
        <v>280.51099999999997</v>
      </c>
      <c r="AA187" s="190">
        <f>186.511+94</f>
        <v>280.51099999999997</v>
      </c>
      <c r="AB187" s="191">
        <f>210.76+94</f>
        <v>304.76</v>
      </c>
      <c r="AC187" s="244">
        <f>AB187</f>
        <v>304.76</v>
      </c>
      <c r="AD187" s="393">
        <f>210.76+94</f>
        <v>304.76</v>
      </c>
      <c r="AE187" s="190">
        <f>210.76+94</f>
        <v>304.76</v>
      </c>
      <c r="AF187" s="190">
        <f>210.76+94</f>
        <v>304.76</v>
      </c>
      <c r="AG187" s="191">
        <f>210.76+94</f>
        <v>304.76</v>
      </c>
      <c r="AH187" s="244">
        <f>AG187</f>
        <v>304.76</v>
      </c>
      <c r="AI187" s="393">
        <f>210.76+94</f>
        <v>304.76</v>
      </c>
      <c r="AJ187" s="190">
        <f>210.76+94</f>
        <v>304.76</v>
      </c>
      <c r="AK187" s="190">
        <f>210.76</f>
        <v>210.76</v>
      </c>
      <c r="AL187" s="191">
        <v>318.185</v>
      </c>
      <c r="AM187" s="244">
        <f>AL187</f>
        <v>318.185</v>
      </c>
      <c r="AN187" s="393">
        <v>318.185</v>
      </c>
      <c r="AO187" s="190">
        <v>318.185</v>
      </c>
      <c r="AP187" s="190">
        <v>233.185</v>
      </c>
      <c r="AQ187" s="191">
        <v>203.185</v>
      </c>
      <c r="AR187" s="244">
        <f>AQ187</f>
        <v>203.185</v>
      </c>
      <c r="AS187" s="393">
        <v>203.185</v>
      </c>
      <c r="AT187" s="190">
        <v>203.185</v>
      </c>
      <c r="AU187" s="190">
        <v>203.185</v>
      </c>
      <c r="AV187" s="191">
        <v>197.803</v>
      </c>
      <c r="AW187" s="244">
        <f>AV187</f>
        <v>197.803</v>
      </c>
      <c r="AX187" s="249">
        <f>+AW187+AX139</f>
        <v>197.803</v>
      </c>
      <c r="AY187" s="250">
        <f>+AX187+AY139</f>
        <v>197.803</v>
      </c>
      <c r="AZ187" s="250">
        <f>+AY187+AZ139</f>
        <v>197.803</v>
      </c>
      <c r="BA187" s="251">
        <f>+AZ187+BA139</f>
        <v>197.803</v>
      </c>
      <c r="BB187" s="244">
        <f>BA187</f>
        <v>197.803</v>
      </c>
      <c r="BC187" s="249">
        <f>+BB187+BC139</f>
        <v>197.803</v>
      </c>
      <c r="BD187" s="250">
        <f>+BC187+BD139</f>
        <v>197.803</v>
      </c>
      <c r="BE187" s="250">
        <f>+BD187+BE139</f>
        <v>197.803</v>
      </c>
      <c r="BF187" s="251">
        <f>+BE187+BF139</f>
        <v>197.803</v>
      </c>
      <c r="BG187" s="244">
        <f>BF187</f>
        <v>197.803</v>
      </c>
      <c r="BH187" s="249">
        <f>+BG187+BH139</f>
        <v>197.803</v>
      </c>
      <c r="BI187" s="250">
        <f>+BH187+BI139</f>
        <v>197.803</v>
      </c>
      <c r="BJ187" s="250">
        <f>+BI187+BJ139</f>
        <v>197.803</v>
      </c>
      <c r="BK187" s="251">
        <f>+BJ187+BK139</f>
        <v>197.803</v>
      </c>
      <c r="BL187" s="244">
        <f>BK187</f>
        <v>197.803</v>
      </c>
      <c r="BM187" s="249">
        <f>+BL187+BM139</f>
        <v>197.803</v>
      </c>
      <c r="BN187" s="250">
        <f>+BM187+BN139</f>
        <v>197.803</v>
      </c>
      <c r="BO187" s="250">
        <f>+BN187+BO139</f>
        <v>197.803</v>
      </c>
      <c r="BP187" s="251">
        <f>+BO187+BP139</f>
        <v>197.803</v>
      </c>
      <c r="BQ187" s="244">
        <f>BP187</f>
        <v>197.803</v>
      </c>
      <c r="BR187" s="244"/>
      <c r="BS187" s="244"/>
      <c r="BT187" s="233"/>
      <c r="BU187" s="233"/>
      <c r="BV187" s="233"/>
      <c r="BW187" s="233"/>
      <c r="BX187" s="233"/>
      <c r="BY187" s="233"/>
      <c r="BZ187" s="233"/>
      <c r="CA187" s="233"/>
      <c r="CB187" s="233"/>
      <c r="CC187" s="233"/>
      <c r="CD187" s="233"/>
      <c r="CE187" s="233"/>
    </row>
    <row r="188" spans="1:83">
      <c r="A188" s="233"/>
      <c r="B188" s="233"/>
      <c r="C188" s="1264"/>
      <c r="D188" s="233"/>
      <c r="E188" s="190"/>
      <c r="F188" s="190"/>
      <c r="G188" s="190"/>
      <c r="H188" s="191"/>
      <c r="I188" s="379"/>
      <c r="J188" s="393"/>
      <c r="K188" s="190"/>
      <c r="L188" s="190"/>
      <c r="M188" s="191"/>
      <c r="N188" s="244"/>
      <c r="O188" s="393"/>
      <c r="P188" s="190"/>
      <c r="Q188" s="190"/>
      <c r="R188" s="191"/>
      <c r="S188" s="244"/>
      <c r="T188" s="393"/>
      <c r="U188" s="190"/>
      <c r="V188" s="190"/>
      <c r="W188" s="191"/>
      <c r="X188" s="244"/>
      <c r="Y188" s="393"/>
      <c r="Z188" s="190"/>
      <c r="AA188" s="190"/>
      <c r="AB188" s="191"/>
      <c r="AC188" s="244"/>
      <c r="AD188" s="393"/>
      <c r="AE188" s="190"/>
      <c r="AF188" s="190"/>
      <c r="AG188" s="191"/>
      <c r="AH188" s="244"/>
      <c r="AI188" s="393"/>
      <c r="AJ188" s="190"/>
      <c r="AK188" s="190"/>
      <c r="AL188" s="191"/>
      <c r="AM188" s="244"/>
      <c r="AN188" s="393"/>
      <c r="AO188" s="190"/>
      <c r="AP188" s="190"/>
      <c r="AQ188" s="191"/>
      <c r="AR188" s="244"/>
      <c r="AS188" s="393"/>
      <c r="AT188" s="190"/>
      <c r="AU188" s="190"/>
      <c r="AV188" s="191"/>
      <c r="AW188" s="244"/>
      <c r="AX188" s="249"/>
      <c r="AY188" s="250"/>
      <c r="AZ188" s="250"/>
      <c r="BA188" s="251"/>
      <c r="BB188" s="244"/>
      <c r="BC188" s="249"/>
      <c r="BD188" s="250"/>
      <c r="BE188" s="250"/>
      <c r="BF188" s="251"/>
      <c r="BG188" s="244"/>
      <c r="BH188" s="249"/>
      <c r="BI188" s="250"/>
      <c r="BJ188" s="250"/>
      <c r="BK188" s="251"/>
      <c r="BL188" s="244"/>
      <c r="BM188" s="249"/>
      <c r="BN188" s="250"/>
      <c r="BO188" s="250"/>
      <c r="BP188" s="251"/>
      <c r="BQ188" s="244"/>
      <c r="BR188" s="244"/>
      <c r="BS188" s="244"/>
      <c r="BT188" s="233"/>
      <c r="BU188" s="233"/>
      <c r="BV188" s="233"/>
      <c r="BW188" s="233"/>
      <c r="BX188" s="233"/>
      <c r="BY188" s="233"/>
      <c r="BZ188" s="233"/>
      <c r="CA188" s="233"/>
      <c r="CB188" s="233"/>
      <c r="CC188" s="233"/>
      <c r="CD188" s="233"/>
      <c r="CE188" s="233"/>
    </row>
    <row r="189" spans="1:83">
      <c r="A189" s="233"/>
      <c r="B189" s="233"/>
      <c r="C189" s="1264" t="s">
        <v>592</v>
      </c>
      <c r="D189" s="233"/>
      <c r="E189" s="190">
        <v>2.548</v>
      </c>
      <c r="F189" s="190">
        <v>2.548</v>
      </c>
      <c r="G189" s="190">
        <v>2.548</v>
      </c>
      <c r="H189" s="191">
        <v>2.548</v>
      </c>
      <c r="I189" s="379">
        <f>+H189</f>
        <v>2.548</v>
      </c>
      <c r="J189" s="393">
        <v>2.548</v>
      </c>
      <c r="K189" s="190">
        <v>2.548</v>
      </c>
      <c r="L189" s="190">
        <v>2.548</v>
      </c>
      <c r="M189" s="191">
        <v>2.548</v>
      </c>
      <c r="N189" s="244">
        <f>+M189</f>
        <v>2.548</v>
      </c>
      <c r="O189" s="393">
        <v>2.548</v>
      </c>
      <c r="P189" s="190">
        <v>2.548</v>
      </c>
      <c r="Q189" s="190">
        <v>2.548</v>
      </c>
      <c r="R189" s="191">
        <v>2.548</v>
      </c>
      <c r="S189" s="244">
        <f>+R189</f>
        <v>2.548</v>
      </c>
      <c r="T189" s="393">
        <v>2.548</v>
      </c>
      <c r="U189" s="190">
        <v>2.548</v>
      </c>
      <c r="V189" s="190">
        <v>2.548</v>
      </c>
      <c r="W189" s="191">
        <v>2.548</v>
      </c>
      <c r="X189" s="244">
        <f>+W189</f>
        <v>2.548</v>
      </c>
      <c r="Y189" s="393">
        <v>2.548</v>
      </c>
      <c r="Z189" s="190">
        <v>2.548</v>
      </c>
      <c r="AA189" s="190">
        <v>2.548</v>
      </c>
      <c r="AB189" s="191">
        <v>2.548</v>
      </c>
      <c r="AC189" s="244">
        <f>+AB189</f>
        <v>2.548</v>
      </c>
      <c r="AD189" s="393">
        <v>2.548</v>
      </c>
      <c r="AE189" s="190">
        <v>2.548</v>
      </c>
      <c r="AF189" s="190">
        <v>2.548</v>
      </c>
      <c r="AG189" s="191">
        <v>2.548</v>
      </c>
      <c r="AH189" s="244">
        <f>+AG189</f>
        <v>2.548</v>
      </c>
      <c r="AI189" s="393">
        <v>2.548</v>
      </c>
      <c r="AJ189" s="190">
        <v>2.548</v>
      </c>
      <c r="AK189" s="190">
        <v>2.548</v>
      </c>
      <c r="AL189" s="191">
        <v>2.548</v>
      </c>
      <c r="AM189" s="244">
        <f>+AL189</f>
        <v>2.548</v>
      </c>
      <c r="AN189" s="393">
        <v>2.548</v>
      </c>
      <c r="AO189" s="190">
        <v>2.548</v>
      </c>
      <c r="AP189" s="190">
        <v>2.548</v>
      </c>
      <c r="AQ189" s="191">
        <v>2.548</v>
      </c>
      <c r="AR189" s="244">
        <f>+AQ189</f>
        <v>2.548</v>
      </c>
      <c r="AS189" s="393">
        <v>2.548</v>
      </c>
      <c r="AT189" s="190">
        <v>2.548</v>
      </c>
      <c r="AU189" s="190">
        <v>2.548</v>
      </c>
      <c r="AV189" s="191">
        <v>2.548</v>
      </c>
      <c r="AW189" s="244">
        <f>+AV189</f>
        <v>2.548</v>
      </c>
      <c r="AX189" s="249">
        <f t="shared" ref="AX189:BL189" si="454">+AW189</f>
        <v>2.548</v>
      </c>
      <c r="AY189" s="250">
        <f t="shared" si="454"/>
        <v>2.548</v>
      </c>
      <c r="AZ189" s="250">
        <f t="shared" si="454"/>
        <v>2.548</v>
      </c>
      <c r="BA189" s="251">
        <f t="shared" si="454"/>
        <v>2.548</v>
      </c>
      <c r="BB189" s="244">
        <f t="shared" si="454"/>
        <v>2.548</v>
      </c>
      <c r="BC189" s="249">
        <f t="shared" si="454"/>
        <v>2.548</v>
      </c>
      <c r="BD189" s="250">
        <f t="shared" si="454"/>
        <v>2.548</v>
      </c>
      <c r="BE189" s="250">
        <f t="shared" si="454"/>
        <v>2.548</v>
      </c>
      <c r="BF189" s="251">
        <f t="shared" si="454"/>
        <v>2.548</v>
      </c>
      <c r="BG189" s="244">
        <f t="shared" si="454"/>
        <v>2.548</v>
      </c>
      <c r="BH189" s="249">
        <f t="shared" si="454"/>
        <v>2.548</v>
      </c>
      <c r="BI189" s="250">
        <f t="shared" si="454"/>
        <v>2.548</v>
      </c>
      <c r="BJ189" s="250">
        <f t="shared" si="454"/>
        <v>2.548</v>
      </c>
      <c r="BK189" s="251">
        <f t="shared" si="454"/>
        <v>2.548</v>
      </c>
      <c r="BL189" s="244">
        <f t="shared" si="454"/>
        <v>2.548</v>
      </c>
      <c r="BM189" s="249">
        <f t="shared" ref="BM189" si="455">+BL189</f>
        <v>2.548</v>
      </c>
      <c r="BN189" s="250">
        <f t="shared" ref="BN189" si="456">+BM189</f>
        <v>2.548</v>
      </c>
      <c r="BO189" s="250">
        <f t="shared" ref="BO189" si="457">+BN189</f>
        <v>2.548</v>
      </c>
      <c r="BP189" s="251">
        <f t="shared" ref="BP189" si="458">+BO189</f>
        <v>2.548</v>
      </c>
      <c r="BQ189" s="244">
        <f t="shared" ref="BQ189" si="459">+BP189</f>
        <v>2.548</v>
      </c>
      <c r="BR189" s="244"/>
      <c r="BS189" s="244"/>
      <c r="BT189" s="233"/>
      <c r="BU189" s="233"/>
      <c r="BV189" s="233"/>
      <c r="BW189" s="233"/>
      <c r="BX189" s="233"/>
      <c r="BY189" s="233"/>
      <c r="BZ189" s="233"/>
      <c r="CA189" s="233"/>
      <c r="CB189" s="233"/>
      <c r="CC189" s="233"/>
      <c r="CD189" s="233"/>
      <c r="CE189" s="233"/>
    </row>
    <row r="190" spans="1:83">
      <c r="A190" s="233"/>
      <c r="B190" s="233"/>
      <c r="C190" s="1264" t="s">
        <v>153</v>
      </c>
      <c r="D190" s="233"/>
      <c r="E190" s="190">
        <v>5370.4459999999999</v>
      </c>
      <c r="F190" s="190">
        <v>5375.2650000000003</v>
      </c>
      <c r="G190" s="190">
        <v>5369.4740000000002</v>
      </c>
      <c r="H190" s="191">
        <v>5370.0420000000004</v>
      </c>
      <c r="I190" s="379">
        <f>+H190</f>
        <v>5370.0420000000004</v>
      </c>
      <c r="J190" s="393">
        <v>5373.424</v>
      </c>
      <c r="K190" s="190">
        <v>8273.1530000000002</v>
      </c>
      <c r="L190" s="190">
        <v>5367.0910000000003</v>
      </c>
      <c r="M190" s="191">
        <v>5367.4740000000002</v>
      </c>
      <c r="N190" s="244">
        <f>+M190</f>
        <v>5367.4740000000002</v>
      </c>
      <c r="O190" s="393">
        <v>8789.5339999999997</v>
      </c>
      <c r="P190" s="190">
        <v>8957.5159999999996</v>
      </c>
      <c r="Q190" s="190">
        <v>9439</v>
      </c>
      <c r="R190" s="191">
        <v>9446.9599999999991</v>
      </c>
      <c r="S190" s="244">
        <f>+R190</f>
        <v>9446.9599999999991</v>
      </c>
      <c r="T190" s="393">
        <v>9148.2620000000006</v>
      </c>
      <c r="U190" s="190">
        <v>9366.2209999999995</v>
      </c>
      <c r="V190" s="190">
        <v>9555.8590000000004</v>
      </c>
      <c r="W190" s="191">
        <v>9704.5910000000003</v>
      </c>
      <c r="X190" s="244">
        <f>+W190</f>
        <v>9704.5910000000003</v>
      </c>
      <c r="Y190" s="393">
        <v>9718.1710000000003</v>
      </c>
      <c r="Z190" s="190">
        <v>9733.99</v>
      </c>
      <c r="AA190" s="190">
        <v>9825.6530000000002</v>
      </c>
      <c r="AB190" s="191">
        <v>9825.0529999999999</v>
      </c>
      <c r="AC190" s="244">
        <f>+AB190</f>
        <v>9825.0529999999999</v>
      </c>
      <c r="AD190" s="393">
        <v>10077.951999999999</v>
      </c>
      <c r="AE190" s="190">
        <v>10118.382</v>
      </c>
      <c r="AF190" s="190">
        <v>10199.338</v>
      </c>
      <c r="AG190" s="191">
        <v>10169.656999999999</v>
      </c>
      <c r="AH190" s="244">
        <f>+AG190</f>
        <v>10169.656999999999</v>
      </c>
      <c r="AI190" s="393">
        <v>10318.450000000001</v>
      </c>
      <c r="AJ190" s="190">
        <v>10318.290000000001</v>
      </c>
      <c r="AK190" s="190">
        <v>9445.9689999999991</v>
      </c>
      <c r="AL190" s="191">
        <v>9393.9130000000005</v>
      </c>
      <c r="AM190" s="244">
        <f>+AL190</f>
        <v>9393.9130000000005</v>
      </c>
      <c r="AN190" s="393">
        <v>9472.0400000000009</v>
      </c>
      <c r="AO190" s="190">
        <v>9887.35</v>
      </c>
      <c r="AP190" s="190">
        <v>10123.085999999999</v>
      </c>
      <c r="AQ190" s="191">
        <v>8195.5709999999999</v>
      </c>
      <c r="AR190" s="244">
        <f>+AQ190</f>
        <v>8195.5709999999999</v>
      </c>
      <c r="AS190" s="393">
        <v>8122.1030000000001</v>
      </c>
      <c r="AT190" s="190">
        <v>8375.89</v>
      </c>
      <c r="AU190" s="190">
        <v>8617.9009999999998</v>
      </c>
      <c r="AV190" s="191">
        <v>7977.7020000000002</v>
      </c>
      <c r="AW190" s="244">
        <f>+AV190</f>
        <v>7977.7020000000002</v>
      </c>
      <c r="AX190" s="249">
        <f>+AW190+AX41+AX141</f>
        <v>8035.2505119952293</v>
      </c>
      <c r="AY190" s="250">
        <f>+AX190+AY41+AY141</f>
        <v>8116.0135535464542</v>
      </c>
      <c r="AZ190" s="250">
        <f>+AY190+AZ41+AZ141</f>
        <v>8403.8088013213965</v>
      </c>
      <c r="BA190" s="251">
        <f>+AZ190+BA41+BA141</f>
        <v>8400.4823829863872</v>
      </c>
      <c r="BB190" s="244">
        <f>+BA190</f>
        <v>8400.4823829863872</v>
      </c>
      <c r="BC190" s="249">
        <f>+BB190+BC41+BC141</f>
        <v>8473.5858854973485</v>
      </c>
      <c r="BD190" s="250">
        <f>+BC190+BD41+BD141</f>
        <v>8549.7978105987386</v>
      </c>
      <c r="BE190" s="250">
        <f>+BD190+BE41+BE141</f>
        <v>8787.7460157229507</v>
      </c>
      <c r="BF190" s="251">
        <f>+BE190+BF41+BF141</f>
        <v>8735.3504038093452</v>
      </c>
      <c r="BG190" s="244">
        <f>+BF190</f>
        <v>8735.3504038093452</v>
      </c>
      <c r="BH190" s="249">
        <f>+BG190+BH41+BH141</f>
        <v>8864.7149139389167</v>
      </c>
      <c r="BI190" s="250">
        <f>+BH190+BI41+BI141</f>
        <v>8928.5231195764609</v>
      </c>
      <c r="BJ190" s="250">
        <f>+BI190+BJ41+BJ141</f>
        <v>9147.1867440614042</v>
      </c>
      <c r="BK190" s="251">
        <f>+BJ190+BK41+BK141</f>
        <v>9090.3595217355178</v>
      </c>
      <c r="BL190" s="244">
        <f>+BK190</f>
        <v>9090.3595217355178</v>
      </c>
      <c r="BM190" s="249">
        <f>+BL190+BM41+BM141</f>
        <v>9148.2632200555872</v>
      </c>
      <c r="BN190" s="250">
        <f>+BM190+BN41+BN141</f>
        <v>9227.2592484729739</v>
      </c>
      <c r="BO190" s="250">
        <f>+BN190+BO41+BO141</f>
        <v>9448.377537560822</v>
      </c>
      <c r="BP190" s="251">
        <f>+BO190+BP41+BP141</f>
        <v>9404.0713663176302</v>
      </c>
      <c r="BQ190" s="244">
        <f>+BP190</f>
        <v>9404.0713663176302</v>
      </c>
      <c r="BR190" s="244"/>
      <c r="BS190" s="244"/>
      <c r="BT190" s="233"/>
      <c r="BU190" s="233"/>
      <c r="BV190" s="233"/>
      <c r="BW190" s="233"/>
      <c r="BX190" s="233"/>
      <c r="BY190" s="233"/>
      <c r="BZ190" s="233"/>
      <c r="CA190" s="233"/>
      <c r="CB190" s="233"/>
      <c r="CC190" s="233"/>
      <c r="CD190" s="233"/>
      <c r="CE190" s="233"/>
    </row>
    <row r="191" spans="1:83">
      <c r="A191" s="233"/>
      <c r="B191" s="233"/>
      <c r="C191" s="1264" t="s">
        <v>593</v>
      </c>
      <c r="D191" s="233"/>
      <c r="E191" s="190">
        <v>7483.9549999999999</v>
      </c>
      <c r="F191" s="190">
        <v>7562.5870000000004</v>
      </c>
      <c r="G191" s="190">
        <v>7871.0510000000004</v>
      </c>
      <c r="H191" s="191">
        <v>8043.1220000000003</v>
      </c>
      <c r="I191" s="379">
        <f>+H191</f>
        <v>8043.1220000000003</v>
      </c>
      <c r="J191" s="393">
        <v>8115.01</v>
      </c>
      <c r="K191" s="190">
        <v>5377.1189999999997</v>
      </c>
      <c r="L191" s="190">
        <v>8611.0810000000001</v>
      </c>
      <c r="M191" s="191">
        <v>8689.4009999999998</v>
      </c>
      <c r="N191" s="244">
        <f>+M191</f>
        <v>8689.4009999999998</v>
      </c>
      <c r="O191" s="393">
        <v>5366.518</v>
      </c>
      <c r="P191" s="190">
        <v>5366.1319999999996</v>
      </c>
      <c r="Q191" s="190">
        <v>5362.9589999999998</v>
      </c>
      <c r="R191" s="191">
        <v>5360.6819999999998</v>
      </c>
      <c r="S191" s="244">
        <f>+R191</f>
        <v>5360.6819999999998</v>
      </c>
      <c r="T191" s="393">
        <v>5352.2560000000003</v>
      </c>
      <c r="U191" s="190">
        <v>5356.4750000000004</v>
      </c>
      <c r="V191" s="190">
        <v>5353.5190000000002</v>
      </c>
      <c r="W191" s="191">
        <v>5357.8519999999999</v>
      </c>
      <c r="X191" s="244">
        <f>+W191</f>
        <v>5357.8519999999999</v>
      </c>
      <c r="Y191" s="393">
        <v>5349.8850000000002</v>
      </c>
      <c r="Z191" s="190">
        <v>5355.7529999999997</v>
      </c>
      <c r="AA191" s="190">
        <v>5362.424</v>
      </c>
      <c r="AB191" s="191">
        <v>5368.1310000000003</v>
      </c>
      <c r="AC191" s="244">
        <f>+AB191</f>
        <v>5368.1310000000003</v>
      </c>
      <c r="AD191" s="393">
        <v>5350.6319999999996</v>
      </c>
      <c r="AE191" s="190">
        <v>5358.3950000000004</v>
      </c>
      <c r="AF191" s="190">
        <v>5367.768</v>
      </c>
      <c r="AG191" s="191">
        <v>5375.3530000000001</v>
      </c>
      <c r="AH191" s="244">
        <f>+AG191</f>
        <v>5375.3530000000001</v>
      </c>
      <c r="AI191" s="393">
        <v>5351.69</v>
      </c>
      <c r="AJ191" s="190">
        <v>5362.3329999999996</v>
      </c>
      <c r="AK191" s="190">
        <v>5378.9470000000001</v>
      </c>
      <c r="AL191" s="191">
        <v>5403.7579999999998</v>
      </c>
      <c r="AM191" s="244">
        <f>+AL191</f>
        <v>5403.7579999999998</v>
      </c>
      <c r="AN191" s="393">
        <v>5384.7619999999997</v>
      </c>
      <c r="AO191" s="190">
        <v>5392.5460000000003</v>
      </c>
      <c r="AP191" s="190">
        <v>5403.9870000000001</v>
      </c>
      <c r="AQ191" s="191">
        <v>5417.2449999999999</v>
      </c>
      <c r="AR191" s="244">
        <f>+AQ191</f>
        <v>5417.2449999999999</v>
      </c>
      <c r="AS191" s="393">
        <v>5398.0789999999997</v>
      </c>
      <c r="AT191" s="190">
        <v>5409.8620000000001</v>
      </c>
      <c r="AU191" s="190">
        <v>5420.6080000000002</v>
      </c>
      <c r="AV191" s="191">
        <v>5433.433</v>
      </c>
      <c r="AW191" s="244">
        <f>+AV191</f>
        <v>5433.433</v>
      </c>
      <c r="AX191" s="249">
        <f>+AW191+AX140</f>
        <v>5433.433</v>
      </c>
      <c r="AY191" s="250">
        <f>+AX191+AY140</f>
        <v>5433.433</v>
      </c>
      <c r="AZ191" s="250">
        <f>+AY191+AZ140</f>
        <v>5433.433</v>
      </c>
      <c r="BA191" s="251">
        <f>+AZ191+BA140</f>
        <v>5433.433</v>
      </c>
      <c r="BB191" s="244">
        <f>+BA191</f>
        <v>5433.433</v>
      </c>
      <c r="BC191" s="249">
        <f>+BB191+BC140</f>
        <v>5433.433</v>
      </c>
      <c r="BD191" s="250">
        <f>+BC191+BD140</f>
        <v>5433.433</v>
      </c>
      <c r="BE191" s="250">
        <f>+BD191+BE140</f>
        <v>5433.433</v>
      </c>
      <c r="BF191" s="251">
        <f>+BE191+BF140</f>
        <v>5433.433</v>
      </c>
      <c r="BG191" s="244">
        <f>+BF191</f>
        <v>5433.433</v>
      </c>
      <c r="BH191" s="249">
        <f>+BG191+BH140</f>
        <v>5433.433</v>
      </c>
      <c r="BI191" s="250">
        <f>+BH191+BI140</f>
        <v>5433.433</v>
      </c>
      <c r="BJ191" s="250">
        <f>+BI191+BJ140</f>
        <v>5433.433</v>
      </c>
      <c r="BK191" s="251">
        <f>+BJ191+BK140</f>
        <v>5433.433</v>
      </c>
      <c r="BL191" s="244">
        <f>+BK191</f>
        <v>5433.433</v>
      </c>
      <c r="BM191" s="249">
        <f>+BL191+BM140</f>
        <v>5433.433</v>
      </c>
      <c r="BN191" s="250">
        <f>+BM191+BN140</f>
        <v>5433.433</v>
      </c>
      <c r="BO191" s="250">
        <f>+BN191+BO140</f>
        <v>5433.433</v>
      </c>
      <c r="BP191" s="251">
        <f>+BO191+BP140</f>
        <v>5433.433</v>
      </c>
      <c r="BQ191" s="244">
        <f>+BP191</f>
        <v>5433.433</v>
      </c>
      <c r="BR191" s="244"/>
      <c r="BS191" s="244"/>
      <c r="BT191" s="233"/>
      <c r="BU191" s="233"/>
      <c r="BV191" s="233"/>
      <c r="BW191" s="233"/>
      <c r="BX191" s="233"/>
      <c r="BY191" s="233"/>
      <c r="BZ191" s="233"/>
      <c r="CA191" s="233"/>
      <c r="CB191" s="233"/>
      <c r="CC191" s="233"/>
      <c r="CD191" s="233"/>
      <c r="CE191" s="233"/>
    </row>
    <row r="192" spans="1:83">
      <c r="A192" s="233"/>
      <c r="B192" s="233"/>
      <c r="C192" s="1264" t="s">
        <v>313</v>
      </c>
      <c r="D192" s="233"/>
      <c r="E192" s="190">
        <f>-60.092-4166.451</f>
        <v>-4226.5429999999997</v>
      </c>
      <c r="F192" s="190">
        <f>-10.614-4163.312</f>
        <v>-4173.9259999999995</v>
      </c>
      <c r="G192" s="190">
        <f>-17.561-4742.165</f>
        <v>-4759.7259999999997</v>
      </c>
      <c r="H192" s="191">
        <f>-75.185-4727.167</f>
        <v>-4802.3520000000008</v>
      </c>
      <c r="I192" s="379">
        <f>H192</f>
        <v>-4802.3520000000008</v>
      </c>
      <c r="J192" s="393">
        <f>85.392-4716.295</f>
        <v>-4630.9030000000002</v>
      </c>
      <c r="K192" s="190">
        <f>-31.065-4851.017</f>
        <v>-4882.0819999999994</v>
      </c>
      <c r="L192" s="190">
        <f>72.566-5321.534</f>
        <v>-5248.9679999999998</v>
      </c>
      <c r="M192" s="191">
        <f>-38.212-5524.811</f>
        <v>-5563.0230000000001</v>
      </c>
      <c r="N192" s="244">
        <f>M192</f>
        <v>-5563.0230000000001</v>
      </c>
      <c r="O192" s="393">
        <f>-67.177-5556.285</f>
        <v>-5623.4619999999995</v>
      </c>
      <c r="P192" s="190">
        <f>-75.156-5653.474</f>
        <v>-5728.63</v>
      </c>
      <c r="Q192" s="190">
        <f>-138.337-5700.808+0.002</f>
        <v>-5839.143</v>
      </c>
      <c r="R192" s="191">
        <f>-5680.468-168.452</f>
        <v>-5848.92</v>
      </c>
      <c r="S192" s="244">
        <f>R192</f>
        <v>-5848.92</v>
      </c>
      <c r="T192" s="393">
        <f>-5622.473+33.667</f>
        <v>-5588.8059999999996</v>
      </c>
      <c r="U192" s="190">
        <f>-5619.651-75.597</f>
        <v>-5695.2479999999996</v>
      </c>
      <c r="V192" s="190">
        <f>-5584.611-136.793</f>
        <v>-5721.4039999999995</v>
      </c>
      <c r="W192" s="191">
        <f>-5574.819-293.083</f>
        <v>-5867.902</v>
      </c>
      <c r="X192" s="244">
        <f>W192</f>
        <v>-5867.902</v>
      </c>
      <c r="Y192" s="393">
        <f>-5553.87-303.658</f>
        <v>-5857.5280000000002</v>
      </c>
      <c r="Z192" s="190">
        <f>-5543.471-274.303</f>
        <v>-5817.7739999999994</v>
      </c>
      <c r="AA192" s="190">
        <f>-5538.644-243.53</f>
        <v>-5782.174</v>
      </c>
      <c r="AB192" s="191">
        <f>-5533.942-29.324</f>
        <v>-5563.2659999999996</v>
      </c>
      <c r="AC192" s="244">
        <f>AB192</f>
        <v>-5563.2659999999996</v>
      </c>
      <c r="AD192" s="393">
        <f>-5477.502-5.202</f>
        <v>-5482.7040000000006</v>
      </c>
      <c r="AE192" s="190">
        <f>-5447.925+31.068</f>
        <v>-5416.857</v>
      </c>
      <c r="AF192" s="190">
        <f>-5441.003+20.384</f>
        <v>-5420.6189999999997</v>
      </c>
      <c r="AG192" s="191">
        <f>-5497.526-42.307</f>
        <v>-5539.8329999999996</v>
      </c>
      <c r="AH192" s="244">
        <f>AG192</f>
        <v>-5539.8329999999996</v>
      </c>
      <c r="AI192" s="393">
        <f>-5478.972-59.737</f>
        <v>-5538.7089999999998</v>
      </c>
      <c r="AJ192" s="190">
        <f>-5478.159-46.816</f>
        <v>-5524.9749999999995</v>
      </c>
      <c r="AK192" s="190">
        <f>-5552.541-117.798</f>
        <v>-5670.3389999999999</v>
      </c>
      <c r="AL192" s="191">
        <f>8.951-5552.379</f>
        <v>-5543.4279999999999</v>
      </c>
      <c r="AM192" s="244">
        <f>AL192</f>
        <v>-5543.4279999999999</v>
      </c>
      <c r="AN192" s="393">
        <f>29.792-5528.195</f>
        <v>-5498.4029999999993</v>
      </c>
      <c r="AO192" s="190">
        <f>-9.155-5515.502</f>
        <v>-5524.6570000000002</v>
      </c>
      <c r="AP192" s="190">
        <f>38.136-5498.695</f>
        <v>-5460.5589999999993</v>
      </c>
      <c r="AQ192" s="191">
        <f>-5498.584-34.971</f>
        <v>-5533.5549999999994</v>
      </c>
      <c r="AR192" s="244">
        <f>AQ192</f>
        <v>-5533.5549999999994</v>
      </c>
      <c r="AS192" s="393">
        <f>-5476.501+10.96</f>
        <v>-5465.5410000000002</v>
      </c>
      <c r="AT192" s="190">
        <f>-5470.217+52.773</f>
        <v>-5417.4439999999995</v>
      </c>
      <c r="AU192" s="190">
        <f>-5462.498+111.678</f>
        <v>-5350.82</v>
      </c>
      <c r="AV192" s="191">
        <f>-5397.637-23.531</f>
        <v>-5421.1679999999997</v>
      </c>
      <c r="AW192" s="244">
        <f>AV192</f>
        <v>-5421.1679999999997</v>
      </c>
      <c r="AX192" s="249">
        <f t="shared" ref="AX192:BB192" si="460">AW192</f>
        <v>-5421.1679999999997</v>
      </c>
      <c r="AY192" s="250">
        <f t="shared" si="460"/>
        <v>-5421.1679999999997</v>
      </c>
      <c r="AZ192" s="250">
        <f t="shared" si="460"/>
        <v>-5421.1679999999997</v>
      </c>
      <c r="BA192" s="251">
        <f t="shared" si="460"/>
        <v>-5421.1679999999997</v>
      </c>
      <c r="BB192" s="244">
        <f t="shared" si="460"/>
        <v>-5421.1679999999997</v>
      </c>
      <c r="BC192" s="249">
        <f t="shared" ref="BC192" si="461">BB192</f>
        <v>-5421.1679999999997</v>
      </c>
      <c r="BD192" s="250">
        <f t="shared" ref="BD192" si="462">BC192</f>
        <v>-5421.1679999999997</v>
      </c>
      <c r="BE192" s="250">
        <f t="shared" ref="BE192" si="463">BD192</f>
        <v>-5421.1679999999997</v>
      </c>
      <c r="BF192" s="251">
        <f t="shared" ref="BF192" si="464">BE192</f>
        <v>-5421.1679999999997</v>
      </c>
      <c r="BG192" s="244">
        <f t="shared" ref="BG192" si="465">BF192</f>
        <v>-5421.1679999999997</v>
      </c>
      <c r="BH192" s="249">
        <f t="shared" ref="BH192" si="466">BG192</f>
        <v>-5421.1679999999997</v>
      </c>
      <c r="BI192" s="250">
        <f t="shared" ref="BI192" si="467">BH192</f>
        <v>-5421.1679999999997</v>
      </c>
      <c r="BJ192" s="250">
        <f t="shared" ref="BJ192" si="468">BI192</f>
        <v>-5421.1679999999997</v>
      </c>
      <c r="BK192" s="251">
        <f t="shared" ref="BK192" si="469">BJ192</f>
        <v>-5421.1679999999997</v>
      </c>
      <c r="BL192" s="244">
        <f t="shared" ref="BL192" si="470">BK192</f>
        <v>-5421.1679999999997</v>
      </c>
      <c r="BM192" s="249">
        <f t="shared" ref="BM192" si="471">BL192</f>
        <v>-5421.1679999999997</v>
      </c>
      <c r="BN192" s="250">
        <f t="shared" ref="BN192" si="472">BM192</f>
        <v>-5421.1679999999997</v>
      </c>
      <c r="BO192" s="250">
        <f t="shared" ref="BO192" si="473">BN192</f>
        <v>-5421.1679999999997</v>
      </c>
      <c r="BP192" s="251">
        <f t="shared" ref="BP192" si="474">BO192</f>
        <v>-5421.1679999999997</v>
      </c>
      <c r="BQ192" s="244">
        <f t="shared" ref="BQ192" si="475">BP192</f>
        <v>-5421.1679999999997</v>
      </c>
      <c r="BR192" s="244"/>
      <c r="BS192" s="244"/>
      <c r="BT192" s="233"/>
      <c r="BU192" s="233"/>
      <c r="BV192" s="233"/>
      <c r="BW192" s="233"/>
      <c r="BX192" s="233"/>
      <c r="BY192" s="233"/>
      <c r="BZ192" s="233"/>
      <c r="CA192" s="233"/>
      <c r="CB192" s="233"/>
      <c r="CC192" s="233"/>
      <c r="CD192" s="233"/>
      <c r="CE192" s="233"/>
    </row>
    <row r="193" spans="1:83">
      <c r="A193" s="36"/>
      <c r="B193" s="36"/>
      <c r="C193" s="1173" t="s">
        <v>394</v>
      </c>
      <c r="D193" s="36"/>
      <c r="E193" s="181">
        <f>+SUM(E189:E192)</f>
        <v>8630.4060000000009</v>
      </c>
      <c r="F193" s="181">
        <f>+SUM(F189:F192)</f>
        <v>8766.474000000002</v>
      </c>
      <c r="G193" s="181">
        <f>+SUM(G189:G192)</f>
        <v>8483.3470000000016</v>
      </c>
      <c r="H193" s="182">
        <f>+SUM(H189:H192)</f>
        <v>8613.3599999999988</v>
      </c>
      <c r="I193" s="378">
        <f>H193</f>
        <v>8613.3599999999988</v>
      </c>
      <c r="J193" s="180">
        <f>+SUM(J189:J192)</f>
        <v>8860.0789999999997</v>
      </c>
      <c r="K193" s="181">
        <f>+SUM(K189:K192)</f>
        <v>8770.7380000000012</v>
      </c>
      <c r="L193" s="181">
        <f>+SUM(L189:L192)</f>
        <v>8731.7520000000004</v>
      </c>
      <c r="M193" s="182">
        <f>+SUM(M189:M192)</f>
        <v>8496.3999999999978</v>
      </c>
      <c r="N193" s="110">
        <f>M193</f>
        <v>8496.3999999999978</v>
      </c>
      <c r="O193" s="180">
        <f>+SUM(O189:O192)</f>
        <v>8535.1380000000008</v>
      </c>
      <c r="P193" s="181">
        <f>+SUM(P189:P192)</f>
        <v>8597.5659999999989</v>
      </c>
      <c r="Q193" s="181">
        <f>+SUM(Q189:Q192)</f>
        <v>8965.3640000000014</v>
      </c>
      <c r="R193" s="182">
        <f>SUM(R189:R192)</f>
        <v>8961.2699999999986</v>
      </c>
      <c r="S193" s="110">
        <f>R193</f>
        <v>8961.2699999999986</v>
      </c>
      <c r="T193" s="180">
        <f>+SUM(T189:T192)</f>
        <v>8914.260000000002</v>
      </c>
      <c r="U193" s="181">
        <f>+SUM(U189:U192)</f>
        <v>9029.996000000001</v>
      </c>
      <c r="V193" s="181">
        <f>SUM(V189:V192)</f>
        <v>9190.5220000000008</v>
      </c>
      <c r="W193" s="182">
        <f>SUM(W189:W192)</f>
        <v>9197.0890000000018</v>
      </c>
      <c r="X193" s="110">
        <f>W193</f>
        <v>9197.0890000000018</v>
      </c>
      <c r="Y193" s="180">
        <f t="shared" ref="Y193:AE193" si="476">+SUM(Y189:Y192)</f>
        <v>9213.0760000000009</v>
      </c>
      <c r="Z193" s="181">
        <f t="shared" si="476"/>
        <v>9274.5170000000016</v>
      </c>
      <c r="AA193" s="181">
        <f t="shared" si="476"/>
        <v>9408.4510000000009</v>
      </c>
      <c r="AB193" s="182">
        <f>SUM(AB189:AB192)</f>
        <v>9632.4660000000003</v>
      </c>
      <c r="AC193" s="110">
        <f>AB193</f>
        <v>9632.4660000000003</v>
      </c>
      <c r="AD193" s="180">
        <f>SUM(AD189:AD192)</f>
        <v>9948.4279999999999</v>
      </c>
      <c r="AE193" s="181">
        <f t="shared" si="476"/>
        <v>10062.468000000001</v>
      </c>
      <c r="AF193" s="181">
        <f>SUM(AF189:AF192)</f>
        <v>10149.035</v>
      </c>
      <c r="AG193" s="182">
        <f>SUM(AG189:AG192)</f>
        <v>10007.725000000002</v>
      </c>
      <c r="AH193" s="110">
        <f>AG193</f>
        <v>10007.725000000002</v>
      </c>
      <c r="AI193" s="180">
        <f>SUM(AI189:AI192)</f>
        <v>10133.979000000003</v>
      </c>
      <c r="AJ193" s="181">
        <f>SUM(AJ189:AJ192)</f>
        <v>10158.196000000004</v>
      </c>
      <c r="AK193" s="181">
        <f>SUM(AK189:AK192)</f>
        <v>9157.125</v>
      </c>
      <c r="AL193" s="182">
        <f>SUM(AL189:AL192)</f>
        <v>9256.7910000000011</v>
      </c>
      <c r="AM193" s="110">
        <f>AL193</f>
        <v>9256.7910000000011</v>
      </c>
      <c r="AN193" s="180">
        <f>SUM(AN189:AN192)</f>
        <v>9360.9470000000038</v>
      </c>
      <c r="AO193" s="181">
        <f>SUM(AO189:AO192)</f>
        <v>9757.7870000000003</v>
      </c>
      <c r="AP193" s="181">
        <f>SUM(AP189:AP192)</f>
        <v>10069.062</v>
      </c>
      <c r="AQ193" s="182">
        <f>SUM(AQ189:AQ192)</f>
        <v>8081.809000000002</v>
      </c>
      <c r="AR193" s="110">
        <f>AQ193</f>
        <v>8081.809000000002</v>
      </c>
      <c r="AS193" s="180">
        <f>SUM(AS189:AS192)</f>
        <v>8057.1889999999994</v>
      </c>
      <c r="AT193" s="181">
        <f t="shared" ref="AT193:BB193" si="477">+SUM(AT189:AT192)</f>
        <v>8370.8559999999998</v>
      </c>
      <c r="AU193" s="181">
        <f t="shared" si="477"/>
        <v>8690.237000000001</v>
      </c>
      <c r="AV193" s="182">
        <f>SUM(AV189:AV192)</f>
        <v>7992.5150000000012</v>
      </c>
      <c r="AW193" s="110">
        <f>AV193</f>
        <v>7992.5150000000012</v>
      </c>
      <c r="AX193" s="180">
        <f t="shared" si="477"/>
        <v>8050.0635119952294</v>
      </c>
      <c r="AY193" s="181">
        <f t="shared" si="477"/>
        <v>8130.8265535464543</v>
      </c>
      <c r="AZ193" s="181">
        <f t="shared" si="477"/>
        <v>8418.6218013213966</v>
      </c>
      <c r="BA193" s="182">
        <f t="shared" si="477"/>
        <v>8415.2953829863891</v>
      </c>
      <c r="BB193" s="110">
        <f t="shared" si="477"/>
        <v>8415.2953829863891</v>
      </c>
      <c r="BC193" s="180">
        <f t="shared" ref="BC193:BL193" si="478">+SUM(BC189:BC192)</f>
        <v>8488.3988854973486</v>
      </c>
      <c r="BD193" s="181">
        <f t="shared" si="478"/>
        <v>8564.6108105987387</v>
      </c>
      <c r="BE193" s="181">
        <f t="shared" si="478"/>
        <v>8802.5590157229508</v>
      </c>
      <c r="BF193" s="182">
        <f t="shared" si="478"/>
        <v>8750.1634038093453</v>
      </c>
      <c r="BG193" s="110">
        <f t="shared" si="478"/>
        <v>8750.1634038093453</v>
      </c>
      <c r="BH193" s="180">
        <f t="shared" si="478"/>
        <v>8879.5279139389186</v>
      </c>
      <c r="BI193" s="181">
        <f t="shared" si="478"/>
        <v>8943.336119576461</v>
      </c>
      <c r="BJ193" s="181">
        <f t="shared" si="478"/>
        <v>9161.9997440614043</v>
      </c>
      <c r="BK193" s="182">
        <f t="shared" si="478"/>
        <v>9105.1725217355179</v>
      </c>
      <c r="BL193" s="110">
        <f t="shared" si="478"/>
        <v>9105.1725217355179</v>
      </c>
      <c r="BM193" s="180">
        <f t="shared" ref="BM193:BQ193" si="479">+SUM(BM189:BM192)</f>
        <v>9163.0762200555891</v>
      </c>
      <c r="BN193" s="181">
        <f t="shared" si="479"/>
        <v>9242.0722484729758</v>
      </c>
      <c r="BO193" s="181">
        <f t="shared" si="479"/>
        <v>9463.1905375608239</v>
      </c>
      <c r="BP193" s="182">
        <f t="shared" si="479"/>
        <v>9418.8843663176322</v>
      </c>
      <c r="BQ193" s="110">
        <f t="shared" si="479"/>
        <v>9418.8843663176322</v>
      </c>
      <c r="BR193" s="110"/>
      <c r="BS193" s="110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</row>
    <row r="194" spans="1:83">
      <c r="A194" s="233"/>
      <c r="B194" s="233"/>
      <c r="C194" s="1264"/>
      <c r="D194" s="233"/>
      <c r="E194" s="250"/>
      <c r="F194" s="250"/>
      <c r="G194" s="250"/>
      <c r="H194" s="251"/>
      <c r="I194" s="379"/>
      <c r="J194" s="249"/>
      <c r="K194" s="250"/>
      <c r="L194" s="250"/>
      <c r="M194" s="251"/>
      <c r="N194" s="244"/>
      <c r="O194" s="249"/>
      <c r="P194" s="250"/>
      <c r="Q194" s="250"/>
      <c r="R194" s="251"/>
      <c r="S194" s="244"/>
      <c r="T194" s="249"/>
      <c r="U194" s="250"/>
      <c r="V194" s="250"/>
      <c r="W194" s="251"/>
      <c r="X194" s="244"/>
      <c r="Y194" s="249"/>
      <c r="Z194" s="250"/>
      <c r="AA194" s="250"/>
      <c r="AB194" s="251"/>
      <c r="AC194" s="244"/>
      <c r="AD194" s="249"/>
      <c r="AE194" s="250"/>
      <c r="AF194" s="250"/>
      <c r="AG194" s="251"/>
      <c r="AH194" s="244"/>
      <c r="AI194" s="249"/>
      <c r="AJ194" s="250"/>
      <c r="AK194" s="250"/>
      <c r="AL194" s="251"/>
      <c r="AM194" s="244">
        <f>AL194</f>
        <v>0</v>
      </c>
      <c r="AN194" s="249"/>
      <c r="AO194" s="250"/>
      <c r="AP194" s="250"/>
      <c r="AQ194" s="251"/>
      <c r="AR194" s="244">
        <f>AQ194</f>
        <v>0</v>
      </c>
      <c r="AS194" s="249"/>
      <c r="AT194" s="250"/>
      <c r="AU194" s="250"/>
      <c r="AV194" s="251"/>
      <c r="AW194" s="244">
        <f>AV194</f>
        <v>0</v>
      </c>
      <c r="AX194" s="249"/>
      <c r="AY194" s="250"/>
      <c r="AZ194" s="250"/>
      <c r="BA194" s="251"/>
      <c r="BB194" s="244">
        <f>BA194</f>
        <v>0</v>
      </c>
      <c r="BC194" s="249"/>
      <c r="BD194" s="250"/>
      <c r="BE194" s="250"/>
      <c r="BF194" s="251"/>
      <c r="BG194" s="244">
        <f>BF194</f>
        <v>0</v>
      </c>
      <c r="BH194" s="249"/>
      <c r="BI194" s="250"/>
      <c r="BJ194" s="250"/>
      <c r="BK194" s="251"/>
      <c r="BL194" s="244">
        <f>BK194</f>
        <v>0</v>
      </c>
      <c r="BM194" s="249"/>
      <c r="BN194" s="250"/>
      <c r="BO194" s="250"/>
      <c r="BP194" s="251"/>
      <c r="BQ194" s="244">
        <f>BP194</f>
        <v>0</v>
      </c>
      <c r="BR194" s="244"/>
      <c r="BS194" s="244"/>
      <c r="BT194" s="233"/>
      <c r="BU194" s="233"/>
      <c r="BV194" s="233"/>
      <c r="BW194" s="233"/>
      <c r="BX194" s="233"/>
      <c r="BY194" s="233"/>
      <c r="BZ194" s="233"/>
      <c r="CA194" s="233"/>
      <c r="CB194" s="233"/>
      <c r="CC194" s="233"/>
      <c r="CD194" s="233"/>
      <c r="CE194" s="233"/>
    </row>
    <row r="195" spans="1:83">
      <c r="A195" s="233"/>
      <c r="B195" s="233"/>
      <c r="C195" s="1175" t="s">
        <v>395</v>
      </c>
      <c r="D195" s="233"/>
      <c r="E195" s="246">
        <f>+E193+E187+E186+E184</f>
        <v>36612.587</v>
      </c>
      <c r="F195" s="246">
        <f t="shared" ref="F195:O195" si="480">+F193+F187+F186+F184</f>
        <v>36485.22</v>
      </c>
      <c r="G195" s="246">
        <f>+G193+G187+G186+G184</f>
        <v>36170.334999999999</v>
      </c>
      <c r="H195" s="247">
        <f>+H193+H187+H186+H184</f>
        <v>37512.742999999995</v>
      </c>
      <c r="I195" s="380">
        <f t="shared" si="480"/>
        <v>37512.742999999995</v>
      </c>
      <c r="J195" s="248">
        <f t="shared" si="480"/>
        <v>38109.402000000002</v>
      </c>
      <c r="K195" s="246">
        <f t="shared" si="480"/>
        <v>37752.074000000001</v>
      </c>
      <c r="L195" s="246">
        <f t="shared" si="480"/>
        <v>38680.038</v>
      </c>
      <c r="M195" s="247">
        <f>+M193+M187+M186+M184</f>
        <v>39087.075999999994</v>
      </c>
      <c r="N195" s="245">
        <f t="shared" si="480"/>
        <v>39087.075999999994</v>
      </c>
      <c r="O195" s="248">
        <f t="shared" si="480"/>
        <v>38598.566000000006</v>
      </c>
      <c r="P195" s="246">
        <f>+P193+P187+P186+P184</f>
        <v>39129.761000000006</v>
      </c>
      <c r="Q195" s="246">
        <f t="shared" ref="Q195:AM195" si="481">+Q193+Q187+Q186+Q184</f>
        <v>39004.5</v>
      </c>
      <c r="R195" s="247">
        <f>+R193+R187+R186+R184</f>
        <v>40689.269</v>
      </c>
      <c r="S195" s="245">
        <f t="shared" si="481"/>
        <v>40689.269</v>
      </c>
      <c r="T195" s="248">
        <f t="shared" si="481"/>
        <v>40930.224000000002</v>
      </c>
      <c r="U195" s="246">
        <f t="shared" si="481"/>
        <v>40917.605000000003</v>
      </c>
      <c r="V195" s="246">
        <f>+V193+V187+V186+V184</f>
        <v>42023.68</v>
      </c>
      <c r="W195" s="247">
        <f>+W193+W187+W186+W184</f>
        <v>43202.502000000008</v>
      </c>
      <c r="X195" s="245">
        <f>+X193+X187+X186+X184</f>
        <v>43202.502000000008</v>
      </c>
      <c r="Y195" s="248">
        <f t="shared" si="481"/>
        <v>42792.972999999998</v>
      </c>
      <c r="Z195" s="246">
        <f t="shared" si="481"/>
        <v>43262.285000000003</v>
      </c>
      <c r="AA195" s="246">
        <f t="shared" si="481"/>
        <v>43324.126000000004</v>
      </c>
      <c r="AB195" s="247">
        <f>+AB193+AB187+AB186+AB184</f>
        <v>43406.446000000004</v>
      </c>
      <c r="AC195" s="245">
        <f>+AC193+AC187+AC186+AC184</f>
        <v>43406.446000000004</v>
      </c>
      <c r="AD195" s="248">
        <f>+AD193+AD187+AD186+AD184</f>
        <v>43876.769</v>
      </c>
      <c r="AE195" s="246">
        <f t="shared" si="481"/>
        <v>44150.747000000003</v>
      </c>
      <c r="AF195" s="246">
        <f t="shared" ref="AF195:AK195" si="482">+AF193+AF187+AF186+AF184</f>
        <v>44541.648999999998</v>
      </c>
      <c r="AG195" s="247">
        <f t="shared" si="482"/>
        <v>46527.853999999999</v>
      </c>
      <c r="AH195" s="245">
        <f t="shared" si="482"/>
        <v>46527.853999999999</v>
      </c>
      <c r="AI195" s="248">
        <f t="shared" si="482"/>
        <v>46377.532999999996</v>
      </c>
      <c r="AJ195" s="246">
        <f t="shared" si="482"/>
        <v>46265.651000000005</v>
      </c>
      <c r="AK195" s="246">
        <f t="shared" si="482"/>
        <v>45041.605000000003</v>
      </c>
      <c r="AL195" s="247">
        <f t="shared" si="481"/>
        <v>44647.681000000004</v>
      </c>
      <c r="AM195" s="245">
        <f t="shared" si="481"/>
        <v>44647.681000000004</v>
      </c>
      <c r="AN195" s="248">
        <f>+AN193+AN187+AN186+AN184</f>
        <v>45933.882000000005</v>
      </c>
      <c r="AO195" s="246">
        <f t="shared" ref="AO195:AR195" si="483">+AO193+AO187+AO186+AO184</f>
        <v>45877.042000000009</v>
      </c>
      <c r="AP195" s="246">
        <f t="shared" si="483"/>
        <v>47738.180999999997</v>
      </c>
      <c r="AQ195" s="247">
        <f t="shared" si="483"/>
        <v>45904.434000000008</v>
      </c>
      <c r="AR195" s="245">
        <f t="shared" si="483"/>
        <v>45904.434000000008</v>
      </c>
      <c r="AS195" s="248">
        <f>+AS193+AS187+AS186+AS184</f>
        <v>45318.206000000006</v>
      </c>
      <c r="AT195" s="246">
        <f t="shared" ref="AT195:AW195" si="484">+AT193+AT187+AT186+AT184</f>
        <v>46007.036999999997</v>
      </c>
      <c r="AU195" s="246">
        <f t="shared" si="484"/>
        <v>46398.442000000003</v>
      </c>
      <c r="AV195" s="247">
        <f t="shared" si="484"/>
        <v>46707.149000000005</v>
      </c>
      <c r="AW195" s="245">
        <f t="shared" si="484"/>
        <v>46707.149000000005</v>
      </c>
      <c r="AX195" s="248">
        <f t="shared" ref="AX195:BL195" si="485">+AX193+AX187+AX186+AX184</f>
        <v>46654.788774357956</v>
      </c>
      <c r="AY195" s="246">
        <f t="shared" si="485"/>
        <v>48775.570620594997</v>
      </c>
      <c r="AZ195" s="246">
        <f t="shared" si="485"/>
        <v>48855.074901894215</v>
      </c>
      <c r="BA195" s="247">
        <f t="shared" si="485"/>
        <v>48858.45751708348</v>
      </c>
      <c r="BB195" s="245">
        <f t="shared" si="485"/>
        <v>48858.45751708348</v>
      </c>
      <c r="BC195" s="248">
        <f t="shared" si="485"/>
        <v>49386.590619726856</v>
      </c>
      <c r="BD195" s="246">
        <f t="shared" si="485"/>
        <v>49972.171643742855</v>
      </c>
      <c r="BE195" s="246">
        <f t="shared" si="485"/>
        <v>51342.480446719186</v>
      </c>
      <c r="BF195" s="247">
        <f t="shared" si="485"/>
        <v>51382.594267105291</v>
      </c>
      <c r="BG195" s="245">
        <f t="shared" si="485"/>
        <v>51382.594267105291</v>
      </c>
      <c r="BH195" s="248">
        <f t="shared" si="485"/>
        <v>51601.484513108655</v>
      </c>
      <c r="BI195" s="246">
        <f t="shared" si="485"/>
        <v>52073.764670566874</v>
      </c>
      <c r="BJ195" s="246">
        <f t="shared" si="485"/>
        <v>53818.152508428087</v>
      </c>
      <c r="BK195" s="247">
        <f t="shared" si="485"/>
        <v>53567.565919792454</v>
      </c>
      <c r="BL195" s="245">
        <f t="shared" si="485"/>
        <v>53567.565919792454</v>
      </c>
      <c r="BM195" s="248">
        <f t="shared" ref="BM195:BQ195" si="486">+BM193+BM187+BM186+BM184</f>
        <v>53536.158558610659</v>
      </c>
      <c r="BN195" s="246">
        <f t="shared" si="486"/>
        <v>54063.824063397995</v>
      </c>
      <c r="BO195" s="246">
        <f t="shared" si="486"/>
        <v>55404.179156920065</v>
      </c>
      <c r="BP195" s="247">
        <f t="shared" si="486"/>
        <v>55432.735392777635</v>
      </c>
      <c r="BQ195" s="245">
        <f t="shared" si="486"/>
        <v>55432.735392777635</v>
      </c>
      <c r="BR195" s="244"/>
      <c r="BS195" s="244"/>
      <c r="BT195" s="233"/>
      <c r="BU195" s="233"/>
      <c r="BV195" s="233"/>
      <c r="BW195" s="233"/>
      <c r="BX195" s="233"/>
      <c r="BY195" s="233"/>
      <c r="BZ195" s="233"/>
      <c r="CA195" s="233"/>
      <c r="CB195" s="233"/>
      <c r="CC195" s="233"/>
      <c r="CD195" s="233"/>
      <c r="CE195" s="233"/>
    </row>
    <row r="196" spans="1:83">
      <c r="A196" s="233"/>
      <c r="B196" s="233"/>
      <c r="C196" s="1264"/>
      <c r="D196" s="233"/>
      <c r="E196" s="250"/>
      <c r="F196" s="250"/>
      <c r="G196" s="250"/>
      <c r="H196" s="251"/>
      <c r="I196" s="379"/>
      <c r="J196" s="249"/>
      <c r="K196" s="250"/>
      <c r="L196" s="250"/>
      <c r="M196" s="251"/>
      <c r="N196" s="244"/>
      <c r="O196" s="249"/>
      <c r="P196" s="250"/>
      <c r="Q196" s="250"/>
      <c r="R196" s="251"/>
      <c r="S196" s="244"/>
      <c r="T196" s="249"/>
      <c r="U196" s="250"/>
      <c r="V196" s="250"/>
      <c r="W196" s="251"/>
      <c r="X196" s="244"/>
      <c r="Y196" s="249"/>
      <c r="Z196" s="250"/>
      <c r="AA196" s="250"/>
      <c r="AB196" s="251"/>
      <c r="AC196" s="244"/>
      <c r="AD196" s="249"/>
      <c r="AE196" s="250"/>
      <c r="AF196" s="250"/>
      <c r="AG196" s="251"/>
      <c r="AH196" s="244"/>
      <c r="AI196" s="249"/>
      <c r="AJ196" s="250"/>
      <c r="AK196" s="250"/>
      <c r="AL196" s="251"/>
      <c r="AM196" s="244"/>
      <c r="AN196" s="249"/>
      <c r="AO196" s="250"/>
      <c r="AP196" s="250"/>
      <c r="AQ196" s="251"/>
      <c r="AR196" s="244"/>
      <c r="AS196" s="249"/>
      <c r="AT196" s="250"/>
      <c r="AU196" s="250"/>
      <c r="AV196" s="251"/>
      <c r="AW196" s="244"/>
      <c r="AX196" s="249"/>
      <c r="AY196" s="250"/>
      <c r="AZ196" s="250"/>
      <c r="BA196" s="251"/>
      <c r="BB196" s="244"/>
      <c r="BC196" s="249"/>
      <c r="BD196" s="250"/>
      <c r="BE196" s="250"/>
      <c r="BF196" s="251"/>
      <c r="BG196" s="244"/>
      <c r="BH196" s="249"/>
      <c r="BI196" s="250"/>
      <c r="BJ196" s="250"/>
      <c r="BK196" s="251"/>
      <c r="BL196" s="244"/>
      <c r="BM196" s="249"/>
      <c r="BN196" s="250"/>
      <c r="BO196" s="250"/>
      <c r="BP196" s="251"/>
      <c r="BQ196" s="244"/>
      <c r="BR196" s="244"/>
      <c r="BS196" s="244"/>
      <c r="BT196" s="233"/>
      <c r="BU196" s="233"/>
      <c r="BV196" s="233"/>
      <c r="BW196" s="233"/>
      <c r="BX196" s="233"/>
      <c r="BY196" s="233"/>
      <c r="BZ196" s="233"/>
      <c r="CA196" s="233"/>
      <c r="CB196" s="233"/>
      <c r="CC196" s="233"/>
      <c r="CD196" s="233"/>
      <c r="CE196" s="233"/>
    </row>
    <row r="197" spans="1:83">
      <c r="A197" s="233"/>
      <c r="B197" s="233"/>
      <c r="C197" s="1264" t="s">
        <v>68</v>
      </c>
      <c r="D197" s="233"/>
      <c r="E197" s="250">
        <f t="shared" ref="E197:AM197" si="487">E171-E195</f>
        <v>0</v>
      </c>
      <c r="F197" s="250">
        <f t="shared" si="487"/>
        <v>0</v>
      </c>
      <c r="G197" s="250">
        <f t="shared" si="487"/>
        <v>0</v>
      </c>
      <c r="H197" s="258">
        <f t="shared" si="487"/>
        <v>0</v>
      </c>
      <c r="I197" s="388">
        <f t="shared" si="487"/>
        <v>0</v>
      </c>
      <c r="J197" s="249">
        <f t="shared" si="487"/>
        <v>0</v>
      </c>
      <c r="K197" s="250">
        <f t="shared" si="487"/>
        <v>0</v>
      </c>
      <c r="L197" s="250">
        <f t="shared" si="487"/>
        <v>0</v>
      </c>
      <c r="M197" s="258">
        <f t="shared" si="487"/>
        <v>0</v>
      </c>
      <c r="N197" s="268">
        <f t="shared" si="487"/>
        <v>0</v>
      </c>
      <c r="O197" s="249">
        <f t="shared" si="487"/>
        <v>0</v>
      </c>
      <c r="P197" s="250">
        <f t="shared" si="487"/>
        <v>0</v>
      </c>
      <c r="Q197" s="250">
        <f t="shared" si="487"/>
        <v>0</v>
      </c>
      <c r="R197" s="258">
        <f t="shared" si="487"/>
        <v>0</v>
      </c>
      <c r="S197" s="268">
        <f t="shared" si="487"/>
        <v>0</v>
      </c>
      <c r="T197" s="249">
        <f t="shared" si="487"/>
        <v>0</v>
      </c>
      <c r="U197" s="250">
        <f t="shared" si="487"/>
        <v>0</v>
      </c>
      <c r="V197" s="270">
        <f t="shared" si="487"/>
        <v>0</v>
      </c>
      <c r="W197" s="258">
        <f t="shared" si="487"/>
        <v>0</v>
      </c>
      <c r="X197" s="268">
        <f t="shared" si="487"/>
        <v>0</v>
      </c>
      <c r="Y197" s="269">
        <f>Y171-Y195</f>
        <v>-8.7311491370201111E-11</v>
      </c>
      <c r="Z197" s="250">
        <f t="shared" si="487"/>
        <v>0</v>
      </c>
      <c r="AA197" s="270">
        <f t="shared" si="487"/>
        <v>0</v>
      </c>
      <c r="AB197" s="258">
        <f>AB171-AB195</f>
        <v>0</v>
      </c>
      <c r="AC197" s="268">
        <f>AC171-AC195</f>
        <v>0</v>
      </c>
      <c r="AD197" s="249">
        <f>AD171-AD195</f>
        <v>0</v>
      </c>
      <c r="AE197" s="250">
        <f t="shared" si="487"/>
        <v>0</v>
      </c>
      <c r="AF197" s="270">
        <f>AF171-AF195</f>
        <v>0</v>
      </c>
      <c r="AG197" s="258">
        <f>AG171-AG195</f>
        <v>0</v>
      </c>
      <c r="AH197" s="268">
        <f>AH171-AH195</f>
        <v>0</v>
      </c>
      <c r="AI197" s="269">
        <f t="shared" si="487"/>
        <v>0</v>
      </c>
      <c r="AJ197" s="270">
        <f t="shared" si="487"/>
        <v>0</v>
      </c>
      <c r="AK197" s="270">
        <f>AK171-AK195</f>
        <v>0</v>
      </c>
      <c r="AL197" s="271">
        <f t="shared" si="487"/>
        <v>0</v>
      </c>
      <c r="AM197" s="268">
        <f t="shared" si="487"/>
        <v>0</v>
      </c>
      <c r="AN197" s="269">
        <f t="shared" ref="AN197:AO197" si="488">AN171-AN195</f>
        <v>0</v>
      </c>
      <c r="AO197" s="270">
        <f t="shared" si="488"/>
        <v>0</v>
      </c>
      <c r="AP197" s="270">
        <f>AP171-AP195</f>
        <v>0</v>
      </c>
      <c r="AQ197" s="271">
        <f t="shared" ref="AQ197:AS197" si="489">AQ171-AQ195</f>
        <v>0</v>
      </c>
      <c r="AR197" s="268">
        <f t="shared" si="489"/>
        <v>0</v>
      </c>
      <c r="AS197" s="269">
        <f t="shared" si="489"/>
        <v>0</v>
      </c>
      <c r="AT197" s="270">
        <f t="shared" ref="AT197:BB197" si="490">AT171-AT195</f>
        <v>0</v>
      </c>
      <c r="AU197" s="270">
        <f t="shared" si="490"/>
        <v>0</v>
      </c>
      <c r="AV197" s="271">
        <f t="shared" si="490"/>
        <v>0</v>
      </c>
      <c r="AW197" s="268">
        <f t="shared" si="490"/>
        <v>0</v>
      </c>
      <c r="AX197" s="269">
        <f t="shared" si="490"/>
        <v>0</v>
      </c>
      <c r="AY197" s="270">
        <f t="shared" si="490"/>
        <v>0</v>
      </c>
      <c r="AZ197" s="270">
        <f t="shared" si="490"/>
        <v>0</v>
      </c>
      <c r="BA197" s="271">
        <f t="shared" si="490"/>
        <v>0</v>
      </c>
      <c r="BB197" s="268">
        <f t="shared" si="490"/>
        <v>0</v>
      </c>
      <c r="BC197" s="269">
        <f t="shared" ref="BC197:BL197" si="491">BC171-BC195</f>
        <v>0</v>
      </c>
      <c r="BD197" s="270">
        <f t="shared" si="491"/>
        <v>0</v>
      </c>
      <c r="BE197" s="270">
        <f t="shared" si="491"/>
        <v>0</v>
      </c>
      <c r="BF197" s="271">
        <f t="shared" si="491"/>
        <v>0</v>
      </c>
      <c r="BG197" s="268">
        <f t="shared" si="491"/>
        <v>0</v>
      </c>
      <c r="BH197" s="269">
        <f t="shared" si="491"/>
        <v>0</v>
      </c>
      <c r="BI197" s="270">
        <f t="shared" si="491"/>
        <v>0</v>
      </c>
      <c r="BJ197" s="270">
        <f t="shared" si="491"/>
        <v>0</v>
      </c>
      <c r="BK197" s="271">
        <f t="shared" si="491"/>
        <v>0</v>
      </c>
      <c r="BL197" s="268">
        <f t="shared" si="491"/>
        <v>0</v>
      </c>
      <c r="BM197" s="269">
        <f t="shared" ref="BM197:BQ197" si="492">BM171-BM195</f>
        <v>0</v>
      </c>
      <c r="BN197" s="270">
        <f t="shared" si="492"/>
        <v>0</v>
      </c>
      <c r="BO197" s="270">
        <f t="shared" si="492"/>
        <v>0</v>
      </c>
      <c r="BP197" s="271">
        <f t="shared" si="492"/>
        <v>0</v>
      </c>
      <c r="BQ197" s="268">
        <f t="shared" si="492"/>
        <v>0</v>
      </c>
      <c r="BR197" s="244"/>
      <c r="BS197" s="244"/>
      <c r="BT197" s="233"/>
      <c r="BU197" s="233"/>
      <c r="BV197" s="233"/>
      <c r="BW197" s="233"/>
      <c r="BX197" s="233"/>
      <c r="BY197" s="233"/>
      <c r="BZ197" s="233"/>
      <c r="CA197" s="233"/>
      <c r="CB197" s="233"/>
      <c r="CC197" s="233"/>
      <c r="CD197" s="233"/>
      <c r="CE197" s="233"/>
    </row>
    <row r="198" spans="1:83">
      <c r="A198" s="233"/>
      <c r="B198" s="233"/>
      <c r="C198" s="1175"/>
      <c r="D198" s="233"/>
      <c r="E198" s="242"/>
      <c r="F198" s="242"/>
      <c r="G198" s="242"/>
      <c r="H198" s="243"/>
      <c r="I198" s="382"/>
      <c r="J198" s="241"/>
      <c r="K198" s="242"/>
      <c r="L198" s="242"/>
      <c r="M198" s="243"/>
      <c r="N198" s="233"/>
      <c r="O198" s="241"/>
      <c r="P198" s="242"/>
      <c r="Q198" s="242"/>
      <c r="R198" s="243"/>
      <c r="S198" s="233"/>
      <c r="T198" s="241"/>
      <c r="U198" s="242"/>
      <c r="V198" s="242"/>
      <c r="W198" s="243"/>
      <c r="X198" s="233"/>
      <c r="Y198" s="241"/>
      <c r="Z198" s="242"/>
      <c r="AA198" s="242"/>
      <c r="AB198" s="243"/>
      <c r="AC198" s="240"/>
      <c r="AD198" s="241"/>
      <c r="AE198" s="242"/>
      <c r="AF198" s="242"/>
      <c r="AG198" s="243"/>
      <c r="AH198" s="240"/>
      <c r="AI198" s="241"/>
      <c r="AJ198" s="242"/>
      <c r="AK198" s="242"/>
      <c r="AL198" s="243"/>
      <c r="AM198" s="240"/>
      <c r="AN198" s="241"/>
      <c r="AO198" s="242"/>
      <c r="AP198" s="242"/>
      <c r="AQ198" s="243"/>
      <c r="AR198" s="233"/>
      <c r="AS198" s="241"/>
      <c r="AT198" s="242"/>
      <c r="AU198" s="242"/>
      <c r="AV198" s="243"/>
      <c r="AW198" s="233"/>
      <c r="AX198" s="241"/>
      <c r="AY198" s="242"/>
      <c r="AZ198" s="242"/>
      <c r="BA198" s="243"/>
      <c r="BB198" s="233"/>
      <c r="BC198" s="241"/>
      <c r="BD198" s="242"/>
      <c r="BE198" s="242"/>
      <c r="BF198" s="243"/>
      <c r="BG198" s="233"/>
      <c r="BH198" s="241"/>
      <c r="BI198" s="242"/>
      <c r="BJ198" s="242"/>
      <c r="BK198" s="243"/>
      <c r="BL198" s="233"/>
      <c r="BM198" s="241"/>
      <c r="BN198" s="242"/>
      <c r="BO198" s="242"/>
      <c r="BP198" s="243"/>
      <c r="BQ198" s="233"/>
      <c r="BR198" s="233"/>
      <c r="BS198" s="233"/>
      <c r="BT198" s="233"/>
      <c r="BU198" s="233"/>
      <c r="BV198" s="233"/>
      <c r="BW198" s="233"/>
      <c r="BX198" s="233"/>
      <c r="BY198" s="233"/>
      <c r="BZ198" s="233"/>
      <c r="CA198" s="233"/>
      <c r="CB198" s="233"/>
      <c r="CC198" s="233"/>
      <c r="CD198" s="233"/>
      <c r="CE198" s="233"/>
    </row>
    <row r="199" spans="1:83">
      <c r="A199" s="233"/>
      <c r="B199" s="233"/>
      <c r="C199" s="1175"/>
      <c r="D199" s="233"/>
      <c r="E199" s="242"/>
      <c r="F199" s="242"/>
      <c r="G199" s="242"/>
      <c r="H199" s="243"/>
      <c r="I199" s="382"/>
      <c r="J199" s="241"/>
      <c r="K199" s="242"/>
      <c r="L199" s="242"/>
      <c r="M199" s="243"/>
      <c r="N199" s="233"/>
      <c r="O199" s="241"/>
      <c r="P199" s="242"/>
      <c r="Q199" s="242"/>
      <c r="R199" s="243"/>
      <c r="S199" s="233"/>
      <c r="T199" s="241"/>
      <c r="U199" s="242"/>
      <c r="V199" s="242"/>
      <c r="W199" s="243"/>
      <c r="X199" s="233"/>
      <c r="Y199" s="241"/>
      <c r="Z199" s="242"/>
      <c r="AA199" s="242"/>
      <c r="AB199" s="243"/>
      <c r="AC199" s="240"/>
      <c r="AD199" s="241"/>
      <c r="AE199" s="242"/>
      <c r="AF199" s="242"/>
      <c r="AG199" s="243"/>
      <c r="AH199" s="240"/>
      <c r="AI199" s="241"/>
      <c r="AJ199" s="242"/>
      <c r="AK199" s="242"/>
      <c r="AL199" s="243"/>
      <c r="AM199" s="240"/>
      <c r="AN199" s="241"/>
      <c r="AO199" s="242"/>
      <c r="AP199" s="242"/>
      <c r="AQ199" s="243"/>
      <c r="AR199" s="233"/>
      <c r="AS199" s="241"/>
      <c r="AT199" s="242"/>
      <c r="AU199" s="242"/>
      <c r="AV199" s="243"/>
      <c r="AW199" s="233"/>
      <c r="AX199" s="241"/>
      <c r="AY199" s="242"/>
      <c r="AZ199" s="242"/>
      <c r="BA199" s="243"/>
      <c r="BB199" s="233"/>
      <c r="BC199" s="241"/>
      <c r="BD199" s="242"/>
      <c r="BE199" s="242"/>
      <c r="BF199" s="243"/>
      <c r="BG199" s="233"/>
      <c r="BH199" s="241"/>
      <c r="BI199" s="242"/>
      <c r="BJ199" s="242"/>
      <c r="BK199" s="243"/>
      <c r="BL199" s="233"/>
      <c r="BM199" s="241"/>
      <c r="BN199" s="242"/>
      <c r="BO199" s="242"/>
      <c r="BP199" s="243"/>
      <c r="BQ199" s="233"/>
      <c r="BR199" s="233"/>
      <c r="BS199" s="233"/>
      <c r="BT199" s="233"/>
      <c r="BU199" s="233"/>
      <c r="BV199" s="233"/>
      <c r="BW199" s="233"/>
      <c r="BX199" s="233"/>
      <c r="BY199" s="233"/>
      <c r="BZ199" s="233"/>
      <c r="CA199" s="233"/>
      <c r="CB199" s="233"/>
      <c r="CC199" s="233"/>
      <c r="CD199" s="233"/>
      <c r="CE199" s="233"/>
    </row>
    <row r="200" spans="1:83">
      <c r="A200" s="233"/>
      <c r="B200" s="350" t="s">
        <v>13</v>
      </c>
      <c r="C200" s="1271"/>
      <c r="D200" s="351"/>
      <c r="E200" s="242"/>
      <c r="F200" s="242"/>
      <c r="G200" s="242"/>
      <c r="H200" s="243"/>
      <c r="I200" s="382"/>
      <c r="J200" s="241"/>
      <c r="K200" s="242"/>
      <c r="L200" s="242"/>
      <c r="M200" s="243"/>
      <c r="N200" s="233"/>
      <c r="O200" s="241"/>
      <c r="P200" s="242"/>
      <c r="Q200" s="242"/>
      <c r="R200" s="243"/>
      <c r="S200" s="233"/>
      <c r="T200" s="241"/>
      <c r="U200" s="242"/>
      <c r="V200" s="242"/>
      <c r="W200" s="243"/>
      <c r="X200" s="233"/>
      <c r="Y200" s="241"/>
      <c r="Z200" s="242"/>
      <c r="AA200" s="242"/>
      <c r="AB200" s="243"/>
      <c r="AC200" s="240"/>
      <c r="AD200" s="241"/>
      <c r="AE200" s="242"/>
      <c r="AF200" s="242"/>
      <c r="AG200" s="243"/>
      <c r="AH200" s="240"/>
      <c r="AI200" s="241"/>
      <c r="AJ200" s="242"/>
      <c r="AK200" s="242"/>
      <c r="AL200" s="243"/>
      <c r="AM200" s="240"/>
      <c r="AN200" s="241"/>
      <c r="AO200" s="242"/>
      <c r="AP200" s="242"/>
      <c r="AQ200" s="243"/>
      <c r="AR200" s="233"/>
      <c r="AS200" s="241"/>
      <c r="AT200" s="242"/>
      <c r="AU200" s="242"/>
      <c r="AV200" s="243"/>
      <c r="AW200" s="233"/>
      <c r="AX200" s="241"/>
      <c r="AY200" s="242"/>
      <c r="AZ200" s="242"/>
      <c r="BA200" s="243"/>
      <c r="BB200" s="233"/>
      <c r="BC200" s="241"/>
      <c r="BD200" s="242"/>
      <c r="BE200" s="242"/>
      <c r="BF200" s="243"/>
      <c r="BG200" s="233"/>
      <c r="BH200" s="241"/>
      <c r="BI200" s="242"/>
      <c r="BJ200" s="242"/>
      <c r="BK200" s="243"/>
      <c r="BL200" s="233"/>
      <c r="BM200" s="241"/>
      <c r="BN200" s="242"/>
      <c r="BO200" s="242"/>
      <c r="BP200" s="243"/>
      <c r="BQ200" s="233"/>
      <c r="BR200" s="233"/>
      <c r="BS200" s="233"/>
      <c r="BT200" s="233"/>
      <c r="BU200" s="233"/>
      <c r="BV200" s="233"/>
      <c r="BW200" s="233"/>
      <c r="BX200" s="233"/>
      <c r="BY200" s="233"/>
      <c r="BZ200" s="233"/>
      <c r="CA200" s="233"/>
      <c r="CB200" s="233"/>
      <c r="CC200" s="233"/>
      <c r="CD200" s="233"/>
      <c r="CE200" s="233"/>
    </row>
    <row r="201" spans="1:83">
      <c r="A201" s="311"/>
      <c r="B201" s="374"/>
      <c r="C201" s="1202" t="s">
        <v>14</v>
      </c>
      <c r="D201" s="374"/>
      <c r="E201" s="314">
        <f>E155</f>
        <v>1802.9580000000001</v>
      </c>
      <c r="F201" s="314">
        <f t="shared" ref="F201:X201" si="493">F155</f>
        <v>1280.9069999999999</v>
      </c>
      <c r="G201" s="314">
        <f t="shared" si="493"/>
        <v>1130.78</v>
      </c>
      <c r="H201" s="315">
        <f t="shared" si="493"/>
        <v>1709.5509999999999</v>
      </c>
      <c r="I201" s="389">
        <f t="shared" si="493"/>
        <v>1709.5509999999999</v>
      </c>
      <c r="J201" s="313">
        <f t="shared" si="493"/>
        <v>1657.0340000000001</v>
      </c>
      <c r="K201" s="314">
        <f t="shared" si="493"/>
        <v>1335.5239999999999</v>
      </c>
      <c r="L201" s="314">
        <f t="shared" si="493"/>
        <v>1930.9190000000001</v>
      </c>
      <c r="M201" s="315">
        <f t="shared" si="493"/>
        <v>1294.472</v>
      </c>
      <c r="N201" s="311">
        <f t="shared" si="493"/>
        <v>1294.472</v>
      </c>
      <c r="O201" s="313">
        <f t="shared" si="493"/>
        <v>726.23699999999997</v>
      </c>
      <c r="P201" s="314">
        <f t="shared" si="493"/>
        <v>529.85799999999995</v>
      </c>
      <c r="Q201" s="314">
        <f t="shared" si="493"/>
        <v>987.14</v>
      </c>
      <c r="R201" s="315">
        <f t="shared" si="493"/>
        <v>694.43799999999999</v>
      </c>
      <c r="S201" s="311">
        <f t="shared" si="493"/>
        <v>694.43799999999999</v>
      </c>
      <c r="T201" s="313">
        <f>T155</f>
        <v>685.00199999999995</v>
      </c>
      <c r="U201" s="314">
        <f t="shared" si="493"/>
        <v>283.39299999999997</v>
      </c>
      <c r="V201" s="314">
        <f t="shared" si="493"/>
        <v>749.71900000000005</v>
      </c>
      <c r="W201" s="315">
        <f t="shared" si="493"/>
        <v>532.56899999999996</v>
      </c>
      <c r="X201" s="311">
        <f t="shared" si="493"/>
        <v>532.56899999999996</v>
      </c>
      <c r="Y201" s="313">
        <f t="shared" ref="Y201:AD201" si="494">Y155</f>
        <v>262.93099999999998</v>
      </c>
      <c r="Z201" s="314">
        <f t="shared" si="494"/>
        <v>311.37200000000001</v>
      </c>
      <c r="AA201" s="314">
        <f t="shared" si="494"/>
        <v>365.33199999999999</v>
      </c>
      <c r="AB201" s="315">
        <f t="shared" si="494"/>
        <v>739.12599999999998</v>
      </c>
      <c r="AC201" s="311">
        <f t="shared" si="494"/>
        <v>739.12599999999998</v>
      </c>
      <c r="AD201" s="313">
        <f t="shared" si="494"/>
        <v>908.48299999999995</v>
      </c>
      <c r="AE201" s="314">
        <f>AE155</f>
        <v>650.06799999999998</v>
      </c>
      <c r="AF201" s="314">
        <f t="shared" ref="AF201:AI201" si="495">AF155</f>
        <v>1068.509</v>
      </c>
      <c r="AG201" s="315">
        <f t="shared" si="495"/>
        <v>1422.0260000000001</v>
      </c>
      <c r="AH201" s="311">
        <f t="shared" si="495"/>
        <v>1422.0260000000001</v>
      </c>
      <c r="AI201" s="313">
        <f t="shared" si="495"/>
        <v>1180.546</v>
      </c>
      <c r="AJ201" s="314">
        <f>AJ155</f>
        <v>910.37</v>
      </c>
      <c r="AK201" s="314">
        <f t="shared" ref="AK201:AN201" si="496">AK155</f>
        <v>1040.598</v>
      </c>
      <c r="AL201" s="315">
        <f t="shared" si="496"/>
        <v>1350.961</v>
      </c>
      <c r="AM201" s="311">
        <f t="shared" si="496"/>
        <v>1350.961</v>
      </c>
      <c r="AN201" s="313">
        <f t="shared" si="496"/>
        <v>1091.6510000000001</v>
      </c>
      <c r="AO201" s="314">
        <f>AO155</f>
        <v>996.09900000000005</v>
      </c>
      <c r="AP201" s="314">
        <f t="shared" ref="AP201:AS201" si="497">AP155</f>
        <v>1307.434</v>
      </c>
      <c r="AQ201" s="315">
        <f t="shared" si="497"/>
        <v>1187.8440000000001</v>
      </c>
      <c r="AR201" s="311">
        <f t="shared" si="497"/>
        <v>1187.8440000000001</v>
      </c>
      <c r="AS201" s="313">
        <f t="shared" si="497"/>
        <v>1083.0619999999999</v>
      </c>
      <c r="AT201" s="314">
        <f>AT155</f>
        <v>934.495</v>
      </c>
      <c r="AU201" s="314">
        <f t="shared" ref="AU201:AW201" si="498">AU155</f>
        <v>546.29100000000005</v>
      </c>
      <c r="AV201" s="315">
        <f t="shared" si="498"/>
        <v>781.27300000000002</v>
      </c>
      <c r="AW201" s="311">
        <f t="shared" si="498"/>
        <v>781.27300000000002</v>
      </c>
      <c r="AX201" s="313">
        <f t="shared" ref="AX201:BB201" si="499">AX155</f>
        <v>0</v>
      </c>
      <c r="AY201" s="314">
        <f t="shared" si="499"/>
        <v>1399.867802031026</v>
      </c>
      <c r="AZ201" s="314">
        <f t="shared" si="499"/>
        <v>766.297299946875</v>
      </c>
      <c r="BA201" s="315">
        <f t="shared" si="499"/>
        <v>64.202009760760575</v>
      </c>
      <c r="BB201" s="311">
        <f t="shared" si="499"/>
        <v>64.202009760760575</v>
      </c>
      <c r="BC201" s="313">
        <f t="shared" ref="BC201:BL201" si="500">BC155</f>
        <v>0</v>
      </c>
      <c r="BD201" s="314">
        <f t="shared" si="500"/>
        <v>0</v>
      </c>
      <c r="BE201" s="314">
        <f t="shared" si="500"/>
        <v>791.33867883199446</v>
      </c>
      <c r="BF201" s="315">
        <f t="shared" si="500"/>
        <v>258.86696259692337</v>
      </c>
      <c r="BG201" s="311">
        <f t="shared" si="500"/>
        <v>258.86696259692337</v>
      </c>
      <c r="BH201" s="313">
        <f t="shared" si="500"/>
        <v>0</v>
      </c>
      <c r="BI201" s="314">
        <f t="shared" si="500"/>
        <v>0</v>
      </c>
      <c r="BJ201" s="314">
        <f t="shared" si="500"/>
        <v>1277.4562289569403</v>
      </c>
      <c r="BK201" s="315">
        <f t="shared" si="500"/>
        <v>565.07478466258124</v>
      </c>
      <c r="BL201" s="311">
        <f t="shared" si="500"/>
        <v>565.07478466258124</v>
      </c>
      <c r="BM201" s="313">
        <f t="shared" ref="BM201:BQ201" si="501">BM155</f>
        <v>0</v>
      </c>
      <c r="BN201" s="314">
        <f t="shared" si="501"/>
        <v>0</v>
      </c>
      <c r="BO201" s="314">
        <f t="shared" si="501"/>
        <v>818.55696886320584</v>
      </c>
      <c r="BP201" s="315">
        <f t="shared" si="501"/>
        <v>330.9646983189175</v>
      </c>
      <c r="BQ201" s="311">
        <f t="shared" si="501"/>
        <v>330.9646983189175</v>
      </c>
      <c r="BR201" s="311"/>
      <c r="BS201" s="311"/>
      <c r="BT201" s="311"/>
      <c r="BU201" s="311"/>
      <c r="BV201" s="311"/>
      <c r="BW201" s="311"/>
      <c r="BX201" s="311"/>
      <c r="BY201" s="311"/>
      <c r="BZ201" s="311"/>
      <c r="CA201" s="311"/>
      <c r="CB201" s="311"/>
      <c r="CC201" s="311"/>
      <c r="CD201" s="311"/>
      <c r="CE201" s="311"/>
    </row>
    <row r="202" spans="1:83">
      <c r="A202" s="311"/>
      <c r="B202" s="374"/>
      <c r="C202" s="1202"/>
      <c r="D202" s="374"/>
      <c r="E202" s="314"/>
      <c r="F202" s="314"/>
      <c r="G202" s="314"/>
      <c r="H202" s="315"/>
      <c r="I202" s="389"/>
      <c r="J202" s="313"/>
      <c r="K202" s="314"/>
      <c r="L202" s="314"/>
      <c r="M202" s="315"/>
      <c r="N202" s="311"/>
      <c r="O202" s="313"/>
      <c r="P202" s="314"/>
      <c r="Q202" s="314"/>
      <c r="R202" s="315"/>
      <c r="S202" s="311"/>
      <c r="T202" s="313"/>
      <c r="U202" s="314"/>
      <c r="V202" s="314"/>
      <c r="W202" s="315"/>
      <c r="X202" s="311"/>
      <c r="Y202" s="313"/>
      <c r="Z202" s="314"/>
      <c r="AA202" s="314"/>
      <c r="AB202" s="315"/>
      <c r="AC202" s="311"/>
      <c r="AD202" s="313"/>
      <c r="AE202" s="314"/>
      <c r="AF202" s="314"/>
      <c r="AG202" s="315"/>
      <c r="AH202" s="311"/>
      <c r="AI202" s="313"/>
      <c r="AJ202" s="314"/>
      <c r="AK202" s="314"/>
      <c r="AL202" s="315"/>
      <c r="AM202" s="311"/>
      <c r="AN202" s="313"/>
      <c r="AO202" s="314"/>
      <c r="AP202" s="314"/>
      <c r="AQ202" s="315"/>
      <c r="AR202" s="311"/>
      <c r="AS202" s="313"/>
      <c r="AT202" s="314"/>
      <c r="AU202" s="314"/>
      <c r="AV202" s="315"/>
      <c r="AW202" s="311"/>
      <c r="AX202" s="313"/>
      <c r="AY202" s="314"/>
      <c r="AZ202" s="314"/>
      <c r="BA202" s="315"/>
      <c r="BB202" s="311"/>
      <c r="BC202" s="313"/>
      <c r="BD202" s="314"/>
      <c r="BE202" s="314"/>
      <c r="BF202" s="315"/>
      <c r="BG202" s="311"/>
      <c r="BH202" s="313"/>
      <c r="BI202" s="314"/>
      <c r="BJ202" s="314"/>
      <c r="BK202" s="315"/>
      <c r="BL202" s="311"/>
      <c r="BM202" s="313"/>
      <c r="BN202" s="314"/>
      <c r="BO202" s="314"/>
      <c r="BP202" s="315"/>
      <c r="BQ202" s="311"/>
      <c r="BR202" s="311"/>
      <c r="BS202" s="311"/>
      <c r="BT202" s="311"/>
      <c r="BU202" s="311"/>
      <c r="BV202" s="311"/>
      <c r="BW202" s="311"/>
      <c r="BX202" s="311"/>
      <c r="BY202" s="311"/>
      <c r="BZ202" s="311"/>
      <c r="CA202" s="311"/>
      <c r="CB202" s="311"/>
      <c r="CC202" s="311"/>
      <c r="CD202" s="311"/>
      <c r="CE202" s="311"/>
    </row>
    <row r="203" spans="1:83">
      <c r="A203" s="311"/>
      <c r="B203" s="374"/>
      <c r="C203" s="1202" t="s">
        <v>15</v>
      </c>
      <c r="D203" s="374"/>
      <c r="E203" s="314">
        <f>E174</f>
        <v>80.034000000000006</v>
      </c>
      <c r="F203" s="314">
        <f t="shared" ref="F203:X203" si="502">F174</f>
        <v>55.033999999999999</v>
      </c>
      <c r="G203" s="314">
        <f t="shared" si="502"/>
        <v>55.030999999999999</v>
      </c>
      <c r="H203" s="315">
        <f t="shared" si="502"/>
        <v>30.030999999999999</v>
      </c>
      <c r="I203" s="389">
        <f t="shared" si="502"/>
        <v>30.030999999999999</v>
      </c>
      <c r="J203" s="313">
        <f t="shared" si="502"/>
        <v>175.49799999999999</v>
      </c>
      <c r="K203" s="314">
        <f t="shared" si="502"/>
        <v>203.97399999999999</v>
      </c>
      <c r="L203" s="314">
        <f t="shared" si="502"/>
        <v>167.91499999999999</v>
      </c>
      <c r="M203" s="315">
        <f t="shared" si="502"/>
        <v>30.027999999999999</v>
      </c>
      <c r="N203" s="311">
        <f t="shared" si="502"/>
        <v>30.027999999999999</v>
      </c>
      <c r="O203" s="313">
        <f t="shared" si="502"/>
        <v>183.07900000000001</v>
      </c>
      <c r="P203" s="314">
        <f t="shared" si="502"/>
        <v>130.79499999999999</v>
      </c>
      <c r="Q203" s="314">
        <f t="shared" si="502"/>
        <v>144.87100000000001</v>
      </c>
      <c r="R203" s="315">
        <f t="shared" si="502"/>
        <v>108.331</v>
      </c>
      <c r="S203" s="311">
        <f t="shared" si="502"/>
        <v>108.331</v>
      </c>
      <c r="T203" s="313">
        <f t="shared" si="502"/>
        <v>141.113</v>
      </c>
      <c r="U203" s="314">
        <f t="shared" si="502"/>
        <v>103.71599999999999</v>
      </c>
      <c r="V203" s="314">
        <f t="shared" si="502"/>
        <v>356.17200000000003</v>
      </c>
      <c r="W203" s="315">
        <f t="shared" si="502"/>
        <v>796.00199999999995</v>
      </c>
      <c r="X203" s="311">
        <f t="shared" si="502"/>
        <v>796.00199999999995</v>
      </c>
      <c r="Y203" s="313">
        <f t="shared" ref="Y203:AD203" si="503">Y174</f>
        <v>1073.8879999999999</v>
      </c>
      <c r="Z203" s="314">
        <f t="shared" si="503"/>
        <v>1090.124</v>
      </c>
      <c r="AA203" s="314">
        <f t="shared" si="503"/>
        <v>1106.039</v>
      </c>
      <c r="AB203" s="315">
        <f t="shared" si="503"/>
        <v>1046.8869999999999</v>
      </c>
      <c r="AC203" s="311">
        <f t="shared" si="503"/>
        <v>1046.8869999999999</v>
      </c>
      <c r="AD203" s="313">
        <f t="shared" si="503"/>
        <v>1204.846</v>
      </c>
      <c r="AE203" s="314">
        <f>AE174</f>
        <v>1039.3489999999999</v>
      </c>
      <c r="AF203" s="314">
        <f t="shared" ref="AF203:AI203" si="504">AF174</f>
        <v>891.44500000000005</v>
      </c>
      <c r="AG203" s="315">
        <f t="shared" si="504"/>
        <v>598.40700000000004</v>
      </c>
      <c r="AH203" s="311">
        <f t="shared" si="504"/>
        <v>598.40700000000004</v>
      </c>
      <c r="AI203" s="313">
        <f t="shared" si="504"/>
        <v>808.41899999999998</v>
      </c>
      <c r="AJ203" s="314">
        <f>AJ174</f>
        <v>939.98500000000001</v>
      </c>
      <c r="AK203" s="314">
        <f t="shared" ref="AK203:AN203" si="505">AK174</f>
        <v>782.02200000000005</v>
      </c>
      <c r="AL203" s="315">
        <f t="shared" si="505"/>
        <v>494.34800000000001</v>
      </c>
      <c r="AM203" s="311">
        <f t="shared" si="505"/>
        <v>494.34800000000001</v>
      </c>
      <c r="AN203" s="313">
        <f t="shared" si="505"/>
        <v>766.07899999999995</v>
      </c>
      <c r="AO203" s="314">
        <f>AO174</f>
        <v>1024.8879999999999</v>
      </c>
      <c r="AP203" s="314">
        <f t="shared" ref="AP203:AS203" si="506">AP174</f>
        <v>433.363</v>
      </c>
      <c r="AQ203" s="315">
        <f t="shared" si="506"/>
        <v>415.01100000000002</v>
      </c>
      <c r="AR203" s="311">
        <f t="shared" si="506"/>
        <v>415.01100000000002</v>
      </c>
      <c r="AS203" s="313">
        <f t="shared" si="506"/>
        <v>1323.39</v>
      </c>
      <c r="AT203" s="314">
        <f>AT174</f>
        <v>1248.9690000000001</v>
      </c>
      <c r="AU203" s="314">
        <f t="shared" ref="AU203:AW203" si="507">AU174</f>
        <v>1352.6880000000001</v>
      </c>
      <c r="AV203" s="315">
        <f t="shared" si="507"/>
        <v>1578.308</v>
      </c>
      <c r="AW203" s="311">
        <f t="shared" si="507"/>
        <v>1578.308</v>
      </c>
      <c r="AX203" s="313">
        <f t="shared" ref="AX203:BB203" si="508">AX174</f>
        <v>1376.6902288384529</v>
      </c>
      <c r="AY203" s="314">
        <f t="shared" si="508"/>
        <v>0</v>
      </c>
      <c r="AZ203" s="314">
        <f t="shared" si="508"/>
        <v>0</v>
      </c>
      <c r="BA203" s="315">
        <f t="shared" si="508"/>
        <v>0</v>
      </c>
      <c r="BB203" s="311">
        <f t="shared" si="508"/>
        <v>0</v>
      </c>
      <c r="BC203" s="313">
        <f t="shared" ref="BC203:BL203" si="509">BC174</f>
        <v>862.52016783270449</v>
      </c>
      <c r="BD203" s="314">
        <f t="shared" si="509"/>
        <v>1279.3798344476027</v>
      </c>
      <c r="BE203" s="314">
        <f t="shared" si="509"/>
        <v>0</v>
      </c>
      <c r="BF203" s="315">
        <f t="shared" si="509"/>
        <v>0</v>
      </c>
      <c r="BG203" s="311">
        <f t="shared" si="509"/>
        <v>0</v>
      </c>
      <c r="BH203" s="313">
        <f t="shared" si="509"/>
        <v>8.2851021835423921</v>
      </c>
      <c r="BI203" s="314">
        <f t="shared" si="509"/>
        <v>335.51642031396727</v>
      </c>
      <c r="BJ203" s="314">
        <f t="shared" si="509"/>
        <v>0</v>
      </c>
      <c r="BK203" s="315">
        <f t="shared" si="509"/>
        <v>0</v>
      </c>
      <c r="BL203" s="311">
        <f t="shared" si="509"/>
        <v>0</v>
      </c>
      <c r="BM203" s="313">
        <f t="shared" ref="BM203:BQ203" si="510">BM174</f>
        <v>227.82653339736703</v>
      </c>
      <c r="BN203" s="314">
        <f t="shared" si="510"/>
        <v>1052.8616026665477</v>
      </c>
      <c r="BO203" s="314">
        <f t="shared" si="510"/>
        <v>0</v>
      </c>
      <c r="BP203" s="315">
        <f t="shared" si="510"/>
        <v>0</v>
      </c>
      <c r="BQ203" s="311">
        <f t="shared" si="510"/>
        <v>0</v>
      </c>
      <c r="BR203" s="311"/>
      <c r="BS203" s="311"/>
      <c r="BT203" s="311"/>
      <c r="BU203" s="311"/>
      <c r="BV203" s="311"/>
      <c r="BW203" s="311"/>
      <c r="BX203" s="311"/>
      <c r="BY203" s="311"/>
      <c r="BZ203" s="311"/>
      <c r="CA203" s="311"/>
      <c r="CB203" s="311"/>
      <c r="CC203" s="311"/>
      <c r="CD203" s="311"/>
      <c r="CE203" s="311"/>
    </row>
    <row r="204" spans="1:83">
      <c r="A204" s="311"/>
      <c r="B204" s="374"/>
      <c r="C204" s="1281" t="s">
        <v>1</v>
      </c>
      <c r="D204" s="374"/>
      <c r="E204" s="314">
        <f t="shared" ref="E204:X204" si="511">E173+E179</f>
        <v>11497.082</v>
      </c>
      <c r="F204" s="314">
        <f t="shared" si="511"/>
        <v>10990.532999999999</v>
      </c>
      <c r="G204" s="314">
        <f t="shared" si="511"/>
        <v>10929.907000000001</v>
      </c>
      <c r="H204" s="315">
        <f t="shared" si="511"/>
        <v>11417.695</v>
      </c>
      <c r="I204" s="389">
        <f t="shared" si="511"/>
        <v>11417.695</v>
      </c>
      <c r="J204" s="313">
        <f t="shared" si="511"/>
        <v>11937.148000000001</v>
      </c>
      <c r="K204" s="314">
        <f t="shared" si="511"/>
        <v>11610.779999999999</v>
      </c>
      <c r="L204" s="314">
        <f t="shared" si="511"/>
        <v>12033.296</v>
      </c>
      <c r="M204" s="315">
        <f t="shared" si="511"/>
        <v>11740.812</v>
      </c>
      <c r="N204" s="311">
        <f t="shared" si="511"/>
        <v>11740.812</v>
      </c>
      <c r="O204" s="313">
        <f t="shared" si="511"/>
        <v>11789.973</v>
      </c>
      <c r="P204" s="314">
        <f t="shared" si="511"/>
        <v>12185.43</v>
      </c>
      <c r="Q204" s="314">
        <f t="shared" si="511"/>
        <v>12264.403</v>
      </c>
      <c r="R204" s="315">
        <f t="shared" si="511"/>
        <v>12236.446</v>
      </c>
      <c r="S204" s="311">
        <f t="shared" si="511"/>
        <v>12236.446</v>
      </c>
      <c r="T204" s="313">
        <f t="shared" si="511"/>
        <v>12436.38</v>
      </c>
      <c r="U204" s="314">
        <f t="shared" si="511"/>
        <v>12389.323999999999</v>
      </c>
      <c r="V204" s="314">
        <f t="shared" si="511"/>
        <v>12535.864</v>
      </c>
      <c r="W204" s="315">
        <f t="shared" si="511"/>
        <v>12638.833999999999</v>
      </c>
      <c r="X204" s="311">
        <f t="shared" si="511"/>
        <v>12638.833999999999</v>
      </c>
      <c r="Y204" s="313">
        <f t="shared" ref="Y204:AD204" si="512">Y173+Y179</f>
        <v>12359.755999999999</v>
      </c>
      <c r="Z204" s="314">
        <f t="shared" si="512"/>
        <v>12620.374</v>
      </c>
      <c r="AA204" s="314">
        <f t="shared" si="512"/>
        <v>12481.752</v>
      </c>
      <c r="AB204" s="315">
        <f t="shared" si="512"/>
        <v>12596.243999999999</v>
      </c>
      <c r="AC204" s="311">
        <f t="shared" si="512"/>
        <v>12596.243999999999</v>
      </c>
      <c r="AD204" s="313">
        <f t="shared" si="512"/>
        <v>12621.306999999999</v>
      </c>
      <c r="AE204" s="314">
        <f>AE173+AE179</f>
        <v>12618.770999999999</v>
      </c>
      <c r="AF204" s="314">
        <f t="shared" ref="AF204:AI204" si="513">AF173+AF179</f>
        <v>12748.708000000001</v>
      </c>
      <c r="AG204" s="315">
        <f t="shared" si="513"/>
        <v>13399.484</v>
      </c>
      <c r="AH204" s="311">
        <f t="shared" si="513"/>
        <v>13399.484</v>
      </c>
      <c r="AI204" s="313">
        <f t="shared" si="513"/>
        <v>13204.417000000001</v>
      </c>
      <c r="AJ204" s="314">
        <f>AJ173+AJ179</f>
        <v>12886.819</v>
      </c>
      <c r="AK204" s="314">
        <f t="shared" ref="AK204:AN204" si="514">AK173+AK179</f>
        <v>13331.261</v>
      </c>
      <c r="AL204" s="315">
        <f t="shared" si="514"/>
        <v>13325.93</v>
      </c>
      <c r="AM204" s="311">
        <f t="shared" si="514"/>
        <v>13325.93</v>
      </c>
      <c r="AN204" s="313">
        <f t="shared" si="514"/>
        <v>14296.871999999999</v>
      </c>
      <c r="AO204" s="314">
        <f>AO173+AO179</f>
        <v>13783.804</v>
      </c>
      <c r="AP204" s="314">
        <f t="shared" ref="AP204:AS204" si="515">AP173+AP179</f>
        <v>14611.903</v>
      </c>
      <c r="AQ204" s="315">
        <f t="shared" si="515"/>
        <v>14832.555</v>
      </c>
      <c r="AR204" s="311">
        <f t="shared" si="515"/>
        <v>14832.555</v>
      </c>
      <c r="AS204" s="313">
        <f t="shared" si="515"/>
        <v>14260.913</v>
      </c>
      <c r="AT204" s="314">
        <f>AT173+AT179</f>
        <v>15010.668</v>
      </c>
      <c r="AU204" s="314">
        <f t="shared" ref="AU204:AW204" si="516">AU173+AU179</f>
        <v>14846.729000000001</v>
      </c>
      <c r="AV204" s="315">
        <f t="shared" si="516"/>
        <v>15075.266</v>
      </c>
      <c r="AW204" s="311">
        <f t="shared" si="516"/>
        <v>15075.266</v>
      </c>
      <c r="AX204" s="313">
        <f>AW204+AX87+AX88</f>
        <v>15075.266</v>
      </c>
      <c r="AY204" s="314">
        <f>AX204+AY87+AY88</f>
        <v>18400.266</v>
      </c>
      <c r="AZ204" s="314">
        <f>AY204+AZ87+AZ88</f>
        <v>18100.266</v>
      </c>
      <c r="BA204" s="315">
        <f>AZ204+BA87+BA88</f>
        <v>18015.266</v>
      </c>
      <c r="BB204" s="311">
        <f>BB173+BB179</f>
        <v>18015.266</v>
      </c>
      <c r="BC204" s="313">
        <f>BB204+BC87+BC88</f>
        <v>17515.266</v>
      </c>
      <c r="BD204" s="314">
        <f>BC204+BD87+BD88</f>
        <v>17515.266</v>
      </c>
      <c r="BE204" s="314">
        <f>BD204+BE87+BE88</f>
        <v>19834.496999999999</v>
      </c>
      <c r="BF204" s="315">
        <f>BE204+BF87+BF88</f>
        <v>19834.496999999999</v>
      </c>
      <c r="BG204" s="311">
        <f>BG173+BG179</f>
        <v>19834.496999999999</v>
      </c>
      <c r="BH204" s="313">
        <f>BG204+BH87+BH88</f>
        <v>19834.496999999999</v>
      </c>
      <c r="BI204" s="314">
        <f>BH204+BI87+BI88</f>
        <v>19834.496999999999</v>
      </c>
      <c r="BJ204" s="314">
        <f>BI204+BJ87+BJ88</f>
        <v>21614.496999999999</v>
      </c>
      <c r="BK204" s="315">
        <f>BJ204+BK87+BK88</f>
        <v>21339.496999999999</v>
      </c>
      <c r="BL204" s="311">
        <f>BL173+BL179</f>
        <v>21339.496999999996</v>
      </c>
      <c r="BM204" s="313">
        <f>BL204+BM87+BM88</f>
        <v>20949.496999999996</v>
      </c>
      <c r="BN204" s="314">
        <f>BM204+BN87+BN88</f>
        <v>20500.268999999997</v>
      </c>
      <c r="BO204" s="314">
        <f>BN204+BO87+BO88</f>
        <v>22599.504999999997</v>
      </c>
      <c r="BP204" s="315">
        <f>BO204+BP87+BP88</f>
        <v>22599.504999999997</v>
      </c>
      <c r="BQ204" s="311">
        <f>BQ173+BQ179</f>
        <v>22599.504999999997</v>
      </c>
      <c r="BR204" s="311"/>
      <c r="BS204" s="311"/>
      <c r="BT204" s="311"/>
      <c r="BU204" s="311"/>
      <c r="BV204" s="311"/>
      <c r="BW204" s="311"/>
      <c r="BX204" s="311"/>
      <c r="BY204" s="311"/>
      <c r="BZ204" s="311"/>
      <c r="CA204" s="311"/>
      <c r="CB204" s="311"/>
      <c r="CC204" s="311"/>
      <c r="CD204" s="311"/>
      <c r="CE204" s="311"/>
    </row>
    <row r="205" spans="1:83">
      <c r="A205" s="327"/>
      <c r="B205" s="375"/>
      <c r="C205" s="1282" t="s">
        <v>396</v>
      </c>
      <c r="D205" s="375"/>
      <c r="E205" s="336">
        <f>SUM(E203:E204)</f>
        <v>11577.116</v>
      </c>
      <c r="F205" s="336">
        <f t="shared" ref="F205:AE205" si="517">SUM(F203:F204)</f>
        <v>11045.566999999999</v>
      </c>
      <c r="G205" s="336">
        <f t="shared" si="517"/>
        <v>10984.938000000002</v>
      </c>
      <c r="H205" s="337">
        <f t="shared" si="517"/>
        <v>11447.726000000001</v>
      </c>
      <c r="I205" s="391">
        <f t="shared" si="517"/>
        <v>11447.726000000001</v>
      </c>
      <c r="J205" s="335">
        <f t="shared" si="517"/>
        <v>12112.646000000001</v>
      </c>
      <c r="K205" s="336">
        <f t="shared" si="517"/>
        <v>11814.753999999999</v>
      </c>
      <c r="L205" s="336">
        <f t="shared" si="517"/>
        <v>12201.211000000001</v>
      </c>
      <c r="M205" s="337">
        <f t="shared" si="517"/>
        <v>11770.84</v>
      </c>
      <c r="N205" s="327">
        <f t="shared" si="517"/>
        <v>11770.84</v>
      </c>
      <c r="O205" s="335">
        <f t="shared" si="517"/>
        <v>11973.052</v>
      </c>
      <c r="P205" s="336">
        <f t="shared" si="517"/>
        <v>12316.225</v>
      </c>
      <c r="Q205" s="336">
        <f t="shared" si="517"/>
        <v>12409.273999999999</v>
      </c>
      <c r="R205" s="337">
        <f t="shared" si="517"/>
        <v>12344.777</v>
      </c>
      <c r="S205" s="327">
        <f t="shared" si="517"/>
        <v>12344.777</v>
      </c>
      <c r="T205" s="335">
        <f t="shared" si="517"/>
        <v>12577.492999999999</v>
      </c>
      <c r="U205" s="336">
        <f t="shared" si="517"/>
        <v>12493.039999999999</v>
      </c>
      <c r="V205" s="336">
        <f t="shared" si="517"/>
        <v>12892.036</v>
      </c>
      <c r="W205" s="337">
        <f t="shared" si="517"/>
        <v>13434.835999999999</v>
      </c>
      <c r="X205" s="327">
        <f t="shared" si="517"/>
        <v>13434.835999999999</v>
      </c>
      <c r="Y205" s="335">
        <f t="shared" si="517"/>
        <v>13433.644</v>
      </c>
      <c r="Z205" s="336">
        <f t="shared" si="517"/>
        <v>13710.498</v>
      </c>
      <c r="AA205" s="336">
        <f t="shared" si="517"/>
        <v>13587.791000000001</v>
      </c>
      <c r="AB205" s="337">
        <f>SUM(AB203:AB204)</f>
        <v>13643.130999999999</v>
      </c>
      <c r="AC205" s="327">
        <f>SUM(AC203:AC204)</f>
        <v>13643.130999999999</v>
      </c>
      <c r="AD205" s="335">
        <f t="shared" si="517"/>
        <v>13826.152999999998</v>
      </c>
      <c r="AE205" s="336">
        <f t="shared" si="517"/>
        <v>13658.119999999999</v>
      </c>
      <c r="AF205" s="336">
        <f t="shared" ref="AF205" si="518">SUM(AF203:AF204)</f>
        <v>13640.153</v>
      </c>
      <c r="AG205" s="337">
        <f>SUM(AG203:AG204)</f>
        <v>13997.891</v>
      </c>
      <c r="AH205" s="327">
        <f>SUM(AH203:AH204)</f>
        <v>13997.891</v>
      </c>
      <c r="AI205" s="335">
        <f t="shared" ref="AI205:AK205" si="519">SUM(AI203:AI204)</f>
        <v>14012.836000000001</v>
      </c>
      <c r="AJ205" s="336">
        <f t="shared" si="519"/>
        <v>13826.804</v>
      </c>
      <c r="AK205" s="336">
        <f t="shared" si="519"/>
        <v>14113.283000000001</v>
      </c>
      <c r="AL205" s="337">
        <f>SUM(AL203:AL204)</f>
        <v>13820.278</v>
      </c>
      <c r="AM205" s="327">
        <f>SUM(AM203:AM204)</f>
        <v>13820.278</v>
      </c>
      <c r="AN205" s="335">
        <f t="shared" ref="AN205:AP205" si="520">SUM(AN203:AN204)</f>
        <v>15062.950999999999</v>
      </c>
      <c r="AO205" s="336">
        <f t="shared" si="520"/>
        <v>14808.691999999999</v>
      </c>
      <c r="AP205" s="336">
        <f t="shared" si="520"/>
        <v>15045.266</v>
      </c>
      <c r="AQ205" s="337">
        <f>SUM(AQ203:AQ204)</f>
        <v>15247.566000000001</v>
      </c>
      <c r="AR205" s="327">
        <f>SUM(AR203:AR204)</f>
        <v>15247.566000000001</v>
      </c>
      <c r="AS205" s="335">
        <f t="shared" ref="AS205:AU205" si="521">SUM(AS203:AS204)</f>
        <v>15584.303</v>
      </c>
      <c r="AT205" s="336">
        <f t="shared" si="521"/>
        <v>16259.636999999999</v>
      </c>
      <c r="AU205" s="336">
        <f t="shared" si="521"/>
        <v>16199.417000000001</v>
      </c>
      <c r="AV205" s="337">
        <f>SUM(AV203:AV204)</f>
        <v>16653.574000000001</v>
      </c>
      <c r="AW205" s="327">
        <f>SUM(AW203:AW204)</f>
        <v>16653.574000000001</v>
      </c>
      <c r="AX205" s="335">
        <f t="shared" ref="AX205:BB205" si="522">SUM(AX203:AX204)</f>
        <v>16451.956228838451</v>
      </c>
      <c r="AY205" s="336">
        <f t="shared" si="522"/>
        <v>18400.266</v>
      </c>
      <c r="AZ205" s="336">
        <f t="shared" si="522"/>
        <v>18100.266</v>
      </c>
      <c r="BA205" s="337">
        <f t="shared" si="522"/>
        <v>18015.266</v>
      </c>
      <c r="BB205" s="327">
        <f t="shared" si="522"/>
        <v>18015.266</v>
      </c>
      <c r="BC205" s="335">
        <f t="shared" ref="BC205:BL205" si="523">SUM(BC203:BC204)</f>
        <v>18377.786167832703</v>
      </c>
      <c r="BD205" s="336">
        <f t="shared" si="523"/>
        <v>18794.645834447601</v>
      </c>
      <c r="BE205" s="336">
        <f t="shared" si="523"/>
        <v>19834.496999999999</v>
      </c>
      <c r="BF205" s="337">
        <f t="shared" si="523"/>
        <v>19834.496999999999</v>
      </c>
      <c r="BG205" s="327">
        <f t="shared" si="523"/>
        <v>19834.496999999999</v>
      </c>
      <c r="BH205" s="335">
        <f t="shared" si="523"/>
        <v>19842.782102183541</v>
      </c>
      <c r="BI205" s="336">
        <f t="shared" si="523"/>
        <v>20170.013420313968</v>
      </c>
      <c r="BJ205" s="336">
        <f t="shared" si="523"/>
        <v>21614.496999999999</v>
      </c>
      <c r="BK205" s="337">
        <f t="shared" si="523"/>
        <v>21339.496999999999</v>
      </c>
      <c r="BL205" s="327">
        <f t="shared" si="523"/>
        <v>21339.496999999996</v>
      </c>
      <c r="BM205" s="335">
        <f t="shared" ref="BM205:BQ205" si="524">SUM(BM203:BM204)</f>
        <v>21177.323533397364</v>
      </c>
      <c r="BN205" s="336">
        <f t="shared" si="524"/>
        <v>21553.130602666544</v>
      </c>
      <c r="BO205" s="336">
        <f t="shared" si="524"/>
        <v>22599.504999999997</v>
      </c>
      <c r="BP205" s="337">
        <f t="shared" si="524"/>
        <v>22599.504999999997</v>
      </c>
      <c r="BQ205" s="327">
        <f t="shared" si="524"/>
        <v>22599.504999999997</v>
      </c>
      <c r="BR205" s="327"/>
      <c r="BS205" s="327"/>
      <c r="BT205" s="327"/>
      <c r="BU205" s="327"/>
      <c r="BV205" s="327"/>
      <c r="BW205" s="327"/>
      <c r="BX205" s="327"/>
      <c r="BY205" s="327"/>
      <c r="BZ205" s="327"/>
      <c r="CA205" s="327"/>
      <c r="CB205" s="327"/>
      <c r="CC205" s="327"/>
      <c r="CD205" s="327"/>
      <c r="CE205" s="327"/>
    </row>
    <row r="206" spans="1:83">
      <c r="A206" s="370"/>
      <c r="B206" s="370"/>
      <c r="C206" s="1201" t="s">
        <v>17</v>
      </c>
      <c r="D206" s="370"/>
      <c r="E206" s="371">
        <f>E205/E214</f>
        <v>0.56422672690418274</v>
      </c>
      <c r="F206" s="371">
        <f t="shared" ref="F206:AE206" si="525">F205/F214</f>
        <v>0.54890011678623318</v>
      </c>
      <c r="G206" s="371">
        <f t="shared" si="525"/>
        <v>0.55542578974054779</v>
      </c>
      <c r="H206" s="372">
        <f t="shared" si="525"/>
        <v>0.56192248847695092</v>
      </c>
      <c r="I206" s="390">
        <f t="shared" si="525"/>
        <v>0.56192248847695092</v>
      </c>
      <c r="J206" s="373">
        <f t="shared" si="525"/>
        <v>0.56911112984241374</v>
      </c>
      <c r="K206" s="371">
        <f t="shared" si="525"/>
        <v>0.56540160189768318</v>
      </c>
      <c r="L206" s="371">
        <f t="shared" si="525"/>
        <v>0.57434493870394232</v>
      </c>
      <c r="M206" s="372">
        <f t="shared" si="525"/>
        <v>0.57201149695076958</v>
      </c>
      <c r="N206" s="370">
        <f t="shared" si="525"/>
        <v>0.57201149695076958</v>
      </c>
      <c r="O206" s="373">
        <f t="shared" si="525"/>
        <v>0.57510404472237098</v>
      </c>
      <c r="P206" s="371">
        <f t="shared" si="525"/>
        <v>0.58028241465443575</v>
      </c>
      <c r="Q206" s="371">
        <f t="shared" si="525"/>
        <v>0.57224132418025675</v>
      </c>
      <c r="R206" s="372">
        <f t="shared" si="525"/>
        <v>0.57685747138779653</v>
      </c>
      <c r="S206" s="370">
        <f t="shared" si="525"/>
        <v>0.57685747138779653</v>
      </c>
      <c r="T206" s="373">
        <f t="shared" si="525"/>
        <v>0.57768423061948126</v>
      </c>
      <c r="U206" s="371">
        <f t="shared" si="525"/>
        <v>0.57298202778575547</v>
      </c>
      <c r="V206" s="371">
        <f t="shared" si="525"/>
        <v>0.57648780569821634</v>
      </c>
      <c r="W206" s="372">
        <f t="shared" si="525"/>
        <v>0.58635563673805779</v>
      </c>
      <c r="X206" s="370">
        <f t="shared" si="525"/>
        <v>0.58635563673805779</v>
      </c>
      <c r="Y206" s="373">
        <f t="shared" si="525"/>
        <v>0.58592526938817868</v>
      </c>
      <c r="Z206" s="371">
        <f t="shared" si="525"/>
        <v>0.58930530949525917</v>
      </c>
      <c r="AA206" s="371">
        <f t="shared" si="525"/>
        <v>0.58374941728341567</v>
      </c>
      <c r="AB206" s="372">
        <f>AB205/AB214</f>
        <v>0.57858034125607172</v>
      </c>
      <c r="AC206" s="370">
        <f>AC205/AC214</f>
        <v>0.57858034125607172</v>
      </c>
      <c r="AD206" s="373">
        <f t="shared" si="525"/>
        <v>0.57419150299835853</v>
      </c>
      <c r="AE206" s="371">
        <f t="shared" si="525"/>
        <v>0.56848791534674126</v>
      </c>
      <c r="AF206" s="371">
        <f t="shared" ref="AF206" si="526">AF205/AF214</f>
        <v>0.5661236174328923</v>
      </c>
      <c r="AG206" s="372">
        <f>AG205/AG214</f>
        <v>0.57579903330166504</v>
      </c>
      <c r="AH206" s="370">
        <f>AH205/AH214</f>
        <v>0.57579903330166504</v>
      </c>
      <c r="AI206" s="373">
        <f t="shared" ref="AI206:AK206" si="527">AI205/AI214</f>
        <v>0.57308521025741688</v>
      </c>
      <c r="AJ206" s="371">
        <f t="shared" si="527"/>
        <v>0.5692441588554189</v>
      </c>
      <c r="AK206" s="371">
        <f t="shared" si="527"/>
        <v>0.60104689000138323</v>
      </c>
      <c r="AL206" s="372">
        <f>AL205/AL214</f>
        <v>0.5907299830982814</v>
      </c>
      <c r="AM206" s="370">
        <f>AM205/AM214</f>
        <v>0.5907299830982814</v>
      </c>
      <c r="AN206" s="373">
        <f t="shared" ref="AN206:AP206" si="528">AN205/AN214</f>
        <v>0.60879882263752805</v>
      </c>
      <c r="AO206" s="371">
        <f t="shared" si="528"/>
        <v>0.5950931063405156</v>
      </c>
      <c r="AP206" s="371">
        <f t="shared" si="528"/>
        <v>0.59355984944163953</v>
      </c>
      <c r="AQ206" s="372">
        <f>AQ205/AQ214</f>
        <v>0.647934861315556</v>
      </c>
      <c r="AR206" s="370">
        <f>AR205/AR214</f>
        <v>0.647934861315556</v>
      </c>
      <c r="AS206" s="373">
        <f t="shared" ref="AS206:AU206" si="529">AS205/AS214</f>
        <v>0.65357576451968713</v>
      </c>
      <c r="AT206" s="371">
        <f t="shared" si="529"/>
        <v>0.65474139593820935</v>
      </c>
      <c r="AU206" s="371">
        <f t="shared" si="529"/>
        <v>0.64557928259931041</v>
      </c>
      <c r="AV206" s="372">
        <f>AV205/AV214</f>
        <v>0.67032870695139068</v>
      </c>
      <c r="AW206" s="370">
        <f>AW205/AW214</f>
        <v>0.67032870695139068</v>
      </c>
      <c r="AX206" s="373">
        <f t="shared" ref="AX206:BB206" si="530">AX205/AX214</f>
        <v>0.66607588246534744</v>
      </c>
      <c r="AY206" s="371">
        <f t="shared" si="530"/>
        <v>0.68840352805219474</v>
      </c>
      <c r="AZ206" s="371">
        <f t="shared" si="530"/>
        <v>0.67748906983288393</v>
      </c>
      <c r="BA206" s="372">
        <f t="shared" si="530"/>
        <v>0.67654421957326305</v>
      </c>
      <c r="BB206" s="370">
        <f t="shared" si="530"/>
        <v>0.67654421957326305</v>
      </c>
      <c r="BC206" s="373">
        <f t="shared" ref="BC206:BL206" si="531">BC205/BC214</f>
        <v>0.67904944872200501</v>
      </c>
      <c r="BD206" s="371">
        <f t="shared" si="531"/>
        <v>0.68202653245794054</v>
      </c>
      <c r="BE206" s="371">
        <f t="shared" si="531"/>
        <v>0.6878652324668808</v>
      </c>
      <c r="BF206" s="372">
        <f t="shared" si="531"/>
        <v>0.68911742270729037</v>
      </c>
      <c r="BG206" s="370">
        <f t="shared" si="531"/>
        <v>0.68911742270729037</v>
      </c>
      <c r="BH206" s="373">
        <f t="shared" si="531"/>
        <v>0.6861239474106321</v>
      </c>
      <c r="BI206" s="371">
        <f t="shared" si="531"/>
        <v>0.68813443595791712</v>
      </c>
      <c r="BJ206" s="371">
        <f t="shared" si="531"/>
        <v>0.69782036005976444</v>
      </c>
      <c r="BK206" s="372">
        <f t="shared" si="531"/>
        <v>0.69640258255476384</v>
      </c>
      <c r="BL206" s="370">
        <f t="shared" si="531"/>
        <v>0.69640258255476373</v>
      </c>
      <c r="BM206" s="373">
        <f t="shared" ref="BM206:BQ206" si="532">BM205/BM214</f>
        <v>0.69346987130743454</v>
      </c>
      <c r="BN206" s="371">
        <f t="shared" si="532"/>
        <v>0.69541917638408413</v>
      </c>
      <c r="BO206" s="371">
        <f t="shared" si="532"/>
        <v>0.70053179660839549</v>
      </c>
      <c r="BP206" s="372">
        <f t="shared" si="532"/>
        <v>0.70149522150320964</v>
      </c>
      <c r="BQ206" s="370">
        <f t="shared" si="532"/>
        <v>0.70149522150320964</v>
      </c>
      <c r="BR206" s="370"/>
      <c r="BS206" s="370"/>
      <c r="BT206" s="370"/>
      <c r="BU206" s="370"/>
      <c r="BV206" s="370"/>
      <c r="BW206" s="370"/>
      <c r="BX206" s="370"/>
      <c r="BY206" s="370"/>
      <c r="BZ206" s="370"/>
      <c r="CA206" s="370"/>
      <c r="CB206" s="370"/>
      <c r="CC206" s="370"/>
      <c r="CD206" s="370"/>
      <c r="CE206" s="370"/>
    </row>
    <row r="207" spans="1:83">
      <c r="A207" s="481"/>
      <c r="B207" s="481"/>
      <c r="C207" s="1283"/>
      <c r="D207" s="481"/>
      <c r="E207" s="482"/>
      <c r="F207" s="482"/>
      <c r="G207" s="482"/>
      <c r="H207" s="483"/>
      <c r="I207" s="484"/>
      <c r="J207" s="485"/>
      <c r="K207" s="482"/>
      <c r="L207" s="482"/>
      <c r="M207" s="483"/>
      <c r="N207" s="110"/>
      <c r="O207" s="485"/>
      <c r="P207" s="482"/>
      <c r="Q207" s="482"/>
      <c r="R207" s="483"/>
      <c r="S207" s="481"/>
      <c r="T207" s="485"/>
      <c r="U207" s="482"/>
      <c r="V207" s="482"/>
      <c r="W207" s="483"/>
      <c r="X207" s="481"/>
      <c r="Y207" s="485"/>
      <c r="Z207" s="482"/>
      <c r="AA207" s="482"/>
      <c r="AB207" s="483"/>
      <c r="AC207" s="481"/>
      <c r="AD207" s="485"/>
      <c r="AE207" s="482"/>
      <c r="AF207" s="482"/>
      <c r="AG207" s="483"/>
      <c r="AH207" s="481"/>
      <c r="AI207" s="485"/>
      <c r="AJ207" s="482"/>
      <c r="AK207" s="482"/>
      <c r="AL207" s="483"/>
      <c r="AM207" s="481"/>
      <c r="AN207" s="485"/>
      <c r="AO207" s="482"/>
      <c r="AP207" s="482"/>
      <c r="AQ207" s="483"/>
      <c r="AR207" s="481"/>
      <c r="AS207" s="485"/>
      <c r="AT207" s="482"/>
      <c r="AU207" s="482"/>
      <c r="AV207" s="483"/>
      <c r="AW207" s="481"/>
      <c r="AX207" s="485"/>
      <c r="AY207" s="482"/>
      <c r="AZ207" s="482"/>
      <c r="BA207" s="483"/>
      <c r="BB207" s="481"/>
      <c r="BC207" s="485"/>
      <c r="BD207" s="482"/>
      <c r="BE207" s="482"/>
      <c r="BF207" s="483"/>
      <c r="BG207" s="481"/>
      <c r="BH207" s="485"/>
      <c r="BI207" s="482"/>
      <c r="BJ207" s="482"/>
      <c r="BK207" s="483"/>
      <c r="BL207" s="481"/>
      <c r="BM207" s="485"/>
      <c r="BN207" s="482"/>
      <c r="BO207" s="482"/>
      <c r="BP207" s="483"/>
      <c r="BQ207" s="481"/>
      <c r="BR207" s="481"/>
      <c r="BS207" s="481"/>
      <c r="BT207" s="481"/>
      <c r="BU207" s="481"/>
      <c r="BV207" s="481"/>
      <c r="BW207" s="481"/>
      <c r="BX207" s="481"/>
      <c r="BY207" s="481"/>
      <c r="BZ207" s="481"/>
      <c r="CA207" s="481"/>
      <c r="CB207" s="481"/>
      <c r="CC207" s="481"/>
      <c r="CD207" s="481"/>
      <c r="CE207" s="481"/>
    </row>
    <row r="208" spans="1:83">
      <c r="A208" s="327"/>
      <c r="B208" s="375"/>
      <c r="C208" s="1200" t="s">
        <v>16</v>
      </c>
      <c r="D208" s="375"/>
      <c r="E208" s="336">
        <f>E187</f>
        <v>311.03100000000001</v>
      </c>
      <c r="F208" s="336">
        <f t="shared" ref="F208:X208" si="533">F187</f>
        <v>311.05</v>
      </c>
      <c r="G208" s="336">
        <f t="shared" si="533"/>
        <v>309.22300000000001</v>
      </c>
      <c r="H208" s="337">
        <f t="shared" si="533"/>
        <v>311.34300000000002</v>
      </c>
      <c r="I208" s="391">
        <f t="shared" si="533"/>
        <v>311.34300000000002</v>
      </c>
      <c r="J208" s="335">
        <f t="shared" si="533"/>
        <v>310.721</v>
      </c>
      <c r="K208" s="336">
        <f t="shared" si="533"/>
        <v>310.72399999999999</v>
      </c>
      <c r="L208" s="336">
        <f t="shared" si="533"/>
        <v>310.73599999999999</v>
      </c>
      <c r="M208" s="337">
        <f t="shared" si="533"/>
        <v>310.738</v>
      </c>
      <c r="N208" s="327">
        <f t="shared" si="533"/>
        <v>310.738</v>
      </c>
      <c r="O208" s="335">
        <f t="shared" si="533"/>
        <v>310.74199999999996</v>
      </c>
      <c r="P208" s="336">
        <f t="shared" si="533"/>
        <v>310.745</v>
      </c>
      <c r="Q208" s="336">
        <f t="shared" si="533"/>
        <v>310.74799999999999</v>
      </c>
      <c r="R208" s="337">
        <f t="shared" si="533"/>
        <v>94</v>
      </c>
      <c r="S208" s="327">
        <f t="shared" si="533"/>
        <v>94</v>
      </c>
      <c r="T208" s="335">
        <f>T187</f>
        <v>280.51</v>
      </c>
      <c r="U208" s="336">
        <f t="shared" si="533"/>
        <v>280.51</v>
      </c>
      <c r="V208" s="336">
        <f t="shared" si="533"/>
        <v>280.51</v>
      </c>
      <c r="W208" s="337">
        <f t="shared" si="533"/>
        <v>280.51099999999997</v>
      </c>
      <c r="X208" s="327">
        <f t="shared" si="533"/>
        <v>280.51099999999997</v>
      </c>
      <c r="Y208" s="335">
        <f t="shared" ref="Y208:AD208" si="534">Y187</f>
        <v>280.51099999999997</v>
      </c>
      <c r="Z208" s="336">
        <f t="shared" si="534"/>
        <v>280.51099999999997</v>
      </c>
      <c r="AA208" s="336">
        <f t="shared" si="534"/>
        <v>280.51099999999997</v>
      </c>
      <c r="AB208" s="337">
        <f t="shared" si="534"/>
        <v>304.76</v>
      </c>
      <c r="AC208" s="327">
        <f t="shared" si="534"/>
        <v>304.76</v>
      </c>
      <c r="AD208" s="335">
        <f t="shared" si="534"/>
        <v>304.76</v>
      </c>
      <c r="AE208" s="336">
        <f>AE187</f>
        <v>304.76</v>
      </c>
      <c r="AF208" s="336">
        <f t="shared" ref="AF208:AI208" si="535">AF187</f>
        <v>304.76</v>
      </c>
      <c r="AG208" s="337">
        <f t="shared" si="535"/>
        <v>304.76</v>
      </c>
      <c r="AH208" s="327">
        <f t="shared" si="535"/>
        <v>304.76</v>
      </c>
      <c r="AI208" s="335">
        <f t="shared" si="535"/>
        <v>304.76</v>
      </c>
      <c r="AJ208" s="336">
        <f>AJ187</f>
        <v>304.76</v>
      </c>
      <c r="AK208" s="336">
        <f t="shared" ref="AK208:AN208" si="536">AK187</f>
        <v>210.76</v>
      </c>
      <c r="AL208" s="337">
        <f t="shared" si="536"/>
        <v>318.185</v>
      </c>
      <c r="AM208" s="327">
        <f t="shared" si="536"/>
        <v>318.185</v>
      </c>
      <c r="AN208" s="335">
        <f t="shared" si="536"/>
        <v>318.185</v>
      </c>
      <c r="AO208" s="336">
        <f>AO187</f>
        <v>318.185</v>
      </c>
      <c r="AP208" s="336">
        <f t="shared" ref="AP208:AS208" si="537">AP187</f>
        <v>233.185</v>
      </c>
      <c r="AQ208" s="337">
        <f t="shared" si="537"/>
        <v>203.185</v>
      </c>
      <c r="AR208" s="327">
        <f t="shared" si="537"/>
        <v>203.185</v>
      </c>
      <c r="AS208" s="335">
        <f t="shared" si="537"/>
        <v>203.185</v>
      </c>
      <c r="AT208" s="336">
        <f>AT187</f>
        <v>203.185</v>
      </c>
      <c r="AU208" s="336">
        <f t="shared" ref="AU208:AW208" si="538">AU187</f>
        <v>203.185</v>
      </c>
      <c r="AV208" s="337">
        <f t="shared" si="538"/>
        <v>197.803</v>
      </c>
      <c r="AW208" s="327">
        <f t="shared" si="538"/>
        <v>197.803</v>
      </c>
      <c r="AX208" s="335">
        <f t="shared" ref="AX208:BB208" si="539">AX187</f>
        <v>197.803</v>
      </c>
      <c r="AY208" s="336">
        <f t="shared" si="539"/>
        <v>197.803</v>
      </c>
      <c r="AZ208" s="336">
        <f t="shared" si="539"/>
        <v>197.803</v>
      </c>
      <c r="BA208" s="337">
        <f t="shared" si="539"/>
        <v>197.803</v>
      </c>
      <c r="BB208" s="327">
        <f t="shared" si="539"/>
        <v>197.803</v>
      </c>
      <c r="BC208" s="335">
        <f t="shared" ref="BC208:BL208" si="540">BC187</f>
        <v>197.803</v>
      </c>
      <c r="BD208" s="336">
        <f t="shared" si="540"/>
        <v>197.803</v>
      </c>
      <c r="BE208" s="336">
        <f t="shared" si="540"/>
        <v>197.803</v>
      </c>
      <c r="BF208" s="337">
        <f t="shared" si="540"/>
        <v>197.803</v>
      </c>
      <c r="BG208" s="327">
        <f t="shared" si="540"/>
        <v>197.803</v>
      </c>
      <c r="BH208" s="335">
        <f t="shared" si="540"/>
        <v>197.803</v>
      </c>
      <c r="BI208" s="336">
        <f t="shared" si="540"/>
        <v>197.803</v>
      </c>
      <c r="BJ208" s="336">
        <f t="shared" si="540"/>
        <v>197.803</v>
      </c>
      <c r="BK208" s="337">
        <f t="shared" si="540"/>
        <v>197.803</v>
      </c>
      <c r="BL208" s="327">
        <f t="shared" si="540"/>
        <v>197.803</v>
      </c>
      <c r="BM208" s="335">
        <f t="shared" ref="BM208:BQ208" si="541">BM187</f>
        <v>197.803</v>
      </c>
      <c r="BN208" s="336">
        <f t="shared" si="541"/>
        <v>197.803</v>
      </c>
      <c r="BO208" s="336">
        <f t="shared" si="541"/>
        <v>197.803</v>
      </c>
      <c r="BP208" s="337">
        <f t="shared" si="541"/>
        <v>197.803</v>
      </c>
      <c r="BQ208" s="327">
        <f t="shared" si="541"/>
        <v>197.803</v>
      </c>
      <c r="BR208" s="327"/>
      <c r="BS208" s="327"/>
      <c r="BT208" s="327"/>
      <c r="BU208" s="327"/>
      <c r="BV208" s="327"/>
      <c r="BW208" s="327"/>
      <c r="BX208" s="327"/>
      <c r="BY208" s="327"/>
      <c r="BZ208" s="327"/>
      <c r="CA208" s="327"/>
      <c r="CB208" s="327"/>
      <c r="CC208" s="327"/>
      <c r="CD208" s="327"/>
      <c r="CE208" s="327"/>
    </row>
    <row r="209" spans="1:83">
      <c r="A209" s="370"/>
      <c r="B209" s="370"/>
      <c r="C209" s="1201" t="s">
        <v>17</v>
      </c>
      <c r="D209" s="370"/>
      <c r="E209" s="371">
        <f>E208/E214</f>
        <v>1.5158525067532784E-2</v>
      </c>
      <c r="F209" s="371">
        <f t="shared" ref="F209:AE209" si="542">F208/F214</f>
        <v>1.5457366862774709E-2</v>
      </c>
      <c r="G209" s="371">
        <f t="shared" si="542"/>
        <v>1.5635084056090383E-2</v>
      </c>
      <c r="H209" s="372">
        <f t="shared" si="542"/>
        <v>1.5282566452925177E-2</v>
      </c>
      <c r="I209" s="390">
        <f t="shared" si="542"/>
        <v>1.5282566452925177E-2</v>
      </c>
      <c r="J209" s="373">
        <f t="shared" si="542"/>
        <v>1.4599186616678521E-2</v>
      </c>
      <c r="K209" s="371">
        <f t="shared" si="542"/>
        <v>1.4869869262454025E-2</v>
      </c>
      <c r="L209" s="371">
        <f t="shared" si="542"/>
        <v>1.4627207813479186E-2</v>
      </c>
      <c r="M209" s="372">
        <f t="shared" si="542"/>
        <v>1.5100511818994076E-2</v>
      </c>
      <c r="N209" s="370">
        <f t="shared" si="542"/>
        <v>1.5100511818994076E-2</v>
      </c>
      <c r="O209" s="373">
        <f t="shared" si="542"/>
        <v>1.4925933760675136E-2</v>
      </c>
      <c r="P209" s="371">
        <f t="shared" si="542"/>
        <v>1.4640838320328888E-2</v>
      </c>
      <c r="Q209" s="371">
        <f t="shared" si="542"/>
        <v>1.4329834848224515E-2</v>
      </c>
      <c r="R209" s="372">
        <f t="shared" si="542"/>
        <v>4.392513717376415E-3</v>
      </c>
      <c r="S209" s="370">
        <f t="shared" si="542"/>
        <v>4.392513717376415E-3</v>
      </c>
      <c r="T209" s="373">
        <f t="shared" si="542"/>
        <v>1.2883823789929416E-2</v>
      </c>
      <c r="U209" s="371">
        <f t="shared" si="542"/>
        <v>1.2865338509616736E-2</v>
      </c>
      <c r="V209" s="371">
        <f t="shared" si="542"/>
        <v>1.2543448868464738E-2</v>
      </c>
      <c r="W209" s="372">
        <f t="shared" si="542"/>
        <v>1.2242740143387632E-2</v>
      </c>
      <c r="X209" s="370">
        <f t="shared" si="542"/>
        <v>1.2242740143387632E-2</v>
      </c>
      <c r="Y209" s="373">
        <f t="shared" si="542"/>
        <v>1.2234839872289854E-2</v>
      </c>
      <c r="Z209" s="371">
        <f t="shared" si="542"/>
        <v>1.2056937805747438E-2</v>
      </c>
      <c r="AA209" s="371">
        <f t="shared" si="542"/>
        <v>1.2051122422444398E-2</v>
      </c>
      <c r="AB209" s="372">
        <f>AB208/AB214</f>
        <v>1.2924316625062122E-2</v>
      </c>
      <c r="AC209" s="370">
        <f>AC208/AC214</f>
        <v>1.2924316625062122E-2</v>
      </c>
      <c r="AD209" s="373">
        <f t="shared" si="542"/>
        <v>1.2656492551021225E-2</v>
      </c>
      <c r="AE209" s="371">
        <f t="shared" si="542"/>
        <v>1.2684935926838604E-2</v>
      </c>
      <c r="AF209" s="371">
        <f t="shared" ref="AF209" si="543">AF208/AF214</f>
        <v>1.2648819529285944E-2</v>
      </c>
      <c r="AG209" s="372">
        <f>AG208/AG214</f>
        <v>1.2536210875553712E-2</v>
      </c>
      <c r="AH209" s="370">
        <f>AH208/AH214</f>
        <v>1.2536210875553712E-2</v>
      </c>
      <c r="AI209" s="373">
        <f t="shared" ref="AI209:AK209" si="544">AI208/AI214</f>
        <v>1.2463818792858945E-2</v>
      </c>
      <c r="AJ209" s="371">
        <f t="shared" si="544"/>
        <v>1.2546851018700884E-2</v>
      </c>
      <c r="AK209" s="371">
        <f t="shared" si="544"/>
        <v>8.9757034232709372E-3</v>
      </c>
      <c r="AL209" s="372">
        <f>AL208/AL214</f>
        <v>1.3600408014377617E-2</v>
      </c>
      <c r="AM209" s="370">
        <f>AM208/AM214</f>
        <v>1.3600408014377617E-2</v>
      </c>
      <c r="AN209" s="373">
        <f t="shared" ref="AN209:AP209" si="545">AN208/AN214</f>
        <v>1.2860073260606231E-2</v>
      </c>
      <c r="AO209" s="371">
        <f t="shared" si="545"/>
        <v>1.2786389239573419E-2</v>
      </c>
      <c r="AP209" s="371">
        <f t="shared" si="545"/>
        <v>9.1995218623618022E-3</v>
      </c>
      <c r="AQ209" s="372">
        <f>AQ208/AQ214</f>
        <v>8.6342072430708773E-3</v>
      </c>
      <c r="AR209" s="370">
        <f>AR208/AR214</f>
        <v>8.6342072430708773E-3</v>
      </c>
      <c r="AS209" s="373">
        <f t="shared" ref="AS209:AU209" si="546">AS208/AS214</f>
        <v>8.5211890268004058E-3</v>
      </c>
      <c r="AT209" s="371">
        <f t="shared" si="546"/>
        <v>8.1818327514756369E-3</v>
      </c>
      <c r="AU209" s="371">
        <f t="shared" si="546"/>
        <v>8.0973300789121544E-3</v>
      </c>
      <c r="AV209" s="372">
        <f>AV208/AV214</f>
        <v>7.9618362533535412E-3</v>
      </c>
      <c r="AW209" s="370">
        <f>AW208/AW214</f>
        <v>7.9618362533535412E-3</v>
      </c>
      <c r="AX209" s="373">
        <f t="shared" ref="AX209:BB209" si="547">AX208/AX214</f>
        <v>8.0082760947507766E-3</v>
      </c>
      <c r="AY209" s="371">
        <f t="shared" si="547"/>
        <v>7.4003431830446508E-3</v>
      </c>
      <c r="AZ209" s="371">
        <f t="shared" si="547"/>
        <v>7.4037238171059993E-3</v>
      </c>
      <c r="BA209" s="372">
        <f t="shared" si="547"/>
        <v>7.4282820061746611E-3</v>
      </c>
      <c r="BB209" s="370">
        <f t="shared" si="547"/>
        <v>7.4282820061746611E-3</v>
      </c>
      <c r="BC209" s="373">
        <f t="shared" ref="BC209:BL209" si="548">BC208/BC214</f>
        <v>7.3087159072870488E-3</v>
      </c>
      <c r="BD209" s="371">
        <f t="shared" si="548"/>
        <v>7.1779428773547354E-3</v>
      </c>
      <c r="BE209" s="371">
        <f t="shared" si="548"/>
        <v>6.8598566718201335E-3</v>
      </c>
      <c r="BF209" s="372">
        <f t="shared" si="548"/>
        <v>6.87234435860764E-3</v>
      </c>
      <c r="BG209" s="370">
        <f t="shared" si="548"/>
        <v>6.87234435860764E-3</v>
      </c>
      <c r="BH209" s="373">
        <f t="shared" si="548"/>
        <v>6.8396344056376361E-3</v>
      </c>
      <c r="BI209" s="371">
        <f t="shared" si="548"/>
        <v>6.7483869742346013E-3</v>
      </c>
      <c r="BJ209" s="371">
        <f t="shared" si="548"/>
        <v>6.3860362182336042E-3</v>
      </c>
      <c r="BK209" s="372">
        <f t="shared" si="548"/>
        <v>6.4551905809719862E-3</v>
      </c>
      <c r="BL209" s="370">
        <f t="shared" si="548"/>
        <v>6.4551905809719862E-3</v>
      </c>
      <c r="BM209" s="373">
        <f t="shared" ref="BM209:BQ209" si="549">BM208/BM214</f>
        <v>6.4772312109177546E-3</v>
      </c>
      <c r="BN209" s="371">
        <f t="shared" si="549"/>
        <v>6.3821818687111107E-3</v>
      </c>
      <c r="BO209" s="371">
        <f t="shared" si="549"/>
        <v>6.1314303549803613E-3</v>
      </c>
      <c r="BP209" s="372">
        <f t="shared" si="549"/>
        <v>6.13986276686146E-3</v>
      </c>
      <c r="BQ209" s="370">
        <f t="shared" si="549"/>
        <v>6.13986276686146E-3</v>
      </c>
      <c r="BR209" s="370"/>
      <c r="BS209" s="370"/>
      <c r="BT209" s="370"/>
      <c r="BU209" s="370"/>
      <c r="BV209" s="370"/>
      <c r="BW209" s="370"/>
      <c r="BX209" s="370"/>
      <c r="BY209" s="370"/>
      <c r="BZ209" s="370"/>
      <c r="CA209" s="370"/>
      <c r="CB209" s="370"/>
      <c r="CC209" s="370"/>
      <c r="CD209" s="370"/>
      <c r="CE209" s="370"/>
    </row>
    <row r="210" spans="1:83">
      <c r="A210" s="233"/>
      <c r="B210" s="353"/>
      <c r="C210" s="1202"/>
      <c r="D210" s="353"/>
      <c r="E210" s="242"/>
      <c r="F210" s="242"/>
      <c r="G210" s="242"/>
      <c r="H210" s="243"/>
      <c r="I210" s="382"/>
      <c r="J210" s="241"/>
      <c r="K210" s="242"/>
      <c r="L210" s="242"/>
      <c r="M210" s="243"/>
      <c r="N210" s="233"/>
      <c r="O210" s="241"/>
      <c r="P210" s="242"/>
      <c r="Q210" s="242"/>
      <c r="R210" s="243"/>
      <c r="S210" s="233"/>
      <c r="T210" s="241"/>
      <c r="U210" s="242"/>
      <c r="V210" s="242"/>
      <c r="W210" s="243"/>
      <c r="X210" s="233"/>
      <c r="Y210" s="241"/>
      <c r="Z210" s="242"/>
      <c r="AA210" s="242"/>
      <c r="AB210" s="243"/>
      <c r="AC210" s="233"/>
      <c r="AD210" s="241"/>
      <c r="AE210" s="242"/>
      <c r="AF210" s="242"/>
      <c r="AG210" s="243"/>
      <c r="AH210" s="233"/>
      <c r="AI210" s="241"/>
      <c r="AJ210" s="242"/>
      <c r="AK210" s="242"/>
      <c r="AL210" s="243"/>
      <c r="AM210" s="233"/>
      <c r="AN210" s="241"/>
      <c r="AO210" s="242"/>
      <c r="AP210" s="242"/>
      <c r="AQ210" s="243"/>
      <c r="AR210" s="233"/>
      <c r="AS210" s="241"/>
      <c r="AT210" s="242"/>
      <c r="AU210" s="242"/>
      <c r="AV210" s="243"/>
      <c r="AW210" s="233"/>
      <c r="AX210" s="241"/>
      <c r="AY210" s="242"/>
      <c r="AZ210" s="242"/>
      <c r="BA210" s="243"/>
      <c r="BB210" s="233"/>
      <c r="BC210" s="241"/>
      <c r="BD210" s="242"/>
      <c r="BE210" s="242"/>
      <c r="BF210" s="243"/>
      <c r="BG210" s="233"/>
      <c r="BH210" s="241"/>
      <c r="BI210" s="242"/>
      <c r="BJ210" s="242"/>
      <c r="BK210" s="243"/>
      <c r="BL210" s="233"/>
      <c r="BM210" s="241"/>
      <c r="BN210" s="242"/>
      <c r="BO210" s="242"/>
      <c r="BP210" s="243"/>
      <c r="BQ210" s="233"/>
      <c r="BR210" s="233"/>
      <c r="BS210" s="233"/>
      <c r="BT210" s="233"/>
      <c r="BU210" s="233"/>
      <c r="BV210" s="233"/>
      <c r="BW210" s="233"/>
      <c r="BX210" s="233"/>
      <c r="BY210" s="233"/>
      <c r="BZ210" s="233"/>
      <c r="CA210" s="233"/>
      <c r="CB210" s="233"/>
      <c r="CC210" s="233"/>
      <c r="CD210" s="233"/>
      <c r="CE210" s="233"/>
    </row>
    <row r="211" spans="1:83">
      <c r="A211" s="327"/>
      <c r="B211" s="375"/>
      <c r="C211" s="1200" t="s">
        <v>394</v>
      </c>
      <c r="D211" s="375"/>
      <c r="E211" s="336">
        <f>E193</f>
        <v>8630.4060000000009</v>
      </c>
      <c r="F211" s="336">
        <f t="shared" ref="F211:X211" si="550">F193</f>
        <v>8766.474000000002</v>
      </c>
      <c r="G211" s="336">
        <f t="shared" si="550"/>
        <v>8483.3470000000016</v>
      </c>
      <c r="H211" s="337">
        <f t="shared" si="550"/>
        <v>8613.3599999999988</v>
      </c>
      <c r="I211" s="391">
        <f t="shared" si="550"/>
        <v>8613.3599999999988</v>
      </c>
      <c r="J211" s="335">
        <f t="shared" si="550"/>
        <v>8860.0789999999997</v>
      </c>
      <c r="K211" s="336">
        <f t="shared" si="550"/>
        <v>8770.7380000000012</v>
      </c>
      <c r="L211" s="336">
        <f t="shared" si="550"/>
        <v>8731.7520000000004</v>
      </c>
      <c r="M211" s="337">
        <f t="shared" si="550"/>
        <v>8496.3999999999978</v>
      </c>
      <c r="N211" s="327">
        <f t="shared" si="550"/>
        <v>8496.3999999999978</v>
      </c>
      <c r="O211" s="335">
        <f t="shared" si="550"/>
        <v>8535.1380000000008</v>
      </c>
      <c r="P211" s="336">
        <f t="shared" si="550"/>
        <v>8597.5659999999989</v>
      </c>
      <c r="Q211" s="336">
        <f t="shared" si="550"/>
        <v>8965.3640000000014</v>
      </c>
      <c r="R211" s="337">
        <f t="shared" si="550"/>
        <v>8961.2699999999986</v>
      </c>
      <c r="S211" s="327">
        <f t="shared" si="550"/>
        <v>8961.2699999999986</v>
      </c>
      <c r="T211" s="335">
        <f>T193</f>
        <v>8914.260000000002</v>
      </c>
      <c r="U211" s="336">
        <f t="shared" si="550"/>
        <v>9029.996000000001</v>
      </c>
      <c r="V211" s="336">
        <f t="shared" si="550"/>
        <v>9190.5220000000008</v>
      </c>
      <c r="W211" s="337">
        <f t="shared" si="550"/>
        <v>9197.0890000000018</v>
      </c>
      <c r="X211" s="327">
        <f t="shared" si="550"/>
        <v>9197.0890000000018</v>
      </c>
      <c r="Y211" s="335">
        <f t="shared" ref="Y211:AD211" si="551">Y193</f>
        <v>9213.0760000000009</v>
      </c>
      <c r="Z211" s="336">
        <f t="shared" si="551"/>
        <v>9274.5170000000016</v>
      </c>
      <c r="AA211" s="336">
        <f t="shared" si="551"/>
        <v>9408.4510000000009</v>
      </c>
      <c r="AB211" s="337">
        <f t="shared" si="551"/>
        <v>9632.4660000000003</v>
      </c>
      <c r="AC211" s="327">
        <f t="shared" si="551"/>
        <v>9632.4660000000003</v>
      </c>
      <c r="AD211" s="335">
        <f t="shared" si="551"/>
        <v>9948.4279999999999</v>
      </c>
      <c r="AE211" s="336">
        <f>AE193</f>
        <v>10062.468000000001</v>
      </c>
      <c r="AF211" s="336">
        <f t="shared" ref="AF211:AI211" si="552">AF193</f>
        <v>10149.035</v>
      </c>
      <c r="AG211" s="337">
        <f t="shared" si="552"/>
        <v>10007.725000000002</v>
      </c>
      <c r="AH211" s="327">
        <f t="shared" si="552"/>
        <v>10007.725000000002</v>
      </c>
      <c r="AI211" s="335">
        <f t="shared" si="552"/>
        <v>10133.979000000003</v>
      </c>
      <c r="AJ211" s="336">
        <f>AJ193</f>
        <v>10158.196000000004</v>
      </c>
      <c r="AK211" s="336">
        <f t="shared" ref="AK211:AN211" si="553">AK193</f>
        <v>9157.125</v>
      </c>
      <c r="AL211" s="337">
        <f t="shared" si="553"/>
        <v>9256.7910000000011</v>
      </c>
      <c r="AM211" s="327">
        <f t="shared" si="553"/>
        <v>9256.7910000000011</v>
      </c>
      <c r="AN211" s="335">
        <f t="shared" si="553"/>
        <v>9360.9470000000038</v>
      </c>
      <c r="AO211" s="336">
        <f>AO193</f>
        <v>9757.7870000000003</v>
      </c>
      <c r="AP211" s="336">
        <f t="shared" ref="AP211:AS211" si="554">AP193</f>
        <v>10069.062</v>
      </c>
      <c r="AQ211" s="337">
        <f t="shared" si="554"/>
        <v>8081.809000000002</v>
      </c>
      <c r="AR211" s="327">
        <f t="shared" si="554"/>
        <v>8081.809000000002</v>
      </c>
      <c r="AS211" s="335">
        <f t="shared" si="554"/>
        <v>8057.1889999999994</v>
      </c>
      <c r="AT211" s="336">
        <f>AT193</f>
        <v>8370.8559999999998</v>
      </c>
      <c r="AU211" s="336">
        <f t="shared" ref="AU211:AW211" si="555">AU193</f>
        <v>8690.237000000001</v>
      </c>
      <c r="AV211" s="337">
        <f t="shared" si="555"/>
        <v>7992.5150000000012</v>
      </c>
      <c r="AW211" s="327">
        <f t="shared" si="555"/>
        <v>7992.5150000000012</v>
      </c>
      <c r="AX211" s="335">
        <f t="shared" ref="AX211:BB211" si="556">AX193</f>
        <v>8050.0635119952294</v>
      </c>
      <c r="AY211" s="336">
        <f t="shared" si="556"/>
        <v>8130.8265535464543</v>
      </c>
      <c r="AZ211" s="336">
        <f t="shared" si="556"/>
        <v>8418.6218013213966</v>
      </c>
      <c r="BA211" s="337">
        <f t="shared" si="556"/>
        <v>8415.2953829863891</v>
      </c>
      <c r="BB211" s="327">
        <f t="shared" si="556"/>
        <v>8415.2953829863891</v>
      </c>
      <c r="BC211" s="335">
        <f t="shared" ref="BC211:BL211" si="557">BC193</f>
        <v>8488.3988854973486</v>
      </c>
      <c r="BD211" s="336">
        <f t="shared" si="557"/>
        <v>8564.6108105987387</v>
      </c>
      <c r="BE211" s="336">
        <f t="shared" si="557"/>
        <v>8802.5590157229508</v>
      </c>
      <c r="BF211" s="337">
        <f t="shared" si="557"/>
        <v>8750.1634038093453</v>
      </c>
      <c r="BG211" s="327">
        <f t="shared" si="557"/>
        <v>8750.1634038093453</v>
      </c>
      <c r="BH211" s="335">
        <f t="shared" si="557"/>
        <v>8879.5279139389186</v>
      </c>
      <c r="BI211" s="336">
        <f t="shared" si="557"/>
        <v>8943.336119576461</v>
      </c>
      <c r="BJ211" s="336">
        <f t="shared" si="557"/>
        <v>9161.9997440614043</v>
      </c>
      <c r="BK211" s="337">
        <f t="shared" si="557"/>
        <v>9105.1725217355179</v>
      </c>
      <c r="BL211" s="327">
        <f t="shared" si="557"/>
        <v>9105.1725217355179</v>
      </c>
      <c r="BM211" s="335">
        <f t="shared" ref="BM211:BQ211" si="558">BM193</f>
        <v>9163.0762200555891</v>
      </c>
      <c r="BN211" s="336">
        <f t="shared" si="558"/>
        <v>9242.0722484729758</v>
      </c>
      <c r="BO211" s="336">
        <f t="shared" si="558"/>
        <v>9463.1905375608239</v>
      </c>
      <c r="BP211" s="337">
        <f t="shared" si="558"/>
        <v>9418.8843663176322</v>
      </c>
      <c r="BQ211" s="327">
        <f t="shared" si="558"/>
        <v>9418.8843663176322</v>
      </c>
      <c r="BR211" s="327"/>
      <c r="BS211" s="327"/>
      <c r="BT211" s="327"/>
      <c r="BU211" s="327"/>
      <c r="BV211" s="327"/>
      <c r="BW211" s="327"/>
      <c r="BX211" s="327"/>
      <c r="BY211" s="327"/>
      <c r="BZ211" s="327"/>
      <c r="CA211" s="327"/>
      <c r="CB211" s="327"/>
      <c r="CC211" s="327"/>
      <c r="CD211" s="327"/>
      <c r="CE211" s="327"/>
    </row>
    <row r="212" spans="1:83">
      <c r="A212" s="370"/>
      <c r="B212" s="370"/>
      <c r="C212" s="1284" t="s">
        <v>17</v>
      </c>
      <c r="D212" s="370"/>
      <c r="E212" s="371">
        <f>E211/E214</f>
        <v>0.42061474802828447</v>
      </c>
      <c r="F212" s="371">
        <f t="shared" ref="F212:AE212" si="559">F211/F214</f>
        <v>0.4356425163509921</v>
      </c>
      <c r="G212" s="371">
        <f t="shared" si="559"/>
        <v>0.42893912620336194</v>
      </c>
      <c r="H212" s="372">
        <f t="shared" si="559"/>
        <v>0.42279494507012388</v>
      </c>
      <c r="I212" s="390">
        <f t="shared" si="559"/>
        <v>0.42279494507012388</v>
      </c>
      <c r="J212" s="373">
        <f t="shared" si="559"/>
        <v>0.41628968354090778</v>
      </c>
      <c r="K212" s="371">
        <f t="shared" si="559"/>
        <v>0.41972852883986272</v>
      </c>
      <c r="L212" s="371">
        <f t="shared" si="559"/>
        <v>0.41102785348257853</v>
      </c>
      <c r="M212" s="372">
        <f t="shared" si="559"/>
        <v>0.41288799123023651</v>
      </c>
      <c r="N212" s="370">
        <f t="shared" si="559"/>
        <v>0.41288799123023651</v>
      </c>
      <c r="O212" s="373">
        <f t="shared" si="559"/>
        <v>0.40997002151695394</v>
      </c>
      <c r="P212" s="371">
        <f t="shared" si="559"/>
        <v>0.40507674702523527</v>
      </c>
      <c r="Q212" s="371">
        <f t="shared" si="559"/>
        <v>0.41342884097151889</v>
      </c>
      <c r="R212" s="372">
        <f t="shared" si="559"/>
        <v>0.41875001489482705</v>
      </c>
      <c r="S212" s="370">
        <f t="shared" si="559"/>
        <v>0.41875001489482705</v>
      </c>
      <c r="T212" s="373">
        <f t="shared" si="559"/>
        <v>0.40943194559058937</v>
      </c>
      <c r="U212" s="371">
        <f t="shared" si="559"/>
        <v>0.41415263370462768</v>
      </c>
      <c r="V212" s="371">
        <f t="shared" si="559"/>
        <v>0.41096874543331896</v>
      </c>
      <c r="W212" s="372">
        <f t="shared" si="559"/>
        <v>0.40140162311855454</v>
      </c>
      <c r="X212" s="370">
        <f t="shared" si="559"/>
        <v>0.40140162311855454</v>
      </c>
      <c r="Y212" s="373">
        <f t="shared" si="559"/>
        <v>0.40183989073953158</v>
      </c>
      <c r="Z212" s="371">
        <f t="shared" si="559"/>
        <v>0.39863775269899338</v>
      </c>
      <c r="AA212" s="371">
        <f t="shared" si="559"/>
        <v>0.40419946029413978</v>
      </c>
      <c r="AB212" s="372">
        <f>AB211/AB214</f>
        <v>0.40849534211886618</v>
      </c>
      <c r="AC212" s="370">
        <f>AC211/AC214</f>
        <v>0.40849534211886618</v>
      </c>
      <c r="AD212" s="373">
        <f t="shared" si="559"/>
        <v>0.41315200445062011</v>
      </c>
      <c r="AE212" s="371">
        <f t="shared" si="559"/>
        <v>0.41882714872642018</v>
      </c>
      <c r="AF212" s="371">
        <f t="shared" ref="AF212" si="560">AF211/AF214</f>
        <v>0.42122756303782177</v>
      </c>
      <c r="AG212" s="372">
        <f>AG211/AG214</f>
        <v>0.41166475582278123</v>
      </c>
      <c r="AH212" s="370">
        <f>AH211/AH214</f>
        <v>0.41166475582278123</v>
      </c>
      <c r="AI212" s="373">
        <f t="shared" ref="AI212:AK212" si="561">AI211/AI214</f>
        <v>0.41445097094972416</v>
      </c>
      <c r="AJ212" s="371">
        <f t="shared" si="561"/>
        <v>0.41820899012588031</v>
      </c>
      <c r="AK212" s="371">
        <f t="shared" si="561"/>
        <v>0.3899774065753458</v>
      </c>
      <c r="AL212" s="372">
        <f>AL211/AL214</f>
        <v>0.39566960888734104</v>
      </c>
      <c r="AM212" s="370">
        <f>AM211/AM214</f>
        <v>0.39566960888734104</v>
      </c>
      <c r="AN212" s="373">
        <f t="shared" ref="AN212:AP212" si="562">AN211/AN214</f>
        <v>0.37834110410186578</v>
      </c>
      <c r="AO212" s="371">
        <f t="shared" si="562"/>
        <v>0.39212050441991103</v>
      </c>
      <c r="AP212" s="371">
        <f t="shared" si="562"/>
        <v>0.39724062869599869</v>
      </c>
      <c r="AQ212" s="372">
        <f>AQ211/AQ214</f>
        <v>0.34343093144137321</v>
      </c>
      <c r="AR212" s="370">
        <f>AR211/AR214</f>
        <v>0.34343093144137321</v>
      </c>
      <c r="AS212" s="373">
        <f t="shared" ref="AS212:AU212" si="563">AS211/AS214</f>
        <v>0.33790304645351243</v>
      </c>
      <c r="AT212" s="371">
        <f t="shared" si="563"/>
        <v>0.33707677131031494</v>
      </c>
      <c r="AU212" s="371">
        <f t="shared" si="563"/>
        <v>0.34632338732177731</v>
      </c>
      <c r="AV212" s="372">
        <f>AV211/AV214</f>
        <v>0.32170945679525581</v>
      </c>
      <c r="AW212" s="370">
        <f>AW211/AW214</f>
        <v>0.32170945679525581</v>
      </c>
      <c r="AX212" s="373">
        <f t="shared" ref="AX212:BB212" si="564">AX211/AX214</f>
        <v>0.32591584143990171</v>
      </c>
      <c r="AY212" s="371">
        <f t="shared" si="564"/>
        <v>0.3041961287647606</v>
      </c>
      <c r="AZ212" s="371">
        <f t="shared" si="564"/>
        <v>0.31510720635001005</v>
      </c>
      <c r="BA212" s="372">
        <f t="shared" si="564"/>
        <v>0.31602749842056232</v>
      </c>
      <c r="BB212" s="370">
        <f t="shared" si="564"/>
        <v>0.31602749842056232</v>
      </c>
      <c r="BC212" s="373">
        <f t="shared" ref="BC212:BL212" si="565">BC211/BC214</f>
        <v>0.31364183537070783</v>
      </c>
      <c r="BD212" s="371">
        <f t="shared" si="565"/>
        <v>0.31079552466470467</v>
      </c>
      <c r="BE212" s="371">
        <f t="shared" si="565"/>
        <v>0.30527491086129915</v>
      </c>
      <c r="BF212" s="372">
        <f t="shared" si="565"/>
        <v>0.30401023293410201</v>
      </c>
      <c r="BG212" s="370">
        <f t="shared" si="565"/>
        <v>0.30401023293410201</v>
      </c>
      <c r="BH212" s="373">
        <f t="shared" si="565"/>
        <v>0.30703641818373034</v>
      </c>
      <c r="BI212" s="371">
        <f t="shared" si="565"/>
        <v>0.30511717706784836</v>
      </c>
      <c r="BJ212" s="371">
        <f t="shared" si="565"/>
        <v>0.29579360372200192</v>
      </c>
      <c r="BK212" s="372">
        <f t="shared" si="565"/>
        <v>0.29714222686426423</v>
      </c>
      <c r="BL212" s="370">
        <f t="shared" si="565"/>
        <v>0.29714222686426423</v>
      </c>
      <c r="BM212" s="373">
        <f t="shared" ref="BM212:BQ212" si="566">BM211/BM214</f>
        <v>0.30005289748164765</v>
      </c>
      <c r="BN212" s="371">
        <f t="shared" si="566"/>
        <v>0.29819864174720484</v>
      </c>
      <c r="BO212" s="371">
        <f t="shared" si="566"/>
        <v>0.29333677303662414</v>
      </c>
      <c r="BP212" s="372">
        <f t="shared" si="566"/>
        <v>0.2923649157299289</v>
      </c>
      <c r="BQ212" s="370">
        <f t="shared" si="566"/>
        <v>0.2923649157299289</v>
      </c>
      <c r="BR212" s="370"/>
      <c r="BS212" s="370"/>
      <c r="BT212" s="370"/>
      <c r="BU212" s="370"/>
      <c r="BV212" s="370"/>
      <c r="BW212" s="370"/>
      <c r="BX212" s="370"/>
      <c r="BY212" s="370"/>
      <c r="BZ212" s="370"/>
      <c r="CA212" s="370"/>
      <c r="CB212" s="370"/>
      <c r="CC212" s="370"/>
      <c r="CD212" s="370"/>
      <c r="CE212" s="370"/>
    </row>
    <row r="213" spans="1:83">
      <c r="A213" s="233"/>
      <c r="B213" s="353"/>
      <c r="C213" s="1285"/>
      <c r="D213" s="353"/>
      <c r="E213" s="242"/>
      <c r="F213" s="242"/>
      <c r="G213" s="242"/>
      <c r="H213" s="243"/>
      <c r="I213" s="382"/>
      <c r="J213" s="241"/>
      <c r="K213" s="242"/>
      <c r="L213" s="242"/>
      <c r="M213" s="243"/>
      <c r="N213" s="233"/>
      <c r="O213" s="241"/>
      <c r="P213" s="242"/>
      <c r="Q213" s="242"/>
      <c r="R213" s="243"/>
      <c r="S213" s="233"/>
      <c r="T213" s="241"/>
      <c r="U213" s="242"/>
      <c r="V213" s="242"/>
      <c r="W213" s="243"/>
      <c r="X213" s="233"/>
      <c r="Y213" s="241"/>
      <c r="Z213" s="242"/>
      <c r="AA213" s="242"/>
      <c r="AB213" s="243"/>
      <c r="AC213" s="233"/>
      <c r="AD213" s="241"/>
      <c r="AE213" s="242"/>
      <c r="AF213" s="242"/>
      <c r="AG213" s="243"/>
      <c r="AH213" s="233"/>
      <c r="AI213" s="241"/>
      <c r="AJ213" s="242"/>
      <c r="AK213" s="242"/>
      <c r="AL213" s="243"/>
      <c r="AM213" s="233"/>
      <c r="AN213" s="241"/>
      <c r="AO213" s="242"/>
      <c r="AP213" s="242"/>
      <c r="AQ213" s="243"/>
      <c r="AR213" s="233"/>
      <c r="AS213" s="241"/>
      <c r="AT213" s="242"/>
      <c r="AU213" s="242"/>
      <c r="AV213" s="243"/>
      <c r="AW213" s="233"/>
      <c r="AX213" s="241"/>
      <c r="AY213" s="242"/>
      <c r="AZ213" s="242"/>
      <c r="BA213" s="243"/>
      <c r="BB213" s="233"/>
      <c r="BC213" s="241"/>
      <c r="BD213" s="242"/>
      <c r="BE213" s="242"/>
      <c r="BF213" s="243"/>
      <c r="BG213" s="233"/>
      <c r="BH213" s="241"/>
      <c r="BI213" s="242"/>
      <c r="BJ213" s="242"/>
      <c r="BK213" s="243"/>
      <c r="BL213" s="233"/>
      <c r="BM213" s="241"/>
      <c r="BN213" s="242"/>
      <c r="BO213" s="242"/>
      <c r="BP213" s="243"/>
      <c r="BQ213" s="233"/>
      <c r="BR213" s="233"/>
      <c r="BS213" s="233"/>
      <c r="BT213" s="233"/>
      <c r="BU213" s="233"/>
      <c r="BV213" s="233"/>
      <c r="BW213" s="233"/>
      <c r="BX213" s="233"/>
      <c r="BY213" s="233"/>
      <c r="BZ213" s="233"/>
      <c r="CA213" s="233"/>
      <c r="CB213" s="233"/>
      <c r="CC213" s="233"/>
      <c r="CD213" s="233"/>
      <c r="CE213" s="233"/>
    </row>
    <row r="214" spans="1:83">
      <c r="A214" s="327"/>
      <c r="B214" s="375"/>
      <c r="C214" s="1286" t="s">
        <v>80</v>
      </c>
      <c r="D214" s="375"/>
      <c r="E214" s="336">
        <f>E205+E208+E211</f>
        <v>20518.553</v>
      </c>
      <c r="F214" s="336">
        <f t="shared" ref="F214:X214" si="567">F205+F208+F211</f>
        <v>20123.091</v>
      </c>
      <c r="G214" s="336">
        <f t="shared" si="567"/>
        <v>19777.508000000002</v>
      </c>
      <c r="H214" s="337">
        <f t="shared" si="567"/>
        <v>20372.429</v>
      </c>
      <c r="I214" s="391">
        <f t="shared" si="567"/>
        <v>20372.429</v>
      </c>
      <c r="J214" s="335">
        <f t="shared" si="567"/>
        <v>21283.446</v>
      </c>
      <c r="K214" s="336">
        <f t="shared" si="567"/>
        <v>20896.216</v>
      </c>
      <c r="L214" s="336">
        <f t="shared" si="567"/>
        <v>21243.699000000001</v>
      </c>
      <c r="M214" s="337">
        <f t="shared" si="567"/>
        <v>20577.977999999996</v>
      </c>
      <c r="N214" s="327">
        <f t="shared" si="567"/>
        <v>20577.977999999996</v>
      </c>
      <c r="O214" s="335">
        <f t="shared" si="567"/>
        <v>20818.932000000001</v>
      </c>
      <c r="P214" s="336">
        <f t="shared" si="567"/>
        <v>21224.536</v>
      </c>
      <c r="Q214" s="336">
        <f t="shared" si="567"/>
        <v>21685.385999999999</v>
      </c>
      <c r="R214" s="337">
        <f t="shared" si="567"/>
        <v>21400.046999999999</v>
      </c>
      <c r="S214" s="327">
        <f t="shared" si="567"/>
        <v>21400.046999999999</v>
      </c>
      <c r="T214" s="335">
        <f>T205+T208+T211</f>
        <v>21772.262999999999</v>
      </c>
      <c r="U214" s="336">
        <f t="shared" si="567"/>
        <v>21803.546000000002</v>
      </c>
      <c r="V214" s="336">
        <f t="shared" si="567"/>
        <v>22363.067999999999</v>
      </c>
      <c r="W214" s="337">
        <f t="shared" si="567"/>
        <v>22912.436000000002</v>
      </c>
      <c r="X214" s="327">
        <f t="shared" si="567"/>
        <v>22912.436000000002</v>
      </c>
      <c r="Y214" s="335">
        <f t="shared" ref="Y214:AD214" si="568">Y205+Y208+Y211</f>
        <v>22927.231</v>
      </c>
      <c r="Z214" s="336">
        <f t="shared" si="568"/>
        <v>23265.526000000002</v>
      </c>
      <c r="AA214" s="336">
        <f t="shared" si="568"/>
        <v>23276.753000000004</v>
      </c>
      <c r="AB214" s="337">
        <f t="shared" si="568"/>
        <v>23580.357</v>
      </c>
      <c r="AC214" s="327">
        <f t="shared" si="568"/>
        <v>23580.357</v>
      </c>
      <c r="AD214" s="335">
        <f t="shared" si="568"/>
        <v>24079.341</v>
      </c>
      <c r="AE214" s="336">
        <f>AE205+AE208+AE211</f>
        <v>24025.347999999998</v>
      </c>
      <c r="AF214" s="336">
        <f t="shared" ref="AF214:AI214" si="569">AF205+AF208+AF211</f>
        <v>24093.948</v>
      </c>
      <c r="AG214" s="337">
        <f t="shared" si="569"/>
        <v>24310.376000000004</v>
      </c>
      <c r="AH214" s="327">
        <f t="shared" si="569"/>
        <v>24310.376000000004</v>
      </c>
      <c r="AI214" s="335">
        <f t="shared" si="569"/>
        <v>24451.575000000004</v>
      </c>
      <c r="AJ214" s="336">
        <f>AJ205+AJ208+AJ211</f>
        <v>24289.760000000002</v>
      </c>
      <c r="AK214" s="336">
        <f t="shared" ref="AK214:AN214" si="570">AK205+AK208+AK211</f>
        <v>23481.168000000001</v>
      </c>
      <c r="AL214" s="337">
        <f t="shared" si="570"/>
        <v>23395.254000000001</v>
      </c>
      <c r="AM214" s="327">
        <f t="shared" si="570"/>
        <v>23395.254000000001</v>
      </c>
      <c r="AN214" s="335">
        <f t="shared" si="570"/>
        <v>24742.083000000002</v>
      </c>
      <c r="AO214" s="336">
        <f>AO205+AO208+AO211</f>
        <v>24884.663999999997</v>
      </c>
      <c r="AP214" s="336">
        <f t="shared" ref="AP214:AS214" si="571">AP205+AP208+AP211</f>
        <v>25347.512999999999</v>
      </c>
      <c r="AQ214" s="337">
        <f t="shared" si="571"/>
        <v>23532.560000000001</v>
      </c>
      <c r="AR214" s="327">
        <f t="shared" si="571"/>
        <v>23532.560000000001</v>
      </c>
      <c r="AS214" s="335">
        <f t="shared" si="571"/>
        <v>23844.677</v>
      </c>
      <c r="AT214" s="336">
        <f>AT205+AT208+AT211</f>
        <v>24833.678</v>
      </c>
      <c r="AU214" s="336">
        <f t="shared" ref="AU214:AW214" si="572">AU205+AU208+AU211</f>
        <v>25092.839000000004</v>
      </c>
      <c r="AV214" s="337">
        <f t="shared" si="572"/>
        <v>24843.892</v>
      </c>
      <c r="AW214" s="327">
        <f t="shared" si="572"/>
        <v>24843.892</v>
      </c>
      <c r="AX214" s="335">
        <f t="shared" ref="AX214:BB214" si="573">AX205+AX208+AX211</f>
        <v>24699.822740833682</v>
      </c>
      <c r="AY214" s="336">
        <f t="shared" si="573"/>
        <v>26728.895553546456</v>
      </c>
      <c r="AZ214" s="336">
        <f t="shared" si="573"/>
        <v>26716.690801321398</v>
      </c>
      <c r="BA214" s="337">
        <f t="shared" si="573"/>
        <v>26628.364382986387</v>
      </c>
      <c r="BB214" s="327">
        <f t="shared" si="573"/>
        <v>26628.364382986387</v>
      </c>
      <c r="BC214" s="335">
        <f t="shared" ref="BC214:BL214" si="574">BC205+BC208+BC211</f>
        <v>27063.988053330053</v>
      </c>
      <c r="BD214" s="336">
        <f t="shared" si="574"/>
        <v>27557.059645046342</v>
      </c>
      <c r="BE214" s="336">
        <f t="shared" si="574"/>
        <v>28834.859015722948</v>
      </c>
      <c r="BF214" s="337">
        <f t="shared" si="574"/>
        <v>28782.463403809343</v>
      </c>
      <c r="BG214" s="327">
        <f t="shared" si="574"/>
        <v>28782.463403809343</v>
      </c>
      <c r="BH214" s="335">
        <f t="shared" si="574"/>
        <v>28920.113016122457</v>
      </c>
      <c r="BI214" s="336">
        <f t="shared" si="574"/>
        <v>29311.152539890427</v>
      </c>
      <c r="BJ214" s="336">
        <f t="shared" si="574"/>
        <v>30974.299744061405</v>
      </c>
      <c r="BK214" s="337">
        <f t="shared" si="574"/>
        <v>30642.472521735515</v>
      </c>
      <c r="BL214" s="327">
        <f t="shared" si="574"/>
        <v>30642.472521735515</v>
      </c>
      <c r="BM214" s="335">
        <f t="shared" ref="BM214:BQ214" si="575">BM205+BM208+BM211</f>
        <v>30538.202753452955</v>
      </c>
      <c r="BN214" s="336">
        <f t="shared" si="575"/>
        <v>30993.005851139518</v>
      </c>
      <c r="BO214" s="336">
        <f t="shared" si="575"/>
        <v>32260.498537560823</v>
      </c>
      <c r="BP214" s="337">
        <f t="shared" si="575"/>
        <v>32216.192366317628</v>
      </c>
      <c r="BQ214" s="327">
        <f t="shared" si="575"/>
        <v>32216.192366317628</v>
      </c>
      <c r="BR214" s="327"/>
      <c r="BS214" s="327"/>
      <c r="BT214" s="327"/>
      <c r="BU214" s="327"/>
      <c r="BV214" s="327"/>
      <c r="BW214" s="327"/>
      <c r="BX214" s="327"/>
      <c r="BY214" s="327"/>
      <c r="BZ214" s="327"/>
      <c r="CA214" s="327"/>
      <c r="CB214" s="327"/>
      <c r="CC214" s="327"/>
      <c r="CD214" s="327"/>
      <c r="CE214" s="327"/>
    </row>
    <row r="215" spans="1:83">
      <c r="A215" s="370"/>
      <c r="B215" s="370"/>
      <c r="C215" s="1284" t="s">
        <v>17</v>
      </c>
      <c r="D215" s="370"/>
      <c r="E215" s="371">
        <f>SUM(E205,E208,E211)/E214</f>
        <v>1</v>
      </c>
      <c r="F215" s="371">
        <f t="shared" ref="F215:AE215" si="576">SUM(F205,F208,F211)/F214</f>
        <v>1</v>
      </c>
      <c r="G215" s="371">
        <f t="shared" si="576"/>
        <v>1</v>
      </c>
      <c r="H215" s="372">
        <f t="shared" si="576"/>
        <v>1</v>
      </c>
      <c r="I215" s="390">
        <f t="shared" si="576"/>
        <v>1</v>
      </c>
      <c r="J215" s="373">
        <f t="shared" si="576"/>
        <v>1</v>
      </c>
      <c r="K215" s="371">
        <f t="shared" si="576"/>
        <v>1</v>
      </c>
      <c r="L215" s="371">
        <f t="shared" si="576"/>
        <v>1</v>
      </c>
      <c r="M215" s="372">
        <f t="shared" si="576"/>
        <v>1</v>
      </c>
      <c r="N215" s="370">
        <f t="shared" si="576"/>
        <v>1</v>
      </c>
      <c r="O215" s="373">
        <f t="shared" si="576"/>
        <v>1</v>
      </c>
      <c r="P215" s="371">
        <f t="shared" si="576"/>
        <v>1</v>
      </c>
      <c r="Q215" s="371">
        <f t="shared" si="576"/>
        <v>1</v>
      </c>
      <c r="R215" s="372">
        <f t="shared" si="576"/>
        <v>1</v>
      </c>
      <c r="S215" s="370">
        <f t="shared" si="576"/>
        <v>1</v>
      </c>
      <c r="T215" s="373">
        <f t="shared" si="576"/>
        <v>1</v>
      </c>
      <c r="U215" s="371">
        <f t="shared" si="576"/>
        <v>1</v>
      </c>
      <c r="V215" s="371">
        <f t="shared" si="576"/>
        <v>1</v>
      </c>
      <c r="W215" s="372">
        <f t="shared" si="576"/>
        <v>1</v>
      </c>
      <c r="X215" s="370">
        <f t="shared" si="576"/>
        <v>1</v>
      </c>
      <c r="Y215" s="373">
        <f t="shared" si="576"/>
        <v>1</v>
      </c>
      <c r="Z215" s="371">
        <f t="shared" si="576"/>
        <v>1</v>
      </c>
      <c r="AA215" s="371">
        <f t="shared" si="576"/>
        <v>1</v>
      </c>
      <c r="AB215" s="372">
        <f>SUM(AB205,AB208,AB211)/AB214</f>
        <v>1</v>
      </c>
      <c r="AC215" s="370">
        <f>SUM(AC205,AC208,AC211)/AC214</f>
        <v>1</v>
      </c>
      <c r="AD215" s="373">
        <f t="shared" si="576"/>
        <v>1</v>
      </c>
      <c r="AE215" s="371">
        <f t="shared" si="576"/>
        <v>1</v>
      </c>
      <c r="AF215" s="371">
        <f t="shared" ref="AF215" si="577">SUM(AF205,AF208,AF211)/AF214</f>
        <v>1</v>
      </c>
      <c r="AG215" s="372">
        <f>SUM(AG205,AG208,AG211)/AG214</f>
        <v>1</v>
      </c>
      <c r="AH215" s="370">
        <f>SUM(AH205,AH208,AH211)/AH214</f>
        <v>1</v>
      </c>
      <c r="AI215" s="373">
        <f t="shared" ref="AI215:AK215" si="578">SUM(AI205,AI208,AI211)/AI214</f>
        <v>1</v>
      </c>
      <c r="AJ215" s="371">
        <f t="shared" si="578"/>
        <v>1</v>
      </c>
      <c r="AK215" s="371">
        <f t="shared" si="578"/>
        <v>1</v>
      </c>
      <c r="AL215" s="372">
        <f>SUM(AL205,AL208,AL211)/AL214</f>
        <v>1</v>
      </c>
      <c r="AM215" s="370">
        <f>SUM(AM205,AM208,AM211)/AM214</f>
        <v>1</v>
      </c>
      <c r="AN215" s="373">
        <f t="shared" ref="AN215:AP215" si="579">SUM(AN205,AN208,AN211)/AN214</f>
        <v>1</v>
      </c>
      <c r="AO215" s="371">
        <f t="shared" si="579"/>
        <v>1</v>
      </c>
      <c r="AP215" s="371">
        <f t="shared" si="579"/>
        <v>1</v>
      </c>
      <c r="AQ215" s="372">
        <f>SUM(AQ205,AQ208,AQ211)/AQ214</f>
        <v>1</v>
      </c>
      <c r="AR215" s="370">
        <f>SUM(AR205,AR208,AR211)/AR214</f>
        <v>1</v>
      </c>
      <c r="AS215" s="373">
        <f t="shared" ref="AS215:AU215" si="580">SUM(AS205,AS208,AS211)/AS214</f>
        <v>1</v>
      </c>
      <c r="AT215" s="371">
        <f t="shared" si="580"/>
        <v>1</v>
      </c>
      <c r="AU215" s="371">
        <f t="shared" si="580"/>
        <v>1</v>
      </c>
      <c r="AV215" s="372">
        <f>SUM(AV205,AV208,AV211)/AV214</f>
        <v>1</v>
      </c>
      <c r="AW215" s="370">
        <f>SUM(AW205,AW208,AW211)/AW214</f>
        <v>1</v>
      </c>
      <c r="AX215" s="373">
        <f t="shared" ref="AX215:BB215" si="581">SUM(AX205,AX208,AX211)/AX214</f>
        <v>1</v>
      </c>
      <c r="AY215" s="371">
        <f t="shared" si="581"/>
        <v>1</v>
      </c>
      <c r="AZ215" s="371">
        <f t="shared" si="581"/>
        <v>1</v>
      </c>
      <c r="BA215" s="372">
        <f t="shared" si="581"/>
        <v>1</v>
      </c>
      <c r="BB215" s="370">
        <f t="shared" si="581"/>
        <v>1</v>
      </c>
      <c r="BC215" s="373">
        <f t="shared" ref="BC215:BL215" si="582">SUM(BC205,BC208,BC211)/BC214</f>
        <v>1</v>
      </c>
      <c r="BD215" s="371">
        <f t="shared" si="582"/>
        <v>1</v>
      </c>
      <c r="BE215" s="371">
        <f t="shared" si="582"/>
        <v>1</v>
      </c>
      <c r="BF215" s="372">
        <f t="shared" si="582"/>
        <v>1</v>
      </c>
      <c r="BG215" s="370">
        <f t="shared" si="582"/>
        <v>1</v>
      </c>
      <c r="BH215" s="373">
        <f t="shared" si="582"/>
        <v>1</v>
      </c>
      <c r="BI215" s="371">
        <f t="shared" si="582"/>
        <v>1</v>
      </c>
      <c r="BJ215" s="371">
        <f t="shared" si="582"/>
        <v>1</v>
      </c>
      <c r="BK215" s="372">
        <f t="shared" si="582"/>
        <v>1</v>
      </c>
      <c r="BL215" s="370">
        <f t="shared" si="582"/>
        <v>1</v>
      </c>
      <c r="BM215" s="373">
        <f t="shared" ref="BM215:BQ215" si="583">SUM(BM205,BM208,BM211)/BM214</f>
        <v>1</v>
      </c>
      <c r="BN215" s="371">
        <f t="shared" si="583"/>
        <v>1</v>
      </c>
      <c r="BO215" s="371">
        <f t="shared" si="583"/>
        <v>1</v>
      </c>
      <c r="BP215" s="372">
        <f t="shared" si="583"/>
        <v>1</v>
      </c>
      <c r="BQ215" s="370">
        <f t="shared" si="583"/>
        <v>1</v>
      </c>
      <c r="BR215" s="370"/>
      <c r="BS215" s="370"/>
      <c r="BT215" s="370"/>
      <c r="BU215" s="370"/>
      <c r="BV215" s="370"/>
      <c r="BW215" s="370"/>
      <c r="BX215" s="370"/>
      <c r="BY215" s="370"/>
      <c r="BZ215" s="370"/>
      <c r="CA215" s="370"/>
      <c r="CB215" s="370"/>
      <c r="CC215" s="370"/>
      <c r="CD215" s="370"/>
      <c r="CE215" s="370"/>
    </row>
    <row r="216" spans="1:83">
      <c r="A216" s="276"/>
      <c r="B216" s="276"/>
      <c r="C216" s="1269"/>
      <c r="D216" s="276"/>
      <c r="E216" s="279"/>
      <c r="F216" s="277"/>
      <c r="G216" s="277"/>
      <c r="H216" s="278"/>
      <c r="I216" s="386"/>
      <c r="J216" s="281"/>
      <c r="K216" s="282"/>
      <c r="L216" s="282"/>
      <c r="M216" s="283"/>
      <c r="N216" s="280"/>
      <c r="O216" s="281"/>
      <c r="P216" s="282"/>
      <c r="Q216" s="282"/>
      <c r="R216" s="283"/>
      <c r="S216" s="280"/>
      <c r="T216" s="281"/>
      <c r="U216" s="282"/>
      <c r="V216" s="282"/>
      <c r="W216" s="283"/>
      <c r="X216" s="280"/>
      <c r="Y216" s="281"/>
      <c r="Z216" s="282"/>
      <c r="AA216" s="282"/>
      <c r="AB216" s="283"/>
      <c r="AC216" s="280"/>
      <c r="AD216" s="281"/>
      <c r="AE216" s="282"/>
      <c r="AF216" s="282"/>
      <c r="AG216" s="283"/>
      <c r="AH216" s="280"/>
      <c r="AI216" s="281"/>
      <c r="AJ216" s="282"/>
      <c r="AK216" s="282"/>
      <c r="AL216" s="283"/>
      <c r="AM216" s="280"/>
      <c r="AN216" s="281"/>
      <c r="AO216" s="282"/>
      <c r="AP216" s="282"/>
      <c r="AQ216" s="283"/>
      <c r="AR216" s="280"/>
      <c r="AS216" s="281"/>
      <c r="AT216" s="282"/>
      <c r="AU216" s="282"/>
      <c r="AV216" s="283"/>
      <c r="AW216" s="280"/>
      <c r="AX216" s="281"/>
      <c r="AY216" s="282"/>
      <c r="AZ216" s="282"/>
      <c r="BA216" s="283"/>
      <c r="BB216" s="280"/>
      <c r="BC216" s="281"/>
      <c r="BD216" s="282"/>
      <c r="BE216" s="282"/>
      <c r="BF216" s="283"/>
      <c r="BG216" s="280"/>
      <c r="BH216" s="281"/>
      <c r="BI216" s="282"/>
      <c r="BJ216" s="282"/>
      <c r="BK216" s="283"/>
      <c r="BL216" s="280"/>
      <c r="BM216" s="281"/>
      <c r="BN216" s="282"/>
      <c r="BO216" s="282"/>
      <c r="BP216" s="283"/>
      <c r="BQ216" s="280"/>
      <c r="BR216" s="276"/>
      <c r="BS216" s="276"/>
      <c r="BT216" s="276"/>
      <c r="BU216" s="276"/>
      <c r="BV216" s="276"/>
      <c r="BW216" s="276"/>
      <c r="BX216" s="276"/>
      <c r="BY216" s="276"/>
      <c r="BZ216" s="276"/>
      <c r="CA216" s="276"/>
      <c r="CB216" s="276"/>
      <c r="CC216" s="276"/>
      <c r="CD216" s="276"/>
      <c r="CE216" s="276"/>
    </row>
    <row r="217" spans="1:83">
      <c r="A217" s="276"/>
      <c r="B217" s="276"/>
      <c r="C217" s="1269"/>
      <c r="D217" s="276"/>
      <c r="E217" s="279"/>
      <c r="F217" s="277"/>
      <c r="G217" s="277"/>
      <c r="H217" s="278"/>
      <c r="I217" s="386"/>
      <c r="J217" s="281"/>
      <c r="K217" s="282"/>
      <c r="L217" s="282"/>
      <c r="M217" s="283"/>
      <c r="N217" s="280"/>
      <c r="O217" s="281"/>
      <c r="P217" s="282"/>
      <c r="Q217" s="282"/>
      <c r="R217" s="283"/>
      <c r="S217" s="280"/>
      <c r="T217" s="281"/>
      <c r="U217" s="282"/>
      <c r="V217" s="282"/>
      <c r="W217" s="283"/>
      <c r="X217" s="280"/>
      <c r="Y217" s="281"/>
      <c r="Z217" s="282"/>
      <c r="AA217" s="282"/>
      <c r="AB217" s="283"/>
      <c r="AC217" s="280"/>
      <c r="AD217" s="281"/>
      <c r="AE217" s="282"/>
      <c r="AF217" s="282"/>
      <c r="AG217" s="283"/>
      <c r="AH217" s="280"/>
      <c r="AI217" s="281"/>
      <c r="AJ217" s="282"/>
      <c r="AK217" s="282"/>
      <c r="AL217" s="283"/>
      <c r="AM217" s="280"/>
      <c r="AN217" s="281"/>
      <c r="AO217" s="282"/>
      <c r="AP217" s="282"/>
      <c r="AQ217" s="283"/>
      <c r="AR217" s="280"/>
      <c r="AS217" s="281"/>
      <c r="AT217" s="282"/>
      <c r="AU217" s="282"/>
      <c r="AV217" s="283"/>
      <c r="AW217" s="280"/>
      <c r="AX217" s="281"/>
      <c r="AY217" s="282"/>
      <c r="AZ217" s="282"/>
      <c r="BA217" s="283"/>
      <c r="BB217" s="280"/>
      <c r="BC217" s="281"/>
      <c r="BD217" s="282"/>
      <c r="BE217" s="282"/>
      <c r="BF217" s="283"/>
      <c r="BG217" s="280"/>
      <c r="BH217" s="281"/>
      <c r="BI217" s="282"/>
      <c r="BJ217" s="282"/>
      <c r="BK217" s="283"/>
      <c r="BL217" s="280"/>
      <c r="BM217" s="281"/>
      <c r="BN217" s="282"/>
      <c r="BO217" s="282"/>
      <c r="BP217" s="283"/>
      <c r="BQ217" s="280"/>
      <c r="BR217" s="276"/>
      <c r="BS217" s="276"/>
      <c r="BT217" s="276"/>
      <c r="BU217" s="276"/>
      <c r="BV217" s="276"/>
      <c r="BW217" s="276"/>
      <c r="BX217" s="276"/>
      <c r="BY217" s="276"/>
      <c r="BZ217" s="276"/>
      <c r="CA217" s="276"/>
      <c r="CB217" s="276"/>
      <c r="CC217" s="276"/>
      <c r="CD217" s="276"/>
      <c r="CE217" s="276"/>
    </row>
    <row r="218" spans="1:83">
      <c r="A218" s="233"/>
      <c r="B218" s="350" t="s">
        <v>18</v>
      </c>
      <c r="C218" s="1265"/>
      <c r="D218" s="102"/>
      <c r="E218" s="237"/>
      <c r="F218" s="238"/>
      <c r="G218" s="238"/>
      <c r="H218" s="239"/>
      <c r="I218" s="379"/>
      <c r="J218" s="262"/>
      <c r="K218" s="263"/>
      <c r="L218" s="263"/>
      <c r="M218" s="264"/>
      <c r="N218" s="244"/>
      <c r="O218" s="262"/>
      <c r="P218" s="263"/>
      <c r="Q218" s="263"/>
      <c r="R218" s="264"/>
      <c r="S218" s="244"/>
      <c r="T218" s="262"/>
      <c r="U218" s="263"/>
      <c r="V218" s="263"/>
      <c r="W218" s="264"/>
      <c r="X218" s="244"/>
      <c r="Y218" s="262"/>
      <c r="Z218" s="263"/>
      <c r="AA218" s="263"/>
      <c r="AB218" s="264"/>
      <c r="AC218" s="244"/>
      <c r="AD218" s="262"/>
      <c r="AE218" s="263"/>
      <c r="AF218" s="263"/>
      <c r="AG218" s="264"/>
      <c r="AH218" s="244"/>
      <c r="AI218" s="262"/>
      <c r="AJ218" s="263"/>
      <c r="AK218" s="263"/>
      <c r="AL218" s="264"/>
      <c r="AM218" s="244"/>
      <c r="AN218" s="262"/>
      <c r="AO218" s="263"/>
      <c r="AP218" s="263"/>
      <c r="AQ218" s="264"/>
      <c r="AR218" s="244"/>
      <c r="AS218" s="262"/>
      <c r="AT218" s="263"/>
      <c r="AU218" s="263"/>
      <c r="AV218" s="264"/>
      <c r="AW218" s="244"/>
      <c r="AX218" s="262"/>
      <c r="AY218" s="263"/>
      <c r="AZ218" s="263"/>
      <c r="BA218" s="264"/>
      <c r="BB218" s="244"/>
      <c r="BC218" s="262"/>
      <c r="BD218" s="263"/>
      <c r="BE218" s="263"/>
      <c r="BF218" s="264"/>
      <c r="BG218" s="244"/>
      <c r="BH218" s="262"/>
      <c r="BI218" s="263"/>
      <c r="BJ218" s="263"/>
      <c r="BK218" s="264"/>
      <c r="BL218" s="244"/>
      <c r="BM218" s="262"/>
      <c r="BN218" s="263"/>
      <c r="BO218" s="263"/>
      <c r="BP218" s="264"/>
      <c r="BQ218" s="244"/>
      <c r="BR218" s="233"/>
      <c r="BS218" s="233"/>
      <c r="BT218" s="233"/>
      <c r="BU218" s="233"/>
      <c r="BV218" s="233"/>
      <c r="BW218" s="233"/>
      <c r="BX218" s="233"/>
      <c r="BY218" s="233"/>
      <c r="BZ218" s="233"/>
      <c r="CA218" s="233"/>
      <c r="CB218" s="233"/>
      <c r="CC218" s="233"/>
      <c r="CD218" s="233"/>
      <c r="CE218" s="233"/>
    </row>
    <row r="219" spans="1:83">
      <c r="A219" s="311"/>
      <c r="B219" s="311"/>
      <c r="C219" s="1264" t="s">
        <v>175</v>
      </c>
      <c r="D219" s="311"/>
      <c r="E219" s="249"/>
      <c r="F219" s="250"/>
      <c r="G219" s="250"/>
      <c r="H219" s="251"/>
      <c r="I219" s="244">
        <f>+I43+I16</f>
        <v>2384.8670000000002</v>
      </c>
      <c r="J219" s="249"/>
      <c r="K219" s="250"/>
      <c r="L219" s="250"/>
      <c r="M219" s="251"/>
      <c r="N219" s="244">
        <f>+N43+N16</f>
        <v>2402.3359999999998</v>
      </c>
      <c r="O219" s="249"/>
      <c r="P219" s="250"/>
      <c r="Q219" s="250"/>
      <c r="R219" s="251"/>
      <c r="S219" s="244">
        <f>+S43+S16</f>
        <v>2461.6410000000005</v>
      </c>
      <c r="T219" s="249"/>
      <c r="U219" s="250"/>
      <c r="V219" s="250"/>
      <c r="W219" s="251"/>
      <c r="X219" s="244">
        <f>+X43+X16</f>
        <v>2252.8580000000002</v>
      </c>
      <c r="Y219" s="249"/>
      <c r="Z219" s="250"/>
      <c r="AA219" s="250"/>
      <c r="AB219" s="251"/>
      <c r="AC219" s="244">
        <f>+AC43+AC16</f>
        <v>2218.1459999999988</v>
      </c>
      <c r="AD219" s="249"/>
      <c r="AE219" s="250"/>
      <c r="AF219" s="250"/>
      <c r="AG219" s="251"/>
      <c r="AH219" s="244">
        <f>+AH43+AH16</f>
        <v>2368.7590000000009</v>
      </c>
      <c r="AI219" s="249"/>
      <c r="AJ219" s="250"/>
      <c r="AK219" s="250"/>
      <c r="AL219" s="251"/>
      <c r="AM219" s="244">
        <f>+AM43+AM16</f>
        <v>2413.1140000000019</v>
      </c>
      <c r="AN219" s="249"/>
      <c r="AO219" s="250"/>
      <c r="AP219" s="250"/>
      <c r="AQ219" s="251"/>
      <c r="AR219" s="244">
        <f>+AR43+AR16</f>
        <v>2618.8690000000001</v>
      </c>
      <c r="AS219" s="249"/>
      <c r="AT219" s="250"/>
      <c r="AU219" s="250"/>
      <c r="AV219" s="251"/>
      <c r="AW219" s="244">
        <f>+AW43+AW16</f>
        <v>2690.1900000000014</v>
      </c>
      <c r="AX219" s="249"/>
      <c r="AY219" s="250"/>
      <c r="AZ219" s="250"/>
      <c r="BA219" s="251"/>
      <c r="BB219" s="244">
        <f>+BB43+BB16</f>
        <v>2518.5040978354882</v>
      </c>
      <c r="BC219" s="249"/>
      <c r="BD219" s="250"/>
      <c r="BE219" s="250"/>
      <c r="BF219" s="251"/>
      <c r="BG219" s="244">
        <f>+BG43+BG16</f>
        <v>2532.3087134468537</v>
      </c>
      <c r="BH219" s="249"/>
      <c r="BI219" s="250"/>
      <c r="BJ219" s="250"/>
      <c r="BK219" s="251"/>
      <c r="BL219" s="244">
        <f>+BL43+BL16</f>
        <v>2623.4744423371676</v>
      </c>
      <c r="BM219" s="249"/>
      <c r="BN219" s="250"/>
      <c r="BO219" s="250"/>
      <c r="BP219" s="251"/>
      <c r="BQ219" s="244">
        <f>+BQ43+BQ16</f>
        <v>2643.847752146979</v>
      </c>
      <c r="BR219" s="311"/>
      <c r="BS219" s="311"/>
      <c r="BT219" s="311"/>
      <c r="BU219" s="311"/>
      <c r="BV219" s="311"/>
      <c r="BW219" s="311"/>
      <c r="BX219" s="311"/>
      <c r="BY219" s="311"/>
      <c r="BZ219" s="311"/>
      <c r="CA219" s="311"/>
      <c r="CB219" s="311"/>
      <c r="CC219" s="311"/>
      <c r="CD219" s="311"/>
      <c r="CE219" s="311"/>
    </row>
    <row r="220" spans="1:83">
      <c r="A220" s="311"/>
      <c r="B220" s="311"/>
      <c r="C220" s="2021" t="s">
        <v>1029</v>
      </c>
      <c r="D220" s="2022"/>
      <c r="E220" s="197"/>
      <c r="F220" s="198"/>
      <c r="G220" s="198"/>
      <c r="H220" s="193"/>
      <c r="I220" s="357"/>
      <c r="J220" s="197"/>
      <c r="K220" s="198"/>
      <c r="L220" s="198"/>
      <c r="M220" s="193"/>
      <c r="N220" s="357">
        <f>N129-EWC!N458</f>
        <v>3296.0810000000001</v>
      </c>
      <c r="O220" s="197"/>
      <c r="P220" s="198"/>
      <c r="Q220" s="198"/>
      <c r="R220" s="193"/>
      <c r="S220" s="357">
        <f>S129-EWC!S458</f>
        <v>2372.8180000000002</v>
      </c>
      <c r="T220" s="197"/>
      <c r="U220" s="198"/>
      <c r="V220" s="198"/>
      <c r="W220" s="193"/>
      <c r="X220" s="357">
        <f>X129-EWC!X458</f>
        <v>2264.2849999999999</v>
      </c>
      <c r="Y220" s="197"/>
      <c r="Z220" s="198"/>
      <c r="AA220" s="198"/>
      <c r="AB220" s="193"/>
      <c r="AC220" s="357">
        <f>AC129-EWC!AC458</f>
        <v>2459.2189999999996</v>
      </c>
      <c r="AD220" s="197"/>
      <c r="AE220" s="198"/>
      <c r="AF220" s="198"/>
      <c r="AG220" s="193"/>
      <c r="AH220" s="357">
        <f>AH129-EWC!AH458</f>
        <v>2855.5609999999992</v>
      </c>
      <c r="AI220" s="197"/>
      <c r="AJ220" s="198"/>
      <c r="AK220" s="198"/>
      <c r="AL220" s="193"/>
      <c r="AM220" s="357">
        <f>AM129-EWC!AM458</f>
        <v>2829.1839999999997</v>
      </c>
      <c r="AN220" s="197"/>
      <c r="AO220" s="198"/>
      <c r="AP220" s="198"/>
      <c r="AQ220" s="193"/>
      <c r="AR220" s="357">
        <f>AR129-EWC!AR458</f>
        <v>2752.6989999999996</v>
      </c>
      <c r="AS220" s="197"/>
      <c r="AT220" s="198"/>
      <c r="AU220" s="198"/>
      <c r="AV220" s="193"/>
      <c r="AW220" s="357">
        <f>AW129-EWC!AW458</f>
        <v>2486.4999999999995</v>
      </c>
      <c r="AX220" s="197"/>
      <c r="AY220" s="198"/>
      <c r="AZ220" s="198"/>
      <c r="BA220" s="193"/>
      <c r="BB220" s="357">
        <f>BB129-EWC!BB458</f>
        <v>2426.1682531432925</v>
      </c>
      <c r="BC220" s="197"/>
      <c r="BD220" s="198"/>
      <c r="BE220" s="198"/>
      <c r="BF220" s="193"/>
      <c r="BG220" s="357">
        <f>BG129-EWC!BG458</f>
        <v>2582.4060946792529</v>
      </c>
      <c r="BH220" s="197"/>
      <c r="BI220" s="198"/>
      <c r="BJ220" s="198"/>
      <c r="BK220" s="193"/>
      <c r="BL220" s="357">
        <f>BL129-EWC!BL458</f>
        <v>2701.2946026741956</v>
      </c>
      <c r="BM220" s="197"/>
      <c r="BN220" s="198"/>
      <c r="BO220" s="198"/>
      <c r="BP220" s="193"/>
      <c r="BQ220" s="357">
        <f>BQ129-EWC!BQ458</f>
        <v>2803.3682742673345</v>
      </c>
      <c r="BR220" s="311"/>
      <c r="BS220" s="311"/>
      <c r="BT220" s="311"/>
      <c r="BU220" s="311"/>
      <c r="BV220" s="311"/>
      <c r="BW220" s="311"/>
      <c r="BX220" s="311"/>
      <c r="BY220" s="311"/>
      <c r="BZ220" s="311"/>
      <c r="CA220" s="311"/>
      <c r="CB220" s="311"/>
      <c r="CC220" s="311"/>
      <c r="CD220" s="311"/>
      <c r="CE220" s="311"/>
    </row>
    <row r="221" spans="1:83">
      <c r="A221" s="311"/>
      <c r="B221" s="311"/>
      <c r="C221" s="1264" t="s">
        <v>34</v>
      </c>
      <c r="D221" s="311"/>
      <c r="E221" s="249"/>
      <c r="F221" s="250"/>
      <c r="G221" s="250"/>
      <c r="H221" s="251"/>
      <c r="I221" s="244">
        <f>+I27</f>
        <v>2454.2339999999999</v>
      </c>
      <c r="J221" s="249"/>
      <c r="K221" s="250"/>
      <c r="L221" s="250"/>
      <c r="M221" s="251"/>
      <c r="N221" s="244">
        <f>+N27</f>
        <v>2462.7109999999998</v>
      </c>
      <c r="O221" s="249"/>
      <c r="P221" s="250"/>
      <c r="Q221" s="250"/>
      <c r="R221" s="251"/>
      <c r="S221" s="244">
        <f>+S27</f>
        <v>2167.2620000000002</v>
      </c>
      <c r="T221" s="249"/>
      <c r="U221" s="250"/>
      <c r="V221" s="250"/>
      <c r="W221" s="251"/>
      <c r="X221" s="244">
        <f>+X27</f>
        <v>1468.502</v>
      </c>
      <c r="Y221" s="249"/>
      <c r="Z221" s="250"/>
      <c r="AA221" s="250"/>
      <c r="AB221" s="251"/>
      <c r="AC221" s="244">
        <f>+AC27</f>
        <v>1560.5899999999988</v>
      </c>
      <c r="AD221" s="249"/>
      <c r="AE221" s="250"/>
      <c r="AF221" s="250"/>
      <c r="AG221" s="251"/>
      <c r="AH221" s="244">
        <f>+AH27</f>
        <v>2177.3610000000012</v>
      </c>
      <c r="AI221" s="249"/>
      <c r="AJ221" s="250"/>
      <c r="AK221" s="250"/>
      <c r="AL221" s="251"/>
      <c r="AM221" s="244">
        <f>+AM27</f>
        <v>-156.19199999999819</v>
      </c>
      <c r="AN221" s="249"/>
      <c r="AO221" s="250"/>
      <c r="AP221" s="250"/>
      <c r="AQ221" s="251"/>
      <c r="AR221" s="244">
        <f>+AR27</f>
        <v>-715.39199999999983</v>
      </c>
      <c r="AS221" s="249"/>
      <c r="AT221" s="250"/>
      <c r="AU221" s="250"/>
      <c r="AV221" s="251"/>
      <c r="AW221" s="244">
        <f>+AW27</f>
        <v>1630.2660000000014</v>
      </c>
      <c r="AX221" s="249"/>
      <c r="AY221" s="250"/>
      <c r="AZ221" s="250"/>
      <c r="BA221" s="251"/>
      <c r="BB221" s="244">
        <f>+BB27</f>
        <v>2289.5248565053193</v>
      </c>
      <c r="BC221" s="249"/>
      <c r="BD221" s="250"/>
      <c r="BE221" s="250"/>
      <c r="BF221" s="251"/>
      <c r="BG221" s="244">
        <f>+BG27</f>
        <v>2414.3137331502635</v>
      </c>
      <c r="BH221" s="249"/>
      <c r="BI221" s="250"/>
      <c r="BJ221" s="250"/>
      <c r="BK221" s="251"/>
      <c r="BL221" s="244">
        <f>+BL27</f>
        <v>2586.4723943425315</v>
      </c>
      <c r="BM221" s="249"/>
      <c r="BN221" s="250"/>
      <c r="BO221" s="250"/>
      <c r="BP221" s="251"/>
      <c r="BQ221" s="244">
        <f>+BQ27</f>
        <v>2623.9457483037359</v>
      </c>
      <c r="BR221" s="311"/>
      <c r="BS221" s="311"/>
      <c r="BT221" s="311"/>
      <c r="BU221" s="311"/>
      <c r="BV221" s="311"/>
      <c r="BW221" s="311"/>
      <c r="BX221" s="311"/>
      <c r="BY221" s="311"/>
      <c r="BZ221" s="311"/>
      <c r="CA221" s="311"/>
      <c r="CB221" s="311"/>
      <c r="CC221" s="311"/>
      <c r="CD221" s="311"/>
      <c r="CE221" s="311"/>
    </row>
    <row r="222" spans="1:83">
      <c r="A222" s="311"/>
      <c r="B222" s="311"/>
      <c r="C222" s="1264" t="s">
        <v>317</v>
      </c>
      <c r="D222" s="311"/>
      <c r="E222" s="249"/>
      <c r="F222" s="250"/>
      <c r="G222" s="250"/>
      <c r="H222" s="251"/>
      <c r="I222" s="244">
        <f>+I28</f>
        <v>3537.009</v>
      </c>
      <c r="J222" s="249"/>
      <c r="K222" s="250"/>
      <c r="L222" s="250"/>
      <c r="M222" s="251"/>
      <c r="N222" s="244">
        <f>+N28</f>
        <v>3532.6049999999996</v>
      </c>
      <c r="O222" s="249"/>
      <c r="P222" s="250"/>
      <c r="Q222" s="250"/>
      <c r="R222" s="251"/>
      <c r="S222" s="244">
        <f>+S28</f>
        <v>3269.4639999999999</v>
      </c>
      <c r="T222" s="249"/>
      <c r="U222" s="250"/>
      <c r="V222" s="250"/>
      <c r="W222" s="251"/>
      <c r="X222" s="244">
        <f>+X28</f>
        <v>2613.087</v>
      </c>
      <c r="Y222" s="249"/>
      <c r="Z222" s="250"/>
      <c r="AA222" s="250"/>
      <c r="AB222" s="251"/>
      <c r="AC222" s="244">
        <f>+AC28</f>
        <v>2821.6339999999991</v>
      </c>
      <c r="AD222" s="249"/>
      <c r="AE222" s="250"/>
      <c r="AF222" s="250"/>
      <c r="AG222" s="251"/>
      <c r="AH222" s="244">
        <f>+AH28</f>
        <v>3495.9990000000012</v>
      </c>
      <c r="AI222" s="249"/>
      <c r="AJ222" s="250"/>
      <c r="AK222" s="250"/>
      <c r="AL222" s="251"/>
      <c r="AM222" s="244">
        <f>+AM28</f>
        <v>1181.0840000000019</v>
      </c>
      <c r="AN222" s="249"/>
      <c r="AO222" s="250"/>
      <c r="AP222" s="250"/>
      <c r="AQ222" s="251"/>
      <c r="AR222" s="244">
        <f>+AR28</f>
        <v>631.79500000000007</v>
      </c>
      <c r="AS222" s="249"/>
      <c r="AT222" s="250"/>
      <c r="AU222" s="250"/>
      <c r="AV222" s="251"/>
      <c r="AW222" s="244">
        <f>+AW28</f>
        <v>3020.2440000000015</v>
      </c>
      <c r="AX222" s="249"/>
      <c r="AY222" s="250"/>
      <c r="AZ222" s="250"/>
      <c r="BA222" s="251"/>
      <c r="BB222" s="244">
        <f>+BB28</f>
        <v>3738.9953736144225</v>
      </c>
      <c r="BC222" s="249"/>
      <c r="BD222" s="250"/>
      <c r="BE222" s="250"/>
      <c r="BF222" s="251"/>
      <c r="BG222" s="244">
        <f>+BG28</f>
        <v>3951.0598157941558</v>
      </c>
      <c r="BH222" s="249"/>
      <c r="BI222" s="250"/>
      <c r="BJ222" s="250"/>
      <c r="BK222" s="251"/>
      <c r="BL222" s="244">
        <f>+BL28</f>
        <v>4179.8016965335264</v>
      </c>
      <c r="BM222" s="249"/>
      <c r="BN222" s="250"/>
      <c r="BO222" s="250"/>
      <c r="BP222" s="251"/>
      <c r="BQ222" s="244">
        <f>+BQ28</f>
        <v>4264.5042214086034</v>
      </c>
      <c r="BR222" s="311"/>
      <c r="BS222" s="311"/>
      <c r="BT222" s="311"/>
      <c r="BU222" s="311"/>
      <c r="BV222" s="311"/>
      <c r="BW222" s="311"/>
      <c r="BX222" s="311"/>
      <c r="BY222" s="311"/>
      <c r="BZ222" s="311"/>
      <c r="CA222" s="311"/>
      <c r="CB222" s="311"/>
      <c r="CC222" s="311"/>
      <c r="CD222" s="311"/>
      <c r="CE222" s="311"/>
    </row>
    <row r="223" spans="1:83">
      <c r="A223" s="311"/>
      <c r="B223" s="311"/>
      <c r="C223" s="1264" t="s">
        <v>324</v>
      </c>
      <c r="D223" s="311"/>
      <c r="E223" s="249"/>
      <c r="F223" s="250"/>
      <c r="G223" s="250"/>
      <c r="H223" s="251"/>
      <c r="I223" s="244">
        <f>+I30</f>
        <v>603.67899999999997</v>
      </c>
      <c r="J223" s="249"/>
      <c r="K223" s="250"/>
      <c r="L223" s="250"/>
      <c r="M223" s="251"/>
      <c r="N223" s="244">
        <f>+N30</f>
        <v>610.14599999999996</v>
      </c>
      <c r="O223" s="249"/>
      <c r="P223" s="250"/>
      <c r="Q223" s="250"/>
      <c r="R223" s="251"/>
      <c r="S223" s="244">
        <f>+S30</f>
        <v>551.52099999999996</v>
      </c>
      <c r="T223" s="249"/>
      <c r="U223" s="250"/>
      <c r="V223" s="250"/>
      <c r="W223" s="251"/>
      <c r="X223" s="244">
        <f>+X30</f>
        <v>606.596</v>
      </c>
      <c r="Y223" s="249"/>
      <c r="Z223" s="250"/>
      <c r="AA223" s="250"/>
      <c r="AB223" s="251"/>
      <c r="AC223" s="244">
        <f>+AC30</f>
        <v>629.53700000000003</v>
      </c>
      <c r="AD223" s="249"/>
      <c r="AE223" s="250"/>
      <c r="AF223" s="250"/>
      <c r="AG223" s="251"/>
      <c r="AH223" s="244">
        <f>+AH30</f>
        <v>661.08299999999997</v>
      </c>
      <c r="AI223" s="249"/>
      <c r="AJ223" s="250"/>
      <c r="AK223" s="250"/>
      <c r="AL223" s="251"/>
      <c r="AM223" s="244">
        <f>+AM30</f>
        <v>670.096</v>
      </c>
      <c r="AN223" s="249"/>
      <c r="AO223" s="250"/>
      <c r="AP223" s="250"/>
      <c r="AQ223" s="251"/>
      <c r="AR223" s="244">
        <f>+AR30</f>
        <v>700.54499999999996</v>
      </c>
      <c r="AS223" s="249"/>
      <c r="AT223" s="250"/>
      <c r="AU223" s="250"/>
      <c r="AV223" s="251"/>
      <c r="AW223" s="244">
        <f>+AW30</f>
        <v>707.21199999999999</v>
      </c>
      <c r="AX223" s="249"/>
      <c r="AY223" s="250"/>
      <c r="AZ223" s="250"/>
      <c r="BA223" s="251"/>
      <c r="BB223" s="244">
        <f>+BB30</f>
        <v>839.30615593430275</v>
      </c>
      <c r="BC223" s="249"/>
      <c r="BD223" s="250"/>
      <c r="BE223" s="250"/>
      <c r="BF223" s="251"/>
      <c r="BG223" s="244">
        <f>+BG30</f>
        <v>912.99239170890826</v>
      </c>
      <c r="BH223" s="249"/>
      <c r="BI223" s="250"/>
      <c r="BJ223" s="250"/>
      <c r="BK223" s="251"/>
      <c r="BL223" s="244">
        <f>+BL30</f>
        <v>1019.2191049343696</v>
      </c>
      <c r="BM223" s="249"/>
      <c r="BN223" s="250"/>
      <c r="BO223" s="250"/>
      <c r="BP223" s="251"/>
      <c r="BQ223" s="244">
        <f>+BQ30</f>
        <v>1108.563420269337</v>
      </c>
      <c r="BR223" s="311"/>
      <c r="BS223" s="311"/>
      <c r="BT223" s="311"/>
      <c r="BU223" s="311"/>
      <c r="BV223" s="311"/>
      <c r="BW223" s="311"/>
      <c r="BX223" s="311"/>
      <c r="BY223" s="311"/>
      <c r="BZ223" s="311"/>
      <c r="CA223" s="311"/>
      <c r="CB223" s="311"/>
      <c r="CC223" s="311"/>
      <c r="CD223" s="311"/>
      <c r="CE223" s="311"/>
    </row>
    <row r="224" spans="1:83">
      <c r="A224" s="311"/>
      <c r="B224" s="311"/>
      <c r="C224" s="1264" t="s">
        <v>354</v>
      </c>
      <c r="D224" s="311"/>
      <c r="E224" s="249"/>
      <c r="F224" s="250"/>
      <c r="G224" s="250"/>
      <c r="H224" s="251"/>
      <c r="I224" s="244">
        <f>+I43</f>
        <v>1302.0919999999999</v>
      </c>
      <c r="J224" s="249"/>
      <c r="K224" s="250"/>
      <c r="L224" s="250"/>
      <c r="M224" s="251"/>
      <c r="N224" s="244">
        <f>+N43</f>
        <v>1332.4419999999998</v>
      </c>
      <c r="O224" s="249"/>
      <c r="P224" s="250"/>
      <c r="Q224" s="250"/>
      <c r="R224" s="251"/>
      <c r="S224" s="244">
        <f>+S43</f>
        <v>1359.4390000000003</v>
      </c>
      <c r="T224" s="249"/>
      <c r="U224" s="250"/>
      <c r="V224" s="250"/>
      <c r="W224" s="251"/>
      <c r="X224" s="244">
        <f>+X43</f>
        <v>1108.2729999999999</v>
      </c>
      <c r="Y224" s="249"/>
      <c r="Z224" s="250"/>
      <c r="AA224" s="250"/>
      <c r="AB224" s="251"/>
      <c r="AC224" s="244">
        <f>+AC43</f>
        <v>957.10199999999884</v>
      </c>
      <c r="AD224" s="249"/>
      <c r="AE224" s="250"/>
      <c r="AF224" s="250"/>
      <c r="AG224" s="251"/>
      <c r="AH224" s="244">
        <f>+AH43</f>
        <v>1050.1210000000012</v>
      </c>
      <c r="AI224" s="249"/>
      <c r="AJ224" s="250"/>
      <c r="AK224" s="250"/>
      <c r="AL224" s="251"/>
      <c r="AM224" s="244">
        <f>+AM43</f>
        <v>1075.8380000000018</v>
      </c>
      <c r="AN224" s="249"/>
      <c r="AO224" s="250"/>
      <c r="AP224" s="250"/>
      <c r="AQ224" s="251"/>
      <c r="AR224" s="244">
        <f>+AR43</f>
        <v>1271.6820000000002</v>
      </c>
      <c r="AS224" s="249"/>
      <c r="AT224" s="250"/>
      <c r="AU224" s="250"/>
      <c r="AV224" s="251"/>
      <c r="AW224" s="244">
        <f>+AW43</f>
        <v>1300.2120000000014</v>
      </c>
      <c r="AX224" s="249"/>
      <c r="AY224" s="250"/>
      <c r="AZ224" s="250"/>
      <c r="BA224" s="251"/>
      <c r="BB224" s="244">
        <f>+BB43</f>
        <v>1069.033580726385</v>
      </c>
      <c r="BC224" s="249"/>
      <c r="BD224" s="250"/>
      <c r="BE224" s="250"/>
      <c r="BF224" s="251"/>
      <c r="BG224" s="244">
        <f>+BG43</f>
        <v>995.56263080296151</v>
      </c>
      <c r="BH224" s="249"/>
      <c r="BI224" s="250"/>
      <c r="BJ224" s="250"/>
      <c r="BK224" s="251"/>
      <c r="BL224" s="244">
        <f>+BL43</f>
        <v>1030.1451401461727</v>
      </c>
      <c r="BM224" s="249"/>
      <c r="BN224" s="250"/>
      <c r="BO224" s="250"/>
      <c r="BP224" s="251"/>
      <c r="BQ224" s="244">
        <f>+BQ43</f>
        <v>1003.2892790421115</v>
      </c>
      <c r="BR224" s="311"/>
      <c r="BS224" s="311"/>
      <c r="BT224" s="311"/>
      <c r="BU224" s="311"/>
      <c r="BV224" s="311"/>
      <c r="BW224" s="311"/>
      <c r="BX224" s="311"/>
      <c r="BY224" s="311"/>
      <c r="BZ224" s="311"/>
      <c r="CA224" s="311"/>
      <c r="CB224" s="311"/>
      <c r="CC224" s="311"/>
      <c r="CD224" s="311"/>
      <c r="CE224" s="311"/>
    </row>
    <row r="225" spans="1:89">
      <c r="A225" s="233"/>
      <c r="B225" s="233"/>
      <c r="C225" s="1264"/>
      <c r="D225" s="233"/>
      <c r="E225" s="234"/>
      <c r="F225" s="235"/>
      <c r="G225" s="235"/>
      <c r="H225" s="236"/>
      <c r="I225" s="233"/>
      <c r="J225" s="234"/>
      <c r="K225" s="235"/>
      <c r="L225" s="235"/>
      <c r="M225" s="236"/>
      <c r="N225" s="233"/>
      <c r="O225" s="234"/>
      <c r="P225" s="235"/>
      <c r="Q225" s="235"/>
      <c r="R225" s="236"/>
      <c r="S225" s="233"/>
      <c r="T225" s="234"/>
      <c r="U225" s="235"/>
      <c r="V225" s="235"/>
      <c r="W225" s="236"/>
      <c r="X225" s="233"/>
      <c r="Y225" s="234"/>
      <c r="Z225" s="235"/>
      <c r="AA225" s="235"/>
      <c r="AB225" s="236"/>
      <c r="AC225" s="233"/>
      <c r="AD225" s="234"/>
      <c r="AE225" s="235"/>
      <c r="AF225" s="235"/>
      <c r="AG225" s="236"/>
      <c r="AH225" s="233"/>
      <c r="AI225" s="234"/>
      <c r="AJ225" s="235"/>
      <c r="AK225" s="235"/>
      <c r="AL225" s="236"/>
      <c r="AM225" s="233"/>
      <c r="AN225" s="234"/>
      <c r="AO225" s="235"/>
      <c r="AP225" s="235"/>
      <c r="AQ225" s="236"/>
      <c r="AR225" s="233"/>
      <c r="AS225" s="234"/>
      <c r="AT225" s="235"/>
      <c r="AU225" s="235"/>
      <c r="AV225" s="236"/>
      <c r="AW225" s="233"/>
      <c r="AX225" s="234"/>
      <c r="AY225" s="235"/>
      <c r="AZ225" s="235"/>
      <c r="BA225" s="236"/>
      <c r="BB225" s="233"/>
      <c r="BC225" s="234"/>
      <c r="BD225" s="235"/>
      <c r="BE225" s="235"/>
      <c r="BF225" s="236"/>
      <c r="BG225" s="233"/>
      <c r="BH225" s="234"/>
      <c r="BI225" s="235"/>
      <c r="BJ225" s="235"/>
      <c r="BK225" s="236"/>
      <c r="BL225" s="233"/>
      <c r="BM225" s="234"/>
      <c r="BN225" s="235"/>
      <c r="BO225" s="235"/>
      <c r="BP225" s="236"/>
      <c r="BQ225" s="233"/>
      <c r="BR225" s="233"/>
      <c r="BS225" s="233"/>
      <c r="BT225" s="233"/>
      <c r="BU225" s="233"/>
      <c r="BV225" s="233"/>
      <c r="BW225" s="233"/>
      <c r="BX225" s="233"/>
      <c r="BY225" s="233"/>
      <c r="BZ225" s="233"/>
      <c r="CA225" s="233"/>
      <c r="CB225" s="233"/>
      <c r="CC225" s="233"/>
      <c r="CD225" s="233"/>
      <c r="CE225" s="233"/>
    </row>
    <row r="226" spans="1:89">
      <c r="A226" s="233"/>
      <c r="B226" s="233"/>
      <c r="C226" s="2021" t="s">
        <v>1030</v>
      </c>
      <c r="D226" s="2023"/>
      <c r="E226" s="2024"/>
      <c r="F226" s="2025"/>
      <c r="G226" s="2025"/>
      <c r="H226" s="2026"/>
      <c r="I226" s="2023"/>
      <c r="J226" s="2024"/>
      <c r="K226" s="2025"/>
      <c r="L226" s="2025"/>
      <c r="M226" s="2026"/>
      <c r="N226" s="357">
        <f>N205-EWC!N483</f>
        <v>11464.942999999999</v>
      </c>
      <c r="O226" s="197"/>
      <c r="P226" s="198"/>
      <c r="Q226" s="198"/>
      <c r="R226" s="193"/>
      <c r="S226" s="357">
        <f>S205-EWC!S483</f>
        <v>12070.91</v>
      </c>
      <c r="T226" s="197"/>
      <c r="U226" s="198"/>
      <c r="V226" s="198"/>
      <c r="W226" s="193"/>
      <c r="X226" s="357">
        <f>X205-EWC!X483</f>
        <v>13323.669</v>
      </c>
      <c r="Y226" s="197"/>
      <c r="Z226" s="198"/>
      <c r="AA226" s="198"/>
      <c r="AB226" s="193"/>
      <c r="AC226" s="357">
        <f>AC205-EWC!AC483</f>
        <v>13444.380999999999</v>
      </c>
      <c r="AD226" s="197"/>
      <c r="AE226" s="198"/>
      <c r="AF226" s="198"/>
      <c r="AG226" s="193"/>
      <c r="AH226" s="357">
        <f>AH205-EWC!AH483</f>
        <v>13680.056999999999</v>
      </c>
      <c r="AI226" s="197"/>
      <c r="AJ226" s="198"/>
      <c r="AK226" s="198"/>
      <c r="AL226" s="193"/>
      <c r="AM226" s="357">
        <f>AM205-EWC!AM483</f>
        <v>13449.704</v>
      </c>
      <c r="AN226" s="197"/>
      <c r="AO226" s="198"/>
      <c r="AP226" s="198"/>
      <c r="AQ226" s="193"/>
      <c r="AR226" s="357">
        <f>AR205-EWC!AR483</f>
        <v>15187.511</v>
      </c>
      <c r="AS226" s="197"/>
      <c r="AT226" s="198"/>
      <c r="AU226" s="198"/>
      <c r="AV226" s="193"/>
      <c r="AW226" s="357">
        <f>AW205-EWC!AW483</f>
        <v>16544.071</v>
      </c>
      <c r="AX226" s="197"/>
      <c r="AY226" s="198"/>
      <c r="AZ226" s="198"/>
      <c r="BA226" s="193"/>
      <c r="BB226" s="357">
        <f>BB205-EWC!BB483</f>
        <v>17912.196</v>
      </c>
      <c r="BC226" s="197"/>
      <c r="BD226" s="198"/>
      <c r="BE226" s="198"/>
      <c r="BF226" s="193"/>
      <c r="BG226" s="357">
        <f>BG205-EWC!BG483</f>
        <v>19731.427</v>
      </c>
      <c r="BH226" s="197"/>
      <c r="BI226" s="198"/>
      <c r="BJ226" s="198"/>
      <c r="BK226" s="193"/>
      <c r="BL226" s="357">
        <f>BL205-EWC!BL483</f>
        <v>21236.426999999996</v>
      </c>
      <c r="BM226" s="197"/>
      <c r="BN226" s="198"/>
      <c r="BO226" s="198"/>
      <c r="BP226" s="193"/>
      <c r="BQ226" s="357">
        <f>BQ205-EWC!BQ483</f>
        <v>22496.434999999998</v>
      </c>
      <c r="BR226" s="233"/>
      <c r="BS226" s="233"/>
      <c r="BT226" s="233"/>
      <c r="BU226" s="233"/>
      <c r="BV226" s="233"/>
      <c r="BW226" s="233"/>
      <c r="BX226" s="233"/>
      <c r="BY226" s="233"/>
      <c r="BZ226" s="233"/>
      <c r="CA226" s="233"/>
      <c r="CB226" s="233"/>
      <c r="CC226" s="233"/>
      <c r="CD226" s="233"/>
      <c r="CE226" s="233"/>
    </row>
    <row r="227" spans="1:89">
      <c r="A227" s="233"/>
      <c r="B227" s="233"/>
      <c r="C227" s="1264"/>
      <c r="D227" s="233"/>
      <c r="E227" s="234"/>
      <c r="F227" s="235"/>
      <c r="G227" s="235"/>
      <c r="H227" s="236"/>
      <c r="I227" s="233"/>
      <c r="J227" s="234"/>
      <c r="K227" s="235"/>
      <c r="L227" s="235"/>
      <c r="M227" s="236"/>
      <c r="N227" s="233"/>
      <c r="O227" s="234"/>
      <c r="P227" s="235"/>
      <c r="Q227" s="235"/>
      <c r="R227" s="236"/>
      <c r="S227" s="233"/>
      <c r="T227" s="234"/>
      <c r="U227" s="235"/>
      <c r="V227" s="235"/>
      <c r="W227" s="236"/>
      <c r="X227" s="233"/>
      <c r="Y227" s="234"/>
      <c r="Z227" s="235"/>
      <c r="AA227" s="235"/>
      <c r="AB227" s="236"/>
      <c r="AC227" s="233"/>
      <c r="AD227" s="234"/>
      <c r="AE227" s="235"/>
      <c r="AF227" s="235"/>
      <c r="AG227" s="236"/>
      <c r="AH227" s="233"/>
      <c r="AI227" s="234"/>
      <c r="AJ227" s="235"/>
      <c r="AK227" s="235"/>
      <c r="AL227" s="236"/>
      <c r="AM227" s="233"/>
      <c r="AN227" s="234"/>
      <c r="AO227" s="235"/>
      <c r="AP227" s="235"/>
      <c r="AQ227" s="236"/>
      <c r="AR227" s="233"/>
      <c r="AS227" s="234"/>
      <c r="AT227" s="235"/>
      <c r="AU227" s="235"/>
      <c r="AV227" s="236"/>
      <c r="AW227" s="233"/>
      <c r="AX227" s="234"/>
      <c r="AY227" s="235"/>
      <c r="AZ227" s="235"/>
      <c r="BA227" s="236"/>
      <c r="BB227" s="233"/>
      <c r="BC227" s="234"/>
      <c r="BD227" s="235"/>
      <c r="BE227" s="235"/>
      <c r="BF227" s="236"/>
      <c r="BG227" s="233"/>
      <c r="BH227" s="234"/>
      <c r="BI227" s="235"/>
      <c r="BJ227" s="235"/>
      <c r="BK227" s="236"/>
      <c r="BL227" s="233"/>
      <c r="BM227" s="234"/>
      <c r="BN227" s="235"/>
      <c r="BO227" s="235"/>
      <c r="BP227" s="236"/>
      <c r="BQ227" s="233"/>
      <c r="BR227" s="233"/>
      <c r="BS227" s="233"/>
      <c r="BT227" s="233"/>
      <c r="BU227" s="233"/>
      <c r="BV227" s="233"/>
      <c r="BW227" s="233"/>
      <c r="BX227" s="233"/>
      <c r="BY227" s="233"/>
      <c r="BZ227" s="233"/>
      <c r="CA227" s="233"/>
      <c r="CB227" s="233"/>
      <c r="CC227" s="233"/>
      <c r="CD227" s="233"/>
      <c r="CE227" s="233"/>
    </row>
    <row r="228" spans="1:89">
      <c r="A228" s="233"/>
      <c r="B228" s="233"/>
      <c r="C228" s="1266" t="s">
        <v>397</v>
      </c>
      <c r="D228" s="233"/>
      <c r="E228" s="234"/>
      <c r="F228" s="235"/>
      <c r="G228" s="235"/>
      <c r="H228" s="236"/>
      <c r="I228" s="233"/>
      <c r="J228" s="234"/>
      <c r="K228" s="235"/>
      <c r="L228" s="235"/>
      <c r="M228" s="236"/>
      <c r="N228" s="233"/>
      <c r="O228" s="234"/>
      <c r="P228" s="235"/>
      <c r="Q228" s="235"/>
      <c r="R228" s="236"/>
      <c r="S228" s="233"/>
      <c r="T228" s="234"/>
      <c r="U228" s="235"/>
      <c r="V228" s="235"/>
      <c r="W228" s="236"/>
      <c r="X228" s="233"/>
      <c r="Y228" s="234"/>
      <c r="Z228" s="235"/>
      <c r="AA228" s="235"/>
      <c r="AB228" s="236"/>
      <c r="AC228" s="233"/>
      <c r="AD228" s="234"/>
      <c r="AE228" s="235"/>
      <c r="AF228" s="235"/>
      <c r="AG228" s="236"/>
      <c r="AH228" s="233"/>
      <c r="AI228" s="234"/>
      <c r="AJ228" s="235"/>
      <c r="AK228" s="235"/>
      <c r="AL228" s="236"/>
      <c r="AM228" s="233"/>
      <c r="AN228" s="234"/>
      <c r="AO228" s="235"/>
      <c r="AP228" s="235"/>
      <c r="AQ228" s="236"/>
      <c r="AR228" s="233"/>
      <c r="AS228" s="234"/>
      <c r="AT228" s="235"/>
      <c r="AU228" s="235"/>
      <c r="AV228" s="236"/>
      <c r="AW228" s="233"/>
      <c r="AX228" s="234"/>
      <c r="AY228" s="235"/>
      <c r="AZ228" s="235"/>
      <c r="BA228" s="236"/>
      <c r="BB228" s="233"/>
      <c r="BC228" s="234"/>
      <c r="BD228" s="235"/>
      <c r="BE228" s="235"/>
      <c r="BF228" s="236"/>
      <c r="BG228" s="233"/>
      <c r="BH228" s="234"/>
      <c r="BI228" s="235"/>
      <c r="BJ228" s="235"/>
      <c r="BK228" s="236"/>
      <c r="BL228" s="233"/>
      <c r="BM228" s="234"/>
      <c r="BN228" s="235"/>
      <c r="BO228" s="235"/>
      <c r="BP228" s="236"/>
      <c r="BQ228" s="233"/>
      <c r="BR228" s="233"/>
      <c r="BS228" s="233"/>
      <c r="BT228" s="233"/>
      <c r="BU228" s="233"/>
      <c r="BV228" s="233"/>
      <c r="BW228" s="233"/>
      <c r="BX228" s="233"/>
      <c r="BY228" s="233"/>
      <c r="BZ228" s="233"/>
      <c r="CA228" s="233"/>
      <c r="CB228" s="233"/>
      <c r="CC228" s="233"/>
      <c r="CD228" s="233"/>
      <c r="CE228" s="233"/>
    </row>
    <row r="229" spans="1:89">
      <c r="A229" s="233"/>
      <c r="B229" s="233"/>
      <c r="C229" s="1264" t="s">
        <v>866</v>
      </c>
      <c r="D229" s="233"/>
      <c r="E229" s="288"/>
      <c r="F229" s="289"/>
      <c r="G229" s="289"/>
      <c r="H229" s="290"/>
      <c r="I229" s="291">
        <f>I204/I214</f>
        <v>0.56044838835859978</v>
      </c>
      <c r="J229" s="288"/>
      <c r="K229" s="289"/>
      <c r="L229" s="289"/>
      <c r="M229" s="290"/>
      <c r="N229" s="291">
        <f>N204/N214</f>
        <v>0.57055226708863249</v>
      </c>
      <c r="O229" s="288"/>
      <c r="P229" s="289"/>
      <c r="Q229" s="289"/>
      <c r="R229" s="290"/>
      <c r="S229" s="291">
        <f>S204/S214</f>
        <v>0.57179528624399756</v>
      </c>
      <c r="T229" s="288"/>
      <c r="U229" s="289"/>
      <c r="V229" s="289"/>
      <c r="W229" s="290"/>
      <c r="X229" s="291">
        <f>X204/X214</f>
        <v>0.55161459043464423</v>
      </c>
      <c r="Y229" s="288"/>
      <c r="Z229" s="289"/>
      <c r="AA229" s="289"/>
      <c r="AB229" s="290"/>
      <c r="AC229" s="291">
        <f>AC204/AC214</f>
        <v>0.53418376999126849</v>
      </c>
      <c r="AD229" s="288"/>
      <c r="AE229" s="289"/>
      <c r="AF229" s="289"/>
      <c r="AG229" s="290"/>
      <c r="AH229" s="291">
        <f>AH204/AH214</f>
        <v>0.55118374146084781</v>
      </c>
      <c r="AI229" s="288"/>
      <c r="AJ229" s="289"/>
      <c r="AK229" s="289"/>
      <c r="AL229" s="290"/>
      <c r="AM229" s="291">
        <f>AM204/AM214</f>
        <v>0.56959971454039349</v>
      </c>
      <c r="AN229" s="288"/>
      <c r="AO229" s="289"/>
      <c r="AP229" s="289"/>
      <c r="AQ229" s="290"/>
      <c r="AR229" s="291">
        <f>AR204/AR214</f>
        <v>0.63029925345988702</v>
      </c>
      <c r="AS229" s="288"/>
      <c r="AT229" s="289"/>
      <c r="AU229" s="289"/>
      <c r="AV229" s="290"/>
      <c r="AW229" s="291">
        <f>AW204/AW214</f>
        <v>0.60679969144931079</v>
      </c>
      <c r="AX229" s="288"/>
      <c r="AY229" s="289"/>
      <c r="AZ229" s="289"/>
      <c r="BA229" s="290"/>
      <c r="BB229" s="291">
        <f>BB204/BB214</f>
        <v>0.67654421957326305</v>
      </c>
      <c r="BC229" s="288"/>
      <c r="BD229" s="289"/>
      <c r="BE229" s="289"/>
      <c r="BF229" s="290"/>
      <c r="BG229" s="291">
        <f>BG204/BG214</f>
        <v>0.68911742270729037</v>
      </c>
      <c r="BH229" s="288"/>
      <c r="BI229" s="289"/>
      <c r="BJ229" s="289"/>
      <c r="BK229" s="290"/>
      <c r="BL229" s="291">
        <f>BL204/BL214</f>
        <v>0.69640258255476373</v>
      </c>
      <c r="BM229" s="288"/>
      <c r="BN229" s="289"/>
      <c r="BO229" s="289"/>
      <c r="BP229" s="290"/>
      <c r="BQ229" s="291">
        <f>BQ204/BQ214</f>
        <v>0.70149522150320964</v>
      </c>
      <c r="BR229" s="233"/>
      <c r="BS229" s="233"/>
      <c r="BT229" s="233"/>
      <c r="BU229" s="233"/>
      <c r="BV229" s="233"/>
      <c r="BW229" s="233"/>
      <c r="BX229" s="233"/>
      <c r="BY229" s="233"/>
      <c r="BZ229" s="233"/>
      <c r="CA229" s="233"/>
      <c r="CB229" s="233"/>
      <c r="CC229" s="233"/>
      <c r="CD229" s="233"/>
      <c r="CE229" s="233"/>
    </row>
    <row r="230" spans="1:89">
      <c r="A230" s="233"/>
      <c r="B230" s="233"/>
      <c r="C230" s="1264" t="s">
        <v>398</v>
      </c>
      <c r="D230" s="233"/>
      <c r="E230" s="288"/>
      <c r="F230" s="289"/>
      <c r="G230" s="289"/>
      <c r="H230" s="290"/>
      <c r="I230" s="291">
        <f>I205/I214</f>
        <v>0.56192248847695092</v>
      </c>
      <c r="J230" s="288"/>
      <c r="K230" s="289"/>
      <c r="L230" s="289"/>
      <c r="M230" s="290"/>
      <c r="N230" s="291">
        <f>N205/N214</f>
        <v>0.57201149695076958</v>
      </c>
      <c r="O230" s="288"/>
      <c r="P230" s="289"/>
      <c r="Q230" s="289"/>
      <c r="R230" s="290"/>
      <c r="S230" s="291">
        <f>S205/S214</f>
        <v>0.57685747138779653</v>
      </c>
      <c r="T230" s="288"/>
      <c r="U230" s="289"/>
      <c r="V230" s="289"/>
      <c r="W230" s="290"/>
      <c r="X230" s="291">
        <f>X205/X214</f>
        <v>0.58635563673805779</v>
      </c>
      <c r="Y230" s="288"/>
      <c r="Z230" s="289"/>
      <c r="AA230" s="289"/>
      <c r="AB230" s="290"/>
      <c r="AC230" s="291">
        <f>AC205/AC214</f>
        <v>0.57858034125607172</v>
      </c>
      <c r="AD230" s="288"/>
      <c r="AE230" s="289"/>
      <c r="AF230" s="289"/>
      <c r="AG230" s="290"/>
      <c r="AH230" s="291">
        <f>AH205/AH214</f>
        <v>0.57579903330166504</v>
      </c>
      <c r="AI230" s="288"/>
      <c r="AJ230" s="289"/>
      <c r="AK230" s="289"/>
      <c r="AL230" s="290"/>
      <c r="AM230" s="291">
        <f>AM205/AM214</f>
        <v>0.5907299830982814</v>
      </c>
      <c r="AN230" s="288"/>
      <c r="AO230" s="289"/>
      <c r="AP230" s="289"/>
      <c r="AQ230" s="290"/>
      <c r="AR230" s="291">
        <f>AR205/AR214</f>
        <v>0.647934861315556</v>
      </c>
      <c r="AS230" s="288"/>
      <c r="AT230" s="289"/>
      <c r="AU230" s="289"/>
      <c r="AV230" s="290"/>
      <c r="AW230" s="291">
        <f>AW205/AW214</f>
        <v>0.67032870695139068</v>
      </c>
      <c r="AX230" s="288"/>
      <c r="AY230" s="289"/>
      <c r="AZ230" s="289"/>
      <c r="BA230" s="290"/>
      <c r="BB230" s="291">
        <f>BB205/BB214</f>
        <v>0.67654421957326305</v>
      </c>
      <c r="BC230" s="288"/>
      <c r="BD230" s="289"/>
      <c r="BE230" s="289"/>
      <c r="BF230" s="290"/>
      <c r="BG230" s="291">
        <f>BG205/BG214</f>
        <v>0.68911742270729037</v>
      </c>
      <c r="BH230" s="288"/>
      <c r="BI230" s="289"/>
      <c r="BJ230" s="289"/>
      <c r="BK230" s="290"/>
      <c r="BL230" s="291">
        <f>BL205/BL214</f>
        <v>0.69640258255476373</v>
      </c>
      <c r="BM230" s="288"/>
      <c r="BN230" s="289"/>
      <c r="BO230" s="289"/>
      <c r="BP230" s="290"/>
      <c r="BQ230" s="291">
        <f>BQ205/BQ214</f>
        <v>0.70149522150320964</v>
      </c>
      <c r="BR230" s="233"/>
      <c r="BS230" s="233"/>
      <c r="BT230" s="233"/>
      <c r="BU230" s="233"/>
      <c r="BV230" s="233"/>
      <c r="BW230" s="233"/>
      <c r="BX230" s="233"/>
      <c r="BY230" s="233"/>
      <c r="BZ230" s="233"/>
      <c r="CA230" s="233"/>
      <c r="CB230" s="233"/>
      <c r="CC230" s="233"/>
      <c r="CD230" s="233"/>
      <c r="CE230" s="233"/>
    </row>
    <row r="231" spans="1:89">
      <c r="A231" s="233"/>
      <c r="B231" s="233"/>
      <c r="C231" s="1264" t="s">
        <v>399</v>
      </c>
      <c r="D231" s="233"/>
      <c r="E231" s="292"/>
      <c r="F231" s="293"/>
      <c r="G231" s="293"/>
      <c r="H231" s="294"/>
      <c r="I231" s="295">
        <f>(I205-I201)/I222</f>
        <v>2.7532231328786558</v>
      </c>
      <c r="J231" s="292"/>
      <c r="K231" s="293"/>
      <c r="L231" s="293"/>
      <c r="M231" s="294"/>
      <c r="N231" s="295">
        <f>(N205-N201)/N222</f>
        <v>2.965621120957481</v>
      </c>
      <c r="O231" s="292"/>
      <c r="P231" s="293"/>
      <c r="Q231" s="293"/>
      <c r="R231" s="294"/>
      <c r="S231" s="295">
        <f>(S205-S201)/S222</f>
        <v>3.5633788902401129</v>
      </c>
      <c r="T231" s="292"/>
      <c r="U231" s="293"/>
      <c r="V231" s="293"/>
      <c r="W231" s="294"/>
      <c r="X231" s="295">
        <f>(X205-X201)/X222</f>
        <v>4.9375573794519658</v>
      </c>
      <c r="Y231" s="292"/>
      <c r="Z231" s="293"/>
      <c r="AA231" s="293"/>
      <c r="AB231" s="294"/>
      <c r="AC231" s="295">
        <f>(AC205-AC201)/AC222</f>
        <v>4.5732384143372258</v>
      </c>
      <c r="AD231" s="292"/>
      <c r="AE231" s="293"/>
      <c r="AF231" s="293"/>
      <c r="AG231" s="294"/>
      <c r="AH231" s="295">
        <f>(AH205-AH201)/AH222</f>
        <v>3.5972164179680819</v>
      </c>
      <c r="AI231" s="292"/>
      <c r="AJ231" s="293"/>
      <c r="AK231" s="293"/>
      <c r="AL231" s="294"/>
      <c r="AM231" s="295">
        <f>(AM205-AM201)/AM222</f>
        <v>10.557519194231723</v>
      </c>
      <c r="AN231" s="292"/>
      <c r="AO231" s="293"/>
      <c r="AP231" s="293"/>
      <c r="AQ231" s="294"/>
      <c r="AR231" s="295">
        <f>(AR205-AR201)/AR222</f>
        <v>22.253613909575101</v>
      </c>
      <c r="AS231" s="292"/>
      <c r="AT231" s="293"/>
      <c r="AU231" s="293"/>
      <c r="AV231" s="294"/>
      <c r="AW231" s="295">
        <f>(AW205-AW201)/AW222</f>
        <v>5.255304207209746</v>
      </c>
      <c r="AX231" s="292"/>
      <c r="AY231" s="293"/>
      <c r="AZ231" s="293"/>
      <c r="BA231" s="294"/>
      <c r="BB231" s="295">
        <f>(BB205-BB201)/BB222</f>
        <v>4.801039369269466</v>
      </c>
      <c r="BC231" s="292"/>
      <c r="BD231" s="293"/>
      <c r="BE231" s="293"/>
      <c r="BF231" s="294"/>
      <c r="BG231" s="295">
        <f>(BG205-BG201)/BG222</f>
        <v>4.9545263676218001</v>
      </c>
      <c r="BH231" s="292"/>
      <c r="BI231" s="293"/>
      <c r="BJ231" s="293"/>
      <c r="BK231" s="294"/>
      <c r="BL231" s="295">
        <f>(BL205-BL201)/BL222</f>
        <v>4.9701932588252831</v>
      </c>
      <c r="BM231" s="292"/>
      <c r="BN231" s="293"/>
      <c r="BO231" s="293"/>
      <c r="BP231" s="294"/>
      <c r="BQ231" s="295">
        <f>(BQ205-BQ201)/BQ222</f>
        <v>5.2218356801920542</v>
      </c>
      <c r="BR231" s="233"/>
      <c r="BS231" s="233"/>
      <c r="BT231" s="233"/>
      <c r="BU231" s="233"/>
      <c r="BV231" s="233"/>
      <c r="BW231" s="233"/>
      <c r="BX231" s="233"/>
      <c r="BY231" s="233"/>
      <c r="BZ231" s="233"/>
      <c r="CA231" s="233"/>
      <c r="CB231" s="233"/>
      <c r="CC231" s="233"/>
      <c r="CD231" s="233"/>
      <c r="CE231" s="233"/>
    </row>
    <row r="232" spans="1:89">
      <c r="A232" s="233"/>
      <c r="B232" s="233"/>
      <c r="C232" s="1264" t="s">
        <v>400</v>
      </c>
      <c r="D232" s="233"/>
      <c r="E232" s="296"/>
      <c r="F232" s="297"/>
      <c r="G232" s="297"/>
      <c r="H232" s="298"/>
      <c r="I232" s="299">
        <f>I219/I205</f>
        <v>0.20832670173971671</v>
      </c>
      <c r="J232" s="296"/>
      <c r="K232" s="297"/>
      <c r="L232" s="297"/>
      <c r="M232" s="298"/>
      <c r="N232" s="299">
        <f>N219/N205</f>
        <v>0.20409214635489054</v>
      </c>
      <c r="O232" s="296"/>
      <c r="P232" s="297"/>
      <c r="Q232" s="297"/>
      <c r="R232" s="298"/>
      <c r="S232" s="299">
        <f>S219/S205</f>
        <v>0.19940749030946453</v>
      </c>
      <c r="T232" s="296"/>
      <c r="U232" s="297"/>
      <c r="V232" s="297"/>
      <c r="W232" s="298"/>
      <c r="X232" s="299">
        <f>X219/X205</f>
        <v>0.16768779313718457</v>
      </c>
      <c r="Y232" s="296"/>
      <c r="Z232" s="297"/>
      <c r="AA232" s="297"/>
      <c r="AB232" s="298"/>
      <c r="AC232" s="299">
        <f>AC219/AC205</f>
        <v>0.16258335421685821</v>
      </c>
      <c r="AD232" s="296"/>
      <c r="AE232" s="297"/>
      <c r="AF232" s="297"/>
      <c r="AG232" s="298"/>
      <c r="AH232" s="299">
        <f>AH219/AH205</f>
        <v>0.16922256359904511</v>
      </c>
      <c r="AI232" s="296"/>
      <c r="AJ232" s="297"/>
      <c r="AK232" s="297"/>
      <c r="AL232" s="298"/>
      <c r="AM232" s="299">
        <f>AM219/AM205</f>
        <v>0.17460676261360314</v>
      </c>
      <c r="AN232" s="296"/>
      <c r="AO232" s="297"/>
      <c r="AP232" s="297"/>
      <c r="AQ232" s="298"/>
      <c r="AR232" s="299">
        <f>AR219/AR205</f>
        <v>0.17175652822227494</v>
      </c>
      <c r="AS232" s="296"/>
      <c r="AT232" s="297"/>
      <c r="AU232" s="297"/>
      <c r="AV232" s="298"/>
      <c r="AW232" s="299">
        <f>AW219/AW205</f>
        <v>0.1615382980253969</v>
      </c>
      <c r="AX232" s="296"/>
      <c r="AY232" s="297"/>
      <c r="AZ232" s="297"/>
      <c r="BA232" s="298"/>
      <c r="BB232" s="299">
        <f>BB219/BB205</f>
        <v>0.13979832980736939</v>
      </c>
      <c r="BC232" s="296"/>
      <c r="BD232" s="297"/>
      <c r="BE232" s="297"/>
      <c r="BF232" s="298"/>
      <c r="BG232" s="299">
        <f>BG219/BG205</f>
        <v>0.12767194012769034</v>
      </c>
      <c r="BH232" s="296"/>
      <c r="BI232" s="297"/>
      <c r="BJ232" s="297"/>
      <c r="BK232" s="298"/>
      <c r="BL232" s="299">
        <f>BL219/BL205</f>
        <v>0.12293984447417707</v>
      </c>
      <c r="BM232" s="296"/>
      <c r="BN232" s="297"/>
      <c r="BO232" s="297"/>
      <c r="BP232" s="298"/>
      <c r="BQ232" s="299">
        <f>BQ219/BQ205</f>
        <v>0.11698697613717554</v>
      </c>
      <c r="BR232" s="233"/>
      <c r="BS232" s="233"/>
      <c r="BT232" s="233"/>
      <c r="BU232" s="233"/>
      <c r="BV232" s="233"/>
      <c r="BW232" s="233"/>
      <c r="BX232" s="233"/>
      <c r="BY232" s="233"/>
      <c r="BZ232" s="233"/>
      <c r="CA232" s="233"/>
      <c r="CB232" s="233"/>
      <c r="CC232" s="233"/>
      <c r="CD232" s="233"/>
      <c r="CE232" s="233"/>
    </row>
    <row r="233" spans="1:89" s="90" customFormat="1">
      <c r="A233" s="1249"/>
      <c r="B233" s="1249"/>
      <c r="C233" s="1189" t="s">
        <v>818</v>
      </c>
      <c r="D233" s="1249"/>
      <c r="E233" s="1393"/>
      <c r="F233" s="1394"/>
      <c r="G233" s="1394"/>
      <c r="H233" s="1395"/>
      <c r="I233" s="2035">
        <f>(I129-I128)/I205</f>
        <v>0.3080433616248327</v>
      </c>
      <c r="J233" s="2036"/>
      <c r="K233" s="2037"/>
      <c r="L233" s="2037"/>
      <c r="M233" s="2038"/>
      <c r="N233" s="2035">
        <f>(N129-N128)/N205</f>
        <v>0.31707193369377212</v>
      </c>
      <c r="O233" s="2036"/>
      <c r="P233" s="2037"/>
      <c r="Q233" s="2037"/>
      <c r="R233" s="2038"/>
      <c r="S233" s="2035">
        <f>(S129-S128)/S205</f>
        <v>0.2294734850212361</v>
      </c>
      <c r="T233" s="2036"/>
      <c r="U233" s="2037"/>
      <c r="V233" s="2037"/>
      <c r="W233" s="2038"/>
      <c r="X233" s="2035">
        <f>(X129-X128)/X205</f>
        <v>0.19457714258663072</v>
      </c>
      <c r="Y233" s="1393"/>
      <c r="Z233" s="1394"/>
      <c r="AA233" s="1394"/>
      <c r="AB233" s="1395"/>
      <c r="AC233" s="2039">
        <f>(AC219+600)/AC205</f>
        <v>0.20656152902145403</v>
      </c>
      <c r="AD233" s="1393"/>
      <c r="AE233" s="1394"/>
      <c r="AF233" s="1394"/>
      <c r="AG233" s="1395"/>
      <c r="AH233" s="2039">
        <f>(AH219+600)/AH205</f>
        <v>0.21208616355135221</v>
      </c>
      <c r="AI233" s="1393"/>
      <c r="AJ233" s="1394"/>
      <c r="AK233" s="1394"/>
      <c r="AL233" s="1395"/>
      <c r="AM233" s="2039">
        <f>(AM219+600)/AM205</f>
        <v>0.21802122938482149</v>
      </c>
      <c r="AN233" s="1393"/>
      <c r="AO233" s="1394"/>
      <c r="AP233" s="1394"/>
      <c r="AQ233" s="1395"/>
      <c r="AR233" s="2039">
        <f>(AR219+600)/AR205</f>
        <v>0.21110707112204008</v>
      </c>
      <c r="AS233" s="1393"/>
      <c r="AT233" s="1394"/>
      <c r="AU233" s="1394"/>
      <c r="AV233" s="1395"/>
      <c r="AW233" s="2039">
        <f>(AW219+600)/AW205</f>
        <v>0.19756660041862492</v>
      </c>
      <c r="AX233" s="1393"/>
      <c r="AY233" s="1394"/>
      <c r="AZ233" s="1394"/>
      <c r="BA233" s="1395"/>
      <c r="BB233" s="2039">
        <f>(BB219+600)/BB205</f>
        <v>0.17310341672643015</v>
      </c>
      <c r="BC233" s="1393"/>
      <c r="BD233" s="1394"/>
      <c r="BE233" s="1394"/>
      <c r="BF233" s="1395"/>
      <c r="BG233" s="2039">
        <f>(BG219+600)/BG205</f>
        <v>0.15792226611276575</v>
      </c>
      <c r="BH233" s="1393"/>
      <c r="BI233" s="1394"/>
      <c r="BJ233" s="1394"/>
      <c r="BK233" s="1395"/>
      <c r="BL233" s="2039">
        <f>(BL219+600)/BL205</f>
        <v>0.15105672089352284</v>
      </c>
      <c r="BM233" s="1393"/>
      <c r="BN233" s="1394"/>
      <c r="BO233" s="1394"/>
      <c r="BP233" s="1395"/>
      <c r="BQ233" s="2039">
        <f>(BQ219+600)/BQ205</f>
        <v>0.14353623020269601</v>
      </c>
      <c r="BR233" s="1249"/>
      <c r="BS233" s="1249"/>
      <c r="BT233" s="1249"/>
      <c r="BU233" s="1249"/>
      <c r="BV233" s="1249"/>
      <c r="BW233" s="1249"/>
      <c r="BX233" s="1249"/>
      <c r="BY233" s="1249"/>
      <c r="BZ233" s="1249"/>
      <c r="CA233" s="1249"/>
      <c r="CB233" s="1249"/>
      <c r="CC233" s="1249"/>
      <c r="CD233" s="1249"/>
      <c r="CE233" s="1249"/>
      <c r="CF233"/>
      <c r="CG233"/>
      <c r="CH233"/>
      <c r="CI233"/>
      <c r="CJ233"/>
      <c r="CK233"/>
    </row>
    <row r="234" spans="1:89" s="90" customFormat="1">
      <c r="A234" s="1249"/>
      <c r="B234" s="1249"/>
      <c r="C234" s="2027" t="s">
        <v>1031</v>
      </c>
      <c r="D234" s="2028"/>
      <c r="E234" s="2029"/>
      <c r="F234" s="2030"/>
      <c r="G234" s="2030"/>
      <c r="H234" s="2031"/>
      <c r="I234" s="2040"/>
      <c r="J234" s="2041"/>
      <c r="K234" s="2042"/>
      <c r="L234" s="2042"/>
      <c r="M234" s="2043"/>
      <c r="N234" s="2044">
        <f>(N220)/N226</f>
        <v>0.28749214017025643</v>
      </c>
      <c r="O234" s="2029"/>
      <c r="P234" s="2030"/>
      <c r="Q234" s="2030"/>
      <c r="R234" s="2031"/>
      <c r="S234" s="2044">
        <f>(S220)/S226</f>
        <v>0.19657324924135797</v>
      </c>
      <c r="T234" s="2029"/>
      <c r="U234" s="2030"/>
      <c r="V234" s="2030"/>
      <c r="W234" s="2031"/>
      <c r="X234" s="2044">
        <f>(X220)/X226</f>
        <v>0.16994455506212289</v>
      </c>
      <c r="Y234" s="2029"/>
      <c r="Z234" s="2030"/>
      <c r="AA234" s="2030"/>
      <c r="AB234" s="2031"/>
      <c r="AC234" s="2044">
        <f>(AC220)/AC226</f>
        <v>0.18291797889393344</v>
      </c>
      <c r="AD234" s="2029"/>
      <c r="AE234" s="2030"/>
      <c r="AF234" s="2030"/>
      <c r="AG234" s="2031"/>
      <c r="AH234" s="2044">
        <f>(AH220)/AH226</f>
        <v>0.20873896943558054</v>
      </c>
      <c r="AI234" s="2029"/>
      <c r="AJ234" s="2030"/>
      <c r="AK234" s="2030"/>
      <c r="AL234" s="2031"/>
      <c r="AM234" s="2044">
        <f>(AM220)/AM226</f>
        <v>0.21035288211547257</v>
      </c>
      <c r="AN234" s="2029"/>
      <c r="AO234" s="2030"/>
      <c r="AP234" s="2030"/>
      <c r="AQ234" s="2031"/>
      <c r="AR234" s="2044">
        <f>(AR220)/AR226</f>
        <v>0.18124753950795489</v>
      </c>
      <c r="AS234" s="2029"/>
      <c r="AT234" s="2030"/>
      <c r="AU234" s="2030"/>
      <c r="AV234" s="2031"/>
      <c r="AW234" s="2044">
        <f>(AW220)/AW226</f>
        <v>0.15029553487772143</v>
      </c>
      <c r="AX234" s="2029"/>
      <c r="AY234" s="2030"/>
      <c r="AZ234" s="2030"/>
      <c r="BA234" s="2031"/>
      <c r="BB234" s="2044">
        <f>(BB220)/BB226</f>
        <v>0.13544783973686378</v>
      </c>
      <c r="BC234" s="2029"/>
      <c r="BD234" s="2030"/>
      <c r="BE234" s="2030"/>
      <c r="BF234" s="2031"/>
      <c r="BG234" s="2044">
        <f>(BG220)/BG226</f>
        <v>0.13087781713300578</v>
      </c>
      <c r="BH234" s="2029"/>
      <c r="BI234" s="2030"/>
      <c r="BJ234" s="2030"/>
      <c r="BK234" s="2031"/>
      <c r="BL234" s="2044">
        <f>(BL220)/BL226</f>
        <v>0.12720099302364735</v>
      </c>
      <c r="BM234" s="2029"/>
      <c r="BN234" s="2030"/>
      <c r="BO234" s="2030"/>
      <c r="BP234" s="2031"/>
      <c r="BQ234" s="2044">
        <f>(BQ220)/BQ226</f>
        <v>0.12461388990154817</v>
      </c>
      <c r="BR234" s="1249"/>
      <c r="BS234" s="1249"/>
      <c r="BT234" s="1249"/>
      <c r="BU234" s="1249"/>
      <c r="BV234" s="1249"/>
      <c r="BW234" s="1249"/>
      <c r="BX234" s="1249"/>
      <c r="BY234" s="1249"/>
      <c r="BZ234" s="1249"/>
      <c r="CA234" s="1249"/>
      <c r="CB234" s="1249"/>
      <c r="CC234" s="1249"/>
      <c r="CD234" s="1249"/>
      <c r="CE234" s="1249"/>
      <c r="CF234"/>
      <c r="CG234"/>
      <c r="CH234"/>
      <c r="CI234"/>
      <c r="CJ234"/>
      <c r="CK234"/>
    </row>
    <row r="235" spans="1:89">
      <c r="A235" s="233"/>
      <c r="B235" s="233"/>
      <c r="C235" s="1264"/>
      <c r="D235" s="233"/>
      <c r="E235" s="234"/>
      <c r="F235" s="235"/>
      <c r="G235" s="235"/>
      <c r="H235" s="236"/>
      <c r="I235" s="233"/>
      <c r="J235" s="234"/>
      <c r="K235" s="235"/>
      <c r="L235" s="235"/>
      <c r="M235" s="236"/>
      <c r="N235" s="233"/>
      <c r="O235" s="234"/>
      <c r="P235" s="235"/>
      <c r="Q235" s="235"/>
      <c r="R235" s="236"/>
      <c r="S235" s="233"/>
      <c r="T235" s="234"/>
      <c r="U235" s="235"/>
      <c r="V235" s="235"/>
      <c r="W235" s="236"/>
      <c r="X235" s="233"/>
      <c r="Y235" s="234"/>
      <c r="Z235" s="235"/>
      <c r="AA235" s="235"/>
      <c r="AB235" s="236"/>
      <c r="AC235" s="233"/>
      <c r="AD235" s="234"/>
      <c r="AE235" s="235"/>
      <c r="AF235" s="235"/>
      <c r="AG235" s="236"/>
      <c r="AH235" s="233"/>
      <c r="AI235" s="234"/>
      <c r="AJ235" s="235"/>
      <c r="AK235" s="235"/>
      <c r="AL235" s="236"/>
      <c r="AM235" s="233"/>
      <c r="AN235" s="234"/>
      <c r="AO235" s="235"/>
      <c r="AP235" s="235"/>
      <c r="AQ235" s="236"/>
      <c r="AR235" s="233"/>
      <c r="AS235" s="234"/>
      <c r="AT235" s="235"/>
      <c r="AU235" s="235"/>
      <c r="AV235" s="236"/>
      <c r="AW235" s="233"/>
      <c r="AX235" s="234"/>
      <c r="AY235" s="235"/>
      <c r="AZ235" s="235"/>
      <c r="BA235" s="236"/>
      <c r="BB235" s="233"/>
      <c r="BC235" s="234"/>
      <c r="BD235" s="235"/>
      <c r="BE235" s="235"/>
      <c r="BF235" s="236"/>
      <c r="BG235" s="233"/>
      <c r="BH235" s="234"/>
      <c r="BI235" s="235"/>
      <c r="BJ235" s="235"/>
      <c r="BK235" s="236"/>
      <c r="BL235" s="233"/>
      <c r="BM235" s="234"/>
      <c r="BN235" s="235"/>
      <c r="BO235" s="235"/>
      <c r="BP235" s="236"/>
      <c r="BQ235" s="233"/>
      <c r="BR235" s="233"/>
      <c r="BS235" s="233"/>
      <c r="BT235" s="233"/>
      <c r="BU235" s="233"/>
      <c r="BV235" s="233"/>
      <c r="BW235" s="233"/>
      <c r="BX235" s="233"/>
      <c r="BY235" s="233"/>
      <c r="BZ235" s="233"/>
      <c r="CA235" s="233"/>
      <c r="CB235" s="233"/>
      <c r="CC235" s="233"/>
      <c r="CD235" s="233"/>
      <c r="CE235" s="233"/>
    </row>
    <row r="236" spans="1:89">
      <c r="A236" s="233"/>
      <c r="B236" s="233"/>
      <c r="C236" s="1266" t="s">
        <v>401</v>
      </c>
      <c r="D236" s="233"/>
      <c r="E236" s="234"/>
      <c r="F236" s="235"/>
      <c r="G236" s="235"/>
      <c r="H236" s="236"/>
      <c r="I236" s="233"/>
      <c r="J236" s="234"/>
      <c r="K236" s="235"/>
      <c r="L236" s="235"/>
      <c r="M236" s="236"/>
      <c r="N236" s="233"/>
      <c r="O236" s="234"/>
      <c r="P236" s="235"/>
      <c r="Q236" s="235"/>
      <c r="R236" s="236"/>
      <c r="S236" s="233"/>
      <c r="T236" s="234"/>
      <c r="U236" s="235"/>
      <c r="V236" s="235"/>
      <c r="W236" s="236"/>
      <c r="X236" s="233"/>
      <c r="Y236" s="234"/>
      <c r="Z236" s="235"/>
      <c r="AA236" s="235"/>
      <c r="AB236" s="236"/>
      <c r="AC236" s="233"/>
      <c r="AD236" s="234"/>
      <c r="AE236" s="235"/>
      <c r="AF236" s="235"/>
      <c r="AG236" s="236"/>
      <c r="AH236" s="233"/>
      <c r="AI236" s="234"/>
      <c r="AJ236" s="235"/>
      <c r="AK236" s="235"/>
      <c r="AL236" s="236"/>
      <c r="AM236" s="233"/>
      <c r="AN236" s="234"/>
      <c r="AO236" s="235"/>
      <c r="AP236" s="235"/>
      <c r="AQ236" s="236"/>
      <c r="AR236" s="233"/>
      <c r="AS236" s="234"/>
      <c r="AT236" s="235"/>
      <c r="AU236" s="235"/>
      <c r="AV236" s="236"/>
      <c r="AW236" s="233"/>
      <c r="AX236" s="234"/>
      <c r="AY236" s="235"/>
      <c r="AZ236" s="235"/>
      <c r="BA236" s="236"/>
      <c r="BB236" s="233"/>
      <c r="BC236" s="234"/>
      <c r="BD236" s="235"/>
      <c r="BE236" s="235"/>
      <c r="BF236" s="236"/>
      <c r="BG236" s="233"/>
      <c r="BH236" s="234"/>
      <c r="BI236" s="235"/>
      <c r="BJ236" s="235"/>
      <c r="BK236" s="236"/>
      <c r="BL236" s="233"/>
      <c r="BM236" s="234"/>
      <c r="BN236" s="235"/>
      <c r="BO236" s="235"/>
      <c r="BP236" s="236"/>
      <c r="BQ236" s="233"/>
      <c r="BR236" s="233"/>
      <c r="BS236" s="233"/>
      <c r="BT236" s="233"/>
      <c r="BU236" s="240"/>
      <c r="BV236" s="233"/>
      <c r="BW236" s="233"/>
      <c r="BX236" s="233"/>
      <c r="BY236" s="233"/>
      <c r="BZ236" s="233"/>
      <c r="CA236" s="233"/>
      <c r="CB236" s="233"/>
      <c r="CC236" s="233"/>
      <c r="CD236" s="233"/>
      <c r="CE236" s="233"/>
    </row>
    <row r="237" spans="1:89">
      <c r="A237" s="233"/>
      <c r="B237" s="233"/>
      <c r="C237" s="1268" t="s">
        <v>663</v>
      </c>
      <c r="D237" s="233"/>
      <c r="E237" s="292"/>
      <c r="F237" s="293"/>
      <c r="G237" s="293"/>
      <c r="H237" s="294"/>
      <c r="I237" s="295">
        <f>((I219+I223)/I223)</f>
        <v>4.9505548478578856</v>
      </c>
      <c r="J237" s="292"/>
      <c r="K237" s="293"/>
      <c r="L237" s="293"/>
      <c r="M237" s="294"/>
      <c r="N237" s="295">
        <f>((N219+N223)/N223)</f>
        <v>4.9373133643423053</v>
      </c>
      <c r="O237" s="292"/>
      <c r="P237" s="293"/>
      <c r="Q237" s="293"/>
      <c r="R237" s="294"/>
      <c r="S237" s="295">
        <f>((S219+S223)/S223)</f>
        <v>5.4633676686835146</v>
      </c>
      <c r="T237" s="292"/>
      <c r="U237" s="293"/>
      <c r="V237" s="293"/>
      <c r="W237" s="294"/>
      <c r="X237" s="295">
        <f>((X219+X223)/X223)</f>
        <v>4.7139348099888565</v>
      </c>
      <c r="Y237" s="292"/>
      <c r="Z237" s="293"/>
      <c r="AA237" s="293"/>
      <c r="AB237" s="294"/>
      <c r="AC237" s="295">
        <f>((AC219+AC223)/AC223)</f>
        <v>4.5234561272808413</v>
      </c>
      <c r="AD237" s="292"/>
      <c r="AE237" s="293"/>
      <c r="AF237" s="293"/>
      <c r="AG237" s="294"/>
      <c r="AH237" s="295">
        <f>((AH219+AH223)/AH223)</f>
        <v>4.5831491658384822</v>
      </c>
      <c r="AI237" s="292"/>
      <c r="AJ237" s="293"/>
      <c r="AK237" s="293"/>
      <c r="AL237" s="294"/>
      <c r="AM237" s="295">
        <f>((AM219+AM223)/AM223)</f>
        <v>4.6011467013681653</v>
      </c>
      <c r="AN237" s="292"/>
      <c r="AO237" s="293"/>
      <c r="AP237" s="293"/>
      <c r="AQ237" s="294"/>
      <c r="AR237" s="295">
        <f>((AR219+AR223)/AR223)</f>
        <v>4.7383308709647496</v>
      </c>
      <c r="AS237" s="292"/>
      <c r="AT237" s="293"/>
      <c r="AU237" s="293"/>
      <c r="AV237" s="294"/>
      <c r="AW237" s="295">
        <f>((AW219+AW223)/AW223)</f>
        <v>4.8039371503877213</v>
      </c>
      <c r="AX237" s="292"/>
      <c r="AY237" s="293"/>
      <c r="AZ237" s="293"/>
      <c r="BA237" s="294"/>
      <c r="BB237" s="295">
        <f>((BB219+BB223)/BB223)</f>
        <v>4.0006977549591873</v>
      </c>
      <c r="BC237" s="292"/>
      <c r="BD237" s="293"/>
      <c r="BE237" s="293"/>
      <c r="BF237" s="294"/>
      <c r="BG237" s="295">
        <f>((BG219+BG223)/BG223)</f>
        <v>3.7736361621885632</v>
      </c>
      <c r="BH237" s="292"/>
      <c r="BI237" s="293"/>
      <c r="BJ237" s="293"/>
      <c r="BK237" s="294"/>
      <c r="BL237" s="295">
        <f>((BL219+BL223)/BL223)</f>
        <v>3.5740043820176433</v>
      </c>
      <c r="BM237" s="292"/>
      <c r="BN237" s="293"/>
      <c r="BO237" s="293"/>
      <c r="BP237" s="294"/>
      <c r="BQ237" s="295">
        <f>((BQ219+BQ223)/BQ223)</f>
        <v>3.3849314381171158</v>
      </c>
      <c r="BR237" s="233"/>
      <c r="BS237" s="233"/>
      <c r="BT237" s="233"/>
      <c r="BU237" s="295"/>
      <c r="BV237" s="233"/>
      <c r="BW237" s="233"/>
      <c r="BX237" s="233"/>
      <c r="BY237" s="233"/>
      <c r="BZ237" s="233"/>
      <c r="CA237" s="233"/>
      <c r="CB237" s="233"/>
      <c r="CC237" s="233"/>
      <c r="CD237" s="233"/>
      <c r="CE237" s="233"/>
    </row>
    <row r="238" spans="1:89" s="90" customFormat="1">
      <c r="A238" s="1249"/>
      <c r="B238" s="1249"/>
      <c r="C238" s="1177" t="s">
        <v>825</v>
      </c>
      <c r="D238" s="1249"/>
      <c r="E238" s="1393"/>
      <c r="F238" s="1394"/>
      <c r="G238" s="1394"/>
      <c r="H238" s="1395"/>
      <c r="I238" s="2045">
        <f>((I219+I223+600)/I223)</f>
        <v>5.9444605493979426</v>
      </c>
      <c r="J238" s="2046"/>
      <c r="K238" s="2047"/>
      <c r="L238" s="2047"/>
      <c r="M238" s="2048"/>
      <c r="N238" s="2045">
        <f>((N219+N223+600)/N223)</f>
        <v>5.9206845574665738</v>
      </c>
      <c r="O238" s="2046"/>
      <c r="P238" s="2047"/>
      <c r="Q238" s="2047"/>
      <c r="R238" s="2048"/>
      <c r="S238" s="2045">
        <f>((S219+S223+600)/S223)</f>
        <v>6.5512682200677768</v>
      </c>
      <c r="T238" s="2046"/>
      <c r="U238" s="2047"/>
      <c r="V238" s="2047"/>
      <c r="W238" s="2048"/>
      <c r="X238" s="2045">
        <f>((X219+X223+600)/X223)</f>
        <v>5.7030610158985553</v>
      </c>
      <c r="Y238" s="2049"/>
      <c r="Z238" s="2050"/>
      <c r="AA238" s="2050"/>
      <c r="AB238" s="2051"/>
      <c r="AC238" s="2045">
        <f>((AC219+AC223+600)/AC223)</f>
        <v>5.4765375188432115</v>
      </c>
      <c r="AD238" s="2049"/>
      <c r="AE238" s="2050"/>
      <c r="AF238" s="2050"/>
      <c r="AG238" s="2051"/>
      <c r="AH238" s="2045">
        <f>((AH219+AH223+600)/AH223)</f>
        <v>5.4907507831845637</v>
      </c>
      <c r="AI238" s="2049"/>
      <c r="AJ238" s="2050"/>
      <c r="AK238" s="2050"/>
      <c r="AL238" s="2051"/>
      <c r="AM238" s="2045">
        <f>((AM219+AM223+600)/AM223)</f>
        <v>5.4965407941548703</v>
      </c>
      <c r="AN238" s="2049"/>
      <c r="AO238" s="2050"/>
      <c r="AP238" s="2050"/>
      <c r="AQ238" s="2051"/>
      <c r="AR238" s="2045">
        <f>((AR219+AR223+600)/AR223)</f>
        <v>5.5948069003418777</v>
      </c>
      <c r="AS238" s="2049"/>
      <c r="AT238" s="2050"/>
      <c r="AU238" s="2050"/>
      <c r="AV238" s="2051"/>
      <c r="AW238" s="2045">
        <f>((AW219+AW223+600)/AW223)</f>
        <v>5.6523390440207484</v>
      </c>
      <c r="AX238" s="2049"/>
      <c r="AY238" s="2050"/>
      <c r="AZ238" s="2050"/>
      <c r="BA238" s="2051"/>
      <c r="BB238" s="2045">
        <f>((BB219+BB223+600)/BB223)</f>
        <v>4.7155739604507216</v>
      </c>
      <c r="BC238" s="2049"/>
      <c r="BD238" s="2050"/>
      <c r="BE238" s="2050"/>
      <c r="BF238" s="2051"/>
      <c r="BG238" s="2045">
        <f>((BG219+BG223+600)/BG223)</f>
        <v>4.4308157898051093</v>
      </c>
      <c r="BH238" s="2049"/>
      <c r="BI238" s="2050"/>
      <c r="BJ238" s="2050"/>
      <c r="BK238" s="2051"/>
      <c r="BL238" s="2045">
        <f>((BL219+BL223+600)/BL223)</f>
        <v>4.1626903643498094</v>
      </c>
      <c r="BM238" s="2049"/>
      <c r="BN238" s="2050"/>
      <c r="BO238" s="2050"/>
      <c r="BP238" s="2051"/>
      <c r="BQ238" s="2045">
        <f>((BQ219+BQ223+600)/BQ223)</f>
        <v>3.9261724614355868</v>
      </c>
      <c r="BR238" s="1249"/>
      <c r="BS238" s="1249"/>
      <c r="BT238" s="1249"/>
      <c r="BU238" s="1249"/>
      <c r="BV238" s="1249"/>
      <c r="BW238" s="1249"/>
      <c r="BX238" s="1249"/>
      <c r="BY238" s="1249"/>
      <c r="BZ238" s="1249"/>
      <c r="CA238" s="1249"/>
      <c r="CB238" s="1249"/>
      <c r="CC238" s="1249"/>
      <c r="CD238" s="1249"/>
      <c r="CE238" s="1249"/>
      <c r="CF238"/>
      <c r="CG238"/>
      <c r="CH238"/>
      <c r="CI238"/>
      <c r="CJ238"/>
      <c r="CK238"/>
    </row>
    <row r="239" spans="1:89" s="90" customFormat="1">
      <c r="A239" s="1249"/>
      <c r="B239" s="1249"/>
      <c r="C239" s="1189"/>
      <c r="D239" s="1249"/>
      <c r="E239" s="1393"/>
      <c r="F239" s="1394"/>
      <c r="G239" s="1394"/>
      <c r="H239" s="1395"/>
      <c r="I239" s="1411"/>
      <c r="J239" s="1412"/>
      <c r="K239" s="1413"/>
      <c r="L239" s="1413"/>
      <c r="M239" s="1414"/>
      <c r="N239" s="1411"/>
      <c r="O239" s="1412"/>
      <c r="P239" s="1413"/>
      <c r="Q239" s="1413"/>
      <c r="R239" s="1414"/>
      <c r="S239" s="1411"/>
      <c r="T239" s="1412"/>
      <c r="U239" s="1413"/>
      <c r="V239" s="1413"/>
      <c r="W239" s="1414"/>
      <c r="X239" s="1411"/>
      <c r="Y239" s="1397"/>
      <c r="Z239" s="1398"/>
      <c r="AA239" s="1398"/>
      <c r="AB239" s="1399"/>
      <c r="AC239" s="1396"/>
      <c r="AD239" s="1397"/>
      <c r="AE239" s="1398"/>
      <c r="AF239" s="1398"/>
      <c r="AG239" s="1399"/>
      <c r="AH239" s="1396"/>
      <c r="AI239" s="1397"/>
      <c r="AJ239" s="1398"/>
      <c r="AK239" s="1398"/>
      <c r="AL239" s="1399"/>
      <c r="AM239" s="1396"/>
      <c r="AN239" s="1397"/>
      <c r="AO239" s="1398"/>
      <c r="AP239" s="1398"/>
      <c r="AQ239" s="1399"/>
      <c r="AR239" s="1396"/>
      <c r="AS239" s="1397"/>
      <c r="AT239" s="1398"/>
      <c r="AU239" s="1398"/>
      <c r="AV239" s="1399"/>
      <c r="AW239" s="1396"/>
      <c r="AX239" s="1397"/>
      <c r="AY239" s="1398"/>
      <c r="AZ239" s="1398"/>
      <c r="BA239" s="1399"/>
      <c r="BB239" s="1396"/>
      <c r="BC239" s="1397"/>
      <c r="BD239" s="1398"/>
      <c r="BE239" s="1398"/>
      <c r="BF239" s="1399"/>
      <c r="BG239" s="1396"/>
      <c r="BH239" s="1397"/>
      <c r="BI239" s="1398"/>
      <c r="BJ239" s="1398"/>
      <c r="BK239" s="1399"/>
      <c r="BL239" s="1396"/>
      <c r="BM239" s="1397"/>
      <c r="BN239" s="1398"/>
      <c r="BO239" s="1398"/>
      <c r="BP239" s="1399"/>
      <c r="BQ239" s="1396"/>
      <c r="BR239" s="1249"/>
      <c r="BS239" s="1249"/>
      <c r="BT239" s="1249"/>
      <c r="BU239" s="1249"/>
      <c r="BV239" s="1249"/>
      <c r="BW239" s="1249"/>
      <c r="BX239" s="1249"/>
      <c r="BY239" s="1249"/>
      <c r="BZ239" s="1249"/>
      <c r="CA239" s="1249"/>
      <c r="CB239" s="1249"/>
      <c r="CC239" s="1249"/>
      <c r="CD239" s="1249"/>
      <c r="CE239" s="1249"/>
      <c r="CF239"/>
      <c r="CG239"/>
      <c r="CH239"/>
      <c r="CI239"/>
      <c r="CJ239"/>
      <c r="CK239"/>
    </row>
    <row r="240" spans="1:89">
      <c r="A240" s="233"/>
      <c r="B240" s="233"/>
      <c r="C240" s="1268" t="s">
        <v>665</v>
      </c>
      <c r="D240" s="233"/>
      <c r="E240" s="292"/>
      <c r="F240" s="293"/>
      <c r="G240" s="293"/>
      <c r="H240" s="294"/>
      <c r="I240" s="295">
        <f>I221/I223</f>
        <v>4.0654619425224334</v>
      </c>
      <c r="J240" s="292"/>
      <c r="K240" s="293"/>
      <c r="L240" s="293"/>
      <c r="M240" s="294"/>
      <c r="N240" s="295">
        <f>N221/N223</f>
        <v>4.036265090650434</v>
      </c>
      <c r="O240" s="292"/>
      <c r="P240" s="293"/>
      <c r="Q240" s="293"/>
      <c r="R240" s="294"/>
      <c r="S240" s="295">
        <f>S221/S223</f>
        <v>3.9296092079902674</v>
      </c>
      <c r="T240" s="292"/>
      <c r="U240" s="293"/>
      <c r="V240" s="293"/>
      <c r="W240" s="294"/>
      <c r="X240" s="295">
        <f>X221/X223</f>
        <v>2.4208896860513422</v>
      </c>
      <c r="Y240" s="292"/>
      <c r="Z240" s="293"/>
      <c r="AA240" s="293"/>
      <c r="AB240" s="294"/>
      <c r="AC240" s="295">
        <f>AC221/AC223</f>
        <v>2.4789488147638639</v>
      </c>
      <c r="AD240" s="292"/>
      <c r="AE240" s="293"/>
      <c r="AF240" s="293"/>
      <c r="AG240" s="294"/>
      <c r="AH240" s="295">
        <f>AH221/AH223</f>
        <v>3.2936272752438067</v>
      </c>
      <c r="AI240" s="292"/>
      <c r="AJ240" s="293"/>
      <c r="AK240" s="293"/>
      <c r="AL240" s="294"/>
      <c r="AM240" s="295">
        <f>AM221/AM223</f>
        <v>-0.23308899023423238</v>
      </c>
      <c r="AN240" s="292"/>
      <c r="AO240" s="293"/>
      <c r="AP240" s="293"/>
      <c r="AQ240" s="294"/>
      <c r="AR240" s="295">
        <f>AR221/AR223</f>
        <v>-1.0211934993469369</v>
      </c>
      <c r="AS240" s="292"/>
      <c r="AT240" s="293"/>
      <c r="AU240" s="293"/>
      <c r="AV240" s="294"/>
      <c r="AW240" s="295">
        <f>AW221/AW223</f>
        <v>2.3052012692092347</v>
      </c>
      <c r="AX240" s="292"/>
      <c r="AY240" s="293"/>
      <c r="AZ240" s="293"/>
      <c r="BA240" s="294"/>
      <c r="BB240" s="295">
        <f>BB221/BB223</f>
        <v>2.7278780696617857</v>
      </c>
      <c r="BC240" s="292"/>
      <c r="BD240" s="293"/>
      <c r="BE240" s="293"/>
      <c r="BF240" s="294"/>
      <c r="BG240" s="295">
        <f>BG221/BG223</f>
        <v>2.6443963335020051</v>
      </c>
      <c r="BH240" s="292"/>
      <c r="BI240" s="293"/>
      <c r="BJ240" s="293"/>
      <c r="BK240" s="294"/>
      <c r="BL240" s="295">
        <f>BL221/BL223</f>
        <v>2.5377000703976029</v>
      </c>
      <c r="BM240" s="292"/>
      <c r="BN240" s="293"/>
      <c r="BO240" s="293"/>
      <c r="BP240" s="294"/>
      <c r="BQ240" s="295">
        <f>BQ221/BQ223</f>
        <v>2.3669784699067744</v>
      </c>
      <c r="BR240" s="233"/>
      <c r="BS240" s="233"/>
      <c r="BT240" s="233"/>
      <c r="BU240" s="233"/>
      <c r="BV240" s="233"/>
      <c r="BW240" s="233"/>
      <c r="BX240" s="233"/>
      <c r="BY240" s="233"/>
      <c r="BZ240" s="233"/>
      <c r="CA240" s="233"/>
      <c r="CB240" s="233"/>
      <c r="CC240" s="233"/>
      <c r="CD240" s="233"/>
      <c r="CE240" s="233"/>
    </row>
    <row r="241" spans="1:89">
      <c r="A241" s="320"/>
      <c r="B241" s="320"/>
      <c r="C241" s="1167"/>
      <c r="D241" s="320"/>
      <c r="E241" s="569"/>
      <c r="F241" s="570"/>
      <c r="G241" s="570"/>
      <c r="H241" s="571"/>
      <c r="I241" s="5"/>
      <c r="J241" s="569"/>
      <c r="K241" s="570"/>
      <c r="L241" s="570"/>
      <c r="M241" s="571"/>
      <c r="N241" s="5"/>
      <c r="O241" s="569"/>
      <c r="P241" s="570"/>
      <c r="Q241" s="570"/>
      <c r="R241" s="571"/>
      <c r="S241" s="5"/>
      <c r="T241" s="569"/>
      <c r="U241" s="570"/>
      <c r="V241" s="570"/>
      <c r="W241" s="571"/>
      <c r="X241" s="5"/>
      <c r="Y241" s="569"/>
      <c r="Z241" s="570"/>
      <c r="AA241" s="570"/>
      <c r="AB241" s="571"/>
      <c r="AC241" s="5"/>
      <c r="AD241" s="569"/>
      <c r="AE241" s="570"/>
      <c r="AF241" s="570"/>
      <c r="AG241" s="571"/>
      <c r="AH241" s="5"/>
      <c r="AI241" s="569"/>
      <c r="AJ241" s="570"/>
      <c r="AK241" s="570"/>
      <c r="AL241" s="571"/>
      <c r="AM241" s="5"/>
      <c r="AN241" s="569"/>
      <c r="AO241" s="570"/>
      <c r="AP241" s="570"/>
      <c r="AQ241" s="571"/>
      <c r="AR241" s="107"/>
      <c r="AS241" s="569"/>
      <c r="AT241" s="570"/>
      <c r="AU241" s="570"/>
      <c r="AV241" s="571"/>
      <c r="AW241" s="107"/>
      <c r="AX241" s="569"/>
      <c r="AY241" s="570"/>
      <c r="AZ241" s="570"/>
      <c r="BA241" s="571"/>
      <c r="BB241" s="107"/>
      <c r="BC241" s="569"/>
      <c r="BD241" s="570"/>
      <c r="BE241" s="570"/>
      <c r="BF241" s="571"/>
      <c r="BG241" s="107"/>
      <c r="BH241" s="569"/>
      <c r="BI241" s="570"/>
      <c r="BJ241" s="570"/>
      <c r="BK241" s="571"/>
      <c r="BL241" s="107"/>
      <c r="BM241" s="569"/>
      <c r="BN241" s="570"/>
      <c r="BO241" s="570"/>
      <c r="BP241" s="571"/>
      <c r="BQ241" s="107"/>
    </row>
    <row r="242" spans="1:89">
      <c r="A242" s="307"/>
      <c r="B242" s="307"/>
      <c r="C242" s="1287"/>
      <c r="D242" s="307"/>
      <c r="E242" s="307"/>
      <c r="F242" s="307"/>
      <c r="G242" s="307"/>
      <c r="H242" s="307"/>
      <c r="I242" s="307"/>
      <c r="J242" s="307"/>
      <c r="K242" s="307"/>
      <c r="L242" s="307"/>
      <c r="M242" s="307"/>
      <c r="N242" s="307"/>
      <c r="O242" s="307"/>
      <c r="P242" s="307"/>
      <c r="Q242" s="307"/>
      <c r="R242" s="307"/>
      <c r="S242" s="307"/>
      <c r="T242" s="307"/>
      <c r="U242" s="307"/>
      <c r="V242" s="307"/>
      <c r="W242" s="307"/>
      <c r="X242" s="307"/>
      <c r="Y242" s="307"/>
      <c r="Z242" s="307"/>
      <c r="AA242" s="307"/>
      <c r="AB242" s="307"/>
      <c r="AC242" s="307"/>
      <c r="AD242" s="307"/>
      <c r="AE242" s="307"/>
      <c r="AF242" s="307"/>
      <c r="AG242" s="307"/>
      <c r="AH242" s="307"/>
      <c r="AI242" s="307"/>
      <c r="AJ242" s="307"/>
      <c r="AK242" s="307"/>
      <c r="AL242" s="307"/>
      <c r="AM242" s="307"/>
      <c r="AN242" s="307"/>
      <c r="AO242" s="307"/>
      <c r="AP242" s="307"/>
      <c r="AQ242" s="307"/>
      <c r="AR242" s="307"/>
      <c r="AS242" s="307"/>
      <c r="AT242" s="307"/>
      <c r="AU242" s="307"/>
      <c r="AV242" s="307"/>
      <c r="AW242" s="307"/>
      <c r="AX242" s="307"/>
      <c r="AY242" s="307"/>
      <c r="AZ242" s="307"/>
      <c r="BA242" s="307"/>
      <c r="BB242" s="307"/>
      <c r="BC242" s="307"/>
      <c r="BD242" s="307"/>
      <c r="BE242" s="307"/>
      <c r="BF242" s="307"/>
      <c r="BG242" s="307"/>
      <c r="BH242" s="307"/>
      <c r="BI242" s="307"/>
      <c r="BJ242" s="307"/>
      <c r="BK242" s="307"/>
      <c r="BL242" s="307"/>
      <c r="BM242" s="307"/>
      <c r="BN242" s="307"/>
      <c r="BO242" s="307"/>
      <c r="BP242" s="307"/>
      <c r="BQ242" s="307"/>
      <c r="BR242" s="307"/>
      <c r="BS242" s="307"/>
      <c r="BT242" s="307"/>
      <c r="BU242" s="307"/>
      <c r="BV242" s="307"/>
      <c r="BW242" s="307"/>
      <c r="BX242" s="307"/>
      <c r="BY242" s="307"/>
      <c r="BZ242" s="307"/>
      <c r="CA242" s="307"/>
      <c r="CB242" s="307"/>
      <c r="CC242" s="307"/>
      <c r="CD242" s="307"/>
      <c r="CE242" s="307"/>
    </row>
    <row r="243" spans="1:89">
      <c r="A243" s="1230"/>
      <c r="B243" s="70" t="s">
        <v>208</v>
      </c>
      <c r="C243" s="1387"/>
      <c r="D243" s="1388"/>
      <c r="E243" s="308"/>
      <c r="F243" s="308"/>
      <c r="G243" s="308"/>
      <c r="H243" s="308"/>
      <c r="I243" s="308"/>
      <c r="J243" s="308"/>
      <c r="K243" s="308"/>
      <c r="L243" s="308"/>
      <c r="M243" s="308"/>
      <c r="N243" s="308"/>
      <c r="O243" s="308"/>
      <c r="P243" s="308"/>
      <c r="Q243" s="308"/>
      <c r="R243" s="308"/>
      <c r="S243" s="308"/>
      <c r="T243" s="308"/>
      <c r="U243" s="308"/>
      <c r="V243" s="308"/>
      <c r="W243" s="308"/>
      <c r="X243" s="308"/>
      <c r="Y243" s="308"/>
      <c r="Z243" s="308"/>
      <c r="AA243" s="308"/>
      <c r="AB243" s="308"/>
      <c r="AC243" s="308"/>
      <c r="AD243" s="308"/>
      <c r="AE243" s="308"/>
      <c r="AF243" s="308"/>
      <c r="AG243" s="308"/>
      <c r="AH243" s="308"/>
      <c r="AI243" s="308"/>
      <c r="AJ243" s="308"/>
      <c r="AK243" s="308"/>
      <c r="AL243" s="308"/>
      <c r="AM243" s="308"/>
      <c r="AN243" s="308"/>
      <c r="AO243" s="308"/>
      <c r="AP243" s="308"/>
      <c r="AQ243" s="308"/>
      <c r="AR243" s="308"/>
      <c r="AS243" s="308"/>
      <c r="AT243" s="308"/>
      <c r="AU243" s="308"/>
      <c r="AV243" s="308"/>
      <c r="AW243" s="308"/>
      <c r="AX243" s="308"/>
      <c r="AY243" s="308"/>
      <c r="AZ243" s="308"/>
      <c r="BA243" s="308"/>
      <c r="BB243" s="308"/>
      <c r="BC243" s="308"/>
      <c r="BD243" s="308"/>
      <c r="BE243" s="308"/>
      <c r="BF243" s="308"/>
      <c r="BG243" s="308"/>
      <c r="BH243" s="308"/>
      <c r="BI243" s="308"/>
      <c r="BJ243" s="308"/>
      <c r="BK243" s="308"/>
      <c r="BL243" s="308"/>
      <c r="BM243" s="308"/>
      <c r="BN243" s="308"/>
      <c r="BO243" s="308"/>
      <c r="BP243" s="308"/>
      <c r="BQ243" s="308"/>
      <c r="BR243" s="308"/>
      <c r="BS243" s="308"/>
      <c r="BT243" s="308"/>
      <c r="BU243" s="308"/>
      <c r="BV243" s="308"/>
      <c r="BW243" s="308"/>
      <c r="BX243" s="308"/>
      <c r="BY243" s="308"/>
      <c r="BZ243" s="308"/>
      <c r="CA243" s="308"/>
      <c r="CB243" s="308"/>
      <c r="CC243" s="308"/>
      <c r="CD243" s="308"/>
      <c r="CE243" s="308"/>
    </row>
    <row r="244" spans="1:89">
      <c r="A244" s="1230"/>
      <c r="C244" s="233" t="s">
        <v>151</v>
      </c>
      <c r="D244" s="1230"/>
      <c r="E244" s="309">
        <f>I244</f>
        <v>0.38463310666263223</v>
      </c>
      <c r="F244" s="309">
        <f>I244</f>
        <v>0.38463310666263223</v>
      </c>
      <c r="G244" s="309">
        <f>I244</f>
        <v>0.38463310666263223</v>
      </c>
      <c r="H244" s="309">
        <f>I244</f>
        <v>0.38463310666263223</v>
      </c>
      <c r="I244" s="309">
        <f>(659.327+65.241)/1883.79</f>
        <v>0.38463310666263223</v>
      </c>
      <c r="J244" s="309">
        <f>N244</f>
        <v>0.3714721352190995</v>
      </c>
      <c r="K244" s="309">
        <f>N244</f>
        <v>0.3714721352190995</v>
      </c>
      <c r="L244" s="309">
        <f>N244</f>
        <v>0.3714721352190995</v>
      </c>
      <c r="M244" s="309">
        <f>N244</f>
        <v>0.3714721352190995</v>
      </c>
      <c r="N244" s="309">
        <f>(660.64+40.53)/1887.544</f>
        <v>0.3714721352190995</v>
      </c>
      <c r="O244" s="309">
        <f>$S$244</f>
        <v>0.40680803200222537</v>
      </c>
      <c r="P244" s="309">
        <f>$S$244</f>
        <v>0.40680803200222537</v>
      </c>
      <c r="Q244" s="309">
        <f>$S$244</f>
        <v>0.40680803200222537</v>
      </c>
      <c r="R244" s="309">
        <f>$S$244</f>
        <v>0.40680803200222537</v>
      </c>
      <c r="S244" s="1048">
        <f>(578.772+93.94)/1653.635</f>
        <v>0.40680803200222537</v>
      </c>
      <c r="T244" s="309">
        <f>$X$244</f>
        <v>0.3952601037790614</v>
      </c>
      <c r="U244" s="309">
        <f>$X$244</f>
        <v>0.3952601037790614</v>
      </c>
      <c r="V244" s="309">
        <f>$X$244</f>
        <v>0.3952601037790614</v>
      </c>
      <c r="W244" s="309">
        <f>$X$244</f>
        <v>0.3952601037790614</v>
      </c>
      <c r="X244" s="1048">
        <f>(314.726+40.699)/899.218</f>
        <v>0.3952601037790614</v>
      </c>
      <c r="Y244" s="309">
        <f>X244</f>
        <v>0.3952601037790614</v>
      </c>
      <c r="Z244" s="309">
        <f t="shared" ref="Z244:AQ245" si="584">Y244</f>
        <v>0.3952601037790614</v>
      </c>
      <c r="AA244" s="309">
        <f t="shared" si="584"/>
        <v>0.3952601037790614</v>
      </c>
      <c r="AB244" s="309">
        <f t="shared" si="584"/>
        <v>0.3952601037790614</v>
      </c>
      <c r="AC244" s="1048">
        <f>(334.794+13.599)/956.553</f>
        <v>0.36421714217612611</v>
      </c>
      <c r="AD244" s="309">
        <f>+AH244</f>
        <v>0.37884665265244333</v>
      </c>
      <c r="AE244" s="309">
        <f t="shared" si="584"/>
        <v>0.37884665265244333</v>
      </c>
      <c r="AF244" s="309">
        <f t="shared" si="584"/>
        <v>0.37884665265244333</v>
      </c>
      <c r="AG244" s="309">
        <f t="shared" si="584"/>
        <v>0.37884665265244333</v>
      </c>
      <c r="AH244" s="1048">
        <f>(542.449+44.708)/1549.854</f>
        <v>0.37884665265244333</v>
      </c>
      <c r="AI244" s="309">
        <f>+AM244</f>
        <v>0.31255369462809868</v>
      </c>
      <c r="AJ244" s="309">
        <f t="shared" si="584"/>
        <v>0.31255369462809868</v>
      </c>
      <c r="AK244" s="309">
        <f t="shared" si="584"/>
        <v>0.31255369462809868</v>
      </c>
      <c r="AL244" s="309">
        <f t="shared" si="584"/>
        <v>0.31255369462809868</v>
      </c>
      <c r="AM244" s="1048">
        <f>(-279.881+29.944)/-799.661</f>
        <v>0.31255369462809868</v>
      </c>
      <c r="AN244" s="309">
        <f>+AR244</f>
        <v>0.32063119408407526</v>
      </c>
      <c r="AO244" s="309">
        <f t="shared" si="584"/>
        <v>0.32063119408407526</v>
      </c>
      <c r="AP244" s="309">
        <f t="shared" si="584"/>
        <v>0.32063119408407526</v>
      </c>
      <c r="AQ244" s="309">
        <f t="shared" si="584"/>
        <v>0.32063119408407526</v>
      </c>
      <c r="AR244" s="1048">
        <f>(-483.617+40.581)/-1381.762</f>
        <v>0.32063119408407526</v>
      </c>
      <c r="AS244" s="309">
        <f>+AW244</f>
        <v>0.39564304185353588</v>
      </c>
      <c r="AT244" s="309">
        <f t="shared" ref="AT244:AT245" si="585">AS244</f>
        <v>0.39564304185353588</v>
      </c>
      <c r="AU244" s="309">
        <f t="shared" ref="AU244" si="586">AT244</f>
        <v>0.39564304185353588</v>
      </c>
      <c r="AV244" s="309">
        <f t="shared" ref="AV244:BB244" si="587">AU244</f>
        <v>0.39564304185353588</v>
      </c>
      <c r="AW244" s="1048">
        <f>(338.773+44.179)/967.923</f>
        <v>0.39564304185353588</v>
      </c>
      <c r="AX244" s="309">
        <f t="shared" si="587"/>
        <v>0.39564304185353588</v>
      </c>
      <c r="AY244" s="309">
        <f t="shared" si="587"/>
        <v>0.39564304185353588</v>
      </c>
      <c r="AZ244" s="309">
        <f t="shared" si="587"/>
        <v>0.39564304185353588</v>
      </c>
      <c r="BA244" s="309">
        <f t="shared" si="587"/>
        <v>0.39564304185353588</v>
      </c>
      <c r="BB244" s="309">
        <f t="shared" si="587"/>
        <v>0.39564304185353588</v>
      </c>
      <c r="BC244" s="309">
        <f t="shared" ref="BC244" si="588">BB244</f>
        <v>0.39564304185353588</v>
      </c>
      <c r="BD244" s="309">
        <f t="shared" ref="BD244" si="589">BC244</f>
        <v>0.39564304185353588</v>
      </c>
      <c r="BE244" s="309">
        <f t="shared" ref="BE244" si="590">BD244</f>
        <v>0.39564304185353588</v>
      </c>
      <c r="BF244" s="309">
        <f t="shared" ref="BF244" si="591">BE244</f>
        <v>0.39564304185353588</v>
      </c>
      <c r="BG244" s="309">
        <f t="shared" ref="BG244" si="592">BF244</f>
        <v>0.39564304185353588</v>
      </c>
      <c r="BH244" s="309">
        <f t="shared" ref="BH244" si="593">BG244</f>
        <v>0.39564304185353588</v>
      </c>
      <c r="BI244" s="309">
        <f t="shared" ref="BI244" si="594">BH244</f>
        <v>0.39564304185353588</v>
      </c>
      <c r="BJ244" s="309">
        <f t="shared" ref="BJ244" si="595">BI244</f>
        <v>0.39564304185353588</v>
      </c>
      <c r="BK244" s="309">
        <f t="shared" ref="BK244" si="596">BJ244</f>
        <v>0.39564304185353588</v>
      </c>
      <c r="BL244" s="309">
        <f t="shared" ref="BL244" si="597">BK244</f>
        <v>0.39564304185353588</v>
      </c>
      <c r="BM244" s="309">
        <f t="shared" ref="BM244" si="598">BL244</f>
        <v>0.39564304185353588</v>
      </c>
      <c r="BN244" s="309">
        <f t="shared" ref="BN244" si="599">BM244</f>
        <v>0.39564304185353588</v>
      </c>
      <c r="BO244" s="309">
        <f t="shared" ref="BO244" si="600">BN244</f>
        <v>0.39564304185353588</v>
      </c>
      <c r="BP244" s="309">
        <f t="shared" ref="BP244" si="601">BO244</f>
        <v>0.39564304185353588</v>
      </c>
      <c r="BQ244" s="309">
        <f t="shared" ref="BQ244" si="602">BP244</f>
        <v>0.39564304185353588</v>
      </c>
      <c r="BR244" s="308"/>
      <c r="BS244" s="308"/>
      <c r="BT244" s="308"/>
      <c r="BU244" s="308"/>
      <c r="BV244" s="308"/>
      <c r="BW244" s="308"/>
      <c r="BX244" s="308"/>
      <c r="BY244" s="308"/>
      <c r="BZ244" s="308"/>
      <c r="CA244" s="308"/>
      <c r="CB244" s="308"/>
      <c r="CC244" s="308"/>
      <c r="CD244" s="308"/>
      <c r="CE244" s="308"/>
    </row>
    <row r="245" spans="1:89">
      <c r="A245" s="1230"/>
      <c r="C245" s="233" t="s">
        <v>144</v>
      </c>
      <c r="D245" s="1230"/>
      <c r="E245" s="308">
        <v>0</v>
      </c>
      <c r="F245" s="308">
        <f t="shared" ref="F245:AB245" si="603">E245</f>
        <v>0</v>
      </c>
      <c r="G245" s="308">
        <f t="shared" si="603"/>
        <v>0</v>
      </c>
      <c r="H245" s="308">
        <f t="shared" si="603"/>
        <v>0</v>
      </c>
      <c r="I245" s="308">
        <f>+E245</f>
        <v>0</v>
      </c>
      <c r="J245" s="308">
        <f>H245</f>
        <v>0</v>
      </c>
      <c r="K245" s="308">
        <f t="shared" si="603"/>
        <v>0</v>
      </c>
      <c r="L245" s="308">
        <f t="shared" si="603"/>
        <v>0</v>
      </c>
      <c r="M245" s="308">
        <f t="shared" si="603"/>
        <v>0</v>
      </c>
      <c r="N245" s="308">
        <f>I245</f>
        <v>0</v>
      </c>
      <c r="O245" s="308">
        <f>M245</f>
        <v>0</v>
      </c>
      <c r="P245" s="308">
        <f t="shared" si="603"/>
        <v>0</v>
      </c>
      <c r="Q245" s="308">
        <f t="shared" si="603"/>
        <v>0</v>
      </c>
      <c r="R245" s="308">
        <f t="shared" si="603"/>
        <v>0</v>
      </c>
      <c r="S245" s="308">
        <f>N245</f>
        <v>0</v>
      </c>
      <c r="T245" s="308">
        <f>R245</f>
        <v>0</v>
      </c>
      <c r="U245" s="308">
        <f t="shared" si="603"/>
        <v>0</v>
      </c>
      <c r="V245" s="308">
        <f t="shared" si="603"/>
        <v>0</v>
      </c>
      <c r="W245" s="308">
        <f t="shared" si="603"/>
        <v>0</v>
      </c>
      <c r="X245" s="308">
        <f>S245</f>
        <v>0</v>
      </c>
      <c r="Y245" s="308">
        <f>W245</f>
        <v>0</v>
      </c>
      <c r="Z245" s="308">
        <f t="shared" si="603"/>
        <v>0</v>
      </c>
      <c r="AA245" s="308">
        <f t="shared" si="603"/>
        <v>0</v>
      </c>
      <c r="AB245" s="308">
        <f t="shared" si="603"/>
        <v>0</v>
      </c>
      <c r="AC245" s="308">
        <f>X245</f>
        <v>0</v>
      </c>
      <c r="AD245" s="308">
        <f>AB245</f>
        <v>0</v>
      </c>
      <c r="AE245" s="308">
        <f t="shared" ref="AE245:AL245" si="604">AD245</f>
        <v>0</v>
      </c>
      <c r="AF245" s="308">
        <f t="shared" si="604"/>
        <v>0</v>
      </c>
      <c r="AG245" s="308">
        <f t="shared" si="604"/>
        <v>0</v>
      </c>
      <c r="AH245" s="308">
        <f>AC245</f>
        <v>0</v>
      </c>
      <c r="AI245" s="308">
        <f>AG245</f>
        <v>0</v>
      </c>
      <c r="AJ245" s="308">
        <f t="shared" si="604"/>
        <v>0</v>
      </c>
      <c r="AK245" s="308">
        <f t="shared" si="604"/>
        <v>0</v>
      </c>
      <c r="AL245" s="308">
        <f t="shared" si="604"/>
        <v>0</v>
      </c>
      <c r="AM245" s="308">
        <f>AH245</f>
        <v>0</v>
      </c>
      <c r="AN245" s="308">
        <f>AL245</f>
        <v>0</v>
      </c>
      <c r="AO245" s="308">
        <f t="shared" si="584"/>
        <v>0</v>
      </c>
      <c r="AP245" s="308">
        <f>AO245</f>
        <v>0</v>
      </c>
      <c r="AQ245" s="308">
        <f>AP245</f>
        <v>0</v>
      </c>
      <c r="AR245" s="308">
        <f>AM245</f>
        <v>0</v>
      </c>
      <c r="AS245" s="308">
        <f>AQ245</f>
        <v>0</v>
      </c>
      <c r="AT245" s="308">
        <f t="shared" si="585"/>
        <v>0</v>
      </c>
      <c r="AU245" s="308">
        <f>AT245</f>
        <v>0</v>
      </c>
      <c r="AV245" s="308">
        <f>AU245</f>
        <v>0</v>
      </c>
      <c r="AW245" s="308">
        <f>AR245</f>
        <v>0</v>
      </c>
      <c r="AX245" s="308">
        <f>AV245</f>
        <v>0</v>
      </c>
      <c r="AY245" s="308">
        <f>AX245</f>
        <v>0</v>
      </c>
      <c r="AZ245" s="308">
        <f>AY245</f>
        <v>0</v>
      </c>
      <c r="BA245" s="308">
        <f>AZ245</f>
        <v>0</v>
      </c>
      <c r="BB245" s="308">
        <f>AW245</f>
        <v>0</v>
      </c>
      <c r="BC245" s="308">
        <f>BA245</f>
        <v>0</v>
      </c>
      <c r="BD245" s="308">
        <f>BC245</f>
        <v>0</v>
      </c>
      <c r="BE245" s="308">
        <f>BD245</f>
        <v>0</v>
      </c>
      <c r="BF245" s="308">
        <f>BE245</f>
        <v>0</v>
      </c>
      <c r="BG245" s="308">
        <f>BB245</f>
        <v>0</v>
      </c>
      <c r="BH245" s="308">
        <f>BF245</f>
        <v>0</v>
      </c>
      <c r="BI245" s="308">
        <f>BH245</f>
        <v>0</v>
      </c>
      <c r="BJ245" s="308">
        <f>BI245</f>
        <v>0</v>
      </c>
      <c r="BK245" s="308">
        <f>BJ245</f>
        <v>0</v>
      </c>
      <c r="BL245" s="308">
        <f>BG245</f>
        <v>0</v>
      </c>
      <c r="BM245" s="308">
        <f>BK245</f>
        <v>0</v>
      </c>
      <c r="BN245" s="308">
        <f>BM245</f>
        <v>0</v>
      </c>
      <c r="BO245" s="308">
        <f>BN245</f>
        <v>0</v>
      </c>
      <c r="BP245" s="308">
        <f>BO245</f>
        <v>0</v>
      </c>
      <c r="BQ245" s="308">
        <f>BL245</f>
        <v>0</v>
      </c>
      <c r="BR245" s="308"/>
      <c r="BS245" s="308"/>
      <c r="BT245" s="308"/>
      <c r="BU245" s="308"/>
      <c r="BV245" s="308"/>
      <c r="BW245" s="308"/>
      <c r="BX245" s="308"/>
      <c r="BY245" s="308"/>
      <c r="BZ245" s="308"/>
      <c r="CA245" s="308"/>
      <c r="CB245" s="308"/>
      <c r="CC245" s="308"/>
      <c r="CD245" s="308"/>
      <c r="CE245" s="308"/>
    </row>
    <row r="246" spans="1:89">
      <c r="A246" s="1230"/>
      <c r="C246" s="233" t="s">
        <v>159</v>
      </c>
      <c r="D246" s="1230"/>
      <c r="E246" s="310">
        <f t="shared" ref="E246:AJ246" si="605">E41-E39</f>
        <v>240.33300000000048</v>
      </c>
      <c r="F246" s="310">
        <f t="shared" si="605"/>
        <v>231.81100000000009</v>
      </c>
      <c r="G246" s="310">
        <f t="shared" si="605"/>
        <v>460.16699999999969</v>
      </c>
      <c r="H246" s="310">
        <f t="shared" si="605"/>
        <v>318.73900000000054</v>
      </c>
      <c r="I246" s="310">
        <f t="shared" si="605"/>
        <v>1251.05</v>
      </c>
      <c r="J246" s="310">
        <f t="shared" si="605"/>
        <v>218.81399999999991</v>
      </c>
      <c r="K246" s="310">
        <f t="shared" si="605"/>
        <v>320.19299999999976</v>
      </c>
      <c r="L246" s="310">
        <f t="shared" si="605"/>
        <v>497.90099999999939</v>
      </c>
      <c r="M246" s="310">
        <f t="shared" si="605"/>
        <v>233.3969999999992</v>
      </c>
      <c r="N246" s="310">
        <f t="shared" si="605"/>
        <v>1270.3049999999998</v>
      </c>
      <c r="O246" s="310">
        <f t="shared" si="605"/>
        <v>253.67800000000028</v>
      </c>
      <c r="P246" s="310">
        <f t="shared" si="605"/>
        <v>320.59799999999962</v>
      </c>
      <c r="Q246" s="310">
        <f t="shared" si="605"/>
        <v>633.06899999999962</v>
      </c>
      <c r="R246" s="310">
        <f t="shared" si="605"/>
        <v>160.02699999999967</v>
      </c>
      <c r="S246" s="310">
        <f t="shared" si="605"/>
        <v>1367.3720000000003</v>
      </c>
      <c r="T246" s="310">
        <f t="shared" si="605"/>
        <v>-146.74000000000012</v>
      </c>
      <c r="U246" s="310">
        <f t="shared" si="605"/>
        <v>370.58299999999991</v>
      </c>
      <c r="V246" s="310">
        <f t="shared" si="605"/>
        <v>342.67000000000024</v>
      </c>
      <c r="W246" s="310">
        <f t="shared" si="605"/>
        <v>301.85000000000019</v>
      </c>
      <c r="X246" s="310">
        <f t="shared" si="605"/>
        <v>868.36299999999994</v>
      </c>
      <c r="Y246" s="310">
        <f t="shared" si="605"/>
        <v>166.98199999999957</v>
      </c>
      <c r="Z246" s="310">
        <f t="shared" si="605"/>
        <v>168.05500000000015</v>
      </c>
      <c r="AA246" s="310">
        <f t="shared" si="605"/>
        <v>244.18200000000036</v>
      </c>
      <c r="AB246" s="310">
        <f t="shared" si="605"/>
        <v>151.35299999999873</v>
      </c>
      <c r="AC246" s="310">
        <f t="shared" si="605"/>
        <v>730.57199999999875</v>
      </c>
      <c r="AD246" s="310">
        <f t="shared" si="605"/>
        <v>406.053</v>
      </c>
      <c r="AE246" s="310">
        <f t="shared" si="605"/>
        <v>194.28099999999989</v>
      </c>
      <c r="AF246" s="310">
        <f t="shared" si="605"/>
        <v>234.91599999999949</v>
      </c>
      <c r="AG246" s="310">
        <f t="shared" si="605"/>
        <v>125.00699999999946</v>
      </c>
      <c r="AH246" s="310">
        <f t="shared" si="605"/>
        <v>960.2570000000012</v>
      </c>
      <c r="AI246" s="310">
        <f t="shared" si="605"/>
        <v>302.9290000000002</v>
      </c>
      <c r="AJ246" s="310">
        <f t="shared" si="605"/>
        <v>153.72200000000024</v>
      </c>
      <c r="AK246" s="310">
        <f>AK41-AK39</f>
        <v>-718.23299999999949</v>
      </c>
      <c r="AL246" s="310">
        <f t="shared" ref="AL246:BB246" si="606">AL41-AL39</f>
        <v>104.84800000000166</v>
      </c>
      <c r="AM246" s="310">
        <f t="shared" si="606"/>
        <v>-156.73399999999822</v>
      </c>
      <c r="AN246" s="310">
        <f t="shared" si="606"/>
        <v>235.24199999999968</v>
      </c>
      <c r="AO246" s="310">
        <f t="shared" si="606"/>
        <v>572.58999999999992</v>
      </c>
      <c r="AP246" s="310">
        <f>AP41-AP39</f>
        <v>393.20400000000035</v>
      </c>
      <c r="AQ246" s="310">
        <f t="shared" si="606"/>
        <v>-1765.5389999999995</v>
      </c>
      <c r="AR246" s="310">
        <f t="shared" si="606"/>
        <v>-564.5029999999997</v>
      </c>
      <c r="AS246" s="310">
        <f t="shared" ref="AS246:AT246" si="607">AS41-AS39</f>
        <v>86.051000000000101</v>
      </c>
      <c r="AT246" s="310">
        <f t="shared" si="607"/>
        <v>413.36800000000039</v>
      </c>
      <c r="AU246" s="310">
        <f>AU41-AU39</f>
        <v>401.64400000000012</v>
      </c>
      <c r="AV246" s="310">
        <f t="shared" ref="AV246:AW246" si="608">AV41-AV39</f>
        <v>-475.7100000000006</v>
      </c>
      <c r="AW246" s="310">
        <f t="shared" si="608"/>
        <v>425.35300000000143</v>
      </c>
      <c r="AX246" s="310">
        <f t="shared" si="606"/>
        <v>221.10822316522933</v>
      </c>
      <c r="AY246" s="310">
        <f t="shared" si="606"/>
        <v>244.32275272122354</v>
      </c>
      <c r="AZ246" s="310">
        <f t="shared" si="606"/>
        <v>451.35495894494147</v>
      </c>
      <c r="BA246" s="310">
        <f t="shared" si="606"/>
        <v>163.80064589499182</v>
      </c>
      <c r="BB246" s="310">
        <f t="shared" si="606"/>
        <v>1080.5865807263849</v>
      </c>
      <c r="BC246" s="310">
        <f t="shared" ref="BC246:BL246" si="609">BC41-BC39</f>
        <v>240.27356674096245</v>
      </c>
      <c r="BD246" s="310">
        <f t="shared" si="609"/>
        <v>243.38198933139165</v>
      </c>
      <c r="BE246" s="310">
        <f t="shared" si="609"/>
        <v>405.118269354213</v>
      </c>
      <c r="BF246" s="310">
        <f t="shared" si="609"/>
        <v>118.34180537639475</v>
      </c>
      <c r="BG246" s="310">
        <f t="shared" si="609"/>
        <v>1007.1156308029615</v>
      </c>
      <c r="BH246" s="310">
        <f t="shared" si="609"/>
        <v>300.1449274195711</v>
      </c>
      <c r="BI246" s="310">
        <f t="shared" si="609"/>
        <v>234.58862292754472</v>
      </c>
      <c r="BJ246" s="310">
        <f t="shared" si="609"/>
        <v>389.44404177494346</v>
      </c>
      <c r="BK246" s="310">
        <f t="shared" si="609"/>
        <v>117.52054802411345</v>
      </c>
      <c r="BL246" s="310">
        <f t="shared" si="609"/>
        <v>1041.6981401461726</v>
      </c>
      <c r="BM246" s="310">
        <f t="shared" ref="BM246:BQ246" si="610">BM41-BM39</f>
        <v>232.29446867006845</v>
      </c>
      <c r="BN246" s="310">
        <f t="shared" si="610"/>
        <v>253.38679876738709</v>
      </c>
      <c r="BO246" s="310">
        <f t="shared" si="610"/>
        <v>395.50905943784755</v>
      </c>
      <c r="BP246" s="310">
        <f t="shared" si="610"/>
        <v>133.6519521668086</v>
      </c>
      <c r="BQ246" s="310">
        <f t="shared" si="610"/>
        <v>1014.8422790421115</v>
      </c>
      <c r="BR246" s="308"/>
      <c r="BS246" s="308"/>
      <c r="BT246" s="308"/>
      <c r="BU246" s="308"/>
      <c r="BV246" s="308"/>
      <c r="BW246" s="308"/>
      <c r="BX246" s="308"/>
      <c r="BY246" s="308"/>
      <c r="BZ246" s="308"/>
      <c r="CA246" s="308"/>
      <c r="CB246" s="308"/>
      <c r="CC246" s="308"/>
      <c r="CD246" s="308"/>
      <c r="CE246" s="308"/>
    </row>
    <row r="247" spans="1:89">
      <c r="A247" s="1230"/>
      <c r="C247" s="233" t="s">
        <v>424</v>
      </c>
      <c r="D247" s="1230"/>
      <c r="E247" s="517">
        <f>E140</f>
        <v>0.92700000000000005</v>
      </c>
      <c r="F247" s="517">
        <f t="shared" ref="F247:AR248" si="611">F140</f>
        <v>1.764</v>
      </c>
      <c r="G247" s="517">
        <f t="shared" si="611"/>
        <v>-598.601</v>
      </c>
      <c r="H247" s="517">
        <f t="shared" si="611"/>
        <v>10.983000000000001</v>
      </c>
      <c r="I247" s="517">
        <f t="shared" si="611"/>
        <v>-584.92700000000002</v>
      </c>
      <c r="J247" s="517">
        <f t="shared" si="611"/>
        <v>6.0780000000000003</v>
      </c>
      <c r="K247" s="517">
        <f t="shared" si="611"/>
        <v>-135.11099999999999</v>
      </c>
      <c r="L247" s="517">
        <f t="shared" si="611"/>
        <v>-490.82799999999997</v>
      </c>
      <c r="M247" s="517">
        <f t="shared" si="611"/>
        <v>-207.55199999999999</v>
      </c>
      <c r="N247" s="517">
        <f t="shared" si="611"/>
        <v>-827.41300000000001</v>
      </c>
      <c r="O247" s="517">
        <f t="shared" si="611"/>
        <v>-42.124000000000002</v>
      </c>
      <c r="P247" s="517">
        <f t="shared" si="611"/>
        <v>-100.52</v>
      </c>
      <c r="Q247" s="517">
        <f t="shared" si="611"/>
        <v>-59.099000000000004</v>
      </c>
      <c r="R247" s="517">
        <f t="shared" si="611"/>
        <v>-17.012</v>
      </c>
      <c r="S247" s="517">
        <f t="shared" si="611"/>
        <v>-218.755</v>
      </c>
      <c r="T247" s="517">
        <f t="shared" si="611"/>
        <v>32.826000000000001</v>
      </c>
      <c r="U247" s="517">
        <f t="shared" si="611"/>
        <v>1.802</v>
      </c>
      <c r="V247" s="517">
        <f t="shared" si="611"/>
        <v>21.974</v>
      </c>
      <c r="W247" s="517">
        <f t="shared" si="611"/>
        <v>6.2839999999999998</v>
      </c>
      <c r="X247" s="517">
        <f t="shared" si="611"/>
        <v>62.886000000000003</v>
      </c>
      <c r="Y247" s="517">
        <f t="shared" si="611"/>
        <v>8.1020000000000003</v>
      </c>
      <c r="Z247" s="517">
        <f t="shared" si="611"/>
        <v>8.532</v>
      </c>
      <c r="AA247" s="517">
        <f t="shared" si="611"/>
        <v>4.0860000000000003</v>
      </c>
      <c r="AB247" s="517">
        <f t="shared" si="611"/>
        <v>3.8069999999999999</v>
      </c>
      <c r="AC247" s="517">
        <f t="shared" si="611"/>
        <v>24.526999999999997</v>
      </c>
      <c r="AD247" s="517">
        <f t="shared" si="611"/>
        <v>35.537999999999997</v>
      </c>
      <c r="AE247" s="517">
        <f t="shared" si="611"/>
        <v>27.561</v>
      </c>
      <c r="AF247" s="517">
        <f t="shared" si="611"/>
        <v>6.71</v>
      </c>
      <c r="AG247" s="517">
        <f t="shared" si="611"/>
        <v>-58.213999999999999</v>
      </c>
      <c r="AH247" s="517">
        <f t="shared" si="611"/>
        <v>11.594999999999999</v>
      </c>
      <c r="AI247" s="517">
        <f t="shared" si="611"/>
        <v>-1.9220000000000006</v>
      </c>
      <c r="AJ247" s="517">
        <f t="shared" si="611"/>
        <v>0.74099999999999999</v>
      </c>
      <c r="AK247" s="517">
        <f t="shared" si="611"/>
        <v>-74.728999999999999</v>
      </c>
      <c r="AL247" s="517">
        <f t="shared" si="611"/>
        <v>0.14799999999999999</v>
      </c>
      <c r="AM247" s="517">
        <f t="shared" si="611"/>
        <v>-75.762</v>
      </c>
      <c r="AN247" s="517">
        <f t="shared" ref="AN247:AO247" si="612">AN140</f>
        <v>5.7869999999999999</v>
      </c>
      <c r="AO247" s="517">
        <f t="shared" si="612"/>
        <v>11.068</v>
      </c>
      <c r="AP247" s="517">
        <f t="shared" si="611"/>
        <v>16.265000000000001</v>
      </c>
      <c r="AQ247" s="517">
        <f t="shared" si="611"/>
        <v>0</v>
      </c>
      <c r="AR247" s="517">
        <f t="shared" si="611"/>
        <v>33.120000000000005</v>
      </c>
      <c r="AS247" s="517">
        <f t="shared" ref="AS247:AW247" si="613">AS140</f>
        <v>2.448</v>
      </c>
      <c r="AT247" s="517">
        <f t="shared" si="613"/>
        <v>5.3710000000000004</v>
      </c>
      <c r="AU247" s="517">
        <f t="shared" si="613"/>
        <v>7.3019999999999996</v>
      </c>
      <c r="AV247" s="517">
        <f t="shared" si="613"/>
        <v>65.608000000000004</v>
      </c>
      <c r="AW247" s="517">
        <f t="shared" si="613"/>
        <v>80.728999999999999</v>
      </c>
      <c r="AX247" s="517">
        <f t="shared" ref="AX247:BB248" si="614">AX140</f>
        <v>0</v>
      </c>
      <c r="AY247" s="517">
        <f t="shared" si="614"/>
        <v>0</v>
      </c>
      <c r="AZ247" s="517">
        <f t="shared" si="614"/>
        <v>0</v>
      </c>
      <c r="BA247" s="517">
        <f t="shared" si="614"/>
        <v>0</v>
      </c>
      <c r="BB247" s="517">
        <f t="shared" si="614"/>
        <v>0</v>
      </c>
      <c r="BC247" s="517">
        <f t="shared" ref="BC247:BL247" si="615">BC140</f>
        <v>0</v>
      </c>
      <c r="BD247" s="517">
        <f t="shared" si="615"/>
        <v>0</v>
      </c>
      <c r="BE247" s="517">
        <f t="shared" si="615"/>
        <v>0</v>
      </c>
      <c r="BF247" s="517">
        <f t="shared" si="615"/>
        <v>0</v>
      </c>
      <c r="BG247" s="517">
        <f t="shared" si="615"/>
        <v>0</v>
      </c>
      <c r="BH247" s="517">
        <f t="shared" si="615"/>
        <v>0</v>
      </c>
      <c r="BI247" s="517">
        <f t="shared" si="615"/>
        <v>0</v>
      </c>
      <c r="BJ247" s="517">
        <f t="shared" si="615"/>
        <v>0</v>
      </c>
      <c r="BK247" s="517">
        <f t="shared" si="615"/>
        <v>0</v>
      </c>
      <c r="BL247" s="517">
        <f t="shared" si="615"/>
        <v>0</v>
      </c>
      <c r="BM247" s="517">
        <f t="shared" ref="BM247:BQ247" si="616">BM140</f>
        <v>0</v>
      </c>
      <c r="BN247" s="517">
        <f t="shared" si="616"/>
        <v>0</v>
      </c>
      <c r="BO247" s="517">
        <f t="shared" si="616"/>
        <v>0</v>
      </c>
      <c r="BP247" s="517">
        <f t="shared" si="616"/>
        <v>0</v>
      </c>
      <c r="BQ247" s="517">
        <f t="shared" si="616"/>
        <v>0</v>
      </c>
      <c r="BR247" s="308"/>
      <c r="BS247" s="308"/>
      <c r="BT247" s="308"/>
      <c r="BU247" s="308"/>
      <c r="BV247" s="308"/>
      <c r="BW247" s="308"/>
      <c r="BX247" s="308"/>
      <c r="BY247" s="308"/>
      <c r="BZ247" s="308"/>
      <c r="CA247" s="308"/>
      <c r="CB247" s="308"/>
      <c r="CC247" s="308"/>
      <c r="CD247" s="308"/>
      <c r="CE247" s="308"/>
    </row>
    <row r="248" spans="1:89">
      <c r="A248" s="1230"/>
      <c r="C248" s="233" t="s">
        <v>432</v>
      </c>
      <c r="D248" s="1230"/>
      <c r="E248" s="517"/>
      <c r="F248" s="517"/>
      <c r="G248" s="517"/>
      <c r="H248" s="517"/>
      <c r="I248" s="517">
        <f t="shared" si="611"/>
        <v>-576.95600000000002</v>
      </c>
      <c r="J248" s="517">
        <f t="shared" si="611"/>
        <v>-141.892</v>
      </c>
      <c r="K248" s="517">
        <f t="shared" si="611"/>
        <v>-156.904</v>
      </c>
      <c r="L248" s="517">
        <f t="shared" si="611"/>
        <v>-154.887</v>
      </c>
      <c r="M248" s="517">
        <f t="shared" si="611"/>
        <v>-150.17099999999999</v>
      </c>
      <c r="N248" s="517">
        <f t="shared" si="611"/>
        <v>-603.85400000000004</v>
      </c>
      <c r="O248" s="517">
        <f t="shared" si="611"/>
        <v>-148.678</v>
      </c>
      <c r="P248" s="517">
        <f t="shared" si="611"/>
        <v>-147.67699999999999</v>
      </c>
      <c r="Q248" s="517">
        <f t="shared" si="611"/>
        <v>-146.935</v>
      </c>
      <c r="R248" s="517">
        <f t="shared" si="611"/>
        <v>-146.315</v>
      </c>
      <c r="S248" s="517">
        <f t="shared" si="611"/>
        <v>-589.60500000000002</v>
      </c>
      <c r="T248" s="517">
        <f t="shared" si="611"/>
        <v>-152.256</v>
      </c>
      <c r="U248" s="517">
        <f t="shared" si="611"/>
        <v>-152.65</v>
      </c>
      <c r="V248" s="517">
        <f t="shared" si="611"/>
        <v>-147.55099999999999</v>
      </c>
      <c r="W248" s="517">
        <f t="shared" si="611"/>
        <v>-147.917</v>
      </c>
      <c r="X248" s="517">
        <f t="shared" si="611"/>
        <v>-600.37400000000002</v>
      </c>
      <c r="Y248" s="517">
        <f t="shared" si="611"/>
        <v>-153.48399999999998</v>
      </c>
      <c r="Z248" s="517">
        <f t="shared" si="611"/>
        <v>-153.70699999999999</v>
      </c>
      <c r="AA248" s="517">
        <f t="shared" si="611"/>
        <v>-147.977</v>
      </c>
      <c r="AB248" s="517">
        <f t="shared" si="611"/>
        <v>-148.006</v>
      </c>
      <c r="AC248" s="517">
        <f t="shared" si="611"/>
        <v>-603.17399999999998</v>
      </c>
      <c r="AD248" s="517">
        <f t="shared" si="611"/>
        <v>-153.148</v>
      </c>
      <c r="AE248" s="517">
        <f t="shared" si="611"/>
        <v>-153.83199999999999</v>
      </c>
      <c r="AF248" s="517">
        <f t="shared" si="611"/>
        <v>-149.08000000000001</v>
      </c>
      <c r="AG248" s="517">
        <f t="shared" si="611"/>
        <v>-149.809</v>
      </c>
      <c r="AH248" s="517">
        <f t="shared" si="611"/>
        <v>-605.86900000000003</v>
      </c>
      <c r="AI248" s="517">
        <f t="shared" si="611"/>
        <v>-149.25700000000001</v>
      </c>
      <c r="AJ248" s="517">
        <f t="shared" si="611"/>
        <v>-149.00200000000001</v>
      </c>
      <c r="AK248" s="517">
        <f t="shared" si="611"/>
        <v>-148.68799999999999</v>
      </c>
      <c r="AL248" s="517">
        <f t="shared" si="611"/>
        <v>-151.62899999999999</v>
      </c>
      <c r="AM248" s="517">
        <f t="shared" si="611"/>
        <v>-598.57600000000002</v>
      </c>
      <c r="AN248" s="517">
        <f t="shared" ref="AN248:AO248" si="617">AN141</f>
        <v>-151.839</v>
      </c>
      <c r="AO248" s="517">
        <f t="shared" si="617"/>
        <v>-152.00399999999999</v>
      </c>
      <c r="AP248" s="517">
        <f t="shared" si="611"/>
        <v>-152.15</v>
      </c>
      <c r="AQ248" s="517">
        <f t="shared" si="611"/>
        <v>-155.84200000000001</v>
      </c>
      <c r="AR248" s="517">
        <f t="shared" si="611"/>
        <v>-611.83499999999992</v>
      </c>
      <c r="AS248" s="517">
        <f t="shared" ref="AS248:AW248" si="618">AS141</f>
        <v>-156.07300000000001</v>
      </c>
      <c r="AT248" s="517">
        <f t="shared" si="618"/>
        <v>-156.136</v>
      </c>
      <c r="AU248" s="517">
        <f t="shared" si="618"/>
        <v>-156.18700000000001</v>
      </c>
      <c r="AV248" s="517">
        <f t="shared" si="618"/>
        <v>-160.489</v>
      </c>
      <c r="AW248" s="517">
        <f t="shared" si="618"/>
        <v>-628.88499999999999</v>
      </c>
      <c r="AX248" s="517">
        <f t="shared" si="614"/>
        <v>-160.66071116999998</v>
      </c>
      <c r="AY248" s="517">
        <f t="shared" si="614"/>
        <v>-160.66071116999998</v>
      </c>
      <c r="AZ248" s="517">
        <f t="shared" si="614"/>
        <v>-160.66071116999998</v>
      </c>
      <c r="BA248" s="517">
        <f t="shared" si="614"/>
        <v>-164.27106423000004</v>
      </c>
      <c r="BB248" s="517">
        <f t="shared" si="614"/>
        <v>-646.25319773999991</v>
      </c>
      <c r="BC248" s="517">
        <f t="shared" ref="BC248:BL248" si="619">BC141</f>
        <v>-164.27106423000001</v>
      </c>
      <c r="BD248" s="517">
        <f t="shared" si="619"/>
        <v>-164.27106423000001</v>
      </c>
      <c r="BE248" s="517">
        <f t="shared" si="619"/>
        <v>-164.27106423000001</v>
      </c>
      <c r="BF248" s="517">
        <f t="shared" si="619"/>
        <v>-167.88141729000003</v>
      </c>
      <c r="BG248" s="517">
        <f t="shared" si="619"/>
        <v>-660.69460998000011</v>
      </c>
      <c r="BH248" s="517">
        <f t="shared" si="619"/>
        <v>-167.88141729</v>
      </c>
      <c r="BI248" s="517">
        <f t="shared" si="619"/>
        <v>-167.88141729</v>
      </c>
      <c r="BJ248" s="517">
        <f t="shared" si="619"/>
        <v>-167.88141729</v>
      </c>
      <c r="BK248" s="517">
        <f t="shared" si="619"/>
        <v>-171.49177035000002</v>
      </c>
      <c r="BL248" s="517">
        <f t="shared" si="619"/>
        <v>-675.13602222000009</v>
      </c>
      <c r="BM248" s="517">
        <f t="shared" ref="BM248:BQ248" si="620">BM141</f>
        <v>-171.49177035</v>
      </c>
      <c r="BN248" s="517">
        <f t="shared" si="620"/>
        <v>-171.49177035</v>
      </c>
      <c r="BO248" s="517">
        <f t="shared" si="620"/>
        <v>-171.49177035</v>
      </c>
      <c r="BP248" s="517">
        <f t="shared" si="620"/>
        <v>-175.10212341000002</v>
      </c>
      <c r="BQ248" s="517">
        <f t="shared" si="620"/>
        <v>-689.57743445999995</v>
      </c>
      <c r="BR248" s="308"/>
      <c r="BS248" s="308"/>
      <c r="BT248" s="308"/>
      <c r="BU248" s="308"/>
      <c r="BV248" s="308"/>
      <c r="BW248" s="308"/>
      <c r="BX248" s="308"/>
      <c r="BY248" s="308"/>
      <c r="BZ248" s="308"/>
      <c r="CA248" s="308"/>
      <c r="CB248" s="308"/>
      <c r="CC248" s="308"/>
      <c r="CD248" s="308"/>
      <c r="CE248" s="308"/>
    </row>
    <row r="249" spans="1:89">
      <c r="A249" s="1230"/>
      <c r="B249" s="233"/>
      <c r="C249" s="1288"/>
      <c r="D249" s="1230"/>
      <c r="E249" s="308"/>
      <c r="F249" s="308"/>
      <c r="G249" s="308"/>
      <c r="H249" s="308"/>
      <c r="I249" s="308"/>
      <c r="J249" s="308"/>
      <c r="K249" s="308"/>
      <c r="L249" s="308"/>
      <c r="M249" s="308"/>
      <c r="N249" s="308"/>
      <c r="O249" s="308"/>
      <c r="P249" s="308"/>
      <c r="Q249" s="308"/>
      <c r="R249" s="308"/>
      <c r="S249" s="308"/>
      <c r="T249" s="308"/>
      <c r="U249" s="308"/>
      <c r="V249" s="308"/>
      <c r="W249" s="308"/>
      <c r="X249" s="308"/>
      <c r="Y249" s="308"/>
      <c r="Z249" s="308"/>
      <c r="AA249" s="308"/>
      <c r="AB249" s="308"/>
      <c r="AC249" s="308"/>
      <c r="AD249" s="308"/>
      <c r="AE249" s="308"/>
      <c r="AF249" s="308"/>
      <c r="AG249" s="308"/>
      <c r="AH249" s="308"/>
      <c r="AI249" s="308"/>
      <c r="AJ249" s="308"/>
      <c r="AK249" s="308"/>
      <c r="AL249" s="308"/>
      <c r="AM249" s="308"/>
      <c r="AN249" s="308"/>
      <c r="AO249" s="308"/>
      <c r="AP249" s="308"/>
      <c r="AQ249" s="308"/>
      <c r="AR249" s="308"/>
      <c r="AS249" s="308"/>
      <c r="AT249" s="308"/>
      <c r="AU249" s="308"/>
      <c r="AV249" s="308"/>
      <c r="AW249" s="308"/>
      <c r="AX249" s="308"/>
      <c r="AY249" s="308"/>
      <c r="AZ249" s="308"/>
      <c r="BA249" s="308"/>
      <c r="BB249" s="308"/>
      <c r="BC249" s="308"/>
      <c r="BD249" s="308"/>
      <c r="BE249" s="308"/>
      <c r="BF249" s="308"/>
      <c r="BG249" s="308"/>
      <c r="BH249" s="308"/>
      <c r="BI249" s="308"/>
      <c r="BJ249" s="308"/>
      <c r="BK249" s="308"/>
      <c r="BL249" s="308"/>
      <c r="BM249" s="308"/>
      <c r="BN249" s="308"/>
      <c r="BO249" s="308"/>
      <c r="BP249" s="308"/>
      <c r="BQ249" s="308"/>
      <c r="BR249" s="308"/>
      <c r="BS249" s="308"/>
      <c r="BT249" s="308"/>
      <c r="BU249" s="308"/>
      <c r="BV249" s="308"/>
      <c r="BW249" s="308"/>
      <c r="BX249" s="308"/>
      <c r="BY249" s="308"/>
      <c r="BZ249" s="308"/>
      <c r="CA249" s="308"/>
      <c r="CB249" s="308"/>
      <c r="CC249" s="308"/>
      <c r="CD249" s="308"/>
      <c r="CE249" s="308"/>
    </row>
    <row r="250" spans="1:89" s="5" customFormat="1">
      <c r="A250" s="233"/>
      <c r="B250" s="233"/>
      <c r="C250" s="1264"/>
      <c r="D250" s="233"/>
      <c r="E250" s="233"/>
      <c r="F250" s="233"/>
      <c r="G250" s="233"/>
      <c r="H250" s="233"/>
      <c r="I250" s="233"/>
      <c r="J250" s="233"/>
      <c r="K250" s="233"/>
      <c r="L250" s="233"/>
      <c r="M250" s="233"/>
      <c r="N250" s="233"/>
      <c r="O250" s="233"/>
      <c r="P250" s="233"/>
      <c r="Q250" s="233"/>
      <c r="R250" s="233"/>
      <c r="S250" s="233"/>
      <c r="T250" s="233"/>
      <c r="U250" s="233"/>
      <c r="V250" s="233"/>
      <c r="W250" s="233"/>
      <c r="X250" s="233"/>
      <c r="Y250" s="233"/>
      <c r="Z250" s="233"/>
      <c r="AA250" s="233"/>
      <c r="AB250" s="233"/>
      <c r="AC250" s="233"/>
      <c r="AD250" s="233"/>
      <c r="AE250" s="233"/>
      <c r="AF250" s="233"/>
      <c r="AG250" s="233"/>
      <c r="AH250" s="233"/>
      <c r="AI250" s="233"/>
      <c r="AJ250" s="233"/>
      <c r="AK250" s="233"/>
      <c r="AL250" s="233"/>
      <c r="AM250" s="233"/>
      <c r="AN250" s="233"/>
      <c r="AO250" s="233"/>
      <c r="AP250" s="233"/>
      <c r="AQ250" s="233"/>
      <c r="AR250" s="233"/>
      <c r="AS250" s="233"/>
      <c r="AT250" s="233"/>
      <c r="AU250" s="233"/>
      <c r="AV250" s="233"/>
      <c r="AW250" s="233"/>
      <c r="AX250" s="233"/>
      <c r="AY250" s="233"/>
      <c r="AZ250" s="233"/>
      <c r="BA250" s="233"/>
      <c r="BB250" s="233"/>
      <c r="BC250" s="233"/>
      <c r="BD250" s="233"/>
      <c r="BE250" s="233"/>
      <c r="BF250" s="233"/>
      <c r="BG250" s="233"/>
      <c r="BH250" s="233"/>
      <c r="BI250" s="233"/>
      <c r="BJ250" s="233"/>
      <c r="BK250" s="233"/>
      <c r="BL250" s="233"/>
      <c r="BM250" s="233"/>
      <c r="BN250" s="233"/>
      <c r="BO250" s="233"/>
      <c r="BP250" s="233"/>
      <c r="BQ250" s="233"/>
      <c r="BR250" s="233"/>
      <c r="BS250" s="233"/>
      <c r="BT250" s="233"/>
      <c r="BU250" s="233"/>
      <c r="BV250" s="233"/>
      <c r="BW250" s="233"/>
      <c r="BX250" s="233"/>
      <c r="BY250" s="233"/>
      <c r="BZ250" s="233"/>
      <c r="CA250" s="233"/>
      <c r="CB250" s="233"/>
      <c r="CC250" s="233"/>
      <c r="CD250" s="233"/>
      <c r="CE250" s="233"/>
      <c r="CF250"/>
      <c r="CG250"/>
      <c r="CH250"/>
      <c r="CI250"/>
      <c r="CJ250"/>
      <c r="CK250"/>
    </row>
    <row r="251" spans="1:89" s="5" customFormat="1">
      <c r="A251" s="233"/>
      <c r="B251" s="233"/>
      <c r="C251" s="1264"/>
      <c r="D251" s="233"/>
      <c r="E251" s="233"/>
      <c r="F251" s="233"/>
      <c r="G251" s="233"/>
      <c r="H251" s="233"/>
      <c r="I251" s="233"/>
      <c r="J251" s="233"/>
      <c r="K251" s="233"/>
      <c r="L251" s="233"/>
      <c r="M251" s="233"/>
      <c r="N251" s="233"/>
      <c r="O251" s="233"/>
      <c r="P251" s="233"/>
      <c r="Q251" s="233"/>
      <c r="R251" s="233"/>
      <c r="S251" s="233"/>
      <c r="T251" s="233"/>
      <c r="U251" s="233"/>
      <c r="V251" s="233"/>
      <c r="W251" s="233"/>
      <c r="X251" s="233"/>
      <c r="Y251" s="233"/>
      <c r="Z251" s="233"/>
      <c r="AA251" s="233"/>
      <c r="AB251" s="233"/>
      <c r="AC251" s="233"/>
      <c r="AD251" s="233"/>
      <c r="AE251" s="233"/>
      <c r="AF251" s="233"/>
      <c r="AG251" s="233"/>
      <c r="AH251" s="233"/>
      <c r="AI251" s="233"/>
      <c r="AJ251" s="233"/>
      <c r="AK251" s="233"/>
      <c r="AL251" s="233"/>
      <c r="AM251" s="233"/>
      <c r="AN251" s="233"/>
      <c r="AO251" s="233"/>
      <c r="AP251" s="233"/>
      <c r="AQ251" s="233"/>
      <c r="AR251" s="233"/>
      <c r="AS251" s="233"/>
      <c r="AT251" s="233"/>
      <c r="AU251" s="233"/>
      <c r="AV251" s="233"/>
      <c r="AW251" s="233"/>
      <c r="AX251" s="233"/>
      <c r="AY251" s="233"/>
      <c r="AZ251" s="233"/>
      <c r="BA251" s="233"/>
      <c r="BB251" s="233"/>
      <c r="BC251" s="233"/>
      <c r="BD251" s="233"/>
      <c r="BE251" s="233"/>
      <c r="BF251" s="233"/>
      <c r="BG251" s="233"/>
      <c r="BH251" s="233"/>
      <c r="BI251" s="233"/>
      <c r="BJ251" s="233"/>
      <c r="BK251" s="233"/>
      <c r="BL251" s="233"/>
      <c r="BM251" s="233"/>
      <c r="BN251" s="233"/>
      <c r="BO251" s="233"/>
      <c r="BP251" s="233"/>
      <c r="BQ251" s="233"/>
      <c r="BR251" s="233"/>
      <c r="BS251" s="233"/>
      <c r="BT251" s="233"/>
      <c r="BU251" s="233"/>
      <c r="BV251" s="233"/>
      <c r="BW251" s="233"/>
      <c r="BX251" s="233"/>
      <c r="BY251" s="233"/>
      <c r="BZ251" s="233"/>
      <c r="CA251" s="233"/>
      <c r="CB251" s="233"/>
      <c r="CC251" s="233"/>
      <c r="CD251" s="233"/>
      <c r="CE251" s="233"/>
      <c r="CF251"/>
      <c r="CG251"/>
      <c r="CH251"/>
      <c r="CI251"/>
      <c r="CJ251"/>
      <c r="CK251"/>
    </row>
    <row r="252" spans="1:89">
      <c r="C252"/>
    </row>
    <row r="253" spans="1:89" s="5" customFormat="1">
      <c r="C253" s="129"/>
      <c r="CF253"/>
      <c r="CG253"/>
      <c r="CH253"/>
      <c r="CI253"/>
      <c r="CJ253"/>
      <c r="CK253"/>
    </row>
    <row r="254" spans="1:89" s="5" customFormat="1">
      <c r="C254" s="129"/>
      <c r="CF254"/>
      <c r="CG254"/>
      <c r="CH254"/>
      <c r="CI254"/>
      <c r="CJ254"/>
      <c r="CK254"/>
    </row>
  </sheetData>
  <phoneticPr fontId="2" type="noConversion"/>
  <conditionalFormatting sqref="J96:M97 AP97 AX96:BA97 T96:W97 E96:H97 O96:R97 X96 AC96 AT97:AU97 Y96:AB97 BB96 AU96">
    <cfRule type="expression" dxfId="62" priority="44" stopIfTrue="1">
      <formula>AND(E$6&gt;LastQtr,E$6&lt;=LastQtr+365)</formula>
    </cfRule>
  </conditionalFormatting>
  <conditionalFormatting sqref="E59:H59 J59:M59 Y59:AB59 T59:W59 O59:R59 AD59:AE59 AX59:BA59">
    <cfRule type="expression" dxfId="61" priority="45" stopIfTrue="1">
      <formula>E$5&gt;LastQtr</formula>
    </cfRule>
  </conditionalFormatting>
  <conditionalFormatting sqref="C125">
    <cfRule type="cellIs" dxfId="60" priority="46" stopIfTrue="1" operator="equal">
      <formula>0</formula>
    </cfRule>
  </conditionalFormatting>
  <conditionalFormatting sqref="AF59">
    <cfRule type="expression" dxfId="59" priority="43" stopIfTrue="1">
      <formula>AF$5&gt;LastQtr</formula>
    </cfRule>
  </conditionalFormatting>
  <conditionalFormatting sqref="AG59">
    <cfRule type="expression" dxfId="58" priority="42" stopIfTrue="1">
      <formula>AG$5&gt;LastQtr</formula>
    </cfRule>
  </conditionalFormatting>
  <conditionalFormatting sqref="AH96 AD96:AG97">
    <cfRule type="expression" dxfId="57" priority="41" stopIfTrue="1">
      <formula>AND(AD$6&gt;LastQtr,AD$6&lt;=LastQtr+365)</formula>
    </cfRule>
  </conditionalFormatting>
  <conditionalFormatting sqref="BC96:BF97 BG96">
    <cfRule type="expression" dxfId="56" priority="39" stopIfTrue="1">
      <formula>AND(BC$6&gt;LastQtr,BC$6&lt;=LastQtr+365)</formula>
    </cfRule>
  </conditionalFormatting>
  <conditionalFormatting sqref="BH96:BK97 BL96">
    <cfRule type="expression" dxfId="55" priority="37" stopIfTrue="1">
      <formula>AND(BH$6&gt;LastQtr,BH$6&lt;=LastQtr+365)</formula>
    </cfRule>
  </conditionalFormatting>
  <conditionalFormatting sqref="AI59:AJ59">
    <cfRule type="expression" dxfId="54" priority="30" stopIfTrue="1">
      <formula>AI$5&gt;LastQtr</formula>
    </cfRule>
  </conditionalFormatting>
  <conditionalFormatting sqref="AK59">
    <cfRule type="expression" dxfId="53" priority="29" stopIfTrue="1">
      <formula>AK$5&gt;LastQtr</formula>
    </cfRule>
  </conditionalFormatting>
  <conditionalFormatting sqref="AL59">
    <cfRule type="expression" dxfId="52" priority="28" stopIfTrue="1">
      <formula>AL$5&gt;LastQtr</formula>
    </cfRule>
  </conditionalFormatting>
  <conditionalFormatting sqref="AM96 AI96:AL97">
    <cfRule type="expression" dxfId="51" priority="27" stopIfTrue="1">
      <formula>AND(AI$6&gt;LastQtr,AI$6&lt;=LastQtr+365)</formula>
    </cfRule>
  </conditionalFormatting>
  <conditionalFormatting sqref="BC59:BF59">
    <cfRule type="expression" dxfId="50" priority="26" stopIfTrue="1">
      <formula>BC$5&gt;LastQtr</formula>
    </cfRule>
  </conditionalFormatting>
  <conditionalFormatting sqref="BH59:BK59">
    <cfRule type="expression" dxfId="49" priority="25" stopIfTrue="1">
      <formula>BH$5&gt;LastQtr</formula>
    </cfRule>
  </conditionalFormatting>
  <conditionalFormatting sqref="AN96:AN97">
    <cfRule type="expression" dxfId="48" priority="23" stopIfTrue="1">
      <formula>AND(AN$6&gt;LastQtr,AN$6&lt;=LastQtr+365)</formula>
    </cfRule>
  </conditionalFormatting>
  <conditionalFormatting sqref="AN59">
    <cfRule type="expression" dxfId="47" priority="22" stopIfTrue="1">
      <formula>AN$5&gt;LastQtr</formula>
    </cfRule>
  </conditionalFormatting>
  <conditionalFormatting sqref="AO96:AO97">
    <cfRule type="expression" dxfId="46" priority="20" stopIfTrue="1">
      <formula>AND(AO$6&gt;LastQtr,AO$6&lt;=LastQtr+365)</formula>
    </cfRule>
  </conditionalFormatting>
  <conditionalFormatting sqref="AO59">
    <cfRule type="expression" dxfId="45" priority="19" stopIfTrue="1">
      <formula>AO$5&gt;LastQtr</formula>
    </cfRule>
  </conditionalFormatting>
  <conditionalFormatting sqref="AP96">
    <cfRule type="expression" dxfId="44" priority="17" stopIfTrue="1">
      <formula>AND(AP$6&gt;LastQtr,AP$6&lt;=LastQtr+365)</formula>
    </cfRule>
  </conditionalFormatting>
  <conditionalFormatting sqref="BM96:BP97 BQ96">
    <cfRule type="expression" dxfId="43" priority="14" stopIfTrue="1">
      <formula>AND(BM$6&gt;LastQtr,BM$6&lt;=LastQtr+365)</formula>
    </cfRule>
  </conditionalFormatting>
  <conditionalFormatting sqref="BM59:BP59">
    <cfRule type="expression" dxfId="42" priority="13" stopIfTrue="1">
      <formula>BM$5&gt;LastQtr</formula>
    </cfRule>
  </conditionalFormatting>
  <conditionalFormatting sqref="AP59">
    <cfRule type="expression" dxfId="41" priority="12" stopIfTrue="1">
      <formula>AP$5&gt;LastQtr</formula>
    </cfRule>
  </conditionalFormatting>
  <conditionalFormatting sqref="AQ59">
    <cfRule type="expression" dxfId="40" priority="11" stopIfTrue="1">
      <formula>AQ$5&gt;LastQtr</formula>
    </cfRule>
  </conditionalFormatting>
  <conditionalFormatting sqref="AR96 AQ96:AQ97">
    <cfRule type="expression" dxfId="39" priority="10" stopIfTrue="1">
      <formula>AND(AQ$6&gt;LastQtr,AQ$6&lt;=LastQtr+365)</formula>
    </cfRule>
  </conditionalFormatting>
  <conditionalFormatting sqref="AS96:AS97">
    <cfRule type="expression" dxfId="38" priority="8" stopIfTrue="1">
      <formula>AND(AS$6&gt;LastQtr,AS$6&lt;=LastQtr+365)</formula>
    </cfRule>
  </conditionalFormatting>
  <conditionalFormatting sqref="AS59">
    <cfRule type="expression" dxfId="37" priority="7" stopIfTrue="1">
      <formula>AS$5&gt;LastQtr</formula>
    </cfRule>
  </conditionalFormatting>
  <conditionalFormatting sqref="AT59:AU59">
    <cfRule type="expression" dxfId="36" priority="6" stopIfTrue="1">
      <formula>AT$5&gt;LastQtr</formula>
    </cfRule>
  </conditionalFormatting>
  <conditionalFormatting sqref="AT96">
    <cfRule type="expression" dxfId="35" priority="5" stopIfTrue="1">
      <formula>AND(AT$6&gt;LastQtr,AT$6&lt;=LastQtr+365)</formula>
    </cfRule>
  </conditionalFormatting>
  <conditionalFormatting sqref="AU59">
    <cfRule type="expression" dxfId="34" priority="4" stopIfTrue="1">
      <formula>AU$5&gt;LastQtr</formula>
    </cfRule>
  </conditionalFormatting>
  <conditionalFormatting sqref="AW96 AV96:AV97">
    <cfRule type="expression" dxfId="33" priority="2" stopIfTrue="1">
      <formula>AND(AV$6&gt;LastQtr,AV$6&lt;=LastQtr+365)</formula>
    </cfRule>
  </conditionalFormatting>
  <conditionalFormatting sqref="AV59">
    <cfRule type="expression" dxfId="32" priority="1" stopIfTrue="1">
      <formula>AV$5&gt;LastQtr</formula>
    </cfRule>
  </conditionalFormatting>
  <pageMargins left="0.75" right="0.75" top="1" bottom="1" header="0.5" footer="0.5"/>
  <pageSetup scale="20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GN315"/>
  <sheetViews>
    <sheetView zoomScale="85" zoomScaleNormal="85" workbookViewId="0">
      <pane xSplit="4" ySplit="5" topLeftCell="I6" activePane="bottomRight" state="frozen"/>
      <selection activeCell="CG20" sqref="CG20"/>
      <selection pane="topRight" activeCell="CG20" sqref="CG20"/>
      <selection pane="bottomLeft" activeCell="CG20" sqref="CG20"/>
      <selection pane="bottomRight" activeCell="I6" sqref="I6"/>
    </sheetView>
  </sheetViews>
  <sheetFormatPr defaultColWidth="9" defaultRowHeight="12.75" outlineLevelCol="1"/>
  <cols>
    <col min="1" max="2" width="2.7109375" customWidth="1"/>
    <col min="3" max="3" width="44.7109375" style="1204" customWidth="1"/>
    <col min="4" max="4" width="2.710937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ollapsed="1"/>
    <col min="50" max="53" width="9" hidden="1" customWidth="1" outlineLevel="1"/>
    <col min="54" max="54" width="9" collapsed="1"/>
    <col min="55" max="58" width="9" hidden="1" customWidth="1" outlineLevel="1"/>
    <col min="59" max="59" width="9" collapsed="1"/>
    <col min="60" max="63" width="9" hidden="1" customWidth="1" outlineLevel="1"/>
    <col min="64" max="64" width="9" collapsed="1"/>
    <col min="65" max="68" width="9" hidden="1" customWidth="1" outlineLevel="1"/>
    <col min="69" max="69" width="9" collapsed="1"/>
    <col min="71" max="71" width="10.28515625" customWidth="1"/>
    <col min="72" max="72" width="10.5703125" customWidth="1"/>
    <col min="74" max="74" width="15" bestFit="1" customWidth="1"/>
  </cols>
  <sheetData>
    <row r="1" spans="1:196" ht="18">
      <c r="A1" s="9"/>
      <c r="B1" s="9"/>
      <c r="C1" s="1168"/>
      <c r="D1" s="11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</row>
    <row r="2" spans="1:196" ht="18">
      <c r="A2" s="9"/>
      <c r="B2" s="733" t="str">
        <f>Cover!B2</f>
        <v>Entergy Corporation</v>
      </c>
      <c r="C2" s="1168"/>
      <c r="D2" s="11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</row>
    <row r="3" spans="1:196" ht="15.75">
      <c r="A3" s="46"/>
      <c r="B3" s="46" t="s">
        <v>237</v>
      </c>
      <c r="C3" s="1169"/>
      <c r="D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</row>
    <row r="4" spans="1:196">
      <c r="A4" s="15"/>
      <c r="B4" s="15" t="s">
        <v>321</v>
      </c>
      <c r="C4" s="1170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</row>
    <row r="5" spans="1:196">
      <c r="A5" s="130"/>
      <c r="B5" s="131" t="s">
        <v>121</v>
      </c>
      <c r="C5" s="1171"/>
      <c r="D5" s="132"/>
      <c r="E5" s="395" t="s">
        <v>672</v>
      </c>
      <c r="F5" s="396" t="s">
        <v>673</v>
      </c>
      <c r="G5" s="396" t="s">
        <v>666</v>
      </c>
      <c r="H5" s="397" t="s">
        <v>667</v>
      </c>
      <c r="I5" s="398">
        <v>2009</v>
      </c>
      <c r="J5" s="395" t="s">
        <v>668</v>
      </c>
      <c r="K5" s="396" t="s">
        <v>669</v>
      </c>
      <c r="L5" s="396" t="s">
        <v>670</v>
      </c>
      <c r="M5" s="397" t="s">
        <v>671</v>
      </c>
      <c r="N5" s="398" t="s">
        <v>653</v>
      </c>
      <c r="O5" s="395" t="s">
        <v>656</v>
      </c>
      <c r="P5" s="396" t="s">
        <v>657</v>
      </c>
      <c r="Q5" s="396" t="s">
        <v>658</v>
      </c>
      <c r="R5" s="397" t="s">
        <v>659</v>
      </c>
      <c r="S5" s="399" t="s">
        <v>677</v>
      </c>
      <c r="T5" s="395" t="s">
        <v>150</v>
      </c>
      <c r="U5" s="396" t="s">
        <v>797</v>
      </c>
      <c r="V5" s="396" t="s">
        <v>108</v>
      </c>
      <c r="W5" s="397" t="s">
        <v>109</v>
      </c>
      <c r="X5" s="399" t="s">
        <v>110</v>
      </c>
      <c r="Y5" s="395" t="s">
        <v>723</v>
      </c>
      <c r="Z5" s="396" t="s">
        <v>428</v>
      </c>
      <c r="AA5" s="396" t="s">
        <v>426</v>
      </c>
      <c r="AB5" s="397" t="s">
        <v>800</v>
      </c>
      <c r="AC5" s="399" t="s">
        <v>799</v>
      </c>
      <c r="AD5" s="395" t="s">
        <v>801</v>
      </c>
      <c r="AE5" s="396" t="s">
        <v>278</v>
      </c>
      <c r="AF5" s="396" t="s">
        <v>891</v>
      </c>
      <c r="AG5" s="397" t="s">
        <v>892</v>
      </c>
      <c r="AH5" s="399" t="s">
        <v>893</v>
      </c>
      <c r="AI5" s="395" t="s">
        <v>928</v>
      </c>
      <c r="AJ5" s="396" t="s">
        <v>929</v>
      </c>
      <c r="AK5" s="396" t="s">
        <v>930</v>
      </c>
      <c r="AL5" s="397" t="s">
        <v>949</v>
      </c>
      <c r="AM5" s="399" t="s">
        <v>948</v>
      </c>
      <c r="AN5" s="395" t="s">
        <v>952</v>
      </c>
      <c r="AO5" s="396" t="s">
        <v>962</v>
      </c>
      <c r="AP5" s="396" t="s">
        <v>987</v>
      </c>
      <c r="AQ5" s="397" t="s">
        <v>1010</v>
      </c>
      <c r="AR5" s="399" t="s">
        <v>1009</v>
      </c>
      <c r="AS5" s="395" t="s">
        <v>1022</v>
      </c>
      <c r="AT5" s="396" t="s">
        <v>1023</v>
      </c>
      <c r="AU5" s="396" t="s">
        <v>1032</v>
      </c>
      <c r="AV5" s="397" t="s">
        <v>1037</v>
      </c>
      <c r="AW5" s="399" t="s">
        <v>1038</v>
      </c>
      <c r="AX5" s="395" t="s">
        <v>279</v>
      </c>
      <c r="AY5" s="396" t="s">
        <v>280</v>
      </c>
      <c r="AZ5" s="396" t="s">
        <v>281</v>
      </c>
      <c r="BA5" s="397" t="s">
        <v>282</v>
      </c>
      <c r="BB5" s="399" t="s">
        <v>136</v>
      </c>
      <c r="BC5" s="395" t="s">
        <v>909</v>
      </c>
      <c r="BD5" s="396" t="s">
        <v>910</v>
      </c>
      <c r="BE5" s="396" t="s">
        <v>911</v>
      </c>
      <c r="BF5" s="397" t="s">
        <v>912</v>
      </c>
      <c r="BG5" s="399" t="s">
        <v>913</v>
      </c>
      <c r="BH5" s="395" t="s">
        <v>904</v>
      </c>
      <c r="BI5" s="396" t="s">
        <v>905</v>
      </c>
      <c r="BJ5" s="396" t="s">
        <v>906</v>
      </c>
      <c r="BK5" s="397" t="s">
        <v>907</v>
      </c>
      <c r="BL5" s="399" t="s">
        <v>908</v>
      </c>
      <c r="BM5" s="395" t="s">
        <v>988</v>
      </c>
      <c r="BN5" s="396" t="s">
        <v>989</v>
      </c>
      <c r="BO5" s="396" t="s">
        <v>990</v>
      </c>
      <c r="BP5" s="397" t="s">
        <v>991</v>
      </c>
      <c r="BQ5" s="399" t="s">
        <v>992</v>
      </c>
      <c r="BR5" s="399"/>
      <c r="BS5" s="399"/>
      <c r="BT5" s="399"/>
      <c r="BU5" s="399"/>
      <c r="BV5" s="399"/>
      <c r="BW5" s="399"/>
      <c r="BX5" s="399"/>
      <c r="BY5" s="399"/>
      <c r="BZ5" s="399"/>
      <c r="CA5" s="399"/>
      <c r="CB5" s="399"/>
      <c r="CC5" s="399"/>
      <c r="CD5" s="399"/>
      <c r="CE5" s="399"/>
      <c r="CF5" s="399"/>
      <c r="CG5" s="399"/>
      <c r="CH5" s="399"/>
      <c r="CI5" s="399"/>
      <c r="CJ5" s="399"/>
      <c r="CK5" s="399"/>
      <c r="CL5" s="399"/>
      <c r="CM5" s="399"/>
      <c r="CN5" s="399"/>
      <c r="CO5" s="399"/>
      <c r="CP5" s="399"/>
      <c r="CQ5" s="399"/>
      <c r="CR5" s="399"/>
      <c r="CS5" s="399"/>
      <c r="CT5" s="399"/>
      <c r="CU5" s="399"/>
      <c r="CV5" s="399"/>
      <c r="CW5" s="399"/>
      <c r="CX5" s="399"/>
      <c r="CY5" s="399"/>
      <c r="CZ5" s="399"/>
      <c r="DA5" s="399"/>
      <c r="DB5" s="399"/>
      <c r="DC5" s="399"/>
      <c r="DD5" s="399"/>
      <c r="DE5" s="399"/>
      <c r="DF5" s="399"/>
      <c r="DG5" s="399"/>
      <c r="DH5" s="399"/>
      <c r="DI5" s="399"/>
      <c r="DJ5" s="399"/>
      <c r="DK5" s="399"/>
      <c r="DL5" s="399"/>
      <c r="DM5" s="399"/>
      <c r="DN5" s="399"/>
      <c r="DO5" s="399"/>
      <c r="DP5" s="399"/>
      <c r="DQ5" s="399"/>
      <c r="DR5" s="399"/>
      <c r="DS5" s="399"/>
      <c r="DT5" s="399"/>
      <c r="DU5" s="399"/>
      <c r="DV5" s="399"/>
      <c r="DW5" s="399"/>
      <c r="DX5" s="399"/>
      <c r="DY5" s="399"/>
      <c r="DZ5" s="399"/>
      <c r="EA5" s="399"/>
      <c r="EB5" s="399"/>
      <c r="EC5" s="399"/>
      <c r="ED5" s="399"/>
      <c r="EE5" s="399"/>
      <c r="EF5" s="399"/>
      <c r="EG5" s="399"/>
      <c r="EH5" s="399"/>
      <c r="EI5" s="399"/>
      <c r="EJ5" s="399"/>
      <c r="EK5" s="399"/>
      <c r="EL5" s="399"/>
      <c r="EM5" s="399"/>
      <c r="EN5" s="399"/>
      <c r="EO5" s="399"/>
      <c r="EP5" s="399"/>
      <c r="EQ5" s="399"/>
      <c r="ER5" s="399"/>
      <c r="ES5" s="399"/>
      <c r="ET5" s="399"/>
      <c r="EU5" s="399"/>
      <c r="EV5" s="399"/>
      <c r="EW5" s="399"/>
      <c r="EX5" s="399"/>
      <c r="EY5" s="399"/>
      <c r="EZ5" s="399"/>
      <c r="FA5" s="399"/>
      <c r="FB5" s="399"/>
      <c r="FC5" s="399"/>
      <c r="FD5" s="399"/>
      <c r="FE5" s="399"/>
      <c r="FF5" s="399"/>
      <c r="FG5" s="399"/>
      <c r="FH5" s="399"/>
      <c r="FI5" s="399"/>
      <c r="FJ5" s="399"/>
      <c r="FK5" s="399"/>
      <c r="FL5" s="399"/>
      <c r="FM5" s="399"/>
      <c r="FN5" s="399"/>
      <c r="FO5" s="399"/>
      <c r="FP5" s="399"/>
      <c r="FQ5" s="399"/>
      <c r="FR5" s="399"/>
      <c r="FS5" s="399"/>
      <c r="FT5" s="399"/>
      <c r="FU5" s="399"/>
      <c r="FV5" s="399"/>
      <c r="FW5" s="399"/>
      <c r="FX5" s="399"/>
      <c r="FY5" s="399"/>
      <c r="FZ5" s="399"/>
      <c r="GA5" s="399"/>
      <c r="GB5" s="399"/>
      <c r="GC5" s="399"/>
      <c r="GD5" s="399"/>
      <c r="GE5" s="399"/>
      <c r="GF5" s="399"/>
      <c r="GG5" s="399"/>
      <c r="GH5" s="399"/>
      <c r="GI5" s="399"/>
      <c r="GJ5" s="399"/>
      <c r="GK5" s="399"/>
      <c r="GL5" s="399"/>
      <c r="GM5" s="399"/>
      <c r="GN5" s="399"/>
    </row>
    <row r="6" spans="1:196">
      <c r="A6" s="5"/>
      <c r="B6" s="5"/>
      <c r="C6" s="129"/>
      <c r="D6" s="5"/>
      <c r="E6" s="146"/>
      <c r="F6" s="7"/>
      <c r="G6" s="7"/>
      <c r="H6" s="147"/>
      <c r="I6" s="5"/>
      <c r="J6" s="146"/>
      <c r="K6" s="7"/>
      <c r="L6" s="7"/>
      <c r="M6" s="147"/>
      <c r="N6" s="5"/>
      <c r="O6" s="146"/>
      <c r="P6" s="7"/>
      <c r="Q6" s="7"/>
      <c r="R6" s="147"/>
      <c r="S6" s="5"/>
      <c r="T6" s="146"/>
      <c r="U6" s="7"/>
      <c r="V6" s="7"/>
      <c r="W6" s="147"/>
      <c r="X6" s="5"/>
      <c r="Y6" s="146"/>
      <c r="Z6" s="7"/>
      <c r="AA6" s="7"/>
      <c r="AB6" s="147"/>
      <c r="AC6" s="5"/>
      <c r="AD6" s="146"/>
      <c r="AE6" s="7"/>
      <c r="AF6" s="7"/>
      <c r="AG6" s="147"/>
      <c r="AH6" s="5"/>
      <c r="AI6" s="146"/>
      <c r="AJ6" s="7"/>
      <c r="AK6" s="7"/>
      <c r="AL6" s="147"/>
      <c r="AM6" s="5"/>
      <c r="AN6" s="146"/>
      <c r="AO6" s="7"/>
      <c r="AP6" s="7"/>
      <c r="AQ6" s="147"/>
      <c r="AR6" s="5"/>
      <c r="AS6" s="146"/>
      <c r="AT6" s="7"/>
      <c r="AU6" s="7"/>
      <c r="AV6" s="147"/>
      <c r="AW6" s="5"/>
      <c r="AX6" s="146"/>
      <c r="AY6" s="7"/>
      <c r="AZ6" s="7"/>
      <c r="BA6" s="147"/>
      <c r="BB6" s="5"/>
      <c r="BC6" s="146"/>
      <c r="BD6" s="7"/>
      <c r="BE6" s="7"/>
      <c r="BF6" s="147"/>
      <c r="BG6" s="5"/>
      <c r="BH6" s="146"/>
      <c r="BI6" s="7"/>
      <c r="BJ6" s="7"/>
      <c r="BK6" s="147"/>
      <c r="BL6" s="5"/>
      <c r="BM6" s="146"/>
      <c r="BN6" s="7"/>
      <c r="BO6" s="7"/>
      <c r="BP6" s="147"/>
      <c r="BQ6" s="5"/>
    </row>
    <row r="7" spans="1:196" ht="12.75" customHeight="1">
      <c r="A7" s="5"/>
      <c r="B7" s="400" t="s">
        <v>6</v>
      </c>
      <c r="C7" s="1172"/>
      <c r="D7" s="92"/>
      <c r="E7" s="133"/>
      <c r="F7" s="134"/>
      <c r="G7" s="134"/>
      <c r="H7" s="135"/>
      <c r="I7" s="5"/>
      <c r="J7" s="133"/>
      <c r="K7" s="134"/>
      <c r="L7" s="134"/>
      <c r="M7" s="135"/>
      <c r="N7" s="5"/>
      <c r="O7" s="133"/>
      <c r="P7" s="134"/>
      <c r="Q7" s="134"/>
      <c r="R7" s="135"/>
      <c r="S7" s="5"/>
      <c r="T7" s="133"/>
      <c r="U7" s="134"/>
      <c r="V7" s="134"/>
      <c r="W7" s="135"/>
      <c r="X7" s="5"/>
      <c r="Y7" s="133"/>
      <c r="Z7" s="134"/>
      <c r="AA7" s="134"/>
      <c r="AB7" s="135"/>
      <c r="AC7" s="5"/>
      <c r="AD7" s="133"/>
      <c r="AE7" s="134"/>
      <c r="AF7" s="134"/>
      <c r="AG7" s="135"/>
      <c r="AH7" s="320"/>
      <c r="AI7" s="133"/>
      <c r="AJ7" s="134"/>
      <c r="AK7" s="134"/>
      <c r="AL7" s="135"/>
      <c r="AM7" s="320"/>
      <c r="AN7" s="133"/>
      <c r="AO7" s="134"/>
      <c r="AP7" s="134"/>
      <c r="AQ7" s="135"/>
      <c r="AR7" s="320"/>
      <c r="AS7" s="133"/>
      <c r="AT7" s="134"/>
      <c r="AU7" s="134"/>
      <c r="AV7" s="135"/>
      <c r="AW7" s="5"/>
      <c r="AX7" s="133"/>
      <c r="AY7" s="134"/>
      <c r="AZ7" s="134"/>
      <c r="BA7" s="135"/>
      <c r="BB7" s="5"/>
      <c r="BC7" s="133"/>
      <c r="BD7" s="134"/>
      <c r="BE7" s="134"/>
      <c r="BF7" s="135"/>
      <c r="BG7" s="5"/>
      <c r="BH7" s="133"/>
      <c r="BI7" s="134"/>
      <c r="BJ7" s="134"/>
      <c r="BK7" s="135"/>
      <c r="BL7" s="5"/>
      <c r="BM7" s="133"/>
      <c r="BN7" s="134"/>
      <c r="BO7" s="134"/>
      <c r="BP7" s="135"/>
      <c r="BQ7" s="5"/>
    </row>
    <row r="8" spans="1:196" ht="12.75" customHeight="1">
      <c r="A8" s="5"/>
      <c r="B8" s="5"/>
      <c r="C8" s="129"/>
      <c r="D8" s="5"/>
      <c r="E8" s="139"/>
      <c r="F8" s="18"/>
      <c r="G8" s="18"/>
      <c r="H8" s="140"/>
      <c r="I8" s="5"/>
      <c r="J8" s="139"/>
      <c r="K8" s="18"/>
      <c r="L8" s="18"/>
      <c r="M8" s="140"/>
      <c r="N8" s="5"/>
      <c r="O8" s="139"/>
      <c r="P8" s="18"/>
      <c r="Q8" s="18"/>
      <c r="R8" s="140"/>
      <c r="S8" s="5"/>
      <c r="T8" s="139"/>
      <c r="U8" s="18"/>
      <c r="V8" s="18"/>
      <c r="W8" s="140"/>
      <c r="X8" s="109"/>
      <c r="Y8" s="139"/>
      <c r="Z8" s="18"/>
      <c r="AA8" s="18"/>
      <c r="AB8" s="140"/>
      <c r="AC8" s="5"/>
      <c r="AD8" s="139"/>
      <c r="AE8" s="18"/>
      <c r="AF8" s="18"/>
      <c r="AG8" s="140"/>
      <c r="AH8" s="5"/>
      <c r="AI8" s="139"/>
      <c r="AJ8" s="18"/>
      <c r="AK8" s="18"/>
      <c r="AL8" s="140"/>
      <c r="AM8" s="5"/>
      <c r="AN8" s="139"/>
      <c r="AO8" s="18"/>
      <c r="AP8" s="18"/>
      <c r="AQ8" s="140"/>
      <c r="AR8" s="5"/>
      <c r="AS8" s="139"/>
      <c r="AT8" s="18"/>
      <c r="AU8" s="18"/>
      <c r="AV8" s="140"/>
      <c r="AW8" s="5"/>
      <c r="AX8" s="139"/>
      <c r="AY8" s="18"/>
      <c r="AZ8" s="18"/>
      <c r="BA8" s="140"/>
      <c r="BB8" s="5"/>
      <c r="BC8" s="139"/>
      <c r="BD8" s="18"/>
      <c r="BE8" s="18"/>
      <c r="BF8" s="140"/>
      <c r="BG8" s="5"/>
      <c r="BH8" s="139"/>
      <c r="BI8" s="18"/>
      <c r="BJ8" s="18"/>
      <c r="BK8" s="140"/>
      <c r="BL8" s="5"/>
      <c r="BM8" s="139"/>
      <c r="BN8" s="18"/>
      <c r="BO8" s="18"/>
      <c r="BP8" s="140"/>
      <c r="BQ8" s="5"/>
      <c r="BR8" s="19"/>
      <c r="BS8" s="19"/>
      <c r="BT8" s="19"/>
      <c r="BU8" s="19"/>
      <c r="BV8" s="19"/>
    </row>
    <row r="9" spans="1:196" ht="12.75" customHeight="1">
      <c r="A9" s="320"/>
      <c r="B9" s="320"/>
      <c r="C9" s="129" t="s">
        <v>615</v>
      </c>
      <c r="D9" s="320"/>
      <c r="E9" s="405">
        <v>2028.1559999999999</v>
      </c>
      <c r="F9" s="406">
        <v>1918.9960000000001</v>
      </c>
      <c r="G9" s="406">
        <v>2196.2550000000001</v>
      </c>
      <c r="H9" s="193">
        <f>I9-SUM(E9:G9)</f>
        <v>1739.7330000000002</v>
      </c>
      <c r="I9" s="348">
        <v>7883.14</v>
      </c>
      <c r="J9" s="393">
        <v>2007.8019999999999</v>
      </c>
      <c r="K9" s="190">
        <v>2214.9720000000002</v>
      </c>
      <c r="L9" s="190">
        <v>2639.4639999999999</v>
      </c>
      <c r="M9" s="193">
        <f>N9-SUM(J9:L9)</f>
        <v>1881.4360000000006</v>
      </c>
      <c r="N9" s="348">
        <v>8743.6740000000009</v>
      </c>
      <c r="O9" s="393">
        <v>1866.4949999999999</v>
      </c>
      <c r="P9" s="190">
        <v>2212.5839999999998</v>
      </c>
      <c r="Q9" s="190">
        <v>2734.192</v>
      </c>
      <c r="R9" s="193">
        <f>S9-SUM(O9:Q9)</f>
        <v>1862.7380000000003</v>
      </c>
      <c r="S9" s="348">
        <v>8676.009</v>
      </c>
      <c r="T9" s="393">
        <v>1785.6320000000001</v>
      </c>
      <c r="U9" s="190">
        <v>1935.6969999999999</v>
      </c>
      <c r="V9" s="190">
        <v>2321.328</v>
      </c>
      <c r="W9" s="193">
        <f>X9-SUM(T9:V9)</f>
        <v>1831.5980000000009</v>
      </c>
      <c r="X9" s="348">
        <v>7874.2550000000001</v>
      </c>
      <c r="Y9" s="393">
        <v>1950.12</v>
      </c>
      <c r="Z9" s="190">
        <v>2178.4549999999999</v>
      </c>
      <c r="AA9" s="190">
        <v>2706.3690000000001</v>
      </c>
      <c r="AB9" s="193">
        <f>AC9-SUM(Y9:AA9)</f>
        <v>2112.4890000000014</v>
      </c>
      <c r="AC9" s="348">
        <v>8947.4330000000009</v>
      </c>
      <c r="AD9" s="393">
        <v>2226.4839999999999</v>
      </c>
      <c r="AE9" s="190">
        <v>2373.9270000000001</v>
      </c>
      <c r="AF9" s="190">
        <v>2824.049</v>
      </c>
      <c r="AG9" s="193">
        <f>AH9-SUM(AD9:AF9)</f>
        <v>2167.5680000000002</v>
      </c>
      <c r="AH9" s="348">
        <v>9592.0280000000002</v>
      </c>
      <c r="AI9" s="393">
        <v>2217.9989999999998</v>
      </c>
      <c r="AJ9" s="190">
        <v>2246.1680000000001</v>
      </c>
      <c r="AK9" s="190">
        <v>2825.1640000000002</v>
      </c>
      <c r="AL9" s="193">
        <f>AM9-SUM(AI9:AK9)</f>
        <v>2019.4089999999997</v>
      </c>
      <c r="AM9" s="348">
        <v>9308.74</v>
      </c>
      <c r="AN9" s="393">
        <v>2042.18</v>
      </c>
      <c r="AO9" s="190">
        <v>2093.357</v>
      </c>
      <c r="AP9" s="190">
        <v>2624.596</v>
      </c>
      <c r="AQ9" s="193">
        <f>AR9-SUM(AN9:AP9)</f>
        <v>2106.625</v>
      </c>
      <c r="AR9" s="348">
        <v>8866.7579999999998</v>
      </c>
      <c r="AS9" s="393">
        <v>1991.761</v>
      </c>
      <c r="AT9" s="190">
        <v>2271.2570000000001</v>
      </c>
      <c r="AU9" s="190">
        <v>2793.8359999999998</v>
      </c>
      <c r="AV9" s="193">
        <f>AW9-SUM(AS9:AU9)</f>
        <v>2222.1560000000009</v>
      </c>
      <c r="AW9" s="348">
        <v>9279.01</v>
      </c>
      <c r="AX9" s="174">
        <f>AX100+AX115</f>
        <v>2072.4151129999996</v>
      </c>
      <c r="AY9" s="175">
        <f>AY100+AY115</f>
        <v>2309.5934973636367</v>
      </c>
      <c r="AZ9" s="175">
        <f>AZ100+AZ115</f>
        <v>2915.7722389090909</v>
      </c>
      <c r="BA9" s="176">
        <f>BA100+BA115</f>
        <v>2195.5091613333343</v>
      </c>
      <c r="BB9" s="107">
        <f>SUM(AX9:BA9)</f>
        <v>9493.2900106060624</v>
      </c>
      <c r="BC9" s="174">
        <f>BC100+BC115</f>
        <v>2150.6316036780004</v>
      </c>
      <c r="BD9" s="175">
        <f>BD100+BD115</f>
        <v>2389.4250583478188</v>
      </c>
      <c r="BE9" s="175">
        <f>BE100+BE115</f>
        <v>2999.0488723425456</v>
      </c>
      <c r="BF9" s="176">
        <f>BF100+BF115</f>
        <v>2274.6262163013339</v>
      </c>
      <c r="BG9" s="107">
        <f>SUM(BC9:BF9)</f>
        <v>9813.7317506697</v>
      </c>
      <c r="BH9" s="174">
        <f>BH100+BH115</f>
        <v>2239.817393300068</v>
      </c>
      <c r="BI9" s="175">
        <f>BI100+BI115</f>
        <v>2480.2356086979057</v>
      </c>
      <c r="BJ9" s="175">
        <f>BJ100+BJ115</f>
        <v>3093.3251655766007</v>
      </c>
      <c r="BK9" s="176">
        <f>BK100+BK115</f>
        <v>2364.7179735991422</v>
      </c>
      <c r="BL9" s="107">
        <f>SUM(BH9:BK9)</f>
        <v>10178.096141173717</v>
      </c>
      <c r="BM9" s="174">
        <f>BM100+BM115</f>
        <v>2316.5382976598685</v>
      </c>
      <c r="BN9" s="175">
        <f>BN100+BN115</f>
        <v>2558.5910223500932</v>
      </c>
      <c r="BO9" s="175">
        <f>BO100+BO115</f>
        <v>3175.1671165700604</v>
      </c>
      <c r="BP9" s="176">
        <f>BP100+BP115</f>
        <v>2442.350281440737</v>
      </c>
      <c r="BQ9" s="107">
        <f>SUM(BM9:BP9)</f>
        <v>10492.646718020758</v>
      </c>
      <c r="BR9" s="19"/>
      <c r="BS9" s="19"/>
      <c r="BT9" s="19"/>
      <c r="BU9" s="19"/>
      <c r="BV9" s="19"/>
    </row>
    <row r="10" spans="1:196" ht="12.75" customHeight="1">
      <c r="A10" s="320"/>
      <c r="B10" s="320"/>
      <c r="C10" s="129" t="s">
        <v>616</v>
      </c>
      <c r="D10" s="320"/>
      <c r="E10" s="405">
        <v>74.049000000000007</v>
      </c>
      <c r="F10" s="406">
        <v>28.834</v>
      </c>
      <c r="G10" s="406">
        <v>24.03</v>
      </c>
      <c r="H10" s="193">
        <f>I10-SUM(E10:G10)</f>
        <v>45.299999999999983</v>
      </c>
      <c r="I10" s="348">
        <v>172.21299999999999</v>
      </c>
      <c r="J10" s="393">
        <v>96.027000000000001</v>
      </c>
      <c r="K10" s="190">
        <v>31.135999999999999</v>
      </c>
      <c r="L10" s="190">
        <v>27.263000000000002</v>
      </c>
      <c r="M10" s="193">
        <f>N10-SUM(J10:L10)</f>
        <v>43.231999999999999</v>
      </c>
      <c r="N10" s="348">
        <v>197.65799999999999</v>
      </c>
      <c r="O10" s="393">
        <v>71.123000000000005</v>
      </c>
      <c r="P10" s="190">
        <v>28.890999999999998</v>
      </c>
      <c r="Q10" s="190">
        <v>26.439</v>
      </c>
      <c r="R10" s="193">
        <f>S10-SUM(O10:Q10)</f>
        <v>39.365999999999985</v>
      </c>
      <c r="S10" s="348">
        <v>165.81899999999999</v>
      </c>
      <c r="T10" s="393">
        <v>46.008000000000003</v>
      </c>
      <c r="U10" s="190">
        <v>23.879000000000001</v>
      </c>
      <c r="V10" s="190">
        <v>23.556999999999999</v>
      </c>
      <c r="W10" s="193">
        <f>X10-SUM(T10:V10)</f>
        <v>37.39200000000001</v>
      </c>
      <c r="X10" s="348">
        <v>130.83600000000001</v>
      </c>
      <c r="Y10" s="393">
        <v>53.320999999999998</v>
      </c>
      <c r="Z10" s="190">
        <v>33.881</v>
      </c>
      <c r="AA10" s="190">
        <v>26.113</v>
      </c>
      <c r="AB10" s="193">
        <f>AC10-SUM(Y10:AA10)</f>
        <v>41.038000000000011</v>
      </c>
      <c r="AC10" s="348">
        <v>154.35300000000001</v>
      </c>
      <c r="AD10" s="393">
        <v>78.22</v>
      </c>
      <c r="AE10" s="190">
        <v>35.469000000000001</v>
      </c>
      <c r="AF10" s="190">
        <v>28.039000000000001</v>
      </c>
      <c r="AG10" s="193">
        <f>AH10-SUM(AD10:AF10)</f>
        <v>40.066000000000003</v>
      </c>
      <c r="AH10" s="348">
        <v>181.79400000000001</v>
      </c>
      <c r="AI10" s="393">
        <v>59.511000000000003</v>
      </c>
      <c r="AJ10" s="190">
        <v>27.777000000000001</v>
      </c>
      <c r="AK10" s="190">
        <v>24.516999999999999</v>
      </c>
      <c r="AL10" s="193">
        <f>AM10-SUM(AI10:AK10)</f>
        <v>30.941000000000003</v>
      </c>
      <c r="AM10" s="348">
        <v>142.74600000000001</v>
      </c>
      <c r="AN10" s="393">
        <v>45.613</v>
      </c>
      <c r="AO10" s="190">
        <v>25.120999999999999</v>
      </c>
      <c r="AP10" s="190">
        <v>24.795999999999999</v>
      </c>
      <c r="AQ10" s="193">
        <f>AR10-SUM(AN10:AP10)</f>
        <v>33.818000000000012</v>
      </c>
      <c r="AR10" s="348">
        <v>129.34800000000001</v>
      </c>
      <c r="AS10" s="393">
        <v>43.350999999999999</v>
      </c>
      <c r="AT10" s="190">
        <v>30.074999999999999</v>
      </c>
      <c r="AU10" s="190">
        <v>26.585000000000001</v>
      </c>
      <c r="AV10" s="193">
        <f>AW10-SUM(AS10:AU10)</f>
        <v>38.844999999999999</v>
      </c>
      <c r="AW10" s="348">
        <v>138.85599999999999</v>
      </c>
      <c r="AX10" s="197">
        <f>AX117</f>
        <v>43.350999999999999</v>
      </c>
      <c r="AY10" s="198">
        <f>AY117</f>
        <v>30.074999999999999</v>
      </c>
      <c r="AZ10" s="198">
        <f>AZ117</f>
        <v>26.585000000000001</v>
      </c>
      <c r="BA10" s="193">
        <f>BA117</f>
        <v>38.844999999999999</v>
      </c>
      <c r="BB10" s="107">
        <f>SUM(AX10:BA10)</f>
        <v>138.85599999999999</v>
      </c>
      <c r="BC10" s="197">
        <f>BC117</f>
        <v>43.350999999999999</v>
      </c>
      <c r="BD10" s="198">
        <f>BD117</f>
        <v>30.074999999999999</v>
      </c>
      <c r="BE10" s="198">
        <f>BE117</f>
        <v>26.585000000000001</v>
      </c>
      <c r="BF10" s="193">
        <f>BF117</f>
        <v>38.844999999999999</v>
      </c>
      <c r="BG10" s="107">
        <f>SUM(BC10:BF10)</f>
        <v>138.85599999999999</v>
      </c>
      <c r="BH10" s="197">
        <f>BH117</f>
        <v>43.350999999999999</v>
      </c>
      <c r="BI10" s="198">
        <f>BI117</f>
        <v>30.074999999999999</v>
      </c>
      <c r="BJ10" s="198">
        <f>BJ117</f>
        <v>26.585000000000001</v>
      </c>
      <c r="BK10" s="193">
        <f>BK117</f>
        <v>38.844999999999999</v>
      </c>
      <c r="BL10" s="107">
        <f>SUM(BH10:BK10)</f>
        <v>138.85599999999999</v>
      </c>
      <c r="BM10" s="197">
        <f>BM117</f>
        <v>43.350999999999999</v>
      </c>
      <c r="BN10" s="198">
        <f>BN117</f>
        <v>30.074999999999999</v>
      </c>
      <c r="BO10" s="198">
        <f>BO117</f>
        <v>26.585000000000001</v>
      </c>
      <c r="BP10" s="193">
        <f>BP117</f>
        <v>38.844999999999999</v>
      </c>
      <c r="BQ10" s="107">
        <f>SUM(BM10:BP10)</f>
        <v>138.85599999999999</v>
      </c>
      <c r="BR10" s="19"/>
      <c r="BS10" s="19"/>
      <c r="BT10" s="19"/>
      <c r="BU10" s="19"/>
      <c r="BV10" s="19"/>
    </row>
    <row r="11" spans="1:196">
      <c r="A11" s="320"/>
      <c r="B11" s="320"/>
      <c r="C11" s="1173" t="s">
        <v>310</v>
      </c>
      <c r="D11" s="320"/>
      <c r="E11" s="413">
        <f t="shared" ref="E11:P11" si="0">SUM(E9:E10)</f>
        <v>2102.2049999999999</v>
      </c>
      <c r="F11" s="414">
        <f t="shared" si="0"/>
        <v>1947.8300000000002</v>
      </c>
      <c r="G11" s="414">
        <f t="shared" si="0"/>
        <v>2220.2850000000003</v>
      </c>
      <c r="H11" s="247">
        <f t="shared" si="0"/>
        <v>1785.0330000000001</v>
      </c>
      <c r="I11" s="110">
        <f t="shared" si="0"/>
        <v>8055.3530000000001</v>
      </c>
      <c r="J11" s="248">
        <f t="shared" si="0"/>
        <v>2103.8289999999997</v>
      </c>
      <c r="K11" s="246">
        <f t="shared" si="0"/>
        <v>2246.1080000000002</v>
      </c>
      <c r="L11" s="246">
        <f t="shared" si="0"/>
        <v>2666.7269999999999</v>
      </c>
      <c r="M11" s="247">
        <f t="shared" si="0"/>
        <v>1924.6680000000006</v>
      </c>
      <c r="N11" s="110">
        <f t="shared" si="0"/>
        <v>8941.3320000000003</v>
      </c>
      <c r="O11" s="248">
        <f t="shared" si="0"/>
        <v>1937.6179999999999</v>
      </c>
      <c r="P11" s="246">
        <f t="shared" si="0"/>
        <v>2241.4749999999999</v>
      </c>
      <c r="Q11" s="181">
        <f t="shared" ref="Q11:AP11" si="1">SUM(Q9:Q10)</f>
        <v>2760.6309999999999</v>
      </c>
      <c r="R11" s="247">
        <f t="shared" si="1"/>
        <v>1902.1040000000003</v>
      </c>
      <c r="S11" s="110">
        <f t="shared" si="1"/>
        <v>8841.8279999999995</v>
      </c>
      <c r="T11" s="248">
        <f t="shared" si="1"/>
        <v>1831.64</v>
      </c>
      <c r="U11" s="246">
        <f t="shared" si="1"/>
        <v>1959.5759999999998</v>
      </c>
      <c r="V11" s="181">
        <f>SUM(V9:V10)</f>
        <v>2344.8849999999998</v>
      </c>
      <c r="W11" s="247">
        <f>SUM(W9:W10)</f>
        <v>1868.9900000000009</v>
      </c>
      <c r="X11" s="110">
        <f>SUM(X9:X10)</f>
        <v>8005.0910000000003</v>
      </c>
      <c r="Y11" s="248">
        <f>SUM(Y9:Y10)</f>
        <v>2003.4409999999998</v>
      </c>
      <c r="Z11" s="246">
        <f t="shared" si="1"/>
        <v>2212.3359999999998</v>
      </c>
      <c r="AA11" s="181">
        <f>SUM(AA9:AA10)</f>
        <v>2732.482</v>
      </c>
      <c r="AB11" s="247">
        <f>SUM(AB9:AB10)</f>
        <v>2153.5270000000014</v>
      </c>
      <c r="AC11" s="110">
        <f>SUM(AC9:AC10)</f>
        <v>9101.7860000000001</v>
      </c>
      <c r="AD11" s="248">
        <f>SUM(AD9:AD10)</f>
        <v>2304.7039999999997</v>
      </c>
      <c r="AE11" s="246">
        <f t="shared" si="1"/>
        <v>2409.3960000000002</v>
      </c>
      <c r="AF11" s="181">
        <f>SUM(AF9:AF10)</f>
        <v>2852.0880000000002</v>
      </c>
      <c r="AG11" s="247">
        <f>SUM(AG9:AG10)</f>
        <v>2207.634</v>
      </c>
      <c r="AH11" s="110">
        <f>SUM(AH9:AH10)</f>
        <v>9773.8220000000001</v>
      </c>
      <c r="AI11" s="248">
        <f>SUM(AI9:AI10)</f>
        <v>2277.5099999999998</v>
      </c>
      <c r="AJ11" s="246">
        <f t="shared" ref="AJ11" si="2">SUM(AJ9:AJ10)</f>
        <v>2273.9450000000002</v>
      </c>
      <c r="AK11" s="181">
        <f>SUM(AK9:AK10)</f>
        <v>2849.681</v>
      </c>
      <c r="AL11" s="247">
        <f>SUM(AL9:AL10)</f>
        <v>2050.3499999999995</v>
      </c>
      <c r="AM11" s="110">
        <f>SUM(AM9:AM10)</f>
        <v>9451.485999999999</v>
      </c>
      <c r="AN11" s="248">
        <f>SUM(AN9:AN10)</f>
        <v>2087.7930000000001</v>
      </c>
      <c r="AO11" s="246">
        <f t="shared" ref="AO11" si="3">SUM(AO9:AO10)</f>
        <v>2118.4780000000001</v>
      </c>
      <c r="AP11" s="181">
        <f t="shared" si="1"/>
        <v>2649.3919999999998</v>
      </c>
      <c r="AQ11" s="247">
        <f>SUM(AQ9:AQ10)</f>
        <v>2140.4430000000002</v>
      </c>
      <c r="AR11" s="110">
        <f>SUM(AR9:AR10)</f>
        <v>8996.1059999999998</v>
      </c>
      <c r="AS11" s="248">
        <f>SUM(AS9:AS10)</f>
        <v>2035.1120000000001</v>
      </c>
      <c r="AT11" s="246">
        <f t="shared" ref="AT11:AU11" si="4">SUM(AT9:AT10)</f>
        <v>2301.3319999999999</v>
      </c>
      <c r="AU11" s="246">
        <f t="shared" si="4"/>
        <v>2820.4209999999998</v>
      </c>
      <c r="AV11" s="247">
        <f>SUM(AV9:AV10)</f>
        <v>2261.0010000000007</v>
      </c>
      <c r="AW11" s="110">
        <f>SUM(AW9:AW10)</f>
        <v>9417.866</v>
      </c>
      <c r="AX11" s="180">
        <f t="shared" ref="AX11:BB11" si="5">SUM(AX9:AX10)</f>
        <v>2115.7661129999997</v>
      </c>
      <c r="AY11" s="181">
        <f t="shared" si="5"/>
        <v>2339.6684973636366</v>
      </c>
      <c r="AZ11" s="181">
        <f t="shared" si="5"/>
        <v>2942.3572389090909</v>
      </c>
      <c r="BA11" s="182">
        <f t="shared" si="5"/>
        <v>2234.3541613333341</v>
      </c>
      <c r="BB11" s="110">
        <f t="shared" si="5"/>
        <v>9632.1460106060622</v>
      </c>
      <c r="BC11" s="180">
        <f t="shared" ref="BC11:BL11" si="6">SUM(BC9:BC10)</f>
        <v>2193.9826036780005</v>
      </c>
      <c r="BD11" s="181">
        <f t="shared" si="6"/>
        <v>2419.5000583478186</v>
      </c>
      <c r="BE11" s="181">
        <f t="shared" si="6"/>
        <v>3025.6338723425456</v>
      </c>
      <c r="BF11" s="182">
        <f t="shared" si="6"/>
        <v>2313.4712163013337</v>
      </c>
      <c r="BG11" s="110">
        <f t="shared" si="6"/>
        <v>9952.5877506696997</v>
      </c>
      <c r="BH11" s="180">
        <f t="shared" si="6"/>
        <v>2283.1683933000681</v>
      </c>
      <c r="BI11" s="181">
        <f t="shared" si="6"/>
        <v>2510.3106086979055</v>
      </c>
      <c r="BJ11" s="181">
        <f t="shared" si="6"/>
        <v>3119.9101655766008</v>
      </c>
      <c r="BK11" s="182">
        <f t="shared" si="6"/>
        <v>2403.562973599142</v>
      </c>
      <c r="BL11" s="110">
        <f t="shared" si="6"/>
        <v>10316.952141173717</v>
      </c>
      <c r="BM11" s="180">
        <f t="shared" ref="BM11:BQ11" si="7">SUM(BM9:BM10)</f>
        <v>2359.8892976598686</v>
      </c>
      <c r="BN11" s="181">
        <f t="shared" si="7"/>
        <v>2588.666022350093</v>
      </c>
      <c r="BO11" s="181">
        <f t="shared" si="7"/>
        <v>3201.7521165700605</v>
      </c>
      <c r="BP11" s="182">
        <f t="shared" si="7"/>
        <v>2481.1952814407368</v>
      </c>
      <c r="BQ11" s="110">
        <f t="shared" si="7"/>
        <v>10631.502718020758</v>
      </c>
      <c r="BR11" s="19"/>
      <c r="BS11" s="1910"/>
      <c r="BT11" s="19"/>
      <c r="BU11" s="19"/>
      <c r="BV11" s="19"/>
    </row>
    <row r="12" spans="1:196">
      <c r="A12" s="320"/>
      <c r="B12" s="320"/>
      <c r="C12" s="129"/>
      <c r="D12" s="320"/>
      <c r="E12" s="324"/>
      <c r="F12" s="325"/>
      <c r="G12" s="325"/>
      <c r="H12" s="251"/>
      <c r="I12" s="107"/>
      <c r="J12" s="174"/>
      <c r="K12" s="175"/>
      <c r="L12" s="175"/>
      <c r="M12" s="251"/>
      <c r="N12" s="107"/>
      <c r="O12" s="174"/>
      <c r="P12" s="175"/>
      <c r="Q12" s="175"/>
      <c r="R12" s="251"/>
      <c r="S12" s="107"/>
      <c r="T12" s="174"/>
      <c r="U12" s="175"/>
      <c r="V12" s="175"/>
      <c r="W12" s="251"/>
      <c r="X12" s="107"/>
      <c r="Y12" s="174"/>
      <c r="Z12" s="175"/>
      <c r="AA12" s="175"/>
      <c r="AB12" s="251"/>
      <c r="AC12" s="107"/>
      <c r="AD12" s="174"/>
      <c r="AE12" s="175"/>
      <c r="AF12" s="175"/>
      <c r="AG12" s="251"/>
      <c r="AH12" s="107"/>
      <c r="AI12" s="174"/>
      <c r="AJ12" s="175"/>
      <c r="AK12" s="175"/>
      <c r="AL12" s="251"/>
      <c r="AM12" s="107"/>
      <c r="AN12" s="174"/>
      <c r="AO12" s="175"/>
      <c r="AP12" s="175"/>
      <c r="AQ12" s="251"/>
      <c r="AR12" s="107"/>
      <c r="AS12" s="174"/>
      <c r="AT12" s="175"/>
      <c r="AU12" s="175"/>
      <c r="AV12" s="251"/>
      <c r="AW12" s="107"/>
      <c r="AX12" s="174"/>
      <c r="AY12" s="175"/>
      <c r="AZ12" s="175"/>
      <c r="BA12" s="176"/>
      <c r="BB12" s="107"/>
      <c r="BC12" s="174"/>
      <c r="BD12" s="175"/>
      <c r="BE12" s="175"/>
      <c r="BF12" s="176"/>
      <c r="BG12" s="107"/>
      <c r="BH12" s="174"/>
      <c r="BI12" s="175"/>
      <c r="BJ12" s="175"/>
      <c r="BK12" s="176"/>
      <c r="BL12" s="107"/>
      <c r="BM12" s="174"/>
      <c r="BN12" s="175"/>
      <c r="BO12" s="175"/>
      <c r="BP12" s="176"/>
      <c r="BQ12" s="107"/>
      <c r="BR12" s="19"/>
      <c r="BS12" s="19"/>
      <c r="BT12" s="19"/>
      <c r="BU12" s="19"/>
      <c r="BV12" s="19"/>
    </row>
    <row r="13" spans="1:196">
      <c r="A13" s="320"/>
      <c r="B13" s="320"/>
      <c r="C13" s="129" t="s">
        <v>312</v>
      </c>
      <c r="D13" s="320"/>
      <c r="E13" s="405">
        <v>778.40099999999995</v>
      </c>
      <c r="F13" s="406">
        <v>457.43</v>
      </c>
      <c r="G13" s="406">
        <v>484.173</v>
      </c>
      <c r="H13" s="251">
        <f>I13-SUM(E13:G13)</f>
        <v>306.88900000000012</v>
      </c>
      <c r="I13" s="348">
        <v>2026.893</v>
      </c>
      <c r="J13" s="393">
        <v>478.05500000000001</v>
      </c>
      <c r="K13" s="190">
        <v>556.50300000000004</v>
      </c>
      <c r="L13" s="190">
        <v>671.904</v>
      </c>
      <c r="M13" s="251">
        <f>N13-SUM(J13:L13)</f>
        <v>510.80299999999988</v>
      </c>
      <c r="N13" s="348">
        <v>2217.2649999999999</v>
      </c>
      <c r="O13" s="393">
        <v>438.15699999999998</v>
      </c>
      <c r="P13" s="190">
        <v>486.69099999999997</v>
      </c>
      <c r="Q13" s="190">
        <v>769.54600000000005</v>
      </c>
      <c r="R13" s="251">
        <f>S13-SUM(O13:Q13)</f>
        <v>489.16500000000019</v>
      </c>
      <c r="S13" s="348">
        <v>2183.5590000000002</v>
      </c>
      <c r="T13" s="393">
        <v>444.43799999999999</v>
      </c>
      <c r="U13" s="190">
        <v>359.79</v>
      </c>
      <c r="V13" s="190">
        <v>500.21800000000002</v>
      </c>
      <c r="W13" s="251">
        <f>X13-SUM(T13:V13)</f>
        <v>371.57299999999987</v>
      </c>
      <c r="X13" s="348">
        <v>1676.019</v>
      </c>
      <c r="Y13" s="393">
        <v>411.32</v>
      </c>
      <c r="Z13" s="190">
        <v>385.01400000000001</v>
      </c>
      <c r="AA13" s="190">
        <v>712.92899999999997</v>
      </c>
      <c r="AB13" s="251">
        <f>AC13-SUM(Y13:AA13)</f>
        <v>527.4860000000001</v>
      </c>
      <c r="AC13" s="348">
        <v>2036.749</v>
      </c>
      <c r="AD13" s="393">
        <v>415.68599999999998</v>
      </c>
      <c r="AE13" s="190">
        <v>506.51100000000002</v>
      </c>
      <c r="AF13" s="190">
        <v>761.91300000000001</v>
      </c>
      <c r="AG13" s="251">
        <f>AH13-SUM(AD13:AF13)</f>
        <v>535.52700000000004</v>
      </c>
      <c r="AH13" s="348">
        <v>2219.6370000000002</v>
      </c>
      <c r="AI13" s="393">
        <v>529.30799999999999</v>
      </c>
      <c r="AJ13" s="190">
        <v>474.33300000000003</v>
      </c>
      <c r="AK13" s="190">
        <v>654.57899999999995</v>
      </c>
      <c r="AL13" s="251">
        <f>AM13-SUM(AI13:AK13)</f>
        <v>478.90199999999982</v>
      </c>
      <c r="AM13" s="348">
        <v>2137.1219999999998</v>
      </c>
      <c r="AN13" s="393">
        <v>460.96899999999999</v>
      </c>
      <c r="AO13" s="190">
        <v>344.66300000000001</v>
      </c>
      <c r="AP13" s="190">
        <v>404.20800000000003</v>
      </c>
      <c r="AQ13" s="251">
        <f>AR13-SUM(AN13:AP13)</f>
        <v>354.11199999999985</v>
      </c>
      <c r="AR13" s="348">
        <v>1563.952</v>
      </c>
      <c r="AS13" s="393">
        <v>395.94499999999999</v>
      </c>
      <c r="AT13" s="190">
        <v>367.42200000000003</v>
      </c>
      <c r="AU13" s="190">
        <v>599.20899999999995</v>
      </c>
      <c r="AV13" s="251">
        <f>AW13-SUM(AS13:AU13)</f>
        <v>546</v>
      </c>
      <c r="AW13" s="348">
        <v>1908.576</v>
      </c>
      <c r="AX13" s="197"/>
      <c r="AY13" s="198"/>
      <c r="AZ13" s="198"/>
      <c r="BA13" s="193"/>
      <c r="BB13" s="107"/>
      <c r="BC13" s="197"/>
      <c r="BD13" s="198"/>
      <c r="BE13" s="198"/>
      <c r="BF13" s="193"/>
      <c r="BG13" s="107"/>
      <c r="BH13" s="197"/>
      <c r="BI13" s="198"/>
      <c r="BJ13" s="198"/>
      <c r="BK13" s="193"/>
      <c r="BL13" s="107"/>
      <c r="BM13" s="197"/>
      <c r="BN13" s="198"/>
      <c r="BO13" s="198"/>
      <c r="BP13" s="193"/>
      <c r="BQ13" s="107"/>
      <c r="BR13" s="19"/>
      <c r="BS13" s="19"/>
      <c r="BT13" s="19"/>
      <c r="BU13" s="19"/>
      <c r="BV13" s="19"/>
    </row>
    <row r="14" spans="1:196">
      <c r="A14" s="320"/>
      <c r="B14" s="320"/>
      <c r="C14" s="129" t="s">
        <v>311</v>
      </c>
      <c r="D14" s="320"/>
      <c r="E14" s="405">
        <v>316.53199999999998</v>
      </c>
      <c r="F14" s="406">
        <v>312.36500000000001</v>
      </c>
      <c r="G14" s="406">
        <v>373.74700000000001</v>
      </c>
      <c r="H14" s="251">
        <f>I14-SUM(E14:G14)</f>
        <v>353.77399999999989</v>
      </c>
      <c r="I14" s="348">
        <v>1356.4179999999999</v>
      </c>
      <c r="J14" s="393">
        <v>467.89499999999998</v>
      </c>
      <c r="K14" s="190">
        <v>407.24599999999998</v>
      </c>
      <c r="L14" s="190">
        <v>474.238</v>
      </c>
      <c r="M14" s="251">
        <f>N14-SUM(J14:L14)</f>
        <v>278.78700000000003</v>
      </c>
      <c r="N14" s="348">
        <v>1628.1659999999999</v>
      </c>
      <c r="O14" s="393">
        <v>356.54399999999998</v>
      </c>
      <c r="P14" s="190">
        <v>444.11</v>
      </c>
      <c r="Q14" s="190">
        <v>468.69600000000003</v>
      </c>
      <c r="R14" s="251">
        <f>S14-SUM(O14:Q14)</f>
        <v>278.92600000000016</v>
      </c>
      <c r="S14" s="348">
        <v>1548.2760000000001</v>
      </c>
      <c r="T14" s="393">
        <v>281.19</v>
      </c>
      <c r="U14" s="190">
        <v>310.35700000000003</v>
      </c>
      <c r="V14" s="190">
        <v>312.42899999999997</v>
      </c>
      <c r="W14" s="251">
        <f>X14-SUM(T14:V14)</f>
        <v>281.428</v>
      </c>
      <c r="X14" s="348">
        <v>1185.404</v>
      </c>
      <c r="Y14" s="393">
        <v>363.53199999999998</v>
      </c>
      <c r="Z14" s="190">
        <v>452.608</v>
      </c>
      <c r="AA14" s="190">
        <v>378.04199999999997</v>
      </c>
      <c r="AB14" s="251">
        <f>AC14-SUM(Y14:AA14)</f>
        <v>301.46100000000001</v>
      </c>
      <c r="AC14" s="348">
        <v>1495.643</v>
      </c>
      <c r="AD14" s="393">
        <v>547.66</v>
      </c>
      <c r="AE14" s="190">
        <v>499.93799999999999</v>
      </c>
      <c r="AF14" s="190">
        <v>440.791</v>
      </c>
      <c r="AG14" s="251">
        <f>AH14-SUM(AD14:AF14)</f>
        <v>344.87800000000016</v>
      </c>
      <c r="AH14" s="348">
        <v>1833.2670000000001</v>
      </c>
      <c r="AI14" s="393">
        <v>327.26299999999998</v>
      </c>
      <c r="AJ14" s="190">
        <v>309.36900000000003</v>
      </c>
      <c r="AK14" s="190">
        <v>422.69299999999998</v>
      </c>
      <c r="AL14" s="251">
        <f>AM14-SUM(AI14:AK14)</f>
        <v>250.84999999999991</v>
      </c>
      <c r="AM14" s="348">
        <v>1310.175</v>
      </c>
      <c r="AN14" s="393">
        <v>250.61</v>
      </c>
      <c r="AO14" s="190">
        <v>228.30799999999999</v>
      </c>
      <c r="AP14" s="190">
        <v>353.00599999999997</v>
      </c>
      <c r="AQ14" s="251">
        <f>AR14-SUM(AN14:AP14)</f>
        <v>326.57400000000007</v>
      </c>
      <c r="AR14" s="348">
        <v>1158.498</v>
      </c>
      <c r="AS14" s="393">
        <v>320.29500000000002</v>
      </c>
      <c r="AT14" s="190">
        <v>377.916</v>
      </c>
      <c r="AU14" s="190">
        <v>390.46100000000001</v>
      </c>
      <c r="AV14" s="251">
        <f>AW14-SUM(AS14:AU14)</f>
        <v>234.48900000000003</v>
      </c>
      <c r="AW14" s="348">
        <v>1323.1610000000001</v>
      </c>
      <c r="AX14" s="174"/>
      <c r="AY14" s="175"/>
      <c r="AZ14" s="175"/>
      <c r="BA14" s="176"/>
      <c r="BB14" s="107"/>
      <c r="BC14" s="174"/>
      <c r="BD14" s="175"/>
      <c r="BE14" s="175"/>
      <c r="BF14" s="176"/>
      <c r="BG14" s="107"/>
      <c r="BH14" s="174"/>
      <c r="BI14" s="175"/>
      <c r="BJ14" s="175"/>
      <c r="BK14" s="176"/>
      <c r="BL14" s="107"/>
      <c r="BM14" s="174"/>
      <c r="BN14" s="175"/>
      <c r="BO14" s="175"/>
      <c r="BP14" s="176"/>
      <c r="BQ14" s="107"/>
      <c r="BR14" s="19"/>
      <c r="BS14" s="19"/>
      <c r="BT14" s="19"/>
      <c r="BU14" s="19"/>
      <c r="BV14" s="19"/>
    </row>
    <row r="15" spans="1:196" s="37" customFormat="1">
      <c r="A15" s="327"/>
      <c r="B15" s="327"/>
      <c r="C15" s="1173" t="s">
        <v>812</v>
      </c>
      <c r="D15" s="327"/>
      <c r="E15" s="335">
        <f>SUM(E13:E14)</f>
        <v>1094.933</v>
      </c>
      <c r="F15" s="336">
        <f t="shared" ref="F15:AA15" si="8">SUM(F13:F14)</f>
        <v>769.79500000000007</v>
      </c>
      <c r="G15" s="336">
        <f t="shared" si="8"/>
        <v>857.92000000000007</v>
      </c>
      <c r="H15" s="182">
        <f t="shared" si="8"/>
        <v>660.66300000000001</v>
      </c>
      <c r="I15" s="110">
        <f t="shared" si="8"/>
        <v>3383.3109999999997</v>
      </c>
      <c r="J15" s="180">
        <f t="shared" si="8"/>
        <v>945.95</v>
      </c>
      <c r="K15" s="181">
        <f t="shared" si="8"/>
        <v>963.74900000000002</v>
      </c>
      <c r="L15" s="181">
        <f t="shared" si="8"/>
        <v>1146.1420000000001</v>
      </c>
      <c r="M15" s="182">
        <f t="shared" si="8"/>
        <v>789.58999999999992</v>
      </c>
      <c r="N15" s="110">
        <f t="shared" si="8"/>
        <v>3845.4309999999996</v>
      </c>
      <c r="O15" s="180">
        <f t="shared" si="8"/>
        <v>794.70100000000002</v>
      </c>
      <c r="P15" s="181">
        <f t="shared" si="8"/>
        <v>930.80099999999993</v>
      </c>
      <c r="Q15" s="181">
        <f t="shared" si="8"/>
        <v>1238.2420000000002</v>
      </c>
      <c r="R15" s="182">
        <f t="shared" si="8"/>
        <v>768.09100000000035</v>
      </c>
      <c r="S15" s="110">
        <f t="shared" si="8"/>
        <v>3731.835</v>
      </c>
      <c r="T15" s="180">
        <f t="shared" si="8"/>
        <v>725.62799999999993</v>
      </c>
      <c r="U15" s="181">
        <f t="shared" si="8"/>
        <v>670.14700000000005</v>
      </c>
      <c r="V15" s="181">
        <f t="shared" si="8"/>
        <v>812.64699999999993</v>
      </c>
      <c r="W15" s="182">
        <f t="shared" si="8"/>
        <v>653.00099999999986</v>
      </c>
      <c r="X15" s="110">
        <f t="shared" si="8"/>
        <v>2861.4229999999998</v>
      </c>
      <c r="Y15" s="180">
        <f t="shared" si="8"/>
        <v>774.85199999999998</v>
      </c>
      <c r="Z15" s="181">
        <f t="shared" si="8"/>
        <v>837.62200000000007</v>
      </c>
      <c r="AA15" s="181">
        <f t="shared" si="8"/>
        <v>1090.971</v>
      </c>
      <c r="AB15" s="182">
        <f>SUM(AB13:AB14)</f>
        <v>828.94700000000012</v>
      </c>
      <c r="AC15" s="110">
        <f>SUM(AC13:AC14)</f>
        <v>3532.3919999999998</v>
      </c>
      <c r="AD15" s="180">
        <f>SUM(AD13:AD14)</f>
        <v>963.346</v>
      </c>
      <c r="AE15" s="181">
        <f>SUM(AE13:AE14)</f>
        <v>1006.4490000000001</v>
      </c>
      <c r="AF15" s="181">
        <f t="shared" ref="AF15" si="9">SUM(AF13:AF14)</f>
        <v>1202.704</v>
      </c>
      <c r="AG15" s="182">
        <f>SUM(AG13:AG14)</f>
        <v>880.4050000000002</v>
      </c>
      <c r="AH15" s="110">
        <f>SUM(AH13:AH14)</f>
        <v>4052.9040000000005</v>
      </c>
      <c r="AI15" s="180">
        <f>SUM(AI13:AI14)</f>
        <v>856.57099999999991</v>
      </c>
      <c r="AJ15" s="181">
        <f>SUM(AJ13:AJ14)</f>
        <v>783.702</v>
      </c>
      <c r="AK15" s="181">
        <f t="shared" ref="AK15" si="10">SUM(AK13:AK14)</f>
        <v>1077.2719999999999</v>
      </c>
      <c r="AL15" s="182">
        <f t="shared" ref="AL15:AT15" si="11">SUM(AL13:AL14)</f>
        <v>729.75199999999973</v>
      </c>
      <c r="AM15" s="110">
        <f t="shared" si="11"/>
        <v>3447.2969999999996</v>
      </c>
      <c r="AN15" s="180">
        <f t="shared" si="11"/>
        <v>711.57899999999995</v>
      </c>
      <c r="AO15" s="181">
        <f t="shared" si="11"/>
        <v>572.971</v>
      </c>
      <c r="AP15" s="181">
        <f t="shared" si="11"/>
        <v>757.21399999999994</v>
      </c>
      <c r="AQ15" s="182">
        <f t="shared" si="11"/>
        <v>680.68599999999992</v>
      </c>
      <c r="AR15" s="110">
        <f t="shared" si="11"/>
        <v>2722.45</v>
      </c>
      <c r="AS15" s="180">
        <f t="shared" ref="AS15" si="12">SUM(AS13:AS14)</f>
        <v>716.24</v>
      </c>
      <c r="AT15" s="181">
        <f t="shared" si="11"/>
        <v>745.33799999999997</v>
      </c>
      <c r="AU15" s="181">
        <f>AU120</f>
        <v>989.67</v>
      </c>
      <c r="AV15" s="182">
        <f t="shared" ref="AV15:AW15" si="13">SUM(AV13:AV14)</f>
        <v>780.48900000000003</v>
      </c>
      <c r="AW15" s="110">
        <f t="shared" si="13"/>
        <v>3231.7370000000001</v>
      </c>
      <c r="AX15" s="180">
        <f>AX120</f>
        <v>739.87592000000006</v>
      </c>
      <c r="AY15" s="181">
        <f>AY120</f>
        <v>752.31707400000005</v>
      </c>
      <c r="AZ15" s="181">
        <f>AZ120</f>
        <v>1027.72731</v>
      </c>
      <c r="BA15" s="182">
        <f>BA120</f>
        <v>764.619057</v>
      </c>
      <c r="BB15" s="110">
        <f>SUM(AX15:BA15)</f>
        <v>3284.5393610000001</v>
      </c>
      <c r="BC15" s="180">
        <f>BC120</f>
        <v>744.31517552000003</v>
      </c>
      <c r="BD15" s="181">
        <f>BD120</f>
        <v>756.83097644400004</v>
      </c>
      <c r="BE15" s="181">
        <f>BE120</f>
        <v>1033.89367386</v>
      </c>
      <c r="BF15" s="182">
        <f>BF120</f>
        <v>769.20677134200014</v>
      </c>
      <c r="BG15" s="110">
        <f>SUM(BC15:BF15)</f>
        <v>3304.2465971660004</v>
      </c>
      <c r="BH15" s="180">
        <f>BH120</f>
        <v>748.78106657312003</v>
      </c>
      <c r="BI15" s="181">
        <f>BI120</f>
        <v>761.37196230266409</v>
      </c>
      <c r="BJ15" s="181">
        <f>BJ120</f>
        <v>1040.0970359031603</v>
      </c>
      <c r="BK15" s="182">
        <f>BK120</f>
        <v>773.82201197005202</v>
      </c>
      <c r="BL15" s="110">
        <f>SUM(BH15:BK15)</f>
        <v>3324.0720767489966</v>
      </c>
      <c r="BM15" s="180">
        <f>BM120</f>
        <v>753.2737529725589</v>
      </c>
      <c r="BN15" s="181">
        <f>BN120</f>
        <v>765.94019407648011</v>
      </c>
      <c r="BO15" s="181">
        <f>BO120</f>
        <v>1046.3376181185793</v>
      </c>
      <c r="BP15" s="182">
        <f>BP120</f>
        <v>778.4649440418724</v>
      </c>
      <c r="BQ15" s="110">
        <f>SUM(BM15:BP15)</f>
        <v>3344.0165092094908</v>
      </c>
      <c r="BR15" s="19"/>
      <c r="BT15" s="19"/>
      <c r="BU15" s="19"/>
      <c r="BV15" s="2017" t="s">
        <v>1026</v>
      </c>
      <c r="BW15" s="2019"/>
    </row>
    <row r="16" spans="1:196">
      <c r="A16" s="320"/>
      <c r="B16" s="320"/>
      <c r="C16" s="129"/>
      <c r="D16" s="320"/>
      <c r="E16" s="405"/>
      <c r="F16" s="406"/>
      <c r="G16" s="406"/>
      <c r="H16" s="251"/>
      <c r="I16" s="348"/>
      <c r="J16" s="393"/>
      <c r="K16" s="190"/>
      <c r="L16" s="190"/>
      <c r="M16" s="251"/>
      <c r="N16" s="348"/>
      <c r="O16" s="393"/>
      <c r="P16" s="190"/>
      <c r="Q16" s="190"/>
      <c r="R16" s="251"/>
      <c r="S16" s="348"/>
      <c r="T16" s="393"/>
      <c r="U16" s="190"/>
      <c r="V16" s="190"/>
      <c r="W16" s="251"/>
      <c r="X16" s="348"/>
      <c r="Y16" s="393"/>
      <c r="Z16" s="190"/>
      <c r="AA16" s="190"/>
      <c r="AB16" s="251"/>
      <c r="AC16" s="348"/>
      <c r="AD16" s="393"/>
      <c r="AE16" s="190"/>
      <c r="AF16" s="190"/>
      <c r="AG16" s="251"/>
      <c r="AH16" s="348"/>
      <c r="AI16" s="393"/>
      <c r="AJ16" s="190"/>
      <c r="AK16" s="190"/>
      <c r="AL16" s="251"/>
      <c r="AM16" s="348"/>
      <c r="AN16" s="393"/>
      <c r="AO16" s="190"/>
      <c r="AP16" s="190"/>
      <c r="AQ16" s="251"/>
      <c r="AR16" s="348"/>
      <c r="AS16" s="393"/>
      <c r="AT16" s="175"/>
      <c r="AU16" s="175"/>
      <c r="AV16" s="251"/>
      <c r="AW16" s="348"/>
      <c r="AX16" s="174"/>
      <c r="AY16" s="175"/>
      <c r="AZ16" s="175"/>
      <c r="BA16" s="176"/>
      <c r="BB16" s="107"/>
      <c r="BC16" s="174"/>
      <c r="BD16" s="175"/>
      <c r="BE16" s="175"/>
      <c r="BF16" s="176"/>
      <c r="BG16" s="107"/>
      <c r="BH16" s="174"/>
      <c r="BI16" s="175"/>
      <c r="BJ16" s="175"/>
      <c r="BK16" s="176"/>
      <c r="BL16" s="107"/>
      <c r="BM16" s="174"/>
      <c r="BN16" s="175"/>
      <c r="BO16" s="175"/>
      <c r="BP16" s="176"/>
      <c r="BQ16" s="107"/>
      <c r="BR16" s="19"/>
      <c r="BS16" s="19"/>
      <c r="BT16" s="19"/>
      <c r="BU16" s="19"/>
      <c r="BV16" s="2017" t="s">
        <v>766</v>
      </c>
      <c r="BW16" s="2018" t="s">
        <v>767</v>
      </c>
    </row>
    <row r="17" spans="1:75">
      <c r="A17" s="327"/>
      <c r="B17" s="327"/>
      <c r="C17" s="1173" t="s">
        <v>314</v>
      </c>
      <c r="D17" s="327"/>
      <c r="E17" s="335">
        <f>E11-E15</f>
        <v>1007.2719999999999</v>
      </c>
      <c r="F17" s="336">
        <f t="shared" ref="F17:AU17" si="14">F11-F15</f>
        <v>1178.0350000000001</v>
      </c>
      <c r="G17" s="336">
        <f t="shared" si="14"/>
        <v>1362.3650000000002</v>
      </c>
      <c r="H17" s="247">
        <f t="shared" si="14"/>
        <v>1124.3700000000001</v>
      </c>
      <c r="I17" s="110">
        <f t="shared" si="14"/>
        <v>4672.0420000000004</v>
      </c>
      <c r="J17" s="180">
        <f t="shared" si="14"/>
        <v>1157.8789999999997</v>
      </c>
      <c r="K17" s="181">
        <f t="shared" si="14"/>
        <v>1282.3590000000002</v>
      </c>
      <c r="L17" s="181">
        <f t="shared" si="14"/>
        <v>1520.5849999999998</v>
      </c>
      <c r="M17" s="247">
        <f t="shared" si="14"/>
        <v>1135.0780000000007</v>
      </c>
      <c r="N17" s="110">
        <f t="shared" si="14"/>
        <v>5095.9010000000007</v>
      </c>
      <c r="O17" s="180">
        <f t="shared" si="14"/>
        <v>1142.9169999999999</v>
      </c>
      <c r="P17" s="181">
        <f t="shared" si="14"/>
        <v>1310.674</v>
      </c>
      <c r="Q17" s="181">
        <f t="shared" si="14"/>
        <v>1522.3889999999997</v>
      </c>
      <c r="R17" s="247">
        <f t="shared" si="14"/>
        <v>1134.0129999999999</v>
      </c>
      <c r="S17" s="110">
        <f t="shared" si="14"/>
        <v>5109.9929999999995</v>
      </c>
      <c r="T17" s="180">
        <f t="shared" si="14"/>
        <v>1106.0120000000002</v>
      </c>
      <c r="U17" s="181">
        <f t="shared" si="14"/>
        <v>1289.4289999999996</v>
      </c>
      <c r="V17" s="181">
        <f t="shared" si="14"/>
        <v>1532.2379999999998</v>
      </c>
      <c r="W17" s="247">
        <f t="shared" si="14"/>
        <v>1215.9890000000009</v>
      </c>
      <c r="X17" s="110">
        <f t="shared" si="14"/>
        <v>5143.6680000000006</v>
      </c>
      <c r="Y17" s="180">
        <f t="shared" si="14"/>
        <v>1228.5889999999999</v>
      </c>
      <c r="Z17" s="181">
        <f t="shared" ref="Z17:AE17" si="15">Z11-Z15</f>
        <v>1374.7139999999997</v>
      </c>
      <c r="AA17" s="181">
        <f t="shared" si="15"/>
        <v>1641.511</v>
      </c>
      <c r="AB17" s="247">
        <f t="shared" si="15"/>
        <v>1324.5800000000013</v>
      </c>
      <c r="AC17" s="110">
        <f t="shared" si="15"/>
        <v>5569.3940000000002</v>
      </c>
      <c r="AD17" s="180">
        <f t="shared" si="15"/>
        <v>1341.3579999999997</v>
      </c>
      <c r="AE17" s="181">
        <f t="shared" si="15"/>
        <v>1402.9470000000001</v>
      </c>
      <c r="AF17" s="181">
        <f t="shared" ref="AF17:AJ17" si="16">AF11-AF15</f>
        <v>1649.3840000000002</v>
      </c>
      <c r="AG17" s="247">
        <f t="shared" si="16"/>
        <v>1327.2289999999998</v>
      </c>
      <c r="AH17" s="110">
        <f t="shared" si="16"/>
        <v>5720.9179999999997</v>
      </c>
      <c r="AI17" s="180">
        <f t="shared" si="16"/>
        <v>1420.9389999999999</v>
      </c>
      <c r="AJ17" s="181">
        <f t="shared" si="16"/>
        <v>1490.2430000000002</v>
      </c>
      <c r="AK17" s="181">
        <f t="shared" ref="AK17:AO17" si="17">AK11-AK15</f>
        <v>1772.4090000000001</v>
      </c>
      <c r="AL17" s="247">
        <f t="shared" si="17"/>
        <v>1320.5979999999997</v>
      </c>
      <c r="AM17" s="110">
        <f t="shared" si="17"/>
        <v>6004.1889999999994</v>
      </c>
      <c r="AN17" s="180">
        <f t="shared" si="17"/>
        <v>1376.2140000000002</v>
      </c>
      <c r="AO17" s="181">
        <f t="shared" si="17"/>
        <v>1545.5070000000001</v>
      </c>
      <c r="AP17" s="181">
        <f t="shared" si="14"/>
        <v>1892.1779999999999</v>
      </c>
      <c r="AQ17" s="247">
        <f t="shared" si="14"/>
        <v>1459.7570000000003</v>
      </c>
      <c r="AR17" s="110">
        <f t="shared" si="14"/>
        <v>6273.6559999999999</v>
      </c>
      <c r="AS17" s="180">
        <f t="shared" si="14"/>
        <v>1318.8720000000001</v>
      </c>
      <c r="AT17" s="181">
        <f t="shared" si="14"/>
        <v>1555.9939999999999</v>
      </c>
      <c r="AU17" s="181">
        <f t="shared" si="14"/>
        <v>1830.7509999999997</v>
      </c>
      <c r="AV17" s="247">
        <f t="shared" ref="AV17:AW17" si="18">AV11-AV15</f>
        <v>1480.5120000000006</v>
      </c>
      <c r="AW17" s="110">
        <f t="shared" si="18"/>
        <v>6186.1289999999999</v>
      </c>
      <c r="AX17" s="180">
        <f t="shared" ref="AX17:BB17" si="19">AX11-AX15</f>
        <v>1375.8901929999997</v>
      </c>
      <c r="AY17" s="181">
        <f t="shared" si="19"/>
        <v>1587.3514233636365</v>
      </c>
      <c r="AZ17" s="181">
        <f t="shared" si="19"/>
        <v>1914.6299289090909</v>
      </c>
      <c r="BA17" s="182">
        <f t="shared" si="19"/>
        <v>1469.7351043333342</v>
      </c>
      <c r="BB17" s="110">
        <f t="shared" si="19"/>
        <v>6347.6066496060621</v>
      </c>
      <c r="BC17" s="180">
        <f t="shared" ref="BC17:BL17" si="20">BC11-BC15</f>
        <v>1449.6674281580003</v>
      </c>
      <c r="BD17" s="181">
        <f t="shared" si="20"/>
        <v>1662.6690819038186</v>
      </c>
      <c r="BE17" s="181">
        <f t="shared" si="20"/>
        <v>1991.7401984825456</v>
      </c>
      <c r="BF17" s="182">
        <f t="shared" si="20"/>
        <v>1544.2644449593336</v>
      </c>
      <c r="BG17" s="110">
        <f t="shared" si="20"/>
        <v>6648.3411535036994</v>
      </c>
      <c r="BH17" s="180">
        <f t="shared" si="20"/>
        <v>1534.3873267269482</v>
      </c>
      <c r="BI17" s="181">
        <f t="shared" si="20"/>
        <v>1748.9386463952414</v>
      </c>
      <c r="BJ17" s="181">
        <f t="shared" si="20"/>
        <v>2079.8131296734405</v>
      </c>
      <c r="BK17" s="182">
        <f t="shared" si="20"/>
        <v>1629.74096162909</v>
      </c>
      <c r="BL17" s="110">
        <f t="shared" si="20"/>
        <v>6992.8800644247203</v>
      </c>
      <c r="BM17" s="180">
        <f t="shared" ref="BM17:BQ17" si="21">BM11-BM15</f>
        <v>1606.6155446873097</v>
      </c>
      <c r="BN17" s="181">
        <f t="shared" si="21"/>
        <v>1822.7258282736129</v>
      </c>
      <c r="BO17" s="181">
        <f t="shared" si="21"/>
        <v>2155.4144984514814</v>
      </c>
      <c r="BP17" s="182">
        <f t="shared" si="21"/>
        <v>1702.7303373988643</v>
      </c>
      <c r="BQ17" s="110">
        <f t="shared" si="21"/>
        <v>7287.4862088112677</v>
      </c>
      <c r="BR17" s="19"/>
      <c r="BS17" s="1718"/>
      <c r="BT17" s="19"/>
      <c r="BU17" s="19"/>
      <c r="BV17" s="1718">
        <f>(AU17-AP17)*(1-$AU$82)/$AU$54</f>
        <v>-0.21169004101110572</v>
      </c>
      <c r="BW17" s="1718">
        <f>(AV17-AQ17)*(1-$AU$82)/$AU$54</f>
        <v>7.1525986963152377E-2</v>
      </c>
    </row>
    <row r="18" spans="1:75">
      <c r="A18" s="320"/>
      <c r="B18" s="320"/>
      <c r="C18" s="129"/>
      <c r="D18" s="320"/>
      <c r="E18" s="324"/>
      <c r="F18" s="325"/>
      <c r="G18" s="325"/>
      <c r="H18" s="251"/>
      <c r="I18" s="107"/>
      <c r="J18" s="174"/>
      <c r="K18" s="175"/>
      <c r="L18" s="175"/>
      <c r="M18" s="251"/>
      <c r="N18" s="107"/>
      <c r="O18" s="174"/>
      <c r="P18" s="175"/>
      <c r="Q18" s="175"/>
      <c r="R18" s="251"/>
      <c r="S18" s="107"/>
      <c r="T18" s="174"/>
      <c r="U18" s="175"/>
      <c r="V18" s="175"/>
      <c r="W18" s="251"/>
      <c r="X18" s="107"/>
      <c r="Y18" s="174"/>
      <c r="Z18" s="175"/>
      <c r="AA18" s="175"/>
      <c r="AB18" s="251"/>
      <c r="AC18" s="107"/>
      <c r="AD18" s="174"/>
      <c r="AE18" s="175"/>
      <c r="AF18" s="175"/>
      <c r="AG18" s="251"/>
      <c r="AH18" s="107"/>
      <c r="AI18" s="174"/>
      <c r="AJ18" s="175"/>
      <c r="AK18" s="175"/>
      <c r="AL18" s="251"/>
      <c r="AM18" s="107"/>
      <c r="AN18" s="174"/>
      <c r="AO18" s="175"/>
      <c r="AP18" s="175"/>
      <c r="AQ18" s="251"/>
      <c r="AR18" s="107"/>
      <c r="AS18" s="174"/>
      <c r="AT18" s="175"/>
      <c r="AU18" s="175"/>
      <c r="AV18" s="251"/>
      <c r="AW18" s="107"/>
      <c r="AX18" s="174"/>
      <c r="AY18" s="175"/>
      <c r="AZ18" s="175"/>
      <c r="BA18" s="176"/>
      <c r="BB18" s="107"/>
      <c r="BC18" s="174"/>
      <c r="BD18" s="175"/>
      <c r="BE18" s="175"/>
      <c r="BF18" s="176"/>
      <c r="BG18" s="107"/>
      <c r="BH18" s="174"/>
      <c r="BI18" s="175"/>
      <c r="BJ18" s="175"/>
      <c r="BK18" s="176"/>
      <c r="BL18" s="107"/>
      <c r="BM18" s="174"/>
      <c r="BN18" s="175"/>
      <c r="BO18" s="175"/>
      <c r="BP18" s="176"/>
      <c r="BQ18" s="107"/>
      <c r="BR18" s="19"/>
      <c r="BS18" s="19"/>
      <c r="BT18" s="19"/>
      <c r="BU18" s="19"/>
      <c r="BV18" s="19"/>
    </row>
    <row r="19" spans="1:75">
      <c r="A19" s="320"/>
      <c r="B19" s="320"/>
      <c r="C19" s="129" t="s">
        <v>139</v>
      </c>
      <c r="D19" s="320"/>
      <c r="E19" s="405">
        <v>25.09</v>
      </c>
      <c r="F19" s="406">
        <v>26.056000000000001</v>
      </c>
      <c r="G19" s="406">
        <v>26.216999999999999</v>
      </c>
      <c r="H19" s="251">
        <f t="shared" ref="H19:H24" si="22">I19-SUM(E19:G19)</f>
        <v>27.653000000000006</v>
      </c>
      <c r="I19" s="348">
        <v>105.01600000000001</v>
      </c>
      <c r="J19" s="393">
        <v>27.6</v>
      </c>
      <c r="K19" s="190">
        <v>27.07</v>
      </c>
      <c r="L19" s="190">
        <v>26.818999999999999</v>
      </c>
      <c r="M19" s="251">
        <f t="shared" ref="M19:M24" si="23">N19-SUM(J19:L19)</f>
        <v>26.709999999999994</v>
      </c>
      <c r="N19" s="348">
        <v>108.199</v>
      </c>
      <c r="O19" s="393">
        <v>26.475999999999999</v>
      </c>
      <c r="P19" s="190">
        <v>25.355</v>
      </c>
      <c r="Q19" s="190">
        <v>26.602</v>
      </c>
      <c r="R19" s="251">
        <f t="shared" ref="R19:R24" si="24">S19-SUM(O19:Q19)</f>
        <v>26.566999999999993</v>
      </c>
      <c r="S19" s="348">
        <v>105</v>
      </c>
      <c r="T19" s="393">
        <v>26.702000000000002</v>
      </c>
      <c r="U19" s="190">
        <v>25.097000000000001</v>
      </c>
      <c r="V19" s="190">
        <v>29.713999999999999</v>
      </c>
      <c r="W19" s="251">
        <f t="shared" ref="W19:W24" si="25">X19-SUM(T19:V19)</f>
        <v>29.323999999999998</v>
      </c>
      <c r="X19" s="348">
        <v>110.837</v>
      </c>
      <c r="Y19" s="393">
        <v>30.076000000000001</v>
      </c>
      <c r="Z19" s="190">
        <v>29.734000000000002</v>
      </c>
      <c r="AA19" s="190">
        <v>31.556999999999999</v>
      </c>
      <c r="AB19" s="251">
        <f t="shared" ref="AB19:AB24" si="26">AC19-SUM(Y19:AA19)</f>
        <v>33.592999999999989</v>
      </c>
      <c r="AC19" s="348">
        <v>124.96</v>
      </c>
      <c r="AD19" s="393">
        <v>29.01</v>
      </c>
      <c r="AE19" s="190">
        <v>28.105</v>
      </c>
      <c r="AF19" s="190">
        <v>30.763000000000002</v>
      </c>
      <c r="AG19" s="251">
        <f t="shared" ref="AG19:AG24" si="27">AH19-SUM(AD19:AF19)</f>
        <v>30.480000000000004</v>
      </c>
      <c r="AH19" s="348">
        <v>118.358</v>
      </c>
      <c r="AI19" s="393">
        <v>28.873999999999999</v>
      </c>
      <c r="AJ19" s="190">
        <v>30.672999999999998</v>
      </c>
      <c r="AK19" s="190">
        <v>30.094000000000001</v>
      </c>
      <c r="AL19" s="251">
        <f t="shared" ref="AL19:AL24" si="28">AM19-SUM(AI19:AK19)</f>
        <v>27.904000000000011</v>
      </c>
      <c r="AM19" s="348">
        <v>117.545</v>
      </c>
      <c r="AN19" s="393">
        <v>32.433</v>
      </c>
      <c r="AO19" s="190">
        <v>32.860999999999997</v>
      </c>
      <c r="AP19" s="190">
        <v>32.405999999999999</v>
      </c>
      <c r="AQ19" s="251">
        <f t="shared" ref="AQ19:AQ24" si="29">AR19-SUM(AN19:AP19)</f>
        <v>29.823000000000008</v>
      </c>
      <c r="AR19" s="348">
        <v>127.523</v>
      </c>
      <c r="AS19" s="393">
        <v>36.576999999999998</v>
      </c>
      <c r="AT19" s="190">
        <v>34.485999999999997</v>
      </c>
      <c r="AU19" s="190">
        <v>41.037999999999997</v>
      </c>
      <c r="AV19" s="251">
        <f t="shared" ref="AV19:AV24" si="30">AW19-SUM(AS19:AU19)</f>
        <v>41.909000000000006</v>
      </c>
      <c r="AW19" s="348">
        <v>154.01</v>
      </c>
      <c r="AX19" s="174">
        <f>+AX129</f>
        <v>36.942769999999996</v>
      </c>
      <c r="AY19" s="175">
        <f>+AY129</f>
        <v>34.830859999999994</v>
      </c>
      <c r="AZ19" s="175">
        <f>+AZ129</f>
        <v>41.44838</v>
      </c>
      <c r="BA19" s="176">
        <f>+BA129</f>
        <v>42.328090000000003</v>
      </c>
      <c r="BB19" s="107">
        <f t="shared" ref="BB19:BB24" si="31">SUM(AX19:BA19)</f>
        <v>155.55009999999999</v>
      </c>
      <c r="BC19" s="174">
        <f>+BC129</f>
        <v>37.312197699999999</v>
      </c>
      <c r="BD19" s="175">
        <f>+BD129</f>
        <v>35.179168599999997</v>
      </c>
      <c r="BE19" s="175">
        <f>+BE129</f>
        <v>41.8628638</v>
      </c>
      <c r="BF19" s="176">
        <f>+BF129</f>
        <v>42.751370900000005</v>
      </c>
      <c r="BG19" s="107">
        <f t="shared" ref="BG19:BG24" si="32">SUM(BC19:BF19)</f>
        <v>157.10560100000001</v>
      </c>
      <c r="BH19" s="174">
        <f>+BH129</f>
        <v>37.685319677000003</v>
      </c>
      <c r="BI19" s="175">
        <f>+BI129</f>
        <v>35.530960285999996</v>
      </c>
      <c r="BJ19" s="175">
        <f>+BJ129</f>
        <v>42.281492438000001</v>
      </c>
      <c r="BK19" s="176">
        <f>+BK129</f>
        <v>43.178884609000008</v>
      </c>
      <c r="BL19" s="107">
        <f t="shared" ref="BL19:BL24" si="33">SUM(BH19:BK19)</f>
        <v>158.67665701000001</v>
      </c>
      <c r="BM19" s="174">
        <f>+BM129</f>
        <v>38.062172873770002</v>
      </c>
      <c r="BN19" s="175">
        <f>+BN129</f>
        <v>35.886269888859999</v>
      </c>
      <c r="BO19" s="175">
        <f>+BO129</f>
        <v>42.70430736238</v>
      </c>
      <c r="BP19" s="176">
        <f>+BP129</f>
        <v>43.610673455090009</v>
      </c>
      <c r="BQ19" s="107">
        <f t="shared" ref="BQ19:BQ24" si="34">SUM(BM19:BP19)</f>
        <v>160.26342358010004</v>
      </c>
      <c r="BR19" s="19"/>
      <c r="BS19" s="1718"/>
      <c r="BT19" s="19"/>
      <c r="BU19" s="19"/>
      <c r="BV19" s="1718">
        <f>(AU19-AP19)*(1-$AU$82)/$AU$54</f>
        <v>2.9747642470051613E-2</v>
      </c>
      <c r="BW19" s="1718">
        <f>(AV19-AQ19)*(1-$AU$82)/$AU$54</f>
        <v>4.1650834904198776E-2</v>
      </c>
    </row>
    <row r="20" spans="1:75">
      <c r="A20" s="320"/>
      <c r="B20" s="320"/>
      <c r="C20" s="129" t="s">
        <v>315</v>
      </c>
      <c r="D20" s="320"/>
      <c r="E20" s="405">
        <v>422.31599999999997</v>
      </c>
      <c r="F20" s="406">
        <v>483.33199999999999</v>
      </c>
      <c r="G20" s="406">
        <v>457.19600000000003</v>
      </c>
      <c r="H20" s="251">
        <f t="shared" si="22"/>
        <v>473.66300000000001</v>
      </c>
      <c r="I20" s="348">
        <v>1836.5070000000001</v>
      </c>
      <c r="J20" s="393">
        <v>435.16800000000001</v>
      </c>
      <c r="K20" s="190">
        <v>470.95699999999999</v>
      </c>
      <c r="L20" s="190">
        <v>515.61300000000006</v>
      </c>
      <c r="M20" s="251">
        <f t="shared" si="23"/>
        <v>527.154</v>
      </c>
      <c r="N20" s="348">
        <v>1948.8920000000001</v>
      </c>
      <c r="O20" s="393">
        <v>448.20100000000002</v>
      </c>
      <c r="P20" s="190">
        <v>484.62700000000001</v>
      </c>
      <c r="Q20" s="190">
        <v>477.86599999999999</v>
      </c>
      <c r="R20" s="251">
        <f t="shared" si="24"/>
        <v>539.87300000000005</v>
      </c>
      <c r="S20" s="348">
        <v>1950.567</v>
      </c>
      <c r="T20" s="393">
        <v>490.22699999999998</v>
      </c>
      <c r="U20" s="190">
        <v>521.95100000000002</v>
      </c>
      <c r="V20" s="190">
        <v>518.83000000000004</v>
      </c>
      <c r="W20" s="251">
        <f t="shared" si="25"/>
        <v>548.51199999999994</v>
      </c>
      <c r="X20" s="348">
        <v>2079.52</v>
      </c>
      <c r="Y20" s="393">
        <v>519.75599999999997</v>
      </c>
      <c r="Z20" s="190">
        <v>587.07000000000005</v>
      </c>
      <c r="AA20" s="190">
        <v>569.82899999999995</v>
      </c>
      <c r="AB20" s="251">
        <f t="shared" si="26"/>
        <v>587.23899999999981</v>
      </c>
      <c r="AC20" s="348">
        <v>2263.8939999999998</v>
      </c>
      <c r="AD20" s="393">
        <v>497.238</v>
      </c>
      <c r="AE20" s="190">
        <v>556.42399999999998</v>
      </c>
      <c r="AF20" s="190">
        <v>586.34100000000001</v>
      </c>
      <c r="AG20" s="251">
        <f t="shared" si="27"/>
        <v>636.25999999999976</v>
      </c>
      <c r="AH20" s="348">
        <v>2276.2629999999999</v>
      </c>
      <c r="AI20" s="393">
        <v>555.42600000000004</v>
      </c>
      <c r="AJ20" s="190">
        <v>611.86500000000001</v>
      </c>
      <c r="AK20" s="190">
        <v>633.048</v>
      </c>
      <c r="AL20" s="251">
        <f t="shared" si="28"/>
        <v>642.73599999999965</v>
      </c>
      <c r="AM20" s="348">
        <v>2443.0749999999998</v>
      </c>
      <c r="AN20" s="393">
        <v>514.14800000000002</v>
      </c>
      <c r="AO20" s="190">
        <v>581.95899999999995</v>
      </c>
      <c r="AP20" s="190">
        <v>592.24</v>
      </c>
      <c r="AQ20" s="251">
        <f t="shared" si="29"/>
        <v>671.46299999999997</v>
      </c>
      <c r="AR20" s="348">
        <v>2359.81</v>
      </c>
      <c r="AS20" s="393">
        <v>567.59</v>
      </c>
      <c r="AT20" s="190">
        <v>609.28200000000004</v>
      </c>
      <c r="AU20" s="190">
        <v>598.85699999999997</v>
      </c>
      <c r="AV20" s="251">
        <f t="shared" si="30"/>
        <v>692.2679999999998</v>
      </c>
      <c r="AW20" s="348">
        <v>2467.9969999999998</v>
      </c>
      <c r="AX20" s="174">
        <f>+AX134</f>
        <v>567.59</v>
      </c>
      <c r="AY20" s="175">
        <f>+AY134</f>
        <v>609.28200000000004</v>
      </c>
      <c r="AZ20" s="175">
        <f>+AZ134</f>
        <v>598.85699999999997</v>
      </c>
      <c r="BA20" s="176">
        <f>+BA134</f>
        <v>692.2679999999998</v>
      </c>
      <c r="BB20" s="107">
        <f t="shared" si="31"/>
        <v>2467.9969999999998</v>
      </c>
      <c r="BC20" s="174">
        <f>+BC134</f>
        <v>573.26589999999999</v>
      </c>
      <c r="BD20" s="175">
        <f>+BD134</f>
        <v>615.37482</v>
      </c>
      <c r="BE20" s="175">
        <f>+BE134</f>
        <v>604.84556999999995</v>
      </c>
      <c r="BF20" s="176">
        <f>+BF134</f>
        <v>699.19067999999982</v>
      </c>
      <c r="BG20" s="107">
        <f t="shared" si="32"/>
        <v>2492.6769699999995</v>
      </c>
      <c r="BH20" s="174">
        <f>+BH134</f>
        <v>578.998559</v>
      </c>
      <c r="BI20" s="175">
        <f>+BI134</f>
        <v>621.5285682</v>
      </c>
      <c r="BJ20" s="175">
        <f>+BJ134</f>
        <v>610.89402569999993</v>
      </c>
      <c r="BK20" s="176">
        <f>+BK134</f>
        <v>706.18258679999985</v>
      </c>
      <c r="BL20" s="107">
        <f t="shared" si="33"/>
        <v>2517.6037397</v>
      </c>
      <c r="BM20" s="174">
        <f>+BM134</f>
        <v>584.78854459000001</v>
      </c>
      <c r="BN20" s="175">
        <f>+BN134</f>
        <v>627.74385388200005</v>
      </c>
      <c r="BO20" s="175">
        <f>+BO134</f>
        <v>617.0029659569999</v>
      </c>
      <c r="BP20" s="176">
        <f>+BP134</f>
        <v>713.24441266799988</v>
      </c>
      <c r="BQ20" s="107">
        <f t="shared" si="34"/>
        <v>2542.7797770969996</v>
      </c>
      <c r="BR20" s="19"/>
      <c r="BU20" s="19"/>
      <c r="BV20" s="1718">
        <f>(AU20-AP20)*(1-AU82)/AU54</f>
        <v>2.2803539182614737E-2</v>
      </c>
      <c r="BW20" s="1718">
        <f>(AV20-AQ20)*(1-AV82)/AV54</f>
        <v>-3.2737530249111385E-2</v>
      </c>
    </row>
    <row r="21" spans="1:75">
      <c r="A21" s="320"/>
      <c r="B21" s="320"/>
      <c r="C21" s="129" t="s">
        <v>160</v>
      </c>
      <c r="D21" s="320"/>
      <c r="E21" s="405">
        <v>25.036999999999999</v>
      </c>
      <c r="F21" s="406">
        <v>24.536999999999999</v>
      </c>
      <c r="G21" s="406">
        <v>24.837</v>
      </c>
      <c r="H21" s="251">
        <f t="shared" si="22"/>
        <v>25.272000000000006</v>
      </c>
      <c r="I21" s="348">
        <v>99.683000000000007</v>
      </c>
      <c r="J21" s="393">
        <v>25.42</v>
      </c>
      <c r="K21" s="190">
        <v>25.844999999999999</v>
      </c>
      <c r="L21" s="190">
        <v>26.277000000000001</v>
      </c>
      <c r="M21" s="251">
        <f t="shared" si="23"/>
        <v>26.715999999999994</v>
      </c>
      <c r="N21" s="348">
        <v>104.258</v>
      </c>
      <c r="O21" s="393">
        <v>27.161999999999999</v>
      </c>
      <c r="P21" s="190">
        <v>26.879000000000001</v>
      </c>
      <c r="Q21" s="190">
        <v>27.327000000000002</v>
      </c>
      <c r="R21" s="251">
        <f t="shared" si="24"/>
        <v>27.77600000000001</v>
      </c>
      <c r="S21" s="348">
        <v>109.14400000000001</v>
      </c>
      <c r="T21" s="393">
        <v>28.231000000000002</v>
      </c>
      <c r="U21" s="190">
        <v>28.687999999999999</v>
      </c>
      <c r="V21" s="190">
        <v>27.657</v>
      </c>
      <c r="W21" s="251">
        <f t="shared" si="25"/>
        <v>28.088000000000008</v>
      </c>
      <c r="X21" s="348">
        <v>112.664</v>
      </c>
      <c r="Y21" s="393">
        <v>28.527000000000001</v>
      </c>
      <c r="Z21" s="190">
        <v>28.972999999999999</v>
      </c>
      <c r="AA21" s="190">
        <v>29.425999999999998</v>
      </c>
      <c r="AB21" s="251">
        <f t="shared" si="26"/>
        <v>29.885999999999996</v>
      </c>
      <c r="AC21" s="348">
        <v>116.812</v>
      </c>
      <c r="AD21" s="393">
        <v>31.742999999999999</v>
      </c>
      <c r="AE21" s="190">
        <v>32.600999999999999</v>
      </c>
      <c r="AF21" s="190">
        <v>33.130000000000003</v>
      </c>
      <c r="AG21" s="251">
        <f t="shared" si="27"/>
        <v>33.636000000000024</v>
      </c>
      <c r="AH21" s="348">
        <v>131.11000000000001</v>
      </c>
      <c r="AI21" s="393">
        <v>34.860999999999997</v>
      </c>
      <c r="AJ21" s="190">
        <v>35.386000000000003</v>
      </c>
      <c r="AK21" s="190">
        <v>35.978000000000002</v>
      </c>
      <c r="AL21" s="251">
        <f t="shared" si="28"/>
        <v>36.519000000000005</v>
      </c>
      <c r="AM21" s="348">
        <v>142.744</v>
      </c>
      <c r="AN21" s="393">
        <v>37.243000000000002</v>
      </c>
      <c r="AO21" s="190">
        <v>37.802</v>
      </c>
      <c r="AP21" s="190">
        <v>38.369999999999997</v>
      </c>
      <c r="AQ21" s="251">
        <f t="shared" si="29"/>
        <v>38.94</v>
      </c>
      <c r="AR21" s="348">
        <v>152.35499999999999</v>
      </c>
      <c r="AS21" s="393">
        <v>39.51</v>
      </c>
      <c r="AT21" s="190">
        <v>40.104999999999997</v>
      </c>
      <c r="AU21" s="190">
        <v>35.322000000000003</v>
      </c>
      <c r="AV21" s="251">
        <f t="shared" si="30"/>
        <v>35.790000000000006</v>
      </c>
      <c r="AW21" s="348">
        <v>150.727</v>
      </c>
      <c r="AX21" s="174">
        <f>+AX139</f>
        <v>39.905099999999997</v>
      </c>
      <c r="AY21" s="198">
        <f>+AY139</f>
        <v>40.506049999999995</v>
      </c>
      <c r="AZ21" s="198">
        <f>+AZ139</f>
        <v>35.675220000000003</v>
      </c>
      <c r="BA21" s="193">
        <f>+BA139</f>
        <v>36.147900000000007</v>
      </c>
      <c r="BB21" s="107">
        <f t="shared" si="31"/>
        <v>152.23426999999998</v>
      </c>
      <c r="BC21" s="174">
        <f>+BC139</f>
        <v>40.304150999999997</v>
      </c>
      <c r="BD21" s="198">
        <f>+BD139</f>
        <v>40.911110499999992</v>
      </c>
      <c r="BE21" s="198">
        <f>+BE139</f>
        <v>36.031972200000006</v>
      </c>
      <c r="BF21" s="193">
        <f>+BF139</f>
        <v>36.50937900000001</v>
      </c>
      <c r="BG21" s="107">
        <f t="shared" si="32"/>
        <v>153.75661270000001</v>
      </c>
      <c r="BH21" s="174">
        <f>+BH139</f>
        <v>40.707192509999999</v>
      </c>
      <c r="BI21" s="198">
        <f>+BI139</f>
        <v>41.320221604999993</v>
      </c>
      <c r="BJ21" s="198">
        <f>+BJ139</f>
        <v>36.392291922000005</v>
      </c>
      <c r="BK21" s="193">
        <f>+BK139</f>
        <v>36.874472790000013</v>
      </c>
      <c r="BL21" s="107">
        <f t="shared" si="33"/>
        <v>155.294178827</v>
      </c>
      <c r="BM21" s="174">
        <f>+BM139</f>
        <v>41.114264435099997</v>
      </c>
      <c r="BN21" s="198">
        <f>+BN139</f>
        <v>41.733423821049996</v>
      </c>
      <c r="BO21" s="198">
        <f>+BO139</f>
        <v>36.756214841220007</v>
      </c>
      <c r="BP21" s="193">
        <f>+BP139</f>
        <v>37.243217517900014</v>
      </c>
      <c r="BQ21" s="107">
        <f t="shared" si="34"/>
        <v>156.84712061527</v>
      </c>
      <c r="BR21" s="19"/>
      <c r="BS21" s="1718"/>
      <c r="BT21" s="19"/>
      <c r="BU21" s="19"/>
      <c r="BV21" s="1718">
        <f t="shared" ref="BV21:BV24" si="35">(AU21-AP21)*(1-$AU$82)/$AU$54</f>
        <v>-1.0504033161343509E-2</v>
      </c>
      <c r="BW21" s="1718">
        <f t="shared" ref="BW21:BW24" si="36">(AV21-AQ21)*(1-$AU$82)/$AU$54</f>
        <v>-1.085554608209712E-2</v>
      </c>
    </row>
    <row r="22" spans="1:75">
      <c r="A22" s="320"/>
      <c r="B22" s="320"/>
      <c r="C22" s="129" t="s">
        <v>316</v>
      </c>
      <c r="D22" s="320"/>
      <c r="E22" s="405">
        <v>106.40300000000001</v>
      </c>
      <c r="F22" s="406">
        <v>97.326999999999998</v>
      </c>
      <c r="G22" s="406">
        <v>103.929</v>
      </c>
      <c r="H22" s="251">
        <f t="shared" si="22"/>
        <v>94.840000000000032</v>
      </c>
      <c r="I22" s="348">
        <v>402.49900000000002</v>
      </c>
      <c r="J22" s="393">
        <v>109.83</v>
      </c>
      <c r="K22" s="190">
        <v>100.224</v>
      </c>
      <c r="L22" s="190">
        <v>112.902</v>
      </c>
      <c r="M22" s="251">
        <f t="shared" si="23"/>
        <v>108.41499999999996</v>
      </c>
      <c r="N22" s="348">
        <v>431.37099999999998</v>
      </c>
      <c r="O22" s="393">
        <v>103.59099999999999</v>
      </c>
      <c r="P22" s="190">
        <v>104.717</v>
      </c>
      <c r="Q22" s="190">
        <v>121.92400000000001</v>
      </c>
      <c r="R22" s="251">
        <f t="shared" si="24"/>
        <v>101.38700000000006</v>
      </c>
      <c r="S22" s="348">
        <v>431.61900000000003</v>
      </c>
      <c r="T22" s="393">
        <v>107.099</v>
      </c>
      <c r="U22" s="190">
        <v>107.14100000000001</v>
      </c>
      <c r="V22" s="190">
        <v>119.676</v>
      </c>
      <c r="W22" s="251">
        <f t="shared" si="25"/>
        <v>98.506000000000029</v>
      </c>
      <c r="X22" s="348">
        <v>432.42200000000003</v>
      </c>
      <c r="Y22" s="393">
        <v>118.063</v>
      </c>
      <c r="Z22" s="190">
        <v>114.236</v>
      </c>
      <c r="AA22" s="190">
        <v>122.86199999999999</v>
      </c>
      <c r="AB22" s="251">
        <f t="shared" si="26"/>
        <v>114.80799999999999</v>
      </c>
      <c r="AC22" s="348">
        <v>469.96899999999999</v>
      </c>
      <c r="AD22" s="393">
        <v>121.28400000000001</v>
      </c>
      <c r="AE22" s="190">
        <v>119.03400000000001</v>
      </c>
      <c r="AF22" s="190">
        <v>126.95099999999999</v>
      </c>
      <c r="AG22" s="251">
        <f t="shared" si="27"/>
        <v>105.45999999999998</v>
      </c>
      <c r="AH22" s="348">
        <v>472.72899999999998</v>
      </c>
      <c r="AI22" s="393">
        <v>131.482</v>
      </c>
      <c r="AJ22" s="190">
        <v>121.26600000000001</v>
      </c>
      <c r="AK22" s="190">
        <v>135.03200000000001</v>
      </c>
      <c r="AL22" s="251">
        <f t="shared" si="28"/>
        <v>119.959</v>
      </c>
      <c r="AM22" s="348">
        <v>507.73899999999998</v>
      </c>
      <c r="AN22" s="393">
        <v>125.021</v>
      </c>
      <c r="AO22" s="190">
        <v>123.41200000000001</v>
      </c>
      <c r="AP22" s="190">
        <v>125.05</v>
      </c>
      <c r="AQ22" s="251">
        <f t="shared" si="29"/>
        <v>124.02699999999999</v>
      </c>
      <c r="AR22" s="348">
        <v>497.51</v>
      </c>
      <c r="AS22" s="393">
        <v>132.62299999999999</v>
      </c>
      <c r="AT22" s="190">
        <v>134.01599999999999</v>
      </c>
      <c r="AU22" s="190">
        <v>141.114</v>
      </c>
      <c r="AV22" s="251">
        <f t="shared" si="30"/>
        <v>128.654</v>
      </c>
      <c r="AW22" s="348">
        <v>536.40700000000004</v>
      </c>
      <c r="AX22" s="174">
        <f>+AX144</f>
        <v>133.94923</v>
      </c>
      <c r="AY22" s="175">
        <f>+AY144</f>
        <v>135.35615999999999</v>
      </c>
      <c r="AZ22" s="175">
        <f>+AZ144</f>
        <v>142.52513999999999</v>
      </c>
      <c r="BA22" s="176">
        <f>+BA144</f>
        <v>129.94054</v>
      </c>
      <c r="BB22" s="107">
        <f t="shared" si="31"/>
        <v>541.77107000000001</v>
      </c>
      <c r="BC22" s="174">
        <f>+BC144</f>
        <v>135.28872229999999</v>
      </c>
      <c r="BD22" s="175">
        <f>+BD144</f>
        <v>136.70972159999999</v>
      </c>
      <c r="BE22" s="175">
        <f>+BE144</f>
        <v>143.9503914</v>
      </c>
      <c r="BF22" s="176">
        <f>+BF144</f>
        <v>131.23994540000001</v>
      </c>
      <c r="BG22" s="107">
        <f t="shared" si="32"/>
        <v>547.18878070000005</v>
      </c>
      <c r="BH22" s="174">
        <f>+BH144</f>
        <v>136.641609523</v>
      </c>
      <c r="BI22" s="175">
        <f>+BI144</f>
        <v>138.07681881599999</v>
      </c>
      <c r="BJ22" s="175">
        <f>+BJ144</f>
        <v>145.389895314</v>
      </c>
      <c r="BK22" s="176">
        <f>+BK144</f>
        <v>132.55234485400001</v>
      </c>
      <c r="BL22" s="107">
        <f t="shared" si="33"/>
        <v>552.66066850699997</v>
      </c>
      <c r="BM22" s="174">
        <f>+BM144</f>
        <v>138.00802561822999</v>
      </c>
      <c r="BN22" s="175">
        <f>+BN144</f>
        <v>139.45758700415999</v>
      </c>
      <c r="BO22" s="175">
        <f>+BO144</f>
        <v>146.84379426714</v>
      </c>
      <c r="BP22" s="176">
        <f>+BP144</f>
        <v>133.87786830254001</v>
      </c>
      <c r="BQ22" s="107">
        <f t="shared" si="34"/>
        <v>558.18727519207005</v>
      </c>
      <c r="BR22" s="19"/>
      <c r="BS22" s="1718"/>
      <c r="BT22" s="1063" t="s">
        <v>1035</v>
      </c>
      <c r="BU22" s="19"/>
      <c r="BV22" s="1718">
        <f t="shared" si="35"/>
        <v>5.5359838813590065E-2</v>
      </c>
      <c r="BW22" s="1718">
        <f t="shared" si="36"/>
        <v>1.5945591022813847E-2</v>
      </c>
    </row>
    <row r="23" spans="1:75">
      <c r="A23" s="320"/>
      <c r="B23" s="320"/>
      <c r="C23" s="129" t="s">
        <v>318</v>
      </c>
      <c r="D23" s="320"/>
      <c r="E23" s="405">
        <v>220.36</v>
      </c>
      <c r="F23" s="406">
        <v>221.92</v>
      </c>
      <c r="G23" s="406">
        <v>240.84399999999999</v>
      </c>
      <c r="H23" s="251">
        <f t="shared" si="22"/>
        <v>243.11500000000001</v>
      </c>
      <c r="I23" s="348">
        <v>926.23900000000003</v>
      </c>
      <c r="J23" s="393">
        <v>227.547</v>
      </c>
      <c r="K23" s="190">
        <v>216.33</v>
      </c>
      <c r="L23" s="190">
        <v>221.62700000000001</v>
      </c>
      <c r="M23" s="251">
        <f t="shared" si="23"/>
        <v>236.62299999999993</v>
      </c>
      <c r="N23" s="348">
        <v>902.12699999999995</v>
      </c>
      <c r="O23" s="393">
        <v>220.60499999999999</v>
      </c>
      <c r="P23" s="190">
        <v>218.87700000000001</v>
      </c>
      <c r="Q23" s="190">
        <v>237.197</v>
      </c>
      <c r="R23" s="251">
        <f t="shared" si="24"/>
        <v>241.774</v>
      </c>
      <c r="S23" s="348">
        <v>918.45299999999997</v>
      </c>
      <c r="T23" s="393">
        <v>228.08600000000001</v>
      </c>
      <c r="U23" s="190">
        <v>225.55600000000001</v>
      </c>
      <c r="V23" s="190">
        <v>251.09899999999999</v>
      </c>
      <c r="W23" s="251">
        <f t="shared" si="25"/>
        <v>259.44000000000005</v>
      </c>
      <c r="X23" s="348">
        <v>964.18100000000004</v>
      </c>
      <c r="Y23" s="393">
        <v>250.53100000000001</v>
      </c>
      <c r="Z23" s="190">
        <v>246.19</v>
      </c>
      <c r="AA23" s="190">
        <v>269.00599999999997</v>
      </c>
      <c r="AB23" s="251">
        <f t="shared" si="26"/>
        <v>275.30399999999997</v>
      </c>
      <c r="AC23" s="348">
        <v>1041.0309999999999</v>
      </c>
      <c r="AD23" s="393">
        <v>257.55599999999998</v>
      </c>
      <c r="AE23" s="190">
        <v>259.74700000000001</v>
      </c>
      <c r="AF23" s="190">
        <v>259.58999999999997</v>
      </c>
      <c r="AG23" s="251">
        <f t="shared" si="27"/>
        <v>262.11899999999991</v>
      </c>
      <c r="AH23" s="348">
        <v>1039.0119999999999</v>
      </c>
      <c r="AI23" s="393">
        <v>269.28899999999999</v>
      </c>
      <c r="AJ23" s="190">
        <v>275.91699999999997</v>
      </c>
      <c r="AK23" s="190">
        <v>273.93700000000001</v>
      </c>
      <c r="AL23" s="251">
        <f t="shared" si="28"/>
        <v>276.94500000000005</v>
      </c>
      <c r="AM23" s="348">
        <v>1096.088</v>
      </c>
      <c r="AN23" s="393">
        <v>277.90800000000002</v>
      </c>
      <c r="AO23" s="190">
        <v>289.12099999999998</v>
      </c>
      <c r="AP23" s="190">
        <v>287.02100000000002</v>
      </c>
      <c r="AQ23" s="251">
        <f t="shared" si="29"/>
        <v>291.63800000000015</v>
      </c>
      <c r="AR23" s="348">
        <v>1145.6880000000001</v>
      </c>
      <c r="AS23" s="393">
        <v>294.358</v>
      </c>
      <c r="AT23" s="190">
        <v>297.95400000000001</v>
      </c>
      <c r="AU23" s="190">
        <v>301.87</v>
      </c>
      <c r="AV23" s="251">
        <f t="shared" si="30"/>
        <v>300.99700000000007</v>
      </c>
      <c r="AW23" s="348">
        <v>1195.1790000000001</v>
      </c>
      <c r="AX23" s="174">
        <f>+AX159</f>
        <v>310.23573174999996</v>
      </c>
      <c r="AY23" s="175">
        <f>+AY159</f>
        <v>318.10546190193747</v>
      </c>
      <c r="AZ23" s="175">
        <f>+AZ159</f>
        <v>325.88272272458971</v>
      </c>
      <c r="BA23" s="176">
        <f>+BA159</f>
        <v>333.56860073257576</v>
      </c>
      <c r="BB23" s="107">
        <f t="shared" si="31"/>
        <v>1287.7925171091028</v>
      </c>
      <c r="BC23" s="174">
        <f>+BC159</f>
        <v>333.90535755324532</v>
      </c>
      <c r="BD23" s="175">
        <f>+BD159</f>
        <v>340.53044594138299</v>
      </c>
      <c r="BE23" s="175">
        <f>+BE159</f>
        <v>347.0793458130571</v>
      </c>
      <c r="BF23" s="176">
        <f>+BF159</f>
        <v>353.55293333620693</v>
      </c>
      <c r="BG23" s="107">
        <f t="shared" si="32"/>
        <v>1375.0680826438925</v>
      </c>
      <c r="BH23" s="174">
        <f>+BH159</f>
        <v>359.95207460284058</v>
      </c>
      <c r="BI23" s="175">
        <f>+BI159</f>
        <v>365.30012574490792</v>
      </c>
      <c r="BJ23" s="175">
        <f>+BJ159</f>
        <v>370.5866742988415</v>
      </c>
      <c r="BK23" s="176">
        <f>+BK159</f>
        <v>375.81242754440484</v>
      </c>
      <c r="BL23" s="107">
        <f t="shared" si="33"/>
        <v>1471.651302190995</v>
      </c>
      <c r="BM23" s="174">
        <f>+BM159</f>
        <v>380.97808462764408</v>
      </c>
      <c r="BN23" s="175">
        <f>+BN159</f>
        <v>386.85100332109289</v>
      </c>
      <c r="BO23" s="175">
        <f>+BO159</f>
        <v>392.65638344956693</v>
      </c>
      <c r="BP23" s="176">
        <f>+BP159</f>
        <v>398.39500170656356</v>
      </c>
      <c r="BQ23" s="107">
        <f t="shared" si="34"/>
        <v>1558.8804731048674</v>
      </c>
      <c r="BR23" s="19"/>
      <c r="BS23" s="1718"/>
      <c r="BT23" s="1768">
        <f>BB23+BG23+BL23</f>
        <v>4134.5119019439899</v>
      </c>
      <c r="BU23" s="19"/>
      <c r="BV23" s="1718">
        <f t="shared" si="35"/>
        <v>5.1172699610495385E-2</v>
      </c>
      <c r="BW23" s="1718">
        <f t="shared" si="36"/>
        <v>3.2253033581697267E-2</v>
      </c>
    </row>
    <row r="24" spans="1:75">
      <c r="A24" s="320"/>
      <c r="B24" s="320"/>
      <c r="C24" s="129" t="s">
        <v>754</v>
      </c>
      <c r="D24" s="320"/>
      <c r="E24" s="405">
        <v>-29.474</v>
      </c>
      <c r="F24" s="406">
        <v>13.327</v>
      </c>
      <c r="G24" s="406">
        <v>-13.224</v>
      </c>
      <c r="H24" s="251">
        <f t="shared" si="22"/>
        <v>7.6439999999999984</v>
      </c>
      <c r="I24" s="348">
        <v>-21.727</v>
      </c>
      <c r="J24" s="393">
        <v>28.091999999999999</v>
      </c>
      <c r="K24" s="190">
        <v>-10.722</v>
      </c>
      <c r="L24" s="190">
        <v>-1.8140000000000001</v>
      </c>
      <c r="M24" s="251">
        <f t="shared" si="23"/>
        <v>29.365000000000002</v>
      </c>
      <c r="N24" s="348">
        <v>44.920999999999999</v>
      </c>
      <c r="O24" s="393">
        <v>-5.1109999999999998</v>
      </c>
      <c r="P24" s="190">
        <v>5.601</v>
      </c>
      <c r="Q24" s="190">
        <v>203.84800000000001</v>
      </c>
      <c r="R24" s="251">
        <f t="shared" si="24"/>
        <v>1.6209999999999809</v>
      </c>
      <c r="S24" s="348">
        <v>205.959</v>
      </c>
      <c r="T24" s="393">
        <v>0.38200000000000001</v>
      </c>
      <c r="U24" s="190">
        <v>137.65</v>
      </c>
      <c r="V24" s="190">
        <v>24.477</v>
      </c>
      <c r="W24" s="251">
        <f t="shared" si="25"/>
        <v>12.594999999999999</v>
      </c>
      <c r="X24" s="348">
        <v>175.10400000000001</v>
      </c>
      <c r="Y24" s="393">
        <v>5.3150000000000004</v>
      </c>
      <c r="Z24" s="190">
        <v>3.8919999999999999</v>
      </c>
      <c r="AA24" s="190">
        <v>13.708</v>
      </c>
      <c r="AB24" s="251">
        <f t="shared" si="26"/>
        <v>22.682000000000002</v>
      </c>
      <c r="AC24" s="348">
        <v>45.597000000000001</v>
      </c>
      <c r="AD24" s="393">
        <v>3.9950000000000001</v>
      </c>
      <c r="AE24" s="190">
        <v>-14.64</v>
      </c>
      <c r="AF24" s="190">
        <v>3.6349999999999998</v>
      </c>
      <c r="AG24" s="251">
        <f t="shared" si="27"/>
        <v>-6.7620000000000005</v>
      </c>
      <c r="AH24" s="348">
        <v>-13.772</v>
      </c>
      <c r="AI24" s="393">
        <v>10.457000000000001</v>
      </c>
      <c r="AJ24" s="190">
        <v>2.6539999999999999</v>
      </c>
      <c r="AK24" s="190">
        <v>22.16</v>
      </c>
      <c r="AL24" s="251">
        <f t="shared" si="28"/>
        <v>140.03300000000002</v>
      </c>
      <c r="AM24" s="348">
        <v>175.304</v>
      </c>
      <c r="AN24" s="393">
        <v>1.159</v>
      </c>
      <c r="AO24" s="190">
        <v>21.353000000000002</v>
      </c>
      <c r="AP24" s="190">
        <v>33.113</v>
      </c>
      <c r="AQ24" s="251">
        <f t="shared" si="29"/>
        <v>38.617999999999995</v>
      </c>
      <c r="AR24" s="348">
        <v>94.242999999999995</v>
      </c>
      <c r="AS24" s="393">
        <v>-85.302000000000007</v>
      </c>
      <c r="AT24" s="190">
        <v>6.5529999999999999</v>
      </c>
      <c r="AU24" s="190">
        <v>19.434999999999999</v>
      </c>
      <c r="AV24" s="251">
        <f t="shared" si="30"/>
        <v>-72.587000000000003</v>
      </c>
      <c r="AW24" s="348">
        <v>-131.90100000000001</v>
      </c>
      <c r="AX24" s="174">
        <f>+AS24</f>
        <v>-85.302000000000007</v>
      </c>
      <c r="AY24" s="175">
        <f>+AT24</f>
        <v>6.5529999999999999</v>
      </c>
      <c r="AZ24" s="175">
        <f>+AU24</f>
        <v>19.434999999999999</v>
      </c>
      <c r="BA24" s="176">
        <f>+AV24</f>
        <v>-72.587000000000003</v>
      </c>
      <c r="BB24" s="107">
        <f t="shared" si="31"/>
        <v>-131.90100000000001</v>
      </c>
      <c r="BC24" s="174">
        <f>+AX24</f>
        <v>-85.302000000000007</v>
      </c>
      <c r="BD24" s="175">
        <f>+AY24</f>
        <v>6.5529999999999999</v>
      </c>
      <c r="BE24" s="175">
        <f>+AZ24</f>
        <v>19.434999999999999</v>
      </c>
      <c r="BF24" s="176">
        <f>+BA24</f>
        <v>-72.587000000000003</v>
      </c>
      <c r="BG24" s="107">
        <f t="shared" si="32"/>
        <v>-131.90100000000001</v>
      </c>
      <c r="BH24" s="174">
        <f>+BC24</f>
        <v>-85.302000000000007</v>
      </c>
      <c r="BI24" s="175">
        <f>+BD24</f>
        <v>6.5529999999999999</v>
      </c>
      <c r="BJ24" s="175">
        <f>+BE24</f>
        <v>19.434999999999999</v>
      </c>
      <c r="BK24" s="176">
        <f>+BF24</f>
        <v>-72.587000000000003</v>
      </c>
      <c r="BL24" s="107">
        <f t="shared" si="33"/>
        <v>-131.90100000000001</v>
      </c>
      <c r="BM24" s="174">
        <f>+BH24</f>
        <v>-85.302000000000007</v>
      </c>
      <c r="BN24" s="175">
        <f>+BI24</f>
        <v>6.5529999999999999</v>
      </c>
      <c r="BO24" s="175">
        <f>+BJ24</f>
        <v>19.434999999999999</v>
      </c>
      <c r="BP24" s="176">
        <f>+BK24</f>
        <v>-72.587000000000003</v>
      </c>
      <c r="BQ24" s="107">
        <f t="shared" si="34"/>
        <v>-131.90100000000001</v>
      </c>
      <c r="BR24" s="19"/>
      <c r="BS24" s="1718"/>
      <c r="BT24" s="19"/>
      <c r="BU24" s="19"/>
      <c r="BV24" s="1718">
        <f t="shared" si="35"/>
        <v>-4.7137193432039627E-2</v>
      </c>
      <c r="BW24" s="1718">
        <f t="shared" si="36"/>
        <v>-0.38323523874908366</v>
      </c>
    </row>
    <row r="25" spans="1:75">
      <c r="A25" s="327"/>
      <c r="B25" s="327"/>
      <c r="C25" s="1173" t="s">
        <v>652</v>
      </c>
      <c r="D25" s="327"/>
      <c r="E25" s="335">
        <f>SUM(E15,E19:E24)</f>
        <v>1864.6650000000002</v>
      </c>
      <c r="F25" s="336">
        <f t="shared" ref="F25:AE25" si="37">SUM(F15,F19:F24)</f>
        <v>1636.2940000000001</v>
      </c>
      <c r="G25" s="336">
        <f t="shared" si="37"/>
        <v>1697.7190000000003</v>
      </c>
      <c r="H25" s="247">
        <f t="shared" si="37"/>
        <v>1532.85</v>
      </c>
      <c r="I25" s="110">
        <f t="shared" si="37"/>
        <v>6731.5279999999993</v>
      </c>
      <c r="J25" s="180">
        <f t="shared" si="37"/>
        <v>1799.6070000000002</v>
      </c>
      <c r="K25" s="181">
        <f t="shared" si="37"/>
        <v>1793.453</v>
      </c>
      <c r="L25" s="181">
        <f t="shared" si="37"/>
        <v>2047.566</v>
      </c>
      <c r="M25" s="247">
        <f t="shared" si="37"/>
        <v>1744.5729999999996</v>
      </c>
      <c r="N25" s="110">
        <f t="shared" si="37"/>
        <v>7385.1990000000005</v>
      </c>
      <c r="O25" s="180">
        <f t="shared" si="37"/>
        <v>1615.625</v>
      </c>
      <c r="P25" s="181">
        <f t="shared" si="37"/>
        <v>1796.857</v>
      </c>
      <c r="Q25" s="181">
        <f t="shared" si="37"/>
        <v>2333.0060000000003</v>
      </c>
      <c r="R25" s="247">
        <f t="shared" si="37"/>
        <v>1707.0890000000004</v>
      </c>
      <c r="S25" s="110">
        <f t="shared" si="37"/>
        <v>7452.5770000000002</v>
      </c>
      <c r="T25" s="180">
        <f t="shared" si="37"/>
        <v>1606.3549999999998</v>
      </c>
      <c r="U25" s="181">
        <f t="shared" si="37"/>
        <v>1716.2300000000005</v>
      </c>
      <c r="V25" s="181">
        <f t="shared" si="37"/>
        <v>1784.0999999999997</v>
      </c>
      <c r="W25" s="247">
        <f t="shared" si="37"/>
        <v>1629.4659999999999</v>
      </c>
      <c r="X25" s="110">
        <f t="shared" si="37"/>
        <v>6736.1510000000007</v>
      </c>
      <c r="Y25" s="180">
        <f t="shared" si="37"/>
        <v>1727.1200000000001</v>
      </c>
      <c r="Z25" s="181">
        <f t="shared" si="37"/>
        <v>1847.7170000000003</v>
      </c>
      <c r="AA25" s="181">
        <f t="shared" si="37"/>
        <v>2127.3589999999999</v>
      </c>
      <c r="AB25" s="247">
        <f>SUM(AB15,AB19:AB24)</f>
        <v>1892.4590000000001</v>
      </c>
      <c r="AC25" s="110">
        <f>SUM(AC15,AC19:AC24)</f>
        <v>7594.6549999999988</v>
      </c>
      <c r="AD25" s="180">
        <f t="shared" si="37"/>
        <v>1904.172</v>
      </c>
      <c r="AE25" s="181">
        <f t="shared" si="37"/>
        <v>1987.7200000000003</v>
      </c>
      <c r="AF25" s="181">
        <f t="shared" ref="AF25" si="38">SUM(AF15,AF19:AF24)</f>
        <v>2243.1140000000005</v>
      </c>
      <c r="AG25" s="247">
        <f>SUM(AG15,AG19:AG24)</f>
        <v>1941.598</v>
      </c>
      <c r="AH25" s="110">
        <f>SUM(AH15,AH19:AH24)</f>
        <v>8076.6040000000003</v>
      </c>
      <c r="AI25" s="180">
        <f t="shared" ref="AI25:AK25" si="39">SUM(AI15,AI19:AI24)</f>
        <v>1886.9600000000003</v>
      </c>
      <c r="AJ25" s="181">
        <f t="shared" si="39"/>
        <v>1861.463</v>
      </c>
      <c r="AK25" s="181">
        <f t="shared" si="39"/>
        <v>2207.5209999999997</v>
      </c>
      <c r="AL25" s="247">
        <f>SUM(AL15,AL19:AL24)</f>
        <v>1973.8479999999995</v>
      </c>
      <c r="AM25" s="110">
        <f>SUM(AM15,AM19:AM24)</f>
        <v>7929.7919999999986</v>
      </c>
      <c r="AN25" s="180">
        <f t="shared" ref="AN25:AO25" si="40">SUM(AN15,AN19:AN24)</f>
        <v>1699.491</v>
      </c>
      <c r="AO25" s="181">
        <f t="shared" si="40"/>
        <v>1659.4789999999998</v>
      </c>
      <c r="AP25" s="181">
        <f t="shared" ref="AP25" si="41">SUM(AP15,AP19:AP24)</f>
        <v>1865.4139999999998</v>
      </c>
      <c r="AQ25" s="247">
        <f>SUM(AQ15,AQ19:AQ24)</f>
        <v>1875.1949999999999</v>
      </c>
      <c r="AR25" s="110">
        <f>SUM(AR15,AR19:AR24)</f>
        <v>7099.5789999999997</v>
      </c>
      <c r="AS25" s="180">
        <f t="shared" ref="AS25:AU25" si="42">SUM(AS15,AS19:AS24)</f>
        <v>1701.5960000000002</v>
      </c>
      <c r="AT25" s="181">
        <f t="shared" si="42"/>
        <v>1867.7340000000002</v>
      </c>
      <c r="AU25" s="181">
        <f t="shared" si="42"/>
        <v>2127.3059999999996</v>
      </c>
      <c r="AV25" s="247">
        <f>SUM(AV15,AV19:AV24)</f>
        <v>1907.5199999999998</v>
      </c>
      <c r="AW25" s="110">
        <f>SUM(AW15,AW19:AW24)</f>
        <v>7604.1560000000009</v>
      </c>
      <c r="AX25" s="180">
        <f t="shared" ref="AX25:BB25" si="43">SUM(AX15,AX19:AX24)</f>
        <v>1743.1967517500002</v>
      </c>
      <c r="AY25" s="181">
        <f t="shared" si="43"/>
        <v>1896.9506059019379</v>
      </c>
      <c r="AZ25" s="181">
        <f t="shared" si="43"/>
        <v>2191.5507727245899</v>
      </c>
      <c r="BA25" s="182">
        <f t="shared" si="43"/>
        <v>1926.2851877325757</v>
      </c>
      <c r="BB25" s="110">
        <f t="shared" si="43"/>
        <v>7757.9833181091026</v>
      </c>
      <c r="BC25" s="180">
        <f t="shared" ref="BC25:BL25" si="44">SUM(BC15,BC19:BC24)</f>
        <v>1779.0895040732455</v>
      </c>
      <c r="BD25" s="181">
        <f t="shared" si="44"/>
        <v>1932.0892430853833</v>
      </c>
      <c r="BE25" s="181">
        <f t="shared" si="44"/>
        <v>2227.098817073057</v>
      </c>
      <c r="BF25" s="182">
        <f t="shared" si="44"/>
        <v>1959.864079978207</v>
      </c>
      <c r="BG25" s="110">
        <f t="shared" si="44"/>
        <v>7898.1416442098925</v>
      </c>
      <c r="BH25" s="180">
        <f t="shared" si="44"/>
        <v>1817.4638218859607</v>
      </c>
      <c r="BI25" s="181">
        <f t="shared" si="44"/>
        <v>1969.6816569545722</v>
      </c>
      <c r="BJ25" s="181">
        <f t="shared" si="44"/>
        <v>2265.0764155760016</v>
      </c>
      <c r="BK25" s="182">
        <f t="shared" si="44"/>
        <v>1995.8357285674565</v>
      </c>
      <c r="BL25" s="110">
        <f t="shared" si="44"/>
        <v>8048.0576229839917</v>
      </c>
      <c r="BM25" s="180">
        <f t="shared" ref="BM25:BQ25" si="45">SUM(BM15,BM19:BM24)</f>
        <v>1850.9228451173033</v>
      </c>
      <c r="BN25" s="181">
        <f t="shared" si="45"/>
        <v>2004.1653319936429</v>
      </c>
      <c r="BO25" s="181">
        <f t="shared" si="45"/>
        <v>2301.736283995886</v>
      </c>
      <c r="BP25" s="182">
        <f t="shared" si="45"/>
        <v>2032.2491176919661</v>
      </c>
      <c r="BQ25" s="110">
        <f t="shared" si="45"/>
        <v>8189.0735787987978</v>
      </c>
      <c r="BR25" s="19"/>
      <c r="BS25" s="1718"/>
      <c r="BT25" s="19"/>
      <c r="BU25" s="19"/>
      <c r="BV25" s="19"/>
    </row>
    <row r="26" spans="1:75">
      <c r="A26" s="320"/>
      <c r="B26" s="320"/>
      <c r="C26" s="1173"/>
      <c r="D26" s="320"/>
      <c r="E26" s="319"/>
      <c r="F26" s="316"/>
      <c r="G26" s="316"/>
      <c r="H26" s="251"/>
      <c r="I26" s="107"/>
      <c r="J26" s="183"/>
      <c r="K26" s="184"/>
      <c r="L26" s="184"/>
      <c r="M26" s="251"/>
      <c r="N26" s="107"/>
      <c r="O26" s="183"/>
      <c r="P26" s="184"/>
      <c r="Q26" s="184"/>
      <c r="R26" s="251"/>
      <c r="S26" s="107"/>
      <c r="T26" s="183"/>
      <c r="U26" s="184"/>
      <c r="V26" s="184"/>
      <c r="W26" s="251"/>
      <c r="X26" s="107"/>
      <c r="Y26" s="183"/>
      <c r="Z26" s="184"/>
      <c r="AA26" s="184"/>
      <c r="AB26" s="251"/>
      <c r="AC26" s="107"/>
      <c r="AD26" s="183"/>
      <c r="AE26" s="184"/>
      <c r="AF26" s="184"/>
      <c r="AG26" s="251"/>
      <c r="AH26" s="107"/>
      <c r="AI26" s="183"/>
      <c r="AJ26" s="184"/>
      <c r="AK26" s="184"/>
      <c r="AL26" s="251"/>
      <c r="AM26" s="107"/>
      <c r="AN26" s="183"/>
      <c r="AO26" s="184"/>
      <c r="AP26" s="184"/>
      <c r="AQ26" s="251"/>
      <c r="AR26" s="107"/>
      <c r="AS26" s="183"/>
      <c r="AT26" s="184"/>
      <c r="AU26" s="198"/>
      <c r="AV26" s="251"/>
      <c r="AW26" s="107"/>
      <c r="AX26" s="197"/>
      <c r="AY26" s="198"/>
      <c r="AZ26" s="198"/>
      <c r="BA26" s="193"/>
      <c r="BB26" s="107"/>
      <c r="BC26" s="197"/>
      <c r="BD26" s="198"/>
      <c r="BE26" s="198"/>
      <c r="BF26" s="193"/>
      <c r="BG26" s="107"/>
      <c r="BH26" s="197"/>
      <c r="BI26" s="198"/>
      <c r="BJ26" s="198"/>
      <c r="BK26" s="193"/>
      <c r="BL26" s="107"/>
      <c r="BM26" s="197"/>
      <c r="BN26" s="198"/>
      <c r="BO26" s="198"/>
      <c r="BP26" s="193"/>
      <c r="BQ26" s="107"/>
      <c r="BR26" s="19"/>
      <c r="BS26" s="19"/>
      <c r="BT26" s="19"/>
      <c r="BU26" s="19"/>
      <c r="BV26" s="19"/>
    </row>
    <row r="27" spans="1:75">
      <c r="A27" s="320"/>
      <c r="B27" s="320"/>
      <c r="C27" s="1173" t="s">
        <v>322</v>
      </c>
      <c r="D27" s="320"/>
      <c r="E27" s="335">
        <f t="shared" ref="E27:P27" si="46">E11-E25</f>
        <v>237.53999999999974</v>
      </c>
      <c r="F27" s="336">
        <f t="shared" si="46"/>
        <v>311.53600000000006</v>
      </c>
      <c r="G27" s="336">
        <f t="shared" si="46"/>
        <v>522.56600000000003</v>
      </c>
      <c r="H27" s="247">
        <f>H11-H25</f>
        <v>252.18300000000022</v>
      </c>
      <c r="I27" s="110">
        <f t="shared" si="46"/>
        <v>1323.8250000000007</v>
      </c>
      <c r="J27" s="180">
        <f t="shared" si="46"/>
        <v>304.22199999999953</v>
      </c>
      <c r="K27" s="181">
        <f t="shared" si="46"/>
        <v>452.6550000000002</v>
      </c>
      <c r="L27" s="181">
        <f t="shared" si="46"/>
        <v>619.16099999999983</v>
      </c>
      <c r="M27" s="247">
        <f t="shared" si="46"/>
        <v>180.09500000000094</v>
      </c>
      <c r="N27" s="110">
        <f t="shared" si="46"/>
        <v>1556.1329999999998</v>
      </c>
      <c r="O27" s="180">
        <f t="shared" si="46"/>
        <v>321.99299999999994</v>
      </c>
      <c r="P27" s="181">
        <f t="shared" si="46"/>
        <v>444.61799999999994</v>
      </c>
      <c r="Q27" s="181">
        <f>Q11-Q25</f>
        <v>427.62499999999955</v>
      </c>
      <c r="R27" s="247">
        <f t="shared" ref="R27:Y27" si="47">R11-R25</f>
        <v>195.01499999999987</v>
      </c>
      <c r="S27" s="110">
        <f t="shared" si="47"/>
        <v>1389.2509999999993</v>
      </c>
      <c r="T27" s="180">
        <f t="shared" si="47"/>
        <v>225.28500000000031</v>
      </c>
      <c r="U27" s="181">
        <f>U11-U25</f>
        <v>243.34599999999932</v>
      </c>
      <c r="V27" s="181">
        <f>V11-V25</f>
        <v>560.78500000000008</v>
      </c>
      <c r="W27" s="247">
        <f>W11-W25</f>
        <v>239.52400000000102</v>
      </c>
      <c r="X27" s="110">
        <f>X11-X25</f>
        <v>1268.9399999999996</v>
      </c>
      <c r="Y27" s="180">
        <f t="shared" si="47"/>
        <v>276.32099999999969</v>
      </c>
      <c r="Z27" s="181">
        <f t="shared" ref="Z27:AE27" si="48">Z11-Z25</f>
        <v>364.61899999999946</v>
      </c>
      <c r="AA27" s="181">
        <f t="shared" si="48"/>
        <v>605.12300000000005</v>
      </c>
      <c r="AB27" s="247">
        <f t="shared" si="48"/>
        <v>261.06800000000135</v>
      </c>
      <c r="AC27" s="110">
        <f t="shared" si="48"/>
        <v>1507.1310000000012</v>
      </c>
      <c r="AD27" s="180">
        <f t="shared" si="48"/>
        <v>400.5319999999997</v>
      </c>
      <c r="AE27" s="181">
        <f t="shared" si="48"/>
        <v>421.67599999999993</v>
      </c>
      <c r="AF27" s="181">
        <f t="shared" ref="AF27:AJ27" si="49">AF11-AF25</f>
        <v>608.97399999999971</v>
      </c>
      <c r="AG27" s="247">
        <f t="shared" si="49"/>
        <v>266.03600000000006</v>
      </c>
      <c r="AH27" s="110">
        <f t="shared" si="49"/>
        <v>1697.2179999999998</v>
      </c>
      <c r="AI27" s="180">
        <f t="shared" si="49"/>
        <v>390.5499999999995</v>
      </c>
      <c r="AJ27" s="181">
        <f t="shared" si="49"/>
        <v>412.4820000000002</v>
      </c>
      <c r="AK27" s="181">
        <f t="shared" ref="AK27:AO27" si="50">AK11-AK25</f>
        <v>642.16000000000031</v>
      </c>
      <c r="AL27" s="247">
        <f t="shared" si="50"/>
        <v>76.501999999999953</v>
      </c>
      <c r="AM27" s="110">
        <f t="shared" si="50"/>
        <v>1521.6940000000004</v>
      </c>
      <c r="AN27" s="180">
        <f t="shared" si="50"/>
        <v>388.30200000000013</v>
      </c>
      <c r="AO27" s="181">
        <f t="shared" si="50"/>
        <v>458.99900000000025</v>
      </c>
      <c r="AP27" s="181">
        <f t="shared" ref="AP27:AT27" si="51">AP11-AP25</f>
        <v>783.97800000000007</v>
      </c>
      <c r="AQ27" s="247">
        <f t="shared" si="51"/>
        <v>265.24800000000027</v>
      </c>
      <c r="AR27" s="110">
        <f t="shared" si="51"/>
        <v>1896.527</v>
      </c>
      <c r="AS27" s="180">
        <f t="shared" si="51"/>
        <v>333.51599999999985</v>
      </c>
      <c r="AT27" s="181">
        <f t="shared" si="51"/>
        <v>433.59799999999973</v>
      </c>
      <c r="AU27" s="181">
        <f t="shared" ref="AU27:BB27" si="52">AU11-AU25</f>
        <v>693.11500000000024</v>
      </c>
      <c r="AV27" s="247">
        <f t="shared" si="52"/>
        <v>353.4810000000009</v>
      </c>
      <c r="AW27" s="110">
        <f t="shared" si="52"/>
        <v>1813.7099999999991</v>
      </c>
      <c r="AX27" s="180">
        <f t="shared" si="52"/>
        <v>372.56936124999947</v>
      </c>
      <c r="AY27" s="181">
        <f t="shared" si="52"/>
        <v>442.71789146169863</v>
      </c>
      <c r="AZ27" s="181">
        <f t="shared" si="52"/>
        <v>750.80646618450101</v>
      </c>
      <c r="BA27" s="182">
        <f t="shared" si="52"/>
        <v>308.06897360075845</v>
      </c>
      <c r="BB27" s="110">
        <f t="shared" si="52"/>
        <v>1874.1626924969596</v>
      </c>
      <c r="BC27" s="180">
        <f t="shared" ref="BC27:BL27" si="53">BC11-BC25</f>
        <v>414.89309960475498</v>
      </c>
      <c r="BD27" s="181">
        <f t="shared" si="53"/>
        <v>487.41081526243534</v>
      </c>
      <c r="BE27" s="181">
        <f t="shared" si="53"/>
        <v>798.53505526948857</v>
      </c>
      <c r="BF27" s="182">
        <f t="shared" si="53"/>
        <v>353.60713632312672</v>
      </c>
      <c r="BG27" s="110">
        <f t="shared" si="53"/>
        <v>2054.4461064598072</v>
      </c>
      <c r="BH27" s="180">
        <f t="shared" si="53"/>
        <v>465.70457141410748</v>
      </c>
      <c r="BI27" s="181">
        <f t="shared" si="53"/>
        <v>540.62895174333335</v>
      </c>
      <c r="BJ27" s="181">
        <f t="shared" si="53"/>
        <v>854.83375000059914</v>
      </c>
      <c r="BK27" s="182">
        <f t="shared" si="53"/>
        <v>407.72724503168547</v>
      </c>
      <c r="BL27" s="110">
        <f t="shared" si="53"/>
        <v>2268.8945181897252</v>
      </c>
      <c r="BM27" s="180">
        <f t="shared" ref="BM27:BQ27" si="54">BM11-BM25</f>
        <v>508.96645254256532</v>
      </c>
      <c r="BN27" s="181">
        <f t="shared" si="54"/>
        <v>584.50069035645015</v>
      </c>
      <c r="BO27" s="181">
        <f t="shared" si="54"/>
        <v>900.01583257417451</v>
      </c>
      <c r="BP27" s="182">
        <f t="shared" si="54"/>
        <v>448.94616374877069</v>
      </c>
      <c r="BQ27" s="110">
        <f t="shared" si="54"/>
        <v>2442.4291392219602</v>
      </c>
      <c r="BR27" s="19"/>
      <c r="BS27" s="1718"/>
      <c r="BT27" s="19"/>
      <c r="BU27" s="19"/>
      <c r="BV27" s="1718">
        <f t="shared" ref="BV27" si="55">(AU27-AP27)*(1-$AU$82)/$AU$54</f>
        <v>-0.31313253449447348</v>
      </c>
      <c r="BW27" s="1718">
        <f t="shared" ref="BW27" si="56">(AV27-AQ27)*(1-$AU$82)/$AU$54</f>
        <v>0.30406901506720146</v>
      </c>
    </row>
    <row r="28" spans="1:75">
      <c r="A28" s="320"/>
      <c r="B28" s="320"/>
      <c r="C28" s="1173"/>
      <c r="D28" s="320"/>
      <c r="E28" s="324"/>
      <c r="F28" s="325"/>
      <c r="G28" s="325"/>
      <c r="H28" s="251"/>
      <c r="I28" s="567"/>
      <c r="J28" s="174"/>
      <c r="K28" s="175"/>
      <c r="L28" s="175"/>
      <c r="M28" s="251"/>
      <c r="N28" s="107"/>
      <c r="O28" s="174"/>
      <c r="P28" s="175"/>
      <c r="Q28" s="175"/>
      <c r="R28" s="251"/>
      <c r="S28" s="107"/>
      <c r="T28" s="174"/>
      <c r="U28" s="175"/>
      <c r="V28" s="175"/>
      <c r="W28" s="251"/>
      <c r="X28" s="107"/>
      <c r="Y28" s="174"/>
      <c r="Z28" s="175"/>
      <c r="AA28" s="175"/>
      <c r="AB28" s="251"/>
      <c r="AC28" s="107"/>
      <c r="AD28" s="174"/>
      <c r="AE28" s="175"/>
      <c r="AF28" s="175"/>
      <c r="AG28" s="251"/>
      <c r="AH28" s="107"/>
      <c r="AI28" s="174"/>
      <c r="AJ28" s="175"/>
      <c r="AK28" s="175"/>
      <c r="AL28" s="251"/>
      <c r="AM28" s="107"/>
      <c r="AN28" s="174"/>
      <c r="AO28" s="175"/>
      <c r="AP28" s="175"/>
      <c r="AQ28" s="251"/>
      <c r="AR28" s="107"/>
      <c r="AS28" s="174"/>
      <c r="AT28" s="175"/>
      <c r="AU28" s="175"/>
      <c r="AV28" s="251"/>
      <c r="AW28" s="107"/>
      <c r="AX28" s="174"/>
      <c r="AY28" s="175"/>
      <c r="AZ28" s="175"/>
      <c r="BA28" s="176"/>
      <c r="BB28" s="107"/>
      <c r="BC28" s="174"/>
      <c r="BD28" s="175"/>
      <c r="BE28" s="175"/>
      <c r="BF28" s="176"/>
      <c r="BG28" s="107"/>
      <c r="BH28" s="174"/>
      <c r="BI28" s="175"/>
      <c r="BJ28" s="175"/>
      <c r="BK28" s="176"/>
      <c r="BL28" s="107"/>
      <c r="BM28" s="174"/>
      <c r="BN28" s="175"/>
      <c r="BO28" s="175"/>
      <c r="BP28" s="176"/>
      <c r="BQ28" s="107"/>
      <c r="BR28" s="19"/>
      <c r="BS28" s="19"/>
      <c r="BT28" s="19"/>
      <c r="BU28" s="19"/>
      <c r="BV28" s="19"/>
    </row>
    <row r="29" spans="1:75">
      <c r="A29" s="320"/>
      <c r="B29" s="320"/>
      <c r="C29" s="129" t="s">
        <v>326</v>
      </c>
      <c r="D29" s="320"/>
      <c r="E29" s="405">
        <v>16.946999999999999</v>
      </c>
      <c r="F29" s="406">
        <v>15.782</v>
      </c>
      <c r="G29" s="406">
        <v>14.77</v>
      </c>
      <c r="H29" s="251">
        <f>I29-SUM(E29:G29)</f>
        <v>12.046000000000006</v>
      </c>
      <c r="I29" s="348">
        <v>59.545000000000002</v>
      </c>
      <c r="J29" s="393">
        <v>13.295999999999999</v>
      </c>
      <c r="K29" s="190">
        <v>17.63</v>
      </c>
      <c r="L29" s="190">
        <v>15.064</v>
      </c>
      <c r="M29" s="251">
        <f>N29-SUM(J29:L29)</f>
        <v>13.391000000000005</v>
      </c>
      <c r="N29" s="348">
        <v>59.381</v>
      </c>
      <c r="O29" s="393">
        <v>17.289000000000001</v>
      </c>
      <c r="P29" s="190">
        <v>20.753</v>
      </c>
      <c r="Q29" s="190">
        <v>21.515999999999998</v>
      </c>
      <c r="R29" s="251">
        <f>S29-SUM(O29:Q29)</f>
        <v>24.747000000000007</v>
      </c>
      <c r="S29" s="348">
        <v>84.305000000000007</v>
      </c>
      <c r="T29" s="393">
        <v>24.306999999999999</v>
      </c>
      <c r="U29" s="190">
        <v>28.282</v>
      </c>
      <c r="V29" s="190">
        <v>18.396000000000001</v>
      </c>
      <c r="W29" s="251">
        <f>X29-SUM(T29:V29)</f>
        <v>21.774000000000001</v>
      </c>
      <c r="X29" s="348">
        <v>92.759</v>
      </c>
      <c r="Y29" s="393">
        <v>12.750999999999999</v>
      </c>
      <c r="Z29" s="190">
        <v>16.248999999999999</v>
      </c>
      <c r="AA29" s="190">
        <v>17.675999999999998</v>
      </c>
      <c r="AB29" s="251">
        <f>AC29-SUM(Y29:AA29)</f>
        <v>19.376999999999995</v>
      </c>
      <c r="AC29" s="348">
        <v>66.052999999999997</v>
      </c>
      <c r="AD29" s="393">
        <v>15.129</v>
      </c>
      <c r="AE29" s="190">
        <v>14.788</v>
      </c>
      <c r="AF29" s="190">
        <v>16.736999999999998</v>
      </c>
      <c r="AG29" s="251">
        <f>AH29-SUM(AD29:AF29)</f>
        <v>18.14800000000001</v>
      </c>
      <c r="AH29" s="348">
        <v>64.802000000000007</v>
      </c>
      <c r="AI29" s="393">
        <v>11.738</v>
      </c>
      <c r="AJ29" s="190">
        <v>11.974</v>
      </c>
      <c r="AK29" s="190">
        <v>14.129</v>
      </c>
      <c r="AL29" s="251">
        <f>AM29-SUM(AI29:AK29)</f>
        <v>14.067</v>
      </c>
      <c r="AM29" s="348">
        <v>51.908000000000001</v>
      </c>
      <c r="AN29" s="393">
        <v>18.931999999999999</v>
      </c>
      <c r="AO29" s="190">
        <v>13.86</v>
      </c>
      <c r="AP29" s="190">
        <v>15.451000000000001</v>
      </c>
      <c r="AQ29" s="251">
        <f>AR29-SUM(AN29:AP29)</f>
        <v>19.32</v>
      </c>
      <c r="AR29" s="348">
        <v>67.563000000000002</v>
      </c>
      <c r="AS29" s="393">
        <v>19.007999999999999</v>
      </c>
      <c r="AT29" s="190">
        <v>22.376000000000001</v>
      </c>
      <c r="AU29" s="190">
        <v>24.338000000000001</v>
      </c>
      <c r="AV29" s="251">
        <f>AW29-SUM(AS29:AU29)</f>
        <v>29.365999999999985</v>
      </c>
      <c r="AW29" s="348">
        <v>95.087999999999994</v>
      </c>
      <c r="AX29" s="174">
        <f>+AX183</f>
        <v>27.141670738636368</v>
      </c>
      <c r="AY29" s="175">
        <f>+AY183</f>
        <v>27.141670738636368</v>
      </c>
      <c r="AZ29" s="175">
        <f>+AZ183</f>
        <v>27.141670738636368</v>
      </c>
      <c r="BA29" s="176">
        <f>+BA183</f>
        <v>27.141670738636368</v>
      </c>
      <c r="BB29" s="107">
        <f>SUM(AX29:BA29)</f>
        <v>108.56668295454547</v>
      </c>
      <c r="BC29" s="174">
        <f>+BC183</f>
        <v>25.20297997159091</v>
      </c>
      <c r="BD29" s="175">
        <f>+BD183</f>
        <v>25.20297997159091</v>
      </c>
      <c r="BE29" s="175">
        <f>+BE183</f>
        <v>25.20297997159091</v>
      </c>
      <c r="BF29" s="176">
        <f>+BF183</f>
        <v>25.20297997159091</v>
      </c>
      <c r="BG29" s="107">
        <f>SUM(BC29:BF29)</f>
        <v>100.81191988636364</v>
      </c>
      <c r="BH29" s="174">
        <f>+BH183</f>
        <v>22.848855468750003</v>
      </c>
      <c r="BI29" s="175">
        <f>+BI183</f>
        <v>22.848855468750003</v>
      </c>
      <c r="BJ29" s="175">
        <f>+BJ183</f>
        <v>22.848855468750003</v>
      </c>
      <c r="BK29" s="176">
        <f>+BK183</f>
        <v>22.848855468750003</v>
      </c>
      <c r="BL29" s="107">
        <f>SUM(BH29:BK29)</f>
        <v>91.395421875000011</v>
      </c>
      <c r="BM29" s="174">
        <f>+BM183</f>
        <v>24.695227627840911</v>
      </c>
      <c r="BN29" s="175">
        <f>+BN183</f>
        <v>24.695227627840911</v>
      </c>
      <c r="BO29" s="175">
        <f>+BO183</f>
        <v>24.695227627840911</v>
      </c>
      <c r="BP29" s="176">
        <f>+BP183</f>
        <v>24.695227627840911</v>
      </c>
      <c r="BQ29" s="107">
        <f>SUM(BM29:BP29)</f>
        <v>98.780910511363643</v>
      </c>
      <c r="BR29" s="19"/>
      <c r="BS29" s="1773"/>
      <c r="BT29" s="19"/>
      <c r="BU29" s="19"/>
      <c r="BV29" s="1718">
        <f t="shared" ref="BV29" si="57">(AU29-AP29)*(1-$AU$82)/$AU$54</f>
        <v>3.0626424771935678E-2</v>
      </c>
      <c r="BW29" s="1718">
        <f t="shared" ref="BW29" si="58">(AV29-AQ29)*(1-$AU$82)/$AU$54</f>
        <v>3.4620576489126288E-2</v>
      </c>
    </row>
    <row r="30" spans="1:75">
      <c r="A30" s="320"/>
      <c r="B30" s="320"/>
      <c r="C30" s="1174" t="s">
        <v>323</v>
      </c>
      <c r="D30" s="320"/>
      <c r="E30" s="405">
        <v>43.106000000000002</v>
      </c>
      <c r="F30" s="406">
        <v>48.423999999999999</v>
      </c>
      <c r="G30" s="406">
        <v>50.386000000000003</v>
      </c>
      <c r="H30" s="251">
        <f>I30-SUM(E30:G30)</f>
        <v>38.588999999999999</v>
      </c>
      <c r="I30" s="348">
        <v>180.505</v>
      </c>
      <c r="J30" s="393">
        <v>37.828000000000003</v>
      </c>
      <c r="K30" s="190">
        <v>34.71</v>
      </c>
      <c r="L30" s="190">
        <v>46.363999999999997</v>
      </c>
      <c r="M30" s="251">
        <f>N30-SUM(J30:L30)</f>
        <v>63.59099999999998</v>
      </c>
      <c r="N30" s="348">
        <v>182.49299999999999</v>
      </c>
      <c r="O30" s="393">
        <v>36.594999999999999</v>
      </c>
      <c r="P30" s="190">
        <v>44.082999999999998</v>
      </c>
      <c r="Q30" s="190">
        <v>40.741999999999997</v>
      </c>
      <c r="R30" s="251">
        <f>S30-SUM(O30:Q30)</f>
        <v>37.317000000000007</v>
      </c>
      <c r="S30" s="348">
        <v>158.73699999999999</v>
      </c>
      <c r="T30" s="393">
        <v>43.273000000000003</v>
      </c>
      <c r="U30" s="190">
        <v>34.018000000000001</v>
      </c>
      <c r="V30" s="190">
        <v>35.771999999999998</v>
      </c>
      <c r="W30" s="251">
        <f>X30-SUM(T30:V30)</f>
        <v>37.229000000000013</v>
      </c>
      <c r="X30" s="348">
        <v>150.292</v>
      </c>
      <c r="Y30" s="393">
        <v>41.578000000000003</v>
      </c>
      <c r="Z30" s="190">
        <v>49.222000000000001</v>
      </c>
      <c r="AA30" s="190">
        <v>33.820999999999998</v>
      </c>
      <c r="AB30" s="251">
        <f>AC30-SUM(Y30:AA30)</f>
        <v>62.10299999999998</v>
      </c>
      <c r="AC30" s="348">
        <v>186.72399999999999</v>
      </c>
      <c r="AD30" s="393">
        <v>40.32</v>
      </c>
      <c r="AE30" s="190">
        <v>34.018000000000001</v>
      </c>
      <c r="AF30" s="190">
        <v>58.536000000000001</v>
      </c>
      <c r="AG30" s="251">
        <f>AH30-SUM(AD30:AF30)</f>
        <v>38.343000000000018</v>
      </c>
      <c r="AH30" s="348">
        <v>171.21700000000001</v>
      </c>
      <c r="AI30" s="393">
        <v>55.017000000000003</v>
      </c>
      <c r="AJ30" s="190">
        <v>40.722999999999999</v>
      </c>
      <c r="AK30" s="190">
        <v>46.978999999999999</v>
      </c>
      <c r="AL30" s="251">
        <f>AM30-SUM(AI30:AK30)</f>
        <v>48.826999999999998</v>
      </c>
      <c r="AM30" s="348">
        <v>191.54599999999999</v>
      </c>
      <c r="AN30" s="393">
        <v>44.53</v>
      </c>
      <c r="AO30" s="190">
        <v>51.606999999999999</v>
      </c>
      <c r="AP30" s="190">
        <v>48.497</v>
      </c>
      <c r="AQ30" s="251">
        <f>AR30-SUM(AN30:AP30)</f>
        <v>45.359999999999985</v>
      </c>
      <c r="AR30" s="348">
        <v>189.994</v>
      </c>
      <c r="AS30" s="393">
        <v>51.680999999999997</v>
      </c>
      <c r="AT30" s="190">
        <v>59.927</v>
      </c>
      <c r="AU30" s="190">
        <v>55.982999999999997</v>
      </c>
      <c r="AV30" s="251">
        <f>AW30-SUM(AS30:AU30)</f>
        <v>50.725999999999999</v>
      </c>
      <c r="AW30" s="348">
        <v>218.31700000000001</v>
      </c>
      <c r="AX30" s="183">
        <f>30+AX202</f>
        <v>56.5</v>
      </c>
      <c r="AY30" s="184">
        <f>30+AY202</f>
        <v>56.5</v>
      </c>
      <c r="AZ30" s="184">
        <f>30+AZ202</f>
        <v>56.5</v>
      </c>
      <c r="BA30" s="185">
        <f>30+BA202</f>
        <v>56.5</v>
      </c>
      <c r="BB30" s="107">
        <f>SUM(AX30:BA30)</f>
        <v>226</v>
      </c>
      <c r="BC30" s="183">
        <f>30+BC202</f>
        <v>56.5</v>
      </c>
      <c r="BD30" s="184">
        <f>30+BD202</f>
        <v>56.5</v>
      </c>
      <c r="BE30" s="184">
        <f>30+BE202</f>
        <v>56.5</v>
      </c>
      <c r="BF30" s="185">
        <f>30+BF202</f>
        <v>56.5</v>
      </c>
      <c r="BG30" s="107">
        <f>SUM(BC30:BF30)</f>
        <v>226</v>
      </c>
      <c r="BH30" s="183">
        <f>30+BH202</f>
        <v>56.5</v>
      </c>
      <c r="BI30" s="184">
        <f>30+BI202</f>
        <v>56.5</v>
      </c>
      <c r="BJ30" s="184">
        <f>30+BJ202</f>
        <v>56.5</v>
      </c>
      <c r="BK30" s="185">
        <f>30+BK202</f>
        <v>56.5</v>
      </c>
      <c r="BL30" s="107">
        <f>SUM(BH30:BK30)</f>
        <v>226</v>
      </c>
      <c r="BM30" s="183">
        <f>30+BM202</f>
        <v>56.5</v>
      </c>
      <c r="BN30" s="184">
        <f>30+BN202</f>
        <v>56.5</v>
      </c>
      <c r="BO30" s="184">
        <f>30+BO202</f>
        <v>56.5</v>
      </c>
      <c r="BP30" s="185">
        <f>30+BP202</f>
        <v>56.5</v>
      </c>
      <c r="BQ30" s="107">
        <f>SUM(BM30:BP30)</f>
        <v>226</v>
      </c>
      <c r="BR30" s="19"/>
      <c r="BS30" s="1718"/>
      <c r="BT30" s="19"/>
      <c r="BU30" s="1784"/>
      <c r="BV30" s="1718">
        <f t="shared" ref="BV30" si="59">(AU30-AP30)*(1-$AU$82)/$AU$54</f>
        <v>2.5798291419231505E-2</v>
      </c>
      <c r="BW30" s="1718">
        <f t="shared" ref="BW30" si="60">(AV30-AQ30)*(1-$AU$82)/$AU$54</f>
        <v>1.8492336595724908E-2</v>
      </c>
    </row>
    <row r="31" spans="1:75">
      <c r="A31" s="320"/>
      <c r="B31" s="320"/>
      <c r="C31" s="129" t="s">
        <v>327</v>
      </c>
      <c r="D31" s="320"/>
      <c r="E31" s="405">
        <f>-2.722</f>
        <v>-2.722</v>
      </c>
      <c r="F31" s="406">
        <v>-5.74</v>
      </c>
      <c r="G31" s="406">
        <v>11.156000000000001</v>
      </c>
      <c r="H31" s="251">
        <f>I31-SUM(E31:G31)</f>
        <v>-6.7760000000000007</v>
      </c>
      <c r="I31" s="348">
        <v>-4.0819999999999999</v>
      </c>
      <c r="J31" s="393">
        <v>-0.995</v>
      </c>
      <c r="K31" s="190">
        <v>-4.008</v>
      </c>
      <c r="L31" s="190">
        <v>-7.0170000000000003</v>
      </c>
      <c r="M31" s="251">
        <f>N31-SUM(J31:L31)</f>
        <v>-8.8010000000000019</v>
      </c>
      <c r="N31" s="348">
        <v>-20.821000000000002</v>
      </c>
      <c r="O31" s="393">
        <v>-4.5019999999999998</v>
      </c>
      <c r="P31" s="190">
        <v>-5.5</v>
      </c>
      <c r="Q31" s="190">
        <v>-7.2539999999999996</v>
      </c>
      <c r="R31" s="251">
        <f>S31-SUM(O31:Q31)</f>
        <v>-8.1209999999999987</v>
      </c>
      <c r="S31" s="348">
        <v>-25.376999999999999</v>
      </c>
      <c r="T31" s="393">
        <v>-7.8630000000000004</v>
      </c>
      <c r="U31" s="190">
        <v>-6.91</v>
      </c>
      <c r="V31" s="190">
        <v>-4.4509999999999996</v>
      </c>
      <c r="W31" s="251">
        <f>X31-SUM(T31:V31)</f>
        <v>-6.620000000000001</v>
      </c>
      <c r="X31" s="348">
        <v>-25.844000000000001</v>
      </c>
      <c r="Y31" s="393">
        <v>-6.8650000000000002</v>
      </c>
      <c r="Z31" s="190">
        <v>-5.9480000000000004</v>
      </c>
      <c r="AA31" s="190">
        <v>-5.8730000000000002</v>
      </c>
      <c r="AB31" s="251">
        <f>AC31-SUM(Y31:AA31)</f>
        <v>-19.917000000000002</v>
      </c>
      <c r="AC31" s="348">
        <f>-29.192-9.411</f>
        <v>-38.603000000000002</v>
      </c>
      <c r="AD31" s="393">
        <v>-4.008</v>
      </c>
      <c r="AE31" s="190">
        <v>-5.319</v>
      </c>
      <c r="AF31" s="190">
        <f>-3.499-60.857</f>
        <v>-64.355999999999995</v>
      </c>
      <c r="AG31" s="251">
        <f>AH31-SUM(AD31:AF31)</f>
        <v>-9.1809999999999974</v>
      </c>
      <c r="AH31" s="348">
        <f>-10.639-72.225</f>
        <v>-82.86399999999999</v>
      </c>
      <c r="AI31" s="393">
        <v>-0.97399999999999998</v>
      </c>
      <c r="AJ31" s="190">
        <v>-6.3280000000000003</v>
      </c>
      <c r="AK31" s="190">
        <v>-5.0860000000000003</v>
      </c>
      <c r="AL31" s="251">
        <f>AM31-SUM(AI31:AK31)</f>
        <v>-78.350999999999999</v>
      </c>
      <c r="AM31" s="348">
        <f>-22.067-68.672</f>
        <v>-90.739000000000004</v>
      </c>
      <c r="AN31" s="393">
        <v>-5.9809999999999999</v>
      </c>
      <c r="AO31" s="190">
        <v>-3.964</v>
      </c>
      <c r="AP31" s="190">
        <v>-4.9240000000000004</v>
      </c>
      <c r="AQ31" s="251">
        <f>AR31-SUM(AN31:AP31)</f>
        <v>-6.1479999999999997</v>
      </c>
      <c r="AR31" s="348">
        <v>-21.016999999999999</v>
      </c>
      <c r="AS31" s="393">
        <v>-3.7679999999999998</v>
      </c>
      <c r="AT31" s="190">
        <v>-3.9569999999999999</v>
      </c>
      <c r="AU31" s="190">
        <v>-1.623</v>
      </c>
      <c r="AV31" s="251">
        <f>AW31-SUM(AS31:AU31)</f>
        <v>-2.7020000000000017</v>
      </c>
      <c r="AW31" s="348">
        <v>-12.05</v>
      </c>
      <c r="AX31" s="174">
        <f>AS31</f>
        <v>-3.7679999999999998</v>
      </c>
      <c r="AY31" s="175">
        <f>AT31</f>
        <v>-3.9569999999999999</v>
      </c>
      <c r="AZ31" s="175">
        <f>AU31</f>
        <v>-1.623</v>
      </c>
      <c r="BA31" s="176">
        <f>AV31</f>
        <v>-2.7020000000000017</v>
      </c>
      <c r="BB31" s="107">
        <f>SUM(AX31:BA31)</f>
        <v>-12.05</v>
      </c>
      <c r="BC31" s="174">
        <f>AX31</f>
        <v>-3.7679999999999998</v>
      </c>
      <c r="BD31" s="175">
        <f>AY31</f>
        <v>-3.9569999999999999</v>
      </c>
      <c r="BE31" s="175">
        <f>AZ31</f>
        <v>-1.623</v>
      </c>
      <c r="BF31" s="176">
        <f>BA31</f>
        <v>-2.7020000000000017</v>
      </c>
      <c r="BG31" s="107">
        <f>SUM(BC31:BF31)</f>
        <v>-12.05</v>
      </c>
      <c r="BH31" s="174">
        <f>BC31</f>
        <v>-3.7679999999999998</v>
      </c>
      <c r="BI31" s="175">
        <f>BD31</f>
        <v>-3.9569999999999999</v>
      </c>
      <c r="BJ31" s="175">
        <f>BE31</f>
        <v>-1.623</v>
      </c>
      <c r="BK31" s="176">
        <f>BF31</f>
        <v>-2.7020000000000017</v>
      </c>
      <c r="BL31" s="107">
        <f>SUM(BH31:BK31)</f>
        <v>-12.05</v>
      </c>
      <c r="BM31" s="174">
        <f>BH31</f>
        <v>-3.7679999999999998</v>
      </c>
      <c r="BN31" s="175">
        <f>BI31</f>
        <v>-3.9569999999999999</v>
      </c>
      <c r="BO31" s="175">
        <f>BJ31</f>
        <v>-1.623</v>
      </c>
      <c r="BP31" s="176">
        <f>BK31</f>
        <v>-2.7020000000000017</v>
      </c>
      <c r="BQ31" s="107">
        <f>SUM(BM31:BP31)</f>
        <v>-12.05</v>
      </c>
      <c r="BR31" s="19"/>
      <c r="BS31" s="1718"/>
      <c r="BT31" s="19"/>
      <c r="BU31" s="19"/>
      <c r="BV31" s="1718">
        <f t="shared" ref="BV31" si="61">(AU31-AP31)*(1-$AU$82)/$AU$54</f>
        <v>1.1375923053016728E-2</v>
      </c>
      <c r="BW31" s="1718">
        <f t="shared" ref="BW31" si="62">(AV31-AQ31)*(1-$AU$82)/$AU$54</f>
        <v>1.1875622793303732E-2</v>
      </c>
    </row>
    <row r="32" spans="1:75">
      <c r="A32" s="327"/>
      <c r="B32" s="327"/>
      <c r="C32" s="1173" t="s">
        <v>230</v>
      </c>
      <c r="D32" s="327"/>
      <c r="E32" s="335">
        <f t="shared" ref="E32:AE32" si="63">SUM(E29:E31)</f>
        <v>57.330999999999996</v>
      </c>
      <c r="F32" s="336">
        <f t="shared" si="63"/>
        <v>58.466000000000001</v>
      </c>
      <c r="G32" s="336">
        <f t="shared" si="63"/>
        <v>76.312000000000012</v>
      </c>
      <c r="H32" s="247">
        <f t="shared" si="63"/>
        <v>43.859000000000002</v>
      </c>
      <c r="I32" s="110">
        <f t="shared" si="63"/>
        <v>235.96800000000002</v>
      </c>
      <c r="J32" s="180">
        <f t="shared" si="63"/>
        <v>50.129000000000005</v>
      </c>
      <c r="K32" s="181">
        <f t="shared" si="63"/>
        <v>48.332000000000001</v>
      </c>
      <c r="L32" s="181">
        <f t="shared" si="63"/>
        <v>54.410999999999994</v>
      </c>
      <c r="M32" s="247">
        <f t="shared" si="63"/>
        <v>68.180999999999983</v>
      </c>
      <c r="N32" s="110">
        <f t="shared" si="63"/>
        <v>221.053</v>
      </c>
      <c r="O32" s="180">
        <f t="shared" si="63"/>
        <v>49.381999999999998</v>
      </c>
      <c r="P32" s="181">
        <f t="shared" si="63"/>
        <v>59.335999999999999</v>
      </c>
      <c r="Q32" s="181">
        <f t="shared" si="63"/>
        <v>55.003999999999998</v>
      </c>
      <c r="R32" s="247">
        <f t="shared" si="63"/>
        <v>53.943000000000012</v>
      </c>
      <c r="S32" s="110">
        <f t="shared" si="63"/>
        <v>217.66499999999999</v>
      </c>
      <c r="T32" s="180">
        <f t="shared" si="63"/>
        <v>59.716999999999999</v>
      </c>
      <c r="U32" s="181">
        <f t="shared" si="63"/>
        <v>55.39</v>
      </c>
      <c r="V32" s="181">
        <f>SUM(V29:V31)</f>
        <v>49.716999999999999</v>
      </c>
      <c r="W32" s="247">
        <f>SUM(W29:W31)</f>
        <v>52.38300000000001</v>
      </c>
      <c r="X32" s="110">
        <f>SUM(X29:X31)</f>
        <v>217.20699999999999</v>
      </c>
      <c r="Y32" s="180">
        <f t="shared" si="63"/>
        <v>47.463999999999999</v>
      </c>
      <c r="Z32" s="181">
        <f t="shared" si="63"/>
        <v>59.523000000000003</v>
      </c>
      <c r="AA32" s="181">
        <f>SUM(AA29:AA31)</f>
        <v>45.624000000000002</v>
      </c>
      <c r="AB32" s="247">
        <f>SUM(AB29:AB31)</f>
        <v>61.562999999999974</v>
      </c>
      <c r="AC32" s="110">
        <f>SUM(AC29:AC31)</f>
        <v>214.17399999999998</v>
      </c>
      <c r="AD32" s="180">
        <f t="shared" si="63"/>
        <v>51.440999999999995</v>
      </c>
      <c r="AE32" s="181">
        <f t="shared" si="63"/>
        <v>43.486999999999995</v>
      </c>
      <c r="AF32" s="181">
        <f>SUM(AF29:AF31)</f>
        <v>10.917000000000002</v>
      </c>
      <c r="AG32" s="247">
        <f>SUM(AG29:AG31)</f>
        <v>47.310000000000031</v>
      </c>
      <c r="AH32" s="110">
        <f>SUM(AH29:AH31)</f>
        <v>153.15500000000003</v>
      </c>
      <c r="AI32" s="180">
        <f t="shared" ref="AI32:AJ32" si="64">SUM(AI29:AI31)</f>
        <v>65.780999999999992</v>
      </c>
      <c r="AJ32" s="181">
        <f t="shared" si="64"/>
        <v>46.369</v>
      </c>
      <c r="AK32" s="181">
        <f>SUM(AK29:AK31)</f>
        <v>56.021999999999998</v>
      </c>
      <c r="AL32" s="247">
        <f>SUM(AL29:AL31)</f>
        <v>-15.457000000000001</v>
      </c>
      <c r="AM32" s="110">
        <f>SUM(AM29:AM31)</f>
        <v>152.715</v>
      </c>
      <c r="AN32" s="180">
        <f t="shared" ref="AN32:AO32" si="65">SUM(AN29:AN31)</f>
        <v>57.481000000000002</v>
      </c>
      <c r="AO32" s="181">
        <f t="shared" si="65"/>
        <v>61.503</v>
      </c>
      <c r="AP32" s="181">
        <f t="shared" ref="AP32" si="66">SUM(AP29:AP31)</f>
        <v>59.024000000000001</v>
      </c>
      <c r="AQ32" s="247">
        <f>SUM(AQ29:AQ31)</f>
        <v>58.531999999999982</v>
      </c>
      <c r="AR32" s="110">
        <f>SUM(AR29:AR31)</f>
        <v>236.54000000000002</v>
      </c>
      <c r="AS32" s="180">
        <f t="shared" ref="AS32:AT32" si="67">SUM(AS29:AS31)</f>
        <v>66.920999999999992</v>
      </c>
      <c r="AT32" s="181">
        <f t="shared" si="67"/>
        <v>78.346000000000004</v>
      </c>
      <c r="AU32" s="181">
        <f t="shared" ref="AU32:BB32" si="68">SUM(AU29:AU31)</f>
        <v>78.697999999999993</v>
      </c>
      <c r="AV32" s="247">
        <f>SUM(AV29:AV31)</f>
        <v>77.389999999999986</v>
      </c>
      <c r="AW32" s="110">
        <f>SUM(AW29:AW31)</f>
        <v>301.35499999999996</v>
      </c>
      <c r="AX32" s="180">
        <f t="shared" si="68"/>
        <v>79.873670738636363</v>
      </c>
      <c r="AY32" s="181">
        <f t="shared" si="68"/>
        <v>79.68467073863637</v>
      </c>
      <c r="AZ32" s="181">
        <f t="shared" si="68"/>
        <v>82.018670738636359</v>
      </c>
      <c r="BA32" s="182">
        <f t="shared" si="68"/>
        <v>80.939670738636366</v>
      </c>
      <c r="BB32" s="110">
        <f t="shared" si="68"/>
        <v>322.51668295454544</v>
      </c>
      <c r="BC32" s="180">
        <f t="shared" ref="BC32:BL32" si="69">SUM(BC29:BC31)</f>
        <v>77.934979971590906</v>
      </c>
      <c r="BD32" s="181">
        <f t="shared" si="69"/>
        <v>77.745979971590913</v>
      </c>
      <c r="BE32" s="181">
        <f t="shared" si="69"/>
        <v>80.079979971590902</v>
      </c>
      <c r="BF32" s="182">
        <f t="shared" si="69"/>
        <v>79.000979971590908</v>
      </c>
      <c r="BG32" s="110">
        <f t="shared" si="69"/>
        <v>314.76191988636361</v>
      </c>
      <c r="BH32" s="180">
        <f t="shared" si="69"/>
        <v>75.580855468750002</v>
      </c>
      <c r="BI32" s="181">
        <f t="shared" si="69"/>
        <v>75.391855468750009</v>
      </c>
      <c r="BJ32" s="181">
        <f t="shared" si="69"/>
        <v>77.725855468749998</v>
      </c>
      <c r="BK32" s="182">
        <f t="shared" si="69"/>
        <v>76.646855468750005</v>
      </c>
      <c r="BL32" s="110">
        <f t="shared" si="69"/>
        <v>305.345421875</v>
      </c>
      <c r="BM32" s="180">
        <f t="shared" ref="BM32:BQ32" si="70">SUM(BM29:BM31)</f>
        <v>77.427227627840907</v>
      </c>
      <c r="BN32" s="181">
        <f t="shared" si="70"/>
        <v>77.238227627840914</v>
      </c>
      <c r="BO32" s="181">
        <f t="shared" si="70"/>
        <v>79.572227627840903</v>
      </c>
      <c r="BP32" s="182">
        <f t="shared" si="70"/>
        <v>78.493227627840909</v>
      </c>
      <c r="BQ32" s="110">
        <f t="shared" si="70"/>
        <v>312.73091051136362</v>
      </c>
      <c r="BR32" s="19"/>
      <c r="BS32" s="1718"/>
      <c r="BT32" s="19"/>
      <c r="BU32" s="19"/>
      <c r="BV32" s="1718">
        <f t="shared" ref="BV32" si="71">(AU32-AP32)*(1-$AU$82)/$AU$54</f>
        <v>6.7800639244183891E-2</v>
      </c>
      <c r="BW32" s="1718">
        <f t="shared" ref="BW32" si="72">(AV32-AQ32)*(1-$AU$82)/$AU$54</f>
        <v>6.4988535878154952E-2</v>
      </c>
    </row>
    <row r="33" spans="1:75">
      <c r="A33" s="327"/>
      <c r="B33" s="327"/>
      <c r="C33" s="1173"/>
      <c r="D33" s="327"/>
      <c r="E33" s="335"/>
      <c r="F33" s="336"/>
      <c r="G33" s="336"/>
      <c r="H33" s="247"/>
      <c r="I33" s="110"/>
      <c r="J33" s="180"/>
      <c r="K33" s="181"/>
      <c r="L33" s="181"/>
      <c r="M33" s="247"/>
      <c r="N33" s="110"/>
      <c r="O33" s="180"/>
      <c r="P33" s="181"/>
      <c r="Q33" s="181"/>
      <c r="R33" s="247"/>
      <c r="S33" s="110"/>
      <c r="T33" s="180"/>
      <c r="U33" s="181"/>
      <c r="V33" s="181"/>
      <c r="W33" s="247"/>
      <c r="X33" s="110"/>
      <c r="Y33" s="180"/>
      <c r="Z33" s="181"/>
      <c r="AA33" s="181"/>
      <c r="AB33" s="247"/>
      <c r="AC33" s="110"/>
      <c r="AD33" s="180"/>
      <c r="AE33" s="181"/>
      <c r="AF33" s="181"/>
      <c r="AG33" s="247"/>
      <c r="AH33" s="110"/>
      <c r="AI33" s="180"/>
      <c r="AJ33" s="181"/>
      <c r="AK33" s="181"/>
      <c r="AL33" s="247"/>
      <c r="AM33" s="110"/>
      <c r="AN33" s="180"/>
      <c r="AO33" s="181"/>
      <c r="AP33" s="181"/>
      <c r="AQ33" s="247"/>
      <c r="AR33" s="110"/>
      <c r="AS33" s="180"/>
      <c r="AT33" s="181"/>
      <c r="AU33" s="181"/>
      <c r="AV33" s="247"/>
      <c r="AW33" s="110"/>
      <c r="AX33" s="180"/>
      <c r="AY33" s="181"/>
      <c r="AZ33" s="181"/>
      <c r="BA33" s="182"/>
      <c r="BB33" s="110"/>
      <c r="BC33" s="180"/>
      <c r="BD33" s="181"/>
      <c r="BE33" s="181"/>
      <c r="BF33" s="182"/>
      <c r="BG33" s="110"/>
      <c r="BH33" s="180"/>
      <c r="BI33" s="181"/>
      <c r="BJ33" s="181"/>
      <c r="BK33" s="182"/>
      <c r="BL33" s="110"/>
      <c r="BM33" s="180"/>
      <c r="BN33" s="181"/>
      <c r="BO33" s="181"/>
      <c r="BP33" s="182"/>
      <c r="BQ33" s="110"/>
      <c r="BR33" s="19"/>
      <c r="BS33" s="19"/>
      <c r="BT33" s="19"/>
      <c r="BU33" s="19"/>
      <c r="BV33" s="19"/>
    </row>
    <row r="34" spans="1:75">
      <c r="A34" s="327"/>
      <c r="B34" s="327"/>
      <c r="C34" s="1173" t="s">
        <v>34</v>
      </c>
      <c r="D34" s="327"/>
      <c r="E34" s="335">
        <f t="shared" ref="E34:Y34" si="73">E27+E32</f>
        <v>294.87099999999975</v>
      </c>
      <c r="F34" s="336">
        <f t="shared" si="73"/>
        <v>370.00200000000007</v>
      </c>
      <c r="G34" s="336">
        <f t="shared" si="73"/>
        <v>598.87800000000004</v>
      </c>
      <c r="H34" s="247">
        <f t="shared" si="73"/>
        <v>296.0420000000002</v>
      </c>
      <c r="I34" s="110">
        <f t="shared" si="73"/>
        <v>1559.7930000000008</v>
      </c>
      <c r="J34" s="180">
        <f t="shared" si="73"/>
        <v>354.35099999999954</v>
      </c>
      <c r="K34" s="181">
        <f t="shared" si="73"/>
        <v>500.98700000000019</v>
      </c>
      <c r="L34" s="181">
        <f t="shared" si="73"/>
        <v>673.57199999999978</v>
      </c>
      <c r="M34" s="247">
        <f t="shared" si="73"/>
        <v>248.27600000000092</v>
      </c>
      <c r="N34" s="110">
        <f t="shared" si="73"/>
        <v>1777.1859999999997</v>
      </c>
      <c r="O34" s="180">
        <f t="shared" si="73"/>
        <v>371.37499999999994</v>
      </c>
      <c r="P34" s="181">
        <f t="shared" si="73"/>
        <v>503.95399999999995</v>
      </c>
      <c r="Q34" s="181">
        <f t="shared" si="73"/>
        <v>482.62899999999956</v>
      </c>
      <c r="R34" s="247">
        <f t="shared" si="73"/>
        <v>248.95799999999988</v>
      </c>
      <c r="S34" s="110">
        <f t="shared" si="73"/>
        <v>1606.9159999999993</v>
      </c>
      <c r="T34" s="180">
        <f t="shared" si="73"/>
        <v>285.00200000000029</v>
      </c>
      <c r="U34" s="181">
        <f>U27+U32</f>
        <v>298.73599999999931</v>
      </c>
      <c r="V34" s="181">
        <f>V27+V32</f>
        <v>610.50200000000007</v>
      </c>
      <c r="W34" s="247">
        <f>W27+W32</f>
        <v>291.90700000000106</v>
      </c>
      <c r="X34" s="110">
        <f>X27+X32</f>
        <v>1486.1469999999995</v>
      </c>
      <c r="Y34" s="180">
        <f t="shared" si="73"/>
        <v>323.78499999999968</v>
      </c>
      <c r="Z34" s="181">
        <f t="shared" ref="Z34:AE34" si="74">Z27+Z32</f>
        <v>424.14199999999948</v>
      </c>
      <c r="AA34" s="181">
        <f t="shared" si="74"/>
        <v>650.74700000000007</v>
      </c>
      <c r="AB34" s="247">
        <f t="shared" si="74"/>
        <v>322.63100000000134</v>
      </c>
      <c r="AC34" s="110">
        <f t="shared" si="74"/>
        <v>1721.3050000000012</v>
      </c>
      <c r="AD34" s="180">
        <f t="shared" si="74"/>
        <v>451.97299999999967</v>
      </c>
      <c r="AE34" s="181">
        <f t="shared" si="74"/>
        <v>465.1629999999999</v>
      </c>
      <c r="AF34" s="181">
        <f t="shared" ref="AF34:AJ34" si="75">AF27+AF32</f>
        <v>619.89099999999974</v>
      </c>
      <c r="AG34" s="247">
        <f t="shared" si="75"/>
        <v>313.34600000000012</v>
      </c>
      <c r="AH34" s="110">
        <f t="shared" si="75"/>
        <v>1850.3729999999998</v>
      </c>
      <c r="AI34" s="180">
        <f t="shared" si="75"/>
        <v>456.33099999999951</v>
      </c>
      <c r="AJ34" s="181">
        <f t="shared" si="75"/>
        <v>458.85100000000023</v>
      </c>
      <c r="AK34" s="181">
        <f t="shared" ref="AK34:AO34" si="76">AK27+AK32</f>
        <v>698.18200000000036</v>
      </c>
      <c r="AL34" s="247">
        <f t="shared" si="76"/>
        <v>61.044999999999952</v>
      </c>
      <c r="AM34" s="110">
        <f t="shared" si="76"/>
        <v>1674.4090000000003</v>
      </c>
      <c r="AN34" s="180">
        <f t="shared" si="76"/>
        <v>445.78300000000013</v>
      </c>
      <c r="AO34" s="181">
        <f t="shared" si="76"/>
        <v>520.50200000000029</v>
      </c>
      <c r="AP34" s="181">
        <f>AP27+AP32</f>
        <v>843.00200000000007</v>
      </c>
      <c r="AQ34" s="247">
        <f t="shared" ref="AQ34:AT34" si="77">AQ27+AQ32</f>
        <v>323.78000000000026</v>
      </c>
      <c r="AR34" s="110">
        <f t="shared" si="77"/>
        <v>2133.067</v>
      </c>
      <c r="AS34" s="180">
        <f t="shared" si="77"/>
        <v>400.43699999999984</v>
      </c>
      <c r="AT34" s="181">
        <f t="shared" si="77"/>
        <v>511.94399999999973</v>
      </c>
      <c r="AU34" s="181">
        <f t="shared" ref="AU34:AW34" si="78">AU27+AU32</f>
        <v>771.81300000000022</v>
      </c>
      <c r="AV34" s="247">
        <f t="shared" si="78"/>
        <v>430.87100000000089</v>
      </c>
      <c r="AW34" s="110">
        <f t="shared" si="78"/>
        <v>2115.0649999999991</v>
      </c>
      <c r="AX34" s="180">
        <f t="shared" ref="AX34:BB34" si="79">AX27+AX32</f>
        <v>452.44303198863582</v>
      </c>
      <c r="AY34" s="181">
        <f t="shared" si="79"/>
        <v>522.40256220033496</v>
      </c>
      <c r="AZ34" s="181">
        <f t="shared" si="79"/>
        <v>832.82513692313739</v>
      </c>
      <c r="BA34" s="182">
        <f t="shared" si="79"/>
        <v>389.00864433939483</v>
      </c>
      <c r="BB34" s="110">
        <f t="shared" si="79"/>
        <v>2196.6793754515052</v>
      </c>
      <c r="BC34" s="180">
        <f t="shared" ref="BC34:BL34" si="80">BC27+BC32</f>
        <v>492.82807957634589</v>
      </c>
      <c r="BD34" s="181">
        <f t="shared" si="80"/>
        <v>565.15679523402628</v>
      </c>
      <c r="BE34" s="181">
        <f t="shared" si="80"/>
        <v>878.61503524107945</v>
      </c>
      <c r="BF34" s="182">
        <f t="shared" si="80"/>
        <v>432.60811629471766</v>
      </c>
      <c r="BG34" s="110">
        <f t="shared" si="80"/>
        <v>2369.2080263461708</v>
      </c>
      <c r="BH34" s="180">
        <f t="shared" si="80"/>
        <v>541.28542688285745</v>
      </c>
      <c r="BI34" s="181">
        <f t="shared" si="80"/>
        <v>616.02080721208335</v>
      </c>
      <c r="BJ34" s="181">
        <f t="shared" si="80"/>
        <v>932.55960546934909</v>
      </c>
      <c r="BK34" s="182">
        <f t="shared" si="80"/>
        <v>484.37410050043547</v>
      </c>
      <c r="BL34" s="110">
        <f t="shared" si="80"/>
        <v>2574.239940064725</v>
      </c>
      <c r="BM34" s="180">
        <f t="shared" ref="BM34:BQ34" si="81">BM27+BM32</f>
        <v>586.39368017040624</v>
      </c>
      <c r="BN34" s="181">
        <f t="shared" si="81"/>
        <v>661.73891798429111</v>
      </c>
      <c r="BO34" s="181">
        <f t="shared" si="81"/>
        <v>979.58806020201541</v>
      </c>
      <c r="BP34" s="182">
        <f t="shared" si="81"/>
        <v>527.43939137661164</v>
      </c>
      <c r="BQ34" s="110">
        <f t="shared" si="81"/>
        <v>2755.1600497333238</v>
      </c>
      <c r="BR34" s="19"/>
      <c r="BS34" s="1718"/>
      <c r="BT34" s="19"/>
      <c r="BU34" s="19"/>
      <c r="BV34" s="19"/>
    </row>
    <row r="35" spans="1:75">
      <c r="A35" s="320"/>
      <c r="B35" s="320"/>
      <c r="C35" s="1173" t="s">
        <v>317</v>
      </c>
      <c r="D35" s="320"/>
      <c r="E35" s="335">
        <f t="shared" ref="E35:AE35" si="82">E34+E23</f>
        <v>515.23099999999977</v>
      </c>
      <c r="F35" s="336">
        <f t="shared" si="82"/>
        <v>591.92200000000003</v>
      </c>
      <c r="G35" s="336">
        <f t="shared" si="82"/>
        <v>839.72199999999998</v>
      </c>
      <c r="H35" s="247">
        <f t="shared" si="82"/>
        <v>539.15700000000015</v>
      </c>
      <c r="I35" s="110">
        <f t="shared" si="82"/>
        <v>2486.0320000000011</v>
      </c>
      <c r="J35" s="180">
        <f t="shared" si="82"/>
        <v>581.89799999999957</v>
      </c>
      <c r="K35" s="181">
        <f t="shared" si="82"/>
        <v>717.31700000000023</v>
      </c>
      <c r="L35" s="181">
        <f t="shared" si="82"/>
        <v>895.19899999999984</v>
      </c>
      <c r="M35" s="247">
        <f t="shared" si="82"/>
        <v>484.89900000000085</v>
      </c>
      <c r="N35" s="110">
        <f t="shared" si="82"/>
        <v>2679.3129999999996</v>
      </c>
      <c r="O35" s="180">
        <f t="shared" si="82"/>
        <v>591.9799999999999</v>
      </c>
      <c r="P35" s="181">
        <f t="shared" si="82"/>
        <v>722.8309999999999</v>
      </c>
      <c r="Q35" s="181">
        <f t="shared" si="82"/>
        <v>719.82599999999957</v>
      </c>
      <c r="R35" s="247">
        <f t="shared" si="82"/>
        <v>490.73199999999986</v>
      </c>
      <c r="S35" s="110">
        <f t="shared" si="82"/>
        <v>2525.3689999999992</v>
      </c>
      <c r="T35" s="180">
        <f t="shared" si="82"/>
        <v>513.08800000000031</v>
      </c>
      <c r="U35" s="181">
        <f t="shared" si="82"/>
        <v>524.29199999999935</v>
      </c>
      <c r="V35" s="181">
        <f>V34+V23</f>
        <v>861.60100000000011</v>
      </c>
      <c r="W35" s="247">
        <f>W34+W23</f>
        <v>551.34700000000112</v>
      </c>
      <c r="X35" s="110">
        <f>X34+X23</f>
        <v>2450.3279999999995</v>
      </c>
      <c r="Y35" s="180">
        <f t="shared" si="82"/>
        <v>574.31599999999969</v>
      </c>
      <c r="Z35" s="181">
        <f t="shared" si="82"/>
        <v>670.33199999999943</v>
      </c>
      <c r="AA35" s="181">
        <f>AA34+AA23</f>
        <v>919.75300000000004</v>
      </c>
      <c r="AB35" s="247">
        <f>AB34+AB23</f>
        <v>597.93500000000131</v>
      </c>
      <c r="AC35" s="110">
        <f>AC34+AC23</f>
        <v>2762.3360000000011</v>
      </c>
      <c r="AD35" s="180">
        <f t="shared" si="82"/>
        <v>709.52899999999966</v>
      </c>
      <c r="AE35" s="181">
        <f t="shared" si="82"/>
        <v>724.90999999999985</v>
      </c>
      <c r="AF35" s="181">
        <f>AF34+AF23</f>
        <v>879.48099999999977</v>
      </c>
      <c r="AG35" s="247">
        <f>AG34+AG23</f>
        <v>575.46500000000003</v>
      </c>
      <c r="AH35" s="110">
        <f>AH34+AH23</f>
        <v>2889.3849999999998</v>
      </c>
      <c r="AI35" s="180">
        <f t="shared" ref="AI35:AJ35" si="83">AI34+AI23</f>
        <v>725.61999999999944</v>
      </c>
      <c r="AJ35" s="181">
        <f t="shared" si="83"/>
        <v>734.76800000000026</v>
      </c>
      <c r="AK35" s="181">
        <f>AK34+AK23</f>
        <v>972.11900000000037</v>
      </c>
      <c r="AL35" s="247">
        <f>AL34+AL23</f>
        <v>337.99</v>
      </c>
      <c r="AM35" s="110">
        <f>AM34+AM23</f>
        <v>2770.4970000000003</v>
      </c>
      <c r="AN35" s="180">
        <f t="shared" ref="AN35:AO35" si="84">AN34+AN23</f>
        <v>723.69100000000014</v>
      </c>
      <c r="AO35" s="181">
        <f t="shared" si="84"/>
        <v>809.62300000000027</v>
      </c>
      <c r="AP35" s="181">
        <f t="shared" ref="AP35" si="85">AP34+AP23</f>
        <v>1130.0230000000001</v>
      </c>
      <c r="AQ35" s="247">
        <f>AQ34+AQ23</f>
        <v>615.41800000000035</v>
      </c>
      <c r="AR35" s="110">
        <f>AR34+AR23</f>
        <v>3278.7550000000001</v>
      </c>
      <c r="AS35" s="180">
        <f t="shared" ref="AS35:AT35" si="86">AS34+AS23</f>
        <v>694.79499999999985</v>
      </c>
      <c r="AT35" s="181">
        <f t="shared" si="86"/>
        <v>809.89799999999968</v>
      </c>
      <c r="AU35" s="181">
        <f t="shared" ref="AU35" si="87">AU34+AU23</f>
        <v>1073.6830000000002</v>
      </c>
      <c r="AV35" s="247">
        <f>AV34+AV23</f>
        <v>731.86800000000096</v>
      </c>
      <c r="AW35" s="110">
        <f>AW34+AW23</f>
        <v>3310.2439999999992</v>
      </c>
      <c r="AX35" s="180">
        <f t="shared" ref="AX35:BB35" si="88">AX34+AX23</f>
        <v>762.67876373863578</v>
      </c>
      <c r="AY35" s="181">
        <f t="shared" si="88"/>
        <v>840.50802410227243</v>
      </c>
      <c r="AZ35" s="181">
        <f t="shared" si="88"/>
        <v>1158.7078596477272</v>
      </c>
      <c r="BA35" s="182">
        <f t="shared" si="88"/>
        <v>722.57724507197054</v>
      </c>
      <c r="BB35" s="110">
        <f t="shared" si="88"/>
        <v>3484.471892560608</v>
      </c>
      <c r="BC35" s="180">
        <f t="shared" ref="BC35:BL35" si="89">BC34+BC23</f>
        <v>826.73343712959127</v>
      </c>
      <c r="BD35" s="181">
        <f t="shared" si="89"/>
        <v>905.68724117540933</v>
      </c>
      <c r="BE35" s="181">
        <f t="shared" si="89"/>
        <v>1225.6943810541366</v>
      </c>
      <c r="BF35" s="182">
        <f t="shared" si="89"/>
        <v>786.16104963092459</v>
      </c>
      <c r="BG35" s="110">
        <f t="shared" si="89"/>
        <v>3744.2761089900632</v>
      </c>
      <c r="BH35" s="180">
        <f t="shared" si="89"/>
        <v>901.23750148569798</v>
      </c>
      <c r="BI35" s="181">
        <f t="shared" si="89"/>
        <v>981.32093295699133</v>
      </c>
      <c r="BJ35" s="181">
        <f t="shared" si="89"/>
        <v>1303.1462797681907</v>
      </c>
      <c r="BK35" s="182">
        <f t="shared" si="89"/>
        <v>860.18652804484032</v>
      </c>
      <c r="BL35" s="110">
        <f t="shared" si="89"/>
        <v>4045.89124225572</v>
      </c>
      <c r="BM35" s="180">
        <f t="shared" ref="BM35:BQ35" si="90">BM34+BM23</f>
        <v>967.37176479805032</v>
      </c>
      <c r="BN35" s="181">
        <f t="shared" si="90"/>
        <v>1048.589921305384</v>
      </c>
      <c r="BO35" s="181">
        <f t="shared" si="90"/>
        <v>1372.2444436515823</v>
      </c>
      <c r="BP35" s="182">
        <f t="shared" si="90"/>
        <v>925.8343930831752</v>
      </c>
      <c r="BQ35" s="110">
        <f t="shared" si="90"/>
        <v>4314.0405228381915</v>
      </c>
      <c r="BR35" s="19"/>
      <c r="BS35" s="19"/>
      <c r="BT35" s="19"/>
      <c r="BU35" s="19"/>
      <c r="BV35" s="19"/>
    </row>
    <row r="36" spans="1:75">
      <c r="A36" s="320"/>
      <c r="B36" s="320"/>
      <c r="C36" s="1173"/>
      <c r="D36" s="320"/>
      <c r="E36" s="335"/>
      <c r="F36" s="336"/>
      <c r="G36" s="336"/>
      <c r="H36" s="247"/>
      <c r="I36" s="110"/>
      <c r="J36" s="180"/>
      <c r="K36" s="181"/>
      <c r="L36" s="181"/>
      <c r="M36" s="247"/>
      <c r="N36" s="110"/>
      <c r="O36" s="180"/>
      <c r="P36" s="181"/>
      <c r="Q36" s="181"/>
      <c r="R36" s="247"/>
      <c r="S36" s="110"/>
      <c r="T36" s="180"/>
      <c r="U36" s="181"/>
      <c r="V36" s="181"/>
      <c r="W36" s="247"/>
      <c r="X36" s="110"/>
      <c r="Y36" s="180"/>
      <c r="Z36" s="181"/>
      <c r="AA36" s="181"/>
      <c r="AB36" s="247"/>
      <c r="AC36" s="110"/>
      <c r="AD36" s="180"/>
      <c r="AE36" s="181"/>
      <c r="AF36" s="181"/>
      <c r="AG36" s="247"/>
      <c r="AH36" s="110"/>
      <c r="AI36" s="180"/>
      <c r="AJ36" s="181"/>
      <c r="AK36" s="181"/>
      <c r="AL36" s="247"/>
      <c r="AM36" s="110"/>
      <c r="AN36" s="180"/>
      <c r="AO36" s="181"/>
      <c r="AP36" s="181"/>
      <c r="AQ36" s="247"/>
      <c r="AR36" s="110"/>
      <c r="AS36" s="180"/>
      <c r="AT36" s="181"/>
      <c r="AU36" s="181"/>
      <c r="AV36" s="247"/>
      <c r="AW36" s="110"/>
      <c r="AX36" s="180"/>
      <c r="AY36" s="181"/>
      <c r="AZ36" s="181"/>
      <c r="BA36" s="182"/>
      <c r="BB36" s="110"/>
      <c r="BC36" s="180"/>
      <c r="BD36" s="181"/>
      <c r="BE36" s="181"/>
      <c r="BF36" s="182"/>
      <c r="BG36" s="110"/>
      <c r="BH36" s="180"/>
      <c r="BI36" s="181"/>
      <c r="BJ36" s="181"/>
      <c r="BK36" s="182"/>
      <c r="BL36" s="110"/>
      <c r="BM36" s="180"/>
      <c r="BN36" s="181"/>
      <c r="BO36" s="181"/>
      <c r="BP36" s="182"/>
      <c r="BQ36" s="110"/>
      <c r="BR36" s="19"/>
      <c r="BS36" s="19"/>
      <c r="BT36" s="19"/>
      <c r="BU36" s="19"/>
      <c r="BV36" s="19"/>
    </row>
    <row r="37" spans="1:75">
      <c r="A37" s="320"/>
      <c r="B37" s="320"/>
      <c r="C37" s="1174" t="s">
        <v>324</v>
      </c>
      <c r="D37" s="320"/>
      <c r="E37" s="405">
        <f>(-109.709-5.543)*-1</f>
        <v>115.25200000000001</v>
      </c>
      <c r="F37" s="406">
        <f>(-111.967-10.243)*-1</f>
        <v>122.21</v>
      </c>
      <c r="G37" s="406">
        <f>(-116.997-10.989)*-1</f>
        <v>127.986</v>
      </c>
      <c r="H37" s="251">
        <f>I37-SUM(E37:G37)</f>
        <v>129.99299999999999</v>
      </c>
      <c r="I37" s="348">
        <v>495.44099999999997</v>
      </c>
      <c r="J37" s="393">
        <v>129.41200000000001</v>
      </c>
      <c r="K37" s="190">
        <v>140.09</v>
      </c>
      <c r="L37" s="190">
        <f>(-122.909-5.08)*-1</f>
        <v>127.989</v>
      </c>
      <c r="M37" s="251">
        <f>(N37-SUM(J37:L37))</f>
        <v>130.72900000000004</v>
      </c>
      <c r="N37" s="348">
        <v>528.22</v>
      </c>
      <c r="O37" s="393">
        <v>121.05200000000001</v>
      </c>
      <c r="P37" s="190">
        <v>121.327</v>
      </c>
      <c r="Q37" s="190">
        <v>122.556</v>
      </c>
      <c r="R37" s="251">
        <f>(S37-SUM(O37:Q37))</f>
        <v>128.697</v>
      </c>
      <c r="S37" s="348">
        <v>493.63200000000001</v>
      </c>
      <c r="T37" s="393">
        <v>127.474</v>
      </c>
      <c r="U37" s="190">
        <v>125.155</v>
      </c>
      <c r="V37" s="190">
        <v>130.33099999999999</v>
      </c>
      <c r="W37" s="251">
        <f>(X37-SUM(T37:V37))</f>
        <v>130.83699999999999</v>
      </c>
      <c r="X37" s="348">
        <v>513.79700000000003</v>
      </c>
      <c r="Y37" s="393">
        <v>130.06299999999999</v>
      </c>
      <c r="Z37" s="190">
        <v>131.452</v>
      </c>
      <c r="AA37" s="190">
        <v>134.08099999999999</v>
      </c>
      <c r="AB37" s="251">
        <f>(AC37-SUM(Y37:AA37))</f>
        <v>139.077</v>
      </c>
      <c r="AC37" s="348">
        <v>534.673</v>
      </c>
      <c r="AD37" s="393">
        <v>138.489</v>
      </c>
      <c r="AE37" s="190">
        <v>138.661</v>
      </c>
      <c r="AF37" s="190">
        <v>141.10400000000001</v>
      </c>
      <c r="AG37" s="251">
        <f>(AH37-SUM(AD37:AF37))</f>
        <v>147.05099999999993</v>
      </c>
      <c r="AH37" s="348">
        <v>565.30499999999995</v>
      </c>
      <c r="AI37" s="393">
        <v>143.447</v>
      </c>
      <c r="AJ37" s="190">
        <v>143.06200000000001</v>
      </c>
      <c r="AK37" s="190">
        <v>142.261</v>
      </c>
      <c r="AL37" s="251">
        <f>(AM37-SUM(AI37:AK37))</f>
        <v>140.98900000000003</v>
      </c>
      <c r="AM37" s="348">
        <v>569.75900000000001</v>
      </c>
      <c r="AN37" s="393">
        <v>147.97800000000001</v>
      </c>
      <c r="AO37" s="190">
        <v>151.102</v>
      </c>
      <c r="AP37" s="190">
        <v>147.32400000000001</v>
      </c>
      <c r="AQ37" s="251">
        <f>(AR37-SUM(AN37:AP37))</f>
        <v>145.31699999999995</v>
      </c>
      <c r="AR37" s="348">
        <v>591.721</v>
      </c>
      <c r="AS37" s="393">
        <v>143.364</v>
      </c>
      <c r="AT37" s="190">
        <v>145.23400000000001</v>
      </c>
      <c r="AU37" s="190">
        <v>148.92500000000001</v>
      </c>
      <c r="AV37" s="251">
        <f>(AW37-SUM(AS37:AU37))</f>
        <v>154.64699999999993</v>
      </c>
      <c r="AW37" s="348">
        <v>592.16999999999996</v>
      </c>
      <c r="AX37" s="174">
        <f>(AS37+AX198)</f>
        <v>145.46084143333334</v>
      </c>
      <c r="AY37" s="175">
        <f>(AT37+AY198)</f>
        <v>183.13146758368671</v>
      </c>
      <c r="AZ37" s="175">
        <f>(AU37+AZ198)</f>
        <v>173.97560298069024</v>
      </c>
      <c r="BA37" s="176">
        <f>(AV37+BA198)</f>
        <v>178.9290179783371</v>
      </c>
      <c r="BB37" s="107">
        <f>(SUM(AX37:BA37))</f>
        <v>681.49692997604745</v>
      </c>
      <c r="BC37" s="174">
        <f>(AX37+BC198)</f>
        <v>162.93837801575978</v>
      </c>
      <c r="BD37" s="175">
        <f>(AY37+BD198)</f>
        <v>176.56573530872387</v>
      </c>
      <c r="BE37" s="175">
        <f>(AZ37+BE198)</f>
        <v>194.09765357815672</v>
      </c>
      <c r="BF37" s="176">
        <f>(BA37+BF198)</f>
        <v>192.55187706969218</v>
      </c>
      <c r="BG37" s="107">
        <f>(SUM(BC37:BF37))</f>
        <v>726.15364397233259</v>
      </c>
      <c r="BH37" s="174">
        <f>(BC37+BH198)</f>
        <v>180.17876796144031</v>
      </c>
      <c r="BI37" s="175">
        <f>(BD37+BI198)</f>
        <v>196.99368454997264</v>
      </c>
      <c r="BJ37" s="175">
        <f>(BE37+BJ198)</f>
        <v>224.36723426841226</v>
      </c>
      <c r="BK37" s="176">
        <f>(BF37+BK198)</f>
        <v>210.68742021677269</v>
      </c>
      <c r="BL37" s="107">
        <f>(SUM(BH37:BK37))</f>
        <v>812.22710699659797</v>
      </c>
      <c r="BM37" s="174">
        <f>(BH37+BM198)</f>
        <v>197.21946294425672</v>
      </c>
      <c r="BN37" s="175">
        <f>(BI37+BN198)</f>
        <v>212.83805311913784</v>
      </c>
      <c r="BO37" s="175">
        <f>(BJ37+BO198)</f>
        <v>254.88452380268478</v>
      </c>
      <c r="BP37" s="176">
        <f>(BK37+BP198)</f>
        <v>231.19580285813848</v>
      </c>
      <c r="BQ37" s="107">
        <f>(SUM(BM37:BP37))</f>
        <v>896.13784272421776</v>
      </c>
      <c r="BR37" s="19"/>
      <c r="BS37" s="1718"/>
      <c r="BT37" s="19"/>
      <c r="BU37" s="19"/>
      <c r="BV37" s="1718">
        <f t="shared" ref="BV37:BV38" si="91">(AU37-AP37)*(1-$AU$82)/$AU$54</f>
        <v>5.5173743737896913E-3</v>
      </c>
      <c r="BW37" s="1718">
        <f t="shared" ref="BW37:BW38" si="92">(AV37-AQ37)*(1-$AU$82)/$AU$54</f>
        <v>3.2153093633640079E-2</v>
      </c>
    </row>
    <row r="38" spans="1:75">
      <c r="A38" s="320"/>
      <c r="B38" s="320"/>
      <c r="C38" s="1174" t="s">
        <v>325</v>
      </c>
      <c r="D38" s="320">
        <v>-1</v>
      </c>
      <c r="E38" s="405">
        <v>-9.8119999999999994</v>
      </c>
      <c r="F38" s="406">
        <v>-8.4830000000000005</v>
      </c>
      <c r="G38" s="406">
        <v>-8.2520000000000007</v>
      </c>
      <c r="H38" s="251">
        <f>(I38-SUM(E38:G38))</f>
        <v>-6.6879999999999953</v>
      </c>
      <c r="I38" s="348">
        <v>-33.234999999999999</v>
      </c>
      <c r="J38" s="393">
        <v>-8.0009999999999994</v>
      </c>
      <c r="K38" s="190">
        <v>-10.323</v>
      </c>
      <c r="L38" s="190">
        <v>-8.9489999999999998</v>
      </c>
      <c r="M38" s="251">
        <f>(N38-SUM(J38:L38))</f>
        <v>-7.7060000000000031</v>
      </c>
      <c r="N38" s="348">
        <v>-34.978999999999999</v>
      </c>
      <c r="O38" s="393">
        <v>-8.5340000000000007</v>
      </c>
      <c r="P38" s="190">
        <v>-9.15</v>
      </c>
      <c r="Q38" s="190">
        <v>-9.7129999999999992</v>
      </c>
      <c r="R38" s="251">
        <f>(S38-SUM(O38:Q38))</f>
        <v>-10.496000000000002</v>
      </c>
      <c r="S38" s="348">
        <v>-37.893000000000001</v>
      </c>
      <c r="T38" s="393">
        <v>-9.391</v>
      </c>
      <c r="U38" s="190">
        <v>-10.483000000000001</v>
      </c>
      <c r="V38" s="190">
        <v>-8.0030000000000001</v>
      </c>
      <c r="W38" s="251">
        <f>(X38-SUM(T38:V38))</f>
        <v>-9.4349999999999952</v>
      </c>
      <c r="X38" s="348">
        <v>-37.311999999999998</v>
      </c>
      <c r="Y38" s="393">
        <v>-5.1879999999999997</v>
      </c>
      <c r="Z38" s="190">
        <v>-6.7910000000000004</v>
      </c>
      <c r="AA38" s="190">
        <v>-6.4530000000000003</v>
      </c>
      <c r="AB38" s="251">
        <f>(AC38-SUM(Y38:AA38))</f>
        <v>-7.0680000000000014</v>
      </c>
      <c r="AC38" s="348">
        <v>-25.5</v>
      </c>
      <c r="AD38" s="393">
        <v>-7.02</v>
      </c>
      <c r="AE38" s="190">
        <v>-8.516</v>
      </c>
      <c r="AF38" s="190">
        <v>-8.6639999999999997</v>
      </c>
      <c r="AG38" s="251">
        <f>(AH38-SUM(AD38:AF38))</f>
        <v>-9.3760000000000012</v>
      </c>
      <c r="AH38" s="348">
        <v>-33.576000000000001</v>
      </c>
      <c r="AI38" s="393">
        <v>-6.117</v>
      </c>
      <c r="AJ38" s="190">
        <v>-6.0439999999999996</v>
      </c>
      <c r="AK38" s="190">
        <v>-7.2889999999999997</v>
      </c>
      <c r="AL38" s="251">
        <f>(AM38-SUM(AI38:AK38))</f>
        <v>-7.1769999999999996</v>
      </c>
      <c r="AM38" s="348">
        <v>-26.626999999999999</v>
      </c>
      <c r="AN38" s="393">
        <v>-9.6820000000000004</v>
      </c>
      <c r="AO38" s="190">
        <v>-7.1319999999999997</v>
      </c>
      <c r="AP38" s="190">
        <v>-7.7069999999999999</v>
      </c>
      <c r="AQ38" s="251">
        <f>(AR38-SUM(AN38:AP38))</f>
        <v>-9.6539999999999964</v>
      </c>
      <c r="AR38" s="348">
        <v>-34.174999999999997</v>
      </c>
      <c r="AS38" s="393">
        <v>-9.0419999999999998</v>
      </c>
      <c r="AT38" s="190">
        <v>-10.523</v>
      </c>
      <c r="AU38" s="190">
        <v>-11.492000000000001</v>
      </c>
      <c r="AV38" s="251">
        <f>(AW38-SUM(AS38:AU38))</f>
        <v>-13.812000000000001</v>
      </c>
      <c r="AW38" s="348">
        <v>-44.869</v>
      </c>
      <c r="AX38" s="174">
        <f>+AX186</f>
        <v>-13.570835369318184</v>
      </c>
      <c r="AY38" s="175">
        <f>+AY186</f>
        <v>-13.570835369318184</v>
      </c>
      <c r="AZ38" s="175">
        <f>+AZ186</f>
        <v>-13.570835369318184</v>
      </c>
      <c r="BA38" s="176">
        <f>+BA186</f>
        <v>-13.570835369318184</v>
      </c>
      <c r="BB38" s="107">
        <f>SUM(AX38:BA38)</f>
        <v>-54.283341477272735</v>
      </c>
      <c r="BC38" s="174">
        <f>+BC186</f>
        <v>-12.601489985795455</v>
      </c>
      <c r="BD38" s="175">
        <f>+BD186</f>
        <v>-12.601489985795455</v>
      </c>
      <c r="BE38" s="175">
        <f>+BE186</f>
        <v>-12.601489985795455</v>
      </c>
      <c r="BF38" s="176">
        <f>+BF186</f>
        <v>-12.601489985795455</v>
      </c>
      <c r="BG38" s="107">
        <f>SUM(BC38:BF38)</f>
        <v>-50.40595994318182</v>
      </c>
      <c r="BH38" s="174">
        <f>+BH186</f>
        <v>-11.424427734375001</v>
      </c>
      <c r="BI38" s="175">
        <f>+BI186</f>
        <v>-11.424427734375001</v>
      </c>
      <c r="BJ38" s="175">
        <f>+BJ186</f>
        <v>-11.424427734375001</v>
      </c>
      <c r="BK38" s="176">
        <f>+BK186</f>
        <v>-11.424427734375001</v>
      </c>
      <c r="BL38" s="107">
        <f>SUM(BH38:BK38)</f>
        <v>-45.697710937500005</v>
      </c>
      <c r="BM38" s="174">
        <f>+BM186</f>
        <v>-12.347613813920455</v>
      </c>
      <c r="BN38" s="175">
        <f>+BN186</f>
        <v>-12.347613813920455</v>
      </c>
      <c r="BO38" s="175">
        <f>+BO186</f>
        <v>-12.347613813920455</v>
      </c>
      <c r="BP38" s="176">
        <f>+BP186</f>
        <v>-12.347613813920455</v>
      </c>
      <c r="BQ38" s="107">
        <f>SUM(BM38:BP38)</f>
        <v>-49.390455255681822</v>
      </c>
      <c r="BR38" s="19"/>
      <c r="BS38" s="19"/>
      <c r="BT38" s="19"/>
      <c r="BU38" s="19"/>
      <c r="BV38" s="1718">
        <f t="shared" si="91"/>
        <v>-1.3043886324043722E-2</v>
      </c>
      <c r="BW38" s="1718">
        <f t="shared" si="92"/>
        <v>-1.4329320828368254E-2</v>
      </c>
    </row>
    <row r="39" spans="1:75">
      <c r="A39" s="327"/>
      <c r="B39" s="327"/>
      <c r="C39" s="1173" t="s">
        <v>231</v>
      </c>
      <c r="D39" s="327"/>
      <c r="E39" s="335">
        <f>SUM(E37:E38)</f>
        <v>105.44000000000001</v>
      </c>
      <c r="F39" s="336">
        <f t="shared" ref="F39:AE39" si="93">SUM(F37:F38)</f>
        <v>113.72699999999999</v>
      </c>
      <c r="G39" s="336">
        <f t="shared" si="93"/>
        <v>119.73400000000001</v>
      </c>
      <c r="H39" s="247">
        <f t="shared" si="93"/>
        <v>123.30500000000001</v>
      </c>
      <c r="I39" s="110">
        <f t="shared" si="93"/>
        <v>462.20599999999996</v>
      </c>
      <c r="J39" s="180">
        <f t="shared" si="93"/>
        <v>121.411</v>
      </c>
      <c r="K39" s="181">
        <f t="shared" si="93"/>
        <v>129.767</v>
      </c>
      <c r="L39" s="181">
        <f t="shared" si="93"/>
        <v>119.04</v>
      </c>
      <c r="M39" s="247">
        <f t="shared" si="93"/>
        <v>123.02300000000004</v>
      </c>
      <c r="N39" s="110">
        <f t="shared" si="93"/>
        <v>493.24100000000004</v>
      </c>
      <c r="O39" s="180">
        <f t="shared" si="93"/>
        <v>112.518</v>
      </c>
      <c r="P39" s="181">
        <f t="shared" si="93"/>
        <v>112.17699999999999</v>
      </c>
      <c r="Q39" s="181">
        <f t="shared" si="93"/>
        <v>112.843</v>
      </c>
      <c r="R39" s="247">
        <f t="shared" si="93"/>
        <v>118.20099999999999</v>
      </c>
      <c r="S39" s="110">
        <f t="shared" si="93"/>
        <v>455.73900000000003</v>
      </c>
      <c r="T39" s="180">
        <f t="shared" si="93"/>
        <v>118.083</v>
      </c>
      <c r="U39" s="181">
        <f t="shared" si="93"/>
        <v>114.672</v>
      </c>
      <c r="V39" s="181">
        <f t="shared" si="93"/>
        <v>122.32799999999999</v>
      </c>
      <c r="W39" s="247">
        <f t="shared" si="93"/>
        <v>121.40199999999999</v>
      </c>
      <c r="X39" s="110">
        <f t="shared" si="93"/>
        <v>476.48500000000001</v>
      </c>
      <c r="Y39" s="180">
        <f t="shared" si="93"/>
        <v>124.87499999999999</v>
      </c>
      <c r="Z39" s="181">
        <f t="shared" si="93"/>
        <v>124.661</v>
      </c>
      <c r="AA39" s="181">
        <f t="shared" si="93"/>
        <v>127.62799999999999</v>
      </c>
      <c r="AB39" s="247">
        <f>SUM(AB37:AB38)</f>
        <v>132.00899999999999</v>
      </c>
      <c r="AC39" s="110">
        <f>SUM(AC37:AC38)</f>
        <v>509.173</v>
      </c>
      <c r="AD39" s="180">
        <f t="shared" si="93"/>
        <v>131.46899999999999</v>
      </c>
      <c r="AE39" s="181">
        <f t="shared" si="93"/>
        <v>130.14500000000001</v>
      </c>
      <c r="AF39" s="181">
        <f t="shared" ref="AF39" si="94">SUM(AF37:AF38)</f>
        <v>132.44000000000003</v>
      </c>
      <c r="AG39" s="247">
        <f>SUM(AG37:AG38)</f>
        <v>137.67499999999993</v>
      </c>
      <c r="AH39" s="110">
        <f>SUM(AH37:AH38)</f>
        <v>531.72899999999993</v>
      </c>
      <c r="AI39" s="180">
        <f t="shared" ref="AI39:AK39" si="95">SUM(AI37:AI38)</f>
        <v>137.33000000000001</v>
      </c>
      <c r="AJ39" s="181">
        <f t="shared" si="95"/>
        <v>137.018</v>
      </c>
      <c r="AK39" s="181">
        <f t="shared" si="95"/>
        <v>134.97200000000001</v>
      </c>
      <c r="AL39" s="247">
        <f>SUM(AL37:AL38)</f>
        <v>133.81200000000004</v>
      </c>
      <c r="AM39" s="110">
        <f>SUM(AM37:AM38)</f>
        <v>543.13200000000006</v>
      </c>
      <c r="AN39" s="180">
        <f t="shared" ref="AN39:AO39" si="96">SUM(AN37:AN38)</f>
        <v>138.29600000000002</v>
      </c>
      <c r="AO39" s="181">
        <f t="shared" si="96"/>
        <v>143.97</v>
      </c>
      <c r="AP39" s="181">
        <f t="shared" ref="AP39" si="97">SUM(AP37:AP38)</f>
        <v>139.61700000000002</v>
      </c>
      <c r="AQ39" s="247">
        <f>SUM(AQ37:AQ38)</f>
        <v>135.66299999999995</v>
      </c>
      <c r="AR39" s="110">
        <f>SUM(AR37:AR38)</f>
        <v>557.54600000000005</v>
      </c>
      <c r="AS39" s="180">
        <f t="shared" ref="AS39:AT39" si="98">SUM(AS37:AS38)</f>
        <v>134.322</v>
      </c>
      <c r="AT39" s="181">
        <f t="shared" si="98"/>
        <v>134.71100000000001</v>
      </c>
      <c r="AU39" s="181">
        <f t="shared" ref="AU39:BB39" si="99">SUM(AU37:AU38)</f>
        <v>137.43300000000002</v>
      </c>
      <c r="AV39" s="247">
        <f>SUM(AV37:AV38)</f>
        <v>140.83499999999992</v>
      </c>
      <c r="AW39" s="110">
        <f>SUM(AW37:AW38)</f>
        <v>547.30099999999993</v>
      </c>
      <c r="AX39" s="180">
        <f t="shared" si="99"/>
        <v>131.89000606401515</v>
      </c>
      <c r="AY39" s="181">
        <f t="shared" si="99"/>
        <v>169.56063221436852</v>
      </c>
      <c r="AZ39" s="181">
        <f t="shared" si="99"/>
        <v>160.40476761137205</v>
      </c>
      <c r="BA39" s="182">
        <f t="shared" si="99"/>
        <v>165.35818260901891</v>
      </c>
      <c r="BB39" s="110">
        <f t="shared" si="99"/>
        <v>627.2135884987747</v>
      </c>
      <c r="BC39" s="180">
        <f t="shared" ref="BC39:BL39" si="100">SUM(BC37:BC38)</f>
        <v>150.33688802996431</v>
      </c>
      <c r="BD39" s="181">
        <f t="shared" si="100"/>
        <v>163.96424532292841</v>
      </c>
      <c r="BE39" s="181">
        <f t="shared" si="100"/>
        <v>181.49616359236126</v>
      </c>
      <c r="BF39" s="182">
        <f t="shared" si="100"/>
        <v>179.95038708389671</v>
      </c>
      <c r="BG39" s="110">
        <f t="shared" si="100"/>
        <v>675.74768402915072</v>
      </c>
      <c r="BH39" s="180">
        <f t="shared" si="100"/>
        <v>168.75434022706531</v>
      </c>
      <c r="BI39" s="181">
        <f t="shared" si="100"/>
        <v>185.56925681559764</v>
      </c>
      <c r="BJ39" s="181">
        <f t="shared" si="100"/>
        <v>212.94280653403726</v>
      </c>
      <c r="BK39" s="182">
        <f t="shared" si="100"/>
        <v>199.26299248239769</v>
      </c>
      <c r="BL39" s="110">
        <f t="shared" si="100"/>
        <v>766.52939605909796</v>
      </c>
      <c r="BM39" s="180">
        <f t="shared" ref="BM39:BQ39" si="101">SUM(BM37:BM38)</f>
        <v>184.87184913033627</v>
      </c>
      <c r="BN39" s="181">
        <f t="shared" si="101"/>
        <v>200.49043930521739</v>
      </c>
      <c r="BO39" s="181">
        <f t="shared" si="101"/>
        <v>242.53690998876434</v>
      </c>
      <c r="BP39" s="182">
        <f t="shared" si="101"/>
        <v>218.84818904421803</v>
      </c>
      <c r="BQ39" s="110">
        <f t="shared" si="101"/>
        <v>846.74738746853598</v>
      </c>
      <c r="BR39" s="19"/>
      <c r="BS39" s="1718"/>
      <c r="BT39" s="19"/>
      <c r="BU39" s="19"/>
      <c r="BV39" s="1718">
        <f t="shared" ref="BV39" si="102">(AU39-AP39)*(1-$AU$82)/$AU$54</f>
        <v>-7.5265119502540149E-3</v>
      </c>
      <c r="BW39" s="1718">
        <f t="shared" ref="BW39" si="103">(AV39-AQ39)*(1-$AU$82)/$AU$54</f>
        <v>1.7823772805271785E-2</v>
      </c>
    </row>
    <row r="40" spans="1:75">
      <c r="A40" s="327"/>
      <c r="B40" s="327"/>
      <c r="C40" s="1173"/>
      <c r="D40" s="327"/>
      <c r="E40" s="335"/>
      <c r="F40" s="336"/>
      <c r="G40" s="336"/>
      <c r="H40" s="247"/>
      <c r="I40" s="110"/>
      <c r="J40" s="180"/>
      <c r="K40" s="181"/>
      <c r="L40" s="181"/>
      <c r="M40" s="247"/>
      <c r="N40" s="110"/>
      <c r="O40" s="180"/>
      <c r="P40" s="181"/>
      <c r="Q40" s="181"/>
      <c r="R40" s="247"/>
      <c r="S40" s="110"/>
      <c r="T40" s="180"/>
      <c r="U40" s="181"/>
      <c r="V40" s="181"/>
      <c r="W40" s="247"/>
      <c r="X40" s="110"/>
      <c r="Y40" s="180"/>
      <c r="Z40" s="181"/>
      <c r="AA40" s="181"/>
      <c r="AB40" s="247"/>
      <c r="AC40" s="110"/>
      <c r="AD40" s="180"/>
      <c r="AE40" s="181"/>
      <c r="AF40" s="181"/>
      <c r="AG40" s="247"/>
      <c r="AH40" s="110"/>
      <c r="AI40" s="180"/>
      <c r="AJ40" s="181"/>
      <c r="AK40" s="181"/>
      <c r="AL40" s="247"/>
      <c r="AM40" s="110"/>
      <c r="AN40" s="180"/>
      <c r="AO40" s="181"/>
      <c r="AP40" s="181"/>
      <c r="AQ40" s="247"/>
      <c r="AR40" s="110"/>
      <c r="AS40" s="180"/>
      <c r="AT40" s="181"/>
      <c r="AU40" s="181"/>
      <c r="AV40" s="247"/>
      <c r="AW40" s="110"/>
      <c r="AX40" s="180"/>
      <c r="AY40" s="181"/>
      <c r="AZ40" s="181"/>
      <c r="BA40" s="182"/>
      <c r="BB40" s="110"/>
      <c r="BC40" s="180"/>
      <c r="BD40" s="181"/>
      <c r="BE40" s="181"/>
      <c r="BF40" s="182"/>
      <c r="BG40" s="110"/>
      <c r="BH40" s="180"/>
      <c r="BI40" s="181"/>
      <c r="BJ40" s="181"/>
      <c r="BK40" s="182"/>
      <c r="BL40" s="110"/>
      <c r="BM40" s="180"/>
      <c r="BN40" s="181"/>
      <c r="BO40" s="181"/>
      <c r="BP40" s="182"/>
      <c r="BQ40" s="110"/>
      <c r="BR40" s="19"/>
      <c r="BS40" s="19"/>
      <c r="BT40" s="19"/>
      <c r="BU40" s="19"/>
      <c r="BV40" s="19"/>
    </row>
    <row r="41" spans="1:75">
      <c r="A41" s="327"/>
      <c r="B41" s="327"/>
      <c r="C41" s="1173" t="s">
        <v>232</v>
      </c>
      <c r="D41" s="327"/>
      <c r="E41" s="335">
        <f>E34-E39</f>
        <v>189.43099999999976</v>
      </c>
      <c r="F41" s="336">
        <f t="shared" ref="F41:Y41" si="104">F34-F39</f>
        <v>256.27500000000009</v>
      </c>
      <c r="G41" s="336">
        <f t="shared" si="104"/>
        <v>479.14400000000001</v>
      </c>
      <c r="H41" s="247">
        <f t="shared" si="104"/>
        <v>172.73700000000019</v>
      </c>
      <c r="I41" s="110">
        <f t="shared" si="104"/>
        <v>1097.5870000000009</v>
      </c>
      <c r="J41" s="180">
        <f t="shared" si="104"/>
        <v>232.93999999999954</v>
      </c>
      <c r="K41" s="181">
        <f t="shared" si="104"/>
        <v>371.2200000000002</v>
      </c>
      <c r="L41" s="181">
        <f t="shared" si="104"/>
        <v>554.53199999999981</v>
      </c>
      <c r="M41" s="247">
        <f t="shared" si="104"/>
        <v>125.25300000000088</v>
      </c>
      <c r="N41" s="110">
        <f t="shared" si="104"/>
        <v>1283.9449999999997</v>
      </c>
      <c r="O41" s="180">
        <f t="shared" si="104"/>
        <v>258.85699999999997</v>
      </c>
      <c r="P41" s="181">
        <f t="shared" si="104"/>
        <v>391.77699999999993</v>
      </c>
      <c r="Q41" s="181">
        <f t="shared" si="104"/>
        <v>369.78599999999955</v>
      </c>
      <c r="R41" s="247">
        <f t="shared" si="104"/>
        <v>130.75699999999989</v>
      </c>
      <c r="S41" s="110">
        <f t="shared" si="104"/>
        <v>1151.1769999999992</v>
      </c>
      <c r="T41" s="180">
        <f t="shared" si="104"/>
        <v>166.9190000000003</v>
      </c>
      <c r="U41" s="181">
        <f t="shared" si="104"/>
        <v>184.06399999999931</v>
      </c>
      <c r="V41" s="181">
        <f t="shared" si="104"/>
        <v>488.17400000000009</v>
      </c>
      <c r="W41" s="247">
        <f t="shared" si="104"/>
        <v>170.50500000000108</v>
      </c>
      <c r="X41" s="110">
        <f t="shared" si="104"/>
        <v>1009.6619999999995</v>
      </c>
      <c r="Y41" s="180">
        <f t="shared" si="104"/>
        <v>198.90999999999968</v>
      </c>
      <c r="Z41" s="181">
        <f t="shared" ref="Z41:AE41" si="105">Z34-Z39</f>
        <v>299.48099999999948</v>
      </c>
      <c r="AA41" s="181">
        <f t="shared" si="105"/>
        <v>523.11900000000014</v>
      </c>
      <c r="AB41" s="247">
        <f t="shared" si="105"/>
        <v>190.62200000000135</v>
      </c>
      <c r="AC41" s="110">
        <f t="shared" si="105"/>
        <v>1212.1320000000012</v>
      </c>
      <c r="AD41" s="180">
        <f t="shared" si="105"/>
        <v>320.50399999999968</v>
      </c>
      <c r="AE41" s="181">
        <f t="shared" si="105"/>
        <v>335.01799999999992</v>
      </c>
      <c r="AF41" s="181">
        <f t="shared" ref="AF41:AJ41" si="106">AF34-AF39</f>
        <v>487.45099999999968</v>
      </c>
      <c r="AG41" s="247">
        <f t="shared" si="106"/>
        <v>175.67100000000019</v>
      </c>
      <c r="AH41" s="110">
        <f t="shared" si="106"/>
        <v>1318.6439999999998</v>
      </c>
      <c r="AI41" s="180">
        <f t="shared" si="106"/>
        <v>319.00099999999952</v>
      </c>
      <c r="AJ41" s="181">
        <f t="shared" si="106"/>
        <v>321.8330000000002</v>
      </c>
      <c r="AK41" s="181">
        <f t="shared" ref="AK41:AO41" si="107">AK34-AK39</f>
        <v>563.21000000000038</v>
      </c>
      <c r="AL41" s="247">
        <f t="shared" si="107"/>
        <v>-72.767000000000081</v>
      </c>
      <c r="AM41" s="110">
        <f t="shared" si="107"/>
        <v>1131.2770000000003</v>
      </c>
      <c r="AN41" s="180">
        <f t="shared" si="107"/>
        <v>307.48700000000008</v>
      </c>
      <c r="AO41" s="181">
        <f t="shared" si="107"/>
        <v>376.53200000000027</v>
      </c>
      <c r="AP41" s="181">
        <f>AP34-AP39</f>
        <v>703.38499999999999</v>
      </c>
      <c r="AQ41" s="247">
        <f t="shared" ref="AQ41:AU41" si="108">AQ34-AQ39</f>
        <v>188.1170000000003</v>
      </c>
      <c r="AR41" s="110">
        <f t="shared" si="108"/>
        <v>1575.521</v>
      </c>
      <c r="AS41" s="180">
        <f t="shared" si="108"/>
        <v>266.11499999999984</v>
      </c>
      <c r="AT41" s="181">
        <f t="shared" si="108"/>
        <v>377.23299999999972</v>
      </c>
      <c r="AU41" s="181">
        <f t="shared" si="108"/>
        <v>634.38000000000022</v>
      </c>
      <c r="AV41" s="247">
        <f t="shared" ref="AV41:AW41" si="109">AV34-AV39</f>
        <v>290.03600000000097</v>
      </c>
      <c r="AW41" s="110">
        <f t="shared" si="109"/>
        <v>1567.7639999999992</v>
      </c>
      <c r="AX41" s="180">
        <f t="shared" ref="AX41:BB41" si="110">AX34-AX39</f>
        <v>320.55302592462067</v>
      </c>
      <c r="AY41" s="181">
        <f t="shared" si="110"/>
        <v>352.84192998596643</v>
      </c>
      <c r="AZ41" s="181">
        <f t="shared" si="110"/>
        <v>672.4203693117654</v>
      </c>
      <c r="BA41" s="182">
        <f t="shared" si="110"/>
        <v>223.65046173037592</v>
      </c>
      <c r="BB41" s="110">
        <f t="shared" si="110"/>
        <v>1569.4657869527305</v>
      </c>
      <c r="BC41" s="180">
        <f t="shared" ref="BC41:BL41" si="111">BC34-BC39</f>
        <v>342.49119154638157</v>
      </c>
      <c r="BD41" s="181">
        <f t="shared" si="111"/>
        <v>401.1925499110979</v>
      </c>
      <c r="BE41" s="181">
        <f t="shared" si="111"/>
        <v>697.11887164871814</v>
      </c>
      <c r="BF41" s="182">
        <f t="shared" si="111"/>
        <v>252.65772921082095</v>
      </c>
      <c r="BG41" s="110">
        <f t="shared" si="111"/>
        <v>1693.4603423170201</v>
      </c>
      <c r="BH41" s="180">
        <f t="shared" si="111"/>
        <v>372.53108665579214</v>
      </c>
      <c r="BI41" s="181">
        <f t="shared" si="111"/>
        <v>430.45155039648569</v>
      </c>
      <c r="BJ41" s="181">
        <f t="shared" si="111"/>
        <v>719.61679893531186</v>
      </c>
      <c r="BK41" s="182">
        <f t="shared" si="111"/>
        <v>285.11110801803778</v>
      </c>
      <c r="BL41" s="110">
        <f t="shared" si="111"/>
        <v>1807.7105440056271</v>
      </c>
      <c r="BM41" s="180">
        <f t="shared" ref="BM41:BQ41" si="112">BM34-BM39</f>
        <v>401.52183104006997</v>
      </c>
      <c r="BN41" s="181">
        <f t="shared" si="112"/>
        <v>461.24847867907374</v>
      </c>
      <c r="BO41" s="181">
        <f t="shared" si="112"/>
        <v>737.05115021325105</v>
      </c>
      <c r="BP41" s="182">
        <f t="shared" si="112"/>
        <v>308.59120233239361</v>
      </c>
      <c r="BQ41" s="110">
        <f t="shared" si="112"/>
        <v>1908.4126622647877</v>
      </c>
      <c r="BR41" s="19"/>
      <c r="BS41" s="1718"/>
      <c r="BT41" s="19"/>
      <c r="BU41" s="19"/>
      <c r="BV41" s="1718">
        <f>BV19+BV21+BV22+BV23+BV24-BV32+BV39</f>
        <v>3.3118031063160266E-3</v>
      </c>
      <c r="BW41" s="1718">
        <f>BW19+BW21+BW22+BW23+BW24-BW32+BW39</f>
        <v>-0.35140608839535403</v>
      </c>
    </row>
    <row r="42" spans="1:75">
      <c r="A42" s="320"/>
      <c r="B42" s="320"/>
      <c r="C42" s="129"/>
      <c r="D42" s="320"/>
      <c r="E42" s="324"/>
      <c r="F42" s="325"/>
      <c r="G42" s="325"/>
      <c r="H42" s="251"/>
      <c r="I42" s="107"/>
      <c r="J42" s="174"/>
      <c r="K42" s="175"/>
      <c r="L42" s="175"/>
      <c r="M42" s="251"/>
      <c r="N42" s="107"/>
      <c r="O42" s="174"/>
      <c r="P42" s="175"/>
      <c r="Q42" s="175"/>
      <c r="R42" s="251"/>
      <c r="S42" s="107"/>
      <c r="T42" s="174"/>
      <c r="U42" s="175"/>
      <c r="V42" s="175"/>
      <c r="W42" s="251"/>
      <c r="X42" s="107"/>
      <c r="Y42" s="174"/>
      <c r="Z42" s="175"/>
      <c r="AA42" s="175"/>
      <c r="AB42" s="251"/>
      <c r="AC42" s="107"/>
      <c r="AD42" s="174"/>
      <c r="AE42" s="175"/>
      <c r="AF42" s="175"/>
      <c r="AG42" s="251"/>
      <c r="AH42" s="107"/>
      <c r="AI42" s="174"/>
      <c r="AJ42" s="175"/>
      <c r="AK42" s="175"/>
      <c r="AL42" s="251"/>
      <c r="AM42" s="107"/>
      <c r="AN42" s="174"/>
      <c r="AO42" s="175"/>
      <c r="AP42" s="175"/>
      <c r="AQ42" s="251"/>
      <c r="AR42" s="107"/>
      <c r="AS42" s="174"/>
      <c r="AT42" s="175"/>
      <c r="AU42" s="175"/>
      <c r="AV42" s="251"/>
      <c r="AW42" s="107"/>
      <c r="AX42" s="174"/>
      <c r="AY42" s="175"/>
      <c r="AZ42" s="175"/>
      <c r="BA42" s="176"/>
      <c r="BB42" s="107"/>
      <c r="BC42" s="174"/>
      <c r="BD42" s="175"/>
      <c r="BE42" s="175"/>
      <c r="BF42" s="176"/>
      <c r="BG42" s="107"/>
      <c r="BH42" s="174"/>
      <c r="BI42" s="175"/>
      <c r="BJ42" s="175"/>
      <c r="BK42" s="176"/>
      <c r="BL42" s="107"/>
      <c r="BM42" s="174"/>
      <c r="BN42" s="175"/>
      <c r="BO42" s="175"/>
      <c r="BP42" s="176"/>
      <c r="BQ42" s="107"/>
      <c r="BR42" s="19"/>
      <c r="BS42" s="19"/>
      <c r="BT42" s="19"/>
      <c r="BU42" s="19"/>
      <c r="BV42" s="19"/>
    </row>
    <row r="43" spans="1:75">
      <c r="A43" s="320"/>
      <c r="B43" s="320"/>
      <c r="C43" s="129" t="s">
        <v>700</v>
      </c>
      <c r="D43" s="320"/>
      <c r="E43" s="405">
        <v>73.462999999999994</v>
      </c>
      <c r="F43" s="406">
        <v>104.7</v>
      </c>
      <c r="G43" s="406">
        <v>180.05500000000001</v>
      </c>
      <c r="H43" s="251">
        <f>I43-SUM(E43:G43)</f>
        <v>30.463999999999999</v>
      </c>
      <c r="I43" s="348">
        <v>388.68200000000002</v>
      </c>
      <c r="J43" s="393">
        <v>89.97</v>
      </c>
      <c r="K43" s="190">
        <v>141.047</v>
      </c>
      <c r="L43" s="190">
        <v>216.59100000000001</v>
      </c>
      <c r="M43" s="251">
        <f>N43-SUM(J43:L43)</f>
        <v>6.6189999999999714</v>
      </c>
      <c r="N43" s="348">
        <v>454.22699999999998</v>
      </c>
      <c r="O43" s="393">
        <v>90.203999999999994</v>
      </c>
      <c r="P43" s="190">
        <v>139.036</v>
      </c>
      <c r="Q43" s="190">
        <v>-158.673</v>
      </c>
      <c r="R43" s="251">
        <f>S43-SUM(O43:Q43)</f>
        <v>-43.256000000000007</v>
      </c>
      <c r="S43" s="348">
        <v>27.311</v>
      </c>
      <c r="T43" s="393">
        <v>99.706999999999994</v>
      </c>
      <c r="U43" s="190">
        <v>-124.461</v>
      </c>
      <c r="V43" s="190">
        <v>187.66800000000001</v>
      </c>
      <c r="W43" s="251">
        <f>X43-SUM(T43:V43)</f>
        <v>-113.57399999999998</v>
      </c>
      <c r="X43" s="348">
        <v>49.34</v>
      </c>
      <c r="Y43" s="393">
        <v>71.075000000000003</v>
      </c>
      <c r="Z43" s="190">
        <v>98.926000000000002</v>
      </c>
      <c r="AA43" s="190">
        <v>170.816</v>
      </c>
      <c r="AB43" s="251">
        <f>AC43-SUM(Y43:AA43)</f>
        <v>25.099999999999966</v>
      </c>
      <c r="AC43" s="348">
        <v>365.91699999999997</v>
      </c>
      <c r="AD43" s="393">
        <v>115.06399999999999</v>
      </c>
      <c r="AE43" s="190">
        <v>122.884</v>
      </c>
      <c r="AF43" s="190">
        <v>172.18799999999999</v>
      </c>
      <c r="AG43" s="251">
        <f>AH43-SUM(AD43:AF43)</f>
        <v>62.012000000000057</v>
      </c>
      <c r="AH43" s="348">
        <v>472.14800000000002</v>
      </c>
      <c r="AI43" s="393">
        <v>91.251000000000005</v>
      </c>
      <c r="AJ43" s="190">
        <v>117.798</v>
      </c>
      <c r="AK43" s="190">
        <v>198.94499999999999</v>
      </c>
      <c r="AL43" s="251">
        <f>AM43-SUM(AI43:AK43)</f>
        <v>-391.233</v>
      </c>
      <c r="AM43" s="348">
        <v>16.760999999999999</v>
      </c>
      <c r="AN43" s="393">
        <v>107.836</v>
      </c>
      <c r="AO43" s="190">
        <v>-3.7850000000000001</v>
      </c>
      <c r="AP43" s="190">
        <v>255.60300000000001</v>
      </c>
      <c r="AQ43" s="251">
        <f>AR43-SUM(AN43:AP43)</f>
        <v>64.73399999999998</v>
      </c>
      <c r="AR43" s="348">
        <v>424.38799999999998</v>
      </c>
      <c r="AS43" s="393">
        <v>98.492000000000004</v>
      </c>
      <c r="AT43" s="190">
        <v>130.851</v>
      </c>
      <c r="AU43" s="190">
        <v>230.64699999999999</v>
      </c>
      <c r="AV43" s="251">
        <f>AW43-SUM(AS43:AU43)</f>
        <v>334.62599999999998</v>
      </c>
      <c r="AW43" s="348">
        <v>794.61599999999999</v>
      </c>
      <c r="AX43" s="174">
        <f>(AX41-AX29-AX202)*AX82</f>
        <v>101.42631497067403</v>
      </c>
      <c r="AY43" s="175">
        <f>(AY41-AY29-AY202)*AY82</f>
        <v>113.69609851398542</v>
      </c>
      <c r="AZ43" s="175">
        <f>(AZ41-AZ29-AZ202)*AZ82</f>
        <v>235.13590545778905</v>
      </c>
      <c r="BA43" s="176">
        <f>(BA41-BA29-BA202)*BA82</f>
        <v>64.603340576861029</v>
      </c>
      <c r="BB43" s="107">
        <f>SUM(AX43:BA43)</f>
        <v>514.86165951930946</v>
      </c>
      <c r="BC43" s="174">
        <f>(BC41-BC29-BC202)*BC82</f>
        <v>110.49952039842044</v>
      </c>
      <c r="BD43" s="175">
        <f>(BD41-BD29-BD202)*BD82</f>
        <v>132.80603657701263</v>
      </c>
      <c r="BE43" s="175">
        <f>(BE41-BE29-BE202)*BE82</f>
        <v>245.25803883730833</v>
      </c>
      <c r="BF43" s="176">
        <f>(BF41-BF29-BF202)*BF82</f>
        <v>76.362804710907412</v>
      </c>
      <c r="BG43" s="107">
        <f>SUM(BC43:BF43)</f>
        <v>564.92640052364879</v>
      </c>
      <c r="BH43" s="174">
        <f>(BH41-BH29-BH202)*BH82</f>
        <v>122.80924785107601</v>
      </c>
      <c r="BI43" s="175">
        <f>(BI41-BI29-BI202)*BI82</f>
        <v>144.81902407253955</v>
      </c>
      <c r="BJ43" s="175">
        <f>(BJ41-BJ29-BJ202)*BJ82</f>
        <v>254.7018185172935</v>
      </c>
      <c r="BK43" s="176">
        <f>(BK41-BK29-BK202)*BK82</f>
        <v>89.58965596872936</v>
      </c>
      <c r="BL43" s="107">
        <f>SUM(BH43:BK43)</f>
        <v>611.91974640963849</v>
      </c>
      <c r="BM43" s="174">
        <f>(BM41-BM29-BM202)*BM82</f>
        <v>133.12410929664705</v>
      </c>
      <c r="BN43" s="175">
        <f>(BN41-BN29-BN202)*BN82</f>
        <v>155.82023539946849</v>
      </c>
      <c r="BO43" s="175">
        <f>(BO41-BO29-BO202)*BO82</f>
        <v>260.62525058245586</v>
      </c>
      <c r="BP43" s="176">
        <f>(BP41-BP29-BP202)*BP82</f>
        <v>97.810470387730035</v>
      </c>
      <c r="BQ43" s="107">
        <f>SUM(BM43:BP43)</f>
        <v>647.38006566630133</v>
      </c>
      <c r="BR43" s="19"/>
      <c r="BS43" s="19"/>
      <c r="BT43" s="19"/>
      <c r="BU43" s="19"/>
      <c r="BV43" s="1718"/>
      <c r="BW43" s="1718"/>
    </row>
    <row r="44" spans="1:75">
      <c r="A44" s="320"/>
      <c r="B44" s="320"/>
      <c r="C44" s="129"/>
      <c r="D44" s="320"/>
      <c r="E44" s="319"/>
      <c r="F44" s="316"/>
      <c r="G44" s="316"/>
      <c r="H44" s="251"/>
      <c r="I44" s="107"/>
      <c r="J44" s="183"/>
      <c r="K44" s="184"/>
      <c r="L44" s="184"/>
      <c r="M44" s="251"/>
      <c r="N44" s="107"/>
      <c r="O44" s="183"/>
      <c r="P44" s="184"/>
      <c r="Q44" s="184"/>
      <c r="R44" s="251"/>
      <c r="S44" s="107"/>
      <c r="T44" s="183"/>
      <c r="U44" s="184"/>
      <c r="V44" s="184"/>
      <c r="W44" s="251"/>
      <c r="X44" s="107"/>
      <c r="Y44" s="183"/>
      <c r="Z44" s="184"/>
      <c r="AA44" s="184"/>
      <c r="AB44" s="251"/>
      <c r="AC44" s="107"/>
      <c r="AD44" s="183"/>
      <c r="AE44" s="184"/>
      <c r="AF44" s="184"/>
      <c r="AG44" s="251"/>
      <c r="AH44" s="107"/>
      <c r="AI44" s="183"/>
      <c r="AJ44" s="184"/>
      <c r="AK44" s="184"/>
      <c r="AL44" s="251"/>
      <c r="AM44" s="107"/>
      <c r="AN44" s="183"/>
      <c r="AO44" s="184"/>
      <c r="AP44" s="184"/>
      <c r="AQ44" s="251"/>
      <c r="AR44" s="107"/>
      <c r="AS44" s="183"/>
      <c r="AT44" s="175"/>
      <c r="AU44" s="175"/>
      <c r="AV44" s="251"/>
      <c r="AW44" s="107"/>
      <c r="AX44" s="174"/>
      <c r="AY44" s="175"/>
      <c r="AZ44" s="175"/>
      <c r="BA44" s="176"/>
      <c r="BB44" s="107"/>
      <c r="BC44" s="174"/>
      <c r="BD44" s="175"/>
      <c r="BE44" s="175"/>
      <c r="BF44" s="176"/>
      <c r="BG44" s="107"/>
      <c r="BH44" s="174"/>
      <c r="BI44" s="175"/>
      <c r="BJ44" s="175"/>
      <c r="BK44" s="176"/>
      <c r="BL44" s="107"/>
      <c r="BM44" s="174"/>
      <c r="BN44" s="175"/>
      <c r="BO44" s="175"/>
      <c r="BP44" s="176"/>
      <c r="BQ44" s="107"/>
      <c r="BR44" s="19"/>
      <c r="BS44" s="19"/>
      <c r="BT44" s="19"/>
      <c r="BU44" s="19"/>
      <c r="BV44" s="19"/>
    </row>
    <row r="45" spans="1:75">
      <c r="A45" s="327"/>
      <c r="B45" s="327"/>
      <c r="C45" s="1173" t="s">
        <v>233</v>
      </c>
      <c r="D45" s="327"/>
      <c r="E45" s="335">
        <f>E41-E43</f>
        <v>115.96799999999976</v>
      </c>
      <c r="F45" s="336">
        <f t="shared" ref="F45:AS45" si="113">F41-F43</f>
        <v>151.5750000000001</v>
      </c>
      <c r="G45" s="336">
        <f t="shared" si="113"/>
        <v>299.089</v>
      </c>
      <c r="H45" s="247">
        <f t="shared" si="113"/>
        <v>142.2730000000002</v>
      </c>
      <c r="I45" s="110">
        <f t="shared" si="113"/>
        <v>708.90500000000088</v>
      </c>
      <c r="J45" s="180">
        <f t="shared" si="113"/>
        <v>142.96999999999954</v>
      </c>
      <c r="K45" s="181">
        <f t="shared" si="113"/>
        <v>230.1730000000002</v>
      </c>
      <c r="L45" s="181">
        <f t="shared" si="113"/>
        <v>337.9409999999998</v>
      </c>
      <c r="M45" s="247">
        <f>M41-M43</f>
        <v>118.63400000000091</v>
      </c>
      <c r="N45" s="110">
        <f t="shared" si="113"/>
        <v>829.71799999999973</v>
      </c>
      <c r="O45" s="180">
        <f t="shared" si="113"/>
        <v>168.65299999999996</v>
      </c>
      <c r="P45" s="181">
        <f t="shared" si="113"/>
        <v>252.74099999999993</v>
      </c>
      <c r="Q45" s="181">
        <f t="shared" si="113"/>
        <v>528.45899999999961</v>
      </c>
      <c r="R45" s="247">
        <f t="shared" si="113"/>
        <v>174.01299999999989</v>
      </c>
      <c r="S45" s="110">
        <f t="shared" si="113"/>
        <v>1123.8659999999993</v>
      </c>
      <c r="T45" s="180">
        <f t="shared" si="113"/>
        <v>67.212000000000302</v>
      </c>
      <c r="U45" s="181">
        <f>U41-U43</f>
        <v>308.5249999999993</v>
      </c>
      <c r="V45" s="181">
        <f>V41-V43</f>
        <v>300.50600000000009</v>
      </c>
      <c r="W45" s="247">
        <f>W41-W43</f>
        <v>284.07900000000109</v>
      </c>
      <c r="X45" s="110">
        <f>X41-X43</f>
        <v>960.32199999999943</v>
      </c>
      <c r="Y45" s="180">
        <f t="shared" si="113"/>
        <v>127.83499999999968</v>
      </c>
      <c r="Z45" s="181">
        <f t="shared" ref="Z45:AE45" si="114">Z41-Z43</f>
        <v>200.5549999999995</v>
      </c>
      <c r="AA45" s="181">
        <f t="shared" si="114"/>
        <v>352.30300000000011</v>
      </c>
      <c r="AB45" s="247">
        <f t="shared" si="114"/>
        <v>165.52200000000138</v>
      </c>
      <c r="AC45" s="110">
        <f t="shared" si="114"/>
        <v>846.21500000000128</v>
      </c>
      <c r="AD45" s="180">
        <f t="shared" si="114"/>
        <v>205.43999999999969</v>
      </c>
      <c r="AE45" s="181">
        <f t="shared" si="114"/>
        <v>212.1339999999999</v>
      </c>
      <c r="AF45" s="181">
        <f t="shared" ref="AF45:AJ45" si="115">AF41-AF43</f>
        <v>315.26299999999969</v>
      </c>
      <c r="AG45" s="247">
        <f t="shared" si="115"/>
        <v>113.65900000000013</v>
      </c>
      <c r="AH45" s="110">
        <f t="shared" si="115"/>
        <v>846.49599999999975</v>
      </c>
      <c r="AI45" s="180">
        <f t="shared" si="115"/>
        <v>227.74999999999952</v>
      </c>
      <c r="AJ45" s="181">
        <f t="shared" si="115"/>
        <v>204.0350000000002</v>
      </c>
      <c r="AK45" s="181">
        <f t="shared" ref="AK45:AO45" si="116">AK41-AK43</f>
        <v>364.26500000000038</v>
      </c>
      <c r="AL45" s="247">
        <f t="shared" si="116"/>
        <v>318.46599999999989</v>
      </c>
      <c r="AM45" s="110">
        <f t="shared" si="116"/>
        <v>1114.5160000000003</v>
      </c>
      <c r="AN45" s="180">
        <f t="shared" si="116"/>
        <v>199.65100000000007</v>
      </c>
      <c r="AO45" s="181">
        <f t="shared" si="116"/>
        <v>380.31700000000029</v>
      </c>
      <c r="AP45" s="181">
        <f t="shared" si="113"/>
        <v>447.78199999999998</v>
      </c>
      <c r="AQ45" s="247">
        <f t="shared" si="113"/>
        <v>123.38300000000032</v>
      </c>
      <c r="AR45" s="110">
        <f t="shared" si="113"/>
        <v>1151.133</v>
      </c>
      <c r="AS45" s="180">
        <f t="shared" si="113"/>
        <v>167.62299999999982</v>
      </c>
      <c r="AT45" s="181">
        <f t="shared" ref="AT45:BB45" si="117">AT41-AT43</f>
        <v>246.38199999999972</v>
      </c>
      <c r="AU45" s="181">
        <f t="shared" si="117"/>
        <v>403.73300000000023</v>
      </c>
      <c r="AV45" s="247">
        <f t="shared" si="117"/>
        <v>-44.589999999999009</v>
      </c>
      <c r="AW45" s="110">
        <f t="shared" si="117"/>
        <v>773.14799999999923</v>
      </c>
      <c r="AX45" s="180">
        <f t="shared" si="117"/>
        <v>219.12671095394666</v>
      </c>
      <c r="AY45" s="181">
        <f t="shared" si="117"/>
        <v>239.14583147198101</v>
      </c>
      <c r="AZ45" s="181">
        <f t="shared" si="117"/>
        <v>437.28446385397638</v>
      </c>
      <c r="BA45" s="182">
        <f t="shared" si="117"/>
        <v>159.04712115351489</v>
      </c>
      <c r="BB45" s="110">
        <f t="shared" si="117"/>
        <v>1054.6041274334211</v>
      </c>
      <c r="BC45" s="180">
        <f t="shared" ref="BC45:BL45" si="118">BC41-BC43</f>
        <v>231.99167114796114</v>
      </c>
      <c r="BD45" s="181">
        <f t="shared" si="118"/>
        <v>268.38651333408529</v>
      </c>
      <c r="BE45" s="181">
        <f t="shared" si="118"/>
        <v>451.86083281140981</v>
      </c>
      <c r="BF45" s="182">
        <f t="shared" si="118"/>
        <v>176.29492449991352</v>
      </c>
      <c r="BG45" s="110">
        <f t="shared" si="118"/>
        <v>1128.5339417933715</v>
      </c>
      <c r="BH45" s="180">
        <f t="shared" si="118"/>
        <v>249.72183880471613</v>
      </c>
      <c r="BI45" s="181">
        <f t="shared" si="118"/>
        <v>285.63252632394614</v>
      </c>
      <c r="BJ45" s="181">
        <f t="shared" si="118"/>
        <v>464.91498041801833</v>
      </c>
      <c r="BK45" s="182">
        <f t="shared" si="118"/>
        <v>195.52145204930844</v>
      </c>
      <c r="BL45" s="110">
        <f t="shared" si="118"/>
        <v>1195.7907975959886</v>
      </c>
      <c r="BM45" s="180">
        <f t="shared" ref="BM45:BQ45" si="119">BM41-BM43</f>
        <v>268.39772174342295</v>
      </c>
      <c r="BN45" s="181">
        <f t="shared" si="119"/>
        <v>305.42824327960523</v>
      </c>
      <c r="BO45" s="181">
        <f t="shared" si="119"/>
        <v>476.42589963079519</v>
      </c>
      <c r="BP45" s="182">
        <f t="shared" si="119"/>
        <v>210.78073194466356</v>
      </c>
      <c r="BQ45" s="110">
        <f t="shared" si="119"/>
        <v>1261.0325965984864</v>
      </c>
      <c r="BR45" s="19"/>
      <c r="BS45" s="1718"/>
      <c r="BT45" s="19"/>
      <c r="BU45" s="19"/>
      <c r="BV45" s="19"/>
    </row>
    <row r="46" spans="1:75">
      <c r="A46" s="320"/>
      <c r="B46" s="320"/>
      <c r="C46" s="129"/>
      <c r="D46" s="320"/>
      <c r="E46" s="324"/>
      <c r="F46" s="325"/>
      <c r="G46" s="325"/>
      <c r="H46" s="251"/>
      <c r="I46" s="107"/>
      <c r="J46" s="174"/>
      <c r="K46" s="175"/>
      <c r="L46" s="175"/>
      <c r="M46" s="251"/>
      <c r="N46" s="107"/>
      <c r="O46" s="174"/>
      <c r="P46" s="175"/>
      <c r="Q46" s="175"/>
      <c r="R46" s="251"/>
      <c r="S46" s="107"/>
      <c r="T46" s="174"/>
      <c r="U46" s="175"/>
      <c r="V46" s="175"/>
      <c r="W46" s="251"/>
      <c r="X46" s="107"/>
      <c r="Y46" s="174"/>
      <c r="Z46" s="175"/>
      <c r="AA46" s="175"/>
      <c r="AB46" s="251"/>
      <c r="AC46" s="107"/>
      <c r="AD46" s="174"/>
      <c r="AE46" s="175"/>
      <c r="AF46" s="175"/>
      <c r="AG46" s="251"/>
      <c r="AH46" s="107"/>
      <c r="AI46" s="174"/>
      <c r="AJ46" s="175"/>
      <c r="AK46" s="175"/>
      <c r="AL46" s="251"/>
      <c r="AM46" s="107"/>
      <c r="AN46" s="174"/>
      <c r="AO46" s="175"/>
      <c r="AP46" s="175"/>
      <c r="AQ46" s="251"/>
      <c r="AR46" s="107"/>
      <c r="AS46" s="174"/>
      <c r="AT46" s="175"/>
      <c r="AU46" s="175"/>
      <c r="AV46" s="251"/>
      <c r="AW46" s="107"/>
      <c r="AX46" s="174"/>
      <c r="AY46" s="175"/>
      <c r="AZ46" s="175"/>
      <c r="BA46" s="176"/>
      <c r="BB46" s="107"/>
      <c r="BC46" s="174"/>
      <c r="BD46" s="175"/>
      <c r="BE46" s="175"/>
      <c r="BF46" s="176"/>
      <c r="BG46" s="107"/>
      <c r="BH46" s="174"/>
      <c r="BI46" s="175"/>
      <c r="BJ46" s="175"/>
      <c r="BK46" s="176"/>
      <c r="BL46" s="107"/>
      <c r="BM46" s="174"/>
      <c r="BN46" s="175"/>
      <c r="BO46" s="175"/>
      <c r="BP46" s="176"/>
      <c r="BQ46" s="107"/>
      <c r="BR46" s="19"/>
      <c r="BS46" s="1718"/>
      <c r="BT46" s="19"/>
      <c r="BU46" s="19"/>
      <c r="BV46" s="19"/>
    </row>
    <row r="47" spans="1:75">
      <c r="A47" s="320"/>
      <c r="B47" s="320"/>
      <c r="C47" s="129" t="s">
        <v>355</v>
      </c>
      <c r="D47" s="320"/>
      <c r="E47" s="405">
        <v>-4.3330000000000002</v>
      </c>
      <c r="F47" s="406">
        <v>-4.3319999999999999</v>
      </c>
      <c r="G47" s="406">
        <v>-4.3319999999999999</v>
      </c>
      <c r="H47" s="251">
        <f>I47-SUM(E47:G47)</f>
        <v>-4.3320000000000007</v>
      </c>
      <c r="I47" s="348">
        <v>-17.329000000000001</v>
      </c>
      <c r="J47" s="393">
        <v>-4.3319999999999999</v>
      </c>
      <c r="K47" s="190">
        <v>-4.3339999999999996</v>
      </c>
      <c r="L47" s="190">
        <v>-4.3319999999999999</v>
      </c>
      <c r="M47" s="251">
        <f>N47-SUM(J47:L47)</f>
        <v>-4.3329999999999984</v>
      </c>
      <c r="N47" s="348">
        <v>-17.331</v>
      </c>
      <c r="O47" s="393">
        <v>-4.3319999999999999</v>
      </c>
      <c r="P47" s="190">
        <v>-4.3319999999999999</v>
      </c>
      <c r="Q47" s="190">
        <v>-4.3319999999999999</v>
      </c>
      <c r="R47" s="251">
        <f>S47-SUM(O47:Q47)</f>
        <v>-4.333000000000002</v>
      </c>
      <c r="S47" s="348">
        <v>-17.329000000000001</v>
      </c>
      <c r="T47" s="393">
        <v>-4.3319999999999999</v>
      </c>
      <c r="U47" s="190">
        <v>-4.3319999999999999</v>
      </c>
      <c r="V47" s="190">
        <v>-4.3319999999999999</v>
      </c>
      <c r="W47" s="251">
        <f>X47-SUM(T47:V47)</f>
        <v>-4.333000000000002</v>
      </c>
      <c r="X47" s="348">
        <v>-17.329000000000001</v>
      </c>
      <c r="Y47" s="393">
        <v>-4.3319999999999999</v>
      </c>
      <c r="Z47" s="190">
        <v>-4.3319999999999999</v>
      </c>
      <c r="AA47" s="190">
        <v>-4.3319999999999999</v>
      </c>
      <c r="AB47" s="251">
        <f>AC47-SUM(Y47:AA47)</f>
        <v>-4.333000000000002</v>
      </c>
      <c r="AC47" s="348">
        <v>-17.329000000000001</v>
      </c>
      <c r="AD47" s="393">
        <v>-4.3319999999999999</v>
      </c>
      <c r="AE47" s="190">
        <v>-4.351</v>
      </c>
      <c r="AF47" s="190">
        <v>-4.3319999999999999</v>
      </c>
      <c r="AG47" s="251">
        <f>AH47-SUM(AD47:AF47)</f>
        <v>-4.3329999999999984</v>
      </c>
      <c r="AH47" s="348">
        <v>-17.347999999999999</v>
      </c>
      <c r="AI47" s="393">
        <v>-4.3319999999999999</v>
      </c>
      <c r="AJ47" s="190">
        <v>-4.3319999999999999</v>
      </c>
      <c r="AK47" s="190">
        <v>-4.2469999999999999</v>
      </c>
      <c r="AL47" s="251">
        <f>AM47-SUM(AI47:AK47)</f>
        <v>-4.7299999999999986</v>
      </c>
      <c r="AM47" s="348">
        <v>-17.640999999999998</v>
      </c>
      <c r="AN47" s="393">
        <v>-4.7290000000000001</v>
      </c>
      <c r="AO47" s="190">
        <v>-4.7290000000000001</v>
      </c>
      <c r="AP47" s="190">
        <v>-4.4870000000000001</v>
      </c>
      <c r="AQ47" s="251">
        <f>AR47-SUM(AN47:AP47)</f>
        <v>-2.9830000000000005</v>
      </c>
      <c r="AR47" s="348">
        <v>-16.928000000000001</v>
      </c>
      <c r="AS47" s="393">
        <v>-2.899</v>
      </c>
      <c r="AT47" s="190">
        <v>-2.899</v>
      </c>
      <c r="AU47" s="190">
        <v>-2.899</v>
      </c>
      <c r="AV47" s="251">
        <f>AW47-SUM(AS47:AU47)</f>
        <v>-2.8560000000000016</v>
      </c>
      <c r="AW47" s="348">
        <v>-11.553000000000001</v>
      </c>
      <c r="AX47" s="197">
        <f>AS47</f>
        <v>-2.899</v>
      </c>
      <c r="AY47" s="198">
        <f>AT47</f>
        <v>-2.899</v>
      </c>
      <c r="AZ47" s="198">
        <f>AU47</f>
        <v>-2.899</v>
      </c>
      <c r="BA47" s="193">
        <f>AV47</f>
        <v>-2.8560000000000016</v>
      </c>
      <c r="BB47" s="107">
        <f>SUM(AX47:BA47)</f>
        <v>-11.553000000000001</v>
      </c>
      <c r="BC47" s="197">
        <f>AX47</f>
        <v>-2.899</v>
      </c>
      <c r="BD47" s="198">
        <f>AY47</f>
        <v>-2.899</v>
      </c>
      <c r="BE47" s="198">
        <f>AZ47</f>
        <v>-2.899</v>
      </c>
      <c r="BF47" s="193">
        <f>BA47</f>
        <v>-2.8560000000000016</v>
      </c>
      <c r="BG47" s="107">
        <f>SUM(BC47:BF47)</f>
        <v>-11.553000000000001</v>
      </c>
      <c r="BH47" s="197">
        <f>BC47</f>
        <v>-2.899</v>
      </c>
      <c r="BI47" s="198">
        <f>BD47</f>
        <v>-2.899</v>
      </c>
      <c r="BJ47" s="198">
        <f>BE47</f>
        <v>-2.899</v>
      </c>
      <c r="BK47" s="193">
        <f>BF47</f>
        <v>-2.8560000000000016</v>
      </c>
      <c r="BL47" s="107">
        <f>SUM(BH47:BK47)</f>
        <v>-11.553000000000001</v>
      </c>
      <c r="BM47" s="197">
        <f>BH47</f>
        <v>-2.899</v>
      </c>
      <c r="BN47" s="198">
        <f>BI47</f>
        <v>-2.899</v>
      </c>
      <c r="BO47" s="198">
        <f>BJ47</f>
        <v>-2.899</v>
      </c>
      <c r="BP47" s="193">
        <f>BK47</f>
        <v>-2.8560000000000016</v>
      </c>
      <c r="BQ47" s="107">
        <f>SUM(BM47:BP47)</f>
        <v>-11.553000000000001</v>
      </c>
      <c r="BR47" s="19"/>
      <c r="BS47" s="1718"/>
      <c r="BT47" s="19"/>
      <c r="BU47" s="19"/>
      <c r="BV47" s="19"/>
    </row>
    <row r="48" spans="1:75">
      <c r="A48" s="320"/>
      <c r="B48" s="320"/>
      <c r="C48" s="129"/>
      <c r="D48" s="320"/>
      <c r="E48" s="319"/>
      <c r="F48" s="316"/>
      <c r="G48" s="316"/>
      <c r="H48" s="193"/>
      <c r="I48" s="107"/>
      <c r="J48" s="183"/>
      <c r="K48" s="184"/>
      <c r="L48" s="184"/>
      <c r="M48" s="193"/>
      <c r="N48" s="107"/>
      <c r="O48" s="183"/>
      <c r="P48" s="184"/>
      <c r="Q48" s="184"/>
      <c r="R48" s="193"/>
      <c r="S48" s="107"/>
      <c r="T48" s="183"/>
      <c r="U48" s="184"/>
      <c r="V48" s="184"/>
      <c r="W48" s="193"/>
      <c r="X48" s="107"/>
      <c r="Y48" s="183"/>
      <c r="Z48" s="184"/>
      <c r="AA48" s="184"/>
      <c r="AB48" s="193"/>
      <c r="AC48" s="107"/>
      <c r="AD48" s="183"/>
      <c r="AE48" s="184"/>
      <c r="AF48" s="184"/>
      <c r="AG48" s="193"/>
      <c r="AH48" s="107"/>
      <c r="AI48" s="183"/>
      <c r="AJ48" s="184"/>
      <c r="AK48" s="184"/>
      <c r="AL48" s="193"/>
      <c r="AM48" s="107"/>
      <c r="AN48" s="183"/>
      <c r="AO48" s="184"/>
      <c r="AP48" s="184"/>
      <c r="AQ48" s="193"/>
      <c r="AR48" s="107"/>
      <c r="AS48" s="183"/>
      <c r="AT48" s="198"/>
      <c r="AU48" s="198"/>
      <c r="AV48" s="193"/>
      <c r="AW48" s="107"/>
      <c r="AX48" s="197"/>
      <c r="AY48" s="198"/>
      <c r="AZ48" s="198"/>
      <c r="BA48" s="193"/>
      <c r="BB48" s="107"/>
      <c r="BC48" s="197"/>
      <c r="BD48" s="198"/>
      <c r="BE48" s="198"/>
      <c r="BF48" s="193"/>
      <c r="BG48" s="107"/>
      <c r="BH48" s="197"/>
      <c r="BI48" s="198"/>
      <c r="BJ48" s="198"/>
      <c r="BK48" s="193"/>
      <c r="BL48" s="107"/>
      <c r="BM48" s="197"/>
      <c r="BN48" s="198"/>
      <c r="BO48" s="198"/>
      <c r="BP48" s="193"/>
      <c r="BQ48" s="107"/>
      <c r="BR48" s="19"/>
      <c r="BS48" s="19"/>
      <c r="BT48" s="19"/>
      <c r="BU48" s="19"/>
      <c r="BV48" s="19"/>
    </row>
    <row r="49" spans="1:74">
      <c r="A49" s="327"/>
      <c r="B49" s="327"/>
      <c r="C49" s="1173" t="s">
        <v>234</v>
      </c>
      <c r="D49" s="327"/>
      <c r="E49" s="335">
        <f>E45+E47</f>
        <v>111.63499999999976</v>
      </c>
      <c r="F49" s="336">
        <f t="shared" ref="F49:AR49" si="120">F45+F47</f>
        <v>147.24300000000011</v>
      </c>
      <c r="G49" s="336">
        <f t="shared" si="120"/>
        <v>294.75700000000001</v>
      </c>
      <c r="H49" s="182">
        <f t="shared" si="120"/>
        <v>137.9410000000002</v>
      </c>
      <c r="I49" s="110">
        <f t="shared" si="120"/>
        <v>691.57600000000093</v>
      </c>
      <c r="J49" s="180">
        <f t="shared" si="120"/>
        <v>138.63799999999955</v>
      </c>
      <c r="K49" s="181">
        <f t="shared" si="120"/>
        <v>225.8390000000002</v>
      </c>
      <c r="L49" s="181">
        <f t="shared" si="120"/>
        <v>333.60899999999981</v>
      </c>
      <c r="M49" s="182">
        <f>M45+M47</f>
        <v>114.30100000000091</v>
      </c>
      <c r="N49" s="110">
        <f t="shared" si="120"/>
        <v>812.38699999999972</v>
      </c>
      <c r="O49" s="180">
        <f t="shared" si="120"/>
        <v>164.32099999999997</v>
      </c>
      <c r="P49" s="181">
        <f t="shared" si="120"/>
        <v>248.40899999999993</v>
      </c>
      <c r="Q49" s="181">
        <f t="shared" si="120"/>
        <v>524.12699999999961</v>
      </c>
      <c r="R49" s="182">
        <f t="shared" si="120"/>
        <v>169.67999999999989</v>
      </c>
      <c r="S49" s="110">
        <f t="shared" si="120"/>
        <v>1106.5369999999994</v>
      </c>
      <c r="T49" s="180">
        <f t="shared" si="120"/>
        <v>62.880000000000301</v>
      </c>
      <c r="U49" s="181">
        <f>U45+U47</f>
        <v>304.1929999999993</v>
      </c>
      <c r="V49" s="181">
        <f>V45+V47</f>
        <v>296.17400000000009</v>
      </c>
      <c r="W49" s="182">
        <f>W45+W47</f>
        <v>279.74600000000106</v>
      </c>
      <c r="X49" s="110">
        <f>X45+X47</f>
        <v>942.99299999999948</v>
      </c>
      <c r="Y49" s="180">
        <f t="shared" si="120"/>
        <v>123.50299999999969</v>
      </c>
      <c r="Z49" s="181">
        <f t="shared" ref="Z49:AE49" si="121">Z45+Z47</f>
        <v>196.2229999999995</v>
      </c>
      <c r="AA49" s="181">
        <f t="shared" si="121"/>
        <v>347.97100000000012</v>
      </c>
      <c r="AB49" s="182">
        <f t="shared" si="121"/>
        <v>161.18900000000139</v>
      </c>
      <c r="AC49" s="110">
        <f t="shared" si="121"/>
        <v>828.88600000000133</v>
      </c>
      <c r="AD49" s="180">
        <f t="shared" si="121"/>
        <v>201.10799999999969</v>
      </c>
      <c r="AE49" s="181">
        <f t="shared" si="121"/>
        <v>207.7829999999999</v>
      </c>
      <c r="AF49" s="181">
        <f t="shared" ref="AF49:AJ49" si="122">AF45+AF47</f>
        <v>310.9309999999997</v>
      </c>
      <c r="AG49" s="182">
        <f t="shared" si="122"/>
        <v>109.32600000000014</v>
      </c>
      <c r="AH49" s="110">
        <f t="shared" si="122"/>
        <v>829.1479999999998</v>
      </c>
      <c r="AI49" s="180">
        <f t="shared" si="122"/>
        <v>223.41799999999952</v>
      </c>
      <c r="AJ49" s="181">
        <f t="shared" si="122"/>
        <v>199.7030000000002</v>
      </c>
      <c r="AK49" s="181">
        <f t="shared" ref="AK49:AM49" si="123">AK45+AK47</f>
        <v>360.01800000000037</v>
      </c>
      <c r="AL49" s="182">
        <f t="shared" si="123"/>
        <v>313.73599999999988</v>
      </c>
      <c r="AM49" s="110">
        <f t="shared" si="123"/>
        <v>1096.8750000000002</v>
      </c>
      <c r="AN49" s="180">
        <f>AN45+AN47</f>
        <v>194.92200000000005</v>
      </c>
      <c r="AO49" s="181">
        <f t="shared" ref="AO49" si="124">AO45+AO47</f>
        <v>375.58800000000031</v>
      </c>
      <c r="AP49" s="181">
        <f t="shared" si="120"/>
        <v>443.29499999999996</v>
      </c>
      <c r="AQ49" s="182">
        <f t="shared" si="120"/>
        <v>120.40000000000032</v>
      </c>
      <c r="AR49" s="110">
        <f t="shared" si="120"/>
        <v>1134.2049999999999</v>
      </c>
      <c r="AS49" s="180">
        <f>AS45+AS47</f>
        <v>164.72399999999982</v>
      </c>
      <c r="AT49" s="181">
        <f t="shared" ref="AT49:BB49" si="125">AT45+AT47</f>
        <v>243.48299999999972</v>
      </c>
      <c r="AU49" s="181">
        <f t="shared" si="125"/>
        <v>400.83400000000023</v>
      </c>
      <c r="AV49" s="182">
        <f t="shared" si="125"/>
        <v>-47.44599999999901</v>
      </c>
      <c r="AW49" s="110">
        <f t="shared" si="125"/>
        <v>761.59499999999923</v>
      </c>
      <c r="AX49" s="180">
        <f t="shared" si="125"/>
        <v>216.22771095394666</v>
      </c>
      <c r="AY49" s="181">
        <f t="shared" si="125"/>
        <v>236.24683147198101</v>
      </c>
      <c r="AZ49" s="181">
        <f t="shared" si="125"/>
        <v>434.38546385397638</v>
      </c>
      <c r="BA49" s="182">
        <f t="shared" si="125"/>
        <v>156.1911211535149</v>
      </c>
      <c r="BB49" s="110">
        <f t="shared" si="125"/>
        <v>1043.051127433421</v>
      </c>
      <c r="BC49" s="180">
        <f t="shared" ref="BC49:BL49" si="126">BC45+BC47</f>
        <v>229.09267114796114</v>
      </c>
      <c r="BD49" s="181">
        <f t="shared" si="126"/>
        <v>265.48751333408529</v>
      </c>
      <c r="BE49" s="181">
        <f t="shared" si="126"/>
        <v>448.96183281140981</v>
      </c>
      <c r="BF49" s="182">
        <f t="shared" si="126"/>
        <v>173.43892449991353</v>
      </c>
      <c r="BG49" s="110">
        <f t="shared" si="126"/>
        <v>1116.9809417933714</v>
      </c>
      <c r="BH49" s="180">
        <f t="shared" si="126"/>
        <v>246.82283880471613</v>
      </c>
      <c r="BI49" s="181">
        <f t="shared" si="126"/>
        <v>282.73352632394614</v>
      </c>
      <c r="BJ49" s="181">
        <f t="shared" si="126"/>
        <v>462.01598041801833</v>
      </c>
      <c r="BK49" s="182">
        <f t="shared" si="126"/>
        <v>192.66545204930844</v>
      </c>
      <c r="BL49" s="110">
        <f t="shared" si="126"/>
        <v>1184.2377975959885</v>
      </c>
      <c r="BM49" s="180">
        <f t="shared" ref="BM49:BQ49" si="127">BM45+BM47</f>
        <v>265.49872174342295</v>
      </c>
      <c r="BN49" s="181">
        <f t="shared" si="127"/>
        <v>302.52924327960523</v>
      </c>
      <c r="BO49" s="181">
        <f t="shared" si="127"/>
        <v>473.52689963079519</v>
      </c>
      <c r="BP49" s="182">
        <f t="shared" si="127"/>
        <v>207.92473194466356</v>
      </c>
      <c r="BQ49" s="110">
        <f t="shared" si="127"/>
        <v>1249.4795965984863</v>
      </c>
      <c r="BR49" s="19"/>
      <c r="BS49" s="1718"/>
      <c r="BT49" s="19"/>
      <c r="BU49" s="19"/>
      <c r="BV49" s="19"/>
    </row>
    <row r="50" spans="1:74">
      <c r="A50" s="320"/>
      <c r="B50" s="320"/>
      <c r="C50" s="129" t="s">
        <v>235</v>
      </c>
      <c r="D50" s="320"/>
      <c r="E50" s="405">
        <v>0</v>
      </c>
      <c r="F50" s="406">
        <v>0</v>
      </c>
      <c r="G50" s="406">
        <v>0</v>
      </c>
      <c r="H50" s="251">
        <f>I50-SUM(E50:G50)</f>
        <v>0</v>
      </c>
      <c r="I50" s="348">
        <v>0</v>
      </c>
      <c r="J50" s="393">
        <v>0</v>
      </c>
      <c r="K50" s="190"/>
      <c r="L50" s="190">
        <v>0</v>
      </c>
      <c r="M50" s="251">
        <f>N50-SUM(J50:L50)</f>
        <v>0</v>
      </c>
      <c r="N50" s="348">
        <v>0</v>
      </c>
      <c r="O50" s="393">
        <v>0</v>
      </c>
      <c r="P50" s="190">
        <v>0</v>
      </c>
      <c r="Q50" s="190">
        <v>0</v>
      </c>
      <c r="R50" s="251">
        <f>S50-SUM(O50:Q50)</f>
        <v>0</v>
      </c>
      <c r="S50" s="348">
        <v>0</v>
      </c>
      <c r="T50" s="393">
        <v>5.8</v>
      </c>
      <c r="U50" s="190">
        <v>9.9</v>
      </c>
      <c r="V50" s="190">
        <v>10.7</v>
      </c>
      <c r="W50" s="251">
        <f>X50-SUM(T50:V50)</f>
        <v>10.700000000000003</v>
      </c>
      <c r="X50" s="348">
        <v>37.1</v>
      </c>
      <c r="Y50" s="393">
        <v>6.3</v>
      </c>
      <c r="Z50" s="190">
        <f>12.2+2.7</f>
        <v>14.899999999999999</v>
      </c>
      <c r="AA50" s="190">
        <f>10.1+5.2</f>
        <v>15.3</v>
      </c>
      <c r="AB50" s="251">
        <f>AC50-SUM(Y50:AA50)</f>
        <v>-7.5</v>
      </c>
      <c r="AC50" s="348">
        <f>8.7+20.3</f>
        <v>29</v>
      </c>
      <c r="AD50" s="393">
        <v>2.2999999999999998</v>
      </c>
      <c r="AE50" s="190">
        <v>3.5</v>
      </c>
      <c r="AF50" s="190">
        <v>0.3</v>
      </c>
      <c r="AG50" s="251">
        <f>AH50-SUM(AD50:AF50)</f>
        <v>1.5</v>
      </c>
      <c r="AH50" s="348">
        <v>7.6</v>
      </c>
      <c r="AI50" s="393">
        <v>0</v>
      </c>
      <c r="AJ50" s="190">
        <v>0</v>
      </c>
      <c r="AK50" s="190">
        <v>0</v>
      </c>
      <c r="AL50" s="251">
        <f>AM50-SUM(AI50:AK50)</f>
        <v>0</v>
      </c>
      <c r="AM50" s="348">
        <v>0</v>
      </c>
      <c r="AN50" s="393">
        <v>0</v>
      </c>
      <c r="AO50" s="190">
        <v>0</v>
      </c>
      <c r="AP50" s="190">
        <v>0</v>
      </c>
      <c r="AQ50" s="251">
        <f>AR50-SUM(AN50:AP50)</f>
        <v>0</v>
      </c>
      <c r="AR50" s="348">
        <v>0</v>
      </c>
      <c r="AS50" s="393">
        <v>0</v>
      </c>
      <c r="AT50" s="190">
        <v>0</v>
      </c>
      <c r="AU50" s="190">
        <v>0</v>
      </c>
      <c r="AV50" s="251">
        <f>AW50-SUM(AS50:AU50)</f>
        <v>180.7</v>
      </c>
      <c r="AW50" s="348">
        <f>-55.5+236.2</f>
        <v>180.7</v>
      </c>
      <c r="AX50" s="393">
        <v>0</v>
      </c>
      <c r="AY50" s="190">
        <v>0</v>
      </c>
      <c r="AZ50" s="190">
        <v>0</v>
      </c>
      <c r="BA50" s="191">
        <v>0</v>
      </c>
      <c r="BB50" s="107">
        <f>SUM(AX50:BA50)</f>
        <v>0</v>
      </c>
      <c r="BC50" s="393">
        <v>0</v>
      </c>
      <c r="BD50" s="190">
        <v>0</v>
      </c>
      <c r="BE50" s="190">
        <v>0</v>
      </c>
      <c r="BF50" s="191">
        <v>0</v>
      </c>
      <c r="BG50" s="107">
        <f>SUM(BC50:BF50)</f>
        <v>0</v>
      </c>
      <c r="BH50" s="393">
        <v>0</v>
      </c>
      <c r="BI50" s="190">
        <v>0</v>
      </c>
      <c r="BJ50" s="190">
        <v>0</v>
      </c>
      <c r="BK50" s="191">
        <v>0</v>
      </c>
      <c r="BL50" s="107">
        <f>SUM(BH50:BK50)</f>
        <v>0</v>
      </c>
      <c r="BM50" s="393">
        <v>0</v>
      </c>
      <c r="BN50" s="190">
        <v>0</v>
      </c>
      <c r="BO50" s="190">
        <v>0</v>
      </c>
      <c r="BP50" s="191">
        <v>0</v>
      </c>
      <c r="BQ50" s="107">
        <f>SUM(BM50:BP50)</f>
        <v>0</v>
      </c>
      <c r="BR50" s="19"/>
      <c r="BS50" s="19"/>
      <c r="BT50" s="19"/>
      <c r="BU50" s="19"/>
      <c r="BV50" s="19"/>
    </row>
    <row r="51" spans="1:74">
      <c r="A51" s="311"/>
      <c r="B51" s="356"/>
      <c r="C51" s="1175" t="s">
        <v>863</v>
      </c>
      <c r="D51" s="312"/>
      <c r="E51" s="413">
        <f>E49+E50</f>
        <v>111.63499999999976</v>
      </c>
      <c r="F51" s="414">
        <f t="shared" ref="F51:AP51" si="128">F49+F50</f>
        <v>147.24300000000011</v>
      </c>
      <c r="G51" s="414">
        <f t="shared" si="128"/>
        <v>294.75700000000001</v>
      </c>
      <c r="H51" s="415">
        <f t="shared" si="128"/>
        <v>137.9410000000002</v>
      </c>
      <c r="I51" s="245">
        <f t="shared" si="128"/>
        <v>691.57600000000093</v>
      </c>
      <c r="J51" s="248">
        <f t="shared" si="128"/>
        <v>138.63799999999955</v>
      </c>
      <c r="K51" s="246">
        <f t="shared" si="128"/>
        <v>225.8390000000002</v>
      </c>
      <c r="L51" s="246">
        <f t="shared" si="128"/>
        <v>333.60899999999981</v>
      </c>
      <c r="M51" s="247">
        <f t="shared" si="128"/>
        <v>114.30100000000091</v>
      </c>
      <c r="N51" s="245">
        <f t="shared" si="128"/>
        <v>812.38699999999972</v>
      </c>
      <c r="O51" s="248">
        <f t="shared" si="128"/>
        <v>164.32099999999997</v>
      </c>
      <c r="P51" s="246">
        <f t="shared" si="128"/>
        <v>248.40899999999993</v>
      </c>
      <c r="Q51" s="246">
        <f t="shared" si="128"/>
        <v>524.12699999999961</v>
      </c>
      <c r="R51" s="247">
        <f t="shared" si="128"/>
        <v>169.67999999999989</v>
      </c>
      <c r="S51" s="245">
        <f t="shared" si="128"/>
        <v>1106.5369999999994</v>
      </c>
      <c r="T51" s="248">
        <f t="shared" si="128"/>
        <v>68.680000000000305</v>
      </c>
      <c r="U51" s="246">
        <f t="shared" si="128"/>
        <v>314.09299999999928</v>
      </c>
      <c r="V51" s="246">
        <f t="shared" si="128"/>
        <v>306.87400000000008</v>
      </c>
      <c r="W51" s="247">
        <f t="shared" si="128"/>
        <v>290.44600000000105</v>
      </c>
      <c r="X51" s="245">
        <f t="shared" si="128"/>
        <v>980.09299999999951</v>
      </c>
      <c r="Y51" s="248">
        <f t="shared" si="128"/>
        <v>129.80299999999968</v>
      </c>
      <c r="Z51" s="246">
        <f t="shared" si="128"/>
        <v>211.12299999999951</v>
      </c>
      <c r="AA51" s="246">
        <f t="shared" si="128"/>
        <v>363.27100000000013</v>
      </c>
      <c r="AB51" s="247">
        <f>AB49+AB50</f>
        <v>153.68900000000139</v>
      </c>
      <c r="AC51" s="245">
        <f>AC49+AC50</f>
        <v>857.88600000000133</v>
      </c>
      <c r="AD51" s="248">
        <f t="shared" si="128"/>
        <v>203.4079999999997</v>
      </c>
      <c r="AE51" s="246">
        <f t="shared" si="128"/>
        <v>211.2829999999999</v>
      </c>
      <c r="AF51" s="246">
        <f t="shared" ref="AF51" si="129">AF49+AF50</f>
        <v>311.23099999999971</v>
      </c>
      <c r="AG51" s="247">
        <f>AG49+AG50</f>
        <v>110.82600000000014</v>
      </c>
      <c r="AH51" s="245">
        <f>AH49+AH50</f>
        <v>836.74799999999982</v>
      </c>
      <c r="AI51" s="248">
        <f t="shared" ref="AI51:AK51" si="130">AI49+AI50</f>
        <v>223.41799999999952</v>
      </c>
      <c r="AJ51" s="246">
        <f t="shared" si="130"/>
        <v>199.7030000000002</v>
      </c>
      <c r="AK51" s="246">
        <f t="shared" si="130"/>
        <v>360.01800000000037</v>
      </c>
      <c r="AL51" s="247">
        <f>AL49+AL50</f>
        <v>313.73599999999988</v>
      </c>
      <c r="AM51" s="245">
        <f>AM49+AM50</f>
        <v>1096.8750000000002</v>
      </c>
      <c r="AN51" s="248">
        <f t="shared" ref="AN51:AO51" si="131">AN49+AN50</f>
        <v>194.92200000000005</v>
      </c>
      <c r="AO51" s="246">
        <f t="shared" si="131"/>
        <v>375.58800000000031</v>
      </c>
      <c r="AP51" s="246">
        <f t="shared" si="128"/>
        <v>443.29499999999996</v>
      </c>
      <c r="AQ51" s="247">
        <f>AQ49+AQ50</f>
        <v>120.40000000000032</v>
      </c>
      <c r="AR51" s="245">
        <f>AR49+AR50</f>
        <v>1134.2049999999999</v>
      </c>
      <c r="AS51" s="248">
        <f t="shared" ref="AS51" si="132">AS49+AS50</f>
        <v>164.72399999999982</v>
      </c>
      <c r="AT51" s="246">
        <f t="shared" ref="AT51:BB51" si="133">AT49+AT50</f>
        <v>243.48299999999972</v>
      </c>
      <c r="AU51" s="246">
        <f t="shared" ref="AU51" si="134">AU49+AU50</f>
        <v>400.83400000000023</v>
      </c>
      <c r="AV51" s="247">
        <f>AV49+AV50</f>
        <v>133.25400000000099</v>
      </c>
      <c r="AW51" s="245">
        <f>AW49+AW50</f>
        <v>942.29499999999916</v>
      </c>
      <c r="AX51" s="248">
        <f t="shared" si="133"/>
        <v>216.22771095394666</v>
      </c>
      <c r="AY51" s="246">
        <f t="shared" si="133"/>
        <v>236.24683147198101</v>
      </c>
      <c r="AZ51" s="246">
        <f t="shared" si="133"/>
        <v>434.38546385397638</v>
      </c>
      <c r="BA51" s="247">
        <f t="shared" si="133"/>
        <v>156.1911211535149</v>
      </c>
      <c r="BB51" s="245">
        <f t="shared" si="133"/>
        <v>1043.051127433421</v>
      </c>
      <c r="BC51" s="248">
        <f t="shared" ref="BC51:BL51" si="135">BC49+BC50</f>
        <v>229.09267114796114</v>
      </c>
      <c r="BD51" s="246">
        <f t="shared" si="135"/>
        <v>265.48751333408529</v>
      </c>
      <c r="BE51" s="246">
        <f t="shared" si="135"/>
        <v>448.96183281140981</v>
      </c>
      <c r="BF51" s="247">
        <f t="shared" si="135"/>
        <v>173.43892449991353</v>
      </c>
      <c r="BG51" s="245">
        <f t="shared" si="135"/>
        <v>1116.9809417933714</v>
      </c>
      <c r="BH51" s="248">
        <f t="shared" si="135"/>
        <v>246.82283880471613</v>
      </c>
      <c r="BI51" s="246">
        <f t="shared" si="135"/>
        <v>282.73352632394614</v>
      </c>
      <c r="BJ51" s="246">
        <f t="shared" si="135"/>
        <v>462.01598041801833</v>
      </c>
      <c r="BK51" s="247">
        <f t="shared" si="135"/>
        <v>192.66545204930844</v>
      </c>
      <c r="BL51" s="245">
        <f t="shared" si="135"/>
        <v>1184.2377975959885</v>
      </c>
      <c r="BM51" s="248">
        <f t="shared" ref="BM51:BQ51" si="136">BM49+BM50</f>
        <v>265.49872174342295</v>
      </c>
      <c r="BN51" s="246">
        <f t="shared" si="136"/>
        <v>302.52924327960523</v>
      </c>
      <c r="BO51" s="246">
        <f t="shared" si="136"/>
        <v>473.52689963079519</v>
      </c>
      <c r="BP51" s="247">
        <f t="shared" si="136"/>
        <v>207.92473194466356</v>
      </c>
      <c r="BQ51" s="245">
        <f t="shared" si="136"/>
        <v>1249.4795965984863</v>
      </c>
    </row>
    <row r="52" spans="1:74">
      <c r="A52" s="320"/>
      <c r="B52" s="320"/>
      <c r="C52" s="1173"/>
      <c r="D52" s="320"/>
      <c r="E52" s="324"/>
      <c r="F52" s="325"/>
      <c r="G52" s="325"/>
      <c r="H52" s="326"/>
      <c r="I52" s="566"/>
      <c r="J52" s="174"/>
      <c r="K52" s="175"/>
      <c r="L52" s="175"/>
      <c r="M52" s="176"/>
      <c r="N52" s="107"/>
      <c r="O52" s="174"/>
      <c r="P52" s="175"/>
      <c r="Q52" s="175"/>
      <c r="R52" s="176"/>
      <c r="S52" s="107"/>
      <c r="T52" s="174"/>
      <c r="U52" s="175"/>
      <c r="V52" s="175"/>
      <c r="W52" s="176"/>
      <c r="X52" s="107"/>
      <c r="Y52" s="174"/>
      <c r="Z52" s="175"/>
      <c r="AA52" s="175"/>
      <c r="AB52" s="176"/>
      <c r="AC52" s="107"/>
      <c r="AD52" s="174"/>
      <c r="AE52" s="175"/>
      <c r="AF52" s="175"/>
      <c r="AG52" s="176"/>
      <c r="AH52" s="107"/>
      <c r="AI52" s="1727"/>
      <c r="AJ52" s="175"/>
      <c r="AK52" s="175"/>
      <c r="AL52" s="176"/>
      <c r="AM52" s="107"/>
      <c r="AN52" s="1727"/>
      <c r="AO52" s="175"/>
      <c r="AP52" s="175"/>
      <c r="AQ52" s="176"/>
      <c r="AR52" s="107"/>
      <c r="AS52" s="393"/>
      <c r="AT52" s="190"/>
      <c r="AU52" s="190"/>
      <c r="AV52" s="251"/>
      <c r="AW52" s="107"/>
      <c r="AX52" s="174"/>
      <c r="AY52" s="175"/>
      <c r="AZ52" s="175"/>
      <c r="BA52" s="176"/>
      <c r="BB52" s="107"/>
      <c r="BC52" s="174"/>
      <c r="BD52" s="175"/>
      <c r="BE52" s="175"/>
      <c r="BF52" s="176"/>
      <c r="BG52" s="107"/>
      <c r="BH52" s="174"/>
      <c r="BI52" s="175"/>
      <c r="BJ52" s="175"/>
      <c r="BK52" s="176"/>
      <c r="BL52" s="107"/>
      <c r="BM52" s="174"/>
      <c r="BN52" s="175"/>
      <c r="BO52" s="175"/>
      <c r="BP52" s="176"/>
      <c r="BQ52" s="107"/>
    </row>
    <row r="53" spans="1:74">
      <c r="A53" s="320"/>
      <c r="B53" s="320"/>
      <c r="C53" s="1174" t="s">
        <v>356</v>
      </c>
      <c r="D53" s="320"/>
      <c r="E53" s="332">
        <f>+ETR!E46</f>
        <v>192.59360100000001</v>
      </c>
      <c r="F53" s="333">
        <f>+ETR!F46</f>
        <v>196.10500200000001</v>
      </c>
      <c r="G53" s="333">
        <f>+ETR!G46</f>
        <v>193.424904</v>
      </c>
      <c r="H53" s="334">
        <f>+ETR!H46</f>
        <v>176.16176899999999</v>
      </c>
      <c r="I53" s="44">
        <f>+ETR!I46</f>
        <v>192.31474549999999</v>
      </c>
      <c r="J53" s="177">
        <f>+ETR!J46</f>
        <v>189.202</v>
      </c>
      <c r="K53" s="178">
        <f>+ETR!K46</f>
        <v>188.77624</v>
      </c>
      <c r="L53" s="178">
        <f>+ETR!L46</f>
        <v>185.96243000000001</v>
      </c>
      <c r="M53" s="179">
        <f>+ETR!M46</f>
        <v>176.16176899999999</v>
      </c>
      <c r="N53" s="44">
        <f>+ETR!N46</f>
        <v>186.71517499999999</v>
      </c>
      <c r="O53" s="177">
        <f>+ETR!O46</f>
        <v>178.83434249999999</v>
      </c>
      <c r="P53" s="178">
        <f>+ETR!P46</f>
        <v>177.80799999999999</v>
      </c>
      <c r="Q53" s="178">
        <f>+ETR!Q46</f>
        <v>176.950469</v>
      </c>
      <c r="R53" s="179">
        <f>+ETR!R46</f>
        <v>176.16176899999999</v>
      </c>
      <c r="S53" s="44">
        <f>+ETR!S46</f>
        <v>177.43020799999999</v>
      </c>
      <c r="T53" s="177">
        <f>+ETR!T46</f>
        <v>176.865363</v>
      </c>
      <c r="U53" s="178">
        <f>+ETR!U46</f>
        <v>177.16651899999999</v>
      </c>
      <c r="V53" s="178">
        <f>+ETR!V46</f>
        <v>177.51784599999999</v>
      </c>
      <c r="W53" s="179">
        <f>+ETR!W46</f>
        <v>177.67249100000001</v>
      </c>
      <c r="X53" s="44">
        <f>+ETR!X46</f>
        <v>177.32481300000001</v>
      </c>
      <c r="Y53" s="177">
        <f>+ETR!Y46</f>
        <v>178.027961</v>
      </c>
      <c r="Z53" s="178">
        <f>+ETR!Z46</f>
        <v>178.19652500000001</v>
      </c>
      <c r="AA53" s="178">
        <f>+ETR!AA46</f>
        <v>178.28372100000001</v>
      </c>
      <c r="AB53" s="179">
        <f>+ETR!AB46</f>
        <v>178.30597499999999</v>
      </c>
      <c r="AC53" s="44">
        <f>+ETR!AC46</f>
        <v>178.21119200000001</v>
      </c>
      <c r="AD53" s="177">
        <f>+ETR!AD46</f>
        <v>178.79782900000001</v>
      </c>
      <c r="AE53" s="178">
        <f>+ETR!AE46</f>
        <v>179.35410300000001</v>
      </c>
      <c r="AF53" s="178">
        <f>+ETR!AF46</f>
        <v>179.61006699999999</v>
      </c>
      <c r="AG53" s="179">
        <f>+ETR!AG46</f>
        <v>180.245555</v>
      </c>
      <c r="AH53" s="44">
        <f>+ETR!AH46</f>
        <v>179.50615099999999</v>
      </c>
      <c r="AI53" s="177">
        <f>+ETR!AI46</f>
        <v>179.65898100000001</v>
      </c>
      <c r="AJ53" s="178">
        <f>+ETR!AJ46</f>
        <v>179.521276</v>
      </c>
      <c r="AK53" s="178">
        <f>+ETR!AK46</f>
        <v>179.15183200000001</v>
      </c>
      <c r="AL53" s="179">
        <f>+ETR!AL46</f>
        <v>178.387574</v>
      </c>
      <c r="AM53" s="44">
        <f>+ETR!AM46</f>
        <v>179.176356</v>
      </c>
      <c r="AN53" s="177">
        <f>+ETR!AN46</f>
        <v>178.57853600000001</v>
      </c>
      <c r="AO53" s="178">
        <f>+ETR!AO46</f>
        <v>178.80814899999999</v>
      </c>
      <c r="AP53" s="178">
        <f>+ETR!AP46</f>
        <v>179.02335099999999</v>
      </c>
      <c r="AQ53" s="179">
        <f>+ETR!AQ46</f>
        <v>179.12842499999999</v>
      </c>
      <c r="AR53" s="44">
        <f>+ETR!AR46</f>
        <v>178.88566</v>
      </c>
      <c r="AS53" s="177">
        <f>+ETR!AS46</f>
        <v>179.33506299999999</v>
      </c>
      <c r="AT53" s="178">
        <f>+ETR!AT46</f>
        <v>179.475346</v>
      </c>
      <c r="AU53" s="178">
        <f>+ETR!AU46</f>
        <v>179.563819</v>
      </c>
      <c r="AV53" s="179">
        <f>+ETR!AV46</f>
        <v>180.303505</v>
      </c>
      <c r="AW53" s="44">
        <f>+ETR!AW46</f>
        <v>179.671797</v>
      </c>
      <c r="AX53" s="177">
        <f>+ETR!AX46</f>
        <v>180.517653</v>
      </c>
      <c r="AY53" s="178">
        <f>+ETR!AY46</f>
        <v>180.517653</v>
      </c>
      <c r="AZ53" s="178">
        <f>+ETR!AZ46</f>
        <v>180.517653</v>
      </c>
      <c r="BA53" s="179">
        <f>+ETR!BA46</f>
        <v>180.517653</v>
      </c>
      <c r="BB53" s="44">
        <f>+ETR!BB46</f>
        <v>180.517653</v>
      </c>
      <c r="BC53" s="177">
        <f>+ETR!BC46</f>
        <v>180.517653</v>
      </c>
      <c r="BD53" s="178">
        <f>+ETR!BD46</f>
        <v>180.517653</v>
      </c>
      <c r="BE53" s="178">
        <f>+ETR!BE46</f>
        <v>180.517653</v>
      </c>
      <c r="BF53" s="179">
        <f>+ETR!BF46</f>
        <v>180.517653</v>
      </c>
      <c r="BG53" s="44">
        <f>+ETR!BG46</f>
        <v>180.517653</v>
      </c>
      <c r="BH53" s="177">
        <f>+ETR!BH46</f>
        <v>180.517653</v>
      </c>
      <c r="BI53" s="178">
        <f>+ETR!BI46</f>
        <v>180.517653</v>
      </c>
      <c r="BJ53" s="178">
        <f>+ETR!BJ46</f>
        <v>180.517653</v>
      </c>
      <c r="BK53" s="179">
        <f>+ETR!BK46</f>
        <v>180.517653</v>
      </c>
      <c r="BL53" s="44">
        <f>+ETR!BL46</f>
        <v>180.517653</v>
      </c>
      <c r="BM53" s="177">
        <f>+ETR!BM46</f>
        <v>180.517653</v>
      </c>
      <c r="BN53" s="178">
        <f>+ETR!BN46</f>
        <v>180.517653</v>
      </c>
      <c r="BO53" s="178">
        <f>+ETR!BO46</f>
        <v>180.517653</v>
      </c>
      <c r="BP53" s="179">
        <f>+ETR!BP46</f>
        <v>180.517653</v>
      </c>
      <c r="BQ53" s="44">
        <f>+ETR!BQ46</f>
        <v>180.517653</v>
      </c>
    </row>
    <row r="54" spans="1:74">
      <c r="A54" s="320"/>
      <c r="B54" s="320"/>
      <c r="C54" s="1174" t="s">
        <v>357</v>
      </c>
      <c r="D54" s="320"/>
      <c r="E54" s="332">
        <f>+ETR!E47</f>
        <v>198.05800199999999</v>
      </c>
      <c r="F54" s="333">
        <f>+ETR!F47</f>
        <v>198.24316899999999</v>
      </c>
      <c r="G54" s="333">
        <f>+ETR!G47</f>
        <v>195.87524099999999</v>
      </c>
      <c r="H54" s="334">
        <f>+ETR!H47</f>
        <v>177.08257</v>
      </c>
      <c r="I54" s="44">
        <f>+ETR!I47</f>
        <v>192.31474549999999</v>
      </c>
      <c r="J54" s="177">
        <f>+ETR!J47</f>
        <v>191.28299999999999</v>
      </c>
      <c r="K54" s="178">
        <f>+ETR!K47</f>
        <v>190.71795800000001</v>
      </c>
      <c r="L54" s="178">
        <f>+ETR!L47</f>
        <v>187.77717200000001</v>
      </c>
      <c r="M54" s="179">
        <f>+ETR!M47</f>
        <v>177.08257</v>
      </c>
      <c r="N54" s="44">
        <f>+ETR!N47</f>
        <v>186.71517499999999</v>
      </c>
      <c r="O54" s="177">
        <f>+ETR!O47</f>
        <v>180.08383000000001</v>
      </c>
      <c r="P54" s="178">
        <f>+ETR!P47</f>
        <v>178.92500000000001</v>
      </c>
      <c r="Q54" s="178">
        <f>+ETR!Q47</f>
        <v>177.72301999999999</v>
      </c>
      <c r="R54" s="179">
        <f>+ETR!R47</f>
        <v>177.08257</v>
      </c>
      <c r="S54" s="44">
        <f>+ETR!S47</f>
        <v>178.37069500000001</v>
      </c>
      <c r="T54" s="177">
        <f>+ETR!T47</f>
        <v>177.38804500000001</v>
      </c>
      <c r="U54" s="178">
        <f>+ETR!U47</f>
        <v>177.56535099999999</v>
      </c>
      <c r="V54" s="178">
        <f>+ETR!V47</f>
        <v>177.975075</v>
      </c>
      <c r="W54" s="179">
        <f>+ETR!W47</f>
        <v>177.975075</v>
      </c>
      <c r="X54" s="44">
        <f>+ETR!X47</f>
        <v>177.73756499999999</v>
      </c>
      <c r="Y54" s="177">
        <f>+ETR!Y47</f>
        <v>178.413287</v>
      </c>
      <c r="Z54" s="178">
        <f>+ETR!Z47</f>
        <v>178.614383</v>
      </c>
      <c r="AA54" s="178">
        <f>+ETR!AA47</f>
        <v>178.65221</v>
      </c>
      <c r="AB54" s="179">
        <f>+ETR!AB47</f>
        <v>178.65221</v>
      </c>
      <c r="AC54" s="44">
        <f>+ETR!AC47</f>
        <v>178.57040000000001</v>
      </c>
      <c r="AD54" s="177">
        <f>+ETR!AD47</f>
        <v>179.05596700000001</v>
      </c>
      <c r="AE54" s="178">
        <f>+ETR!AE47</f>
        <v>180.04543200000001</v>
      </c>
      <c r="AF54" s="178">
        <f>+ETR!AF47</f>
        <v>180.52711600000001</v>
      </c>
      <c r="AG54" s="179">
        <f>+ETR!AG47</f>
        <v>181.603441</v>
      </c>
      <c r="AH54" s="44">
        <f>+ETR!AH47</f>
        <v>180.296885</v>
      </c>
      <c r="AI54" s="177">
        <f>+ETR!AI47</f>
        <v>180.48052300000001</v>
      </c>
      <c r="AJ54" s="178">
        <f>+ETR!AJ47</f>
        <v>180.11983699999999</v>
      </c>
      <c r="AK54" s="178">
        <f>+ETR!AK47</f>
        <v>179.15183200000001</v>
      </c>
      <c r="AL54" s="179">
        <f>+ETR!AL47</f>
        <v>179.06994800000001</v>
      </c>
      <c r="AM54" s="44">
        <f>+ETR!AM47</f>
        <v>179.176356</v>
      </c>
      <c r="AN54" s="177">
        <f>+ETR!AN47</f>
        <v>178.97638000000001</v>
      </c>
      <c r="AO54" s="178">
        <f>+ETR!AO47</f>
        <v>179.50358199999999</v>
      </c>
      <c r="AP54" s="178">
        <f>+ETR!AP47</f>
        <v>179.99088800000001</v>
      </c>
      <c r="AQ54" s="179">
        <f>+ETR!AQ47</f>
        <v>179.12842499999999</v>
      </c>
      <c r="AR54" s="44">
        <f>+ETR!AR47</f>
        <v>178.88566</v>
      </c>
      <c r="AS54" s="177">
        <f>+ETR!AS47</f>
        <v>179.84205299999999</v>
      </c>
      <c r="AT54" s="178">
        <f>+ETR!AT47</f>
        <v>180.23469399999999</v>
      </c>
      <c r="AU54" s="178">
        <f>+ETR!AU47</f>
        <v>180.46406899999999</v>
      </c>
      <c r="AV54" s="179">
        <f>+ETR!AV47</f>
        <v>180.303505</v>
      </c>
      <c r="AW54" s="44">
        <f>+ETR!AW47</f>
        <v>180.53589299999999</v>
      </c>
      <c r="AX54" s="177">
        <f>+ETR!AX47</f>
        <v>180.517653</v>
      </c>
      <c r="AY54" s="178">
        <f>+ETR!AY47</f>
        <v>180.517653</v>
      </c>
      <c r="AZ54" s="178">
        <f>+ETR!AZ47</f>
        <v>180.517653</v>
      </c>
      <c r="BA54" s="179">
        <f>+ETR!BA47</f>
        <v>180.517653</v>
      </c>
      <c r="BB54" s="44">
        <f>+ETR!BB47</f>
        <v>180.517653</v>
      </c>
      <c r="BC54" s="177">
        <f>+ETR!BC47</f>
        <v>180.517653</v>
      </c>
      <c r="BD54" s="178">
        <f>+ETR!BD47</f>
        <v>180.517653</v>
      </c>
      <c r="BE54" s="178">
        <f>+ETR!BE47</f>
        <v>180.517653</v>
      </c>
      <c r="BF54" s="179">
        <f>+ETR!BF47</f>
        <v>180.517653</v>
      </c>
      <c r="BG54" s="44">
        <f>+ETR!BG47</f>
        <v>180.517653</v>
      </c>
      <c r="BH54" s="177">
        <f>+ETR!BH47</f>
        <v>180.517653</v>
      </c>
      <c r="BI54" s="178">
        <f>+ETR!BI47</f>
        <v>180.517653</v>
      </c>
      <c r="BJ54" s="178">
        <f>+ETR!BJ47</f>
        <v>180.517653</v>
      </c>
      <c r="BK54" s="179">
        <f>+ETR!BK47</f>
        <v>180.517653</v>
      </c>
      <c r="BL54" s="44">
        <f>+ETR!BL47</f>
        <v>180.517653</v>
      </c>
      <c r="BM54" s="177">
        <f>+ETR!BM47</f>
        <v>180.517653</v>
      </c>
      <c r="BN54" s="178">
        <f>+ETR!BN47</f>
        <v>180.517653</v>
      </c>
      <c r="BO54" s="178">
        <f>+ETR!BO47</f>
        <v>180.517653</v>
      </c>
      <c r="BP54" s="179">
        <f>+ETR!BP47</f>
        <v>180.517653</v>
      </c>
      <c r="BQ54" s="44">
        <f>+ETR!BQ47</f>
        <v>180.517653</v>
      </c>
    </row>
    <row r="55" spans="1:74">
      <c r="A55" s="5"/>
      <c r="B55" s="5"/>
      <c r="C55" s="1173"/>
      <c r="D55" s="5"/>
      <c r="E55" s="139"/>
      <c r="F55" s="18"/>
      <c r="G55" s="18"/>
      <c r="H55" s="140"/>
      <c r="I55" s="5"/>
      <c r="J55" s="139"/>
      <c r="K55" s="18"/>
      <c r="L55" s="18"/>
      <c r="M55" s="140"/>
      <c r="N55" s="5"/>
      <c r="O55" s="139"/>
      <c r="P55" s="18"/>
      <c r="Q55" s="18"/>
      <c r="R55" s="140"/>
      <c r="S55" s="5"/>
      <c r="T55" s="139"/>
      <c r="U55" s="18"/>
      <c r="V55" s="18"/>
      <c r="W55" s="140"/>
      <c r="X55" s="5"/>
      <c r="Y55" s="139"/>
      <c r="Z55" s="18"/>
      <c r="AA55" s="18"/>
      <c r="AB55" s="140"/>
      <c r="AC55" s="5"/>
      <c r="AD55" s="139"/>
      <c r="AE55" s="18"/>
      <c r="AF55" s="18"/>
      <c r="AG55" s="140"/>
      <c r="AH55" s="5"/>
      <c r="AI55" s="139"/>
      <c r="AJ55" s="18"/>
      <c r="AK55" s="18"/>
      <c r="AL55" s="140"/>
      <c r="AM55" s="5"/>
      <c r="AN55" s="139"/>
      <c r="AO55" s="18"/>
      <c r="AP55" s="18"/>
      <c r="AQ55" s="140"/>
      <c r="AR55" s="5"/>
      <c r="AS55" s="139"/>
      <c r="AT55" s="18"/>
      <c r="AU55" s="18"/>
      <c r="AV55" s="140"/>
      <c r="AW55" s="5"/>
      <c r="AX55" s="139"/>
      <c r="AY55" s="18"/>
      <c r="AZ55" s="18"/>
      <c r="BA55" s="140"/>
      <c r="BB55" s="5"/>
      <c r="BC55" s="139"/>
      <c r="BD55" s="18"/>
      <c r="BE55" s="18"/>
      <c r="BF55" s="140"/>
      <c r="BG55" s="5"/>
      <c r="BH55" s="139"/>
      <c r="BI55" s="18"/>
      <c r="BJ55" s="18"/>
      <c r="BK55" s="140"/>
      <c r="BL55" s="5"/>
      <c r="BM55" s="139"/>
      <c r="BN55" s="18"/>
      <c r="BO55" s="18"/>
      <c r="BP55" s="140"/>
      <c r="BQ55" s="5"/>
    </row>
    <row r="56" spans="1:74">
      <c r="A56" s="403"/>
      <c r="B56" s="403"/>
      <c r="C56" s="1174" t="s">
        <v>865</v>
      </c>
      <c r="D56" s="1035"/>
      <c r="E56" s="869">
        <f t="shared" ref="E56:AA56" si="137">E49/E54</f>
        <v>0.56364801660475083</v>
      </c>
      <c r="F56" s="870">
        <f t="shared" si="137"/>
        <v>0.7427393374648894</v>
      </c>
      <c r="G56" s="870">
        <f t="shared" si="137"/>
        <v>1.5048201012806923</v>
      </c>
      <c r="H56" s="871">
        <f t="shared" si="137"/>
        <v>0.77896429897081454</v>
      </c>
      <c r="I56" s="1035">
        <f t="shared" si="137"/>
        <v>3.5960633086244602</v>
      </c>
      <c r="J56" s="869">
        <f t="shared" si="137"/>
        <v>0.72477951516862216</v>
      </c>
      <c r="K56" s="870">
        <f t="shared" si="137"/>
        <v>1.1841517304836087</v>
      </c>
      <c r="L56" s="870">
        <f t="shared" si="137"/>
        <v>1.7766217077760644</v>
      </c>
      <c r="M56" s="871">
        <f t="shared" si="137"/>
        <v>0.64546725293178719</v>
      </c>
      <c r="N56" s="1035">
        <f t="shared" si="137"/>
        <v>4.3509425519377292</v>
      </c>
      <c r="O56" s="869">
        <f t="shared" si="137"/>
        <v>0.91246948712718945</v>
      </c>
      <c r="P56" s="870">
        <f t="shared" si="137"/>
        <v>1.3883414838619528</v>
      </c>
      <c r="Q56" s="870">
        <f t="shared" si="137"/>
        <v>2.9491227416684662</v>
      </c>
      <c r="R56" s="871">
        <f t="shared" si="137"/>
        <v>0.95819707156949374</v>
      </c>
      <c r="S56" s="1035">
        <f t="shared" si="137"/>
        <v>6.20358069468754</v>
      </c>
      <c r="T56" s="869">
        <f t="shared" si="137"/>
        <v>0.35447710131762428</v>
      </c>
      <c r="U56" s="870">
        <f t="shared" si="137"/>
        <v>1.7131326482721243</v>
      </c>
      <c r="V56" s="870">
        <f t="shared" si="137"/>
        <v>1.6641319016159992</v>
      </c>
      <c r="W56" s="871">
        <f t="shared" si="137"/>
        <v>1.5718268414832866</v>
      </c>
      <c r="X56" s="1035">
        <f t="shared" si="137"/>
        <v>5.3055357206001981</v>
      </c>
      <c r="Y56" s="869">
        <f t="shared" si="137"/>
        <v>0.69222983375671843</v>
      </c>
      <c r="Z56" s="870">
        <f t="shared" si="137"/>
        <v>1.0985845412012509</v>
      </c>
      <c r="AA56" s="870">
        <f t="shared" si="137"/>
        <v>1.9477564817138289</v>
      </c>
      <c r="AB56" s="871">
        <f>AB49/AB54</f>
        <v>0.90225024364378914</v>
      </c>
      <c r="AC56" s="1035">
        <f>AC49/AC54</f>
        <v>4.6417883367008264</v>
      </c>
      <c r="AD56" s="869">
        <f>AD49/AD54</f>
        <v>1.123157208159389</v>
      </c>
      <c r="AE56" s="870">
        <f>AE49/AE54</f>
        <v>1.1540587155801869</v>
      </c>
      <c r="AF56" s="870">
        <f t="shared" ref="AF56" si="138">AF49/AF54</f>
        <v>1.7223506744549095</v>
      </c>
      <c r="AG56" s="871">
        <f>AG49/AG54</f>
        <v>0.6020040115869838</v>
      </c>
      <c r="AH56" s="1035">
        <f>AH49/AH54</f>
        <v>4.5987927079272604</v>
      </c>
      <c r="AI56" s="869">
        <f>AI49/AI54</f>
        <v>1.2379064304905605</v>
      </c>
      <c r="AJ56" s="870">
        <f>AJ49/AJ54</f>
        <v>1.1087229664770362</v>
      </c>
      <c r="AK56" s="870">
        <f t="shared" ref="AK56" si="139">AK49/AK54</f>
        <v>2.0095691792869879</v>
      </c>
      <c r="AL56" s="871">
        <f>AL49/AL54</f>
        <v>1.752030441199435</v>
      </c>
      <c r="AM56" s="1035">
        <f>AM49/AM54</f>
        <v>6.121761958369107</v>
      </c>
      <c r="AN56" s="869">
        <f>AN49/AN54</f>
        <v>1.0890934323288919</v>
      </c>
      <c r="AO56" s="870">
        <f>AO49/AO54</f>
        <v>2.0923705021106507</v>
      </c>
      <c r="AP56" s="870">
        <f t="shared" ref="AP56" si="140">AP49/AP54</f>
        <v>2.4628746761891631</v>
      </c>
      <c r="AQ56" s="871">
        <f>AQ49/AQ54</f>
        <v>0.67214346355136168</v>
      </c>
      <c r="AR56" s="1035">
        <f>AR49/AR54</f>
        <v>6.3403908396011168</v>
      </c>
      <c r="AS56" s="869">
        <f>AS49/AS54</f>
        <v>0.91593705283157456</v>
      </c>
      <c r="AT56" s="870">
        <f>AT49/AT54</f>
        <v>1.3509219262746368</v>
      </c>
      <c r="AU56" s="870">
        <f t="shared" ref="AU56" si="141">AU49/AU54</f>
        <v>2.2211291268180386</v>
      </c>
      <c r="AV56" s="871">
        <f>AV49/AV54</f>
        <v>-0.2631451895513568</v>
      </c>
      <c r="AW56" s="1035">
        <f>AW49/AW54</f>
        <v>4.2185240139477376</v>
      </c>
      <c r="AX56" s="869">
        <f t="shared" ref="AX56:BB56" si="142">AX49/AX54</f>
        <v>1.197820309318705</v>
      </c>
      <c r="AY56" s="870">
        <f t="shared" si="142"/>
        <v>1.3087187183404219</v>
      </c>
      <c r="AZ56" s="870">
        <f t="shared" si="142"/>
        <v>2.4063323261463876</v>
      </c>
      <c r="BA56" s="871">
        <f t="shared" si="142"/>
        <v>0.86524014996757637</v>
      </c>
      <c r="BB56" s="1035">
        <f t="shared" si="142"/>
        <v>5.7781115037731023</v>
      </c>
      <c r="BC56" s="869">
        <f t="shared" ref="BC56:BL56" si="143">BC49/BC54</f>
        <v>1.2690873570573242</v>
      </c>
      <c r="BD56" s="870">
        <f t="shared" si="143"/>
        <v>1.4707011138355832</v>
      </c>
      <c r="BE56" s="870">
        <f t="shared" si="143"/>
        <v>2.4870799356748217</v>
      </c>
      <c r="BF56" s="871">
        <f t="shared" si="143"/>
        <v>0.96078650269131038</v>
      </c>
      <c r="BG56" s="1035">
        <f t="shared" si="143"/>
        <v>6.1876549092590487</v>
      </c>
      <c r="BH56" s="869">
        <f t="shared" si="143"/>
        <v>1.3673058268972516</v>
      </c>
      <c r="BI56" s="870">
        <f>BI49/BI54</f>
        <v>1.5662375486565081</v>
      </c>
      <c r="BJ56" s="870">
        <f t="shared" si="143"/>
        <v>2.5593950106254613</v>
      </c>
      <c r="BK56" s="871">
        <f t="shared" si="143"/>
        <v>1.0672942443435627</v>
      </c>
      <c r="BL56" s="1035">
        <f t="shared" si="143"/>
        <v>6.5602326305227807</v>
      </c>
      <c r="BM56" s="869">
        <f t="shared" ref="BM56" si="144">BM49/BM54</f>
        <v>1.470763204213734</v>
      </c>
      <c r="BN56" s="870">
        <f>BN49/BN54</f>
        <v>1.6758983858470906</v>
      </c>
      <c r="BO56" s="870">
        <f t="shared" ref="BO56:BQ56" si="145">BO49/BO54</f>
        <v>2.6231611798697339</v>
      </c>
      <c r="BP56" s="871">
        <f t="shared" si="145"/>
        <v>1.1518249239849334</v>
      </c>
      <c r="BQ56" s="1035">
        <f t="shared" si="145"/>
        <v>6.9216476939154878</v>
      </c>
      <c r="BS56" s="1768"/>
    </row>
    <row r="57" spans="1:74">
      <c r="A57" s="403"/>
      <c r="B57" s="403"/>
      <c r="C57" s="1176" t="s">
        <v>864</v>
      </c>
      <c r="D57" s="1036"/>
      <c r="E57" s="1037">
        <f t="shared" ref="E57:AA57" si="146">E51/E54</f>
        <v>0.56364801660475083</v>
      </c>
      <c r="F57" s="1038">
        <f t="shared" si="146"/>
        <v>0.7427393374648894</v>
      </c>
      <c r="G57" s="1038">
        <f t="shared" si="146"/>
        <v>1.5048201012806923</v>
      </c>
      <c r="H57" s="1039">
        <f t="shared" si="146"/>
        <v>0.77896429897081454</v>
      </c>
      <c r="I57" s="1040">
        <f t="shared" si="146"/>
        <v>3.5960633086244602</v>
      </c>
      <c r="J57" s="1037">
        <f t="shared" si="146"/>
        <v>0.72477951516862216</v>
      </c>
      <c r="K57" s="1038">
        <f t="shared" si="146"/>
        <v>1.1841517304836087</v>
      </c>
      <c r="L57" s="1038">
        <f t="shared" si="146"/>
        <v>1.7766217077760644</v>
      </c>
      <c r="M57" s="1039">
        <f t="shared" si="146"/>
        <v>0.64546725293178719</v>
      </c>
      <c r="N57" s="1040">
        <f t="shared" si="146"/>
        <v>4.3509425519377292</v>
      </c>
      <c r="O57" s="1037">
        <f t="shared" si="146"/>
        <v>0.91246948712718945</v>
      </c>
      <c r="P57" s="1038">
        <f t="shared" si="146"/>
        <v>1.3883414838619528</v>
      </c>
      <c r="Q57" s="1038">
        <f t="shared" si="146"/>
        <v>2.9491227416684662</v>
      </c>
      <c r="R57" s="1039">
        <f t="shared" si="146"/>
        <v>0.95819707156949374</v>
      </c>
      <c r="S57" s="1040">
        <f t="shared" si="146"/>
        <v>6.20358069468754</v>
      </c>
      <c r="T57" s="1037">
        <f t="shared" si="146"/>
        <v>0.38717378051040757</v>
      </c>
      <c r="U57" s="1038">
        <f t="shared" si="146"/>
        <v>1.7688867689057157</v>
      </c>
      <c r="V57" s="1038">
        <f t="shared" si="146"/>
        <v>1.7242526797642876</v>
      </c>
      <c r="W57" s="1039">
        <f t="shared" si="146"/>
        <v>1.631947619631575</v>
      </c>
      <c r="X57" s="1040">
        <f t="shared" si="146"/>
        <v>5.5142704357404666</v>
      </c>
      <c r="Y57" s="1037">
        <f t="shared" si="146"/>
        <v>0.72754110516443593</v>
      </c>
      <c r="Z57" s="1038">
        <f t="shared" si="146"/>
        <v>1.1820044749699665</v>
      </c>
      <c r="AA57" s="1038">
        <f t="shared" si="146"/>
        <v>2.0333977396641223</v>
      </c>
      <c r="AB57" s="1039">
        <f>AB51/AB54</f>
        <v>0.8602692348446257</v>
      </c>
      <c r="AC57" s="1040">
        <f>AC51/AC54</f>
        <v>4.8041892721302144</v>
      </c>
      <c r="AD57" s="1037">
        <f>AD51/AD54</f>
        <v>1.1360023539455666</v>
      </c>
      <c r="AE57" s="1038">
        <f>AE51/AE54</f>
        <v>1.1734982534852643</v>
      </c>
      <c r="AF57" s="1038">
        <f t="shared" ref="AF57" si="147">AF51/AF54</f>
        <v>1.7240124746689007</v>
      </c>
      <c r="AG57" s="1039">
        <f>AG51/AG54</f>
        <v>0.61026376697344697</v>
      </c>
      <c r="AH57" s="1040">
        <f>AH51/AH54</f>
        <v>4.6409454051299877</v>
      </c>
      <c r="AI57" s="1037">
        <f>AI51/AI54</f>
        <v>1.2379064304905605</v>
      </c>
      <c r="AJ57" s="1038">
        <f>AJ51/AJ54</f>
        <v>1.1087229664770362</v>
      </c>
      <c r="AK57" s="1038">
        <f t="shared" ref="AK57" si="148">AK51/AK54</f>
        <v>2.0095691792869879</v>
      </c>
      <c r="AL57" s="1039">
        <f>AL51/AL54</f>
        <v>1.752030441199435</v>
      </c>
      <c r="AM57" s="1040">
        <f>AM51/AM54</f>
        <v>6.121761958369107</v>
      </c>
      <c r="AN57" s="1037">
        <f>AN51/AN54</f>
        <v>1.0890934323288919</v>
      </c>
      <c r="AO57" s="1038">
        <f>AO51/AO54</f>
        <v>2.0923705021106507</v>
      </c>
      <c r="AP57" s="1038">
        <f t="shared" ref="AP57" si="149">AP51/AP54</f>
        <v>2.4628746761891631</v>
      </c>
      <c r="AQ57" s="1039">
        <f>AQ51/AQ54</f>
        <v>0.67214346355136168</v>
      </c>
      <c r="AR57" s="1040">
        <f>AR51/AR54</f>
        <v>6.3403908396011168</v>
      </c>
      <c r="AS57" s="1037">
        <f>AS51/AS54</f>
        <v>0.91593705283157456</v>
      </c>
      <c r="AT57" s="1038">
        <f>AT51/AT54</f>
        <v>1.3509219262746368</v>
      </c>
      <c r="AU57" s="1038">
        <f t="shared" ref="AU57" si="150">AU51/AU54</f>
        <v>2.2211291268180386</v>
      </c>
      <c r="AV57" s="1039">
        <f>AV51/AV54</f>
        <v>0.73905385255822387</v>
      </c>
      <c r="AW57" s="1040">
        <f>AW51/AW54</f>
        <v>5.2194330132457329</v>
      </c>
      <c r="AX57" s="1037">
        <f t="shared" ref="AX57:BB57" si="151">AX51/AX54</f>
        <v>1.197820309318705</v>
      </c>
      <c r="AY57" s="1038">
        <f t="shared" si="151"/>
        <v>1.3087187183404219</v>
      </c>
      <c r="AZ57" s="1038">
        <f t="shared" si="151"/>
        <v>2.4063323261463876</v>
      </c>
      <c r="BA57" s="1039">
        <f t="shared" si="151"/>
        <v>0.86524014996757637</v>
      </c>
      <c r="BB57" s="1040">
        <f t="shared" si="151"/>
        <v>5.7781115037731023</v>
      </c>
      <c r="BC57" s="1037">
        <f t="shared" ref="BC57:BL57" si="152">BC51/BC54</f>
        <v>1.2690873570573242</v>
      </c>
      <c r="BD57" s="1038">
        <f t="shared" si="152"/>
        <v>1.4707011138355832</v>
      </c>
      <c r="BE57" s="1038">
        <f t="shared" si="152"/>
        <v>2.4870799356748217</v>
      </c>
      <c r="BF57" s="1039">
        <f t="shared" si="152"/>
        <v>0.96078650269131038</v>
      </c>
      <c r="BG57" s="1040">
        <f t="shared" si="152"/>
        <v>6.1876549092590487</v>
      </c>
      <c r="BH57" s="1037">
        <f t="shared" si="152"/>
        <v>1.3673058268972516</v>
      </c>
      <c r="BI57" s="1038">
        <f t="shared" si="152"/>
        <v>1.5662375486565081</v>
      </c>
      <c r="BJ57" s="1038">
        <f t="shared" si="152"/>
        <v>2.5593950106254613</v>
      </c>
      <c r="BK57" s="1039">
        <f t="shared" si="152"/>
        <v>1.0672942443435627</v>
      </c>
      <c r="BL57" s="1040">
        <f t="shared" si="152"/>
        <v>6.5602326305227807</v>
      </c>
      <c r="BM57" s="1037">
        <f t="shared" ref="BM57:BQ57" si="153">BM51/BM54</f>
        <v>1.470763204213734</v>
      </c>
      <c r="BN57" s="1038">
        <f t="shared" si="153"/>
        <v>1.6758983858470906</v>
      </c>
      <c r="BO57" s="1038">
        <f t="shared" si="153"/>
        <v>2.6231611798697339</v>
      </c>
      <c r="BP57" s="1039">
        <f t="shared" si="153"/>
        <v>1.1518249239849334</v>
      </c>
      <c r="BQ57" s="1373">
        <f t="shared" si="153"/>
        <v>6.9216476939154878</v>
      </c>
    </row>
    <row r="58" spans="1:74">
      <c r="A58" s="5"/>
      <c r="B58" s="5"/>
      <c r="C58" s="1177" t="s">
        <v>12</v>
      </c>
      <c r="D58" s="5"/>
      <c r="E58" s="151"/>
      <c r="F58" s="152"/>
      <c r="G58" s="152"/>
      <c r="H58" s="153"/>
      <c r="I58" s="27"/>
      <c r="J58" s="519">
        <f>J57/E57-1</f>
        <v>0.28587255488714369</v>
      </c>
      <c r="K58" s="520">
        <f t="shared" ref="K58:AT58" si="154">K57/F57-1</f>
        <v>0.59430323769486026</v>
      </c>
      <c r="L58" s="520">
        <f t="shared" si="154"/>
        <v>0.18062066439971969</v>
      </c>
      <c r="M58" s="521">
        <f t="shared" si="154"/>
        <v>-0.17137761796709639</v>
      </c>
      <c r="N58" s="522">
        <f t="shared" si="154"/>
        <v>0.20991822961037343</v>
      </c>
      <c r="O58" s="519">
        <f t="shared" si="154"/>
        <v>0.25896147453187979</v>
      </c>
      <c r="P58" s="520">
        <f t="shared" si="154"/>
        <v>0.17243546424152312</v>
      </c>
      <c r="Q58" s="520">
        <f t="shared" si="154"/>
        <v>0.65996099718949885</v>
      </c>
      <c r="R58" s="521">
        <f t="shared" si="154"/>
        <v>0.48450144793132632</v>
      </c>
      <c r="S58" s="522">
        <f t="shared" si="154"/>
        <v>0.42580156383005385</v>
      </c>
      <c r="T58" s="519">
        <f t="shared" si="154"/>
        <v>-0.57568577802049914</v>
      </c>
      <c r="U58" s="520">
        <f t="shared" si="154"/>
        <v>0.27410063695943099</v>
      </c>
      <c r="V58" s="520">
        <f t="shared" si="154"/>
        <v>-0.41533370062827846</v>
      </c>
      <c r="W58" s="521">
        <f t="shared" si="154"/>
        <v>0.70314402752087424</v>
      </c>
      <c r="X58" s="522">
        <f t="shared" si="154"/>
        <v>-0.11111490167885896</v>
      </c>
      <c r="Y58" s="519">
        <f t="shared" si="154"/>
        <v>0.87910737190241894</v>
      </c>
      <c r="Z58" s="520">
        <f t="shared" si="154"/>
        <v>-0.33178058892871443</v>
      </c>
      <c r="AA58" s="520">
        <f t="shared" si="154"/>
        <v>0.17929220208148156</v>
      </c>
      <c r="AB58" s="521">
        <f>AB57/W57-1</f>
        <v>-0.47285732428174487</v>
      </c>
      <c r="AC58" s="522">
        <f>AC57/X57-1</f>
        <v>-0.12877155226335957</v>
      </c>
      <c r="AD58" s="519">
        <f t="shared" si="154"/>
        <v>0.56142703949189499</v>
      </c>
      <c r="AE58" s="520">
        <f t="shared" si="154"/>
        <v>-7.1964376318612855E-3</v>
      </c>
      <c r="AF58" s="520">
        <f t="shared" ref="AF58" si="155">AF57/AA57-1</f>
        <v>-0.152151868254917</v>
      </c>
      <c r="AG58" s="521">
        <f>AG57/AB57-1</f>
        <v>-0.29061305198986054</v>
      </c>
      <c r="AH58" s="522">
        <f>AH57/AC57-1</f>
        <v>-3.3979482854105569E-2</v>
      </c>
      <c r="AI58" s="519">
        <f t="shared" si="154"/>
        <v>8.9704106854233467E-2</v>
      </c>
      <c r="AJ58" s="520">
        <f t="shared" si="154"/>
        <v>-5.5198451992448105E-2</v>
      </c>
      <c r="AK58" s="520">
        <f t="shared" si="154"/>
        <v>0.16563494105396703</v>
      </c>
      <c r="AL58" s="521">
        <f>AL57/AG57-1</f>
        <v>1.8709396428506415</v>
      </c>
      <c r="AM58" s="522">
        <f>AM57/AH57-1</f>
        <v>0.31907648635604735</v>
      </c>
      <c r="AN58" s="519">
        <f t="shared" si="154"/>
        <v>-0.12021344626402553</v>
      </c>
      <c r="AO58" s="520">
        <f t="shared" si="154"/>
        <v>0.88718964554252144</v>
      </c>
      <c r="AP58" s="520">
        <f t="shared" si="154"/>
        <v>0.22557347195333266</v>
      </c>
      <c r="AQ58" s="521">
        <f t="shared" si="154"/>
        <v>-0.61636313630988382</v>
      </c>
      <c r="AR58" s="522">
        <f t="shared" si="154"/>
        <v>3.5713391458013222E-2</v>
      </c>
      <c r="AS58" s="519">
        <f t="shared" si="154"/>
        <v>-0.15899129896233399</v>
      </c>
      <c r="AT58" s="520">
        <f t="shared" si="154"/>
        <v>-0.35435816701109457</v>
      </c>
      <c r="AU58" s="520">
        <f t="shared" ref="AU58" si="156">AU57/AP57-1</f>
        <v>-9.8155846786804557E-2</v>
      </c>
      <c r="AV58" s="521">
        <f t="shared" ref="AV58" si="157">AV57/AQ57-1</f>
        <v>9.9547779060934483E-2</v>
      </c>
      <c r="AW58" s="522">
        <f t="shared" ref="AW58" si="158">AW57/AR57-1</f>
        <v>-0.17679632923479283</v>
      </c>
      <c r="AX58" s="519">
        <f t="shared" ref="AX58:BB58" si="159">AX57/AS57-1</f>
        <v>0.30775396149298917</v>
      </c>
      <c r="AY58" s="520">
        <f t="shared" si="159"/>
        <v>-3.1240301244200297E-2</v>
      </c>
      <c r="AZ58" s="520">
        <f t="shared" si="159"/>
        <v>8.3382454937984019E-2</v>
      </c>
      <c r="BA58" s="521">
        <f t="shared" si="159"/>
        <v>0.17074032828942109</v>
      </c>
      <c r="BB58" s="522">
        <f t="shared" si="159"/>
        <v>0.10703815703919761</v>
      </c>
      <c r="BC58" s="519">
        <f t="shared" ref="BC58" si="160">BC57/AX57-1</f>
        <v>5.9497277833896911E-2</v>
      </c>
      <c r="BD58" s="520">
        <f t="shared" ref="BD58" si="161">BD57/AY57-1</f>
        <v>0.12377174195274776</v>
      </c>
      <c r="BE58" s="520">
        <f t="shared" ref="BE58" si="162">BE57/AZ57-1</f>
        <v>3.3556300038468434E-2</v>
      </c>
      <c r="BF58" s="521">
        <f t="shared" ref="BF58" si="163">BF57/BA57-1</f>
        <v>0.1104275532374619</v>
      </c>
      <c r="BG58" s="522">
        <f t="shared" ref="BG58" si="164">BG57/BB57-1</f>
        <v>7.0878418531472587E-2</v>
      </c>
      <c r="BH58" s="519">
        <f t="shared" ref="BH58" si="165">BH57/BC57-1</f>
        <v>7.7392993708226498E-2</v>
      </c>
      <c r="BI58" s="520">
        <f t="shared" ref="BI58" si="166">BI57/BD57-1</f>
        <v>6.4959789533147294E-2</v>
      </c>
      <c r="BJ58" s="520">
        <f t="shared" ref="BJ58" si="167">BJ57/BE57-1</f>
        <v>2.9076297031449538E-2</v>
      </c>
      <c r="BK58" s="521">
        <f t="shared" ref="BK58" si="168">BK57/BF57-1</f>
        <v>0.11085474385194605</v>
      </c>
      <c r="BL58" s="522">
        <f t="shared" ref="BL58" si="169">BL57/BG57-1</f>
        <v>6.0213073729469935E-2</v>
      </c>
      <c r="BM58" s="519">
        <f t="shared" ref="BM58" si="170">BM57/BH57-1</f>
        <v>7.566513305311684E-2</v>
      </c>
      <c r="BN58" s="520">
        <f t="shared" ref="BN58" si="171">BN57/BI57-1</f>
        <v>7.0015456649374697E-2</v>
      </c>
      <c r="BO58" s="520">
        <f t="shared" ref="BO58" si="172">BO57/BJ57-1</f>
        <v>2.4914547765993111E-2</v>
      </c>
      <c r="BP58" s="521">
        <f t="shared" ref="BP58" si="173">BP57/BK57-1</f>
        <v>7.9200913983529686E-2</v>
      </c>
      <c r="BQ58" s="522">
        <f t="shared" ref="BQ58" si="174">BQ57/BL57-1</f>
        <v>5.5091805999554433E-2</v>
      </c>
    </row>
    <row r="59" spans="1:74">
      <c r="A59" s="5"/>
      <c r="B59" s="5"/>
      <c r="C59" s="1177"/>
      <c r="D59" s="5"/>
      <c r="E59" s="151"/>
      <c r="F59" s="152"/>
      <c r="G59" s="152"/>
      <c r="H59" s="153"/>
      <c r="I59" s="27"/>
      <c r="J59" s="519"/>
      <c r="K59" s="520"/>
      <c r="L59" s="520"/>
      <c r="M59" s="521"/>
      <c r="N59" s="522"/>
      <c r="O59" s="519"/>
      <c r="P59" s="520"/>
      <c r="Q59" s="520"/>
      <c r="R59" s="521"/>
      <c r="S59" s="522"/>
      <c r="T59" s="519"/>
      <c r="U59" s="520"/>
      <c r="V59" s="520"/>
      <c r="W59" s="521"/>
      <c r="X59" s="522"/>
      <c r="Y59" s="519"/>
      <c r="Z59" s="520"/>
      <c r="AA59" s="520"/>
      <c r="AB59" s="521"/>
      <c r="AC59" s="522"/>
      <c r="AD59" s="519"/>
      <c r="AE59" s="520"/>
      <c r="AF59" s="520"/>
      <c r="AG59" s="521"/>
      <c r="AH59" s="522"/>
      <c r="AI59" s="519"/>
      <c r="AJ59" s="520"/>
      <c r="AK59" s="520"/>
      <c r="AL59" s="521"/>
      <c r="AM59" s="522"/>
      <c r="AN59" s="519"/>
      <c r="AO59" s="520"/>
      <c r="AP59" s="1774"/>
      <c r="AQ59" s="1775"/>
      <c r="AR59" s="1392"/>
      <c r="AS59" s="519"/>
      <c r="AT59" s="520"/>
      <c r="AU59" s="520"/>
      <c r="AV59" s="521"/>
      <c r="AW59" s="522"/>
      <c r="AX59" s="519"/>
      <c r="AY59" s="520"/>
      <c r="AZ59" s="520"/>
      <c r="BA59" s="521"/>
      <c r="BB59" s="522"/>
      <c r="BC59" s="519"/>
      <c r="BD59" s="520"/>
      <c r="BE59" s="520"/>
      <c r="BF59" s="521"/>
      <c r="BG59" s="522"/>
      <c r="BH59" s="519"/>
      <c r="BI59" s="520"/>
      <c r="BJ59" s="520"/>
      <c r="BK59" s="521"/>
      <c r="BL59" s="522"/>
      <c r="BM59" s="519"/>
      <c r="BN59" s="520"/>
      <c r="BO59" s="520"/>
      <c r="BP59" s="521"/>
      <c r="BQ59" s="522"/>
    </row>
    <row r="60" spans="1:74" s="1082" customFormat="1">
      <c r="A60" s="495"/>
      <c r="B60" s="495"/>
      <c r="C60" s="1772" t="s">
        <v>944</v>
      </c>
      <c r="D60" s="495"/>
      <c r="E60" s="427"/>
      <c r="F60" s="428"/>
      <c r="G60" s="428"/>
      <c r="H60" s="429"/>
      <c r="I60" s="1776">
        <f>I57+Parent!I45</f>
        <v>3.2219422301136049</v>
      </c>
      <c r="J60" s="1777">
        <f>J57+Parent!J45</f>
        <v>0.57265935812382762</v>
      </c>
      <c r="K60" s="1778">
        <f>K57+Parent!K45</f>
        <v>1.086955849223175</v>
      </c>
      <c r="L60" s="1778">
        <f>L57+Parent!L45</f>
        <v>1.8631018684209388</v>
      </c>
      <c r="M60" s="1779">
        <f>M57+Parent!M45</f>
        <v>0.44251673103682354</v>
      </c>
      <c r="N60" s="1776">
        <f>N57+Parent!N45</f>
        <v>3.9903130530231339</v>
      </c>
      <c r="O60" s="1777">
        <f>O57+Parent!O45</f>
        <v>0.70030163174561677</v>
      </c>
      <c r="P60" s="1778">
        <f>P57+Parent!P45</f>
        <v>1.4012016207908338</v>
      </c>
      <c r="Q60" s="1778">
        <f>Q57+Parent!Q45</f>
        <v>2.8014097442188404</v>
      </c>
      <c r="R60" s="1779">
        <f>R57+Parent!R45</f>
        <v>-2.1769505604083195E-2</v>
      </c>
      <c r="S60" s="1776">
        <f>S57+Parent!S45</f>
        <v>4.8822089301160165</v>
      </c>
      <c r="T60" s="1777">
        <f>T57+Parent!T45</f>
        <v>0.13546008695231004</v>
      </c>
      <c r="U60" s="1778">
        <f>U57+Parent!U45</f>
        <v>1.6516961127173932</v>
      </c>
      <c r="V60" s="1778">
        <f>V57+Parent!V45</f>
        <v>1.2868206404745168</v>
      </c>
      <c r="W60" s="1779">
        <f>W57+Parent!W45</f>
        <v>1.6744535716588387</v>
      </c>
      <c r="X60" s="1776">
        <f>X57+Parent!X45</f>
        <v>4.7505208029602439</v>
      </c>
      <c r="Y60" s="1777">
        <f>Y57+Parent!Y45</f>
        <v>0.47970642455569845</v>
      </c>
      <c r="Z60" s="1778">
        <f>Z57+Parent!Z45</f>
        <v>0.93549017270350376</v>
      </c>
      <c r="AA60" s="1778">
        <f>AA57+Parent!AA45</f>
        <v>1.9477956639887068</v>
      </c>
      <c r="AB60" s="1779">
        <f>AB57+Parent!AB45</f>
        <v>0.52482418213577287</v>
      </c>
      <c r="AC60" s="1776">
        <f>AC57+Parent!AC45</f>
        <v>3.8887575992437724</v>
      </c>
      <c r="AD60" s="1777">
        <f>AD57+Parent!AD45</f>
        <v>0.90223745517511822</v>
      </c>
      <c r="AE60" s="1778">
        <f>AE57+Parent!AE45</f>
        <v>0.92736037868486343</v>
      </c>
      <c r="AF60" s="1778">
        <f>AF57+Parent!AF45</f>
        <v>1.4599579599997572</v>
      </c>
      <c r="AG60" s="1779">
        <f>AG57+Parent!AG45</f>
        <v>0.35190963149205562</v>
      </c>
      <c r="AH60" s="1776">
        <f>AH57+Parent!AH45</f>
        <v>3.6383767806082763</v>
      </c>
      <c r="AI60" s="365">
        <f>AI57+Parent!AI45</f>
        <v>0.97054794106508602</v>
      </c>
      <c r="AJ60" s="362">
        <f>AJ57+Parent!AJ45</f>
        <v>0.84907360869974791</v>
      </c>
      <c r="AK60" s="362">
        <f>AK57+Parent!AK45</f>
        <v>1.7244032424965665</v>
      </c>
      <c r="AL60" s="363">
        <f>AL57+Parent!AL45</f>
        <v>1.4192889585247508</v>
      </c>
      <c r="AM60" s="364">
        <f>AM57+Parent!AM45</f>
        <v>4.9737700882810723</v>
      </c>
      <c r="AN60" s="365">
        <f>AN57+Parent!AN45</f>
        <v>0.84344649277183881</v>
      </c>
      <c r="AO60" s="362">
        <f>AO57+Parent!AO45</f>
        <v>1.7659090502160573</v>
      </c>
      <c r="AP60" s="362">
        <f>AP57+Parent!AP45</f>
        <v>2.1139736807121041</v>
      </c>
      <c r="AQ60" s="363">
        <f>AQ57+Parent!AQ45</f>
        <v>0.35312095218836059</v>
      </c>
      <c r="AR60" s="364">
        <f>AR57+Parent!AR45</f>
        <v>5.0965180775250571</v>
      </c>
      <c r="AS60" s="365">
        <f>AS57+Parent!AS45</f>
        <v>0.61358841360646554</v>
      </c>
      <c r="AT60" s="362">
        <f>AT57+Parent!AT45</f>
        <v>1.0352224416903888</v>
      </c>
      <c r="AU60" s="362">
        <f>AU57+Parent!AU45</f>
        <v>1.9005445344358307</v>
      </c>
      <c r="AV60" s="363">
        <f>AV57+Parent!AV45</f>
        <v>0.41442899293610252</v>
      </c>
      <c r="AW60" s="364">
        <f>AW57+Parent!AW45</f>
        <v>3.958409533554633</v>
      </c>
      <c r="AX60" s="1594">
        <f>AX57+Parent!AX45</f>
        <v>0.91997848458594911</v>
      </c>
      <c r="AY60" s="1774">
        <f>AY57+Parent!AY45</f>
        <v>0.97001286063493031</v>
      </c>
      <c r="AZ60" s="1774">
        <f>AZ57+Parent!AZ45</f>
        <v>2.0816686091635925</v>
      </c>
      <c r="BA60" s="1775">
        <f>BA57+Parent!BA45</f>
        <v>0.54089941491398208</v>
      </c>
      <c r="BB60" s="1719">
        <f>BB57+Parent!BB45</f>
        <v>4.5125593692984651</v>
      </c>
      <c r="BC60" s="1594">
        <f>BC57+Parent!BC45</f>
        <v>0.96099052867179213</v>
      </c>
      <c r="BD60" s="1774">
        <f>BD57+Parent!BD45</f>
        <v>1.1250389620268786</v>
      </c>
      <c r="BE60" s="1774">
        <f>BE57+Parent!BE45</f>
        <v>2.1206535935685964</v>
      </c>
      <c r="BF60" s="1775">
        <f>BF57+Parent!BF45</f>
        <v>0.60572804688149584</v>
      </c>
      <c r="BG60" s="1719">
        <f>BG57+Parent!BG45</f>
        <v>4.8124111311487718</v>
      </c>
      <c r="BH60" s="1594">
        <f>BH57+Parent!BH45</f>
        <v>1.0425685571290688</v>
      </c>
      <c r="BI60" s="1774">
        <f>BI57+Parent!BI45</f>
        <v>1.1937754846517883</v>
      </c>
      <c r="BJ60" s="1774">
        <f>BJ57+Parent!BJ45</f>
        <v>2.1665423379706112</v>
      </c>
      <c r="BK60" s="1775">
        <f>BK57+Parent!BK45</f>
        <v>0.70454152667444891</v>
      </c>
      <c r="BL60" s="1719">
        <f>BL57+Parent!BL45</f>
        <v>5.1074279064259152</v>
      </c>
      <c r="BM60" s="1594">
        <f>BM57+Parent!BM45</f>
        <v>1.1262878573279798</v>
      </c>
      <c r="BN60" s="1774">
        <f>BN57+Parent!BN45</f>
        <v>1.2982411388614283</v>
      </c>
      <c r="BO60" s="1774">
        <f>BO57+Parent!BO45</f>
        <v>2.2312786707937753</v>
      </c>
      <c r="BP60" s="1775">
        <f>BP57+Parent!BP45</f>
        <v>0.78087136255440037</v>
      </c>
      <c r="BQ60" s="1719">
        <f>BQ57+Parent!BQ45</f>
        <v>5.4366790295375784</v>
      </c>
    </row>
    <row r="61" spans="1:74" s="1082" customFormat="1">
      <c r="A61" s="495"/>
      <c r="B61" s="495"/>
      <c r="C61" s="1772" t="s">
        <v>943</v>
      </c>
      <c r="D61" s="495"/>
      <c r="E61" s="427"/>
      <c r="F61" s="428"/>
      <c r="G61" s="428"/>
      <c r="H61" s="429"/>
      <c r="I61" s="495"/>
      <c r="J61" s="427"/>
      <c r="K61" s="428"/>
      <c r="L61" s="428"/>
      <c r="M61" s="429"/>
      <c r="N61" s="495"/>
      <c r="O61" s="427"/>
      <c r="P61" s="428"/>
      <c r="Q61" s="428"/>
      <c r="R61" s="429"/>
      <c r="S61" s="495"/>
      <c r="T61" s="427"/>
      <c r="U61" s="428"/>
      <c r="V61" s="428"/>
      <c r="W61" s="429"/>
      <c r="X61" s="495"/>
      <c r="Y61" s="427"/>
      <c r="Z61" s="428"/>
      <c r="AA61" s="428"/>
      <c r="AB61" s="429"/>
      <c r="AC61" s="1083"/>
      <c r="AD61" s="427"/>
      <c r="AE61" s="428"/>
      <c r="AF61" s="428"/>
      <c r="AG61" s="429"/>
      <c r="AH61" s="1083"/>
      <c r="AI61" s="1906">
        <f>AI60-AI123-0.13</f>
        <v>0.76054794106508605</v>
      </c>
      <c r="AJ61" s="1907">
        <f t="shared" ref="AJ61:AK61" si="175">AJ60-AJ123</f>
        <v>0.86907360869974792</v>
      </c>
      <c r="AK61" s="1907">
        <f t="shared" si="175"/>
        <v>1.5644032424965666</v>
      </c>
      <c r="AL61" s="363">
        <f>AL60-AL123-1.57</f>
        <v>-0.12071104147524925</v>
      </c>
      <c r="AM61" s="1908">
        <f>SUM(AI61:AL61)</f>
        <v>3.0733137507861512</v>
      </c>
      <c r="AN61" s="1906">
        <f>AN60-AN123-0.03</f>
        <v>0.95344649277183879</v>
      </c>
      <c r="AO61" s="362">
        <f>AO60-AO123-0.68</f>
        <v>1.1759090502160574</v>
      </c>
      <c r="AP61" s="362">
        <f>AP60-AP123+0.04</f>
        <v>1.9739736807121042</v>
      </c>
      <c r="AQ61" s="363">
        <f>AQ60-AQ123+0.03</f>
        <v>0.27312095218836063</v>
      </c>
      <c r="AR61" s="1908">
        <f>SUM(AN61:AQ61)</f>
        <v>4.3764501758883609</v>
      </c>
      <c r="AS61" s="1906">
        <f>AS60-AS123+0.05</f>
        <v>0.82358841360646562</v>
      </c>
      <c r="AT61" s="362">
        <f>AT60-AT123-0</f>
        <v>1.1252224416903889</v>
      </c>
      <c r="AU61" s="362">
        <f>AU60-AU123-0</f>
        <v>2.1505445344358307</v>
      </c>
      <c r="AV61" s="363">
        <f>AV60-AV123+0.12</f>
        <v>0.47442899293610252</v>
      </c>
      <c r="AW61" s="1908">
        <f>SUM(AS61:AV61)</f>
        <v>4.5737843826687881</v>
      </c>
      <c r="AX61" s="1594">
        <f>AX60-AX123</f>
        <v>0.91997848458594911</v>
      </c>
      <c r="AY61" s="1774">
        <f>AY60-AY123</f>
        <v>0.97001286063493031</v>
      </c>
      <c r="AZ61" s="1774">
        <f>AZ60-AZ123</f>
        <v>2.0816686091635925</v>
      </c>
      <c r="BA61" s="1775">
        <f>BA60-BA123</f>
        <v>0.54089941491398208</v>
      </c>
      <c r="BB61" s="1726">
        <f>SUM(AX61:BA61)</f>
        <v>4.5125593692984536</v>
      </c>
      <c r="BC61" s="1594">
        <f>BC60-BC123</f>
        <v>0.96099052867179213</v>
      </c>
      <c r="BD61" s="1774">
        <f t="shared" ref="BD61" si="176">BD60-BD123</f>
        <v>1.1250389620268786</v>
      </c>
      <c r="BE61" s="1774">
        <f t="shared" ref="BE61" si="177">BE60-BE123</f>
        <v>2.1206535935685964</v>
      </c>
      <c r="BF61" s="1775">
        <f t="shared" ref="BF61" si="178">BF60-BF123</f>
        <v>0.60572804688149584</v>
      </c>
      <c r="BG61" s="1726">
        <f>SUM(BC61:BF61)</f>
        <v>4.812411131148763</v>
      </c>
      <c r="BH61" s="1594">
        <f>BH60-BH123</f>
        <v>1.0425685571290688</v>
      </c>
      <c r="BI61" s="1774">
        <f t="shared" ref="BI61" si="179">BI60-BI123</f>
        <v>1.1937754846517883</v>
      </c>
      <c r="BJ61" s="1774">
        <f t="shared" ref="BJ61" si="180">BJ60-BJ123</f>
        <v>2.1665423379706112</v>
      </c>
      <c r="BK61" s="1775">
        <f t="shared" ref="BK61" si="181">BK60-BK123</f>
        <v>0.70454152667444891</v>
      </c>
      <c r="BL61" s="1726">
        <f>SUM(BH61:BK61)</f>
        <v>5.1074279064259169</v>
      </c>
      <c r="BM61" s="1594">
        <f>BM60-BM123</f>
        <v>1.1262878573279798</v>
      </c>
      <c r="BN61" s="1774">
        <f t="shared" ref="BN61:BP61" si="182">BN60-BN123</f>
        <v>1.2982411388614283</v>
      </c>
      <c r="BO61" s="1774">
        <f t="shared" si="182"/>
        <v>2.2312786707937753</v>
      </c>
      <c r="BP61" s="1775">
        <f t="shared" si="182"/>
        <v>0.78087136255440037</v>
      </c>
      <c r="BQ61" s="1726">
        <f>SUM(BM61:BP61)</f>
        <v>5.4366790295375829</v>
      </c>
    </row>
    <row r="62" spans="1:74" s="1082" customFormat="1">
      <c r="A62" s="495"/>
      <c r="B62" s="495"/>
      <c r="C62" s="1772"/>
      <c r="D62" s="495"/>
      <c r="E62" s="427"/>
      <c r="F62" s="428"/>
      <c r="G62" s="428"/>
      <c r="H62" s="429"/>
      <c r="I62" s="495"/>
      <c r="J62" s="427"/>
      <c r="K62" s="428"/>
      <c r="L62" s="428"/>
      <c r="M62" s="429"/>
      <c r="N62" s="495"/>
      <c r="O62" s="427"/>
      <c r="P62" s="428"/>
      <c r="Q62" s="428"/>
      <c r="R62" s="429"/>
      <c r="S62" s="495"/>
      <c r="T62" s="427"/>
      <c r="U62" s="428"/>
      <c r="V62" s="428"/>
      <c r="W62" s="429"/>
      <c r="X62" s="495"/>
      <c r="Y62" s="427"/>
      <c r="Z62" s="428"/>
      <c r="AA62" s="428"/>
      <c r="AB62" s="429"/>
      <c r="AC62" s="1083"/>
      <c r="AD62" s="427"/>
      <c r="AE62" s="428"/>
      <c r="AF62" s="428"/>
      <c r="AG62" s="429"/>
      <c r="AH62" s="1083"/>
      <c r="AI62" s="1906"/>
      <c r="AJ62" s="1907"/>
      <c r="AK62" s="1907"/>
      <c r="AL62" s="363"/>
      <c r="AM62" s="1908"/>
      <c r="AN62" s="1906"/>
      <c r="AO62" s="362"/>
      <c r="AP62" s="1774"/>
      <c r="AQ62" s="1775"/>
      <c r="AR62" s="1726"/>
      <c r="AS62" s="1906"/>
      <c r="AT62" s="1774"/>
      <c r="AU62" s="1774"/>
      <c r="AV62" s="1775"/>
      <c r="AW62" s="1726"/>
      <c r="AX62" s="1594"/>
      <c r="AY62" s="1774"/>
      <c r="AZ62" s="1774"/>
      <c r="BA62" s="1775"/>
      <c r="BB62" s="1726"/>
      <c r="BC62" s="1594"/>
      <c r="BD62" s="1774"/>
      <c r="BE62" s="1774"/>
      <c r="BF62" s="1775"/>
      <c r="BG62" s="1954"/>
      <c r="BH62" s="1594"/>
      <c r="BI62" s="1774"/>
      <c r="BJ62" s="1774"/>
      <c r="BK62" s="1775"/>
      <c r="BL62" s="1726"/>
      <c r="BM62" s="1594"/>
      <c r="BN62" s="1774"/>
      <c r="BO62" s="1774"/>
      <c r="BP62" s="1775"/>
      <c r="BQ62" s="1726"/>
    </row>
    <row r="63" spans="1:74" s="1082" customFormat="1">
      <c r="A63" s="495"/>
      <c r="B63" s="495"/>
      <c r="C63" s="1772" t="s">
        <v>969</v>
      </c>
      <c r="D63" s="495"/>
      <c r="E63" s="427"/>
      <c r="F63" s="428"/>
      <c r="G63" s="428"/>
      <c r="H63" s="429"/>
      <c r="I63" s="495"/>
      <c r="J63" s="427"/>
      <c r="K63" s="428"/>
      <c r="L63" s="428"/>
      <c r="M63" s="429"/>
      <c r="N63" s="495"/>
      <c r="O63" s="427"/>
      <c r="P63" s="428"/>
      <c r="Q63" s="428"/>
      <c r="R63" s="429"/>
      <c r="S63" s="495"/>
      <c r="T63" s="427"/>
      <c r="U63" s="428"/>
      <c r="V63" s="428"/>
      <c r="W63" s="429"/>
      <c r="X63" s="495"/>
      <c r="Y63" s="427"/>
      <c r="Z63" s="428"/>
      <c r="AA63" s="428"/>
      <c r="AB63" s="429"/>
      <c r="AC63" s="1083"/>
      <c r="AD63" s="427"/>
      <c r="AE63" s="428"/>
      <c r="AF63" s="428"/>
      <c r="AG63" s="429"/>
      <c r="AH63" s="1083"/>
      <c r="AI63" s="1906"/>
      <c r="AJ63" s="1907"/>
      <c r="AK63" s="1907"/>
      <c r="AL63" s="363"/>
      <c r="AM63" s="1908"/>
      <c r="AN63" s="1906"/>
      <c r="AO63" s="362"/>
      <c r="AP63" s="1774"/>
      <c r="AQ63" s="1775"/>
      <c r="AR63" s="1726"/>
      <c r="AS63" s="1906"/>
      <c r="AT63" s="1774"/>
      <c r="AU63" s="1774"/>
      <c r="AV63" s="1775"/>
      <c r="AW63" s="1726"/>
      <c r="AX63" s="1594"/>
      <c r="AY63" s="1774"/>
      <c r="AZ63" s="1774"/>
      <c r="BA63" s="1775"/>
      <c r="BB63" s="1726"/>
      <c r="BC63" s="1594"/>
      <c r="BD63" s="1774"/>
      <c r="BE63" s="1774"/>
      <c r="BF63" s="1775"/>
      <c r="BG63" s="1726"/>
      <c r="BH63" s="1594"/>
      <c r="BI63" s="1774"/>
      <c r="BJ63" s="1774"/>
      <c r="BK63" s="1775"/>
      <c r="BL63" s="1726"/>
      <c r="BM63" s="1594"/>
      <c r="BN63" s="1774"/>
      <c r="BO63" s="1774"/>
      <c r="BP63" s="1775"/>
      <c r="BQ63" s="1726"/>
    </row>
    <row r="64" spans="1:74" s="1082" customFormat="1">
      <c r="A64" s="495"/>
      <c r="B64" s="495"/>
      <c r="C64" s="1772" t="s">
        <v>970</v>
      </c>
      <c r="D64" s="495"/>
      <c r="E64" s="427"/>
      <c r="F64" s="428"/>
      <c r="G64" s="428"/>
      <c r="H64" s="429"/>
      <c r="I64" s="495"/>
      <c r="J64" s="427"/>
      <c r="K64" s="428"/>
      <c r="L64" s="428"/>
      <c r="M64" s="429"/>
      <c r="N64" s="495"/>
      <c r="O64" s="427"/>
      <c r="P64" s="428"/>
      <c r="Q64" s="428"/>
      <c r="R64" s="429"/>
      <c r="S64" s="495"/>
      <c r="T64" s="427"/>
      <c r="U64" s="428"/>
      <c r="V64" s="428"/>
      <c r="W64" s="429"/>
      <c r="X64" s="495"/>
      <c r="Y64" s="427"/>
      <c r="Z64" s="428"/>
      <c r="AA64" s="428"/>
      <c r="AB64" s="429"/>
      <c r="AC64" s="1083"/>
      <c r="AD64" s="427"/>
      <c r="AE64" s="428"/>
      <c r="AF64" s="428"/>
      <c r="AG64" s="429"/>
      <c r="AH64" s="1083"/>
      <c r="AI64" s="1906"/>
      <c r="AJ64" s="1907"/>
      <c r="AK64" s="1907"/>
      <c r="AL64" s="363"/>
      <c r="AM64" s="1908"/>
      <c r="AN64" s="1906"/>
      <c r="AO64" s="362"/>
      <c r="AP64" s="1774"/>
      <c r="AQ64" s="1775"/>
      <c r="AR64" s="1726"/>
      <c r="AS64" s="1594"/>
      <c r="AT64" s="1774"/>
      <c r="AU64" s="1774"/>
      <c r="AV64" s="1775"/>
      <c r="AW64" s="1726"/>
      <c r="AX64" s="1594"/>
      <c r="AY64" s="1774"/>
      <c r="AZ64" s="1774"/>
      <c r="BA64" s="1775"/>
      <c r="BB64" s="1726"/>
      <c r="BC64" s="1594"/>
      <c r="BD64" s="1774"/>
      <c r="BE64" s="1774"/>
      <c r="BF64" s="1775"/>
      <c r="BG64" s="1726"/>
      <c r="BH64" s="1594"/>
      <c r="BI64" s="1774"/>
      <c r="BJ64" s="1774"/>
      <c r="BK64" s="1775"/>
      <c r="BL64" s="1726"/>
      <c r="BM64" s="1594"/>
      <c r="BN64" s="1774"/>
      <c r="BO64" s="1774"/>
      <c r="BP64" s="1775"/>
      <c r="BQ64" s="1726"/>
    </row>
    <row r="65" spans="1:74">
      <c r="A65" s="5"/>
      <c r="B65" s="5"/>
      <c r="C65" s="1178"/>
      <c r="D65" s="5"/>
      <c r="E65" s="409"/>
      <c r="F65" s="410"/>
      <c r="G65" s="410"/>
      <c r="H65" s="411"/>
      <c r="I65" s="412"/>
      <c r="J65" s="409"/>
      <c r="K65" s="410"/>
      <c r="L65" s="410"/>
      <c r="M65" s="411"/>
      <c r="N65" s="412"/>
      <c r="O65" s="409"/>
      <c r="P65" s="410"/>
      <c r="Q65" s="410"/>
      <c r="R65" s="411"/>
      <c r="S65" s="412"/>
      <c r="T65" s="151"/>
      <c r="U65" s="152"/>
      <c r="V65" s="152"/>
      <c r="W65" s="153"/>
      <c r="X65" s="27"/>
      <c r="Y65" s="1044"/>
      <c r="Z65" s="152"/>
      <c r="AA65" s="152"/>
      <c r="AB65" s="153"/>
      <c r="AC65" s="27"/>
      <c r="AD65" s="151"/>
      <c r="AE65" s="152"/>
      <c r="AF65" s="152"/>
      <c r="AG65" s="153"/>
      <c r="AH65" s="85"/>
      <c r="AI65" s="151"/>
      <c r="AJ65" s="152"/>
      <c r="AK65" s="152"/>
      <c r="AL65" s="153"/>
      <c r="AM65" s="27"/>
      <c r="AN65" s="151"/>
      <c r="AO65" s="152"/>
      <c r="AP65" s="152"/>
      <c r="AQ65" s="153"/>
      <c r="AR65" s="1717"/>
      <c r="AS65" s="151"/>
      <c r="AT65" s="152"/>
      <c r="AU65" s="152"/>
      <c r="AV65" s="153"/>
      <c r="AW65" s="1726"/>
      <c r="AX65" s="151"/>
      <c r="AY65" s="152"/>
      <c r="AZ65" s="152"/>
      <c r="BA65" s="153"/>
      <c r="BB65" s="1785"/>
      <c r="BC65" s="151"/>
      <c r="BD65" s="152"/>
      <c r="BE65" s="152"/>
      <c r="BF65" s="153"/>
      <c r="BG65" s="27"/>
      <c r="BH65" s="151"/>
      <c r="BI65" s="152"/>
      <c r="BJ65" s="152"/>
      <c r="BK65" s="153"/>
      <c r="BL65" s="27"/>
      <c r="BM65" s="151"/>
      <c r="BN65" s="152"/>
      <c r="BO65" s="152"/>
      <c r="BP65" s="153"/>
      <c r="BQ65" s="27"/>
    </row>
    <row r="66" spans="1:74">
      <c r="A66" s="5"/>
      <c r="B66" s="91" t="s">
        <v>727</v>
      </c>
      <c r="C66" s="1179"/>
      <c r="D66" s="416"/>
      <c r="E66" s="133"/>
      <c r="F66" s="134"/>
      <c r="G66" s="134"/>
      <c r="H66" s="135"/>
      <c r="I66" s="5"/>
      <c r="J66" s="133"/>
      <c r="K66" s="134"/>
      <c r="L66" s="134"/>
      <c r="M66" s="135"/>
      <c r="N66" s="5"/>
      <c r="O66" s="133"/>
      <c r="P66" s="134"/>
      <c r="Q66" s="134"/>
      <c r="R66" s="135"/>
      <c r="S66" s="5"/>
      <c r="T66" s="133"/>
      <c r="U66" s="134"/>
      <c r="V66" s="134"/>
      <c r="W66" s="135"/>
      <c r="X66" s="5"/>
      <c r="Y66" s="133"/>
      <c r="Z66" s="134"/>
      <c r="AA66" s="134"/>
      <c r="AB66" s="135"/>
      <c r="AC66" s="5"/>
      <c r="AD66" s="133"/>
      <c r="AE66" s="134"/>
      <c r="AF66" s="134"/>
      <c r="AG66" s="135"/>
      <c r="AH66" s="5"/>
      <c r="AI66" s="133"/>
      <c r="AJ66" s="134"/>
      <c r="AK66" s="134"/>
      <c r="AL66" s="135"/>
      <c r="AM66" s="5"/>
      <c r="AN66" s="133"/>
      <c r="AO66" s="134"/>
      <c r="AP66" s="134"/>
      <c r="AQ66" s="135"/>
      <c r="AR66" s="5"/>
      <c r="AS66" s="133"/>
      <c r="AT66" s="134"/>
      <c r="AU66" s="134"/>
      <c r="AV66" s="135"/>
      <c r="AW66" s="5"/>
      <c r="AX66" s="133"/>
      <c r="AY66" s="134"/>
      <c r="AZ66" s="134"/>
      <c r="BA66" s="135"/>
      <c r="BB66" s="5"/>
      <c r="BC66" s="133"/>
      <c r="BD66" s="134"/>
      <c r="BE66" s="134"/>
      <c r="BF66" s="135"/>
      <c r="BG66" s="5"/>
      <c r="BH66" s="133"/>
      <c r="BI66" s="134"/>
      <c r="BJ66" s="134"/>
      <c r="BK66" s="135"/>
      <c r="BL66" s="5"/>
      <c r="BM66" s="133"/>
      <c r="BN66" s="134"/>
      <c r="BO66" s="134"/>
      <c r="BP66" s="135"/>
      <c r="BQ66" s="5"/>
      <c r="BS66" s="1956"/>
      <c r="BT66" s="1957"/>
      <c r="BU66" s="1958"/>
      <c r="BV66" s="1973" t="s">
        <v>984</v>
      </c>
    </row>
    <row r="67" spans="1:74">
      <c r="A67" s="5"/>
      <c r="B67" s="5"/>
      <c r="C67" s="1180" t="s">
        <v>140</v>
      </c>
      <c r="D67" s="231"/>
      <c r="E67" s="1068"/>
      <c r="F67" s="1068"/>
      <c r="G67" s="1068"/>
      <c r="H67" s="1069"/>
      <c r="I67" s="1108"/>
      <c r="J67" s="1067">
        <f>J107/E107-1-J124</f>
        <v>7.868702826048804E-2</v>
      </c>
      <c r="K67" s="1068">
        <f>K107/F107-1-K124</f>
        <v>6.5534043941701162E-2</v>
      </c>
      <c r="L67" s="1068">
        <f>L107/G107-1-L124</f>
        <v>2.042665460575907E-2</v>
      </c>
      <c r="M67" s="1069">
        <f>M107/H107-1-M124</f>
        <v>3.8472167767622606E-2</v>
      </c>
      <c r="N67" s="1108">
        <f t="shared" ref="N67:W67" si="183">N107/I107-1</f>
        <v>8.4316962664282791E-2</v>
      </c>
      <c r="O67" s="1067">
        <f t="shared" si="183"/>
        <v>5.8247779262636801E-3</v>
      </c>
      <c r="P67" s="1068">
        <f t="shared" si="183"/>
        <v>2.9257344395014151E-2</v>
      </c>
      <c r="Q67" s="1068">
        <f t="shared" si="183"/>
        <v>2.3825902069914306E-2</v>
      </c>
      <c r="R67" s="1070">
        <f t="shared" si="183"/>
        <v>-1.8301901806318188E-2</v>
      </c>
      <c r="S67" s="1108">
        <f t="shared" si="183"/>
        <v>1.0977629779832299E-2</v>
      </c>
      <c r="T67" s="1067">
        <f t="shared" si="183"/>
        <v>-3.4395753310819011E-2</v>
      </c>
      <c r="U67" s="1068">
        <f t="shared" si="183"/>
        <v>1.6354503329309544E-2</v>
      </c>
      <c r="V67" s="1068">
        <f t="shared" si="183"/>
        <v>-3.9396530662106022E-2</v>
      </c>
      <c r="W67" s="1070">
        <f t="shared" si="183"/>
        <v>2.6748804409499893E-3</v>
      </c>
      <c r="X67" s="1108">
        <f t="shared" ref="X67:AC67" si="184">X107/S107-1</f>
        <v>-1.5495505468556381E-2</v>
      </c>
      <c r="Y67" s="1067">
        <f t="shared" si="184"/>
        <v>2.0518008903277929E-2</v>
      </c>
      <c r="Z67" s="1068">
        <f t="shared" si="184"/>
        <v>-4.2143979157886702E-2</v>
      </c>
      <c r="AA67" s="1068">
        <f t="shared" si="184"/>
        <v>-5.0867934126019865E-4</v>
      </c>
      <c r="AB67" s="1070">
        <f t="shared" si="184"/>
        <v>5.5982215036378236E-2</v>
      </c>
      <c r="AC67" s="1108">
        <f t="shared" si="184"/>
        <v>7.2519975702070028E-3</v>
      </c>
      <c r="AD67" s="1067">
        <f t="shared" ref="AD67" si="185">AD107/Y107-1</f>
        <v>9.1485902367450578E-2</v>
      </c>
      <c r="AE67" s="1068">
        <f t="shared" ref="AE67" si="186">AE107/Z107-1</f>
        <v>2.0639174433022767E-2</v>
      </c>
      <c r="AF67" s="1068">
        <f t="shared" ref="AF67" si="187">AF107/AA107-1</f>
        <v>-2.8627775303768921E-4</v>
      </c>
      <c r="AG67" s="1070">
        <f t="shared" ref="AG67" si="188">AG107/AB107-1</f>
        <v>1.2057416267942545E-2</v>
      </c>
      <c r="AH67" s="1108">
        <f t="shared" ref="AH67" si="189">AH107/AC107-1</f>
        <v>2.903109082305777E-2</v>
      </c>
      <c r="AI67" s="1067">
        <f t="shared" ref="AI67" si="190">AI107/AD107-1</f>
        <v>-1.3515477401540466E-2</v>
      </c>
      <c r="AJ67" s="1068">
        <f t="shared" ref="AJ67" si="191">AJ107/AE107-1</f>
        <v>3.5270603911117249E-3</v>
      </c>
      <c r="AK67" s="1068">
        <f t="shared" ref="AK67" si="192">AK107/AF107-1</f>
        <v>6.3030958668745418E-2</v>
      </c>
      <c r="AL67" s="1070">
        <f t="shared" ref="AL67" si="193">AL107/AG107-1</f>
        <v>-1.1232980332829046E-2</v>
      </c>
      <c r="AM67" s="1108">
        <f t="shared" ref="AM67" si="194">AM107/AH107-1</f>
        <v>1.2640879992786846E-2</v>
      </c>
      <c r="AN67" s="1067">
        <f t="shared" ref="AN67" si="195">AN107/AI107-1</f>
        <v>-3.126841484973486E-2</v>
      </c>
      <c r="AO67" s="1068">
        <f t="shared" ref="AO67" si="196">AO107/AJ107-1</f>
        <v>1.4410122232202172E-2</v>
      </c>
      <c r="AP67" s="1068">
        <f t="shared" ref="AP67" si="197">AP107/AK107-1</f>
        <v>-6.6746483088895303E-3</v>
      </c>
      <c r="AQ67" s="1070">
        <f t="shared" ref="AQ67" si="198">AQ107/AL107-1</f>
        <v>3.771564089813717E-2</v>
      </c>
      <c r="AR67" s="1108">
        <f t="shared" ref="AR67:AU67" si="199">AR107/AM107-1</f>
        <v>2.5197663651257418E-3</v>
      </c>
      <c r="AS67" s="1067">
        <f t="shared" si="199"/>
        <v>-1.9655552598562887E-2</v>
      </c>
      <c r="AT67" s="1068">
        <f t="shared" si="199"/>
        <v>4.1114875269479434E-2</v>
      </c>
      <c r="AU67" s="1068">
        <f t="shared" si="199"/>
        <v>-2.7058788079669771E-2</v>
      </c>
      <c r="AV67" s="1070">
        <f t="shared" ref="AV67" si="200">AV107/AQ107-1</f>
        <v>2.2558885325666189E-2</v>
      </c>
      <c r="AW67" s="1108">
        <f t="shared" ref="AW67" si="201">AW107/AR107-1</f>
        <v>2.3535680980504292E-3</v>
      </c>
      <c r="AX67" s="1071">
        <f>BB67-AS124</f>
        <v>3.3000000000000002E-2</v>
      </c>
      <c r="AY67" s="1072">
        <f>BB67-AT124</f>
        <v>9.3636363636363622E-3</v>
      </c>
      <c r="AZ67" s="1072">
        <f>BB67-AU124</f>
        <v>3.8454545454545457E-2</v>
      </c>
      <c r="BA67" s="1070">
        <f>BB67-AV124</f>
        <v>-2.0333333333333332E-2</v>
      </c>
      <c r="BB67" s="1073">
        <v>-7.0000000000000001E-3</v>
      </c>
      <c r="BC67" s="1071">
        <f>BG67-AX124</f>
        <v>6.0000000000000001E-3</v>
      </c>
      <c r="BD67" s="1072">
        <f>BG67-AY124</f>
        <v>6.0000000000000001E-3</v>
      </c>
      <c r="BE67" s="1072">
        <f>BG67-AZ124</f>
        <v>6.0000000000000001E-3</v>
      </c>
      <c r="BF67" s="1070">
        <f>BG67-BA124</f>
        <v>6.0000000000000001E-3</v>
      </c>
      <c r="BG67" s="1073">
        <v>6.0000000000000001E-3</v>
      </c>
      <c r="BH67" s="1071">
        <f>BL67-BC124</f>
        <v>6.0000000000000001E-3</v>
      </c>
      <c r="BI67" s="1072">
        <f>BL67-BD124</f>
        <v>6.0000000000000001E-3</v>
      </c>
      <c r="BJ67" s="1072">
        <f>BL67-BE124</f>
        <v>6.0000000000000001E-3</v>
      </c>
      <c r="BK67" s="1070">
        <f>BL67-BF124</f>
        <v>6.0000000000000001E-3</v>
      </c>
      <c r="BL67" s="1680">
        <v>6.0000000000000001E-3</v>
      </c>
      <c r="BM67" s="1071">
        <f>BQ67-BH124</f>
        <v>6.0000000000000001E-3</v>
      </c>
      <c r="BN67" s="1072">
        <f>BQ67-BI124</f>
        <v>6.0000000000000001E-3</v>
      </c>
      <c r="BO67" s="1072">
        <f>BQ67-BJ124</f>
        <v>6.0000000000000001E-3</v>
      </c>
      <c r="BP67" s="1070">
        <f>BQ67-BK124</f>
        <v>6.0000000000000001E-3</v>
      </c>
      <c r="BQ67" s="1680">
        <v>6.0000000000000001E-3</v>
      </c>
      <c r="BR67" s="1588"/>
      <c r="BS67" s="1588"/>
      <c r="BT67" s="1959"/>
      <c r="BU67" s="1960" t="s">
        <v>978</v>
      </c>
      <c r="BV67" s="1969">
        <v>1.7500000000000002E-2</v>
      </c>
    </row>
    <row r="68" spans="1:74">
      <c r="A68" s="5"/>
      <c r="B68" s="5"/>
      <c r="C68" s="1181" t="s">
        <v>61</v>
      </c>
      <c r="D68" s="5"/>
      <c r="E68" s="163"/>
      <c r="F68" s="163"/>
      <c r="G68" s="163"/>
      <c r="H68" s="164"/>
      <c r="I68" s="5"/>
      <c r="J68" s="154"/>
      <c r="K68" s="162"/>
      <c r="L68" s="162"/>
      <c r="M68" s="196"/>
      <c r="N68" s="5"/>
      <c r="O68" s="154"/>
      <c r="P68" s="162"/>
      <c r="Q68" s="162"/>
      <c r="R68" s="196"/>
      <c r="S68" s="5"/>
      <c r="T68" s="154"/>
      <c r="U68" s="162"/>
      <c r="V68" s="162"/>
      <c r="W68" s="196"/>
      <c r="X68" s="5"/>
      <c r="Y68" s="154"/>
      <c r="Z68" s="162"/>
      <c r="AA68" s="162"/>
      <c r="AB68" s="196"/>
      <c r="AC68" s="5"/>
      <c r="AD68" s="154"/>
      <c r="AE68" s="162"/>
      <c r="AF68" s="162"/>
      <c r="AG68" s="196"/>
      <c r="AH68" s="5"/>
      <c r="AI68" s="154"/>
      <c r="AJ68" s="162"/>
      <c r="AK68" s="162"/>
      <c r="AL68" s="196"/>
      <c r="AM68" s="5"/>
      <c r="AN68" s="154"/>
      <c r="AO68" s="162"/>
      <c r="AP68" s="162"/>
      <c r="AQ68" s="196"/>
      <c r="AR68" s="1046"/>
      <c r="AS68" s="154"/>
      <c r="AT68" s="162"/>
      <c r="AU68" s="162"/>
      <c r="AV68" s="196"/>
      <c r="AW68" s="1046"/>
      <c r="AX68" s="158">
        <f>BB68</f>
        <v>0</v>
      </c>
      <c r="AY68" s="159">
        <f>BB68</f>
        <v>0</v>
      </c>
      <c r="AZ68" s="159">
        <f>BB68</f>
        <v>0</v>
      </c>
      <c r="BA68" s="160">
        <f>BB68</f>
        <v>0</v>
      </c>
      <c r="BB68" s="1046">
        <v>0</v>
      </c>
      <c r="BC68" s="158">
        <f>BG68</f>
        <v>0</v>
      </c>
      <c r="BD68" s="159">
        <f>BG68</f>
        <v>0</v>
      </c>
      <c r="BE68" s="159">
        <f>BG68</f>
        <v>0</v>
      </c>
      <c r="BF68" s="160">
        <f>BG68</f>
        <v>0</v>
      </c>
      <c r="BG68" s="1046">
        <v>0</v>
      </c>
      <c r="BH68" s="158">
        <f>BL68</f>
        <v>0</v>
      </c>
      <c r="BI68" s="159">
        <f>BL68</f>
        <v>0</v>
      </c>
      <c r="BJ68" s="159">
        <f>BL68</f>
        <v>0</v>
      </c>
      <c r="BK68" s="160">
        <f>BL68</f>
        <v>0</v>
      </c>
      <c r="BL68" s="1681">
        <v>0</v>
      </c>
      <c r="BM68" s="158">
        <f>BQ68</f>
        <v>0</v>
      </c>
      <c r="BN68" s="159">
        <f>BQ68</f>
        <v>0</v>
      </c>
      <c r="BO68" s="159">
        <f>BQ68</f>
        <v>0</v>
      </c>
      <c r="BP68" s="160">
        <f>BQ68</f>
        <v>0</v>
      </c>
      <c r="BQ68" s="1681">
        <v>0</v>
      </c>
      <c r="BR68" s="1588"/>
      <c r="BS68" s="1588"/>
      <c r="BT68" s="1959"/>
      <c r="BU68" s="1960" t="s">
        <v>979</v>
      </c>
      <c r="BV68" s="1969">
        <v>0.01</v>
      </c>
    </row>
    <row r="69" spans="1:74" ht="12.75" customHeight="1">
      <c r="A69" s="320"/>
      <c r="B69" s="320"/>
      <c r="C69" s="1182"/>
      <c r="D69" s="320"/>
      <c r="E69" s="163"/>
      <c r="F69" s="163"/>
      <c r="G69" s="163"/>
      <c r="H69" s="164"/>
      <c r="I69" s="435"/>
      <c r="J69" s="161"/>
      <c r="K69" s="163"/>
      <c r="L69" s="163"/>
      <c r="M69" s="164"/>
      <c r="N69" s="111"/>
      <c r="O69" s="332"/>
      <c r="P69" s="333"/>
      <c r="Q69" s="333"/>
      <c r="R69" s="334"/>
      <c r="S69" s="435"/>
      <c r="T69" s="332"/>
      <c r="U69" s="333"/>
      <c r="V69" s="333"/>
      <c r="W69" s="334"/>
      <c r="X69" s="435"/>
      <c r="Y69" s="332"/>
      <c r="Z69" s="333"/>
      <c r="AA69" s="333"/>
      <c r="AB69" s="334"/>
      <c r="AC69" s="435"/>
      <c r="AD69" s="332"/>
      <c r="AE69" s="333"/>
      <c r="AF69" s="333"/>
      <c r="AG69" s="334"/>
      <c r="AH69" s="435"/>
      <c r="AI69" s="332"/>
      <c r="AJ69" s="333"/>
      <c r="AK69" s="333"/>
      <c r="AL69" s="334"/>
      <c r="AM69" s="435"/>
      <c r="AN69" s="332"/>
      <c r="AO69" s="333"/>
      <c r="AP69" s="333"/>
      <c r="AQ69" s="334"/>
      <c r="AR69" s="435"/>
      <c r="AS69" s="332"/>
      <c r="AT69" s="333"/>
      <c r="AU69" s="333"/>
      <c r="AV69" s="334"/>
      <c r="AW69" s="435"/>
      <c r="AX69" s="332"/>
      <c r="AY69" s="333"/>
      <c r="AZ69" s="333"/>
      <c r="BA69" s="334"/>
      <c r="BB69" s="435"/>
      <c r="BC69" s="332"/>
      <c r="BD69" s="333"/>
      <c r="BE69" s="333"/>
      <c r="BF69" s="334"/>
      <c r="BG69" s="435"/>
      <c r="BH69" s="332"/>
      <c r="BI69" s="333"/>
      <c r="BJ69" s="333"/>
      <c r="BK69" s="334"/>
      <c r="BL69" s="435"/>
      <c r="BM69" s="332"/>
      <c r="BN69" s="333"/>
      <c r="BO69" s="333"/>
      <c r="BP69" s="334"/>
      <c r="BQ69" s="435"/>
      <c r="BR69" s="1588"/>
      <c r="BS69" s="1961"/>
      <c r="BT69" s="1959"/>
      <c r="BU69" s="1960" t="s">
        <v>980</v>
      </c>
      <c r="BV69" s="1969">
        <f>BV67/(BV68*0.6)/100</f>
        <v>2.9166666666666671E-2</v>
      </c>
    </row>
    <row r="70" spans="1:74" ht="12.75" customHeight="1">
      <c r="A70" s="320"/>
      <c r="B70" s="320"/>
      <c r="C70" s="1182" t="s">
        <v>813</v>
      </c>
      <c r="D70" s="320"/>
      <c r="E70" s="163"/>
      <c r="F70" s="163"/>
      <c r="G70" s="163"/>
      <c r="H70" s="164"/>
      <c r="I70" s="320"/>
      <c r="J70" s="161"/>
      <c r="K70" s="163"/>
      <c r="L70" s="163"/>
      <c r="M70" s="164"/>
      <c r="N70" s="111"/>
      <c r="O70" s="319"/>
      <c r="P70" s="316"/>
      <c r="Q70" s="436"/>
      <c r="R70" s="437"/>
      <c r="S70" s="320"/>
      <c r="T70" s="319"/>
      <c r="U70" s="316"/>
      <c r="V70" s="436"/>
      <c r="W70" s="437"/>
      <c r="X70" s="320"/>
      <c r="Y70" s="319"/>
      <c r="Z70" s="316"/>
      <c r="AA70" s="436"/>
      <c r="AB70" s="437"/>
      <c r="AC70" s="320"/>
      <c r="AD70" s="319"/>
      <c r="AE70" s="316"/>
      <c r="AF70" s="436"/>
      <c r="AG70" s="437"/>
      <c r="AH70" s="320"/>
      <c r="AI70" s="319"/>
      <c r="AJ70" s="316"/>
      <c r="AK70" s="436"/>
      <c r="AL70" s="437"/>
      <c r="AM70" s="320"/>
      <c r="AN70" s="319"/>
      <c r="AO70" s="316"/>
      <c r="AP70" s="436"/>
      <c r="AQ70" s="437"/>
      <c r="AR70" s="1259">
        <v>128</v>
      </c>
      <c r="AS70" s="319"/>
      <c r="AT70" s="316"/>
      <c r="AU70" s="436"/>
      <c r="AV70" s="437"/>
      <c r="AW70" s="1259"/>
      <c r="AX70" s="321">
        <f>BB70/4</f>
        <v>8.75</v>
      </c>
      <c r="AY70" s="322">
        <f>BB70/4</f>
        <v>8.75</v>
      </c>
      <c r="AZ70" s="322">
        <f>BB70/4</f>
        <v>8.75</v>
      </c>
      <c r="BA70" s="323">
        <f>BB70/4</f>
        <v>8.75</v>
      </c>
      <c r="BB70" s="1259">
        <v>35</v>
      </c>
      <c r="BC70" s="321">
        <f>BG70/4</f>
        <v>20</v>
      </c>
      <c r="BD70" s="322">
        <f>BG70/4</f>
        <v>20</v>
      </c>
      <c r="BE70" s="322">
        <f>BG70/4</f>
        <v>20</v>
      </c>
      <c r="BF70" s="323">
        <f>BG70/4</f>
        <v>20</v>
      </c>
      <c r="BG70" s="1259">
        <v>80</v>
      </c>
      <c r="BH70" s="321">
        <f>BL70/4</f>
        <v>23.75</v>
      </c>
      <c r="BI70" s="322">
        <f>BL70/4</f>
        <v>23.75</v>
      </c>
      <c r="BJ70" s="322">
        <f>BL70/4</f>
        <v>23.75</v>
      </c>
      <c r="BK70" s="323">
        <f>BL70/4</f>
        <v>23.75</v>
      </c>
      <c r="BL70" s="1679">
        <v>95</v>
      </c>
      <c r="BM70" s="321">
        <f>BQ70/4</f>
        <v>20</v>
      </c>
      <c r="BN70" s="322">
        <f>BQ70/4</f>
        <v>20</v>
      </c>
      <c r="BO70" s="322">
        <f>BQ70/4</f>
        <v>20</v>
      </c>
      <c r="BP70" s="323">
        <f>BQ70/4</f>
        <v>20</v>
      </c>
      <c r="BQ70" s="1679">
        <v>80</v>
      </c>
      <c r="BR70" s="1588"/>
      <c r="BS70" s="1962"/>
      <c r="BT70" s="1963"/>
      <c r="BU70" s="1964"/>
      <c r="BV70" s="1970"/>
    </row>
    <row r="71" spans="1:74" ht="12.75" customHeight="1">
      <c r="A71" s="320"/>
      <c r="B71" s="320"/>
      <c r="C71" s="1182" t="s">
        <v>815</v>
      </c>
      <c r="D71" s="320"/>
      <c r="E71" s="163"/>
      <c r="F71" s="163"/>
      <c r="G71" s="163"/>
      <c r="H71" s="164"/>
      <c r="I71" s="320"/>
      <c r="J71" s="161"/>
      <c r="K71" s="163"/>
      <c r="L71" s="163"/>
      <c r="M71" s="164"/>
      <c r="N71" s="111"/>
      <c r="O71" s="319"/>
      <c r="P71" s="316"/>
      <c r="Q71" s="316"/>
      <c r="R71" s="317"/>
      <c r="S71" s="320"/>
      <c r="T71" s="319"/>
      <c r="U71" s="316"/>
      <c r="V71" s="316"/>
      <c r="W71" s="317"/>
      <c r="X71" s="320"/>
      <c r="Y71" s="319"/>
      <c r="Z71" s="316"/>
      <c r="AA71" s="316"/>
      <c r="AB71" s="317"/>
      <c r="AC71" s="320"/>
      <c r="AD71" s="319"/>
      <c r="AE71" s="316"/>
      <c r="AF71" s="316"/>
      <c r="AG71" s="317"/>
      <c r="AH71" s="320"/>
      <c r="AI71" s="319"/>
      <c r="AJ71" s="316"/>
      <c r="AK71" s="316"/>
      <c r="AL71" s="317"/>
      <c r="AM71" s="320"/>
      <c r="AN71" s="319"/>
      <c r="AO71" s="316"/>
      <c r="AP71" s="316"/>
      <c r="AQ71" s="317"/>
      <c r="AR71" s="320"/>
      <c r="AS71" s="319"/>
      <c r="AT71" s="316"/>
      <c r="AU71" s="316"/>
      <c r="AV71" s="317"/>
      <c r="AW71" s="320"/>
      <c r="AX71" s="321">
        <f>BB71/4</f>
        <v>3.75</v>
      </c>
      <c r="AY71" s="322">
        <f>BB71/4</f>
        <v>3.75</v>
      </c>
      <c r="AZ71" s="322">
        <f>BB71/4</f>
        <v>3.75</v>
      </c>
      <c r="BA71" s="323">
        <f>BB71/4</f>
        <v>3.75</v>
      </c>
      <c r="BB71" s="1259">
        <v>15</v>
      </c>
      <c r="BC71" s="321">
        <f>BG71/4</f>
        <v>18.75</v>
      </c>
      <c r="BD71" s="322">
        <f>BG71/4</f>
        <v>18.75</v>
      </c>
      <c r="BE71" s="322">
        <f>BG71/4</f>
        <v>18.75</v>
      </c>
      <c r="BF71" s="323">
        <f>BG71/4</f>
        <v>18.75</v>
      </c>
      <c r="BG71" s="1259">
        <v>75</v>
      </c>
      <c r="BH71" s="321">
        <f>BL71/4</f>
        <v>22.5</v>
      </c>
      <c r="BI71" s="322">
        <f>BL71/4</f>
        <v>22.5</v>
      </c>
      <c r="BJ71" s="322">
        <f>BL71/4</f>
        <v>22.5</v>
      </c>
      <c r="BK71" s="323">
        <f>BL71/4</f>
        <v>22.5</v>
      </c>
      <c r="BL71" s="1679">
        <v>90</v>
      </c>
      <c r="BM71" s="321">
        <f>BQ71/4</f>
        <v>17.5</v>
      </c>
      <c r="BN71" s="322">
        <f>BQ71/4</f>
        <v>17.5</v>
      </c>
      <c r="BO71" s="322">
        <f>BQ71/4</f>
        <v>17.5</v>
      </c>
      <c r="BP71" s="323">
        <f>BQ71/4</f>
        <v>17.5</v>
      </c>
      <c r="BQ71" s="1679">
        <v>70</v>
      </c>
      <c r="BR71" s="1588"/>
      <c r="BS71" s="1588"/>
      <c r="BT71" s="1959"/>
      <c r="BU71" s="1965" t="s">
        <v>981</v>
      </c>
      <c r="BV71" s="1969">
        <v>5.0000000000000001E-3</v>
      </c>
    </row>
    <row r="72" spans="1:74" ht="12.75" customHeight="1">
      <c r="A72" s="320"/>
      <c r="B72" s="320"/>
      <c r="C72" s="1182" t="s">
        <v>839</v>
      </c>
      <c r="D72" s="320"/>
      <c r="E72" s="163"/>
      <c r="F72" s="163"/>
      <c r="G72" s="163"/>
      <c r="H72" s="164"/>
      <c r="I72" s="320"/>
      <c r="J72" s="161"/>
      <c r="K72" s="163"/>
      <c r="L72" s="163"/>
      <c r="M72" s="164"/>
      <c r="N72" s="111"/>
      <c r="O72" s="319"/>
      <c r="P72" s="316"/>
      <c r="Q72" s="316"/>
      <c r="R72" s="317"/>
      <c r="S72" s="320"/>
      <c r="T72" s="319"/>
      <c r="U72" s="316"/>
      <c r="V72" s="316"/>
      <c r="W72" s="317"/>
      <c r="X72" s="320"/>
      <c r="Y72" s="319"/>
      <c r="Z72" s="316"/>
      <c r="AA72" s="316"/>
      <c r="AB72" s="317"/>
      <c r="AC72" s="320"/>
      <c r="AD72" s="319"/>
      <c r="AE72" s="316"/>
      <c r="AF72" s="316"/>
      <c r="AG72" s="317"/>
      <c r="AH72" s="320"/>
      <c r="AI72" s="319"/>
      <c r="AJ72" s="316"/>
      <c r="AK72" s="316"/>
      <c r="AL72" s="317"/>
      <c r="AM72" s="320"/>
      <c r="AN72" s="319"/>
      <c r="AO72" s="316"/>
      <c r="AP72" s="316"/>
      <c r="AQ72" s="317"/>
      <c r="AR72" s="320"/>
      <c r="AS72" s="319"/>
      <c r="AT72" s="316"/>
      <c r="AU72" s="316"/>
      <c r="AV72" s="317"/>
      <c r="AW72" s="320"/>
      <c r="AX72" s="321">
        <f>BB72/4</f>
        <v>2.5</v>
      </c>
      <c r="AY72" s="322">
        <f>BB72/4</f>
        <v>2.5</v>
      </c>
      <c r="AZ72" s="322">
        <f>BB72/4</f>
        <v>2.5</v>
      </c>
      <c r="BA72" s="323">
        <f>BB72/4</f>
        <v>2.5</v>
      </c>
      <c r="BB72" s="1259">
        <v>10</v>
      </c>
      <c r="BC72" s="321">
        <f>BG72/4</f>
        <v>15</v>
      </c>
      <c r="BD72" s="322">
        <f>BG72/4</f>
        <v>15</v>
      </c>
      <c r="BE72" s="322">
        <f>BG72/4</f>
        <v>15</v>
      </c>
      <c r="BF72" s="323">
        <f>BG72/4</f>
        <v>15</v>
      </c>
      <c r="BG72" s="1259">
        <v>60</v>
      </c>
      <c r="BH72" s="321">
        <f>BL72/4</f>
        <v>17.5</v>
      </c>
      <c r="BI72" s="322">
        <f>BL72/4</f>
        <v>17.5</v>
      </c>
      <c r="BJ72" s="322">
        <f>BL72/4</f>
        <v>17.5</v>
      </c>
      <c r="BK72" s="323">
        <f>BL72/4</f>
        <v>17.5</v>
      </c>
      <c r="BL72" s="1679">
        <v>70</v>
      </c>
      <c r="BM72" s="321">
        <f>BQ72/4</f>
        <v>13.75</v>
      </c>
      <c r="BN72" s="322">
        <f>BQ72/4</f>
        <v>13.75</v>
      </c>
      <c r="BO72" s="322">
        <f>BQ72/4</f>
        <v>13.75</v>
      </c>
      <c r="BP72" s="323">
        <f>BQ72/4</f>
        <v>13.75</v>
      </c>
      <c r="BQ72" s="1679">
        <v>55</v>
      </c>
      <c r="BR72" s="1588"/>
      <c r="BS72" s="1588"/>
      <c r="BT72" s="1959"/>
      <c r="BU72" s="1960" t="s">
        <v>983</v>
      </c>
      <c r="BV72" s="1971">
        <f>BV71*0.6+BV69*0.4</f>
        <v>1.4666666666666668E-2</v>
      </c>
    </row>
    <row r="73" spans="1:74" ht="12.75" customHeight="1">
      <c r="A73" s="320"/>
      <c r="B73" s="320"/>
      <c r="C73" s="1182" t="s">
        <v>814</v>
      </c>
      <c r="D73" s="320"/>
      <c r="E73" s="163"/>
      <c r="F73" s="163"/>
      <c r="G73" s="163"/>
      <c r="H73" s="164"/>
      <c r="I73" s="320"/>
      <c r="J73" s="161"/>
      <c r="K73" s="163"/>
      <c r="L73" s="163"/>
      <c r="M73" s="164"/>
      <c r="N73" s="111"/>
      <c r="O73" s="438"/>
      <c r="P73" s="316"/>
      <c r="Q73" s="316"/>
      <c r="R73" s="317"/>
      <c r="S73" s="320"/>
      <c r="T73" s="438"/>
      <c r="U73" s="316"/>
      <c r="V73" s="316"/>
      <c r="W73" s="317"/>
      <c r="X73" s="320"/>
      <c r="Y73" s="438"/>
      <c r="Z73" s="316"/>
      <c r="AA73" s="316"/>
      <c r="AB73" s="317"/>
      <c r="AC73" s="320"/>
      <c r="AD73" s="438"/>
      <c r="AE73" s="316"/>
      <c r="AF73" s="316"/>
      <c r="AG73" s="317"/>
      <c r="AH73" s="320"/>
      <c r="AI73" s="438"/>
      <c r="AJ73" s="316"/>
      <c r="AK73" s="316"/>
      <c r="AL73" s="317"/>
      <c r="AM73" s="320"/>
      <c r="AN73" s="438"/>
      <c r="AO73" s="316"/>
      <c r="AP73" s="316"/>
      <c r="AQ73" s="317"/>
      <c r="AR73" s="320"/>
      <c r="AS73" s="438"/>
      <c r="AT73" s="316"/>
      <c r="AU73" s="316"/>
      <c r="AV73" s="317"/>
      <c r="AW73" s="320"/>
      <c r="AX73" s="321">
        <f>BB73/4</f>
        <v>2.5</v>
      </c>
      <c r="AY73" s="322">
        <f>BB73/4</f>
        <v>2.5</v>
      </c>
      <c r="AZ73" s="322">
        <f>BB73/4</f>
        <v>2.5</v>
      </c>
      <c r="BA73" s="323">
        <f>BB73/4</f>
        <v>2.5</v>
      </c>
      <c r="BB73" s="1259">
        <v>10</v>
      </c>
      <c r="BC73" s="321">
        <f>BG73/4</f>
        <v>12.5</v>
      </c>
      <c r="BD73" s="322">
        <f>BG73/4</f>
        <v>12.5</v>
      </c>
      <c r="BE73" s="322">
        <f>BG73/4</f>
        <v>12.5</v>
      </c>
      <c r="BF73" s="323">
        <f>BG73/4</f>
        <v>12.5</v>
      </c>
      <c r="BG73" s="1259">
        <v>50</v>
      </c>
      <c r="BH73" s="321">
        <f>BL73/4</f>
        <v>13</v>
      </c>
      <c r="BI73" s="322">
        <f>BL73/4</f>
        <v>13</v>
      </c>
      <c r="BJ73" s="322">
        <f>BL73/4</f>
        <v>13</v>
      </c>
      <c r="BK73" s="323">
        <f>BL73/4</f>
        <v>13</v>
      </c>
      <c r="BL73" s="1679">
        <v>52</v>
      </c>
      <c r="BM73" s="321">
        <f>BQ73/4</f>
        <v>12.5</v>
      </c>
      <c r="BN73" s="322">
        <f>BQ73/4</f>
        <v>12.5</v>
      </c>
      <c r="BO73" s="322">
        <f>BQ73/4</f>
        <v>12.5</v>
      </c>
      <c r="BP73" s="323">
        <f>BQ73/4</f>
        <v>12.5</v>
      </c>
      <c r="BQ73" s="1679">
        <v>50</v>
      </c>
      <c r="BR73" s="1588"/>
      <c r="BS73" s="1962"/>
      <c r="BT73" s="1963"/>
      <c r="BU73" s="1964"/>
      <c r="BV73" s="1970"/>
    </row>
    <row r="74" spans="1:74" ht="12.75" customHeight="1">
      <c r="A74" s="320"/>
      <c r="B74" s="320"/>
      <c r="C74" s="1182" t="s">
        <v>193</v>
      </c>
      <c r="D74" s="320"/>
      <c r="E74" s="163"/>
      <c r="F74" s="163"/>
      <c r="G74" s="163"/>
      <c r="H74" s="164"/>
      <c r="I74" s="320"/>
      <c r="J74" s="161"/>
      <c r="K74" s="163"/>
      <c r="L74" s="163"/>
      <c r="M74" s="164"/>
      <c r="N74" s="111"/>
      <c r="O74" s="319"/>
      <c r="P74" s="316"/>
      <c r="Q74" s="316"/>
      <c r="R74" s="317"/>
      <c r="S74" s="320"/>
      <c r="T74" s="319"/>
      <c r="U74" s="316"/>
      <c r="V74" s="316"/>
      <c r="W74" s="317"/>
      <c r="X74" s="320"/>
      <c r="Y74" s="319"/>
      <c r="Z74" s="316"/>
      <c r="AA74" s="316"/>
      <c r="AB74" s="317"/>
      <c r="AC74" s="320"/>
      <c r="AD74" s="319"/>
      <c r="AE74" s="316"/>
      <c r="AF74" s="316"/>
      <c r="AG74" s="317"/>
      <c r="AH74" s="320"/>
      <c r="AI74" s="319"/>
      <c r="AJ74" s="316"/>
      <c r="AK74" s="316"/>
      <c r="AL74" s="317"/>
      <c r="AM74" s="320"/>
      <c r="AN74" s="319"/>
      <c r="AO74" s="316"/>
      <c r="AP74" s="316"/>
      <c r="AQ74" s="317"/>
      <c r="AR74" s="320"/>
      <c r="AS74" s="319"/>
      <c r="AT74" s="316"/>
      <c r="AU74" s="316"/>
      <c r="AV74" s="317"/>
      <c r="AW74" s="320"/>
      <c r="AX74" s="321">
        <f>BB74/4</f>
        <v>0</v>
      </c>
      <c r="AY74" s="322">
        <f>BB74/4</f>
        <v>0</v>
      </c>
      <c r="AZ74" s="322">
        <f>BB74/4</f>
        <v>0</v>
      </c>
      <c r="BA74" s="323">
        <f>BB74/4</f>
        <v>0</v>
      </c>
      <c r="BB74" s="1259">
        <v>0</v>
      </c>
      <c r="BC74" s="321">
        <f>BG74/4</f>
        <v>0</v>
      </c>
      <c r="BD74" s="322">
        <f>BG74/4</f>
        <v>0</v>
      </c>
      <c r="BE74" s="322">
        <f>BG74/4</f>
        <v>0</v>
      </c>
      <c r="BF74" s="323">
        <f>BG74/4</f>
        <v>0</v>
      </c>
      <c r="BG74" s="1259">
        <v>0</v>
      </c>
      <c r="BH74" s="321">
        <f>BL74/4</f>
        <v>0</v>
      </c>
      <c r="BI74" s="322">
        <f>BL74/4</f>
        <v>0</v>
      </c>
      <c r="BJ74" s="322">
        <f>BL74/4</f>
        <v>0</v>
      </c>
      <c r="BK74" s="323">
        <f>BL74/4</f>
        <v>0</v>
      </c>
      <c r="BL74" s="1679">
        <v>0</v>
      </c>
      <c r="BM74" s="321">
        <f>BQ74/4</f>
        <v>0</v>
      </c>
      <c r="BN74" s="322">
        <f>BQ74/4</f>
        <v>0</v>
      </c>
      <c r="BO74" s="322">
        <f>BQ74/4</f>
        <v>0</v>
      </c>
      <c r="BP74" s="323">
        <f>BQ74/4</f>
        <v>0</v>
      </c>
      <c r="BQ74" s="1679">
        <v>0</v>
      </c>
      <c r="BR74" s="1588"/>
      <c r="BS74" s="1966"/>
      <c r="BT74" s="1967"/>
      <c r="BU74" s="1968" t="s">
        <v>982</v>
      </c>
      <c r="BV74" s="1972">
        <f>0*0.6+0.015*0.4</f>
        <v>6.0000000000000001E-3</v>
      </c>
    </row>
    <row r="75" spans="1:74" ht="12.75" customHeight="1">
      <c r="A75" s="320"/>
      <c r="B75" s="320"/>
      <c r="C75" s="1183" t="s">
        <v>816</v>
      </c>
      <c r="D75" s="320"/>
      <c r="E75" s="163"/>
      <c r="F75" s="163"/>
      <c r="G75" s="163"/>
      <c r="H75" s="164"/>
      <c r="I75" s="327"/>
      <c r="J75" s="161"/>
      <c r="K75" s="163"/>
      <c r="L75" s="163"/>
      <c r="M75" s="164"/>
      <c r="N75" s="111"/>
      <c r="O75" s="335"/>
      <c r="P75" s="336"/>
      <c r="Q75" s="336"/>
      <c r="R75" s="337"/>
      <c r="S75" s="327"/>
      <c r="T75" s="335"/>
      <c r="U75" s="336"/>
      <c r="V75" s="336"/>
      <c r="W75" s="337"/>
      <c r="X75" s="327"/>
      <c r="Y75" s="335"/>
      <c r="Z75" s="336"/>
      <c r="AA75" s="336"/>
      <c r="AB75" s="337"/>
      <c r="AC75" s="327"/>
      <c r="AD75" s="335"/>
      <c r="AE75" s="336"/>
      <c r="AF75" s="336"/>
      <c r="AG75" s="337"/>
      <c r="AH75" s="327"/>
      <c r="AI75" s="335"/>
      <c r="AJ75" s="336"/>
      <c r="AK75" s="336"/>
      <c r="AL75" s="337"/>
      <c r="AM75" s="327"/>
      <c r="AN75" s="335"/>
      <c r="AO75" s="336"/>
      <c r="AP75" s="336"/>
      <c r="AQ75" s="337"/>
      <c r="AR75" s="327"/>
      <c r="AS75" s="335"/>
      <c r="AT75" s="336"/>
      <c r="AU75" s="336"/>
      <c r="AV75" s="337"/>
      <c r="AW75" s="327"/>
      <c r="AX75" s="335">
        <f t="shared" ref="AX75:BK75" si="202">SUM(AX70:AX74)</f>
        <v>17.5</v>
      </c>
      <c r="AY75" s="336">
        <f t="shared" si="202"/>
        <v>17.5</v>
      </c>
      <c r="AZ75" s="336">
        <f t="shared" si="202"/>
        <v>17.5</v>
      </c>
      <c r="BA75" s="337">
        <f t="shared" si="202"/>
        <v>17.5</v>
      </c>
      <c r="BB75" s="327">
        <f>SUM(BB70:BB74)</f>
        <v>70</v>
      </c>
      <c r="BC75" s="335">
        <f t="shared" si="202"/>
        <v>66.25</v>
      </c>
      <c r="BD75" s="336">
        <f t="shared" si="202"/>
        <v>66.25</v>
      </c>
      <c r="BE75" s="336">
        <f t="shared" si="202"/>
        <v>66.25</v>
      </c>
      <c r="BF75" s="337">
        <f t="shared" si="202"/>
        <v>66.25</v>
      </c>
      <c r="BG75" s="327">
        <f>SUM(BG70:BG74)</f>
        <v>265</v>
      </c>
      <c r="BH75" s="335">
        <f t="shared" si="202"/>
        <v>76.75</v>
      </c>
      <c r="BI75" s="336">
        <f t="shared" si="202"/>
        <v>76.75</v>
      </c>
      <c r="BJ75" s="336">
        <f t="shared" si="202"/>
        <v>76.75</v>
      </c>
      <c r="BK75" s="337">
        <f t="shared" si="202"/>
        <v>76.75</v>
      </c>
      <c r="BL75" s="327">
        <f>SUM(BL70:BL74)</f>
        <v>307</v>
      </c>
      <c r="BM75" s="335">
        <f t="shared" ref="BM75:BP75" si="203">SUM(BM70:BM74)</f>
        <v>63.75</v>
      </c>
      <c r="BN75" s="336">
        <f t="shared" si="203"/>
        <v>63.75</v>
      </c>
      <c r="BO75" s="336">
        <f t="shared" si="203"/>
        <v>63.75</v>
      </c>
      <c r="BP75" s="337">
        <f t="shared" si="203"/>
        <v>63.75</v>
      </c>
      <c r="BQ75" s="327">
        <f>SUM(BQ70:BQ74)</f>
        <v>255</v>
      </c>
      <c r="BR75" s="1588"/>
    </row>
    <row r="76" spans="1:74" ht="12.75" customHeight="1">
      <c r="A76" s="320"/>
      <c r="B76" s="320"/>
      <c r="C76" s="1183"/>
      <c r="D76" s="320"/>
      <c r="E76" s="163"/>
      <c r="F76" s="163"/>
      <c r="G76" s="163"/>
      <c r="H76" s="164"/>
      <c r="I76" s="327"/>
      <c r="J76" s="161"/>
      <c r="K76" s="163"/>
      <c r="L76" s="163"/>
      <c r="M76" s="164"/>
      <c r="N76" s="111"/>
      <c r="O76" s="335"/>
      <c r="P76" s="336"/>
      <c r="Q76" s="336"/>
      <c r="R76" s="337"/>
      <c r="S76" s="327"/>
      <c r="T76" s="335"/>
      <c r="U76" s="336"/>
      <c r="V76" s="336"/>
      <c r="W76" s="337"/>
      <c r="X76" s="327"/>
      <c r="Y76" s="335"/>
      <c r="Z76" s="336"/>
      <c r="AA76" s="336"/>
      <c r="AB76" s="337"/>
      <c r="AC76" s="327"/>
      <c r="AD76" s="335"/>
      <c r="AE76" s="336"/>
      <c r="AF76" s="336"/>
      <c r="AG76" s="337"/>
      <c r="AH76" s="327"/>
      <c r="AI76" s="335"/>
      <c r="AJ76" s="336"/>
      <c r="AK76" s="336"/>
      <c r="AL76" s="337"/>
      <c r="AM76" s="327"/>
      <c r="AN76" s="335"/>
      <c r="AO76" s="336"/>
      <c r="AP76" s="336"/>
      <c r="AQ76" s="337"/>
      <c r="AR76" s="320"/>
      <c r="AS76" s="335"/>
      <c r="AT76" s="336"/>
      <c r="AU76" s="336"/>
      <c r="AV76" s="337"/>
      <c r="AW76" s="320"/>
      <c r="AX76" s="335"/>
      <c r="AY76" s="336"/>
      <c r="AZ76" s="336"/>
      <c r="BA76" s="337"/>
      <c r="BB76" s="497"/>
      <c r="BC76" s="335"/>
      <c r="BD76" s="336"/>
      <c r="BE76" s="336"/>
      <c r="BF76" s="337"/>
      <c r="BG76" s="497"/>
      <c r="BH76" s="335"/>
      <c r="BI76" s="336"/>
      <c r="BJ76" s="336"/>
      <c r="BK76" s="337"/>
      <c r="BL76" s="497"/>
      <c r="BM76" s="335"/>
      <c r="BN76" s="336"/>
      <c r="BO76" s="336"/>
      <c r="BP76" s="337"/>
      <c r="BQ76" s="497"/>
      <c r="BR76" s="1588"/>
    </row>
    <row r="77" spans="1:74" ht="12.75" customHeight="1">
      <c r="A77" s="320"/>
      <c r="B77" s="320"/>
      <c r="C77" s="1229" t="s">
        <v>139</v>
      </c>
      <c r="D77" s="26"/>
      <c r="E77" s="159"/>
      <c r="F77" s="159"/>
      <c r="G77" s="159"/>
      <c r="H77" s="160"/>
      <c r="I77" s="26"/>
      <c r="J77" s="158">
        <f t="shared" ref="J77:X77" si="204">+J132</f>
        <v>0.10003985651654057</v>
      </c>
      <c r="K77" s="159">
        <f t="shared" si="204"/>
        <v>3.8916180534233957E-2</v>
      </c>
      <c r="L77" s="159">
        <f t="shared" si="204"/>
        <v>2.296220009917227E-2</v>
      </c>
      <c r="M77" s="160">
        <f t="shared" si="204"/>
        <v>-3.4101182511843575E-2</v>
      </c>
      <c r="N77" s="1042">
        <f t="shared" si="204"/>
        <v>3.0309667098346926E-2</v>
      </c>
      <c r="O77" s="158">
        <f t="shared" si="204"/>
        <v>-4.0724637681159526E-2</v>
      </c>
      <c r="P77" s="159">
        <f t="shared" si="204"/>
        <v>-6.3354266715921703E-2</v>
      </c>
      <c r="Q77" s="159">
        <f t="shared" si="204"/>
        <v>-8.0912785711622082E-3</v>
      </c>
      <c r="R77" s="160">
        <f t="shared" si="204"/>
        <v>-5.3538000748784009E-3</v>
      </c>
      <c r="S77" s="26">
        <f t="shared" si="204"/>
        <v>-2.9565892475900912E-2</v>
      </c>
      <c r="T77" s="158">
        <f t="shared" si="204"/>
        <v>8.5360326333283609E-3</v>
      </c>
      <c r="U77" s="159">
        <f t="shared" si="204"/>
        <v>-1.0175507789390581E-2</v>
      </c>
      <c r="V77" s="159">
        <f t="shared" si="204"/>
        <v>0.11698368543718507</v>
      </c>
      <c r="W77" s="160">
        <f t="shared" si="204"/>
        <v>0.10377536040953084</v>
      </c>
      <c r="X77" s="26">
        <f t="shared" si="204"/>
        <v>5.559047619047619E-2</v>
      </c>
      <c r="Y77" s="158">
        <f t="shared" ref="Y77:AC77" si="205">+Y132</f>
        <v>0.12635757621151966</v>
      </c>
      <c r="Z77" s="159">
        <f t="shared" si="205"/>
        <v>0.18476311909790022</v>
      </c>
      <c r="AA77" s="159">
        <f t="shared" si="205"/>
        <v>6.2024634852258176E-2</v>
      </c>
      <c r="AB77" s="160">
        <f t="shared" si="205"/>
        <v>0.14558041194925631</v>
      </c>
      <c r="AC77" s="26">
        <f t="shared" si="205"/>
        <v>0.12742134846666708</v>
      </c>
      <c r="AD77" s="158">
        <f t="shared" ref="AD77:AH77" si="206">+AD132</f>
        <v>-3.5443543024338275E-2</v>
      </c>
      <c r="AE77" s="159">
        <f t="shared" si="206"/>
        <v>-5.4785767135266061E-2</v>
      </c>
      <c r="AF77" s="159">
        <f t="shared" si="206"/>
        <v>-2.5160820103305004E-2</v>
      </c>
      <c r="AG77" s="160">
        <f t="shared" si="206"/>
        <v>-9.2668115381180249E-2</v>
      </c>
      <c r="AH77" s="26">
        <f t="shared" si="206"/>
        <v>-5.2832906530089541E-2</v>
      </c>
      <c r="AI77" s="158">
        <f t="shared" ref="AI77:AM77" si="207">+AI132</f>
        <v>-4.6880386073768765E-3</v>
      </c>
      <c r="AJ77" s="159">
        <f t="shared" si="207"/>
        <v>9.1371642056573554E-2</v>
      </c>
      <c r="AK77" s="159">
        <f t="shared" si="207"/>
        <v>-2.1746903748009028E-2</v>
      </c>
      <c r="AL77" s="160">
        <f t="shared" si="207"/>
        <v>-8.4514435695537848E-2</v>
      </c>
      <c r="AM77" s="26">
        <f t="shared" si="207"/>
        <v>-6.8689906892648311E-3</v>
      </c>
      <c r="AN77" s="158">
        <f t="shared" ref="AN77:AR77" si="208">+AN132</f>
        <v>0.1232596799889174</v>
      </c>
      <c r="AO77" s="159">
        <f t="shared" si="208"/>
        <v>7.1333094252273854E-2</v>
      </c>
      <c r="AP77" s="159">
        <f t="shared" si="208"/>
        <v>7.6825945371170157E-2</v>
      </c>
      <c r="AQ77" s="160">
        <f t="shared" si="208"/>
        <v>6.8771502293577758E-2</v>
      </c>
      <c r="AR77" s="26">
        <f t="shared" si="208"/>
        <v>8.48866391594707E-2</v>
      </c>
      <c r="AS77" s="158">
        <f>+AS132</f>
        <v>0.12777109733912995</v>
      </c>
      <c r="AT77" s="159">
        <f t="shared" ref="AT77:AW77" si="209">+AT132</f>
        <v>4.9450716655001337E-2</v>
      </c>
      <c r="AU77" s="159">
        <f t="shared" si="209"/>
        <v>0.26637042522989574</v>
      </c>
      <c r="AV77" s="160">
        <f t="shared" si="209"/>
        <v>0.40525768702008502</v>
      </c>
      <c r="AW77" s="26">
        <f t="shared" si="209"/>
        <v>0.20770370835065033</v>
      </c>
      <c r="AX77" s="158">
        <f>BB77</f>
        <v>0.01</v>
      </c>
      <c r="AY77" s="159">
        <f>BB77</f>
        <v>0.01</v>
      </c>
      <c r="AZ77" s="159">
        <f>BB77</f>
        <v>0.01</v>
      </c>
      <c r="BA77" s="160">
        <f>BB77</f>
        <v>0.01</v>
      </c>
      <c r="BB77" s="1046">
        <v>0.01</v>
      </c>
      <c r="BC77" s="158">
        <f>BG77</f>
        <v>0.01</v>
      </c>
      <c r="BD77" s="159">
        <f>BG77</f>
        <v>0.01</v>
      </c>
      <c r="BE77" s="159">
        <f>BG77</f>
        <v>0.01</v>
      </c>
      <c r="BF77" s="160">
        <f>BG77</f>
        <v>0.01</v>
      </c>
      <c r="BG77" s="1046">
        <v>0.01</v>
      </c>
      <c r="BH77" s="158">
        <f>BL77</f>
        <v>0.01</v>
      </c>
      <c r="BI77" s="159">
        <f>BL77</f>
        <v>0.01</v>
      </c>
      <c r="BJ77" s="159">
        <f>BL77</f>
        <v>0.01</v>
      </c>
      <c r="BK77" s="160">
        <f>BL77</f>
        <v>0.01</v>
      </c>
      <c r="BL77" s="1681">
        <v>0.01</v>
      </c>
      <c r="BM77" s="158">
        <f>BQ77</f>
        <v>0.01</v>
      </c>
      <c r="BN77" s="159">
        <f>BQ77</f>
        <v>0.01</v>
      </c>
      <c r="BO77" s="159">
        <f>BQ77</f>
        <v>0.01</v>
      </c>
      <c r="BP77" s="160">
        <f>BQ77</f>
        <v>0.01</v>
      </c>
      <c r="BQ77" s="1681">
        <v>0.01</v>
      </c>
      <c r="BR77" s="1588"/>
      <c r="BT77" s="1708" t="s">
        <v>1036</v>
      </c>
      <c r="BU77">
        <v>0.16</v>
      </c>
    </row>
    <row r="78" spans="1:74">
      <c r="A78" s="105"/>
      <c r="B78" s="105"/>
      <c r="C78" s="1184" t="s">
        <v>642</v>
      </c>
      <c r="D78" s="1042"/>
      <c r="E78" s="500"/>
      <c r="F78" s="500"/>
      <c r="G78" s="500"/>
      <c r="H78" s="501"/>
      <c r="I78" s="1042"/>
      <c r="J78" s="223">
        <f t="shared" ref="J78:X78" si="210">+J137</f>
        <v>3.0432188219248202E-2</v>
      </c>
      <c r="K78" s="500">
        <f t="shared" si="210"/>
        <v>-2.5603518906259004E-2</v>
      </c>
      <c r="L78" s="500">
        <f t="shared" si="210"/>
        <v>0.12777233396617649</v>
      </c>
      <c r="M78" s="501">
        <f t="shared" si="210"/>
        <v>0.11293050122133241</v>
      </c>
      <c r="N78" s="1042">
        <f t="shared" si="210"/>
        <v>6.1194975025959497E-2</v>
      </c>
      <c r="O78" s="223">
        <f t="shared" si="210"/>
        <v>2.9949352893595238E-2</v>
      </c>
      <c r="P78" s="500">
        <f t="shared" si="210"/>
        <v>2.9026004497225921E-2</v>
      </c>
      <c r="Q78" s="500">
        <f t="shared" si="210"/>
        <v>-7.3208006780279167E-2</v>
      </c>
      <c r="R78" s="501">
        <f t="shared" si="210"/>
        <v>2.4127674265964183E-2</v>
      </c>
      <c r="S78" s="1042">
        <f t="shared" si="210"/>
        <v>8.5946271009373909E-4</v>
      </c>
      <c r="T78" s="223">
        <f t="shared" si="210"/>
        <v>8.0379115620000663E-2</v>
      </c>
      <c r="U78" s="500">
        <f t="shared" si="210"/>
        <v>5.6381505776607499E-2</v>
      </c>
      <c r="V78" s="500">
        <f t="shared" si="210"/>
        <v>6.2703770513072854E-2</v>
      </c>
      <c r="W78" s="501">
        <f t="shared" si="210"/>
        <v>-2.5209632635825319E-3</v>
      </c>
      <c r="X78" s="26">
        <f t="shared" si="210"/>
        <v>4.7141677266148818E-2</v>
      </c>
      <c r="Y78" s="223">
        <f t="shared" ref="Y78:AC78" si="211">+Y137</f>
        <v>5.8916582511921112E-2</v>
      </c>
      <c r="Z78" s="500">
        <f t="shared" si="211"/>
        <v>7.6411609704835071E-2</v>
      </c>
      <c r="AA78" s="500">
        <f t="shared" si="211"/>
        <v>0.10633282791485321</v>
      </c>
      <c r="AB78" s="501">
        <f t="shared" si="211"/>
        <v>-1.5362703152390522E-2</v>
      </c>
      <c r="AC78" s="26">
        <f t="shared" si="211"/>
        <v>5.5506922820829141E-2</v>
      </c>
      <c r="AD78" s="223">
        <f t="shared" ref="AD78:AH78" si="212">+AD137</f>
        <v>-3.0263907199525653E-2</v>
      </c>
      <c r="AE78" s="500">
        <f t="shared" si="212"/>
        <v>9.7156441105483715E-3</v>
      </c>
      <c r="AF78" s="500">
        <f t="shared" si="212"/>
        <v>3.8289230353007797E-2</v>
      </c>
      <c r="AG78" s="501">
        <f t="shared" si="212"/>
        <v>0.19240568875544795</v>
      </c>
      <c r="AH78" s="26">
        <f t="shared" si="212"/>
        <v>5.2585609496570873E-2</v>
      </c>
      <c r="AI78" s="223">
        <f t="shared" ref="AI78:AM78" si="213">+AI137</f>
        <v>0.11702243191389239</v>
      </c>
      <c r="AJ78" s="500">
        <f t="shared" si="213"/>
        <v>9.9638045806794917E-2</v>
      </c>
      <c r="AK78" s="500">
        <f t="shared" si="213"/>
        <v>8.521088008557598E-2</v>
      </c>
      <c r="AL78" s="501">
        <f t="shared" si="213"/>
        <v>1.6569132951633536E-2</v>
      </c>
      <c r="AM78" s="26">
        <f t="shared" si="213"/>
        <v>7.6594030749190356E-2</v>
      </c>
      <c r="AN78" s="223">
        <f t="shared" ref="AN78:AR78" si="214">+AN137</f>
        <v>-7.4317730894844725E-2</v>
      </c>
      <c r="AO78" s="500">
        <f t="shared" si="214"/>
        <v>-4.8876794717789163E-2</v>
      </c>
      <c r="AP78" s="500">
        <f t="shared" si="214"/>
        <v>-6.4462726365141387E-2</v>
      </c>
      <c r="AQ78" s="501">
        <f t="shared" si="214"/>
        <v>4.4694866943815637E-2</v>
      </c>
      <c r="AR78" s="26">
        <f t="shared" si="214"/>
        <v>-3.4082048238388007E-2</v>
      </c>
      <c r="AS78" s="223">
        <f t="shared" ref="AS78:AW78" si="215">+AS137</f>
        <v>0.10394283358099221</v>
      </c>
      <c r="AT78" s="500">
        <f t="shared" si="215"/>
        <v>4.6950042872436093E-2</v>
      </c>
      <c r="AU78" s="500">
        <f t="shared" si="215"/>
        <v>1.1172835337025511E-2</v>
      </c>
      <c r="AV78" s="501">
        <f t="shared" si="215"/>
        <v>3.0984581428909364E-2</v>
      </c>
      <c r="AW78" s="26">
        <f t="shared" si="215"/>
        <v>4.5845640115093955E-2</v>
      </c>
      <c r="AX78" s="158">
        <f>BB78</f>
        <v>0</v>
      </c>
      <c r="AY78" s="159">
        <f>BB78</f>
        <v>0</v>
      </c>
      <c r="AZ78" s="159">
        <f>BB78</f>
        <v>0</v>
      </c>
      <c r="BA78" s="160">
        <f>BB78</f>
        <v>0</v>
      </c>
      <c r="BB78" s="1046">
        <v>0</v>
      </c>
      <c r="BC78" s="158">
        <f>BG78</f>
        <v>0.01</v>
      </c>
      <c r="BD78" s="159">
        <f>BG78</f>
        <v>0.01</v>
      </c>
      <c r="BE78" s="159">
        <f>BG78</f>
        <v>0.01</v>
      </c>
      <c r="BF78" s="160">
        <f>BG78</f>
        <v>0.01</v>
      </c>
      <c r="BG78" s="1046">
        <v>0.01</v>
      </c>
      <c r="BH78" s="158">
        <f>BL78</f>
        <v>0.01</v>
      </c>
      <c r="BI78" s="159">
        <f>BL78</f>
        <v>0.01</v>
      </c>
      <c r="BJ78" s="159">
        <f>BL78</f>
        <v>0.01</v>
      </c>
      <c r="BK78" s="160">
        <f>BL78</f>
        <v>0.01</v>
      </c>
      <c r="BL78" s="1681">
        <v>0.01</v>
      </c>
      <c r="BM78" s="158">
        <f>BQ78</f>
        <v>0.01</v>
      </c>
      <c r="BN78" s="159">
        <f>BQ78</f>
        <v>0.01</v>
      </c>
      <c r="BO78" s="159">
        <f>BQ78</f>
        <v>0.01</v>
      </c>
      <c r="BP78" s="160">
        <f>BQ78</f>
        <v>0.01</v>
      </c>
      <c r="BQ78" s="1681">
        <v>0.01</v>
      </c>
      <c r="BR78" s="1588"/>
      <c r="BT78" s="1708" t="s">
        <v>856</v>
      </c>
      <c r="BU78">
        <v>0.14000000000000001</v>
      </c>
    </row>
    <row r="79" spans="1:74" ht="12.75" customHeight="1">
      <c r="A79" s="320"/>
      <c r="B79" s="320"/>
      <c r="C79" s="1229" t="s">
        <v>160</v>
      </c>
      <c r="D79" s="26"/>
      <c r="E79" s="159"/>
      <c r="F79" s="159"/>
      <c r="G79" s="159"/>
      <c r="H79" s="160"/>
      <c r="I79" s="26"/>
      <c r="J79" s="158">
        <f t="shared" ref="J79:X79" si="216">+J142</f>
        <v>1.529735990733716E-2</v>
      </c>
      <c r="K79" s="159">
        <f t="shared" si="216"/>
        <v>5.3307250275094642E-2</v>
      </c>
      <c r="L79" s="159">
        <f t="shared" si="216"/>
        <v>5.7978016668679855E-2</v>
      </c>
      <c r="M79" s="160">
        <f t="shared" si="216"/>
        <v>5.713833491611231E-2</v>
      </c>
      <c r="N79" s="1042">
        <f t="shared" si="216"/>
        <v>4.5895488699176257E-2</v>
      </c>
      <c r="O79" s="158">
        <f t="shared" si="216"/>
        <v>6.8528717545239815E-2</v>
      </c>
      <c r="P79" s="159">
        <f t="shared" si="216"/>
        <v>4.0007738440704266E-2</v>
      </c>
      <c r="Q79" s="159">
        <f t="shared" si="216"/>
        <v>3.9958899417741778E-2</v>
      </c>
      <c r="R79" s="160">
        <f t="shared" si="216"/>
        <v>3.9676598293158394E-2</v>
      </c>
      <c r="S79" s="26">
        <f t="shared" si="216"/>
        <v>4.6864509198335069E-2</v>
      </c>
      <c r="T79" s="158">
        <f t="shared" si="216"/>
        <v>3.9356453869376473E-2</v>
      </c>
      <c r="U79" s="159">
        <f t="shared" si="216"/>
        <v>6.7301610923025335E-2</v>
      </c>
      <c r="V79" s="159">
        <f t="shared" si="216"/>
        <v>1.2075968822043981E-2</v>
      </c>
      <c r="W79" s="160">
        <f t="shared" si="216"/>
        <v>1.1232718894009119E-2</v>
      </c>
      <c r="X79" s="26">
        <f t="shared" si="216"/>
        <v>3.2250971194018874E-2</v>
      </c>
      <c r="Y79" s="158">
        <f t="shared" ref="Y79:AC79" si="217">+Y142</f>
        <v>1.0484927916120546E-2</v>
      </c>
      <c r="Z79" s="159">
        <f t="shared" si="217"/>
        <v>9.9344673731176503E-3</v>
      </c>
      <c r="AA79" s="159">
        <f t="shared" si="217"/>
        <v>6.3962107242289346E-2</v>
      </c>
      <c r="AB79" s="160">
        <f t="shared" si="217"/>
        <v>6.4013101680432394E-2</v>
      </c>
      <c r="AC79" s="26">
        <f t="shared" si="217"/>
        <v>3.6817439466022783E-2</v>
      </c>
      <c r="AD79" s="158">
        <f t="shared" ref="AD79:AH79" si="218">+AD142</f>
        <v>0.11273530339678195</v>
      </c>
      <c r="AE79" s="159">
        <f t="shared" si="218"/>
        <v>0.1252200324439996</v>
      </c>
      <c r="AF79" s="159">
        <f t="shared" si="218"/>
        <v>0.12587507646299212</v>
      </c>
      <c r="AG79" s="160">
        <f t="shared" si="218"/>
        <v>0.12547681188516457</v>
      </c>
      <c r="AH79" s="26">
        <f t="shared" si="218"/>
        <v>0.12240180803342127</v>
      </c>
      <c r="AI79" s="158">
        <f t="shared" ref="AI79:AM79" si="219">+AI142</f>
        <v>9.8226380619349074E-2</v>
      </c>
      <c r="AJ79" s="159">
        <f t="shared" si="219"/>
        <v>8.5426827397932614E-2</v>
      </c>
      <c r="AK79" s="159">
        <f t="shared" si="219"/>
        <v>8.5964382734681433E-2</v>
      </c>
      <c r="AL79" s="160">
        <f t="shared" si="219"/>
        <v>8.5711737424187806E-2</v>
      </c>
      <c r="AM79" s="26">
        <f t="shared" si="219"/>
        <v>8.8734650293646355E-2</v>
      </c>
      <c r="AN79" s="158">
        <f t="shared" ref="AN79:AR79" si="220">+AN142</f>
        <v>6.832850463268425E-2</v>
      </c>
      <c r="AO79" s="159">
        <f t="shared" si="220"/>
        <v>6.8275589216074017E-2</v>
      </c>
      <c r="AP79" s="159">
        <f t="shared" si="220"/>
        <v>6.6485074212018436E-2</v>
      </c>
      <c r="AQ79" s="160">
        <f t="shared" si="220"/>
        <v>6.6294257783619193E-2</v>
      </c>
      <c r="AR79" s="26">
        <f t="shared" si="220"/>
        <v>6.7330325617889208E-2</v>
      </c>
      <c r="AS79" s="158">
        <f t="shared" ref="AS79:AW79" si="221">+AS142</f>
        <v>6.0870499154203284E-2</v>
      </c>
      <c r="AT79" s="159">
        <f t="shared" si="221"/>
        <v>6.0922702502512971E-2</v>
      </c>
      <c r="AU79" s="159">
        <f t="shared" si="221"/>
        <v>-7.9437060203283671E-2</v>
      </c>
      <c r="AV79" s="160">
        <f t="shared" si="221"/>
        <v>-8.0893682588597637E-2</v>
      </c>
      <c r="AW79" s="26">
        <f t="shared" si="221"/>
        <v>-1.0685569886121127E-2</v>
      </c>
      <c r="AX79" s="158">
        <f>BB79</f>
        <v>0.01</v>
      </c>
      <c r="AY79" s="159">
        <f>BB79</f>
        <v>0.01</v>
      </c>
      <c r="AZ79" s="159">
        <f>BB79</f>
        <v>0.01</v>
      </c>
      <c r="BA79" s="160">
        <f>BB79</f>
        <v>0.01</v>
      </c>
      <c r="BB79" s="1046">
        <v>0.01</v>
      </c>
      <c r="BC79" s="158">
        <f>BG79</f>
        <v>0.01</v>
      </c>
      <c r="BD79" s="159">
        <f>BG79</f>
        <v>0.01</v>
      </c>
      <c r="BE79" s="159">
        <f>BG79</f>
        <v>0.01</v>
      </c>
      <c r="BF79" s="160">
        <f>BG79</f>
        <v>0.01</v>
      </c>
      <c r="BG79" s="1046">
        <v>0.01</v>
      </c>
      <c r="BH79" s="158">
        <f>BL79</f>
        <v>0.01</v>
      </c>
      <c r="BI79" s="159">
        <f>BL79</f>
        <v>0.01</v>
      </c>
      <c r="BJ79" s="159">
        <f>BL79</f>
        <v>0.01</v>
      </c>
      <c r="BK79" s="160">
        <f>BL79</f>
        <v>0.01</v>
      </c>
      <c r="BL79" s="1681">
        <v>0.01</v>
      </c>
      <c r="BM79" s="158">
        <f>BQ79</f>
        <v>0.01</v>
      </c>
      <c r="BN79" s="159">
        <f>BQ79</f>
        <v>0.01</v>
      </c>
      <c r="BO79" s="159">
        <f>BQ79</f>
        <v>0.01</v>
      </c>
      <c r="BP79" s="160">
        <f>BQ79</f>
        <v>0.01</v>
      </c>
      <c r="BQ79" s="1681">
        <v>0.01</v>
      </c>
      <c r="BR79" s="1588"/>
      <c r="BU79">
        <f>5.1-BU77-BU78</f>
        <v>4.8</v>
      </c>
    </row>
    <row r="80" spans="1:74">
      <c r="A80" s="105"/>
      <c r="B80" s="105"/>
      <c r="C80" s="1184" t="s">
        <v>643</v>
      </c>
      <c r="D80" s="1042"/>
      <c r="E80" s="500"/>
      <c r="F80" s="500"/>
      <c r="G80" s="500"/>
      <c r="H80" s="501"/>
      <c r="I80" s="1042"/>
      <c r="J80" s="223">
        <f t="shared" ref="J80:X80" si="222">+J147</f>
        <v>3.220773850361347E-2</v>
      </c>
      <c r="K80" s="500">
        <f t="shared" si="222"/>
        <v>2.9765635435182514E-2</v>
      </c>
      <c r="L80" s="500">
        <f t="shared" si="222"/>
        <v>8.6337788297780271E-2</v>
      </c>
      <c r="M80" s="501">
        <f t="shared" si="222"/>
        <v>0.14313580767608536</v>
      </c>
      <c r="N80" s="1042">
        <f t="shared" si="222"/>
        <v>7.1731855234422826E-2</v>
      </c>
      <c r="O80" s="223">
        <f t="shared" si="222"/>
        <v>-5.6805972867158383E-2</v>
      </c>
      <c r="P80" s="500">
        <f t="shared" si="222"/>
        <v>4.4829581736909319E-2</v>
      </c>
      <c r="Q80" s="500">
        <f t="shared" si="222"/>
        <v>7.9910010451542002E-2</v>
      </c>
      <c r="R80" s="501">
        <f t="shared" si="222"/>
        <v>-6.4824978093436458E-2</v>
      </c>
      <c r="S80" s="1042">
        <f t="shared" si="222"/>
        <v>5.7491115536278947E-4</v>
      </c>
      <c r="T80" s="223">
        <f t="shared" si="222"/>
        <v>3.3863945709569521E-2</v>
      </c>
      <c r="U80" s="500">
        <f t="shared" si="222"/>
        <v>2.314810393727873E-2</v>
      </c>
      <c r="V80" s="500">
        <f t="shared" si="222"/>
        <v>-1.8437715298054602E-2</v>
      </c>
      <c r="W80" s="501">
        <f t="shared" si="222"/>
        <v>-2.8415871857338959E-2</v>
      </c>
      <c r="X80" s="26">
        <f t="shared" si="222"/>
        <v>1.8604370984596219E-3</v>
      </c>
      <c r="Y80" s="223">
        <f t="shared" ref="Y80:AC80" si="223">+Y147</f>
        <v>0.10237257117246656</v>
      </c>
      <c r="Z80" s="500">
        <f t="shared" si="223"/>
        <v>6.6221147833229077E-2</v>
      </c>
      <c r="AA80" s="500">
        <f t="shared" si="223"/>
        <v>2.6621879073498445E-2</v>
      </c>
      <c r="AB80" s="501">
        <f t="shared" si="223"/>
        <v>0.16549245731224449</v>
      </c>
      <c r="AC80" s="26">
        <f t="shared" si="223"/>
        <v>8.6829532262465703E-2</v>
      </c>
      <c r="AD80" s="223">
        <f t="shared" ref="AD80:AH80" si="224">+AD147</f>
        <v>2.7282044332263222E-2</v>
      </c>
      <c r="AE80" s="500">
        <f t="shared" si="224"/>
        <v>4.200077033509575E-2</v>
      </c>
      <c r="AF80" s="500">
        <f t="shared" si="224"/>
        <v>3.3281242369487707E-2</v>
      </c>
      <c r="AG80" s="501">
        <f t="shared" si="224"/>
        <v>-8.1422897359069157E-2</v>
      </c>
      <c r="AH80" s="26">
        <f t="shared" si="224"/>
        <v>5.8727277756618346E-3</v>
      </c>
      <c r="AI80" s="223">
        <f t="shared" ref="AI80:AM80" si="225">+AI147</f>
        <v>8.4083638402427274E-2</v>
      </c>
      <c r="AJ80" s="500">
        <f t="shared" si="225"/>
        <v>1.8750945108120254E-2</v>
      </c>
      <c r="AK80" s="500">
        <f t="shared" si="225"/>
        <v>6.3654480862695095E-2</v>
      </c>
      <c r="AL80" s="501">
        <f t="shared" si="225"/>
        <v>0.13748340603072284</v>
      </c>
      <c r="AM80" s="26">
        <f t="shared" si="225"/>
        <v>7.4059344783163228E-2</v>
      </c>
      <c r="AN80" s="223">
        <f t="shared" ref="AN80:AR80" si="226">+AN147</f>
        <v>-4.9139806209214987E-2</v>
      </c>
      <c r="AO80" s="500">
        <f t="shared" si="226"/>
        <v>1.7696633846255416E-2</v>
      </c>
      <c r="AP80" s="500">
        <f t="shared" si="226"/>
        <v>-7.3923218200130481E-2</v>
      </c>
      <c r="AQ80" s="501">
        <f t="shared" si="226"/>
        <v>3.3911586458706511E-2</v>
      </c>
      <c r="AR80" s="26">
        <f t="shared" si="226"/>
        <v>-2.0146177465193649E-2</v>
      </c>
      <c r="AS80" s="223">
        <f t="shared" ref="AS80:AW80" si="227">+AS147</f>
        <v>6.0805784628182424E-2</v>
      </c>
      <c r="AT80" s="500">
        <f t="shared" si="227"/>
        <v>8.5923573072310466E-2</v>
      </c>
      <c r="AU80" s="500">
        <f t="shared" si="227"/>
        <v>0.12846061575369849</v>
      </c>
      <c r="AV80" s="501">
        <f t="shared" si="227"/>
        <v>3.7306392962822787E-2</v>
      </c>
      <c r="AW80" s="26">
        <f t="shared" si="227"/>
        <v>7.8183353098430386E-2</v>
      </c>
      <c r="AX80" s="158">
        <f>BB80</f>
        <v>0.01</v>
      </c>
      <c r="AY80" s="159">
        <f>BB80</f>
        <v>0.01</v>
      </c>
      <c r="AZ80" s="159">
        <f>BB80</f>
        <v>0.01</v>
      </c>
      <c r="BA80" s="160">
        <f>BB80</f>
        <v>0.01</v>
      </c>
      <c r="BB80" s="1046">
        <v>0.01</v>
      </c>
      <c r="BC80" s="158">
        <f>BG80</f>
        <v>0.01</v>
      </c>
      <c r="BD80" s="159">
        <f>BG80</f>
        <v>0.01</v>
      </c>
      <c r="BE80" s="159">
        <f>BG80</f>
        <v>0.01</v>
      </c>
      <c r="BF80" s="160">
        <f>BG80</f>
        <v>0.01</v>
      </c>
      <c r="BG80" s="1046">
        <v>0.01</v>
      </c>
      <c r="BH80" s="158">
        <f>BL80</f>
        <v>0.01</v>
      </c>
      <c r="BI80" s="159">
        <f>BL80</f>
        <v>0.01</v>
      </c>
      <c r="BJ80" s="159">
        <f>BL80</f>
        <v>0.01</v>
      </c>
      <c r="BK80" s="160">
        <f>BL80</f>
        <v>0.01</v>
      </c>
      <c r="BL80" s="1681">
        <v>0.01</v>
      </c>
      <c r="BM80" s="158">
        <f>BQ80</f>
        <v>0.01</v>
      </c>
      <c r="BN80" s="159">
        <f>BQ80</f>
        <v>0.01</v>
      </c>
      <c r="BO80" s="159">
        <f>BQ80</f>
        <v>0.01</v>
      </c>
      <c r="BP80" s="160">
        <f>BQ80</f>
        <v>0.01</v>
      </c>
      <c r="BQ80" s="1681">
        <v>0.01</v>
      </c>
      <c r="BR80" s="1588"/>
    </row>
    <row r="81" spans="1:100" ht="12.75" customHeight="1">
      <c r="A81" s="320"/>
      <c r="B81" s="320"/>
      <c r="C81" s="1183"/>
      <c r="D81" s="320"/>
      <c r="E81" s="163"/>
      <c r="F81" s="163"/>
      <c r="G81" s="163"/>
      <c r="H81" s="164"/>
      <c r="I81" s="327"/>
      <c r="J81" s="161"/>
      <c r="K81" s="163"/>
      <c r="L81" s="163"/>
      <c r="M81" s="164"/>
      <c r="N81" s="111"/>
      <c r="O81" s="335"/>
      <c r="P81" s="336"/>
      <c r="Q81" s="336"/>
      <c r="R81" s="337"/>
      <c r="S81" s="327"/>
      <c r="T81" s="335"/>
      <c r="U81" s="336"/>
      <c r="V81" s="336"/>
      <c r="W81" s="337"/>
      <c r="X81" s="327"/>
      <c r="Y81" s="335"/>
      <c r="Z81" s="336"/>
      <c r="AA81" s="336"/>
      <c r="AB81" s="337"/>
      <c r="AC81" s="327"/>
      <c r="AD81" s="335"/>
      <c r="AE81" s="336"/>
      <c r="AF81" s="336"/>
      <c r="AG81" s="337"/>
      <c r="AH81" s="327"/>
      <c r="AI81" s="335"/>
      <c r="AJ81" s="336"/>
      <c r="AK81" s="336"/>
      <c r="AL81" s="337"/>
      <c r="AM81" s="327"/>
      <c r="AN81" s="335"/>
      <c r="AO81" s="336"/>
      <c r="AP81" s="336"/>
      <c r="AQ81" s="337"/>
      <c r="AR81" s="327"/>
      <c r="AS81" s="335"/>
      <c r="AT81" s="336"/>
      <c r="AU81" s="336"/>
      <c r="AV81" s="337"/>
      <c r="AW81" s="327"/>
      <c r="AX81" s="335"/>
      <c r="AY81" s="336"/>
      <c r="AZ81" s="336"/>
      <c r="BA81" s="337"/>
      <c r="BB81" s="497"/>
      <c r="BC81" s="335"/>
      <c r="BD81" s="336"/>
      <c r="BE81" s="336"/>
      <c r="BF81" s="337"/>
      <c r="BG81" s="497"/>
      <c r="BH81" s="335"/>
      <c r="BI81" s="336"/>
      <c r="BJ81" s="336"/>
      <c r="BK81" s="337"/>
      <c r="BL81" s="356"/>
      <c r="BM81" s="335"/>
      <c r="BN81" s="336"/>
      <c r="BO81" s="336"/>
      <c r="BP81" s="337"/>
      <c r="BQ81" s="356"/>
      <c r="BR81" s="1588"/>
    </row>
    <row r="82" spans="1:100">
      <c r="A82" s="5"/>
      <c r="B82" s="5"/>
      <c r="C82" s="1185" t="s">
        <v>447</v>
      </c>
      <c r="D82" s="5"/>
      <c r="E82" s="159">
        <f>(E43)/(E41-E29)</f>
        <v>0.42591196864636777</v>
      </c>
      <c r="F82" s="159">
        <f t="shared" ref="F82:X82" si="228">(F43)/(F41-F29)</f>
        <v>0.43535570681890934</v>
      </c>
      <c r="G82" s="159">
        <f t="shared" si="228"/>
        <v>0.38773703954140415</v>
      </c>
      <c r="H82" s="160">
        <f t="shared" si="228"/>
        <v>0.18958124599386375</v>
      </c>
      <c r="I82" s="26">
        <f t="shared" si="228"/>
        <v>0.3744376431782141</v>
      </c>
      <c r="J82" s="158">
        <f t="shared" si="228"/>
        <v>0.40961738085265331</v>
      </c>
      <c r="K82" s="159">
        <f t="shared" si="228"/>
        <v>0.39889985576515147</v>
      </c>
      <c r="L82" s="159">
        <f t="shared" si="228"/>
        <v>0.4014899864310767</v>
      </c>
      <c r="M82" s="160">
        <f t="shared" si="228"/>
        <v>5.9171121560493464E-2</v>
      </c>
      <c r="N82" s="26">
        <f t="shared" si="228"/>
        <v>0.37092957166795704</v>
      </c>
      <c r="O82" s="158">
        <f t="shared" si="228"/>
        <v>0.37341038548152072</v>
      </c>
      <c r="P82" s="159">
        <f t="shared" si="228"/>
        <v>0.37473586614343013</v>
      </c>
      <c r="Q82" s="159">
        <f t="shared" si="228"/>
        <v>-0.45560341114652486</v>
      </c>
      <c r="R82" s="160">
        <f t="shared" si="228"/>
        <v>-0.40803697764361907</v>
      </c>
      <c r="S82" s="26">
        <f t="shared" si="228"/>
        <v>2.5599134666576703E-2</v>
      </c>
      <c r="T82" s="158">
        <f t="shared" si="228"/>
        <v>0.69914873923652832</v>
      </c>
      <c r="U82" s="159">
        <f t="shared" si="228"/>
        <v>-0.79894339525747882</v>
      </c>
      <c r="V82" s="159">
        <f t="shared" si="228"/>
        <v>0.39948230866494383</v>
      </c>
      <c r="W82" s="160">
        <f t="shared" si="228"/>
        <v>-0.76362022712144184</v>
      </c>
      <c r="X82" s="26">
        <f t="shared" si="228"/>
        <v>5.3811580941495483E-2</v>
      </c>
      <c r="Y82" s="158">
        <f t="shared" ref="Y82:AC82" si="229">(Y43)/(Y41-Y29)</f>
        <v>0.38179728081908543</v>
      </c>
      <c r="Z82" s="159">
        <f t="shared" si="229"/>
        <v>0.34927550559258908</v>
      </c>
      <c r="AA82" s="159">
        <f t="shared" si="229"/>
        <v>0.33795304317202918</v>
      </c>
      <c r="AB82" s="160">
        <f t="shared" si="229"/>
        <v>0.14657362258751944</v>
      </c>
      <c r="AC82" s="26">
        <f t="shared" si="229"/>
        <v>0.31927729240305391</v>
      </c>
      <c r="AD82" s="158">
        <f t="shared" ref="AD82:AH82" si="230">(AD43)/(AD41-AD29)</f>
        <v>0.3767957429390098</v>
      </c>
      <c r="AE82" s="159">
        <f t="shared" si="230"/>
        <v>0.38373668925459836</v>
      </c>
      <c r="AF82" s="159">
        <f t="shared" si="230"/>
        <v>0.36580173948512285</v>
      </c>
      <c r="AG82" s="160">
        <f t="shared" si="230"/>
        <v>0.39366949588314076</v>
      </c>
      <c r="AH82" s="26">
        <f t="shared" si="230"/>
        <v>0.3765610021039334</v>
      </c>
      <c r="AI82" s="158">
        <f t="shared" ref="AI82:AM82" si="231">(AI43)/(AI41-AI29)</f>
        <v>0.29698011150057163</v>
      </c>
      <c r="AJ82" s="159">
        <f t="shared" si="231"/>
        <v>0.38016646281050387</v>
      </c>
      <c r="AK82" s="159">
        <f t="shared" si="231"/>
        <v>0.36232359160123889</v>
      </c>
      <c r="AL82" s="160">
        <f t="shared" si="231"/>
        <v>4.5055277886542093</v>
      </c>
      <c r="AM82" s="26">
        <f t="shared" si="231"/>
        <v>1.5528517124356911E-2</v>
      </c>
      <c r="AN82" s="158">
        <f t="shared" ref="AN82:AR82" si="232">(AN43)/(AN41-AN29)</f>
        <v>0.37371038450208788</v>
      </c>
      <c r="AO82" s="159">
        <f t="shared" si="232"/>
        <v>-1.0436427405479324E-2</v>
      </c>
      <c r="AP82" s="159">
        <f t="shared" si="232"/>
        <v>0.37155163140650121</v>
      </c>
      <c r="AQ82" s="160">
        <f t="shared" si="232"/>
        <v>0.38350207645870399</v>
      </c>
      <c r="AR82" s="26">
        <f t="shared" si="232"/>
        <v>0.28143224148152668</v>
      </c>
      <c r="AS82" s="158">
        <f t="shared" ref="AS82:AW82" si="233">(AS43)/(AS41-AS29)</f>
        <v>0.39858037206554275</v>
      </c>
      <c r="AT82" s="159">
        <f t="shared" si="233"/>
        <v>0.36874290207041172</v>
      </c>
      <c r="AU82" s="159">
        <f t="shared" si="233"/>
        <v>0.37808380406594938</v>
      </c>
      <c r="AV82" s="160">
        <f t="shared" si="233"/>
        <v>1.2837150420071306</v>
      </c>
      <c r="AW82" s="26">
        <f t="shared" si="233"/>
        <v>0.5395728592032466</v>
      </c>
      <c r="AX82" s="158">
        <f>+AY82</f>
        <v>0.38</v>
      </c>
      <c r="AY82" s="159">
        <f>+AZ82</f>
        <v>0.38</v>
      </c>
      <c r="AZ82" s="159">
        <f>+BA82</f>
        <v>0.38</v>
      </c>
      <c r="BA82" s="160">
        <f>+BB82</f>
        <v>0.38</v>
      </c>
      <c r="BB82" s="1046">
        <v>0.38</v>
      </c>
      <c r="BC82" s="158">
        <f>+BD82</f>
        <v>0.38</v>
      </c>
      <c r="BD82" s="159">
        <f>+BE82</f>
        <v>0.38</v>
      </c>
      <c r="BE82" s="159">
        <f>+BF82</f>
        <v>0.38</v>
      </c>
      <c r="BF82" s="160">
        <f>+BG82</f>
        <v>0.38</v>
      </c>
      <c r="BG82" s="1046">
        <v>0.38</v>
      </c>
      <c r="BH82" s="158">
        <f>+BI82</f>
        <v>0.38</v>
      </c>
      <c r="BI82" s="159">
        <f>+BJ82</f>
        <v>0.38</v>
      </c>
      <c r="BJ82" s="159">
        <f>+BK82</f>
        <v>0.38</v>
      </c>
      <c r="BK82" s="160">
        <f>+BL82</f>
        <v>0.38</v>
      </c>
      <c r="BL82" s="1681">
        <v>0.38</v>
      </c>
      <c r="BM82" s="158">
        <f>+BN82</f>
        <v>0.38</v>
      </c>
      <c r="BN82" s="159">
        <f>+BO82</f>
        <v>0.38</v>
      </c>
      <c r="BO82" s="159">
        <f>+BP82</f>
        <v>0.38</v>
      </c>
      <c r="BP82" s="160">
        <f>+BQ82</f>
        <v>0.38</v>
      </c>
      <c r="BQ82" s="1681">
        <v>0.38</v>
      </c>
      <c r="BR82" s="1589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</row>
    <row r="83" spans="1:100">
      <c r="A83" s="5"/>
      <c r="B83" s="5"/>
      <c r="C83" s="1185" t="s">
        <v>448</v>
      </c>
      <c r="D83" s="5"/>
      <c r="E83" s="159">
        <f t="shared" ref="E83:X83" si="234">E43/E41</f>
        <v>0.38780875358309935</v>
      </c>
      <c r="F83" s="159">
        <f t="shared" si="234"/>
        <v>0.40854550775534082</v>
      </c>
      <c r="G83" s="159">
        <f t="shared" si="234"/>
        <v>0.37578473277344598</v>
      </c>
      <c r="H83" s="160">
        <f t="shared" si="234"/>
        <v>0.17636059442968191</v>
      </c>
      <c r="I83" s="26">
        <f t="shared" si="234"/>
        <v>0.35412409221319102</v>
      </c>
      <c r="J83" s="158">
        <f t="shared" si="234"/>
        <v>0.38623679917575415</v>
      </c>
      <c r="K83" s="159">
        <f t="shared" si="234"/>
        <v>0.37995528258175726</v>
      </c>
      <c r="L83" s="159">
        <f t="shared" si="234"/>
        <v>0.39058341087619847</v>
      </c>
      <c r="M83" s="160">
        <f t="shared" si="234"/>
        <v>5.284504163572868E-2</v>
      </c>
      <c r="N83" s="26">
        <f t="shared" si="234"/>
        <v>0.35377449968651309</v>
      </c>
      <c r="O83" s="158">
        <f t="shared" si="234"/>
        <v>0.34847039098807453</v>
      </c>
      <c r="P83" s="159">
        <f t="shared" si="234"/>
        <v>0.35488555989759485</v>
      </c>
      <c r="Q83" s="159">
        <f t="shared" si="234"/>
        <v>-0.42909412470996794</v>
      </c>
      <c r="R83" s="160">
        <f t="shared" si="234"/>
        <v>-0.33081211713330866</v>
      </c>
      <c r="S83" s="26">
        <f t="shared" si="234"/>
        <v>2.3724414229957701E-2</v>
      </c>
      <c r="T83" s="158">
        <f t="shared" si="234"/>
        <v>0.59733763082692692</v>
      </c>
      <c r="U83" s="159">
        <f t="shared" si="234"/>
        <v>-0.67618328407510686</v>
      </c>
      <c r="V83" s="159">
        <f t="shared" si="234"/>
        <v>0.3844285029518163</v>
      </c>
      <c r="W83" s="160">
        <f t="shared" si="234"/>
        <v>-0.6661036333245316</v>
      </c>
      <c r="X83" s="26">
        <f t="shared" si="234"/>
        <v>4.8867838940160203E-2</v>
      </c>
      <c r="Y83" s="158">
        <f t="shared" ref="Y83:AC83" si="235">Y43/Y41</f>
        <v>0.35732240711879804</v>
      </c>
      <c r="Z83" s="159">
        <f t="shared" si="235"/>
        <v>0.3303247952290802</v>
      </c>
      <c r="AA83" s="159">
        <f t="shared" si="235"/>
        <v>0.32653373324234058</v>
      </c>
      <c r="AB83" s="160">
        <f t="shared" si="235"/>
        <v>0.13167420339729827</v>
      </c>
      <c r="AC83" s="26">
        <f t="shared" si="235"/>
        <v>0.301878838278339</v>
      </c>
      <c r="AD83" s="158">
        <f t="shared" ref="AD83:AH83" si="236">AD43/AD41</f>
        <v>0.35900955994308997</v>
      </c>
      <c r="AE83" s="159">
        <f t="shared" si="236"/>
        <v>0.36679820188765988</v>
      </c>
      <c r="AF83" s="159">
        <f t="shared" si="236"/>
        <v>0.35324165916163902</v>
      </c>
      <c r="AG83" s="160">
        <f t="shared" si="236"/>
        <v>0.35300077986691025</v>
      </c>
      <c r="AH83" s="26">
        <f t="shared" si="236"/>
        <v>0.35805569964296663</v>
      </c>
      <c r="AI83" s="158">
        <f t="shared" ref="AI83:AM83" si="237">AI43/AI41</f>
        <v>0.28605239482007938</v>
      </c>
      <c r="AJ83" s="159">
        <f t="shared" si="237"/>
        <v>0.36602212948951762</v>
      </c>
      <c r="AK83" s="159">
        <f t="shared" si="237"/>
        <v>0.35323414001882042</v>
      </c>
      <c r="AL83" s="160">
        <f t="shared" si="237"/>
        <v>5.3765168276828721</v>
      </c>
      <c r="AM83" s="26">
        <f t="shared" si="237"/>
        <v>1.4815999971713378E-2</v>
      </c>
      <c r="AN83" s="158">
        <f t="shared" ref="AN83:AR83" si="238">AN43/AN41</f>
        <v>0.35070100524575015</v>
      </c>
      <c r="AO83" s="159">
        <f t="shared" si="238"/>
        <v>-1.0052266474031417E-2</v>
      </c>
      <c r="AP83" s="159">
        <f t="shared" si="238"/>
        <v>0.36338989315950726</v>
      </c>
      <c r="AQ83" s="160">
        <f t="shared" si="238"/>
        <v>0.34411563016633201</v>
      </c>
      <c r="AR83" s="26">
        <f t="shared" si="238"/>
        <v>0.26936359464583459</v>
      </c>
      <c r="AS83" s="158">
        <f t="shared" ref="AS83:AW83" si="239">AS43/AS41</f>
        <v>0.3701106664412005</v>
      </c>
      <c r="AT83" s="159">
        <f t="shared" si="239"/>
        <v>0.34687050178536899</v>
      </c>
      <c r="AU83" s="159">
        <f t="shared" si="239"/>
        <v>0.36357861218827819</v>
      </c>
      <c r="AV83" s="160">
        <f t="shared" si="239"/>
        <v>1.153739535781761</v>
      </c>
      <c r="AW83" s="26">
        <f t="shared" si="239"/>
        <v>0.50684669376258185</v>
      </c>
      <c r="AX83" s="158">
        <f t="shared" ref="AX83:BB83" si="240">AX43/AX41</f>
        <v>0.31641041190646829</v>
      </c>
      <c r="AY83" s="159">
        <f t="shared" si="240"/>
        <v>0.3222295562165966</v>
      </c>
      <c r="AZ83" s="159">
        <f t="shared" si="240"/>
        <v>0.34968587536759926</v>
      </c>
      <c r="BA83" s="160">
        <f t="shared" si="240"/>
        <v>0.28885851644135768</v>
      </c>
      <c r="BB83" s="26">
        <f t="shared" si="240"/>
        <v>0.32804898571186003</v>
      </c>
      <c r="BC83" s="158">
        <f t="shared" ref="BC83:BL83" si="241">BC43/BC41</f>
        <v>0.32263463448360291</v>
      </c>
      <c r="BD83" s="159">
        <f t="shared" si="241"/>
        <v>0.33102817239861942</v>
      </c>
      <c r="BE83" s="159">
        <f t="shared" si="241"/>
        <v>0.3518166683068869</v>
      </c>
      <c r="BF83" s="160">
        <f t="shared" si="241"/>
        <v>0.30223815020196465</v>
      </c>
      <c r="BG83" s="26">
        <f t="shared" si="241"/>
        <v>0.33359293182544048</v>
      </c>
      <c r="BH83" s="158">
        <f t="shared" si="241"/>
        <v>0.32966174434872914</v>
      </c>
      <c r="BI83" s="159">
        <f t="shared" si="241"/>
        <v>0.33643513175675133</v>
      </c>
      <c r="BJ83" s="159">
        <f t="shared" si="241"/>
        <v>0.35394090145495516</v>
      </c>
      <c r="BK83" s="160">
        <f t="shared" si="241"/>
        <v>0.3142271677575656</v>
      </c>
      <c r="BL83" s="26">
        <f t="shared" si="241"/>
        <v>0.33850538098522798</v>
      </c>
      <c r="BM83" s="158">
        <f t="shared" ref="BM83:BQ83" si="242">BM43/BM41</f>
        <v>0.33154886983806842</v>
      </c>
      <c r="BN83" s="159">
        <f t="shared" si="242"/>
        <v>0.33782276278874124</v>
      </c>
      <c r="BO83" s="159">
        <f t="shared" si="242"/>
        <v>0.35360537800809233</v>
      </c>
      <c r="BP83" s="160">
        <f t="shared" si="242"/>
        <v>0.31695806506620755</v>
      </c>
      <c r="BQ83" s="26">
        <f t="shared" si="242"/>
        <v>0.33922436088745617</v>
      </c>
      <c r="BR83" s="1589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</row>
    <row r="84" spans="1:100">
      <c r="A84" s="5"/>
      <c r="B84" s="5"/>
      <c r="C84" s="1186"/>
      <c r="D84" s="5"/>
      <c r="E84" s="159"/>
      <c r="F84" s="159"/>
      <c r="G84" s="159"/>
      <c r="H84" s="160"/>
      <c r="I84" s="26"/>
      <c r="J84" s="158"/>
      <c r="K84" s="159"/>
      <c r="L84" s="159"/>
      <c r="M84" s="160"/>
      <c r="N84" s="26"/>
      <c r="O84" s="158"/>
      <c r="P84" s="159"/>
      <c r="Q84" s="159"/>
      <c r="R84" s="160"/>
      <c r="S84" s="26"/>
      <c r="T84" s="158"/>
      <c r="U84" s="159"/>
      <c r="V84" s="159"/>
      <c r="W84" s="160"/>
      <c r="X84" s="26"/>
      <c r="Y84" s="158"/>
      <c r="Z84" s="159"/>
      <c r="AA84" s="159"/>
      <c r="AB84" s="160"/>
      <c r="AC84" s="26"/>
      <c r="AD84" s="158"/>
      <c r="AE84" s="159"/>
      <c r="AF84" s="159"/>
      <c r="AG84" s="160"/>
      <c r="AH84" s="26"/>
      <c r="AI84" s="158"/>
      <c r="AJ84" s="159"/>
      <c r="AK84" s="159"/>
      <c r="AL84" s="160"/>
      <c r="AM84" s="26"/>
      <c r="AN84" s="158"/>
      <c r="AO84" s="159"/>
      <c r="AP84" s="159"/>
      <c r="AQ84" s="160"/>
      <c r="AR84" s="26"/>
      <c r="AS84" s="158"/>
      <c r="AT84" s="159"/>
      <c r="AU84" s="159"/>
      <c r="AV84" s="160"/>
      <c r="AW84" s="26"/>
      <c r="AX84" s="158"/>
      <c r="AY84" s="159"/>
      <c r="AZ84" s="159"/>
      <c r="BA84" s="160"/>
      <c r="BB84" s="1586"/>
      <c r="BC84" s="158"/>
      <c r="BD84" s="159"/>
      <c r="BE84" s="159"/>
      <c r="BF84" s="160"/>
      <c r="BG84" s="1586"/>
      <c r="BH84" s="158"/>
      <c r="BI84" s="159"/>
      <c r="BJ84" s="159"/>
      <c r="BK84" s="160"/>
      <c r="BL84" s="1586"/>
      <c r="BM84" s="158"/>
      <c r="BN84" s="159"/>
      <c r="BO84" s="159"/>
      <c r="BP84" s="160"/>
      <c r="BQ84" s="1586"/>
      <c r="BR84" s="1589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</row>
    <row r="85" spans="1:100">
      <c r="A85" s="5"/>
      <c r="B85" s="5"/>
      <c r="C85" s="1185" t="s">
        <v>817</v>
      </c>
      <c r="D85" s="5"/>
      <c r="E85" s="159"/>
      <c r="F85" s="159"/>
      <c r="G85" s="159"/>
      <c r="H85" s="160"/>
      <c r="I85" s="26"/>
      <c r="J85" s="158"/>
      <c r="K85" s="159"/>
      <c r="L85" s="159"/>
      <c r="M85" s="160"/>
      <c r="N85" s="26"/>
      <c r="O85" s="158">
        <f>S85</f>
        <v>0.10401933514246946</v>
      </c>
      <c r="P85" s="159">
        <f>S85</f>
        <v>0.10401933514246946</v>
      </c>
      <c r="Q85" s="159">
        <f>S85</f>
        <v>0.10401933514246946</v>
      </c>
      <c r="R85" s="160">
        <f>S85</f>
        <v>0.10401933514246946</v>
      </c>
      <c r="S85" s="26">
        <f>S311</f>
        <v>0.10401933514246946</v>
      </c>
      <c r="T85" s="158">
        <f>X85</f>
        <v>0.10239111261872458</v>
      </c>
      <c r="U85" s="159">
        <f>X85</f>
        <v>0.10239111261872458</v>
      </c>
      <c r="V85" s="159">
        <f>X85</f>
        <v>0.10239111261872458</v>
      </c>
      <c r="W85" s="160">
        <f>X85</f>
        <v>0.10239111261872458</v>
      </c>
      <c r="X85" s="26">
        <f>X311</f>
        <v>0.10239111261872458</v>
      </c>
      <c r="Y85" s="158">
        <f>AC85</f>
        <v>0.10239111261872456</v>
      </c>
      <c r="Z85" s="159">
        <f>AC85</f>
        <v>0.10239111261872456</v>
      </c>
      <c r="AA85" s="159">
        <f>AC85</f>
        <v>0.10239111261872456</v>
      </c>
      <c r="AB85" s="160">
        <f>AC85</f>
        <v>0.10239111261872456</v>
      </c>
      <c r="AC85" s="26">
        <f>AC311</f>
        <v>0.10239111261872456</v>
      </c>
      <c r="AD85" s="158">
        <f>AH85</f>
        <v>9.9404470443005197E-2</v>
      </c>
      <c r="AE85" s="159">
        <f>AH85</f>
        <v>9.9404470443005197E-2</v>
      </c>
      <c r="AF85" s="159">
        <f>AH85</f>
        <v>9.9404470443005197E-2</v>
      </c>
      <c r="AG85" s="160">
        <f>AH85</f>
        <v>9.9404470443005197E-2</v>
      </c>
      <c r="AH85" s="26">
        <f>AH311</f>
        <v>9.9404470443005197E-2</v>
      </c>
      <c r="AI85" s="158">
        <f>AM85</f>
        <v>9.9404470443005211E-2</v>
      </c>
      <c r="AJ85" s="159">
        <f>AM85</f>
        <v>9.9404470443005211E-2</v>
      </c>
      <c r="AK85" s="159">
        <f>AM85</f>
        <v>9.9404470443005211E-2</v>
      </c>
      <c r="AL85" s="160">
        <f>AM85</f>
        <v>9.9404470443005211E-2</v>
      </c>
      <c r="AM85" s="26">
        <f>AM311</f>
        <v>9.9404470443005211E-2</v>
      </c>
      <c r="AN85" s="158">
        <f>AR85</f>
        <v>0.10064414343879072</v>
      </c>
      <c r="AO85" s="159">
        <f>AR85</f>
        <v>0.10064414343879072</v>
      </c>
      <c r="AP85" s="159">
        <f>AR85</f>
        <v>0.10064414343879072</v>
      </c>
      <c r="AQ85" s="160">
        <f>AR85</f>
        <v>0.10064414343879072</v>
      </c>
      <c r="AR85" s="26">
        <f>AR311</f>
        <v>0.10064414343879072</v>
      </c>
      <c r="AS85" s="158">
        <f>AW85</f>
        <v>0.10064414343879069</v>
      </c>
      <c r="AT85" s="159">
        <f>AW85</f>
        <v>0.10064414343879069</v>
      </c>
      <c r="AU85" s="159">
        <f>AW85</f>
        <v>0.10064414343879069</v>
      </c>
      <c r="AV85" s="160">
        <f>AW85</f>
        <v>0.10064414343879069</v>
      </c>
      <c r="AW85" s="26">
        <f>AW311</f>
        <v>0.10064414343879069</v>
      </c>
      <c r="AX85" s="158">
        <f>BB85</f>
        <v>0.1006441434387907</v>
      </c>
      <c r="AY85" s="159">
        <f>BB85</f>
        <v>0.1006441434387907</v>
      </c>
      <c r="AZ85" s="159">
        <f>BB85</f>
        <v>0.1006441434387907</v>
      </c>
      <c r="BA85" s="160">
        <f>BB85</f>
        <v>0.1006441434387907</v>
      </c>
      <c r="BB85" s="26">
        <f>BB311</f>
        <v>0.1006441434387907</v>
      </c>
      <c r="BC85" s="158">
        <f>BG85</f>
        <v>0.10064414343879072</v>
      </c>
      <c r="BD85" s="159">
        <f>BG85</f>
        <v>0.10064414343879072</v>
      </c>
      <c r="BE85" s="159">
        <f>BG85</f>
        <v>0.10064414343879072</v>
      </c>
      <c r="BF85" s="160">
        <f>BG85</f>
        <v>0.10064414343879072</v>
      </c>
      <c r="BG85" s="26">
        <f>BG311</f>
        <v>0.10064414343879072</v>
      </c>
      <c r="BH85" s="158">
        <f>BL85</f>
        <v>0.1006441434387907</v>
      </c>
      <c r="BI85" s="159">
        <f>BL85</f>
        <v>0.1006441434387907</v>
      </c>
      <c r="BJ85" s="159">
        <f>BL85</f>
        <v>0.1006441434387907</v>
      </c>
      <c r="BK85" s="160">
        <f>BL85</f>
        <v>0.1006441434387907</v>
      </c>
      <c r="BL85" s="26">
        <f>BL311</f>
        <v>0.1006441434387907</v>
      </c>
      <c r="BM85" s="158">
        <f>BQ85</f>
        <v>0.10064414343879069</v>
      </c>
      <c r="BN85" s="159">
        <f>BQ85</f>
        <v>0.10064414343879069</v>
      </c>
      <c r="BO85" s="159">
        <f>BQ85</f>
        <v>0.10064414343879069</v>
      </c>
      <c r="BP85" s="160">
        <f>BQ85</f>
        <v>0.10064414343879069</v>
      </c>
      <c r="BQ85" s="26">
        <f>BQ311</f>
        <v>0.10064414343879069</v>
      </c>
      <c r="BR85" s="1589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</row>
    <row r="86" spans="1:100">
      <c r="A86" s="5"/>
      <c r="B86" s="5"/>
      <c r="C86" s="1185" t="s">
        <v>207</v>
      </c>
      <c r="D86" s="5"/>
      <c r="E86" s="159"/>
      <c r="F86" s="159"/>
      <c r="G86" s="159"/>
      <c r="H86" s="160"/>
      <c r="I86" s="5"/>
      <c r="J86" s="158"/>
      <c r="K86" s="159"/>
      <c r="L86" s="159"/>
      <c r="M86" s="160"/>
      <c r="N86" s="5"/>
      <c r="O86" s="158"/>
      <c r="P86" s="159"/>
      <c r="Q86" s="159"/>
      <c r="R86" s="160"/>
      <c r="S86" s="25"/>
      <c r="T86" s="158"/>
      <c r="U86" s="159"/>
      <c r="V86" s="159"/>
      <c r="W86" s="160"/>
      <c r="X86" s="25">
        <f>X314</f>
        <v>0.12176606615833312</v>
      </c>
      <c r="Y86" s="158"/>
      <c r="Z86" s="159"/>
      <c r="AA86" s="159"/>
      <c r="AB86" s="160"/>
      <c r="AC86" s="25">
        <f>AC314</f>
        <v>9.968873136316854E-2</v>
      </c>
      <c r="AD86" s="158"/>
      <c r="AE86" s="159"/>
      <c r="AF86" s="159"/>
      <c r="AG86" s="160"/>
      <c r="AH86" s="25">
        <f>AH314</f>
        <v>9.6714103712677538E-2</v>
      </c>
      <c r="AI86" s="158"/>
      <c r="AJ86" s="159"/>
      <c r="AK86" s="159"/>
      <c r="AL86" s="160"/>
      <c r="AM86" s="25">
        <f>AM314</f>
        <v>0.1267912888390651</v>
      </c>
      <c r="AN86" s="158"/>
      <c r="AO86" s="159"/>
      <c r="AP86" s="159"/>
      <c r="AQ86" s="160"/>
      <c r="AR86" s="25">
        <f>AR314</f>
        <v>0.12243686184331146</v>
      </c>
      <c r="AS86" s="158"/>
      <c r="AT86" s="159"/>
      <c r="AU86" s="159"/>
      <c r="AV86" s="160"/>
      <c r="AW86" s="25">
        <f>AW314</f>
        <v>8.9957018643886694E-2</v>
      </c>
      <c r="AX86" s="158"/>
      <c r="AY86" s="159"/>
      <c r="AZ86" s="159"/>
      <c r="BA86" s="160"/>
      <c r="BB86" s="25">
        <f>BB314</f>
        <v>9.2349928807497761E-2</v>
      </c>
      <c r="BC86" s="158"/>
      <c r="BD86" s="159"/>
      <c r="BE86" s="159"/>
      <c r="BF86" s="160"/>
      <c r="BG86" s="25">
        <f>BG314</f>
        <v>9.2442229190006775E-2</v>
      </c>
      <c r="BH86" s="158"/>
      <c r="BI86" s="159"/>
      <c r="BJ86" s="159"/>
      <c r="BK86" s="160"/>
      <c r="BL86" s="25">
        <f>BL314</f>
        <v>9.2259590685750972E-2</v>
      </c>
      <c r="BM86" s="158"/>
      <c r="BN86" s="159"/>
      <c r="BO86" s="159"/>
      <c r="BP86" s="160"/>
      <c r="BQ86" s="25">
        <f>BQ314</f>
        <v>9.2242654948992961E-2</v>
      </c>
      <c r="BR86" s="1588"/>
    </row>
    <row r="87" spans="1:100">
      <c r="A87" s="5"/>
      <c r="B87" s="5"/>
      <c r="C87" s="1185" t="s">
        <v>205</v>
      </c>
      <c r="D87" s="5"/>
      <c r="E87" s="159"/>
      <c r="F87" s="159"/>
      <c r="G87" s="159"/>
      <c r="H87" s="160"/>
      <c r="I87" s="5"/>
      <c r="J87" s="158"/>
      <c r="K87" s="159"/>
      <c r="L87" s="159"/>
      <c r="M87" s="160"/>
      <c r="N87" s="5"/>
      <c r="O87" s="158"/>
      <c r="P87" s="159"/>
      <c r="Q87" s="159"/>
      <c r="R87" s="160"/>
      <c r="S87" s="25"/>
      <c r="T87" s="158"/>
      <c r="U87" s="159"/>
      <c r="V87" s="159"/>
      <c r="W87" s="160"/>
      <c r="X87" s="25">
        <f>X313</f>
        <v>0.12689437436562104</v>
      </c>
      <c r="Y87" s="158"/>
      <c r="Z87" s="159"/>
      <c r="AA87" s="159"/>
      <c r="AB87" s="160"/>
      <c r="AC87" s="25">
        <f>AC313</f>
        <v>0.10668480814538632</v>
      </c>
      <c r="AD87" s="158"/>
      <c r="AE87" s="159"/>
      <c r="AF87" s="159"/>
      <c r="AG87" s="160"/>
      <c r="AH87" s="25">
        <f>AH313</f>
        <v>0.10388997537758536</v>
      </c>
      <c r="AI87" s="158"/>
      <c r="AJ87" s="159"/>
      <c r="AK87" s="159"/>
      <c r="AL87" s="160"/>
      <c r="AM87" s="25">
        <f>AM313</f>
        <v>0.13154508687745181</v>
      </c>
      <c r="AN87" s="158"/>
      <c r="AO87" s="159"/>
      <c r="AP87" s="159"/>
      <c r="AQ87" s="160"/>
      <c r="AR87" s="25">
        <f>AR313</f>
        <v>0.12596079363758603</v>
      </c>
      <c r="AS87" s="158"/>
      <c r="AT87" s="159"/>
      <c r="AU87" s="159"/>
      <c r="AV87" s="160"/>
      <c r="AW87" s="25">
        <f>AW313</f>
        <v>9.3805237835172195E-2</v>
      </c>
      <c r="AX87" s="158"/>
      <c r="AY87" s="159"/>
      <c r="AZ87" s="159"/>
      <c r="BA87" s="160"/>
      <c r="BB87" s="25">
        <f>BB313</f>
        <v>9.4085457544044682E-2</v>
      </c>
      <c r="BC87" s="158"/>
      <c r="BD87" s="159"/>
      <c r="BE87" s="159"/>
      <c r="BF87" s="160"/>
      <c r="BG87" s="25">
        <f>BG313</f>
        <v>9.3935208592233435E-2</v>
      </c>
      <c r="BH87" s="158"/>
      <c r="BI87" s="159"/>
      <c r="BJ87" s="159"/>
      <c r="BK87" s="160"/>
      <c r="BL87" s="25">
        <f>BL313</f>
        <v>9.4261465973529177E-2</v>
      </c>
      <c r="BM87" s="158"/>
      <c r="BN87" s="159"/>
      <c r="BO87" s="159"/>
      <c r="BP87" s="160"/>
      <c r="BQ87" s="25">
        <f>BQ313</f>
        <v>9.4204371255964994E-2</v>
      </c>
      <c r="BR87" s="1588"/>
    </row>
    <row r="88" spans="1:100">
      <c r="A88" s="105"/>
      <c r="B88" s="105"/>
      <c r="C88" s="1187"/>
      <c r="D88" s="1074"/>
      <c r="E88" s="1075"/>
      <c r="F88" s="1075"/>
      <c r="G88" s="1075"/>
      <c r="H88" s="1079"/>
      <c r="I88" s="1076"/>
      <c r="J88" s="1078"/>
      <c r="K88" s="1075"/>
      <c r="L88" s="1075"/>
      <c r="M88" s="1079"/>
      <c r="N88" s="1076"/>
      <c r="O88" s="1078"/>
      <c r="P88" s="1075"/>
      <c r="Q88" s="1075"/>
      <c r="R88" s="1080"/>
      <c r="S88" s="1076"/>
      <c r="T88" s="1078"/>
      <c r="U88" s="1075"/>
      <c r="V88" s="1075"/>
      <c r="W88" s="1080"/>
      <c r="X88" s="1076"/>
      <c r="Y88" s="1078"/>
      <c r="Z88" s="1075"/>
      <c r="AA88" s="1075"/>
      <c r="AB88" s="1080"/>
      <c r="AC88" s="1076"/>
      <c r="AD88" s="1078"/>
      <c r="AE88" s="1075"/>
      <c r="AF88" s="1077"/>
      <c r="AG88" s="1080"/>
      <c r="AH88" s="1076"/>
      <c r="AI88" s="1078"/>
      <c r="AJ88" s="1075"/>
      <c r="AK88" s="1077"/>
      <c r="AL88" s="1080"/>
      <c r="AM88" s="1076"/>
      <c r="AN88" s="1078"/>
      <c r="AO88" s="1075"/>
      <c r="AP88" s="1077"/>
      <c r="AQ88" s="1080"/>
      <c r="AR88" s="1076"/>
      <c r="AS88" s="1078"/>
      <c r="AT88" s="1077"/>
      <c r="AU88" s="1077"/>
      <c r="AV88" s="1080"/>
      <c r="AW88" s="1076"/>
      <c r="AX88" s="1081"/>
      <c r="AY88" s="1077"/>
      <c r="AZ88" s="1077"/>
      <c r="BA88" s="1080"/>
      <c r="BB88" s="1587"/>
      <c r="BC88" s="1081"/>
      <c r="BD88" s="1077"/>
      <c r="BE88" s="1077"/>
      <c r="BF88" s="1080"/>
      <c r="BG88" s="1587"/>
      <c r="BH88" s="1081"/>
      <c r="BI88" s="1077"/>
      <c r="BJ88" s="1077"/>
      <c r="BK88" s="1080"/>
      <c r="BL88" s="1587"/>
      <c r="BM88" s="1081"/>
      <c r="BN88" s="1077"/>
      <c r="BO88" s="1077"/>
      <c r="BP88" s="1080"/>
      <c r="BQ88" s="1587"/>
      <c r="BR88" s="1588"/>
    </row>
    <row r="89" spans="1:100">
      <c r="A89" s="5"/>
      <c r="B89" s="5"/>
      <c r="C89" s="1174"/>
      <c r="D89" s="5"/>
      <c r="E89" s="161"/>
      <c r="F89" s="163"/>
      <c r="G89" s="163"/>
      <c r="H89" s="164"/>
      <c r="I89" s="111"/>
      <c r="J89" s="161"/>
      <c r="K89" s="163"/>
      <c r="L89" s="163"/>
      <c r="M89" s="164"/>
      <c r="N89" s="111"/>
      <c r="O89" s="161"/>
      <c r="P89" s="159"/>
      <c r="Q89" s="159"/>
      <c r="R89" s="160"/>
      <c r="S89" s="111"/>
      <c r="T89" s="161"/>
      <c r="U89" s="159"/>
      <c r="V89" s="159"/>
      <c r="W89" s="160"/>
      <c r="X89" s="111"/>
      <c r="Y89" s="158"/>
      <c r="Z89" s="159"/>
      <c r="AA89" s="159"/>
      <c r="AB89" s="160"/>
      <c r="AC89" s="111"/>
      <c r="AD89" s="158"/>
      <c r="AE89" s="159"/>
      <c r="AF89" s="159"/>
      <c r="AG89" s="160"/>
      <c r="AH89" s="111"/>
      <c r="AI89" s="158"/>
      <c r="AJ89" s="159"/>
      <c r="AK89" s="159"/>
      <c r="AL89" s="160"/>
      <c r="AM89" s="111"/>
      <c r="AN89" s="158"/>
      <c r="AO89" s="159"/>
      <c r="AP89" s="159"/>
      <c r="AQ89" s="160"/>
      <c r="AR89" s="111"/>
      <c r="AS89" s="158"/>
      <c r="AT89" s="159"/>
      <c r="AU89" s="159"/>
      <c r="AV89" s="160"/>
      <c r="AW89" s="111"/>
      <c r="AX89" s="158"/>
      <c r="AY89" s="159"/>
      <c r="AZ89" s="159"/>
      <c r="BA89" s="160"/>
      <c r="BB89" s="111"/>
      <c r="BC89" s="158"/>
      <c r="BD89" s="159"/>
      <c r="BE89" s="159"/>
      <c r="BF89" s="160"/>
      <c r="BG89" s="111"/>
      <c r="BH89" s="158"/>
      <c r="BI89" s="159"/>
      <c r="BJ89" s="159"/>
      <c r="BK89" s="160"/>
      <c r="BL89" s="111"/>
      <c r="BM89" s="158"/>
      <c r="BN89" s="159"/>
      <c r="BO89" s="159"/>
      <c r="BP89" s="160"/>
      <c r="BQ89" s="111"/>
    </row>
    <row r="90" spans="1:100" ht="12.75" customHeight="1">
      <c r="A90" s="5"/>
      <c r="B90" s="5"/>
      <c r="C90" s="1173"/>
      <c r="D90" s="5"/>
      <c r="E90" s="141"/>
      <c r="F90" s="142"/>
      <c r="G90" s="142"/>
      <c r="H90" s="143"/>
      <c r="I90" s="20"/>
      <c r="J90" s="141"/>
      <c r="K90" s="142"/>
      <c r="L90" s="142"/>
      <c r="M90" s="143"/>
      <c r="N90" s="20"/>
      <c r="O90" s="141"/>
      <c r="P90" s="142"/>
      <c r="Q90" s="142"/>
      <c r="R90" s="143"/>
      <c r="S90" s="20"/>
      <c r="T90" s="141"/>
      <c r="U90" s="142"/>
      <c r="V90" s="142"/>
      <c r="W90" s="143"/>
      <c r="X90" s="20"/>
      <c r="Y90" s="141"/>
      <c r="Z90" s="142"/>
      <c r="AA90" s="142"/>
      <c r="AB90" s="143"/>
      <c r="AC90" s="20"/>
      <c r="AD90" s="141"/>
      <c r="AE90" s="142"/>
      <c r="AF90" s="142"/>
      <c r="AG90" s="143"/>
      <c r="AH90" s="20"/>
      <c r="AI90" s="141"/>
      <c r="AJ90" s="142"/>
      <c r="AK90" s="142"/>
      <c r="AL90" s="143"/>
      <c r="AM90" s="20"/>
      <c r="AN90" s="141"/>
      <c r="AO90" s="142"/>
      <c r="AP90" s="142"/>
      <c r="AQ90" s="143"/>
      <c r="AR90" s="20"/>
      <c r="AS90" s="141"/>
      <c r="AT90" s="142"/>
      <c r="AU90" s="142"/>
      <c r="AV90" s="143"/>
      <c r="AW90" s="20"/>
      <c r="AX90" s="141"/>
      <c r="AY90" s="142"/>
      <c r="AZ90" s="142"/>
      <c r="BA90" s="143"/>
      <c r="BB90" s="20"/>
      <c r="BC90" s="141"/>
      <c r="BD90" s="142"/>
      <c r="BE90" s="142"/>
      <c r="BF90" s="143"/>
      <c r="BG90" s="20"/>
      <c r="BH90" s="141"/>
      <c r="BI90" s="142"/>
      <c r="BJ90" s="142"/>
      <c r="BK90" s="143"/>
      <c r="BL90" s="20"/>
      <c r="BM90" s="141"/>
      <c r="BN90" s="142"/>
      <c r="BO90" s="142"/>
      <c r="BP90" s="143"/>
      <c r="BQ90" s="20"/>
    </row>
    <row r="91" spans="1:100" ht="12.75" customHeight="1">
      <c r="A91" s="5"/>
      <c r="B91" s="400" t="s">
        <v>596</v>
      </c>
      <c r="C91" s="1172"/>
      <c r="D91" s="92"/>
      <c r="E91" s="133"/>
      <c r="F91" s="134"/>
      <c r="G91" s="134"/>
      <c r="H91" s="135"/>
      <c r="I91" s="5"/>
      <c r="J91" s="133"/>
      <c r="K91" s="134"/>
      <c r="L91" s="134"/>
      <c r="M91" s="135"/>
      <c r="N91" s="5"/>
      <c r="O91" s="133"/>
      <c r="P91" s="134"/>
      <c r="Q91" s="134"/>
      <c r="R91" s="135"/>
      <c r="S91" s="5"/>
      <c r="T91" s="133"/>
      <c r="U91" s="134"/>
      <c r="V91" s="134"/>
      <c r="W91" s="135"/>
      <c r="X91" s="5"/>
      <c r="Y91" s="133"/>
      <c r="Z91" s="134"/>
      <c r="AA91" s="134"/>
      <c r="AB91" s="226"/>
      <c r="AC91" s="5"/>
      <c r="AD91" s="133"/>
      <c r="AE91" s="134"/>
      <c r="AF91" s="134"/>
      <c r="AG91" s="226"/>
      <c r="AH91" s="5"/>
      <c r="AI91" s="133"/>
      <c r="AJ91" s="134"/>
      <c r="AK91" s="134"/>
      <c r="AL91" s="135"/>
      <c r="AM91" s="5"/>
      <c r="AN91" s="133"/>
      <c r="AO91" s="134"/>
      <c r="AP91" s="134"/>
      <c r="AQ91" s="135"/>
      <c r="AR91" s="5"/>
      <c r="AS91" s="133"/>
      <c r="AT91" s="134"/>
      <c r="AU91" s="134"/>
      <c r="AV91" s="135"/>
      <c r="AW91" s="5"/>
      <c r="AX91" s="133"/>
      <c r="AY91" s="134"/>
      <c r="AZ91" s="134"/>
      <c r="BA91" s="135"/>
      <c r="BB91" s="105"/>
      <c r="BC91" s="2032"/>
      <c r="BD91" s="2033"/>
      <c r="BE91" s="2033"/>
      <c r="BF91" s="226"/>
      <c r="BG91" s="105"/>
      <c r="BH91" s="2032"/>
      <c r="BI91" s="2033"/>
      <c r="BJ91" s="2033"/>
      <c r="BK91" s="226"/>
      <c r="BL91" s="105"/>
      <c r="BM91" s="2032"/>
      <c r="BN91" s="2033"/>
      <c r="BO91" s="2033"/>
      <c r="BP91" s="226"/>
      <c r="BQ91" s="105"/>
    </row>
    <row r="92" spans="1:100">
      <c r="A92" s="5"/>
      <c r="B92" s="5"/>
      <c r="C92" s="129"/>
      <c r="D92" s="5"/>
      <c r="E92" s="146"/>
      <c r="F92" s="7"/>
      <c r="G92" s="7"/>
      <c r="H92" s="147"/>
      <c r="I92" s="5"/>
      <c r="J92" s="146"/>
      <c r="K92" s="7"/>
      <c r="L92" s="7"/>
      <c r="M92" s="147"/>
      <c r="N92" s="5"/>
      <c r="O92" s="146"/>
      <c r="P92" s="7"/>
      <c r="Q92" s="7"/>
      <c r="R92" s="147"/>
      <c r="S92" s="5"/>
      <c r="T92" s="146"/>
      <c r="U92" s="7"/>
      <c r="V92" s="7"/>
      <c r="W92" s="147"/>
      <c r="X92" s="5"/>
      <c r="Y92" s="146"/>
      <c r="Z92" s="7"/>
      <c r="AA92" s="7"/>
      <c r="AB92" s="147"/>
      <c r="AC92" s="5"/>
      <c r="AD92" s="146"/>
      <c r="AE92" s="7"/>
      <c r="AF92" s="7"/>
      <c r="AG92" s="147"/>
      <c r="AH92" s="5"/>
      <c r="AI92" s="146"/>
      <c r="AJ92" s="7"/>
      <c r="AK92" s="7"/>
      <c r="AL92" s="147"/>
      <c r="AM92" s="5"/>
      <c r="AN92" s="146"/>
      <c r="AO92" s="7"/>
      <c r="AP92" s="7"/>
      <c r="AQ92" s="147"/>
      <c r="AR92" s="5"/>
      <c r="AS92" s="146"/>
      <c r="AT92" s="7"/>
      <c r="AU92" s="7"/>
      <c r="AV92" s="147"/>
      <c r="AW92" s="5"/>
      <c r="AX92" s="146"/>
      <c r="AY92" s="7"/>
      <c r="AZ92" s="7"/>
      <c r="BA92" s="147"/>
      <c r="BB92" s="5"/>
      <c r="BC92" s="146"/>
      <c r="BD92" s="7"/>
      <c r="BE92" s="7"/>
      <c r="BF92" s="147"/>
      <c r="BG92" s="5"/>
      <c r="BH92" s="146"/>
      <c r="BI92" s="7"/>
      <c r="BJ92" s="7"/>
      <c r="BK92" s="147"/>
      <c r="BL92" s="5"/>
      <c r="BM92" s="146"/>
      <c r="BN92" s="7"/>
      <c r="BO92" s="7"/>
      <c r="BP92" s="147"/>
      <c r="BQ92" s="5"/>
    </row>
    <row r="93" spans="1:100">
      <c r="A93" s="5"/>
      <c r="B93" s="5"/>
      <c r="C93" s="1188" t="s">
        <v>626</v>
      </c>
      <c r="D93" s="5"/>
      <c r="E93" s="146"/>
      <c r="F93" s="7"/>
      <c r="G93" s="7"/>
      <c r="H93" s="147"/>
      <c r="I93" s="6"/>
      <c r="J93" s="146"/>
      <c r="K93" s="7"/>
      <c r="L93" s="7"/>
      <c r="M93" s="147"/>
      <c r="N93" s="6"/>
      <c r="O93" s="146"/>
      <c r="P93" s="7"/>
      <c r="Q93" s="7"/>
      <c r="R93" s="147"/>
      <c r="S93" s="6"/>
      <c r="T93" s="146"/>
      <c r="U93" s="7"/>
      <c r="V93" s="7"/>
      <c r="W93" s="147"/>
      <c r="X93" s="6"/>
      <c r="Y93" s="146"/>
      <c r="Z93" s="7"/>
      <c r="AA93" s="7"/>
      <c r="AB93" s="147"/>
      <c r="AC93" s="6"/>
      <c r="AD93" s="146"/>
      <c r="AE93" s="7"/>
      <c r="AF93" s="7"/>
      <c r="AG93" s="147"/>
      <c r="AH93" s="6"/>
      <c r="AI93" s="146"/>
      <c r="AJ93" s="7"/>
      <c r="AK93" s="7"/>
      <c r="AL93" s="147"/>
      <c r="AM93" s="6"/>
      <c r="AN93" s="146"/>
      <c r="AO93" s="7"/>
      <c r="AP93" s="7"/>
      <c r="AQ93" s="147"/>
      <c r="AR93" s="6"/>
      <c r="AS93" s="146"/>
      <c r="AT93" s="7"/>
      <c r="AU93" s="7"/>
      <c r="AV93" s="147"/>
      <c r="AW93" s="6"/>
      <c r="AX93" s="146"/>
      <c r="AY93" s="7"/>
      <c r="AZ93" s="7"/>
      <c r="BA93" s="147"/>
      <c r="BB93" s="6"/>
      <c r="BC93" s="146"/>
      <c r="BD93" s="7"/>
      <c r="BE93" s="7"/>
      <c r="BF93" s="147"/>
      <c r="BG93" s="6"/>
      <c r="BH93" s="146"/>
      <c r="BI93" s="7"/>
      <c r="BJ93" s="7"/>
      <c r="BK93" s="147"/>
      <c r="BL93" s="6"/>
      <c r="BM93" s="146"/>
      <c r="BN93" s="7"/>
      <c r="BO93" s="7"/>
      <c r="BP93" s="147"/>
      <c r="BQ93" s="6"/>
    </row>
    <row r="94" spans="1:100">
      <c r="A94" s="320"/>
      <c r="B94" s="320"/>
      <c r="C94" s="129" t="str">
        <f>C103</f>
        <v>Residential</v>
      </c>
      <c r="D94" s="320"/>
      <c r="E94" s="393">
        <v>756</v>
      </c>
      <c r="F94" s="190">
        <v>642</v>
      </c>
      <c r="G94" s="190">
        <v>967</v>
      </c>
      <c r="H94" s="191">
        <v>633.02</v>
      </c>
      <c r="I94" s="107">
        <f t="shared" ref="I94:I99" si="243">SUM(E94:H94)</f>
        <v>2998.02</v>
      </c>
      <c r="J94" s="393">
        <v>818</v>
      </c>
      <c r="K94" s="190">
        <v>704.61876854691525</v>
      </c>
      <c r="L94" s="190">
        <v>967</v>
      </c>
      <c r="M94" s="191">
        <v>633.02</v>
      </c>
      <c r="N94" s="107">
        <f t="shared" ref="N94:N99" si="244">SUM(J94:M94)</f>
        <v>3122.6387685469153</v>
      </c>
      <c r="O94" s="393">
        <v>746.85800000000006</v>
      </c>
      <c r="P94" s="190">
        <v>760</v>
      </c>
      <c r="Q94" s="190">
        <v>1195</v>
      </c>
      <c r="R94" s="193">
        <f>S94-SUM(O94:Q94)</f>
        <v>667.14199999999983</v>
      </c>
      <c r="S94" s="348">
        <v>3369</v>
      </c>
      <c r="T94" s="393">
        <v>670</v>
      </c>
      <c r="U94" s="190">
        <v>677</v>
      </c>
      <c r="V94" s="190">
        <v>1019</v>
      </c>
      <c r="W94" s="193">
        <f>X94-SUM(T94:V94)</f>
        <v>656</v>
      </c>
      <c r="X94" s="348">
        <v>3022</v>
      </c>
      <c r="Y94" s="393">
        <v>751</v>
      </c>
      <c r="Z94" s="190">
        <v>729</v>
      </c>
      <c r="AA94" s="190">
        <v>1140</v>
      </c>
      <c r="AB94" s="193">
        <f>AC94-SUM(Y94:AA94)</f>
        <v>776</v>
      </c>
      <c r="AC94" s="348">
        <v>3396</v>
      </c>
      <c r="AD94" s="393">
        <v>904</v>
      </c>
      <c r="AE94" s="190">
        <v>765</v>
      </c>
      <c r="AF94" s="190">
        <v>1132</v>
      </c>
      <c r="AG94" s="193">
        <f>AH94-SUM(AD94:AF94)</f>
        <v>754</v>
      </c>
      <c r="AH94" s="348">
        <v>3555</v>
      </c>
      <c r="AI94" s="393">
        <v>882</v>
      </c>
      <c r="AJ94" s="190">
        <v>733</v>
      </c>
      <c r="AK94" s="190">
        <v>1188</v>
      </c>
      <c r="AL94" s="193">
        <f>AM94-SUM(AI94:AK94)</f>
        <v>715</v>
      </c>
      <c r="AM94" s="348">
        <v>3518</v>
      </c>
      <c r="AN94" s="393">
        <v>744</v>
      </c>
      <c r="AO94" s="190">
        <v>667</v>
      </c>
      <c r="AP94" s="190">
        <v>1106</v>
      </c>
      <c r="AQ94" s="193">
        <f>AR94-SUM(AN94:AP94)</f>
        <v>771</v>
      </c>
      <c r="AR94" s="348">
        <v>3288</v>
      </c>
      <c r="AS94" s="393">
        <v>705</v>
      </c>
      <c r="AT94" s="190">
        <v>748</v>
      </c>
      <c r="AU94" s="190">
        <v>1107</v>
      </c>
      <c r="AV94" s="193">
        <f>AW94-SUM(AS94:AU94)</f>
        <v>795</v>
      </c>
      <c r="AW94" s="348">
        <v>3355</v>
      </c>
      <c r="AX94" s="174"/>
      <c r="AY94" s="175"/>
      <c r="AZ94" s="175"/>
      <c r="BA94" s="176"/>
      <c r="BB94" s="107"/>
      <c r="BC94" s="174"/>
      <c r="BD94" s="175"/>
      <c r="BE94" s="175"/>
      <c r="BF94" s="176"/>
      <c r="BG94" s="107"/>
      <c r="BH94" s="174"/>
      <c r="BI94" s="175"/>
      <c r="BJ94" s="175"/>
      <c r="BK94" s="176"/>
      <c r="BL94" s="107"/>
      <c r="BM94" s="174"/>
      <c r="BN94" s="175"/>
      <c r="BO94" s="175"/>
      <c r="BP94" s="176"/>
      <c r="BQ94" s="107"/>
    </row>
    <row r="95" spans="1:100">
      <c r="A95" s="320"/>
      <c r="B95" s="320"/>
      <c r="C95" s="129" t="str">
        <f>C104</f>
        <v>Commercial and Agricultural</v>
      </c>
      <c r="D95" s="320"/>
      <c r="E95" s="393">
        <v>560</v>
      </c>
      <c r="F95" s="190">
        <v>520</v>
      </c>
      <c r="G95" s="190">
        <v>597</v>
      </c>
      <c r="H95" s="191">
        <v>505.42200000000003</v>
      </c>
      <c r="I95" s="107">
        <f t="shared" si="243"/>
        <v>2182.422</v>
      </c>
      <c r="J95" s="393">
        <v>526</v>
      </c>
      <c r="K95" s="190">
        <v>550.04702931307804</v>
      </c>
      <c r="L95" s="190">
        <v>597</v>
      </c>
      <c r="M95" s="191">
        <v>505.42200000000003</v>
      </c>
      <c r="N95" s="107">
        <f t="shared" si="244"/>
        <v>2178.469029313078</v>
      </c>
      <c r="O95" s="393">
        <v>504.72200000000004</v>
      </c>
      <c r="P95" s="190">
        <v>575</v>
      </c>
      <c r="Q95" s="190">
        <v>718</v>
      </c>
      <c r="R95" s="193">
        <f>S95-SUM(O95:Q95)</f>
        <v>535.27800000000002</v>
      </c>
      <c r="S95" s="348">
        <v>2333</v>
      </c>
      <c r="T95" s="393">
        <v>503</v>
      </c>
      <c r="U95" s="190">
        <v>523</v>
      </c>
      <c r="V95" s="190">
        <v>627</v>
      </c>
      <c r="W95" s="193">
        <f>X95-SUM(T95:V95)</f>
        <v>521</v>
      </c>
      <c r="X95" s="348">
        <v>2174</v>
      </c>
      <c r="Y95" s="393">
        <v>523</v>
      </c>
      <c r="Z95" s="190">
        <v>574</v>
      </c>
      <c r="AA95" s="190">
        <v>720</v>
      </c>
      <c r="AB95" s="193">
        <f>AC95-SUM(Y95:AA95)</f>
        <v>598</v>
      </c>
      <c r="AC95" s="348">
        <v>2415</v>
      </c>
      <c r="AD95" s="393">
        <v>577</v>
      </c>
      <c r="AE95" s="190">
        <v>627</v>
      </c>
      <c r="AF95" s="190">
        <v>745</v>
      </c>
      <c r="AG95" s="193">
        <f>AH95-SUM(AD95:AF95)</f>
        <v>604</v>
      </c>
      <c r="AH95" s="348">
        <v>2553</v>
      </c>
      <c r="AI95" s="393">
        <v>583</v>
      </c>
      <c r="AJ95" s="190">
        <v>597</v>
      </c>
      <c r="AK95" s="190">
        <v>748</v>
      </c>
      <c r="AL95" s="193">
        <f>AM95-SUM(AI95:AK95)</f>
        <v>588</v>
      </c>
      <c r="AM95" s="348">
        <v>2516</v>
      </c>
      <c r="AN95" s="393">
        <v>538</v>
      </c>
      <c r="AO95" s="190">
        <v>543</v>
      </c>
      <c r="AP95" s="190">
        <v>678</v>
      </c>
      <c r="AQ95" s="193">
        <f>AR95-SUM(AN95:AP95)</f>
        <v>603</v>
      </c>
      <c r="AR95" s="348">
        <v>2362</v>
      </c>
      <c r="AS95" s="393">
        <v>536</v>
      </c>
      <c r="AT95" s="190">
        <v>604</v>
      </c>
      <c r="AU95" s="190">
        <v>721</v>
      </c>
      <c r="AV95" s="193">
        <f>AW95-SUM(AS95:AU95)</f>
        <v>619</v>
      </c>
      <c r="AW95" s="348">
        <v>2480</v>
      </c>
      <c r="AX95" s="174"/>
      <c r="AY95" s="175"/>
      <c r="AZ95" s="175"/>
      <c r="BA95" s="176"/>
      <c r="BB95" s="107"/>
      <c r="BC95" s="174"/>
      <c r="BD95" s="175"/>
      <c r="BE95" s="175"/>
      <c r="BF95" s="176"/>
      <c r="BG95" s="107"/>
      <c r="BH95" s="174"/>
      <c r="BI95" s="175"/>
      <c r="BJ95" s="175"/>
      <c r="BK95" s="176"/>
      <c r="BL95" s="107"/>
      <c r="BM95" s="174"/>
      <c r="BN95" s="175"/>
      <c r="BO95" s="175"/>
      <c r="BP95" s="176"/>
      <c r="BQ95" s="107"/>
    </row>
    <row r="96" spans="1:100">
      <c r="A96" s="320"/>
      <c r="B96" s="320"/>
      <c r="C96" s="129" t="str">
        <f>C105</f>
        <v>Industrial / Large C&amp;I</v>
      </c>
      <c r="D96" s="320"/>
      <c r="E96" s="393">
        <v>548</v>
      </c>
      <c r="F96" s="190">
        <v>492</v>
      </c>
      <c r="G96" s="190">
        <v>484</v>
      </c>
      <c r="H96" s="191">
        <v>470.61399999999998</v>
      </c>
      <c r="I96" s="107">
        <f t="shared" si="243"/>
        <v>1994.614</v>
      </c>
      <c r="J96" s="393">
        <v>521</v>
      </c>
      <c r="K96" s="190">
        <v>562.1311320426945</v>
      </c>
      <c r="L96" s="190">
        <v>484</v>
      </c>
      <c r="M96" s="191">
        <v>470.61399999999998</v>
      </c>
      <c r="N96" s="107">
        <f t="shared" si="244"/>
        <v>2037.7451320426944</v>
      </c>
      <c r="O96" s="393">
        <v>478.13799999999998</v>
      </c>
      <c r="P96" s="190">
        <v>589</v>
      </c>
      <c r="Q96" s="190">
        <v>674</v>
      </c>
      <c r="R96" s="193">
        <f>S96-SUM(O96:Q96)</f>
        <v>565.86200000000008</v>
      </c>
      <c r="S96" s="348">
        <v>2307</v>
      </c>
      <c r="T96" s="393">
        <v>489</v>
      </c>
      <c r="U96" s="190">
        <v>506</v>
      </c>
      <c r="V96" s="190">
        <v>537</v>
      </c>
      <c r="W96" s="193">
        <f>X96-SUM(T96:V96)</f>
        <v>502</v>
      </c>
      <c r="X96" s="348">
        <v>2034</v>
      </c>
      <c r="Y96" s="393">
        <v>544</v>
      </c>
      <c r="Z96" s="190">
        <v>598</v>
      </c>
      <c r="AA96" s="190">
        <v>673</v>
      </c>
      <c r="AB96" s="193">
        <f>AC96-SUM(Y96:AA96)</f>
        <v>230</v>
      </c>
      <c r="AC96" s="348">
        <v>2045</v>
      </c>
      <c r="AD96" s="393">
        <v>555</v>
      </c>
      <c r="AE96" s="190">
        <v>708</v>
      </c>
      <c r="AF96" s="190">
        <v>740</v>
      </c>
      <c r="AG96" s="193">
        <f>AH96-SUM(AD96:AF96)</f>
        <v>620</v>
      </c>
      <c r="AH96" s="348">
        <v>2623</v>
      </c>
      <c r="AI96" s="393">
        <v>576</v>
      </c>
      <c r="AJ96" s="190">
        <v>591</v>
      </c>
      <c r="AK96" s="190">
        <v>692</v>
      </c>
      <c r="AL96" s="193">
        <f>AM96-SUM(AI96:AK96)</f>
        <v>603</v>
      </c>
      <c r="AM96" s="348">
        <v>2462</v>
      </c>
      <c r="AN96" s="393">
        <v>560</v>
      </c>
      <c r="AO96" s="190">
        <v>551</v>
      </c>
      <c r="AP96" s="190">
        <v>616</v>
      </c>
      <c r="AQ96" s="193">
        <f>AR96-SUM(AN96:AP96)</f>
        <v>600</v>
      </c>
      <c r="AR96" s="348">
        <v>2327</v>
      </c>
      <c r="AS96" s="393">
        <v>565</v>
      </c>
      <c r="AT96" s="190">
        <v>651</v>
      </c>
      <c r="AU96" s="190">
        <v>721</v>
      </c>
      <c r="AV96" s="193">
        <f>AW96-SUM(AS96:AU96)</f>
        <v>647</v>
      </c>
      <c r="AW96" s="348">
        <v>2584</v>
      </c>
      <c r="AX96" s="174"/>
      <c r="AY96" s="175"/>
      <c r="AZ96" s="175"/>
      <c r="BA96" s="176"/>
      <c r="BB96" s="107"/>
      <c r="BC96" s="174"/>
      <c r="BD96" s="175"/>
      <c r="BE96" s="175"/>
      <c r="BF96" s="176"/>
      <c r="BG96" s="107"/>
      <c r="BH96" s="174"/>
      <c r="BI96" s="175"/>
      <c r="BJ96" s="175"/>
      <c r="BK96" s="176"/>
      <c r="BL96" s="107"/>
      <c r="BM96" s="174"/>
      <c r="BN96" s="175"/>
      <c r="BO96" s="175"/>
      <c r="BP96" s="176"/>
      <c r="BQ96" s="107"/>
    </row>
    <row r="97" spans="1:69">
      <c r="A97" s="320"/>
      <c r="B97" s="320"/>
      <c r="C97" s="129" t="str">
        <f>C106</f>
        <v>Public &amp; Other</v>
      </c>
      <c r="D97" s="320"/>
      <c r="E97" s="393">
        <v>53</v>
      </c>
      <c r="F97" s="190">
        <v>48</v>
      </c>
      <c r="G97" s="190">
        <v>55</v>
      </c>
      <c r="H97" s="191">
        <v>52.280999999999999</v>
      </c>
      <c r="I97" s="107">
        <f t="shared" si="243"/>
        <v>208.28100000000001</v>
      </c>
      <c r="J97" s="393">
        <v>50</v>
      </c>
      <c r="K97" s="190">
        <v>48.592586469480189</v>
      </c>
      <c r="L97" s="190">
        <v>55</v>
      </c>
      <c r="M97" s="191">
        <v>52.280999999999999</v>
      </c>
      <c r="N97" s="107">
        <f t="shared" si="244"/>
        <v>205.87358646948019</v>
      </c>
      <c r="O97" s="393">
        <v>47.255000000000003</v>
      </c>
      <c r="P97" s="190">
        <v>52</v>
      </c>
      <c r="Q97" s="190">
        <v>59</v>
      </c>
      <c r="R97" s="193">
        <f>S97-SUM(O97:Q97)</f>
        <v>46.745000000000005</v>
      </c>
      <c r="S97" s="348">
        <v>205</v>
      </c>
      <c r="T97" s="393">
        <v>48</v>
      </c>
      <c r="U97" s="190">
        <v>47</v>
      </c>
      <c r="V97" s="190">
        <v>54</v>
      </c>
      <c r="W97" s="193">
        <f>X97-SUM(T97:V97)</f>
        <v>49</v>
      </c>
      <c r="X97" s="348">
        <v>198</v>
      </c>
      <c r="Y97" s="393">
        <v>52</v>
      </c>
      <c r="Z97" s="190">
        <v>53</v>
      </c>
      <c r="AA97" s="190">
        <v>60</v>
      </c>
      <c r="AB97" s="193">
        <f>AC97-SUM(Y97:AA97)</f>
        <v>53</v>
      </c>
      <c r="AC97" s="348">
        <v>218</v>
      </c>
      <c r="AD97" s="393">
        <v>53</v>
      </c>
      <c r="AE97" s="190">
        <v>57</v>
      </c>
      <c r="AF97" s="190">
        <v>62</v>
      </c>
      <c r="AG97" s="193">
        <f>AH97-SUM(AD97:AF97)</f>
        <v>55</v>
      </c>
      <c r="AH97" s="348">
        <v>227</v>
      </c>
      <c r="AI97" s="393">
        <v>52</v>
      </c>
      <c r="AJ97" s="190">
        <v>55</v>
      </c>
      <c r="AK97" s="190">
        <v>62</v>
      </c>
      <c r="AL97" s="193">
        <f>AM97-SUM(AI97:AK97)</f>
        <v>54</v>
      </c>
      <c r="AM97" s="348">
        <v>223</v>
      </c>
      <c r="AN97" s="393">
        <v>51</v>
      </c>
      <c r="AO97" s="190">
        <v>52</v>
      </c>
      <c r="AP97" s="190">
        <v>58</v>
      </c>
      <c r="AQ97" s="193">
        <f>AR97-SUM(AN97:AP97)</f>
        <v>56</v>
      </c>
      <c r="AR97" s="348">
        <v>217</v>
      </c>
      <c r="AS97" s="393">
        <v>53</v>
      </c>
      <c r="AT97" s="190">
        <v>57</v>
      </c>
      <c r="AU97" s="190">
        <v>62</v>
      </c>
      <c r="AV97" s="193">
        <f>AW97-SUM(AS97:AU97)</f>
        <v>59</v>
      </c>
      <c r="AW97" s="348">
        <v>231</v>
      </c>
      <c r="AX97" s="174"/>
      <c r="AY97" s="175"/>
      <c r="AZ97" s="175"/>
      <c r="BA97" s="176"/>
      <c r="BB97" s="107"/>
      <c r="BC97" s="174"/>
      <c r="BD97" s="175"/>
      <c r="BE97" s="175"/>
      <c r="BF97" s="176"/>
      <c r="BG97" s="107"/>
      <c r="BH97" s="174"/>
      <c r="BI97" s="175"/>
      <c r="BJ97" s="175"/>
      <c r="BK97" s="176"/>
      <c r="BL97" s="107"/>
      <c r="BM97" s="174"/>
      <c r="BN97" s="175"/>
      <c r="BO97" s="175"/>
      <c r="BP97" s="176"/>
      <c r="BQ97" s="107"/>
    </row>
    <row r="98" spans="1:69">
      <c r="A98" s="320"/>
      <c r="B98" s="320"/>
      <c r="C98" s="1173" t="s">
        <v>141</v>
      </c>
      <c r="D98" s="320"/>
      <c r="E98" s="180">
        <f t="shared" ref="E98:N98" si="245">SUM(E94:E97)</f>
        <v>1917</v>
      </c>
      <c r="F98" s="181">
        <f t="shared" si="245"/>
        <v>1702</v>
      </c>
      <c r="G98" s="181">
        <f t="shared" si="245"/>
        <v>2103</v>
      </c>
      <c r="H98" s="182">
        <f t="shared" si="245"/>
        <v>1661.337</v>
      </c>
      <c r="I98" s="110">
        <f t="shared" si="245"/>
        <v>7383.3370000000004</v>
      </c>
      <c r="J98" s="180">
        <f t="shared" si="245"/>
        <v>1915</v>
      </c>
      <c r="K98" s="181">
        <f t="shared" si="245"/>
        <v>1865.3895163721679</v>
      </c>
      <c r="L98" s="181">
        <f t="shared" si="245"/>
        <v>2103</v>
      </c>
      <c r="M98" s="182">
        <f t="shared" si="245"/>
        <v>1661.337</v>
      </c>
      <c r="N98" s="110">
        <f t="shared" si="245"/>
        <v>7544.7265163721677</v>
      </c>
      <c r="O98" s="180">
        <f t="shared" ref="O98:U98" si="246">SUM(O94:O97)</f>
        <v>1776.9730000000002</v>
      </c>
      <c r="P98" s="181">
        <f t="shared" si="246"/>
        <v>1976</v>
      </c>
      <c r="Q98" s="181">
        <f t="shared" si="246"/>
        <v>2646</v>
      </c>
      <c r="R98" s="182">
        <f t="shared" si="246"/>
        <v>1815.027</v>
      </c>
      <c r="S98" s="110">
        <f t="shared" si="246"/>
        <v>8214</v>
      </c>
      <c r="T98" s="180">
        <f t="shared" si="246"/>
        <v>1710</v>
      </c>
      <c r="U98" s="181">
        <f t="shared" si="246"/>
        <v>1753</v>
      </c>
      <c r="V98" s="181">
        <f t="shared" ref="V98:AA98" si="247">SUM(V94:V97)</f>
        <v>2237</v>
      </c>
      <c r="W98" s="182">
        <f t="shared" si="247"/>
        <v>1728</v>
      </c>
      <c r="X98" s="110">
        <f t="shared" si="247"/>
        <v>7428</v>
      </c>
      <c r="Y98" s="180">
        <f t="shared" si="247"/>
        <v>1870</v>
      </c>
      <c r="Z98" s="181">
        <f t="shared" si="247"/>
        <v>1954</v>
      </c>
      <c r="AA98" s="181">
        <f t="shared" si="247"/>
        <v>2593</v>
      </c>
      <c r="AB98" s="182">
        <f>SUM(AB94:AB97)</f>
        <v>1657</v>
      </c>
      <c r="AC98" s="110">
        <f>SUM(AC94:AC97)</f>
        <v>8074</v>
      </c>
      <c r="AD98" s="180">
        <f>SUM(AD94:AD97)</f>
        <v>2089</v>
      </c>
      <c r="AE98" s="181">
        <f>SUM(AE94:AE97)</f>
        <v>2157</v>
      </c>
      <c r="AF98" s="181">
        <f t="shared" ref="AF98" si="248">SUM(AF94:AF97)</f>
        <v>2679</v>
      </c>
      <c r="AG98" s="182">
        <f>SUM(AG94:AG97)</f>
        <v>2033</v>
      </c>
      <c r="AH98" s="110">
        <f>SUM(AH94:AH97)</f>
        <v>8958</v>
      </c>
      <c r="AI98" s="180">
        <f>SUM(AI94:AI97)</f>
        <v>2093</v>
      </c>
      <c r="AJ98" s="181">
        <f>SUM(AJ94:AJ97)</f>
        <v>1976</v>
      </c>
      <c r="AK98" s="181">
        <f t="shared" ref="AK98" si="249">SUM(AK94:AK97)</f>
        <v>2690</v>
      </c>
      <c r="AL98" s="182">
        <f t="shared" ref="AL98:AR98" si="250">SUM(AL94:AL97)</f>
        <v>1960</v>
      </c>
      <c r="AM98" s="110">
        <f t="shared" si="250"/>
        <v>8719</v>
      </c>
      <c r="AN98" s="180">
        <f t="shared" si="250"/>
        <v>1893</v>
      </c>
      <c r="AO98" s="181">
        <f t="shared" si="250"/>
        <v>1813</v>
      </c>
      <c r="AP98" s="181">
        <f t="shared" si="250"/>
        <v>2458</v>
      </c>
      <c r="AQ98" s="182">
        <f t="shared" si="250"/>
        <v>2030</v>
      </c>
      <c r="AR98" s="110">
        <f t="shared" si="250"/>
        <v>8194</v>
      </c>
      <c r="AS98" s="180">
        <f t="shared" ref="AS98:AT98" si="251">SUM(AS94:AS97)</f>
        <v>1859</v>
      </c>
      <c r="AT98" s="181">
        <f t="shared" si="251"/>
        <v>2060</v>
      </c>
      <c r="AU98" s="181">
        <f t="shared" ref="AU98:AW98" si="252">SUM(AU94:AU97)</f>
        <v>2611</v>
      </c>
      <c r="AV98" s="182">
        <f t="shared" si="252"/>
        <v>2120</v>
      </c>
      <c r="AW98" s="110">
        <f t="shared" si="252"/>
        <v>8650</v>
      </c>
      <c r="AX98" s="174"/>
      <c r="AY98" s="175"/>
      <c r="AZ98" s="175"/>
      <c r="BA98" s="176"/>
      <c r="BB98" s="110"/>
      <c r="BC98" s="174"/>
      <c r="BD98" s="175"/>
      <c r="BE98" s="175"/>
      <c r="BF98" s="176"/>
      <c r="BG98" s="110"/>
      <c r="BH98" s="174"/>
      <c r="BI98" s="175"/>
      <c r="BJ98" s="175"/>
      <c r="BK98" s="176"/>
      <c r="BL98" s="110"/>
      <c r="BM98" s="174"/>
      <c r="BN98" s="175"/>
      <c r="BO98" s="175"/>
      <c r="BP98" s="176"/>
      <c r="BQ98" s="110"/>
    </row>
    <row r="99" spans="1:69">
      <c r="A99" s="331"/>
      <c r="B99" s="331"/>
      <c r="C99" s="1174" t="s">
        <v>313</v>
      </c>
      <c r="D99" s="331"/>
      <c r="E99" s="177">
        <f>+E100-E98</f>
        <v>37.155999999999949</v>
      </c>
      <c r="F99" s="178">
        <f>+F100-F98</f>
        <v>151.99600000000009</v>
      </c>
      <c r="G99" s="178">
        <f>+G100-G98</f>
        <v>59.255000000000109</v>
      </c>
      <c r="H99" s="179">
        <f>+H100-H98</f>
        <v>32.396000000000186</v>
      </c>
      <c r="I99" s="107">
        <f t="shared" si="243"/>
        <v>280.80300000000034</v>
      </c>
      <c r="J99" s="177">
        <f>+J100-J98</f>
        <v>13.801999999999907</v>
      </c>
      <c r="K99" s="178">
        <f>+K100-K98</f>
        <v>299.58248362783229</v>
      </c>
      <c r="L99" s="178">
        <f>+L100-L98</f>
        <v>502.46399999999994</v>
      </c>
      <c r="M99" s="179">
        <f>+M100-M98</f>
        <v>174.09900000000061</v>
      </c>
      <c r="N99" s="107">
        <f t="shared" si="244"/>
        <v>989.94748362783275</v>
      </c>
      <c r="O99" s="177">
        <f t="shared" ref="O99:U99" si="253">+O100-O98</f>
        <v>25.521999999999707</v>
      </c>
      <c r="P99" s="178">
        <f t="shared" si="253"/>
        <v>172.58399999999983</v>
      </c>
      <c r="Q99" s="178">
        <f t="shared" si="253"/>
        <v>18.192000000000007</v>
      </c>
      <c r="R99" s="179">
        <f t="shared" si="253"/>
        <v>29.71100000000024</v>
      </c>
      <c r="S99" s="44">
        <f t="shared" si="253"/>
        <v>246.00900000000001</v>
      </c>
      <c r="T99" s="177">
        <f t="shared" si="253"/>
        <v>36.632000000000062</v>
      </c>
      <c r="U99" s="178">
        <f t="shared" si="253"/>
        <v>161.69699999999989</v>
      </c>
      <c r="V99" s="178">
        <f t="shared" ref="V99:AA99" si="254">+V100-V98</f>
        <v>39.327999999999975</v>
      </c>
      <c r="W99" s="179">
        <f t="shared" si="254"/>
        <v>29.598000000000866</v>
      </c>
      <c r="X99" s="44">
        <f t="shared" si="254"/>
        <v>267.25500000000011</v>
      </c>
      <c r="Y99" s="177">
        <f t="shared" si="254"/>
        <v>28.119999999999891</v>
      </c>
      <c r="Z99" s="178">
        <f t="shared" si="254"/>
        <v>177.45499999999993</v>
      </c>
      <c r="AA99" s="178">
        <f t="shared" si="254"/>
        <v>67.369000000000142</v>
      </c>
      <c r="AB99" s="179">
        <f>+AB100-AB98</f>
        <v>390.4890000000014</v>
      </c>
      <c r="AC99" s="44">
        <f>+AC100-AC98</f>
        <v>663.4330000000009</v>
      </c>
      <c r="AD99" s="177">
        <f>+AD100-AD98</f>
        <v>18.483999999999924</v>
      </c>
      <c r="AE99" s="178">
        <f>+AE100-AE98</f>
        <v>163.92700000000013</v>
      </c>
      <c r="AF99" s="178">
        <f t="shared" ref="AF99" si="255">+AF100-AF98</f>
        <v>79.048999999999978</v>
      </c>
      <c r="AG99" s="179">
        <f>+AG100-AG98</f>
        <v>42.568000000000211</v>
      </c>
      <c r="AH99" s="44">
        <f>+AH100-AH98</f>
        <v>304.02800000000025</v>
      </c>
      <c r="AI99" s="177">
        <f>+AI100-AI98</f>
        <v>64.998999999999796</v>
      </c>
      <c r="AJ99" s="178">
        <f>+AJ100-AJ98</f>
        <v>184.16800000000012</v>
      </c>
      <c r="AK99" s="178">
        <f t="shared" ref="AK99" si="256">+AK100-AK98</f>
        <v>68.164000000000215</v>
      </c>
      <c r="AL99" s="179">
        <f t="shared" ref="AL99:AR99" si="257">+AL100-AL98</f>
        <v>23.408999999999651</v>
      </c>
      <c r="AM99" s="44">
        <f t="shared" si="257"/>
        <v>340.73999999999978</v>
      </c>
      <c r="AN99" s="177">
        <f t="shared" si="257"/>
        <v>94.180000000000064</v>
      </c>
      <c r="AO99" s="178">
        <f t="shared" si="257"/>
        <v>208.35699999999997</v>
      </c>
      <c r="AP99" s="178">
        <f t="shared" si="257"/>
        <v>99.596000000000004</v>
      </c>
      <c r="AQ99" s="179">
        <f t="shared" si="257"/>
        <v>34.625</v>
      </c>
      <c r="AR99" s="44">
        <f t="shared" si="257"/>
        <v>436.75799999999981</v>
      </c>
      <c r="AS99" s="177">
        <f t="shared" ref="AS99:AT99" si="258">+AS100-AS98</f>
        <v>54.760999999999967</v>
      </c>
      <c r="AT99" s="178">
        <f t="shared" si="258"/>
        <v>165.25700000000006</v>
      </c>
      <c r="AU99" s="178">
        <f t="shared" ref="AU99:AW99" si="259">+AU100-AU98</f>
        <v>104.83599999999979</v>
      </c>
      <c r="AV99" s="179">
        <f t="shared" si="259"/>
        <v>51.156000000000859</v>
      </c>
      <c r="AW99" s="44">
        <f t="shared" si="259"/>
        <v>376.01000000000022</v>
      </c>
      <c r="AX99" s="177"/>
      <c r="AY99" s="178"/>
      <c r="AZ99" s="178"/>
      <c r="BA99" s="179"/>
      <c r="BB99" s="44"/>
      <c r="BC99" s="177"/>
      <c r="BD99" s="178"/>
      <c r="BE99" s="178"/>
      <c r="BF99" s="179"/>
      <c r="BG99" s="44"/>
      <c r="BH99" s="177"/>
      <c r="BI99" s="178"/>
      <c r="BJ99" s="178"/>
      <c r="BK99" s="179"/>
      <c r="BL99" s="44"/>
      <c r="BM99" s="177"/>
      <c r="BN99" s="178"/>
      <c r="BO99" s="178"/>
      <c r="BP99" s="179"/>
      <c r="BQ99" s="44"/>
    </row>
    <row r="100" spans="1:69">
      <c r="A100" s="320"/>
      <c r="B100" s="320"/>
      <c r="C100" s="1173" t="s">
        <v>605</v>
      </c>
      <c r="D100" s="320"/>
      <c r="E100" s="180">
        <f t="shared" ref="E100:Z100" si="260">+E9-E115</f>
        <v>1954.1559999999999</v>
      </c>
      <c r="F100" s="181">
        <f t="shared" si="260"/>
        <v>1853.9960000000001</v>
      </c>
      <c r="G100" s="181">
        <f t="shared" si="260"/>
        <v>2162.2550000000001</v>
      </c>
      <c r="H100" s="182">
        <f t="shared" si="260"/>
        <v>1693.7330000000002</v>
      </c>
      <c r="I100" s="110">
        <f t="shared" si="260"/>
        <v>7664.14</v>
      </c>
      <c r="J100" s="180">
        <f t="shared" si="260"/>
        <v>1928.8019999999999</v>
      </c>
      <c r="K100" s="181">
        <f t="shared" si="260"/>
        <v>2164.9720000000002</v>
      </c>
      <c r="L100" s="181">
        <f t="shared" si="260"/>
        <v>2605.4639999999999</v>
      </c>
      <c r="M100" s="182">
        <f t="shared" si="260"/>
        <v>1835.4360000000006</v>
      </c>
      <c r="N100" s="110">
        <f t="shared" si="260"/>
        <v>8534.6740000000009</v>
      </c>
      <c r="O100" s="180">
        <f t="shared" si="260"/>
        <v>1802.4949999999999</v>
      </c>
      <c r="P100" s="181">
        <f t="shared" si="260"/>
        <v>2148.5839999999998</v>
      </c>
      <c r="Q100" s="181">
        <f t="shared" si="260"/>
        <v>2664.192</v>
      </c>
      <c r="R100" s="182">
        <f t="shared" si="260"/>
        <v>1844.7380000000003</v>
      </c>
      <c r="S100" s="110">
        <f t="shared" si="260"/>
        <v>8460.009</v>
      </c>
      <c r="T100" s="180">
        <f t="shared" si="260"/>
        <v>1746.6320000000001</v>
      </c>
      <c r="U100" s="181">
        <f t="shared" si="260"/>
        <v>1914.6969999999999</v>
      </c>
      <c r="V100" s="181">
        <f t="shared" si="260"/>
        <v>2276.328</v>
      </c>
      <c r="W100" s="182">
        <f t="shared" si="260"/>
        <v>1757.5980000000009</v>
      </c>
      <c r="X100" s="110">
        <f t="shared" si="260"/>
        <v>7695.2550000000001</v>
      </c>
      <c r="Y100" s="180">
        <f t="shared" si="260"/>
        <v>1898.12</v>
      </c>
      <c r="Z100" s="181">
        <f t="shared" si="260"/>
        <v>2131.4549999999999</v>
      </c>
      <c r="AA100" s="181">
        <f t="shared" ref="AA100:AH100" si="261">+AA9-AA115</f>
        <v>2660.3690000000001</v>
      </c>
      <c r="AB100" s="182">
        <f t="shared" si="261"/>
        <v>2047.4890000000014</v>
      </c>
      <c r="AC100" s="110">
        <f t="shared" si="261"/>
        <v>8737.4330000000009</v>
      </c>
      <c r="AD100" s="180">
        <f t="shared" si="261"/>
        <v>2107.4839999999999</v>
      </c>
      <c r="AE100" s="181">
        <f t="shared" si="261"/>
        <v>2320.9270000000001</v>
      </c>
      <c r="AF100" s="181">
        <f t="shared" si="261"/>
        <v>2758.049</v>
      </c>
      <c r="AG100" s="182">
        <f t="shared" si="261"/>
        <v>2075.5680000000002</v>
      </c>
      <c r="AH100" s="110">
        <f t="shared" si="261"/>
        <v>9262.0280000000002</v>
      </c>
      <c r="AI100" s="180">
        <f t="shared" ref="AI100:AM100" si="262">+AI9-AI115</f>
        <v>2157.9989999999998</v>
      </c>
      <c r="AJ100" s="181">
        <f t="shared" si="262"/>
        <v>2160.1680000000001</v>
      </c>
      <c r="AK100" s="181">
        <f t="shared" si="262"/>
        <v>2758.1640000000002</v>
      </c>
      <c r="AL100" s="182">
        <f t="shared" si="262"/>
        <v>1983.4089999999997</v>
      </c>
      <c r="AM100" s="110">
        <f t="shared" si="262"/>
        <v>9059.74</v>
      </c>
      <c r="AN100" s="180">
        <f t="shared" ref="AN100:AO100" si="263">+AN9-AN115</f>
        <v>1987.18</v>
      </c>
      <c r="AO100" s="181">
        <f t="shared" si="263"/>
        <v>2021.357</v>
      </c>
      <c r="AP100" s="181">
        <f t="shared" ref="AP100:AW100" si="264">+AP9-AP115</f>
        <v>2557.596</v>
      </c>
      <c r="AQ100" s="182">
        <f t="shared" si="264"/>
        <v>2064.625</v>
      </c>
      <c r="AR100" s="110">
        <f t="shared" si="264"/>
        <v>8630.7579999999998</v>
      </c>
      <c r="AS100" s="180">
        <f t="shared" si="264"/>
        <v>1913.761</v>
      </c>
      <c r="AT100" s="181">
        <f t="shared" si="264"/>
        <v>2225.2570000000001</v>
      </c>
      <c r="AU100" s="181">
        <f t="shared" ref="AU100" si="265">+AU9-AU115</f>
        <v>2715.8359999999998</v>
      </c>
      <c r="AV100" s="182">
        <f t="shared" si="264"/>
        <v>2171.1560000000009</v>
      </c>
      <c r="AW100" s="110">
        <f t="shared" si="264"/>
        <v>9026.01</v>
      </c>
      <c r="AX100" s="180">
        <f>+AX109*AX107/1000</f>
        <v>1994.4151129999996</v>
      </c>
      <c r="AY100" s="181">
        <f>+AY109*AY107/1000</f>
        <v>2263.5934973636367</v>
      </c>
      <c r="AZ100" s="181">
        <f>+AZ109*AZ107/1000</f>
        <v>2837.7722389090909</v>
      </c>
      <c r="BA100" s="182">
        <f>+BA109*BA107/1000</f>
        <v>2144.5091613333343</v>
      </c>
      <c r="BB100" s="110">
        <f>SUM(AX100:BA100)</f>
        <v>9240.2900106060624</v>
      </c>
      <c r="BC100" s="180">
        <f>+BC109*BC107/1000</f>
        <v>2072.6316036780004</v>
      </c>
      <c r="BD100" s="181">
        <f>+BD109*BD107/1000</f>
        <v>2343.4250583478188</v>
      </c>
      <c r="BE100" s="181">
        <f>+BE109*BE107/1000</f>
        <v>2921.0488723425456</v>
      </c>
      <c r="BF100" s="182">
        <f>+BF109*BF107/1000</f>
        <v>2223.6262163013339</v>
      </c>
      <c r="BG100" s="110">
        <f>SUM(BC100:BF100)</f>
        <v>9560.7317506697</v>
      </c>
      <c r="BH100" s="180">
        <f>+BH109*BH107/1000</f>
        <v>2161.817393300068</v>
      </c>
      <c r="BI100" s="181">
        <f>+BI109*BI107/1000</f>
        <v>2434.2356086979057</v>
      </c>
      <c r="BJ100" s="181">
        <f>+BJ109*BJ107/1000</f>
        <v>3015.3251655766007</v>
      </c>
      <c r="BK100" s="182">
        <f>+BK109*BK107/1000</f>
        <v>2313.7179735991422</v>
      </c>
      <c r="BL100" s="110">
        <f>SUM(BH100:BK100)</f>
        <v>9925.0961411737171</v>
      </c>
      <c r="BM100" s="180">
        <f>+BM109*BM107/1000</f>
        <v>2238.5382976598685</v>
      </c>
      <c r="BN100" s="181">
        <f>+BN109*BN107/1000</f>
        <v>2512.5910223500932</v>
      </c>
      <c r="BO100" s="181">
        <f>+BO109*BO107/1000</f>
        <v>3097.1671165700604</v>
      </c>
      <c r="BP100" s="182">
        <f>+BP109*BP107/1000</f>
        <v>2391.350281440737</v>
      </c>
      <c r="BQ100" s="110">
        <f>SUM(BM100:BP100)</f>
        <v>10239.646718020758</v>
      </c>
    </row>
    <row r="101" spans="1:69">
      <c r="A101" s="320"/>
      <c r="B101" s="320"/>
      <c r="C101" s="1173"/>
      <c r="D101" s="320"/>
      <c r="E101" s="180"/>
      <c r="F101" s="181"/>
      <c r="G101" s="181"/>
      <c r="H101" s="182"/>
      <c r="I101" s="110"/>
      <c r="J101" s="180"/>
      <c r="K101" s="181"/>
      <c r="L101" s="181"/>
      <c r="M101" s="182"/>
      <c r="N101" s="110"/>
      <c r="O101" s="180"/>
      <c r="P101" s="181"/>
      <c r="Q101" s="181"/>
      <c r="R101" s="182"/>
      <c r="S101" s="110"/>
      <c r="T101" s="180"/>
      <c r="U101" s="181"/>
      <c r="V101" s="181"/>
      <c r="W101" s="182"/>
      <c r="X101" s="110"/>
      <c r="Y101" s="180"/>
      <c r="Z101" s="181"/>
      <c r="AA101" s="181"/>
      <c r="AB101" s="182"/>
      <c r="AC101" s="110"/>
      <c r="AD101" s="180"/>
      <c r="AE101" s="181"/>
      <c r="AF101" s="181"/>
      <c r="AG101" s="182"/>
      <c r="AH101" s="110"/>
      <c r="AI101" s="180"/>
      <c r="AJ101" s="181"/>
      <c r="AK101" s="181"/>
      <c r="AL101" s="182"/>
      <c r="AM101" s="110"/>
      <c r="AN101" s="180"/>
      <c r="AO101" s="181"/>
      <c r="AP101" s="181"/>
      <c r="AQ101" s="182"/>
      <c r="AR101" s="110"/>
      <c r="AS101" s="180"/>
      <c r="AT101" s="181"/>
      <c r="AU101" s="181"/>
      <c r="AV101" s="182"/>
      <c r="AW101" s="110"/>
      <c r="AX101" s="180"/>
      <c r="AY101" s="181"/>
      <c r="AZ101" s="181"/>
      <c r="BA101" s="182"/>
      <c r="BB101" s="110"/>
      <c r="BC101" s="180"/>
      <c r="BD101" s="181"/>
      <c r="BE101" s="181"/>
      <c r="BF101" s="182"/>
      <c r="BG101" s="110"/>
      <c r="BH101" s="180"/>
      <c r="BI101" s="181"/>
      <c r="BJ101" s="181"/>
      <c r="BK101" s="182"/>
      <c r="BL101" s="110"/>
      <c r="BM101" s="180"/>
      <c r="BN101" s="181"/>
      <c r="BO101" s="181"/>
      <c r="BP101" s="182"/>
      <c r="BQ101" s="110"/>
    </row>
    <row r="102" spans="1:69">
      <c r="A102" s="320"/>
      <c r="B102" s="320"/>
      <c r="C102" s="1188" t="s">
        <v>623</v>
      </c>
      <c r="D102" s="320"/>
      <c r="E102" s="324"/>
      <c r="F102" s="325"/>
      <c r="G102" s="325"/>
      <c r="H102" s="326"/>
      <c r="I102" s="320"/>
      <c r="J102" s="324"/>
      <c r="K102" s="325"/>
      <c r="L102" s="325"/>
      <c r="M102" s="326"/>
      <c r="N102" s="320"/>
      <c r="O102" s="324"/>
      <c r="P102" s="325"/>
      <c r="Q102" s="325"/>
      <c r="R102" s="326"/>
      <c r="S102" s="320"/>
      <c r="T102" s="324"/>
      <c r="U102" s="325"/>
      <c r="V102" s="325"/>
      <c r="W102" s="326"/>
      <c r="X102" s="320"/>
      <c r="Y102" s="324"/>
      <c r="Z102" s="325"/>
      <c r="AA102" s="325"/>
      <c r="AB102" s="326"/>
      <c r="AC102" s="320"/>
      <c r="AD102" s="324"/>
      <c r="AE102" s="325"/>
      <c r="AF102" s="325"/>
      <c r="AG102" s="326"/>
      <c r="AH102" s="320"/>
      <c r="AI102" s="324"/>
      <c r="AJ102" s="325"/>
      <c r="AK102" s="325"/>
      <c r="AL102" s="326"/>
      <c r="AM102" s="320"/>
      <c r="AN102" s="324"/>
      <c r="AO102" s="325"/>
      <c r="AP102" s="325"/>
      <c r="AQ102" s="326"/>
      <c r="AR102" s="320"/>
      <c r="AS102" s="324"/>
      <c r="AT102" s="325"/>
      <c r="AU102" s="325"/>
      <c r="AV102" s="326"/>
      <c r="AW102" s="320"/>
      <c r="AX102" s="324"/>
      <c r="AY102" s="325"/>
      <c r="AZ102" s="325"/>
      <c r="BA102" s="326"/>
      <c r="BB102" s="320"/>
      <c r="BC102" s="324"/>
      <c r="BD102" s="325"/>
      <c r="BE102" s="325"/>
      <c r="BF102" s="326"/>
      <c r="BG102" s="320"/>
      <c r="BH102" s="324"/>
      <c r="BI102" s="325"/>
      <c r="BJ102" s="325"/>
      <c r="BK102" s="326"/>
      <c r="BL102" s="320"/>
      <c r="BM102" s="324"/>
      <c r="BN102" s="325"/>
      <c r="BO102" s="325"/>
      <c r="BP102" s="326"/>
      <c r="BQ102" s="320"/>
    </row>
    <row r="103" spans="1:69">
      <c r="A103" s="320"/>
      <c r="B103" s="320"/>
      <c r="C103" s="129" t="s">
        <v>624</v>
      </c>
      <c r="D103" s="320"/>
      <c r="E103" s="393">
        <v>7893</v>
      </c>
      <c r="F103" s="190">
        <v>7100</v>
      </c>
      <c r="G103" s="190">
        <v>11213</v>
      </c>
      <c r="H103" s="191">
        <v>7420.5590000000002</v>
      </c>
      <c r="I103" s="107">
        <f>SUM(E103:H103)</f>
        <v>33626.559000000001</v>
      </c>
      <c r="J103" s="393">
        <v>9645</v>
      </c>
      <c r="K103" s="190">
        <v>7705</v>
      </c>
      <c r="L103" s="190">
        <v>12365</v>
      </c>
      <c r="M103" s="191">
        <v>7750</v>
      </c>
      <c r="N103" s="107">
        <f>SUM(J103:M103)</f>
        <v>37465</v>
      </c>
      <c r="O103" s="393">
        <v>9041.7039999999997</v>
      </c>
      <c r="P103" s="190">
        <v>7993</v>
      </c>
      <c r="Q103" s="190">
        <v>12376</v>
      </c>
      <c r="R103" s="191">
        <v>7274</v>
      </c>
      <c r="S103" s="107">
        <f>SUM(O103:R103)</f>
        <v>36684.703999999998</v>
      </c>
      <c r="T103" s="393">
        <v>7760</v>
      </c>
      <c r="U103" s="190">
        <v>7940</v>
      </c>
      <c r="V103" s="190">
        <v>11605</v>
      </c>
      <c r="W103" s="191">
        <v>7360</v>
      </c>
      <c r="X103" s="107">
        <f>SUM(T103:W103)</f>
        <v>34665</v>
      </c>
      <c r="Y103" s="393">
        <v>8344</v>
      </c>
      <c r="Z103" s="190">
        <v>7377</v>
      </c>
      <c r="AA103" s="190">
        <v>11359</v>
      </c>
      <c r="AB103" s="191">
        <v>8089</v>
      </c>
      <c r="AC103" s="107">
        <f>SUM(Y103:AB103)</f>
        <v>35169</v>
      </c>
      <c r="AD103" s="393">
        <v>10027</v>
      </c>
      <c r="AE103" s="190">
        <v>7266</v>
      </c>
      <c r="AF103" s="190">
        <v>10869</v>
      </c>
      <c r="AG103" s="191">
        <v>7770</v>
      </c>
      <c r="AH103" s="107">
        <f>SUM(AD103:AG103)</f>
        <v>35932</v>
      </c>
      <c r="AI103" s="393">
        <v>9433</v>
      </c>
      <c r="AJ103" s="190">
        <v>7364</v>
      </c>
      <c r="AK103" s="190">
        <v>11887</v>
      </c>
      <c r="AL103" s="191">
        <v>7385</v>
      </c>
      <c r="AM103" s="107">
        <f>SUM(AI103:AL103)</f>
        <v>36069</v>
      </c>
      <c r="AN103" s="393">
        <v>8137</v>
      </c>
      <c r="AO103" s="190">
        <v>7081</v>
      </c>
      <c r="AP103" s="190">
        <v>11817</v>
      </c>
      <c r="AQ103" s="191">
        <v>8077</v>
      </c>
      <c r="AR103" s="107">
        <f>SUM(AN103:AQ103)</f>
        <v>35112</v>
      </c>
      <c r="AS103" s="393">
        <v>7637</v>
      </c>
      <c r="AT103" s="190">
        <v>7340</v>
      </c>
      <c r="AU103" s="190">
        <v>10833</v>
      </c>
      <c r="AV103" s="191">
        <v>8024</v>
      </c>
      <c r="AW103" s="107">
        <f>SUM(AS103:AV103)</f>
        <v>33834</v>
      </c>
      <c r="AX103" s="174"/>
      <c r="AY103" s="175"/>
      <c r="AZ103" s="175"/>
      <c r="BA103" s="176"/>
      <c r="BB103" s="107"/>
      <c r="BC103" s="174"/>
      <c r="BD103" s="175"/>
      <c r="BE103" s="175"/>
      <c r="BF103" s="176"/>
      <c r="BG103" s="107"/>
      <c r="BH103" s="174"/>
      <c r="BI103" s="175"/>
      <c r="BJ103" s="175"/>
      <c r="BK103" s="176"/>
      <c r="BL103" s="107"/>
      <c r="BM103" s="174"/>
      <c r="BN103" s="175"/>
      <c r="BO103" s="175"/>
      <c r="BP103" s="176"/>
      <c r="BQ103" s="107"/>
    </row>
    <row r="104" spans="1:69">
      <c r="A104" s="320"/>
      <c r="B104" s="320"/>
      <c r="C104" s="129" t="s">
        <v>732</v>
      </c>
      <c r="D104" s="320"/>
      <c r="E104" s="393">
        <v>6194</v>
      </c>
      <c r="F104" s="190">
        <v>6518</v>
      </c>
      <c r="G104" s="190">
        <v>8794</v>
      </c>
      <c r="H104" s="191">
        <v>7240</v>
      </c>
      <c r="I104" s="107">
        <f>SUM(E104:H104)</f>
        <v>28746</v>
      </c>
      <c r="J104" s="393">
        <v>7064</v>
      </c>
      <c r="K104" s="190">
        <v>7384</v>
      </c>
      <c r="L104" s="190">
        <v>9341</v>
      </c>
      <c r="M104" s="191">
        <v>7504</v>
      </c>
      <c r="N104" s="107">
        <f>SUM(J104:M104)</f>
        <v>31293</v>
      </c>
      <c r="O104" s="393">
        <v>7032</v>
      </c>
      <c r="P104" s="190">
        <v>7548</v>
      </c>
      <c r="Q104" s="190">
        <v>9344</v>
      </c>
      <c r="R104" s="191">
        <v>7270</v>
      </c>
      <c r="S104" s="107">
        <f>SUM(O104:R104)</f>
        <v>31194</v>
      </c>
      <c r="T104" s="393">
        <v>6992</v>
      </c>
      <c r="U104" s="190">
        <v>7753</v>
      </c>
      <c r="V104" s="190">
        <f>8433+668</f>
        <v>9101</v>
      </c>
      <c r="W104" s="191">
        <v>7313</v>
      </c>
      <c r="X104" s="107">
        <f>SUM(T104:W104)</f>
        <v>31159</v>
      </c>
      <c r="Y104" s="393">
        <f>6421+584</f>
        <v>7005</v>
      </c>
      <c r="Z104" s="190">
        <f>6684+583</f>
        <v>7267</v>
      </c>
      <c r="AA104" s="190">
        <f>8393+648</f>
        <v>9041</v>
      </c>
      <c r="AB104" s="191">
        <v>7647</v>
      </c>
      <c r="AC104" s="107">
        <f>SUM(Y104:AB104)</f>
        <v>30960</v>
      </c>
      <c r="AD104" s="393">
        <f>6800+584</f>
        <v>7384</v>
      </c>
      <c r="AE104" s="190">
        <f>6762+587</f>
        <v>7349</v>
      </c>
      <c r="AF104" s="190">
        <f>8281+659</f>
        <v>8940</v>
      </c>
      <c r="AG104" s="191">
        <v>7583</v>
      </c>
      <c r="AH104" s="107">
        <f>SUM(AD104:AG104)</f>
        <v>31256</v>
      </c>
      <c r="AI104" s="393">
        <f>6721+592</f>
        <v>7313</v>
      </c>
      <c r="AJ104" s="190">
        <f>6904+602</f>
        <v>7506</v>
      </c>
      <c r="AK104" s="190">
        <f>8744+692</f>
        <v>9436</v>
      </c>
      <c r="AL104" s="191">
        <f>6979+627</f>
        <v>7606</v>
      </c>
      <c r="AM104" s="107">
        <f>SUM(AI104:AL104)</f>
        <v>31861</v>
      </c>
      <c r="AN104" s="393">
        <f>6511+600</f>
        <v>7111</v>
      </c>
      <c r="AO104" s="190">
        <f>6777+609</f>
        <v>7386</v>
      </c>
      <c r="AP104" s="190">
        <f>8650+703</f>
        <v>9353</v>
      </c>
      <c r="AQ104" s="191">
        <f>7259+635</f>
        <v>7894</v>
      </c>
      <c r="AR104" s="107">
        <f>SUM(AN104:AQ104)</f>
        <v>31744</v>
      </c>
      <c r="AS104" s="393">
        <f>6439+593</f>
        <v>7032</v>
      </c>
      <c r="AT104" s="190">
        <f>6886+609</f>
        <v>7495</v>
      </c>
      <c r="AU104" s="190">
        <f>8271+682</f>
        <v>8953</v>
      </c>
      <c r="AV104" s="191">
        <f>627+7150</f>
        <v>7777</v>
      </c>
      <c r="AW104" s="107">
        <f>SUM(AS104:AV104)</f>
        <v>31257</v>
      </c>
      <c r="AX104" s="174"/>
      <c r="AY104" s="175"/>
      <c r="AZ104" s="175"/>
      <c r="BA104" s="176"/>
      <c r="BB104" s="107"/>
      <c r="BC104" s="174"/>
      <c r="BD104" s="175"/>
      <c r="BE104" s="175"/>
      <c r="BF104" s="176"/>
      <c r="BG104" s="107"/>
      <c r="BH104" s="174"/>
      <c r="BI104" s="175"/>
      <c r="BJ104" s="175"/>
      <c r="BK104" s="176"/>
      <c r="BL104" s="107"/>
      <c r="BM104" s="174"/>
      <c r="BN104" s="175"/>
      <c r="BO104" s="175"/>
      <c r="BP104" s="176"/>
      <c r="BQ104" s="107"/>
    </row>
    <row r="105" spans="1:69">
      <c r="A105" s="320"/>
      <c r="B105" s="320"/>
      <c r="C105" s="129" t="s">
        <v>811</v>
      </c>
      <c r="D105" s="320"/>
      <c r="E105" s="393">
        <v>8139</v>
      </c>
      <c r="F105" s="190">
        <v>8790</v>
      </c>
      <c r="G105" s="190">
        <v>9473</v>
      </c>
      <c r="H105" s="191">
        <v>9235.4940000000006</v>
      </c>
      <c r="I105" s="107">
        <f>SUM(E105:H105)</f>
        <v>35637.493999999999</v>
      </c>
      <c r="J105" s="393">
        <v>8733</v>
      </c>
      <c r="K105" s="190">
        <v>9862</v>
      </c>
      <c r="L105" s="190">
        <v>10276</v>
      </c>
      <c r="M105" s="191">
        <v>9880</v>
      </c>
      <c r="N105" s="107">
        <f>SUM(J105:M105)</f>
        <v>38751</v>
      </c>
      <c r="O105" s="393">
        <v>9516.49</v>
      </c>
      <c r="P105" s="190">
        <v>10140</v>
      </c>
      <c r="Q105" s="190">
        <v>11024</v>
      </c>
      <c r="R105" s="191">
        <f>10130</f>
        <v>10130</v>
      </c>
      <c r="S105" s="107">
        <f>SUM(O105:R105)</f>
        <v>40810.49</v>
      </c>
      <c r="T105" s="393">
        <v>9958</v>
      </c>
      <c r="U105" s="190">
        <v>10408</v>
      </c>
      <c r="V105" s="190">
        <v>10748</v>
      </c>
      <c r="W105" s="191">
        <v>10067</v>
      </c>
      <c r="X105" s="107">
        <f>SUM(T105:W105)</f>
        <v>41181</v>
      </c>
      <c r="Y105" s="393">
        <v>9868</v>
      </c>
      <c r="Z105" s="190">
        <v>10357</v>
      </c>
      <c r="AA105" s="190">
        <v>11038</v>
      </c>
      <c r="AB105" s="191">
        <v>10389</v>
      </c>
      <c r="AC105" s="107">
        <f>SUM(Y105:AB105)</f>
        <v>41652</v>
      </c>
      <c r="AD105" s="393">
        <v>10113</v>
      </c>
      <c r="AE105" s="190">
        <v>10902</v>
      </c>
      <c r="AF105" s="190">
        <v>11620</v>
      </c>
      <c r="AG105" s="191">
        <v>11087</v>
      </c>
      <c r="AH105" s="107">
        <f>SUM(AD105:AG105)</f>
        <v>43722</v>
      </c>
      <c r="AI105" s="393">
        <v>10406</v>
      </c>
      <c r="AJ105" s="190">
        <v>10737</v>
      </c>
      <c r="AK105" s="190">
        <v>12087</v>
      </c>
      <c r="AL105" s="191">
        <v>11152</v>
      </c>
      <c r="AM105" s="107">
        <f>SUM(AI105:AL105)</f>
        <v>44382</v>
      </c>
      <c r="AN105" s="393">
        <v>11055</v>
      </c>
      <c r="AO105" s="190">
        <v>11509</v>
      </c>
      <c r="AP105" s="190">
        <v>12017</v>
      </c>
      <c r="AQ105" s="191">
        <v>11158</v>
      </c>
      <c r="AR105" s="107">
        <f>SUM(AN105:AQ105)</f>
        <v>45739</v>
      </c>
      <c r="AS105" s="393">
        <v>11117</v>
      </c>
      <c r="AT105" s="190">
        <v>12209</v>
      </c>
      <c r="AU105" s="190">
        <v>12503</v>
      </c>
      <c r="AV105" s="191">
        <v>11940</v>
      </c>
      <c r="AW105" s="107">
        <f>SUM(AS105:AV105)</f>
        <v>47769</v>
      </c>
      <c r="AX105" s="174"/>
      <c r="AY105" s="175"/>
      <c r="AZ105" s="175"/>
      <c r="BA105" s="176"/>
      <c r="BB105" s="107"/>
      <c r="BC105" s="174"/>
      <c r="BD105" s="175"/>
      <c r="BE105" s="175"/>
      <c r="BF105" s="176"/>
      <c r="BG105" s="107"/>
      <c r="BH105" s="174"/>
      <c r="BI105" s="175"/>
      <c r="BJ105" s="175"/>
      <c r="BK105" s="176"/>
      <c r="BL105" s="107"/>
      <c r="BM105" s="174"/>
      <c r="BN105" s="175"/>
      <c r="BO105" s="175"/>
      <c r="BP105" s="176"/>
      <c r="BQ105" s="107"/>
    </row>
    <row r="106" spans="1:69">
      <c r="A106" s="320"/>
      <c r="B106" s="320"/>
      <c r="C106" s="129" t="s">
        <v>851</v>
      </c>
      <c r="D106" s="320"/>
      <c r="E106" s="393">
        <v>562</v>
      </c>
      <c r="F106" s="190">
        <v>577</v>
      </c>
      <c r="G106" s="190">
        <v>0</v>
      </c>
      <c r="H106" s="191">
        <v>0</v>
      </c>
      <c r="I106" s="107">
        <f>SUM(E106:H106)</f>
        <v>1139</v>
      </c>
      <c r="J106" s="393">
        <v>0</v>
      </c>
      <c r="K106" s="190">
        <v>0</v>
      </c>
      <c r="L106" s="190">
        <v>0</v>
      </c>
      <c r="M106" s="191">
        <v>0</v>
      </c>
      <c r="N106" s="107">
        <f>SUM(J106:M106)</f>
        <v>0</v>
      </c>
      <c r="O106" s="393">
        <v>0</v>
      </c>
      <c r="P106" s="190">
        <v>0</v>
      </c>
      <c r="Q106" s="190">
        <v>0</v>
      </c>
      <c r="R106" s="191">
        <v>0</v>
      </c>
      <c r="S106" s="107">
        <f>SUM(O106:R106)</f>
        <v>0</v>
      </c>
      <c r="T106" s="393">
        <v>0</v>
      </c>
      <c r="U106" s="190">
        <v>0</v>
      </c>
      <c r="V106" s="190">
        <v>0</v>
      </c>
      <c r="W106" s="191">
        <v>0</v>
      </c>
      <c r="X106" s="107">
        <f>SUM(T106:W106)</f>
        <v>0</v>
      </c>
      <c r="Y106" s="393">
        <v>0</v>
      </c>
      <c r="Z106" s="190">
        <v>0</v>
      </c>
      <c r="AA106" s="190">
        <v>0</v>
      </c>
      <c r="AB106" s="191">
        <v>0</v>
      </c>
      <c r="AC106" s="107">
        <f>SUM(Y106:AB106)</f>
        <v>0</v>
      </c>
      <c r="AD106" s="393">
        <v>0</v>
      </c>
      <c r="AE106" s="190">
        <v>0</v>
      </c>
      <c r="AF106" s="190">
        <v>0</v>
      </c>
      <c r="AG106" s="191">
        <v>0</v>
      </c>
      <c r="AH106" s="107">
        <f>SUM(AD106:AG106)</f>
        <v>0</v>
      </c>
      <c r="AI106" s="393">
        <v>0</v>
      </c>
      <c r="AJ106" s="190">
        <v>0</v>
      </c>
      <c r="AK106" s="190">
        <v>0</v>
      </c>
      <c r="AL106" s="191">
        <v>0</v>
      </c>
      <c r="AM106" s="107">
        <f>SUM(AI106:AL106)</f>
        <v>0</v>
      </c>
      <c r="AN106" s="393">
        <v>0</v>
      </c>
      <c r="AO106" s="190">
        <v>0</v>
      </c>
      <c r="AP106" s="190">
        <v>0</v>
      </c>
      <c r="AQ106" s="191">
        <v>0</v>
      </c>
      <c r="AR106" s="107">
        <f>SUM(AN106:AQ106)</f>
        <v>0</v>
      </c>
      <c r="AS106" s="393">
        <v>0</v>
      </c>
      <c r="AT106" s="190">
        <v>0</v>
      </c>
      <c r="AU106" s="190">
        <v>0</v>
      </c>
      <c r="AV106" s="191">
        <v>0</v>
      </c>
      <c r="AW106" s="107">
        <f>SUM(AS106:AV106)</f>
        <v>0</v>
      </c>
      <c r="AX106" s="174"/>
      <c r="AY106" s="175"/>
      <c r="AZ106" s="175"/>
      <c r="BA106" s="176"/>
      <c r="BB106" s="107"/>
      <c r="BC106" s="174"/>
      <c r="BD106" s="175"/>
      <c r="BE106" s="175"/>
      <c r="BF106" s="176"/>
      <c r="BG106" s="107"/>
      <c r="BH106" s="174"/>
      <c r="BI106" s="175"/>
      <c r="BJ106" s="175"/>
      <c r="BK106" s="176"/>
      <c r="BL106" s="107"/>
      <c r="BM106" s="174"/>
      <c r="BN106" s="175"/>
      <c r="BO106" s="175"/>
      <c r="BP106" s="176"/>
      <c r="BQ106" s="107"/>
    </row>
    <row r="107" spans="1:69">
      <c r="A107" s="327"/>
      <c r="B107" s="327"/>
      <c r="C107" s="1173" t="s">
        <v>625</v>
      </c>
      <c r="D107" s="327"/>
      <c r="E107" s="180">
        <f t="shared" ref="E107:M107" si="266">SUM(E103:E106)</f>
        <v>22788</v>
      </c>
      <c r="F107" s="181">
        <f t="shared" si="266"/>
        <v>22985</v>
      </c>
      <c r="G107" s="181">
        <f t="shared" si="266"/>
        <v>29480</v>
      </c>
      <c r="H107" s="182">
        <f t="shared" si="266"/>
        <v>23896.053</v>
      </c>
      <c r="I107" s="110">
        <f>SUM(I103:I106)</f>
        <v>99149.053</v>
      </c>
      <c r="J107" s="180">
        <f t="shared" si="266"/>
        <v>25442</v>
      </c>
      <c r="K107" s="181">
        <f t="shared" si="266"/>
        <v>24951</v>
      </c>
      <c r="L107" s="181">
        <f t="shared" si="266"/>
        <v>31982</v>
      </c>
      <c r="M107" s="182">
        <f t="shared" si="266"/>
        <v>25134</v>
      </c>
      <c r="N107" s="110">
        <f>SUM(N103:N106)</f>
        <v>107509</v>
      </c>
      <c r="O107" s="180">
        <f>SUM(O103:O106)</f>
        <v>25590.194</v>
      </c>
      <c r="P107" s="181">
        <f>SUM(P103:P106)</f>
        <v>25681</v>
      </c>
      <c r="Q107" s="181">
        <f>SUM(Q103:Q106)</f>
        <v>32744</v>
      </c>
      <c r="R107" s="182">
        <f>SUM(R103:R106)</f>
        <v>24674</v>
      </c>
      <c r="S107" s="110">
        <f t="shared" ref="S107:AA107" si="267">SUM(S103:S106)</f>
        <v>108689.19399999999</v>
      </c>
      <c r="T107" s="180">
        <f t="shared" si="267"/>
        <v>24710</v>
      </c>
      <c r="U107" s="181">
        <f t="shared" si="267"/>
        <v>26101</v>
      </c>
      <c r="V107" s="181">
        <f t="shared" si="267"/>
        <v>31454</v>
      </c>
      <c r="W107" s="182">
        <f t="shared" si="267"/>
        <v>24740</v>
      </c>
      <c r="X107" s="110">
        <f t="shared" si="267"/>
        <v>107005</v>
      </c>
      <c r="Y107" s="180">
        <f t="shared" si="267"/>
        <v>25217</v>
      </c>
      <c r="Z107" s="181">
        <f t="shared" si="267"/>
        <v>25001</v>
      </c>
      <c r="AA107" s="181">
        <f t="shared" si="267"/>
        <v>31438</v>
      </c>
      <c r="AB107" s="182">
        <f>SUM(AB103:AB106)</f>
        <v>26125</v>
      </c>
      <c r="AC107" s="110">
        <f>SUM(AC103:AC106)</f>
        <v>107781</v>
      </c>
      <c r="AD107" s="180">
        <f>SUM(AD103:AD106)</f>
        <v>27524</v>
      </c>
      <c r="AE107" s="181">
        <f>SUM(AE103:AE106)</f>
        <v>25517</v>
      </c>
      <c r="AF107" s="181">
        <f t="shared" ref="AF107" si="268">SUM(AF103:AF106)</f>
        <v>31429</v>
      </c>
      <c r="AG107" s="182">
        <f>SUM(AG103:AG106)</f>
        <v>26440</v>
      </c>
      <c r="AH107" s="110">
        <f>SUM(AH103:AH106)</f>
        <v>110910</v>
      </c>
      <c r="AI107" s="180">
        <f>SUM(AI103:AI106)</f>
        <v>27152</v>
      </c>
      <c r="AJ107" s="181">
        <f>SUM(AJ103:AJ106)</f>
        <v>25607</v>
      </c>
      <c r="AK107" s="181">
        <f t="shared" ref="AK107" si="269">SUM(AK103:AK106)</f>
        <v>33410</v>
      </c>
      <c r="AL107" s="182">
        <f>SUM(AL103:AL106)</f>
        <v>26143</v>
      </c>
      <c r="AM107" s="110">
        <f>SUM(AM103:AM106)</f>
        <v>112312</v>
      </c>
      <c r="AN107" s="180">
        <f>SUM(AN103:AN106)</f>
        <v>26303</v>
      </c>
      <c r="AO107" s="181">
        <f>SUM(AO103:AO106)</f>
        <v>25976</v>
      </c>
      <c r="AP107" s="181">
        <f t="shared" ref="AP107" si="270">SUM(AP103:AP106)</f>
        <v>33187</v>
      </c>
      <c r="AQ107" s="182">
        <f t="shared" ref="AQ107:AW107" si="271">SUM(AQ103:AQ106)</f>
        <v>27129</v>
      </c>
      <c r="AR107" s="110">
        <f t="shared" si="271"/>
        <v>112595</v>
      </c>
      <c r="AS107" s="180">
        <f t="shared" si="271"/>
        <v>25786</v>
      </c>
      <c r="AT107" s="181">
        <f t="shared" si="271"/>
        <v>27044</v>
      </c>
      <c r="AU107" s="181">
        <f t="shared" si="271"/>
        <v>32289</v>
      </c>
      <c r="AV107" s="182">
        <f t="shared" si="271"/>
        <v>27741</v>
      </c>
      <c r="AW107" s="110">
        <f t="shared" si="271"/>
        <v>112860</v>
      </c>
      <c r="AX107" s="180">
        <f>AS107*(1+AX67)</f>
        <v>26636.937999999998</v>
      </c>
      <c r="AY107" s="181">
        <f>AT107*(1+AY67)</f>
        <v>27297.230181818184</v>
      </c>
      <c r="AZ107" s="181">
        <f>AU107*(1+AZ67)</f>
        <v>33530.658818181822</v>
      </c>
      <c r="BA107" s="182">
        <f>AV107*(1+BA67)</f>
        <v>27176.933000000001</v>
      </c>
      <c r="BB107" s="110">
        <f>SUM(AX107:BA107)</f>
        <v>114641.76000000001</v>
      </c>
      <c r="BC107" s="180">
        <f>AX107*(1+BC67)</f>
        <v>26796.759628</v>
      </c>
      <c r="BD107" s="181">
        <f>AY107*(1+BD67)</f>
        <v>27461.013562909095</v>
      </c>
      <c r="BE107" s="181">
        <f>AZ107*(1+BE67)</f>
        <v>33731.842771090916</v>
      </c>
      <c r="BF107" s="182">
        <f>BA107*(1+BF67)</f>
        <v>27339.994598000001</v>
      </c>
      <c r="BG107" s="110">
        <f>SUM(BC107:BF107)</f>
        <v>115329.61056000002</v>
      </c>
      <c r="BH107" s="180">
        <f>BC107*(1+BH67)</f>
        <v>26957.540185768001</v>
      </c>
      <c r="BI107" s="181">
        <f>BD107*(1+BI67)</f>
        <v>27625.779644286551</v>
      </c>
      <c r="BJ107" s="181">
        <f>BE107*(1+BJ67)</f>
        <v>33934.233827717464</v>
      </c>
      <c r="BK107" s="182">
        <f>BF107*(1+BK67)</f>
        <v>27504.034565588001</v>
      </c>
      <c r="BL107" s="110">
        <f>SUM(BH107:BK107)</f>
        <v>116021.58822336001</v>
      </c>
      <c r="BM107" s="180">
        <f>BH107*(1+BM67)</f>
        <v>27119.285426882609</v>
      </c>
      <c r="BN107" s="181">
        <f>BI107*(1+BN67)</f>
        <v>27791.534322152271</v>
      </c>
      <c r="BO107" s="181">
        <f>BJ107*(1+BO67)</f>
        <v>34137.83923068377</v>
      </c>
      <c r="BP107" s="182">
        <f>BK107*(1+BP67)</f>
        <v>27669.058772981531</v>
      </c>
      <c r="BQ107" s="110">
        <f>SUM(BM107:BP107)</f>
        <v>116717.71775270019</v>
      </c>
    </row>
    <row r="108" spans="1:69">
      <c r="A108" s="320"/>
      <c r="B108" s="320"/>
      <c r="C108" s="129"/>
      <c r="D108" s="320"/>
      <c r="E108" s="174"/>
      <c r="F108" s="175"/>
      <c r="G108" s="175"/>
      <c r="H108" s="176"/>
      <c r="I108" s="107"/>
      <c r="J108" s="174"/>
      <c r="K108" s="175"/>
      <c r="L108" s="175"/>
      <c r="M108" s="176"/>
      <c r="N108" s="107"/>
      <c r="O108" s="174"/>
      <c r="P108" s="175"/>
      <c r="Q108" s="175"/>
      <c r="R108" s="176"/>
      <c r="S108" s="107"/>
      <c r="T108" s="174"/>
      <c r="U108" s="175"/>
      <c r="V108" s="175"/>
      <c r="W108" s="176"/>
      <c r="X108" s="107"/>
      <c r="Y108" s="174"/>
      <c r="Z108" s="175"/>
      <c r="AA108" s="175"/>
      <c r="AB108" s="176"/>
      <c r="AC108" s="107"/>
      <c r="AD108" s="174"/>
      <c r="AE108" s="175"/>
      <c r="AF108" s="175"/>
      <c r="AG108" s="176"/>
      <c r="AH108" s="107"/>
      <c r="AI108" s="174"/>
      <c r="AJ108" s="175"/>
      <c r="AK108" s="175"/>
      <c r="AL108" s="176"/>
      <c r="AM108" s="107"/>
      <c r="AN108" s="174"/>
      <c r="AO108" s="175"/>
      <c r="AP108" s="175"/>
      <c r="AQ108" s="176"/>
      <c r="AR108" s="107"/>
      <c r="AS108" s="174"/>
      <c r="AT108" s="175"/>
      <c r="AU108" s="175"/>
      <c r="AV108" s="176"/>
      <c r="AW108" s="107"/>
      <c r="AX108" s="174"/>
      <c r="AY108" s="175"/>
      <c r="AZ108" s="175"/>
      <c r="BA108" s="176"/>
      <c r="BB108" s="107"/>
      <c r="BC108" s="174"/>
      <c r="BD108" s="175"/>
      <c r="BE108" s="175"/>
      <c r="BF108" s="176"/>
      <c r="BG108" s="107"/>
      <c r="BH108" s="174"/>
      <c r="BI108" s="175"/>
      <c r="BJ108" s="175"/>
      <c r="BK108" s="176"/>
      <c r="BL108" s="107"/>
      <c r="BM108" s="174"/>
      <c r="BN108" s="175"/>
      <c r="BO108" s="175"/>
      <c r="BP108" s="176"/>
      <c r="BQ108" s="107"/>
    </row>
    <row r="109" spans="1:69">
      <c r="A109" s="36"/>
      <c r="B109" s="36"/>
      <c r="C109" s="1173" t="s">
        <v>142</v>
      </c>
      <c r="D109" s="1236"/>
      <c r="E109" s="1237">
        <f>E100/E107*1000</f>
        <v>85.753730033350877</v>
      </c>
      <c r="F109" s="1238">
        <f t="shared" ref="F109:M109" si="272">F100/F107*1000</f>
        <v>80.661126821840327</v>
      </c>
      <c r="G109" s="1238">
        <f t="shared" si="272"/>
        <v>73.346506105834479</v>
      </c>
      <c r="H109" s="1239">
        <f t="shared" si="272"/>
        <v>70.879194986720194</v>
      </c>
      <c r="I109" s="1236">
        <f>I100/I107*1000</f>
        <v>77.299175010778967</v>
      </c>
      <c r="J109" s="1237">
        <f t="shared" si="272"/>
        <v>75.811728637685718</v>
      </c>
      <c r="K109" s="1238">
        <f t="shared" si="272"/>
        <v>86.768947136387325</v>
      </c>
      <c r="L109" s="1238">
        <f t="shared" si="272"/>
        <v>81.466574948408478</v>
      </c>
      <c r="M109" s="1239">
        <f t="shared" si="272"/>
        <v>73.026020529959453</v>
      </c>
      <c r="N109" s="1236">
        <f>N100/N107*1000</f>
        <v>79.385670036927152</v>
      </c>
      <c r="O109" s="1237">
        <f t="shared" ref="O109:W109" si="273">O100/O107*1000</f>
        <v>70.436941587859778</v>
      </c>
      <c r="P109" s="1238">
        <f t="shared" si="273"/>
        <v>83.664343288812745</v>
      </c>
      <c r="Q109" s="1238">
        <f t="shared" si="273"/>
        <v>81.364280478866363</v>
      </c>
      <c r="R109" s="1239">
        <f t="shared" si="273"/>
        <v>74.76444840723029</v>
      </c>
      <c r="S109" s="1236">
        <f t="shared" si="273"/>
        <v>77.836707483542483</v>
      </c>
      <c r="T109" s="1237">
        <f t="shared" si="273"/>
        <v>70.685228652367471</v>
      </c>
      <c r="U109" s="1238">
        <f t="shared" si="273"/>
        <v>73.357227692425568</v>
      </c>
      <c r="V109" s="1238">
        <f t="shared" si="273"/>
        <v>72.370064220766835</v>
      </c>
      <c r="W109" s="1239">
        <f t="shared" si="273"/>
        <v>71.042764753435762</v>
      </c>
      <c r="X109" s="1236">
        <f t="shared" ref="X109:AC109" si="274">X100/X107*1000</f>
        <v>71.914910518200074</v>
      </c>
      <c r="Y109" s="1237">
        <f t="shared" si="274"/>
        <v>75.271443867232421</v>
      </c>
      <c r="Z109" s="1238">
        <f t="shared" si="274"/>
        <v>85.254789808407651</v>
      </c>
      <c r="AA109" s="1238">
        <f t="shared" si="274"/>
        <v>84.622717730135506</v>
      </c>
      <c r="AB109" s="1239">
        <f t="shared" si="274"/>
        <v>78.372784688995267</v>
      </c>
      <c r="AC109" s="1236">
        <f t="shared" si="274"/>
        <v>81.066542340486748</v>
      </c>
      <c r="AD109" s="1237">
        <f>AD100/AD107*1000</f>
        <v>76.56895800029065</v>
      </c>
      <c r="AE109" s="1238">
        <f>AE100/AE107*1000</f>
        <v>90.956107692910606</v>
      </c>
      <c r="AF109" s="1238">
        <f t="shared" ref="AF109:AH109" si="275">AF100/AF107*1000</f>
        <v>87.754907887619709</v>
      </c>
      <c r="AG109" s="1239">
        <f t="shared" si="275"/>
        <v>78.501059001512871</v>
      </c>
      <c r="AH109" s="1236">
        <f t="shared" si="275"/>
        <v>83.509404021278513</v>
      </c>
      <c r="AI109" s="1237">
        <f>AI100/AI107*1000</f>
        <v>79.478454625810244</v>
      </c>
      <c r="AJ109" s="1238">
        <f>AJ100/AJ107*1000</f>
        <v>84.358495723825513</v>
      </c>
      <c r="AK109" s="1238">
        <f t="shared" ref="AK109:AM109" si="276">AK100/AK107*1000</f>
        <v>82.555043400179599</v>
      </c>
      <c r="AL109" s="1239">
        <f t="shared" si="276"/>
        <v>75.867689247599714</v>
      </c>
      <c r="AM109" s="1236">
        <f t="shared" si="276"/>
        <v>80.665823776622261</v>
      </c>
      <c r="AN109" s="1237">
        <f>AN100/AN107*1000</f>
        <v>75.549557084743185</v>
      </c>
      <c r="AO109" s="1238">
        <f>AO100/AO107*1000</f>
        <v>77.816330458885133</v>
      </c>
      <c r="AP109" s="1238">
        <f t="shared" ref="AP109:AR109" si="277">AP100/AP107*1000</f>
        <v>77.066200620724985</v>
      </c>
      <c r="AQ109" s="1239">
        <f t="shared" si="277"/>
        <v>76.103984665855734</v>
      </c>
      <c r="AR109" s="1236">
        <f t="shared" si="277"/>
        <v>76.653119587903547</v>
      </c>
      <c r="AS109" s="1237">
        <f>AS100/AS107*1000</f>
        <v>74.217055766695097</v>
      </c>
      <c r="AT109" s="1238">
        <f>AT100/AT107*1000</f>
        <v>82.282835379381751</v>
      </c>
      <c r="AU109" s="1238">
        <f>AU100/AU107*1000</f>
        <v>84.110254266158748</v>
      </c>
      <c r="AV109" s="1239">
        <f t="shared" ref="AV109:AW109" si="278">AV100/AV107*1000</f>
        <v>78.265239176669937</v>
      </c>
      <c r="AW109" s="1236">
        <f t="shared" si="278"/>
        <v>79.975279106858054</v>
      </c>
      <c r="AX109" s="1237">
        <f>AS109+(AX$110*1000/AX107)</f>
        <v>74.874038187121954</v>
      </c>
      <c r="AY109" s="1238">
        <f>AT109+(AY$110*1000/AY107)</f>
        <v>82.923926064533248</v>
      </c>
      <c r="AZ109" s="1238">
        <f>AU109+(AZ$110*1000/AZ107)</f>
        <v>84.632164679398542</v>
      </c>
      <c r="BA109" s="1239">
        <f>AV109+(BA$110*1000/BA107)</f>
        <v>78.909167614069403</v>
      </c>
      <c r="BB109" s="1236">
        <f>BB100/BB107*1000</f>
        <v>80.601431891887046</v>
      </c>
      <c r="BC109" s="1237">
        <f>AX109+(BC$110*1000/BC107)</f>
        <v>77.346352038486856</v>
      </c>
      <c r="BD109" s="1238">
        <f>AY109+(BD$110*1000/BD107)</f>
        <v>85.336437163157896</v>
      </c>
      <c r="BE109" s="1238">
        <f>AZ109+(BE$110*1000/BE107)</f>
        <v>86.596184269125132</v>
      </c>
      <c r="BF109" s="1239">
        <f>BA109+(BF$110*1000/BF107)</f>
        <v>81.332357558841608</v>
      </c>
      <c r="BG109" s="1236">
        <f>BG100/BG107*1000</f>
        <v>82.899193921198133</v>
      </c>
      <c r="BH109" s="1237">
        <f>BC109+(BH$110*1000/BH107)</f>
        <v>80.193421892453699</v>
      </c>
      <c r="BI109" s="1238">
        <f>BD109+(BI$110*1000/BI107)</f>
        <v>88.114639298563446</v>
      </c>
      <c r="BJ109" s="1238">
        <f>BE109+(BJ$110*1000/BJ107)</f>
        <v>88.857912068540202</v>
      </c>
      <c r="BK109" s="1239">
        <f>BF109+(BK$110*1000/BK107)</f>
        <v>84.122857251422232</v>
      </c>
      <c r="BL109" s="1236">
        <f>BL100/BL107*1000</f>
        <v>85.545253199484989</v>
      </c>
      <c r="BM109" s="1237">
        <f>BH109+(BM$110*1000/BM107)</f>
        <v>82.544147547518577</v>
      </c>
      <c r="BN109" s="1238">
        <f>BI109+(BN$110*1000/BN107)</f>
        <v>90.408503295456399</v>
      </c>
      <c r="BO109" s="1238">
        <f>BJ109+(BO$110*1000/BO107)</f>
        <v>90.725341332859315</v>
      </c>
      <c r="BP109" s="1239">
        <f>BK109+(BP$110*1000/BP107)</f>
        <v>86.426874909668385</v>
      </c>
      <c r="BQ109" s="1236">
        <f>BQ100/BQ107*1000</f>
        <v>87.730011477061041</v>
      </c>
    </row>
    <row r="110" spans="1:69">
      <c r="A110" s="5"/>
      <c r="B110" s="5"/>
      <c r="C110" s="129" t="s">
        <v>294</v>
      </c>
      <c r="D110" s="1240"/>
      <c r="E110" s="1241"/>
      <c r="F110" s="1242"/>
      <c r="G110" s="1242"/>
      <c r="H110" s="1243"/>
      <c r="I110" s="1240"/>
      <c r="J110" s="1241"/>
      <c r="K110" s="1242"/>
      <c r="L110" s="1242"/>
      <c r="M110" s="1243"/>
      <c r="N110" s="1240"/>
      <c r="O110" s="1241"/>
      <c r="P110" s="1242"/>
      <c r="Q110" s="1242"/>
      <c r="R110" s="1243"/>
      <c r="S110" s="1240"/>
      <c r="T110" s="174"/>
      <c r="U110" s="175"/>
      <c r="V110" s="175"/>
      <c r="W110" s="176"/>
      <c r="X110" s="107"/>
      <c r="Y110" s="174"/>
      <c r="Z110" s="175"/>
      <c r="AA110" s="175"/>
      <c r="AB110" s="176"/>
      <c r="AC110" s="107"/>
      <c r="AD110" s="174"/>
      <c r="AE110" s="175"/>
      <c r="AF110" s="175"/>
      <c r="AG110" s="176"/>
      <c r="AH110" s="107"/>
      <c r="AI110" s="174"/>
      <c r="AJ110" s="175"/>
      <c r="AK110" s="175"/>
      <c r="AL110" s="176"/>
      <c r="AM110" s="107"/>
      <c r="AN110" s="174"/>
      <c r="AO110" s="175"/>
      <c r="AP110" s="175"/>
      <c r="AQ110" s="176"/>
      <c r="AR110" s="107"/>
      <c r="AS110" s="174"/>
      <c r="AT110" s="175"/>
      <c r="AU110" s="175"/>
      <c r="AV110" s="176"/>
      <c r="AW110" s="107"/>
      <c r="AX110" s="174">
        <f>AX75</f>
        <v>17.5</v>
      </c>
      <c r="AY110" s="175">
        <f>AY75</f>
        <v>17.5</v>
      </c>
      <c r="AZ110" s="175">
        <f>AZ75</f>
        <v>17.5</v>
      </c>
      <c r="BA110" s="176">
        <f>BA75</f>
        <v>17.5</v>
      </c>
      <c r="BB110" s="107">
        <f>BB109-AW109</f>
        <v>0.6261527850289923</v>
      </c>
      <c r="BC110" s="174">
        <f>BC75</f>
        <v>66.25</v>
      </c>
      <c r="BD110" s="175">
        <f>BD75</f>
        <v>66.25</v>
      </c>
      <c r="BE110" s="175">
        <f>BE75</f>
        <v>66.25</v>
      </c>
      <c r="BF110" s="176">
        <f>BF75</f>
        <v>66.25</v>
      </c>
      <c r="BG110" s="107">
        <f>BG109-BB109</f>
        <v>2.2977620293110874</v>
      </c>
      <c r="BH110" s="174">
        <f>BH75</f>
        <v>76.75</v>
      </c>
      <c r="BI110" s="175">
        <f>BI75</f>
        <v>76.75</v>
      </c>
      <c r="BJ110" s="175">
        <f>BJ75</f>
        <v>76.75</v>
      </c>
      <c r="BK110" s="176">
        <f>BK75</f>
        <v>76.75</v>
      </c>
      <c r="BL110" s="107">
        <f>BL109-BG109</f>
        <v>2.6460592782868559</v>
      </c>
      <c r="BM110" s="174">
        <f>BM75</f>
        <v>63.75</v>
      </c>
      <c r="BN110" s="175">
        <f>BN75</f>
        <v>63.75</v>
      </c>
      <c r="BO110" s="175">
        <f>BO75</f>
        <v>63.75</v>
      </c>
      <c r="BP110" s="176">
        <f>BP75</f>
        <v>63.75</v>
      </c>
      <c r="BQ110" s="107">
        <f>BQ109-BL109</f>
        <v>2.1847582775760515</v>
      </c>
    </row>
    <row r="111" spans="1:69">
      <c r="A111" s="5"/>
      <c r="B111" s="5"/>
      <c r="C111" s="129"/>
      <c r="D111" s="5"/>
      <c r="E111" s="149"/>
      <c r="F111" s="150"/>
      <c r="G111" s="150"/>
      <c r="H111" s="224"/>
      <c r="I111" s="23"/>
      <c r="J111" s="149"/>
      <c r="K111" s="150"/>
      <c r="L111" s="150"/>
      <c r="M111" s="224"/>
      <c r="N111" s="23"/>
      <c r="O111" s="149"/>
      <c r="P111" s="150"/>
      <c r="Q111" s="150"/>
      <c r="R111" s="224"/>
      <c r="S111" s="23"/>
      <c r="T111" s="149"/>
      <c r="U111" s="150"/>
      <c r="V111" s="150"/>
      <c r="W111" s="224"/>
      <c r="X111" s="23"/>
      <c r="Y111" s="149"/>
      <c r="Z111" s="150"/>
      <c r="AA111" s="150"/>
      <c r="AB111" s="224"/>
      <c r="AC111" s="23"/>
      <c r="AD111" s="149"/>
      <c r="AE111" s="150"/>
      <c r="AF111" s="150"/>
      <c r="AG111" s="224"/>
      <c r="AH111" s="23"/>
      <c r="AI111" s="149"/>
      <c r="AJ111" s="150"/>
      <c r="AK111" s="150"/>
      <c r="AL111" s="224"/>
      <c r="AM111" s="23"/>
      <c r="AN111" s="149"/>
      <c r="AO111" s="150"/>
      <c r="AP111" s="150"/>
      <c r="AQ111" s="224"/>
      <c r="AR111" s="23"/>
      <c r="AS111" s="149"/>
      <c r="AT111" s="150"/>
      <c r="AU111" s="150"/>
      <c r="AV111" s="224"/>
      <c r="AW111" s="23"/>
      <c r="AX111" s="1951"/>
      <c r="AY111" s="1952"/>
      <c r="AZ111" s="1952"/>
      <c r="BA111" s="1953"/>
      <c r="BB111" s="1950"/>
      <c r="BC111" s="1951"/>
      <c r="BD111" s="1952"/>
      <c r="BE111" s="1952"/>
      <c r="BF111" s="1953"/>
      <c r="BG111" s="1950"/>
      <c r="BH111" s="149"/>
      <c r="BI111" s="150"/>
      <c r="BJ111" s="150"/>
      <c r="BK111" s="224"/>
      <c r="BL111" s="23"/>
      <c r="BM111" s="149"/>
      <c r="BN111" s="150"/>
      <c r="BO111" s="150"/>
      <c r="BP111" s="224"/>
      <c r="BQ111" s="23"/>
    </row>
    <row r="112" spans="1:69">
      <c r="A112" s="320"/>
      <c r="B112" s="320"/>
      <c r="C112" s="1173" t="s">
        <v>60</v>
      </c>
      <c r="D112" s="320"/>
      <c r="E112" s="180"/>
      <c r="F112" s="181"/>
      <c r="G112" s="181"/>
      <c r="H112" s="182"/>
      <c r="I112" s="110"/>
      <c r="J112" s="180"/>
      <c r="K112" s="181"/>
      <c r="L112" s="181"/>
      <c r="M112" s="182"/>
      <c r="N112" s="110"/>
      <c r="O112" s="180"/>
      <c r="P112" s="181"/>
      <c r="Q112" s="181"/>
      <c r="R112" s="182"/>
      <c r="S112" s="110"/>
      <c r="T112" s="180"/>
      <c r="U112" s="181"/>
      <c r="V112" s="181"/>
      <c r="W112" s="182"/>
      <c r="X112" s="110"/>
      <c r="Y112" s="180"/>
      <c r="Z112" s="181"/>
      <c r="AA112" s="181"/>
      <c r="AB112" s="182"/>
      <c r="AC112" s="110"/>
      <c r="AD112" s="180"/>
      <c r="AE112" s="181"/>
      <c r="AF112" s="181"/>
      <c r="AG112" s="182"/>
      <c r="AH112" s="110"/>
      <c r="AI112" s="180"/>
      <c r="AJ112" s="181"/>
      <c r="AK112" s="181"/>
      <c r="AL112" s="182"/>
      <c r="AM112" s="110"/>
      <c r="AN112" s="180"/>
      <c r="AO112" s="181"/>
      <c r="AP112" s="181"/>
      <c r="AQ112" s="182"/>
      <c r="AR112" s="110"/>
      <c r="AS112" s="180"/>
      <c r="AT112" s="181"/>
      <c r="AU112" s="181"/>
      <c r="AV112" s="182"/>
      <c r="AW112" s="110"/>
      <c r="AX112" s="180"/>
      <c r="AY112" s="181"/>
      <c r="AZ112" s="181"/>
      <c r="BA112" s="182"/>
      <c r="BB112" s="110"/>
      <c r="BC112" s="180"/>
      <c r="BD112" s="181"/>
      <c r="BE112" s="181"/>
      <c r="BF112" s="182"/>
      <c r="BG112" s="110"/>
      <c r="BH112" s="180"/>
      <c r="BI112" s="181"/>
      <c r="BJ112" s="181"/>
      <c r="BK112" s="182"/>
      <c r="BL112" s="110"/>
      <c r="BM112" s="180"/>
      <c r="BN112" s="181"/>
      <c r="BO112" s="181"/>
      <c r="BP112" s="182"/>
      <c r="BQ112" s="110"/>
    </row>
    <row r="113" spans="1:69">
      <c r="A113" s="320"/>
      <c r="B113" s="320"/>
      <c r="C113" s="1174" t="s">
        <v>58</v>
      </c>
      <c r="D113" s="320"/>
      <c r="E113" s="427">
        <v>1387</v>
      </c>
      <c r="F113" s="428">
        <v>1313</v>
      </c>
      <c r="G113" s="428">
        <v>1163</v>
      </c>
      <c r="H113" s="429">
        <v>998</v>
      </c>
      <c r="I113" s="107">
        <f>SUM(E113:H113)</f>
        <v>4861</v>
      </c>
      <c r="J113" s="427">
        <v>1317</v>
      </c>
      <c r="K113" s="428">
        <v>971</v>
      </c>
      <c r="L113" s="428">
        <v>1063</v>
      </c>
      <c r="M113" s="429">
        <v>1021</v>
      </c>
      <c r="N113" s="107">
        <f>SUM(J113:M113)</f>
        <v>4372</v>
      </c>
      <c r="O113" s="427">
        <v>947</v>
      </c>
      <c r="P113" s="428">
        <v>1036</v>
      </c>
      <c r="Q113" s="428">
        <v>1038</v>
      </c>
      <c r="R113" s="193">
        <f>S113-SUM(O113:Q113)</f>
        <v>1090</v>
      </c>
      <c r="S113" s="495">
        <v>4111</v>
      </c>
      <c r="T113" s="427">
        <v>732</v>
      </c>
      <c r="U113" s="428">
        <v>836</v>
      </c>
      <c r="V113" s="428">
        <v>834</v>
      </c>
      <c r="W113" s="193">
        <f>X113-SUM(T113:V113)</f>
        <v>798</v>
      </c>
      <c r="X113" s="495">
        <v>3200</v>
      </c>
      <c r="Y113" s="427">
        <v>630</v>
      </c>
      <c r="Z113" s="428">
        <v>590</v>
      </c>
      <c r="AA113" s="428">
        <v>667</v>
      </c>
      <c r="AB113" s="193">
        <f>AC113-SUM(Y113:AA113)</f>
        <v>1133</v>
      </c>
      <c r="AC113" s="495">
        <v>3020</v>
      </c>
      <c r="AD113" s="427">
        <v>2234</v>
      </c>
      <c r="AE113" s="428">
        <v>2048</v>
      </c>
      <c r="AF113" s="428">
        <v>2075</v>
      </c>
      <c r="AG113" s="193">
        <f>AH113-SUM(AD113:AF113)</f>
        <v>3105</v>
      </c>
      <c r="AH113" s="495">
        <v>9462</v>
      </c>
      <c r="AI113" s="427">
        <v>1811</v>
      </c>
      <c r="AJ113" s="428">
        <v>3138</v>
      </c>
      <c r="AK113" s="428">
        <v>2586</v>
      </c>
      <c r="AL113" s="193">
        <f>AM113-SUM(AI113:AK113)</f>
        <v>1739</v>
      </c>
      <c r="AM113" s="495">
        <v>9274</v>
      </c>
      <c r="AN113" s="427">
        <v>3140</v>
      </c>
      <c r="AO113" s="428">
        <v>3579</v>
      </c>
      <c r="AP113" s="428">
        <v>2733</v>
      </c>
      <c r="AQ113" s="193">
        <f>AR113-SUM(AN113:AP113)</f>
        <v>1602</v>
      </c>
      <c r="AR113" s="495">
        <v>11054</v>
      </c>
      <c r="AS113" s="427">
        <v>3022</v>
      </c>
      <c r="AT113" s="428">
        <v>1845</v>
      </c>
      <c r="AU113" s="428">
        <v>3387</v>
      </c>
      <c r="AV113" s="193">
        <f>AW113-SUM(AS113:AU113)</f>
        <v>3296</v>
      </c>
      <c r="AW113" s="495">
        <v>11550</v>
      </c>
      <c r="AX113" s="177">
        <f>AS113*(1+AX68)</f>
        <v>3022</v>
      </c>
      <c r="AY113" s="178">
        <f>AT113*(1+AY68)</f>
        <v>1845</v>
      </c>
      <c r="AZ113" s="178">
        <f>AU113*(1+AZ68)</f>
        <v>3387</v>
      </c>
      <c r="BA113" s="179">
        <f>AV113*(1+BA68)</f>
        <v>3296</v>
      </c>
      <c r="BB113" s="44">
        <f>SUM(AX113:BA113)</f>
        <v>11550</v>
      </c>
      <c r="BC113" s="177">
        <f>AX113*(1+BC68)</f>
        <v>3022</v>
      </c>
      <c r="BD113" s="178">
        <f>AY113*(1+BD68)</f>
        <v>1845</v>
      </c>
      <c r="BE113" s="178">
        <f>AZ113*(1+BE68)</f>
        <v>3387</v>
      </c>
      <c r="BF113" s="179">
        <f>BA113*(1+BF68)</f>
        <v>3296</v>
      </c>
      <c r="BG113" s="44">
        <f>SUM(BC113:BF113)</f>
        <v>11550</v>
      </c>
      <c r="BH113" s="177">
        <f>BC113*(1+BH68)</f>
        <v>3022</v>
      </c>
      <c r="BI113" s="178">
        <f>BD113*(1+BI68)</f>
        <v>1845</v>
      </c>
      <c r="BJ113" s="178">
        <f>BE113*(1+BJ68)</f>
        <v>3387</v>
      </c>
      <c r="BK113" s="179">
        <f>BF113*(1+BK68)</f>
        <v>3296</v>
      </c>
      <c r="BL113" s="44">
        <f>SUM(BH113:BK113)</f>
        <v>11550</v>
      </c>
      <c r="BM113" s="177">
        <f>BH113*(1+BM68)</f>
        <v>3022</v>
      </c>
      <c r="BN113" s="178">
        <f>BI113*(1+BN68)</f>
        <v>1845</v>
      </c>
      <c r="BO113" s="178">
        <f>BJ113*(1+BO68)</f>
        <v>3387</v>
      </c>
      <c r="BP113" s="179">
        <f>BK113*(1+BP68)</f>
        <v>3296</v>
      </c>
      <c r="BQ113" s="44">
        <f>SUM(BM113:BP113)</f>
        <v>11550</v>
      </c>
    </row>
    <row r="114" spans="1:69">
      <c r="A114" s="331"/>
      <c r="B114" s="331"/>
      <c r="C114" s="1174" t="s">
        <v>59</v>
      </c>
      <c r="D114" s="1244"/>
      <c r="E114" s="1245">
        <f t="shared" ref="E114:R114" si="279">IF(E113=0,0,E115/E113)*1000</f>
        <v>53.352559480894016</v>
      </c>
      <c r="F114" s="1246">
        <f t="shared" si="279"/>
        <v>49.504950495049506</v>
      </c>
      <c r="G114" s="1246">
        <f t="shared" si="279"/>
        <v>29.234737747205504</v>
      </c>
      <c r="H114" s="1247">
        <f t="shared" si="279"/>
        <v>46.09218436873747</v>
      </c>
      <c r="I114" s="1248">
        <f>IF(I113=0,0,I115/I113)*1000</f>
        <v>45.052458341904959</v>
      </c>
      <c r="J114" s="1245">
        <f t="shared" si="279"/>
        <v>59.984813971146544</v>
      </c>
      <c r="K114" s="1246">
        <f t="shared" si="279"/>
        <v>51.493305870236874</v>
      </c>
      <c r="L114" s="1246">
        <f t="shared" si="279"/>
        <v>31.984948259642522</v>
      </c>
      <c r="M114" s="1247">
        <f t="shared" si="279"/>
        <v>45.053868756121446</v>
      </c>
      <c r="N114" s="1248">
        <f>IF(N113=0,0,N115/N113)*1000</f>
        <v>47.804208600182982</v>
      </c>
      <c r="O114" s="1245">
        <f t="shared" si="279"/>
        <v>67.581837381203798</v>
      </c>
      <c r="P114" s="1246">
        <f t="shared" si="279"/>
        <v>61.776061776061781</v>
      </c>
      <c r="Q114" s="1246">
        <f t="shared" si="279"/>
        <v>67.437379576107901</v>
      </c>
      <c r="R114" s="1247">
        <f t="shared" si="279"/>
        <v>16.513761467889911</v>
      </c>
      <c r="S114" s="1248">
        <f t="shared" ref="S114:AA114" si="280">IF(S113=0,0,S115/S113)*1000</f>
        <v>52.541960593529559</v>
      </c>
      <c r="T114" s="1245">
        <f t="shared" si="280"/>
        <v>53.278688524590159</v>
      </c>
      <c r="U114" s="1246">
        <f t="shared" si="280"/>
        <v>25.119617224880383</v>
      </c>
      <c r="V114" s="1246">
        <f t="shared" si="280"/>
        <v>53.956834532374096</v>
      </c>
      <c r="W114" s="1247">
        <f t="shared" si="280"/>
        <v>92.731829573934832</v>
      </c>
      <c r="X114" s="1248">
        <f t="shared" si="280"/>
        <v>55.9375</v>
      </c>
      <c r="Y114" s="1245">
        <f t="shared" si="280"/>
        <v>82.539682539682545</v>
      </c>
      <c r="Z114" s="1246">
        <f t="shared" si="280"/>
        <v>79.66101694915254</v>
      </c>
      <c r="AA114" s="1246">
        <f t="shared" si="280"/>
        <v>68.965517241379303</v>
      </c>
      <c r="AB114" s="1247">
        <f>IF(AB113=0,0,AB115/AB113)*1000</f>
        <v>57.369814651368046</v>
      </c>
      <c r="AC114" s="1248">
        <f>IF(AC113=0,0,AC115/AC113)*1000</f>
        <v>69.536423841059602</v>
      </c>
      <c r="AD114" s="1245">
        <f>IF(AD113=0,0,AD115/AD113)*1000</f>
        <v>53.267681289167406</v>
      </c>
      <c r="AE114" s="1246">
        <f>IF(AE113=0,0,AE115/AE113)*1000</f>
        <v>25.87890625</v>
      </c>
      <c r="AF114" s="1246">
        <f t="shared" ref="AF114" si="281">IF(AF113=0,0,AF115/AF113)*1000</f>
        <v>31.807228915662648</v>
      </c>
      <c r="AG114" s="1247">
        <f>IF(AG113=0,0,AG115/AG113)*1000</f>
        <v>29.62962962962963</v>
      </c>
      <c r="AH114" s="1248">
        <f>IF(AH113=0,0,AH115/AH113)*1000</f>
        <v>34.876347495244133</v>
      </c>
      <c r="AI114" s="1245">
        <f>IF(AI113=0,0,AI115/AI113)*1000</f>
        <v>33.130866924351189</v>
      </c>
      <c r="AJ114" s="1246">
        <f>IF(AJ113=0,0,AJ115/AJ113)*1000</f>
        <v>27.405991077119182</v>
      </c>
      <c r="AK114" s="1246">
        <f t="shared" ref="AK114" si="282">IF(AK113=0,0,AK115/AK113)*1000</f>
        <v>25.908739365815933</v>
      </c>
      <c r="AL114" s="1247">
        <f t="shared" ref="AL114:AW114" si="283">IF(AL113=0,0,AL115/AL113)*1000</f>
        <v>20.701552616446232</v>
      </c>
      <c r="AM114" s="1248">
        <f t="shared" si="283"/>
        <v>26.84925598447272</v>
      </c>
      <c r="AN114" s="1245">
        <f t="shared" si="283"/>
        <v>17.515923566878982</v>
      </c>
      <c r="AO114" s="1246">
        <f t="shared" si="283"/>
        <v>20.117351215423302</v>
      </c>
      <c r="AP114" s="1246">
        <f t="shared" si="283"/>
        <v>24.515184778631539</v>
      </c>
      <c r="AQ114" s="1247">
        <f t="shared" si="283"/>
        <v>26.217228464419478</v>
      </c>
      <c r="AR114" s="1248">
        <f t="shared" si="283"/>
        <v>21.349737651528859</v>
      </c>
      <c r="AS114" s="1245">
        <f t="shared" ref="AS114" si="284">IF(AS113=0,0,AS115/AS113)*1000</f>
        <v>25.810721376571806</v>
      </c>
      <c r="AT114" s="1246">
        <f t="shared" si="283"/>
        <v>24.932249322493227</v>
      </c>
      <c r="AU114" s="1246">
        <f t="shared" si="283"/>
        <v>23.029229406554471</v>
      </c>
      <c r="AV114" s="1247">
        <f t="shared" si="283"/>
        <v>15.473300970873787</v>
      </c>
      <c r="AW114" s="1248">
        <f t="shared" si="283"/>
        <v>21.904761904761905</v>
      </c>
      <c r="AX114" s="1245">
        <f>AS114</f>
        <v>25.810721376571806</v>
      </c>
      <c r="AY114" s="1246">
        <f>AT114</f>
        <v>24.932249322493227</v>
      </c>
      <c r="AZ114" s="1246">
        <f>AU114</f>
        <v>23.029229406554471</v>
      </c>
      <c r="BA114" s="1247">
        <f>AV114</f>
        <v>15.473300970873787</v>
      </c>
      <c r="BB114" s="1248">
        <f>IF(BB113=0,0,BB115/BB113)*1000</f>
        <v>21.904761904761905</v>
      </c>
      <c r="BC114" s="1245">
        <f>AX114</f>
        <v>25.810721376571806</v>
      </c>
      <c r="BD114" s="1246">
        <f>AY114</f>
        <v>24.932249322493227</v>
      </c>
      <c r="BE114" s="1246">
        <f>AZ114</f>
        <v>23.029229406554471</v>
      </c>
      <c r="BF114" s="1247">
        <f>BA114</f>
        <v>15.473300970873787</v>
      </c>
      <c r="BG114" s="1248">
        <f>IF(BG113=0,0,BG115/BG113)*1000</f>
        <v>21.904761904761905</v>
      </c>
      <c r="BH114" s="1245">
        <f>BC114</f>
        <v>25.810721376571806</v>
      </c>
      <c r="BI114" s="1246">
        <f>BD114</f>
        <v>24.932249322493227</v>
      </c>
      <c r="BJ114" s="1246">
        <f>BE114</f>
        <v>23.029229406554471</v>
      </c>
      <c r="BK114" s="1247">
        <f>BF114</f>
        <v>15.473300970873787</v>
      </c>
      <c r="BL114" s="1248">
        <f>IF(BL113=0,0,BL115/BL113)*1000</f>
        <v>21.904761904761905</v>
      </c>
      <c r="BM114" s="1245">
        <f>BH114</f>
        <v>25.810721376571806</v>
      </c>
      <c r="BN114" s="1246">
        <f>BI114</f>
        <v>24.932249322493227</v>
      </c>
      <c r="BO114" s="1246">
        <f>BJ114</f>
        <v>23.029229406554471</v>
      </c>
      <c r="BP114" s="1247">
        <f>BK114</f>
        <v>15.473300970873787</v>
      </c>
      <c r="BQ114" s="1248">
        <f>IF(BQ113=0,0,BQ115/BQ113)*1000</f>
        <v>21.904761904761905</v>
      </c>
    </row>
    <row r="115" spans="1:69" s="37" customFormat="1">
      <c r="A115" s="327"/>
      <c r="B115" s="327"/>
      <c r="C115" s="1173" t="s">
        <v>57</v>
      </c>
      <c r="D115" s="327"/>
      <c r="E115" s="430">
        <v>74</v>
      </c>
      <c r="F115" s="431">
        <v>65</v>
      </c>
      <c r="G115" s="431">
        <v>34</v>
      </c>
      <c r="H115" s="432">
        <v>46</v>
      </c>
      <c r="I115" s="107">
        <f>SUM(E115:H115)</f>
        <v>219</v>
      </c>
      <c r="J115" s="430">
        <v>79</v>
      </c>
      <c r="K115" s="431">
        <v>50</v>
      </c>
      <c r="L115" s="431">
        <v>34</v>
      </c>
      <c r="M115" s="432">
        <v>46</v>
      </c>
      <c r="N115" s="107">
        <f>SUM(J115:M115)</f>
        <v>209</v>
      </c>
      <c r="O115" s="430">
        <v>64</v>
      </c>
      <c r="P115" s="431">
        <v>64</v>
      </c>
      <c r="Q115" s="431">
        <v>70</v>
      </c>
      <c r="R115" s="182">
        <f>S115-SUM(O115:Q115)</f>
        <v>18</v>
      </c>
      <c r="S115" s="496">
        <v>216</v>
      </c>
      <c r="T115" s="430">
        <v>39</v>
      </c>
      <c r="U115" s="431">
        <v>21</v>
      </c>
      <c r="V115" s="431">
        <v>45</v>
      </c>
      <c r="W115" s="182">
        <f>X115-SUM(T115:V115)</f>
        <v>74</v>
      </c>
      <c r="X115" s="496">
        <v>179</v>
      </c>
      <c r="Y115" s="430">
        <v>52</v>
      </c>
      <c r="Z115" s="431">
        <v>47</v>
      </c>
      <c r="AA115" s="431">
        <v>46</v>
      </c>
      <c r="AB115" s="182">
        <f>AC115-SUM(Y115:AA115)</f>
        <v>65</v>
      </c>
      <c r="AC115" s="496">
        <v>210</v>
      </c>
      <c r="AD115" s="430">
        <v>119</v>
      </c>
      <c r="AE115" s="431">
        <v>53</v>
      </c>
      <c r="AF115" s="431">
        <v>66</v>
      </c>
      <c r="AG115" s="182">
        <f>AH115-SUM(AD115:AF115)</f>
        <v>92</v>
      </c>
      <c r="AH115" s="496">
        <v>330</v>
      </c>
      <c r="AI115" s="430">
        <v>60</v>
      </c>
      <c r="AJ115" s="431">
        <v>86</v>
      </c>
      <c r="AK115" s="431">
        <v>67</v>
      </c>
      <c r="AL115" s="182">
        <f>AM115-SUM(AI115:AK115)</f>
        <v>36</v>
      </c>
      <c r="AM115" s="496">
        <v>249</v>
      </c>
      <c r="AN115" s="430">
        <v>55</v>
      </c>
      <c r="AO115" s="431">
        <v>72</v>
      </c>
      <c r="AP115" s="431">
        <v>67</v>
      </c>
      <c r="AQ115" s="182">
        <f>AR115-SUM(AN115:AP115)</f>
        <v>42</v>
      </c>
      <c r="AR115" s="496">
        <v>236</v>
      </c>
      <c r="AS115" s="430">
        <v>78</v>
      </c>
      <c r="AT115" s="431">
        <v>46</v>
      </c>
      <c r="AU115" s="431">
        <v>78</v>
      </c>
      <c r="AV115" s="182">
        <f>AW115-SUM(AS115:AU115)</f>
        <v>51</v>
      </c>
      <c r="AW115" s="496">
        <v>253</v>
      </c>
      <c r="AX115" s="180">
        <f>AX113*AX114/1000</f>
        <v>78</v>
      </c>
      <c r="AY115" s="181">
        <f>AY113*AY114/1000</f>
        <v>46.000000000000007</v>
      </c>
      <c r="AZ115" s="181">
        <f>AZ113*AZ114/1000</f>
        <v>78</v>
      </c>
      <c r="BA115" s="182">
        <f>BA113*BA114/1000</f>
        <v>51</v>
      </c>
      <c r="BB115" s="110">
        <f>SUM(AX115:BA115)</f>
        <v>253</v>
      </c>
      <c r="BC115" s="180">
        <f>BC113*BC114/1000</f>
        <v>78</v>
      </c>
      <c r="BD115" s="181">
        <f>BD113*BD114/1000</f>
        <v>46.000000000000007</v>
      </c>
      <c r="BE115" s="181">
        <f>BE113*BE114/1000</f>
        <v>78</v>
      </c>
      <c r="BF115" s="182">
        <f>BF113*BF114/1000</f>
        <v>51</v>
      </c>
      <c r="BG115" s="110">
        <f>SUM(BC115:BF115)</f>
        <v>253</v>
      </c>
      <c r="BH115" s="180">
        <f>BH113*BH114/1000</f>
        <v>78</v>
      </c>
      <c r="BI115" s="181">
        <f>BI113*BI114/1000</f>
        <v>46.000000000000007</v>
      </c>
      <c r="BJ115" s="181">
        <f>BJ113*BJ114/1000</f>
        <v>78</v>
      </c>
      <c r="BK115" s="182">
        <f>BK113*BK114/1000</f>
        <v>51</v>
      </c>
      <c r="BL115" s="110">
        <f>SUM(BH115:BK115)</f>
        <v>253</v>
      </c>
      <c r="BM115" s="180">
        <f>BM113*BM114/1000</f>
        <v>78</v>
      </c>
      <c r="BN115" s="181">
        <f>BN113*BN114/1000</f>
        <v>46.000000000000007</v>
      </c>
      <c r="BO115" s="181">
        <f>BO113*BO114/1000</f>
        <v>78</v>
      </c>
      <c r="BP115" s="182">
        <f>BP113*BP114/1000</f>
        <v>51</v>
      </c>
      <c r="BQ115" s="110">
        <f>SUM(BM115:BP115)</f>
        <v>253</v>
      </c>
    </row>
    <row r="116" spans="1:69">
      <c r="A116" s="5"/>
      <c r="B116" s="5"/>
      <c r="C116" s="1173"/>
      <c r="D116" s="5"/>
      <c r="E116" s="180"/>
      <c r="F116" s="181"/>
      <c r="G116" s="181"/>
      <c r="H116" s="182"/>
      <c r="I116" s="110"/>
      <c r="J116" s="180"/>
      <c r="K116" s="181"/>
      <c r="L116" s="181"/>
      <c r="M116" s="182"/>
      <c r="N116" s="110"/>
      <c r="O116" s="180"/>
      <c r="P116" s="181"/>
      <c r="Q116" s="181"/>
      <c r="R116" s="182"/>
      <c r="S116" s="110"/>
      <c r="T116" s="180"/>
      <c r="U116" s="181"/>
      <c r="V116" s="181"/>
      <c r="W116" s="182"/>
      <c r="X116" s="110"/>
      <c r="Y116" s="180"/>
      <c r="Z116" s="181"/>
      <c r="AA116" s="181"/>
      <c r="AB116" s="182"/>
      <c r="AC116" s="110"/>
      <c r="AD116" s="180"/>
      <c r="AE116" s="181"/>
      <c r="AF116" s="181"/>
      <c r="AG116" s="182"/>
      <c r="AH116" s="110"/>
      <c r="AI116" s="180"/>
      <c r="AJ116" s="181"/>
      <c r="AK116" s="181"/>
      <c r="AL116" s="182"/>
      <c r="AM116" s="110"/>
      <c r="AN116" s="180"/>
      <c r="AO116" s="181"/>
      <c r="AP116" s="181"/>
      <c r="AQ116" s="182"/>
      <c r="AR116" s="110"/>
      <c r="AS116" s="180"/>
      <c r="AT116" s="181"/>
      <c r="AU116" s="181"/>
      <c r="AV116" s="182"/>
      <c r="AW116" s="110"/>
      <c r="AX116" s="180"/>
      <c r="AY116" s="181"/>
      <c r="AZ116" s="181"/>
      <c r="BA116" s="182"/>
      <c r="BB116" s="110"/>
      <c r="BC116" s="180"/>
      <c r="BD116" s="181"/>
      <c r="BE116" s="181"/>
      <c r="BF116" s="182"/>
      <c r="BG116" s="110"/>
      <c r="BH116" s="180"/>
      <c r="BI116" s="181"/>
      <c r="BJ116" s="181"/>
      <c r="BK116" s="182"/>
      <c r="BL116" s="110"/>
      <c r="BM116" s="180"/>
      <c r="BN116" s="181"/>
      <c r="BO116" s="181"/>
      <c r="BP116" s="182"/>
      <c r="BQ116" s="110"/>
    </row>
    <row r="117" spans="1:69" s="37" customFormat="1">
      <c r="A117" s="327"/>
      <c r="B117" s="327"/>
      <c r="C117" s="1173" t="s">
        <v>627</v>
      </c>
      <c r="D117" s="327"/>
      <c r="E117" s="1219">
        <f>+E10</f>
        <v>74.049000000000007</v>
      </c>
      <c r="F117" s="1220">
        <f>+F10</f>
        <v>28.834</v>
      </c>
      <c r="G117" s="1220">
        <f>+G10</f>
        <v>24.03</v>
      </c>
      <c r="H117" s="1221">
        <f>+H10</f>
        <v>45.299999999999983</v>
      </c>
      <c r="I117" s="110">
        <f>SUM(E117:H117)</f>
        <v>172.21299999999999</v>
      </c>
      <c r="J117" s="1219">
        <f>+J10</f>
        <v>96.027000000000001</v>
      </c>
      <c r="K117" s="1220">
        <f>+K10</f>
        <v>31.135999999999999</v>
      </c>
      <c r="L117" s="1220">
        <f>+L10</f>
        <v>27.263000000000002</v>
      </c>
      <c r="M117" s="1221">
        <f>+M10</f>
        <v>43.231999999999999</v>
      </c>
      <c r="N117" s="110">
        <f>SUM(J117:M117)</f>
        <v>197.65799999999999</v>
      </c>
      <c r="O117" s="335">
        <f>+O10</f>
        <v>71.123000000000005</v>
      </c>
      <c r="P117" s="336">
        <f>+P10</f>
        <v>28.890999999999998</v>
      </c>
      <c r="Q117" s="336">
        <f>+Q10</f>
        <v>26.439</v>
      </c>
      <c r="R117" s="337">
        <f>+R10</f>
        <v>39.365999999999985</v>
      </c>
      <c r="S117" s="110">
        <f>SUM(O117:R117)</f>
        <v>165.81899999999999</v>
      </c>
      <c r="T117" s="335">
        <f>+T10</f>
        <v>46.008000000000003</v>
      </c>
      <c r="U117" s="336">
        <f>+U10</f>
        <v>23.879000000000001</v>
      </c>
      <c r="V117" s="336">
        <f>+V10</f>
        <v>23.556999999999999</v>
      </c>
      <c r="W117" s="337">
        <f>+W10</f>
        <v>37.39200000000001</v>
      </c>
      <c r="X117" s="110">
        <f>SUM(T117:W117)</f>
        <v>130.83600000000001</v>
      </c>
      <c r="Y117" s="335">
        <f>+Y10</f>
        <v>53.320999999999998</v>
      </c>
      <c r="Z117" s="336">
        <f>+Z10</f>
        <v>33.881</v>
      </c>
      <c r="AA117" s="336">
        <f>+AA10</f>
        <v>26.113</v>
      </c>
      <c r="AB117" s="337">
        <f>+AB10</f>
        <v>41.038000000000011</v>
      </c>
      <c r="AC117" s="110">
        <f>SUM(Y117:AB117)</f>
        <v>154.35300000000001</v>
      </c>
      <c r="AD117" s="335">
        <f>+AD10</f>
        <v>78.22</v>
      </c>
      <c r="AE117" s="336">
        <f>+AE10</f>
        <v>35.469000000000001</v>
      </c>
      <c r="AF117" s="336">
        <f>+AF10</f>
        <v>28.039000000000001</v>
      </c>
      <c r="AG117" s="337">
        <f>+AG10</f>
        <v>40.066000000000003</v>
      </c>
      <c r="AH117" s="110">
        <f>SUM(AD117:AG117)</f>
        <v>181.79400000000001</v>
      </c>
      <c r="AI117" s="335">
        <f>+AI10</f>
        <v>59.511000000000003</v>
      </c>
      <c r="AJ117" s="336">
        <f>+AJ10</f>
        <v>27.777000000000001</v>
      </c>
      <c r="AK117" s="336">
        <f>+AK10</f>
        <v>24.516999999999999</v>
      </c>
      <c r="AL117" s="337">
        <f>+AL10</f>
        <v>30.941000000000003</v>
      </c>
      <c r="AM117" s="110">
        <f>SUM(AI117:AL117)</f>
        <v>142.74600000000001</v>
      </c>
      <c r="AN117" s="335">
        <f>+AN10</f>
        <v>45.613</v>
      </c>
      <c r="AO117" s="336">
        <f>+AO10</f>
        <v>25.120999999999999</v>
      </c>
      <c r="AP117" s="336">
        <f>+AP10</f>
        <v>24.795999999999999</v>
      </c>
      <c r="AQ117" s="337">
        <f>+AQ10</f>
        <v>33.818000000000012</v>
      </c>
      <c r="AR117" s="110">
        <f>SUM(AN117:AQ117)</f>
        <v>129.34800000000001</v>
      </c>
      <c r="AS117" s="335">
        <f>+AS10</f>
        <v>43.350999999999999</v>
      </c>
      <c r="AT117" s="336">
        <f>+AT10</f>
        <v>30.074999999999999</v>
      </c>
      <c r="AU117" s="336">
        <f>+AU10</f>
        <v>26.585000000000001</v>
      </c>
      <c r="AV117" s="337">
        <f>+AV10</f>
        <v>38.844999999999999</v>
      </c>
      <c r="AW117" s="110">
        <f>SUM(AS117:AV117)</f>
        <v>138.85599999999999</v>
      </c>
      <c r="AX117" s="335">
        <f>AS117</f>
        <v>43.350999999999999</v>
      </c>
      <c r="AY117" s="336">
        <f>AT117</f>
        <v>30.074999999999999</v>
      </c>
      <c r="AZ117" s="336">
        <f>AU117</f>
        <v>26.585000000000001</v>
      </c>
      <c r="BA117" s="337">
        <f>AV117</f>
        <v>38.844999999999999</v>
      </c>
      <c r="BB117" s="110">
        <f>SUM(AX117:BA117)</f>
        <v>138.85599999999999</v>
      </c>
      <c r="BC117" s="335">
        <f>AX117</f>
        <v>43.350999999999999</v>
      </c>
      <c r="BD117" s="336">
        <f>AY117</f>
        <v>30.074999999999999</v>
      </c>
      <c r="BE117" s="336">
        <f>AZ117</f>
        <v>26.585000000000001</v>
      </c>
      <c r="BF117" s="337">
        <f>BA117</f>
        <v>38.844999999999999</v>
      </c>
      <c r="BG117" s="110">
        <f>SUM(BC117:BF117)</f>
        <v>138.85599999999999</v>
      </c>
      <c r="BH117" s="335">
        <f>BC117</f>
        <v>43.350999999999999</v>
      </c>
      <c r="BI117" s="336">
        <f>BD117</f>
        <v>30.074999999999999</v>
      </c>
      <c r="BJ117" s="336">
        <f>BE117</f>
        <v>26.585000000000001</v>
      </c>
      <c r="BK117" s="337">
        <f>BF117</f>
        <v>38.844999999999999</v>
      </c>
      <c r="BL117" s="110">
        <f>SUM(BH117:BK117)</f>
        <v>138.85599999999999</v>
      </c>
      <c r="BM117" s="335">
        <f>BH117</f>
        <v>43.350999999999999</v>
      </c>
      <c r="BN117" s="336">
        <f>BI117</f>
        <v>30.074999999999999</v>
      </c>
      <c r="BO117" s="336">
        <f>BJ117</f>
        <v>26.585000000000001</v>
      </c>
      <c r="BP117" s="337">
        <f>BK117</f>
        <v>38.844999999999999</v>
      </c>
      <c r="BQ117" s="110">
        <f>SUM(BM117:BP117)</f>
        <v>138.85599999999999</v>
      </c>
    </row>
    <row r="118" spans="1:69">
      <c r="A118" s="320"/>
      <c r="B118" s="320"/>
      <c r="C118" s="1173"/>
      <c r="D118" s="320"/>
      <c r="E118" s="335"/>
      <c r="F118" s="336"/>
      <c r="G118" s="336"/>
      <c r="H118" s="337"/>
      <c r="I118" s="327"/>
      <c r="J118" s="335"/>
      <c r="K118" s="336"/>
      <c r="L118" s="336"/>
      <c r="M118" s="337"/>
      <c r="N118" s="327"/>
      <c r="O118" s="335"/>
      <c r="P118" s="336"/>
      <c r="Q118" s="336"/>
      <c r="R118" s="337"/>
      <c r="S118" s="327"/>
      <c r="T118" s="335"/>
      <c r="U118" s="336"/>
      <c r="V118" s="336"/>
      <c r="W118" s="337"/>
      <c r="X118" s="327"/>
      <c r="Y118" s="335"/>
      <c r="Z118" s="336"/>
      <c r="AA118" s="336"/>
      <c r="AB118" s="337"/>
      <c r="AC118" s="327"/>
      <c r="AD118" s="335"/>
      <c r="AE118" s="336"/>
      <c r="AF118" s="336"/>
      <c r="AG118" s="337"/>
      <c r="AH118" s="327"/>
      <c r="AI118" s="335"/>
      <c r="AJ118" s="336"/>
      <c r="AK118" s="336"/>
      <c r="AL118" s="337"/>
      <c r="AM118" s="327"/>
      <c r="AN118" s="335"/>
      <c r="AO118" s="336"/>
      <c r="AP118" s="336"/>
      <c r="AQ118" s="337"/>
      <c r="AR118" s="327"/>
      <c r="AS118" s="335"/>
      <c r="AT118" s="336"/>
      <c r="AU118" s="336"/>
      <c r="AV118" s="337"/>
      <c r="AW118" s="327"/>
      <c r="AX118" s="335"/>
      <c r="AY118" s="336"/>
      <c r="AZ118" s="336"/>
      <c r="BA118" s="337"/>
      <c r="BB118" s="327"/>
      <c r="BC118" s="335"/>
      <c r="BD118" s="336"/>
      <c r="BE118" s="336"/>
      <c r="BF118" s="337"/>
      <c r="BG118" s="327"/>
      <c r="BH118" s="335"/>
      <c r="BI118" s="336"/>
      <c r="BJ118" s="336"/>
      <c r="BK118" s="337"/>
      <c r="BL118" s="327"/>
      <c r="BM118" s="335"/>
      <c r="BN118" s="336"/>
      <c r="BO118" s="336"/>
      <c r="BP118" s="337"/>
      <c r="BQ118" s="327"/>
    </row>
    <row r="119" spans="1:69">
      <c r="A119" s="5"/>
      <c r="B119" s="5"/>
      <c r="C119" s="1173" t="s">
        <v>295</v>
      </c>
      <c r="D119" s="5"/>
      <c r="E119" s="149"/>
      <c r="F119" s="150"/>
      <c r="G119" s="150"/>
      <c r="H119" s="224"/>
      <c r="I119" s="23"/>
      <c r="J119" s="149"/>
      <c r="K119" s="150"/>
      <c r="L119" s="150"/>
      <c r="M119" s="224"/>
      <c r="N119" s="23"/>
      <c r="O119" s="149"/>
      <c r="P119" s="150"/>
      <c r="Q119" s="150"/>
      <c r="R119" s="224"/>
      <c r="S119" s="23"/>
      <c r="T119" s="149"/>
      <c r="U119" s="150"/>
      <c r="V119" s="150"/>
      <c r="W119" s="224"/>
      <c r="X119" s="23"/>
      <c r="Y119" s="149"/>
      <c r="Z119" s="150"/>
      <c r="AA119" s="150"/>
      <c r="AB119" s="224"/>
      <c r="AC119" s="23"/>
      <c r="AD119" s="149"/>
      <c r="AE119" s="150"/>
      <c r="AF119" s="150"/>
      <c r="AG119" s="224"/>
      <c r="AH119" s="23"/>
      <c r="AI119" s="149"/>
      <c r="AJ119" s="150"/>
      <c r="AK119" s="150"/>
      <c r="AL119" s="224"/>
      <c r="AM119" s="23"/>
      <c r="AN119" s="149"/>
      <c r="AO119" s="150"/>
      <c r="AP119" s="150"/>
      <c r="AQ119" s="224"/>
      <c r="AR119" s="23"/>
      <c r="AS119" s="149"/>
      <c r="AT119" s="150"/>
      <c r="AU119" s="150"/>
      <c r="AV119" s="224"/>
      <c r="AW119" s="23"/>
      <c r="AX119" s="149"/>
      <c r="AY119" s="150"/>
      <c r="AZ119" s="150"/>
      <c r="BA119" s="224"/>
      <c r="BB119" s="23"/>
      <c r="BC119" s="149"/>
      <c r="BD119" s="150"/>
      <c r="BE119" s="150"/>
      <c r="BF119" s="224"/>
      <c r="BG119" s="23"/>
      <c r="BH119" s="149"/>
      <c r="BI119" s="150"/>
      <c r="BJ119" s="150"/>
      <c r="BK119" s="224"/>
      <c r="BL119" s="23"/>
      <c r="BM119" s="149"/>
      <c r="BN119" s="150"/>
      <c r="BO119" s="150"/>
      <c r="BP119" s="224"/>
      <c r="BQ119" s="23"/>
    </row>
    <row r="120" spans="1:69">
      <c r="A120" s="5"/>
      <c r="B120" s="5"/>
      <c r="C120" s="129" t="s">
        <v>296</v>
      </c>
      <c r="D120" s="107"/>
      <c r="E120" s="174">
        <f>SUM(E13:E14)</f>
        <v>1094.933</v>
      </c>
      <c r="F120" s="175">
        <f>SUM(F13:F14)</f>
        <v>769.79500000000007</v>
      </c>
      <c r="G120" s="175">
        <f>SUM(G13:G14)</f>
        <v>857.92000000000007</v>
      </c>
      <c r="H120" s="176">
        <f>SUM(H13:H14)</f>
        <v>660.66300000000001</v>
      </c>
      <c r="I120" s="107">
        <f>SUM(E120:H120)</f>
        <v>3383.3110000000001</v>
      </c>
      <c r="J120" s="174">
        <f>SUM(J13:J14)</f>
        <v>945.95</v>
      </c>
      <c r="K120" s="175">
        <f>SUM(K13:K14)</f>
        <v>963.74900000000002</v>
      </c>
      <c r="L120" s="175">
        <f>SUM(L13:L14)</f>
        <v>1146.1420000000001</v>
      </c>
      <c r="M120" s="176">
        <f>SUM(M13:M14)</f>
        <v>789.58999999999992</v>
      </c>
      <c r="N120" s="107">
        <f>SUM(J120:M120)</f>
        <v>3845.4310000000005</v>
      </c>
      <c r="O120" s="174">
        <f>SUM(O13:O14)</f>
        <v>794.70100000000002</v>
      </c>
      <c r="P120" s="175">
        <f>SUM(P13:P14)</f>
        <v>930.80099999999993</v>
      </c>
      <c r="Q120" s="175">
        <f>SUM(Q13:Q14)</f>
        <v>1238.2420000000002</v>
      </c>
      <c r="R120" s="176">
        <f>SUM(R13:R14)</f>
        <v>768.09100000000035</v>
      </c>
      <c r="S120" s="107">
        <f>SUM(O120:R120)</f>
        <v>3731.8350000000005</v>
      </c>
      <c r="T120" s="174">
        <f>SUM(T13:T14)</f>
        <v>725.62799999999993</v>
      </c>
      <c r="U120" s="175">
        <f>SUM(U13:U14)</f>
        <v>670.14700000000005</v>
      </c>
      <c r="V120" s="175">
        <f>SUM(V13:V14)</f>
        <v>812.64699999999993</v>
      </c>
      <c r="W120" s="176">
        <f>SUM(W13:W14)</f>
        <v>653.00099999999986</v>
      </c>
      <c r="X120" s="107">
        <f>SUM(T120:W120)</f>
        <v>2861.4229999999998</v>
      </c>
      <c r="Y120" s="174">
        <f>SUM(Y13:Y14)</f>
        <v>774.85199999999998</v>
      </c>
      <c r="Z120" s="175">
        <f>SUM(Z13:Z14)</f>
        <v>837.62200000000007</v>
      </c>
      <c r="AA120" s="175">
        <f>SUM(AA13:AA14)</f>
        <v>1090.971</v>
      </c>
      <c r="AB120" s="176">
        <f>SUM(AB13:AB14)</f>
        <v>828.94700000000012</v>
      </c>
      <c r="AC120" s="107">
        <f>SUM(Y120:AB120)</f>
        <v>3532.3920000000003</v>
      </c>
      <c r="AD120" s="174">
        <f>SUM(AD13:AD14)</f>
        <v>963.346</v>
      </c>
      <c r="AE120" s="175">
        <f>SUM(AE13:AE14)</f>
        <v>1006.4490000000001</v>
      </c>
      <c r="AF120" s="175">
        <f>SUM(AF13:AF14)</f>
        <v>1202.704</v>
      </c>
      <c r="AG120" s="176">
        <f>SUM(AG13:AG14)</f>
        <v>880.4050000000002</v>
      </c>
      <c r="AH120" s="107">
        <f>SUM(AD120:AG120)</f>
        <v>4052.904</v>
      </c>
      <c r="AI120" s="174">
        <f>SUM(AI13:AI14)</f>
        <v>856.57099999999991</v>
      </c>
      <c r="AJ120" s="175">
        <f>SUM(AJ13:AJ14)</f>
        <v>783.702</v>
      </c>
      <c r="AK120" s="175">
        <f>SUM(AK13:AK14)</f>
        <v>1077.2719999999999</v>
      </c>
      <c r="AL120" s="176">
        <f>SUM(AL13:AL14)</f>
        <v>729.75199999999973</v>
      </c>
      <c r="AM120" s="107">
        <f>SUM(AI120:AL120)</f>
        <v>3447.2969999999996</v>
      </c>
      <c r="AN120" s="174">
        <f>SUM(AN13:AN14)</f>
        <v>711.57899999999995</v>
      </c>
      <c r="AO120" s="175">
        <f>SUM(AO13:AO14)</f>
        <v>572.971</v>
      </c>
      <c r="AP120" s="175">
        <f>SUM(AP13:AP14)</f>
        <v>757.21399999999994</v>
      </c>
      <c r="AQ120" s="176">
        <f>SUM(AQ13:AQ14)</f>
        <v>680.68599999999992</v>
      </c>
      <c r="AR120" s="107">
        <f>SUM(AN120:AQ120)</f>
        <v>2722.45</v>
      </c>
      <c r="AS120" s="174">
        <f>SUM(AS13:AS14)</f>
        <v>716.24</v>
      </c>
      <c r="AT120" s="175">
        <f>SUM(AT13:AT14)</f>
        <v>745.33799999999997</v>
      </c>
      <c r="AU120" s="175">
        <f t="shared" ref="AU120" si="285">SUM(AU13:AU14)</f>
        <v>989.67</v>
      </c>
      <c r="AV120" s="176">
        <f>SUM(AV13:AV14)</f>
        <v>780.48900000000003</v>
      </c>
      <c r="AW120" s="107">
        <f>SUM(AS120:AV120)</f>
        <v>3231.7370000000001</v>
      </c>
      <c r="AX120" s="174">
        <f>AX121*AX107/1000</f>
        <v>739.87592000000006</v>
      </c>
      <c r="AY120" s="175">
        <f>AY121*AY107/1000</f>
        <v>752.31707400000005</v>
      </c>
      <c r="AZ120" s="175">
        <f>AZ121*AZ107/1000</f>
        <v>1027.72731</v>
      </c>
      <c r="BA120" s="176">
        <f>BA121*BA107/1000</f>
        <v>764.619057</v>
      </c>
      <c r="BB120" s="107">
        <f>SUM(AX120:BA120)</f>
        <v>3284.5393610000001</v>
      </c>
      <c r="BC120" s="174">
        <f>BC121*BC107/1000</f>
        <v>744.31517552000003</v>
      </c>
      <c r="BD120" s="175">
        <f>BD121*BD107/1000</f>
        <v>756.83097644400004</v>
      </c>
      <c r="BE120" s="175">
        <f>BE121*BE107/1000</f>
        <v>1033.89367386</v>
      </c>
      <c r="BF120" s="176">
        <f>BF121*BF107/1000</f>
        <v>769.20677134200014</v>
      </c>
      <c r="BG120" s="107">
        <f>SUM(BC120:BF120)</f>
        <v>3304.2465971660004</v>
      </c>
      <c r="BH120" s="174">
        <f>BH121*BH107/1000</f>
        <v>748.78106657312003</v>
      </c>
      <c r="BI120" s="175">
        <f>BI121*BI107/1000</f>
        <v>761.37196230266409</v>
      </c>
      <c r="BJ120" s="175">
        <f>BJ121*BJ107/1000</f>
        <v>1040.0970359031603</v>
      </c>
      <c r="BK120" s="176">
        <f>BK121*BK107/1000</f>
        <v>773.82201197005202</v>
      </c>
      <c r="BL120" s="107">
        <f>SUM(BH120:BK120)</f>
        <v>3324.0720767489966</v>
      </c>
      <c r="BM120" s="174">
        <f>BM121*BM107/1000</f>
        <v>753.2737529725589</v>
      </c>
      <c r="BN120" s="175">
        <f>BN121*BN107/1000</f>
        <v>765.94019407648011</v>
      </c>
      <c r="BO120" s="175">
        <f>BO121*BO107/1000</f>
        <v>1046.3376181185793</v>
      </c>
      <c r="BP120" s="176">
        <f>BP121*BP107/1000</f>
        <v>778.4649440418724</v>
      </c>
      <c r="BQ120" s="107">
        <f>SUM(BM120:BP120)</f>
        <v>3344.0165092094908</v>
      </c>
    </row>
    <row r="121" spans="1:69">
      <c r="A121" s="5"/>
      <c r="B121" s="5"/>
      <c r="C121" s="129" t="s">
        <v>297</v>
      </c>
      <c r="D121" s="1235"/>
      <c r="E121" s="1232">
        <f t="shared" ref="E121:Y121" si="286">E120/E107*1000</f>
        <v>48.048665964542742</v>
      </c>
      <c r="F121" s="1233">
        <f t="shared" si="286"/>
        <v>33.49118990646074</v>
      </c>
      <c r="G121" s="1233">
        <f t="shared" si="286"/>
        <v>29.10176390773406</v>
      </c>
      <c r="H121" s="1234">
        <f t="shared" si="286"/>
        <v>27.647369211978226</v>
      </c>
      <c r="I121" s="1231">
        <f t="shared" si="286"/>
        <v>34.123482752780298</v>
      </c>
      <c r="J121" s="1232">
        <f t="shared" si="286"/>
        <v>37.180646175615124</v>
      </c>
      <c r="K121" s="1233">
        <f t="shared" si="286"/>
        <v>38.625666305959683</v>
      </c>
      <c r="L121" s="1233">
        <f t="shared" si="286"/>
        <v>35.837095866424868</v>
      </c>
      <c r="M121" s="1234">
        <f t="shared" si="286"/>
        <v>31.415214450545076</v>
      </c>
      <c r="N121" s="1231">
        <f t="shared" si="286"/>
        <v>35.768456594331646</v>
      </c>
      <c r="O121" s="1232">
        <f t="shared" si="286"/>
        <v>31.054903296161026</v>
      </c>
      <c r="P121" s="1233">
        <f t="shared" si="286"/>
        <v>36.244733460535024</v>
      </c>
      <c r="Q121" s="1233">
        <f t="shared" si="286"/>
        <v>37.815844124114342</v>
      </c>
      <c r="R121" s="1234">
        <f t="shared" si="286"/>
        <v>31.129569587419969</v>
      </c>
      <c r="S121" s="1231">
        <f t="shared" si="286"/>
        <v>34.334922016258588</v>
      </c>
      <c r="T121" s="1232">
        <f t="shared" si="286"/>
        <v>29.365762849048966</v>
      </c>
      <c r="U121" s="1233">
        <f t="shared" si="286"/>
        <v>25.675146546109346</v>
      </c>
      <c r="V121" s="1233">
        <f t="shared" si="286"/>
        <v>25.83604628982005</v>
      </c>
      <c r="W121" s="1234">
        <f t="shared" si="286"/>
        <v>26.394543249797895</v>
      </c>
      <c r="X121" s="1231">
        <f t="shared" si="286"/>
        <v>26.741021447595905</v>
      </c>
      <c r="Y121" s="1232">
        <f t="shared" si="286"/>
        <v>30.727366459134707</v>
      </c>
      <c r="Z121" s="1233">
        <f t="shared" ref="Z121:AE121" si="287">Z120/Z107*1000</f>
        <v>33.503539858405667</v>
      </c>
      <c r="AA121" s="1233">
        <f t="shared" si="287"/>
        <v>34.702302945479993</v>
      </c>
      <c r="AB121" s="1234">
        <f t="shared" si="287"/>
        <v>31.730028708133975</v>
      </c>
      <c r="AC121" s="1231">
        <f t="shared" si="287"/>
        <v>32.773791299023017</v>
      </c>
      <c r="AD121" s="1232">
        <f t="shared" si="287"/>
        <v>35.000217991570992</v>
      </c>
      <c r="AE121" s="1233">
        <f t="shared" si="287"/>
        <v>39.442293373045423</v>
      </c>
      <c r="AF121" s="1233">
        <f t="shared" ref="AF121:AJ121" si="288">AF120/AF107*1000</f>
        <v>38.267332718190204</v>
      </c>
      <c r="AG121" s="1234">
        <f t="shared" si="288"/>
        <v>33.298222390317711</v>
      </c>
      <c r="AH121" s="1231">
        <f t="shared" si="288"/>
        <v>36.542277522315388</v>
      </c>
      <c r="AI121" s="1232">
        <f t="shared" si="288"/>
        <v>31.547252504419561</v>
      </c>
      <c r="AJ121" s="1233">
        <f t="shared" si="288"/>
        <v>30.604990822821886</v>
      </c>
      <c r="AK121" s="1233">
        <f t="shared" ref="AK121:AO121" si="289">AK120/AK107*1000</f>
        <v>32.243998802753666</v>
      </c>
      <c r="AL121" s="1234">
        <f t="shared" si="289"/>
        <v>27.913858394216415</v>
      </c>
      <c r="AM121" s="1231">
        <f t="shared" si="289"/>
        <v>30.693932972433927</v>
      </c>
      <c r="AN121" s="1232">
        <f t="shared" si="289"/>
        <v>27.053149830817773</v>
      </c>
      <c r="AO121" s="1233">
        <f t="shared" si="289"/>
        <v>22.057707114259316</v>
      </c>
      <c r="AP121" s="1233">
        <f t="shared" ref="AP121:AT121" si="290">AP120/AP107*1000</f>
        <v>22.816584807304064</v>
      </c>
      <c r="AQ121" s="1234">
        <f t="shared" si="290"/>
        <v>25.090714733311213</v>
      </c>
      <c r="AR121" s="1231">
        <f t="shared" si="290"/>
        <v>24.179137617123317</v>
      </c>
      <c r="AS121" s="1232">
        <f t="shared" si="290"/>
        <v>27.776312727836814</v>
      </c>
      <c r="AT121" s="1233">
        <f t="shared" si="290"/>
        <v>27.560198195533204</v>
      </c>
      <c r="AU121" s="1233">
        <f t="shared" ref="AU121:AW121" si="291">AU120/AU107*1000</f>
        <v>30.650376289138713</v>
      </c>
      <c r="AV121" s="1234">
        <f t="shared" si="291"/>
        <v>28.134854547420787</v>
      </c>
      <c r="AW121" s="1231">
        <f t="shared" si="291"/>
        <v>28.634919369129896</v>
      </c>
      <c r="AX121" s="1232">
        <f>AS121</f>
        <v>27.776312727836814</v>
      </c>
      <c r="AY121" s="1233">
        <f>AT121</f>
        <v>27.560198195533204</v>
      </c>
      <c r="AZ121" s="1233">
        <f>AU121</f>
        <v>30.650376289138713</v>
      </c>
      <c r="BA121" s="1234">
        <f>AV121</f>
        <v>28.134854547420787</v>
      </c>
      <c r="BB121" s="1231">
        <f>BB120/BB107*1000</f>
        <v>28.650461760182324</v>
      </c>
      <c r="BC121" s="1232">
        <f>AX121</f>
        <v>27.776312727836814</v>
      </c>
      <c r="BD121" s="1233">
        <f>AY121</f>
        <v>27.560198195533204</v>
      </c>
      <c r="BE121" s="1233">
        <f>AZ121</f>
        <v>30.650376289138713</v>
      </c>
      <c r="BF121" s="1234">
        <f>BA121</f>
        <v>28.134854547420787</v>
      </c>
      <c r="BG121" s="1231">
        <f>BG120/BG107*1000</f>
        <v>28.650461760182328</v>
      </c>
      <c r="BH121" s="1232">
        <f>BC121</f>
        <v>27.776312727836814</v>
      </c>
      <c r="BI121" s="1233">
        <f>BD121</f>
        <v>27.560198195533204</v>
      </c>
      <c r="BJ121" s="1233">
        <f>BE121</f>
        <v>30.650376289138713</v>
      </c>
      <c r="BK121" s="1234">
        <f>BF121</f>
        <v>28.134854547420787</v>
      </c>
      <c r="BL121" s="1231">
        <f>BL120/BL107*1000</f>
        <v>28.650461760182328</v>
      </c>
      <c r="BM121" s="1232">
        <f>BH121</f>
        <v>27.776312727836814</v>
      </c>
      <c r="BN121" s="1233">
        <f>BI121</f>
        <v>27.560198195533204</v>
      </c>
      <c r="BO121" s="1233">
        <f>BJ121</f>
        <v>30.650376289138713</v>
      </c>
      <c r="BP121" s="1234">
        <f>BK121</f>
        <v>28.134854547420787</v>
      </c>
      <c r="BQ121" s="1231">
        <f>BQ120/BQ107*1000</f>
        <v>28.650461760182328</v>
      </c>
    </row>
    <row r="122" spans="1:69">
      <c r="A122" s="5"/>
      <c r="B122" s="5"/>
      <c r="C122" s="129"/>
      <c r="D122" s="5"/>
      <c r="E122" s="149"/>
      <c r="F122" s="150"/>
      <c r="G122" s="150"/>
      <c r="H122" s="224"/>
      <c r="I122" s="23"/>
      <c r="J122" s="149"/>
      <c r="K122" s="150"/>
      <c r="L122" s="150"/>
      <c r="M122" s="224"/>
      <c r="N122" s="23"/>
      <c r="O122" s="149"/>
      <c r="P122" s="150"/>
      <c r="Q122" s="150"/>
      <c r="R122" s="224"/>
      <c r="S122" s="23"/>
      <c r="T122" s="149"/>
      <c r="U122" s="150"/>
      <c r="V122" s="150"/>
      <c r="W122" s="224"/>
      <c r="X122" s="23"/>
      <c r="Y122" s="149"/>
      <c r="Z122" s="150"/>
      <c r="AA122" s="150"/>
      <c r="AB122" s="224"/>
      <c r="AC122" s="23"/>
      <c r="AD122" s="149"/>
      <c r="AE122" s="150"/>
      <c r="AF122" s="150"/>
      <c r="AG122" s="224"/>
      <c r="AH122" s="23"/>
      <c r="AI122" s="149"/>
      <c r="AJ122" s="150"/>
      <c r="AK122" s="150"/>
      <c r="AL122" s="224"/>
      <c r="AM122" s="23"/>
      <c r="AN122" s="149"/>
      <c r="AO122" s="150"/>
      <c r="AP122" s="150"/>
      <c r="AQ122" s="224"/>
      <c r="AR122" s="23"/>
      <c r="AS122" s="149"/>
      <c r="AT122" s="150"/>
      <c r="AU122" s="150"/>
      <c r="AV122" s="224"/>
      <c r="AW122" s="23"/>
      <c r="AX122" s="149"/>
      <c r="AY122" s="150"/>
      <c r="AZ122" s="150"/>
      <c r="BA122" s="224"/>
      <c r="BB122" s="23"/>
      <c r="BC122" s="149"/>
      <c r="BD122" s="150"/>
      <c r="BE122" s="150"/>
      <c r="BF122" s="224"/>
      <c r="BG122" s="23"/>
      <c r="BH122" s="149"/>
      <c r="BI122" s="150"/>
      <c r="BJ122" s="150"/>
      <c r="BK122" s="224"/>
      <c r="BL122" s="23"/>
      <c r="BM122" s="149"/>
      <c r="BN122" s="150"/>
      <c r="BO122" s="150"/>
      <c r="BP122" s="224"/>
      <c r="BQ122" s="23"/>
    </row>
    <row r="123" spans="1:69">
      <c r="A123" s="512"/>
      <c r="B123" s="512"/>
      <c r="C123" s="1175" t="s">
        <v>143</v>
      </c>
      <c r="D123" s="512"/>
      <c r="E123" s="513">
        <v>-0.02</v>
      </c>
      <c r="F123" s="514">
        <v>-0.01</v>
      </c>
      <c r="G123" s="514">
        <v>0.03</v>
      </c>
      <c r="H123" s="515">
        <v>-0.01</v>
      </c>
      <c r="I123" s="512">
        <v>-0.01</v>
      </c>
      <c r="J123" s="513">
        <v>0.17</v>
      </c>
      <c r="K123" s="514">
        <v>0.09</v>
      </c>
      <c r="L123" s="514">
        <v>0.28999999999999998</v>
      </c>
      <c r="M123" s="515">
        <v>0.06</v>
      </c>
      <c r="N123" s="512">
        <v>0.62</v>
      </c>
      <c r="O123" s="513">
        <v>0.1</v>
      </c>
      <c r="P123" s="514">
        <v>0.18</v>
      </c>
      <c r="Q123" s="514">
        <v>0.28999999999999998</v>
      </c>
      <c r="R123" s="515">
        <v>-0.05</v>
      </c>
      <c r="S123" s="512">
        <v>0.52</v>
      </c>
      <c r="T123" s="513">
        <v>-0.18</v>
      </c>
      <c r="U123" s="514">
        <v>0.08</v>
      </c>
      <c r="V123" s="514">
        <v>0.08</v>
      </c>
      <c r="W123" s="515">
        <v>-7.0000000000000007E-2</v>
      </c>
      <c r="X123" s="512">
        <v>0.09</v>
      </c>
      <c r="Y123" s="513">
        <v>-0.1</v>
      </c>
      <c r="Z123" s="514">
        <v>-0.02</v>
      </c>
      <c r="AA123" s="514">
        <v>0.01</v>
      </c>
      <c r="AB123" s="515">
        <v>0.11</v>
      </c>
      <c r="AC123" s="512">
        <v>0</v>
      </c>
      <c r="AD123" s="513">
        <v>0.18</v>
      </c>
      <c r="AE123" s="514">
        <v>-0.05</v>
      </c>
      <c r="AF123" s="514">
        <v>-0.11</v>
      </c>
      <c r="AG123" s="515">
        <v>0.05</v>
      </c>
      <c r="AH123" s="512">
        <v>7.0000000000000007E-2</v>
      </c>
      <c r="AI123" s="513">
        <v>0.08</v>
      </c>
      <c r="AJ123" s="514">
        <v>-0.02</v>
      </c>
      <c r="AK123" s="514">
        <v>0.16</v>
      </c>
      <c r="AL123" s="515">
        <v>-0.03</v>
      </c>
      <c r="AM123" s="512">
        <v>0.19</v>
      </c>
      <c r="AN123" s="513">
        <v>-0.14000000000000001</v>
      </c>
      <c r="AO123" s="514">
        <v>-0.09</v>
      </c>
      <c r="AP123" s="514">
        <v>0.18</v>
      </c>
      <c r="AQ123" s="515">
        <v>0.11</v>
      </c>
      <c r="AR123" s="512">
        <v>0.06</v>
      </c>
      <c r="AS123" s="513">
        <v>-0.16</v>
      </c>
      <c r="AT123" s="514">
        <v>-0.09</v>
      </c>
      <c r="AU123" s="514">
        <v>-0.25</v>
      </c>
      <c r="AV123" s="515">
        <v>0.06</v>
      </c>
      <c r="AW123" s="512">
        <v>-0.44</v>
      </c>
      <c r="AX123" s="513"/>
      <c r="AY123" s="514"/>
      <c r="AZ123" s="514"/>
      <c r="BA123" s="515"/>
      <c r="BB123" s="512"/>
      <c r="BC123" s="513"/>
      <c r="BD123" s="514"/>
      <c r="BE123" s="514"/>
      <c r="BF123" s="515"/>
      <c r="BG123" s="512"/>
      <c r="BH123" s="513"/>
      <c r="BI123" s="514"/>
      <c r="BJ123" s="514"/>
      <c r="BK123" s="515"/>
      <c r="BL123" s="512"/>
      <c r="BM123" s="513"/>
      <c r="BN123" s="514"/>
      <c r="BO123" s="514"/>
      <c r="BP123" s="515"/>
      <c r="BQ123" s="512"/>
    </row>
    <row r="124" spans="1:69" s="90" customFormat="1">
      <c r="A124" s="1062"/>
      <c r="B124" s="1062"/>
      <c r="C124" s="1189" t="s">
        <v>293</v>
      </c>
      <c r="D124" s="1062"/>
      <c r="E124" s="1064"/>
      <c r="F124" s="1065"/>
      <c r="G124" s="1065"/>
      <c r="H124" s="1066"/>
      <c r="I124" s="87"/>
      <c r="J124" s="549">
        <f>J123/18*4</f>
        <v>3.7777777777777778E-2</v>
      </c>
      <c r="K124" s="550">
        <f>K123/18*4</f>
        <v>0.02</v>
      </c>
      <c r="L124" s="550">
        <f>L123/18*4</f>
        <v>6.4444444444444443E-2</v>
      </c>
      <c r="M124" s="551">
        <f>M123/18*4</f>
        <v>1.3333333333333332E-2</v>
      </c>
      <c r="N124" s="87">
        <f>N123/18</f>
        <v>3.4444444444444444E-2</v>
      </c>
      <c r="O124" s="549">
        <f>O123/18*4</f>
        <v>2.2222222222222223E-2</v>
      </c>
      <c r="P124" s="550">
        <f>P123/18*4</f>
        <v>0.04</v>
      </c>
      <c r="Q124" s="550">
        <f>Q123/18*4</f>
        <v>6.4444444444444443E-2</v>
      </c>
      <c r="R124" s="551">
        <f>R123/18*4</f>
        <v>-1.1111111111111112E-2</v>
      </c>
      <c r="S124" s="87">
        <f>S123/18</f>
        <v>2.8888888888888891E-2</v>
      </c>
      <c r="T124" s="549">
        <f>T123/18*4</f>
        <v>-0.04</v>
      </c>
      <c r="U124" s="550">
        <f>U123/18*4</f>
        <v>1.7777777777777778E-2</v>
      </c>
      <c r="V124" s="550">
        <f>V123/18*4</f>
        <v>1.7777777777777778E-2</v>
      </c>
      <c r="W124" s="551">
        <f>W123/18*4</f>
        <v>-1.5555555555555557E-2</v>
      </c>
      <c r="X124" s="87">
        <f>X123/18</f>
        <v>5.0000000000000001E-3</v>
      </c>
      <c r="Y124" s="549">
        <f>Y123/18*4</f>
        <v>-2.2222222222222223E-2</v>
      </c>
      <c r="Z124" s="550">
        <f>Z123/18*4</f>
        <v>-4.4444444444444444E-3</v>
      </c>
      <c r="AA124" s="550">
        <f>AA123/18*4</f>
        <v>2.2222222222222222E-3</v>
      </c>
      <c r="AB124" s="551">
        <f>AB123/18*4</f>
        <v>2.4444444444444446E-2</v>
      </c>
      <c r="AC124" s="87">
        <f>AC123/18</f>
        <v>0</v>
      </c>
      <c r="AD124" s="549">
        <f>AD123/18*4</f>
        <v>0.04</v>
      </c>
      <c r="AE124" s="550">
        <f>AE123/18*4</f>
        <v>-1.1111111111111112E-2</v>
      </c>
      <c r="AF124" s="550">
        <f>AF123/18*4</f>
        <v>-2.4444444444444446E-2</v>
      </c>
      <c r="AG124" s="551">
        <f>AG123/18*4</f>
        <v>1.1111111111111112E-2</v>
      </c>
      <c r="AH124" s="87">
        <f>AH123/18</f>
        <v>3.8888888888888892E-3</v>
      </c>
      <c r="AI124" s="549">
        <f>AI123/18*4</f>
        <v>1.7777777777777778E-2</v>
      </c>
      <c r="AJ124" s="550">
        <f>AJ123/18*4</f>
        <v>-4.4444444444444444E-3</v>
      </c>
      <c r="AK124" s="550">
        <f>AK123/18*4</f>
        <v>3.5555555555555556E-2</v>
      </c>
      <c r="AL124" s="551">
        <f>AL123/18*4</f>
        <v>-6.6666666666666662E-3</v>
      </c>
      <c r="AM124" s="87">
        <f>AM123/18</f>
        <v>1.0555555555555556E-2</v>
      </c>
      <c r="AN124" s="549">
        <f>AN123/18*4</f>
        <v>-3.1111111111111114E-2</v>
      </c>
      <c r="AO124" s="550">
        <f>AO123/18*4</f>
        <v>-0.02</v>
      </c>
      <c r="AP124" s="550">
        <v>0.03</v>
      </c>
      <c r="AQ124" s="551">
        <f>AQ123/18*4</f>
        <v>2.4444444444444446E-2</v>
      </c>
      <c r="AR124" s="87">
        <f>AR123/18</f>
        <v>3.3333333333333331E-3</v>
      </c>
      <c r="AS124" s="549">
        <f>AS123/16*4</f>
        <v>-0.04</v>
      </c>
      <c r="AT124" s="550">
        <f>AT123/22*4</f>
        <v>-1.6363636363636361E-2</v>
      </c>
      <c r="AU124" s="550">
        <f t="shared" ref="AU124" si="292">AU123/22*4</f>
        <v>-4.5454545454545456E-2</v>
      </c>
      <c r="AV124" s="551">
        <f>AV123/18*4</f>
        <v>1.3333333333333332E-2</v>
      </c>
      <c r="AW124" s="87">
        <f>AW123/18</f>
        <v>-2.4444444444444446E-2</v>
      </c>
      <c r="AX124" s="549"/>
      <c r="AY124" s="550"/>
      <c r="AZ124" s="550"/>
      <c r="BA124" s="551"/>
      <c r="BB124" s="87"/>
      <c r="BC124" s="549"/>
      <c r="BD124" s="550"/>
      <c r="BE124" s="550"/>
      <c r="BF124" s="551"/>
      <c r="BG124" s="87"/>
      <c r="BH124" s="549"/>
      <c r="BI124" s="550"/>
      <c r="BJ124" s="550"/>
      <c r="BK124" s="551"/>
      <c r="BL124" s="87"/>
      <c r="BM124" s="549"/>
      <c r="BN124" s="550"/>
      <c r="BO124" s="550"/>
      <c r="BP124" s="551"/>
      <c r="BQ124" s="87"/>
    </row>
    <row r="125" spans="1:69">
      <c r="A125" s="512"/>
      <c r="B125" s="512"/>
      <c r="C125" s="1190"/>
      <c r="D125" s="512"/>
      <c r="E125" s="513"/>
      <c r="F125" s="514"/>
      <c r="G125" s="514"/>
      <c r="H125" s="515"/>
      <c r="I125" s="512"/>
      <c r="J125" s="513"/>
      <c r="K125" s="514"/>
      <c r="L125" s="514"/>
      <c r="M125" s="515"/>
      <c r="N125" s="512"/>
      <c r="O125" s="513"/>
      <c r="P125" s="514"/>
      <c r="Q125" s="514"/>
      <c r="R125" s="515"/>
      <c r="S125" s="512"/>
      <c r="T125" s="513"/>
      <c r="U125" s="514"/>
      <c r="V125" s="514"/>
      <c r="W125" s="515"/>
      <c r="X125" s="512"/>
      <c r="Y125" s="513"/>
      <c r="Z125" s="514"/>
      <c r="AA125" s="514"/>
      <c r="AB125" s="515"/>
      <c r="AC125" s="512"/>
      <c r="AD125" s="513"/>
      <c r="AE125" s="514"/>
      <c r="AF125" s="514"/>
      <c r="AG125" s="515"/>
      <c r="AH125" s="512"/>
      <c r="AI125" s="513"/>
      <c r="AJ125" s="514"/>
      <c r="AK125" s="514"/>
      <c r="AL125" s="515"/>
      <c r="AM125" s="512"/>
      <c r="AN125" s="513"/>
      <c r="AO125" s="514"/>
      <c r="AP125" s="514"/>
      <c r="AQ125" s="515"/>
      <c r="AR125" s="512"/>
      <c r="AS125" s="513"/>
      <c r="AT125" s="514"/>
      <c r="AU125" s="514"/>
      <c r="AV125" s="515"/>
      <c r="AW125" s="512"/>
      <c r="AX125" s="513"/>
      <c r="AY125" s="514"/>
      <c r="AZ125" s="514"/>
      <c r="BA125" s="515"/>
      <c r="BB125" s="512"/>
      <c r="BC125" s="513"/>
      <c r="BD125" s="514"/>
      <c r="BE125" s="514"/>
      <c r="BF125" s="515"/>
      <c r="BG125" s="512"/>
      <c r="BH125" s="513"/>
      <c r="BI125" s="514"/>
      <c r="BJ125" s="514"/>
      <c r="BK125" s="515"/>
      <c r="BL125" s="512"/>
      <c r="BM125" s="513"/>
      <c r="BN125" s="514"/>
      <c r="BO125" s="514"/>
      <c r="BP125" s="515"/>
      <c r="BQ125" s="512"/>
    </row>
    <row r="126" spans="1:69">
      <c r="A126" s="512"/>
      <c r="B126" s="512"/>
      <c r="C126" s="1190"/>
      <c r="D126" s="512"/>
      <c r="E126" s="513"/>
      <c r="F126" s="514"/>
      <c r="G126" s="514"/>
      <c r="H126" s="515"/>
      <c r="I126" s="512"/>
      <c r="J126" s="513"/>
      <c r="K126" s="514"/>
      <c r="L126" s="514"/>
      <c r="M126" s="515"/>
      <c r="N126" s="512"/>
      <c r="O126" s="513"/>
      <c r="P126" s="514"/>
      <c r="Q126" s="514"/>
      <c r="R126" s="515"/>
      <c r="S126" s="512"/>
      <c r="T126" s="513"/>
      <c r="U126" s="514"/>
      <c r="V126" s="514"/>
      <c r="W126" s="515"/>
      <c r="X126" s="512"/>
      <c r="Y126" s="513"/>
      <c r="Z126" s="514"/>
      <c r="AA126" s="514"/>
      <c r="AB126" s="515"/>
      <c r="AC126" s="512"/>
      <c r="AD126" s="513"/>
      <c r="AE126" s="514"/>
      <c r="AF126" s="514"/>
      <c r="AG126" s="515"/>
      <c r="AH126" s="512"/>
      <c r="AI126" s="513"/>
      <c r="AJ126" s="514"/>
      <c r="AK126" s="514"/>
      <c r="AL126" s="515"/>
      <c r="AM126" s="512"/>
      <c r="AN126" s="513"/>
      <c r="AO126" s="514"/>
      <c r="AP126" s="514"/>
      <c r="AQ126" s="515"/>
      <c r="AR126" s="512"/>
      <c r="AS126" s="513"/>
      <c r="AT126" s="514"/>
      <c r="AU126" s="514"/>
      <c r="AV126" s="515"/>
      <c r="AW126" s="512"/>
      <c r="AX126" s="513"/>
      <c r="AY126" s="514"/>
      <c r="AZ126" s="514"/>
      <c r="BA126" s="515"/>
      <c r="BB126" s="512"/>
      <c r="BC126" s="513"/>
      <c r="BD126" s="514"/>
      <c r="BE126" s="514"/>
      <c r="BF126" s="515"/>
      <c r="BG126" s="512"/>
      <c r="BH126" s="513"/>
      <c r="BI126" s="514"/>
      <c r="BJ126" s="514"/>
      <c r="BK126" s="515"/>
      <c r="BL126" s="512"/>
      <c r="BM126" s="513"/>
      <c r="BN126" s="514"/>
      <c r="BO126" s="514"/>
      <c r="BP126" s="515"/>
      <c r="BQ126" s="512"/>
    </row>
    <row r="127" spans="1:69">
      <c r="A127" s="5"/>
      <c r="B127" s="400" t="s">
        <v>381</v>
      </c>
      <c r="C127" s="1191"/>
      <c r="D127" s="404"/>
      <c r="E127" s="139"/>
      <c r="F127" s="18"/>
      <c r="G127" s="18"/>
      <c r="H127" s="140"/>
      <c r="I127" s="5"/>
      <c r="J127" s="139"/>
      <c r="K127" s="18"/>
      <c r="L127" s="18"/>
      <c r="M127" s="140"/>
      <c r="N127" s="5"/>
      <c r="O127" s="139"/>
      <c r="P127" s="18"/>
      <c r="Q127" s="18"/>
      <c r="R127" s="140"/>
      <c r="S127" s="5"/>
      <c r="T127" s="139"/>
      <c r="U127" s="18"/>
      <c r="V127" s="198"/>
      <c r="W127" s="193"/>
      <c r="X127" s="108"/>
      <c r="Y127" s="139"/>
      <c r="Z127" s="18"/>
      <c r="AA127" s="18"/>
      <c r="AB127" s="140"/>
      <c r="AC127" s="5"/>
      <c r="AD127" s="139"/>
      <c r="AE127" s="18"/>
      <c r="AF127" s="18"/>
      <c r="AG127" s="140"/>
      <c r="AH127" s="5"/>
      <c r="AI127" s="139"/>
      <c r="AJ127" s="18"/>
      <c r="AK127" s="18"/>
      <c r="AL127" s="140"/>
      <c r="AM127" s="5"/>
      <c r="AN127" s="139"/>
      <c r="AO127" s="18"/>
      <c r="AP127" s="18"/>
      <c r="AQ127" s="140"/>
      <c r="AR127" s="5"/>
      <c r="AS127" s="139"/>
      <c r="AT127" s="18"/>
      <c r="AU127" s="18"/>
      <c r="AV127" s="140"/>
      <c r="AW127" s="5"/>
      <c r="AX127" s="139"/>
      <c r="AY127" s="18"/>
      <c r="AZ127" s="18"/>
      <c r="BA127" s="140"/>
      <c r="BB127" s="5"/>
      <c r="BC127" s="139"/>
      <c r="BD127" s="18"/>
      <c r="BE127" s="18"/>
      <c r="BF127" s="140"/>
      <c r="BG127" s="5"/>
      <c r="BH127" s="139"/>
      <c r="BI127" s="18"/>
      <c r="BJ127" s="18"/>
      <c r="BK127" s="140"/>
      <c r="BL127" s="5"/>
      <c r="BM127" s="139"/>
      <c r="BN127" s="18"/>
      <c r="BO127" s="18"/>
      <c r="BP127" s="140"/>
      <c r="BQ127" s="5"/>
    </row>
    <row r="128" spans="1:69">
      <c r="A128" s="320"/>
      <c r="B128" s="420"/>
      <c r="C128" s="1193"/>
      <c r="D128" s="420"/>
      <c r="E128" s="324"/>
      <c r="F128" s="325"/>
      <c r="G128" s="325"/>
      <c r="H128" s="326"/>
      <c r="I128" s="320"/>
      <c r="J128" s="324"/>
      <c r="K128" s="325"/>
      <c r="L128" s="325"/>
      <c r="M128" s="326"/>
      <c r="N128" s="320"/>
      <c r="O128" s="324"/>
      <c r="P128" s="325"/>
      <c r="Q128" s="325"/>
      <c r="R128" s="326"/>
      <c r="S128" s="320"/>
      <c r="T128" s="324"/>
      <c r="U128" s="325"/>
      <c r="V128" s="325"/>
      <c r="W128" s="326"/>
      <c r="X128" s="320"/>
      <c r="Y128" s="324"/>
      <c r="Z128" s="325"/>
      <c r="AA128" s="325"/>
      <c r="AB128" s="326"/>
      <c r="AC128" s="320"/>
      <c r="AD128" s="324"/>
      <c r="AE128" s="325"/>
      <c r="AF128" s="325"/>
      <c r="AG128" s="326"/>
      <c r="AH128" s="320"/>
      <c r="AI128" s="324"/>
      <c r="AJ128" s="325"/>
      <c r="AK128" s="325"/>
      <c r="AL128" s="326"/>
      <c r="AM128" s="320"/>
      <c r="AN128" s="324"/>
      <c r="AO128" s="325"/>
      <c r="AP128" s="325"/>
      <c r="AQ128" s="326"/>
      <c r="AR128" s="320"/>
      <c r="AS128" s="324"/>
      <c r="AT128" s="325"/>
      <c r="AU128" s="325"/>
      <c r="AV128" s="326"/>
      <c r="AW128" s="320"/>
      <c r="AX128" s="324"/>
      <c r="AY128" s="325"/>
      <c r="AZ128" s="325"/>
      <c r="BA128" s="326"/>
      <c r="BB128" s="320"/>
      <c r="BC128" s="324"/>
      <c r="BD128" s="325"/>
      <c r="BE128" s="325"/>
      <c r="BF128" s="326"/>
      <c r="BG128" s="320"/>
      <c r="BH128" s="324"/>
      <c r="BI128" s="325"/>
      <c r="BJ128" s="325"/>
      <c r="BK128" s="326"/>
      <c r="BL128" s="320"/>
      <c r="BM128" s="324"/>
      <c r="BN128" s="325"/>
      <c r="BO128" s="325"/>
      <c r="BP128" s="326"/>
      <c r="BQ128" s="320"/>
    </row>
    <row r="129" spans="1:69">
      <c r="A129" s="327"/>
      <c r="B129" s="110"/>
      <c r="C129" s="1128" t="s">
        <v>169</v>
      </c>
      <c r="D129" s="110"/>
      <c r="E129" s="335">
        <f>E19</f>
        <v>25.09</v>
      </c>
      <c r="F129" s="336">
        <f t="shared" ref="F129:X129" si="293">F19</f>
        <v>26.056000000000001</v>
      </c>
      <c r="G129" s="336">
        <f t="shared" si="293"/>
        <v>26.216999999999999</v>
      </c>
      <c r="H129" s="337">
        <f t="shared" si="293"/>
        <v>27.653000000000006</v>
      </c>
      <c r="I129" s="327">
        <f>I19</f>
        <v>105.01600000000001</v>
      </c>
      <c r="J129" s="335">
        <f t="shared" si="293"/>
        <v>27.6</v>
      </c>
      <c r="K129" s="336">
        <f t="shared" si="293"/>
        <v>27.07</v>
      </c>
      <c r="L129" s="336">
        <f t="shared" si="293"/>
        <v>26.818999999999999</v>
      </c>
      <c r="M129" s="337">
        <f t="shared" si="293"/>
        <v>26.709999999999994</v>
      </c>
      <c r="N129" s="327">
        <f t="shared" si="293"/>
        <v>108.199</v>
      </c>
      <c r="O129" s="335">
        <f t="shared" si="293"/>
        <v>26.475999999999999</v>
      </c>
      <c r="P129" s="336">
        <f t="shared" si="293"/>
        <v>25.355</v>
      </c>
      <c r="Q129" s="336">
        <f t="shared" si="293"/>
        <v>26.602</v>
      </c>
      <c r="R129" s="337">
        <f t="shared" si="293"/>
        <v>26.566999999999993</v>
      </c>
      <c r="S129" s="327">
        <f t="shared" si="293"/>
        <v>105</v>
      </c>
      <c r="T129" s="335">
        <f t="shared" si="293"/>
        <v>26.702000000000002</v>
      </c>
      <c r="U129" s="336">
        <f t="shared" si="293"/>
        <v>25.097000000000001</v>
      </c>
      <c r="V129" s="336">
        <f t="shared" si="293"/>
        <v>29.713999999999999</v>
      </c>
      <c r="W129" s="337">
        <f t="shared" si="293"/>
        <v>29.323999999999998</v>
      </c>
      <c r="X129" s="327">
        <f t="shared" si="293"/>
        <v>110.837</v>
      </c>
      <c r="Y129" s="335">
        <f t="shared" ref="Y129:AD129" si="294">Y19</f>
        <v>30.076000000000001</v>
      </c>
      <c r="Z129" s="336">
        <f t="shared" si="294"/>
        <v>29.734000000000002</v>
      </c>
      <c r="AA129" s="336">
        <f t="shared" si="294"/>
        <v>31.556999999999999</v>
      </c>
      <c r="AB129" s="337">
        <f t="shared" si="294"/>
        <v>33.592999999999989</v>
      </c>
      <c r="AC129" s="327">
        <f t="shared" si="294"/>
        <v>124.96</v>
      </c>
      <c r="AD129" s="335">
        <f t="shared" si="294"/>
        <v>29.01</v>
      </c>
      <c r="AE129" s="336">
        <f>AE19</f>
        <v>28.105</v>
      </c>
      <c r="AF129" s="336">
        <f t="shared" ref="AF129:AI129" si="295">AF19</f>
        <v>30.763000000000002</v>
      </c>
      <c r="AG129" s="337">
        <f t="shared" si="295"/>
        <v>30.480000000000004</v>
      </c>
      <c r="AH129" s="327">
        <f>AH19</f>
        <v>118.358</v>
      </c>
      <c r="AI129" s="335">
        <f t="shared" si="295"/>
        <v>28.873999999999999</v>
      </c>
      <c r="AJ129" s="336">
        <f>AJ19</f>
        <v>30.672999999999998</v>
      </c>
      <c r="AK129" s="336">
        <f>AK19</f>
        <v>30.094000000000001</v>
      </c>
      <c r="AL129" s="337">
        <f t="shared" ref="AL129:AN129" si="296">AL19</f>
        <v>27.904000000000011</v>
      </c>
      <c r="AM129" s="327">
        <f t="shared" si="296"/>
        <v>117.545</v>
      </c>
      <c r="AN129" s="335">
        <f t="shared" si="296"/>
        <v>32.433</v>
      </c>
      <c r="AO129" s="336">
        <f>AO19</f>
        <v>32.860999999999997</v>
      </c>
      <c r="AP129" s="336">
        <f>AP19</f>
        <v>32.405999999999999</v>
      </c>
      <c r="AQ129" s="337">
        <f t="shared" ref="AQ129:AS129" si="297">AQ19</f>
        <v>29.823000000000008</v>
      </c>
      <c r="AR129" s="327">
        <f t="shared" si="297"/>
        <v>127.523</v>
      </c>
      <c r="AS129" s="335">
        <f t="shared" si="297"/>
        <v>36.576999999999998</v>
      </c>
      <c r="AT129" s="336">
        <f>AT19</f>
        <v>34.485999999999997</v>
      </c>
      <c r="AU129" s="336">
        <f t="shared" ref="AU129:AW129" si="298">AU19</f>
        <v>41.037999999999997</v>
      </c>
      <c r="AV129" s="337">
        <f t="shared" si="298"/>
        <v>41.909000000000006</v>
      </c>
      <c r="AW129" s="327">
        <f t="shared" si="298"/>
        <v>154.01</v>
      </c>
      <c r="AX129" s="335">
        <f>AX130+AX131</f>
        <v>36.942769999999996</v>
      </c>
      <c r="AY129" s="336">
        <f>AY130+AY131</f>
        <v>34.830859999999994</v>
      </c>
      <c r="AZ129" s="336">
        <f>AZ130+AZ131</f>
        <v>41.44838</v>
      </c>
      <c r="BA129" s="337">
        <f>BA130+BA131</f>
        <v>42.328090000000003</v>
      </c>
      <c r="BB129" s="327">
        <f>SUM(AX129:BA129)</f>
        <v>155.55009999999999</v>
      </c>
      <c r="BC129" s="335">
        <f>BC130+BC131</f>
        <v>37.312197699999999</v>
      </c>
      <c r="BD129" s="336">
        <f>BD130+BD131</f>
        <v>35.179168599999997</v>
      </c>
      <c r="BE129" s="336">
        <f>BE130+BE131</f>
        <v>41.8628638</v>
      </c>
      <c r="BF129" s="337">
        <f>BF130+BF131</f>
        <v>42.751370900000005</v>
      </c>
      <c r="BG129" s="327">
        <f>SUM(BC129:BF129)</f>
        <v>157.10560100000001</v>
      </c>
      <c r="BH129" s="335">
        <f>BH130+BH131</f>
        <v>37.685319677000003</v>
      </c>
      <c r="BI129" s="336">
        <f>BI130+BI131</f>
        <v>35.530960285999996</v>
      </c>
      <c r="BJ129" s="336">
        <f>BJ130+BJ131</f>
        <v>42.281492438000001</v>
      </c>
      <c r="BK129" s="337">
        <f>BK130+BK131</f>
        <v>43.178884609000008</v>
      </c>
      <c r="BL129" s="327">
        <f>SUM(BH129:BK129)</f>
        <v>158.67665701000001</v>
      </c>
      <c r="BM129" s="335">
        <f>BM130+BM131</f>
        <v>38.062172873770002</v>
      </c>
      <c r="BN129" s="336">
        <f>BN130+BN131</f>
        <v>35.886269888859999</v>
      </c>
      <c r="BO129" s="336">
        <f>BO130+BO131</f>
        <v>42.70430736238</v>
      </c>
      <c r="BP129" s="337">
        <f>BP130+BP131</f>
        <v>43.610673455090009</v>
      </c>
      <c r="BQ129" s="327">
        <f>SUM(BM129:BP129)</f>
        <v>160.26342358010004</v>
      </c>
    </row>
    <row r="130" spans="1:69">
      <c r="A130" s="320"/>
      <c r="B130" s="320"/>
      <c r="C130" s="129" t="s">
        <v>674</v>
      </c>
      <c r="D130" s="320"/>
      <c r="E130" s="405">
        <v>0</v>
      </c>
      <c r="F130" s="406">
        <v>0</v>
      </c>
      <c r="G130" s="406">
        <v>0</v>
      </c>
      <c r="H130" s="251">
        <f>I130-SUM(E130:G130)</f>
        <v>0</v>
      </c>
      <c r="I130" s="348">
        <v>0</v>
      </c>
      <c r="J130" s="393">
        <v>0</v>
      </c>
      <c r="K130" s="190">
        <v>0</v>
      </c>
      <c r="L130" s="190">
        <v>0</v>
      </c>
      <c r="M130" s="251">
        <f>N130-SUM(J130:L130)</f>
        <v>0</v>
      </c>
      <c r="N130" s="348">
        <v>0</v>
      </c>
      <c r="O130" s="393">
        <v>0</v>
      </c>
      <c r="P130" s="190">
        <v>0</v>
      </c>
      <c r="Q130" s="190">
        <v>0</v>
      </c>
      <c r="R130" s="251">
        <f>S130-SUM(O130:Q130)</f>
        <v>0</v>
      </c>
      <c r="S130" s="348">
        <v>0</v>
      </c>
      <c r="T130" s="393">
        <v>0</v>
      </c>
      <c r="U130" s="190">
        <v>0</v>
      </c>
      <c r="V130" s="190">
        <v>0</v>
      </c>
      <c r="W130" s="251">
        <f>X130-SUM(T130:V130)</f>
        <v>0</v>
      </c>
      <c r="X130" s="348">
        <v>0</v>
      </c>
      <c r="Y130" s="393">
        <v>0</v>
      </c>
      <c r="Z130" s="190">
        <v>0</v>
      </c>
      <c r="AA130" s="190">
        <v>0</v>
      </c>
      <c r="AB130" s="251">
        <f>AC130-SUM(Y130:AA130)</f>
        <v>0</v>
      </c>
      <c r="AC130" s="348">
        <v>0</v>
      </c>
      <c r="AD130" s="393">
        <v>0</v>
      </c>
      <c r="AE130" s="190">
        <v>0</v>
      </c>
      <c r="AF130" s="190">
        <v>0</v>
      </c>
      <c r="AG130" s="251">
        <f>AH130-SUM(AD130:AF130)</f>
        <v>0</v>
      </c>
      <c r="AH130" s="348">
        <v>0</v>
      </c>
      <c r="AI130" s="393">
        <v>0</v>
      </c>
      <c r="AJ130" s="190">
        <v>0</v>
      </c>
      <c r="AK130" s="190">
        <v>0</v>
      </c>
      <c r="AL130" s="251">
        <f>AM130-SUM(AI130:AK130)</f>
        <v>0</v>
      </c>
      <c r="AM130" s="348">
        <v>0</v>
      </c>
      <c r="AN130" s="393">
        <v>0</v>
      </c>
      <c r="AO130" s="190">
        <v>0</v>
      </c>
      <c r="AP130" s="190">
        <v>0</v>
      </c>
      <c r="AQ130" s="251">
        <f>AR130-SUM(AN130:AP130)</f>
        <v>0</v>
      </c>
      <c r="AR130" s="348">
        <v>0</v>
      </c>
      <c r="AS130" s="393">
        <v>0</v>
      </c>
      <c r="AT130" s="190">
        <v>0</v>
      </c>
      <c r="AU130" s="190">
        <v>0</v>
      </c>
      <c r="AV130" s="251">
        <f>AW130-SUM(AS130:AU130)</f>
        <v>0</v>
      </c>
      <c r="AW130" s="348">
        <v>0</v>
      </c>
      <c r="AX130" s="197">
        <v>0</v>
      </c>
      <c r="AY130" s="198">
        <v>0</v>
      </c>
      <c r="AZ130" s="198">
        <v>0</v>
      </c>
      <c r="BA130" s="193">
        <v>0</v>
      </c>
      <c r="BB130" s="107">
        <f>SUM(AX130:BA130)</f>
        <v>0</v>
      </c>
      <c r="BC130" s="197">
        <v>0</v>
      </c>
      <c r="BD130" s="198">
        <v>0</v>
      </c>
      <c r="BE130" s="198">
        <v>0</v>
      </c>
      <c r="BF130" s="193">
        <v>0</v>
      </c>
      <c r="BG130" s="107">
        <f>SUM(BC130:BF130)</f>
        <v>0</v>
      </c>
      <c r="BH130" s="197">
        <v>0</v>
      </c>
      <c r="BI130" s="198">
        <v>0</v>
      </c>
      <c r="BJ130" s="198">
        <v>0</v>
      </c>
      <c r="BK130" s="193">
        <v>0</v>
      </c>
      <c r="BL130" s="107">
        <f>SUM(BH130:BK130)</f>
        <v>0</v>
      </c>
      <c r="BM130" s="197">
        <v>0</v>
      </c>
      <c r="BN130" s="198">
        <v>0</v>
      </c>
      <c r="BO130" s="198">
        <v>0</v>
      </c>
      <c r="BP130" s="193">
        <v>0</v>
      </c>
      <c r="BQ130" s="107">
        <f>SUM(BM130:BP130)</f>
        <v>0</v>
      </c>
    </row>
    <row r="131" spans="1:69" s="103" customFormat="1">
      <c r="A131" s="331"/>
      <c r="B131" s="44"/>
      <c r="C131" s="1127" t="s">
        <v>171</v>
      </c>
      <c r="D131" s="44"/>
      <c r="E131" s="332">
        <f t="shared" ref="E131:AA131" si="299">E129-E130</f>
        <v>25.09</v>
      </c>
      <c r="F131" s="333">
        <f t="shared" si="299"/>
        <v>26.056000000000001</v>
      </c>
      <c r="G131" s="333">
        <f t="shared" si="299"/>
        <v>26.216999999999999</v>
      </c>
      <c r="H131" s="334">
        <f t="shared" si="299"/>
        <v>27.653000000000006</v>
      </c>
      <c r="I131" s="331">
        <f t="shared" si="299"/>
        <v>105.01600000000001</v>
      </c>
      <c r="J131" s="332">
        <f t="shared" si="299"/>
        <v>27.6</v>
      </c>
      <c r="K131" s="333">
        <f t="shared" si="299"/>
        <v>27.07</v>
      </c>
      <c r="L131" s="333">
        <f t="shared" si="299"/>
        <v>26.818999999999999</v>
      </c>
      <c r="M131" s="334">
        <f t="shared" si="299"/>
        <v>26.709999999999994</v>
      </c>
      <c r="N131" s="331">
        <f t="shared" si="299"/>
        <v>108.199</v>
      </c>
      <c r="O131" s="332">
        <f t="shared" si="299"/>
        <v>26.475999999999999</v>
      </c>
      <c r="P131" s="333">
        <f t="shared" si="299"/>
        <v>25.355</v>
      </c>
      <c r="Q131" s="333">
        <f t="shared" si="299"/>
        <v>26.602</v>
      </c>
      <c r="R131" s="334">
        <f t="shared" si="299"/>
        <v>26.566999999999993</v>
      </c>
      <c r="S131" s="331">
        <f t="shared" si="299"/>
        <v>105</v>
      </c>
      <c r="T131" s="332">
        <f t="shared" si="299"/>
        <v>26.702000000000002</v>
      </c>
      <c r="U131" s="333">
        <f t="shared" si="299"/>
        <v>25.097000000000001</v>
      </c>
      <c r="V131" s="333">
        <f t="shared" si="299"/>
        <v>29.713999999999999</v>
      </c>
      <c r="W131" s="334">
        <f t="shared" si="299"/>
        <v>29.323999999999998</v>
      </c>
      <c r="X131" s="331">
        <f t="shared" si="299"/>
        <v>110.837</v>
      </c>
      <c r="Y131" s="332">
        <f t="shared" si="299"/>
        <v>30.076000000000001</v>
      </c>
      <c r="Z131" s="333">
        <f t="shared" si="299"/>
        <v>29.734000000000002</v>
      </c>
      <c r="AA131" s="333">
        <f t="shared" si="299"/>
        <v>31.556999999999999</v>
      </c>
      <c r="AB131" s="334">
        <f>AB129-AB130</f>
        <v>33.592999999999989</v>
      </c>
      <c r="AC131" s="331">
        <f>AC129-AC130</f>
        <v>124.96</v>
      </c>
      <c r="AD131" s="332">
        <f>AD129-AD130</f>
        <v>29.01</v>
      </c>
      <c r="AE131" s="333">
        <f>AE129-AE130</f>
        <v>28.105</v>
      </c>
      <c r="AF131" s="333">
        <f t="shared" ref="AF131" si="300">AF129-AF130</f>
        <v>30.763000000000002</v>
      </c>
      <c r="AG131" s="334">
        <f t="shared" ref="AG131:AM131" si="301">AG129-AG130</f>
        <v>30.480000000000004</v>
      </c>
      <c r="AH131" s="331">
        <f t="shared" si="301"/>
        <v>118.358</v>
      </c>
      <c r="AI131" s="332">
        <f t="shared" si="301"/>
        <v>28.873999999999999</v>
      </c>
      <c r="AJ131" s="333">
        <f t="shared" si="301"/>
        <v>30.672999999999998</v>
      </c>
      <c r="AK131" s="333">
        <f t="shared" si="301"/>
        <v>30.094000000000001</v>
      </c>
      <c r="AL131" s="334">
        <f t="shared" si="301"/>
        <v>27.904000000000011</v>
      </c>
      <c r="AM131" s="331">
        <f t="shared" si="301"/>
        <v>117.545</v>
      </c>
      <c r="AN131" s="332">
        <f t="shared" ref="AN131:AR131" si="302">AN129-AN130</f>
        <v>32.433</v>
      </c>
      <c r="AO131" s="333">
        <f t="shared" si="302"/>
        <v>32.860999999999997</v>
      </c>
      <c r="AP131" s="333">
        <f t="shared" si="302"/>
        <v>32.405999999999999</v>
      </c>
      <c r="AQ131" s="334">
        <f t="shared" si="302"/>
        <v>29.823000000000008</v>
      </c>
      <c r="AR131" s="331">
        <f t="shared" si="302"/>
        <v>127.523</v>
      </c>
      <c r="AS131" s="332">
        <f t="shared" ref="AS131:AT131" si="303">AS129-AS130</f>
        <v>36.576999999999998</v>
      </c>
      <c r="AT131" s="333">
        <f t="shared" si="303"/>
        <v>34.485999999999997</v>
      </c>
      <c r="AU131" s="333">
        <f t="shared" ref="AU131:AW131" si="304">AU129-AU130</f>
        <v>41.037999999999997</v>
      </c>
      <c r="AV131" s="334">
        <f t="shared" si="304"/>
        <v>41.909000000000006</v>
      </c>
      <c r="AW131" s="331">
        <f t="shared" si="304"/>
        <v>154.01</v>
      </c>
      <c r="AX131" s="332">
        <f>AS131*(1+AX132)</f>
        <v>36.942769999999996</v>
      </c>
      <c r="AY131" s="333">
        <f>AT131*(1+AY132)</f>
        <v>34.830859999999994</v>
      </c>
      <c r="AZ131" s="333">
        <f>AU131*(1+AZ132)</f>
        <v>41.44838</v>
      </c>
      <c r="BA131" s="334">
        <f>AV131*(1+BA132)</f>
        <v>42.328090000000003</v>
      </c>
      <c r="BB131" s="331">
        <f>SUM(AX131:BA131)</f>
        <v>155.55009999999999</v>
      </c>
      <c r="BC131" s="332">
        <f>AX131*(1+BC132)</f>
        <v>37.312197699999999</v>
      </c>
      <c r="BD131" s="333">
        <f>AY131*(1+BD132)</f>
        <v>35.179168599999997</v>
      </c>
      <c r="BE131" s="333">
        <f>AZ131*(1+BE132)</f>
        <v>41.8628638</v>
      </c>
      <c r="BF131" s="334">
        <f>BA131*(1+BF132)</f>
        <v>42.751370900000005</v>
      </c>
      <c r="BG131" s="331">
        <f>SUM(BC131:BF131)</f>
        <v>157.10560100000001</v>
      </c>
      <c r="BH131" s="332">
        <f>BC131*(1+BH132)</f>
        <v>37.685319677000003</v>
      </c>
      <c r="BI131" s="333">
        <f>BD131*(1+BI132)</f>
        <v>35.530960285999996</v>
      </c>
      <c r="BJ131" s="333">
        <f>BE131*(1+BJ132)</f>
        <v>42.281492438000001</v>
      </c>
      <c r="BK131" s="334">
        <f>BF131*(1+BK132)</f>
        <v>43.178884609000008</v>
      </c>
      <c r="BL131" s="331">
        <f>SUM(BH131:BK131)</f>
        <v>158.67665701000001</v>
      </c>
      <c r="BM131" s="332">
        <f>BH131*(1+BM132)</f>
        <v>38.062172873770002</v>
      </c>
      <c r="BN131" s="333">
        <f>BI131*(1+BN132)</f>
        <v>35.886269888859999</v>
      </c>
      <c r="BO131" s="333">
        <f>BJ131*(1+BO132)</f>
        <v>42.70430736238</v>
      </c>
      <c r="BP131" s="334">
        <f>BK131*(1+BP132)</f>
        <v>43.610673455090009</v>
      </c>
      <c r="BQ131" s="331">
        <f>SUM(BM131:BP131)</f>
        <v>160.26342358010004</v>
      </c>
    </row>
    <row r="132" spans="1:69">
      <c r="A132" s="370"/>
      <c r="B132" s="370"/>
      <c r="C132" s="1194" t="s">
        <v>676</v>
      </c>
      <c r="D132" s="370"/>
      <c r="E132" s="373"/>
      <c r="F132" s="371"/>
      <c r="G132" s="371"/>
      <c r="H132" s="372"/>
      <c r="I132" s="370"/>
      <c r="J132" s="373">
        <f t="shared" ref="J132:AA132" si="305">J131/E131-1</f>
        <v>0.10003985651654057</v>
      </c>
      <c r="K132" s="371">
        <f t="shared" si="305"/>
        <v>3.8916180534233957E-2</v>
      </c>
      <c r="L132" s="371">
        <f t="shared" si="305"/>
        <v>2.296220009917227E-2</v>
      </c>
      <c r="M132" s="372">
        <f t="shared" si="305"/>
        <v>-3.4101182511843575E-2</v>
      </c>
      <c r="N132" s="370">
        <f t="shared" si="305"/>
        <v>3.0309667098346926E-2</v>
      </c>
      <c r="O132" s="373">
        <f t="shared" si="305"/>
        <v>-4.0724637681159526E-2</v>
      </c>
      <c r="P132" s="371">
        <f t="shared" si="305"/>
        <v>-6.3354266715921703E-2</v>
      </c>
      <c r="Q132" s="371">
        <f t="shared" si="305"/>
        <v>-8.0912785711622082E-3</v>
      </c>
      <c r="R132" s="372">
        <f t="shared" si="305"/>
        <v>-5.3538000748784009E-3</v>
      </c>
      <c r="S132" s="370">
        <f t="shared" si="305"/>
        <v>-2.9565892475900912E-2</v>
      </c>
      <c r="T132" s="373">
        <f t="shared" si="305"/>
        <v>8.5360326333283609E-3</v>
      </c>
      <c r="U132" s="371">
        <f t="shared" si="305"/>
        <v>-1.0175507789390581E-2</v>
      </c>
      <c r="V132" s="371">
        <f t="shared" si="305"/>
        <v>0.11698368543718507</v>
      </c>
      <c r="W132" s="372">
        <f t="shared" si="305"/>
        <v>0.10377536040953084</v>
      </c>
      <c r="X132" s="370">
        <f t="shared" si="305"/>
        <v>5.559047619047619E-2</v>
      </c>
      <c r="Y132" s="373">
        <f t="shared" si="305"/>
        <v>0.12635757621151966</v>
      </c>
      <c r="Z132" s="371">
        <f t="shared" si="305"/>
        <v>0.18476311909790022</v>
      </c>
      <c r="AA132" s="371">
        <f t="shared" si="305"/>
        <v>6.2024634852258176E-2</v>
      </c>
      <c r="AB132" s="372">
        <f>AB131/W131-1</f>
        <v>0.14558041194925631</v>
      </c>
      <c r="AC132" s="370">
        <f>AC131/X131-1</f>
        <v>0.12742134846666708</v>
      </c>
      <c r="AD132" s="373">
        <f>AD131/Y131-1</f>
        <v>-3.5443543024338275E-2</v>
      </c>
      <c r="AE132" s="371">
        <f>AE131/Z131-1</f>
        <v>-5.4785767135266061E-2</v>
      </c>
      <c r="AF132" s="371">
        <f t="shared" ref="AF132" si="306">AF131/AA131-1</f>
        <v>-2.5160820103305004E-2</v>
      </c>
      <c r="AG132" s="372">
        <f t="shared" ref="AG132:AP132" si="307">AG131/AB131-1</f>
        <v>-9.2668115381180249E-2</v>
      </c>
      <c r="AH132" s="370">
        <f t="shared" si="307"/>
        <v>-5.2832906530089541E-2</v>
      </c>
      <c r="AI132" s="373">
        <f t="shared" si="307"/>
        <v>-4.6880386073768765E-3</v>
      </c>
      <c r="AJ132" s="371">
        <f t="shared" si="307"/>
        <v>9.1371642056573554E-2</v>
      </c>
      <c r="AK132" s="371">
        <f t="shared" si="307"/>
        <v>-2.1746903748009028E-2</v>
      </c>
      <c r="AL132" s="372">
        <f t="shared" si="307"/>
        <v>-8.4514435695537848E-2</v>
      </c>
      <c r="AM132" s="370">
        <f t="shared" si="307"/>
        <v>-6.8689906892648311E-3</v>
      </c>
      <c r="AN132" s="373">
        <f t="shared" si="307"/>
        <v>0.1232596799889174</v>
      </c>
      <c r="AO132" s="371">
        <f t="shared" si="307"/>
        <v>7.1333094252273854E-2</v>
      </c>
      <c r="AP132" s="371">
        <f t="shared" si="307"/>
        <v>7.6825945371170157E-2</v>
      </c>
      <c r="AQ132" s="372">
        <f t="shared" ref="AQ132" si="308">AQ131/AL131-1</f>
        <v>6.8771502293577758E-2</v>
      </c>
      <c r="AR132" s="370">
        <f t="shared" ref="AR132:AT132" si="309">AR131/AM131-1</f>
        <v>8.48866391594707E-2</v>
      </c>
      <c r="AS132" s="373">
        <f t="shared" si="309"/>
        <v>0.12777109733912995</v>
      </c>
      <c r="AT132" s="371">
        <f t="shared" si="309"/>
        <v>4.9450716655001337E-2</v>
      </c>
      <c r="AU132" s="371">
        <f t="shared" ref="AU132" si="310">AU131/AP131-1</f>
        <v>0.26637042522989574</v>
      </c>
      <c r="AV132" s="372">
        <f t="shared" ref="AV132" si="311">AV131/AQ131-1</f>
        <v>0.40525768702008502</v>
      </c>
      <c r="AW132" s="370">
        <f t="shared" ref="AW132" si="312">AW131/AR131-1</f>
        <v>0.20770370835065033</v>
      </c>
      <c r="AX132" s="373">
        <f>+AY132</f>
        <v>0.01</v>
      </c>
      <c r="AY132" s="371">
        <f>+AZ132</f>
        <v>0.01</v>
      </c>
      <c r="AZ132" s="371">
        <f>+BA132</f>
        <v>0.01</v>
      </c>
      <c r="BA132" s="372">
        <f>+BB132</f>
        <v>0.01</v>
      </c>
      <c r="BB132" s="370">
        <f>+BB77</f>
        <v>0.01</v>
      </c>
      <c r="BC132" s="373">
        <f>+BD132</f>
        <v>0.01</v>
      </c>
      <c r="BD132" s="371">
        <f>+BE132</f>
        <v>0.01</v>
      </c>
      <c r="BE132" s="371">
        <f>+BF132</f>
        <v>0.01</v>
      </c>
      <c r="BF132" s="372">
        <f>+BG132</f>
        <v>0.01</v>
      </c>
      <c r="BG132" s="370">
        <f>+BG77</f>
        <v>0.01</v>
      </c>
      <c r="BH132" s="373">
        <f>+BI132</f>
        <v>0.01</v>
      </c>
      <c r="BI132" s="371">
        <f>+BJ132</f>
        <v>0.01</v>
      </c>
      <c r="BJ132" s="371">
        <f>+BK132</f>
        <v>0.01</v>
      </c>
      <c r="BK132" s="372">
        <f>+BL132</f>
        <v>0.01</v>
      </c>
      <c r="BL132" s="370">
        <f>+BL77</f>
        <v>0.01</v>
      </c>
      <c r="BM132" s="373">
        <f>+BN132</f>
        <v>0.01</v>
      </c>
      <c r="BN132" s="371">
        <f>+BO132</f>
        <v>0.01</v>
      </c>
      <c r="BO132" s="371">
        <f>+BP132</f>
        <v>0.01</v>
      </c>
      <c r="BP132" s="372">
        <f>+BQ132</f>
        <v>0.01</v>
      </c>
      <c r="BQ132" s="370">
        <f>+BQ77</f>
        <v>0.01</v>
      </c>
    </row>
    <row r="133" spans="1:69">
      <c r="A133" s="320"/>
      <c r="B133" s="420"/>
      <c r="C133" s="1193"/>
      <c r="D133" s="420"/>
      <c r="E133" s="324"/>
      <c r="F133" s="325"/>
      <c r="G133" s="325"/>
      <c r="H133" s="326"/>
      <c r="I133" s="320"/>
      <c r="J133" s="324"/>
      <c r="K133" s="325"/>
      <c r="L133" s="325"/>
      <c r="M133" s="326"/>
      <c r="N133" s="320"/>
      <c r="O133" s="324"/>
      <c r="P133" s="325"/>
      <c r="Q133" s="325"/>
      <c r="R133" s="326"/>
      <c r="S133" s="320"/>
      <c r="T133" s="324"/>
      <c r="U133" s="325"/>
      <c r="V133" s="325"/>
      <c r="W133" s="326"/>
      <c r="X133" s="320"/>
      <c r="Y133" s="324"/>
      <c r="Z133" s="325"/>
      <c r="AA133" s="325"/>
      <c r="AB133" s="326"/>
      <c r="AC133" s="320"/>
      <c r="AD133" s="324"/>
      <c r="AE133" s="325"/>
      <c r="AF133" s="325"/>
      <c r="AG133" s="326"/>
      <c r="AH133" s="320"/>
      <c r="AI133" s="324"/>
      <c r="AJ133" s="325"/>
      <c r="AK133" s="325"/>
      <c r="AL133" s="326"/>
      <c r="AM133" s="320"/>
      <c r="AN133" s="324"/>
      <c r="AO133" s="325"/>
      <c r="AP133" s="325"/>
      <c r="AQ133" s="326"/>
      <c r="AR133" s="320"/>
      <c r="AS133" s="324"/>
      <c r="AT133" s="325"/>
      <c r="AU133" s="325"/>
      <c r="AV133" s="326"/>
      <c r="AW133" s="320"/>
      <c r="AX133" s="324"/>
      <c r="AY133" s="325"/>
      <c r="AZ133" s="325"/>
      <c r="BA133" s="326"/>
      <c r="BB133" s="320"/>
      <c r="BC133" s="324"/>
      <c r="BD133" s="325"/>
      <c r="BE133" s="325"/>
      <c r="BF133" s="326"/>
      <c r="BG133" s="320"/>
      <c r="BH133" s="324"/>
      <c r="BI133" s="325"/>
      <c r="BJ133" s="325"/>
      <c r="BK133" s="326"/>
      <c r="BL133" s="320"/>
      <c r="BM133" s="324"/>
      <c r="BN133" s="325"/>
      <c r="BO133" s="325"/>
      <c r="BP133" s="326"/>
      <c r="BQ133" s="320"/>
    </row>
    <row r="134" spans="1:69">
      <c r="A134" s="327"/>
      <c r="B134" s="110"/>
      <c r="C134" s="1192" t="s">
        <v>660</v>
      </c>
      <c r="D134" s="110"/>
      <c r="E134" s="335">
        <f>E20</f>
        <v>422.31599999999997</v>
      </c>
      <c r="F134" s="336">
        <f t="shared" ref="F134:N134" si="313">F20</f>
        <v>483.33199999999999</v>
      </c>
      <c r="G134" s="336">
        <f t="shared" si="313"/>
        <v>457.19600000000003</v>
      </c>
      <c r="H134" s="337">
        <f t="shared" si="313"/>
        <v>473.66300000000001</v>
      </c>
      <c r="I134" s="327">
        <f t="shared" si="313"/>
        <v>1836.5070000000001</v>
      </c>
      <c r="J134" s="335">
        <f t="shared" si="313"/>
        <v>435.16800000000001</v>
      </c>
      <c r="K134" s="336">
        <f t="shared" si="313"/>
        <v>470.95699999999999</v>
      </c>
      <c r="L134" s="336">
        <f t="shared" si="313"/>
        <v>515.61300000000006</v>
      </c>
      <c r="M134" s="337">
        <f t="shared" si="313"/>
        <v>527.154</v>
      </c>
      <c r="N134" s="327">
        <f t="shared" si="313"/>
        <v>1948.8920000000001</v>
      </c>
      <c r="O134" s="335">
        <f t="shared" ref="O134:Y134" si="314">O20</f>
        <v>448.20100000000002</v>
      </c>
      <c r="P134" s="336">
        <f t="shared" si="314"/>
        <v>484.62700000000001</v>
      </c>
      <c r="Q134" s="336">
        <f t="shared" si="314"/>
        <v>477.86599999999999</v>
      </c>
      <c r="R134" s="337">
        <f t="shared" si="314"/>
        <v>539.87300000000005</v>
      </c>
      <c r="S134" s="327">
        <f t="shared" si="314"/>
        <v>1950.567</v>
      </c>
      <c r="T134" s="335">
        <f t="shared" si="314"/>
        <v>490.22699999999998</v>
      </c>
      <c r="U134" s="336">
        <f t="shared" si="314"/>
        <v>521.95100000000002</v>
      </c>
      <c r="V134" s="336">
        <f t="shared" si="314"/>
        <v>518.83000000000004</v>
      </c>
      <c r="W134" s="337">
        <f t="shared" si="314"/>
        <v>548.51199999999994</v>
      </c>
      <c r="X134" s="327">
        <f t="shared" si="314"/>
        <v>2079.52</v>
      </c>
      <c r="Y134" s="335">
        <f t="shared" si="314"/>
        <v>519.75599999999997</v>
      </c>
      <c r="Z134" s="336">
        <f>Z20</f>
        <v>587.07000000000005</v>
      </c>
      <c r="AA134" s="336">
        <f>AA20</f>
        <v>569.82899999999995</v>
      </c>
      <c r="AB134" s="337">
        <f>AB20</f>
        <v>587.23899999999981</v>
      </c>
      <c r="AC134" s="327">
        <f>SUM(Y134:AB134)</f>
        <v>2263.8939999999998</v>
      </c>
      <c r="AD134" s="335">
        <f>AD20</f>
        <v>497.238</v>
      </c>
      <c r="AE134" s="336">
        <f>AE20</f>
        <v>556.42399999999998</v>
      </c>
      <c r="AF134" s="336">
        <f>AF20</f>
        <v>586.34100000000001</v>
      </c>
      <c r="AG134" s="337">
        <f>AG20</f>
        <v>636.25999999999976</v>
      </c>
      <c r="AH134" s="327">
        <f>SUM(AD134:AG134)</f>
        <v>2276.2629999999999</v>
      </c>
      <c r="AI134" s="335">
        <f>AI20</f>
        <v>555.42600000000004</v>
      </c>
      <c r="AJ134" s="336">
        <f>AJ20</f>
        <v>611.86500000000001</v>
      </c>
      <c r="AK134" s="336">
        <f>AK20</f>
        <v>633.048</v>
      </c>
      <c r="AL134" s="337">
        <f>AL20</f>
        <v>642.73599999999965</v>
      </c>
      <c r="AM134" s="327">
        <f>SUM(AI134:AL134)</f>
        <v>2443.0749999999998</v>
      </c>
      <c r="AN134" s="335">
        <f>AN20</f>
        <v>514.14800000000002</v>
      </c>
      <c r="AO134" s="336">
        <f>AO20</f>
        <v>581.95899999999995</v>
      </c>
      <c r="AP134" s="336">
        <f>AP20</f>
        <v>592.24</v>
      </c>
      <c r="AQ134" s="337">
        <f>AQ20</f>
        <v>671.46299999999997</v>
      </c>
      <c r="AR134" s="327">
        <f>SUM(AN134:AQ134)</f>
        <v>2359.81</v>
      </c>
      <c r="AS134" s="335">
        <f>AS20</f>
        <v>567.59</v>
      </c>
      <c r="AT134" s="336">
        <f>AT20</f>
        <v>609.28200000000004</v>
      </c>
      <c r="AU134" s="336">
        <f t="shared" ref="AU134" si="315">AU20</f>
        <v>598.85699999999997</v>
      </c>
      <c r="AV134" s="337">
        <f>AV20</f>
        <v>692.2679999999998</v>
      </c>
      <c r="AW134" s="327">
        <f>SUM(AS134:AV134)</f>
        <v>2467.9969999999998</v>
      </c>
      <c r="AX134" s="335">
        <f>AX135+AX136</f>
        <v>567.59</v>
      </c>
      <c r="AY134" s="336">
        <f>AY135+AY136</f>
        <v>609.28200000000004</v>
      </c>
      <c r="AZ134" s="336">
        <f>AZ135+AZ136</f>
        <v>598.85699999999997</v>
      </c>
      <c r="BA134" s="337">
        <f>BA135+BA136</f>
        <v>692.2679999999998</v>
      </c>
      <c r="BB134" s="327">
        <f>SUM(AX134:BA134)</f>
        <v>2467.9969999999998</v>
      </c>
      <c r="BC134" s="335">
        <f>BC135+BC136</f>
        <v>573.26589999999999</v>
      </c>
      <c r="BD134" s="336">
        <f>BD135+BD136</f>
        <v>615.37482</v>
      </c>
      <c r="BE134" s="336">
        <f>BE135+BE136</f>
        <v>604.84556999999995</v>
      </c>
      <c r="BF134" s="337">
        <f>BF135+BF136</f>
        <v>699.19067999999982</v>
      </c>
      <c r="BG134" s="327">
        <f>SUM(BC134:BF134)</f>
        <v>2492.6769699999995</v>
      </c>
      <c r="BH134" s="335">
        <f>BH135+BH136</f>
        <v>578.998559</v>
      </c>
      <c r="BI134" s="336">
        <f>BI135+BI136</f>
        <v>621.5285682</v>
      </c>
      <c r="BJ134" s="336">
        <f>BJ135+BJ136</f>
        <v>610.89402569999993</v>
      </c>
      <c r="BK134" s="337">
        <f>BK135+BK136</f>
        <v>706.18258679999985</v>
      </c>
      <c r="BL134" s="327">
        <f>SUM(BH134:BK134)</f>
        <v>2517.6037397</v>
      </c>
      <c r="BM134" s="335">
        <f>BM135+BM136</f>
        <v>584.78854459000001</v>
      </c>
      <c r="BN134" s="336">
        <f>BN135+BN136</f>
        <v>627.74385388200005</v>
      </c>
      <c r="BO134" s="336">
        <f>BO135+BO136</f>
        <v>617.0029659569999</v>
      </c>
      <c r="BP134" s="337">
        <f>BP135+BP136</f>
        <v>713.24441266799988</v>
      </c>
      <c r="BQ134" s="327">
        <f>SUM(BM134:BP134)</f>
        <v>2542.7797770969996</v>
      </c>
    </row>
    <row r="135" spans="1:69">
      <c r="A135" s="320"/>
      <c r="B135" s="320"/>
      <c r="C135" s="129" t="s">
        <v>674</v>
      </c>
      <c r="D135" s="320"/>
      <c r="E135" s="405">
        <v>0</v>
      </c>
      <c r="F135" s="406">
        <v>0</v>
      </c>
      <c r="G135" s="406">
        <v>0</v>
      </c>
      <c r="H135" s="251">
        <f>I135-SUM(E135:G135)</f>
        <v>0</v>
      </c>
      <c r="I135" s="348">
        <v>0</v>
      </c>
      <c r="J135" s="393">
        <v>0</v>
      </c>
      <c r="K135" s="190">
        <v>0</v>
      </c>
      <c r="L135" s="190">
        <v>0</v>
      </c>
      <c r="M135" s="251">
        <f>N135-SUM(J135:L135)</f>
        <v>0</v>
      </c>
      <c r="N135" s="348">
        <v>0</v>
      </c>
      <c r="O135" s="393">
        <v>0</v>
      </c>
      <c r="P135" s="190">
        <v>0</v>
      </c>
      <c r="Q135" s="190">
        <v>0</v>
      </c>
      <c r="R135" s="251">
        <f>S135-SUM(O135:Q135)</f>
        <v>0</v>
      </c>
      <c r="S135" s="348">
        <v>0</v>
      </c>
      <c r="T135" s="393">
        <v>6</v>
      </c>
      <c r="U135" s="190">
        <v>10</v>
      </c>
      <c r="V135" s="190">
        <v>11</v>
      </c>
      <c r="W135" s="193">
        <f>X135-SUM(T135:V135)</f>
        <v>10</v>
      </c>
      <c r="X135" s="348">
        <v>37</v>
      </c>
      <c r="Y135" s="393">
        <v>7</v>
      </c>
      <c r="Z135" s="190">
        <f>22+14</f>
        <v>36</v>
      </c>
      <c r="AA135" s="190">
        <v>8</v>
      </c>
      <c r="AB135" s="193">
        <f>AC135-SUM(Y135:AA135)</f>
        <v>57</v>
      </c>
      <c r="AC135" s="348">
        <f>36+72</f>
        <v>108</v>
      </c>
      <c r="AD135" s="393">
        <v>0</v>
      </c>
      <c r="AE135" s="190">
        <v>0</v>
      </c>
      <c r="AF135" s="190">
        <v>3</v>
      </c>
      <c r="AG135" s="334">
        <f>AH135-SUM(AD135:AF135)</f>
        <v>4</v>
      </c>
      <c r="AH135" s="348">
        <f>7</f>
        <v>7</v>
      </c>
      <c r="AI135" s="393">
        <v>0</v>
      </c>
      <c r="AJ135" s="190">
        <v>0</v>
      </c>
      <c r="AK135" s="190">
        <v>0</v>
      </c>
      <c r="AL135" s="334">
        <f>AM135-SUM(AI135:AK135)</f>
        <v>0</v>
      </c>
      <c r="AM135" s="348">
        <v>0</v>
      </c>
      <c r="AN135" s="393">
        <v>0</v>
      </c>
      <c r="AO135" s="190">
        <v>0</v>
      </c>
      <c r="AP135" s="190">
        <v>0</v>
      </c>
      <c r="AQ135" s="334">
        <f>AR135-SUM(AN135:AP135)</f>
        <v>0</v>
      </c>
      <c r="AR135" s="348">
        <v>0</v>
      </c>
      <c r="AS135" s="393">
        <v>0</v>
      </c>
      <c r="AT135" s="190">
        <v>0</v>
      </c>
      <c r="AU135" s="190">
        <v>0</v>
      </c>
      <c r="AV135" s="334">
        <f>AW135-SUM(AS135:AU135)</f>
        <v>0</v>
      </c>
      <c r="AW135" s="348">
        <v>0</v>
      </c>
      <c r="AX135" s="197">
        <v>0</v>
      </c>
      <c r="AY135" s="198">
        <v>0</v>
      </c>
      <c r="AZ135" s="198">
        <v>0</v>
      </c>
      <c r="BA135" s="193">
        <v>0</v>
      </c>
      <c r="BB135" s="107">
        <f>SUM(AX135:BA135)</f>
        <v>0</v>
      </c>
      <c r="BC135" s="197">
        <v>0</v>
      </c>
      <c r="BD135" s="198">
        <v>0</v>
      </c>
      <c r="BE135" s="198">
        <v>0</v>
      </c>
      <c r="BF135" s="193">
        <v>0</v>
      </c>
      <c r="BG135" s="107">
        <f>SUM(BC135:BF135)</f>
        <v>0</v>
      </c>
      <c r="BH135" s="197">
        <v>0</v>
      </c>
      <c r="BI135" s="198">
        <v>0</v>
      </c>
      <c r="BJ135" s="198">
        <v>0</v>
      </c>
      <c r="BK135" s="193">
        <v>0</v>
      </c>
      <c r="BL135" s="107">
        <f>SUM(BH135:BK135)</f>
        <v>0</v>
      </c>
      <c r="BM135" s="197">
        <v>0</v>
      </c>
      <c r="BN135" s="198">
        <v>0</v>
      </c>
      <c r="BO135" s="198">
        <v>0</v>
      </c>
      <c r="BP135" s="193">
        <v>0</v>
      </c>
      <c r="BQ135" s="107">
        <f>SUM(BM135:BP135)</f>
        <v>0</v>
      </c>
    </row>
    <row r="136" spans="1:69" s="103" customFormat="1">
      <c r="A136" s="331"/>
      <c r="B136" s="44"/>
      <c r="C136" s="1193" t="s">
        <v>675</v>
      </c>
      <c r="D136" s="44"/>
      <c r="E136" s="332">
        <f>E134-E135</f>
        <v>422.31599999999997</v>
      </c>
      <c r="F136" s="333">
        <f t="shared" ref="F136:N136" si="316">F134-F135</f>
        <v>483.33199999999999</v>
      </c>
      <c r="G136" s="333">
        <f t="shared" si="316"/>
        <v>457.19600000000003</v>
      </c>
      <c r="H136" s="334">
        <f t="shared" si="316"/>
        <v>473.66300000000001</v>
      </c>
      <c r="I136" s="331">
        <f t="shared" si="316"/>
        <v>1836.5070000000001</v>
      </c>
      <c r="J136" s="332">
        <f t="shared" si="316"/>
        <v>435.16800000000001</v>
      </c>
      <c r="K136" s="333">
        <f t="shared" si="316"/>
        <v>470.95699999999999</v>
      </c>
      <c r="L136" s="333">
        <f t="shared" si="316"/>
        <v>515.61300000000006</v>
      </c>
      <c r="M136" s="334">
        <f t="shared" si="316"/>
        <v>527.154</v>
      </c>
      <c r="N136" s="331">
        <f t="shared" si="316"/>
        <v>1948.8920000000001</v>
      </c>
      <c r="O136" s="332">
        <f t="shared" ref="O136:U136" si="317">O134-O135</f>
        <v>448.20100000000002</v>
      </c>
      <c r="P136" s="333">
        <f t="shared" si="317"/>
        <v>484.62700000000001</v>
      </c>
      <c r="Q136" s="333">
        <f t="shared" si="317"/>
        <v>477.86599999999999</v>
      </c>
      <c r="R136" s="334">
        <f t="shared" si="317"/>
        <v>539.87300000000005</v>
      </c>
      <c r="S136" s="331">
        <f t="shared" si="317"/>
        <v>1950.567</v>
      </c>
      <c r="T136" s="332">
        <f t="shared" si="317"/>
        <v>484.22699999999998</v>
      </c>
      <c r="U136" s="333">
        <f t="shared" si="317"/>
        <v>511.95100000000002</v>
      </c>
      <c r="V136" s="333">
        <f t="shared" ref="V136:AE136" si="318">V134-V135</f>
        <v>507.83000000000004</v>
      </c>
      <c r="W136" s="334">
        <f t="shared" si="318"/>
        <v>538.51199999999994</v>
      </c>
      <c r="X136" s="331">
        <f t="shared" si="318"/>
        <v>2042.52</v>
      </c>
      <c r="Y136" s="332">
        <f t="shared" si="318"/>
        <v>512.75599999999997</v>
      </c>
      <c r="Z136" s="333">
        <f t="shared" si="318"/>
        <v>551.07000000000005</v>
      </c>
      <c r="AA136" s="333">
        <f t="shared" si="318"/>
        <v>561.82899999999995</v>
      </c>
      <c r="AB136" s="334">
        <f t="shared" si="318"/>
        <v>530.23899999999981</v>
      </c>
      <c r="AC136" s="331">
        <f t="shared" si="318"/>
        <v>2155.8939999999998</v>
      </c>
      <c r="AD136" s="332">
        <f t="shared" si="318"/>
        <v>497.238</v>
      </c>
      <c r="AE136" s="333">
        <f t="shared" si="318"/>
        <v>556.42399999999998</v>
      </c>
      <c r="AF136" s="333">
        <f t="shared" ref="AF136:AJ136" si="319">AF134-AF135</f>
        <v>583.34100000000001</v>
      </c>
      <c r="AG136" s="334">
        <f t="shared" si="319"/>
        <v>632.25999999999976</v>
      </c>
      <c r="AH136" s="331">
        <f t="shared" si="319"/>
        <v>2269.2629999999999</v>
      </c>
      <c r="AI136" s="332">
        <f t="shared" si="319"/>
        <v>555.42600000000004</v>
      </c>
      <c r="AJ136" s="333">
        <f t="shared" si="319"/>
        <v>611.86500000000001</v>
      </c>
      <c r="AK136" s="333">
        <f t="shared" ref="AK136:AO136" si="320">AK134-AK135</f>
        <v>633.048</v>
      </c>
      <c r="AL136" s="334">
        <f t="shared" si="320"/>
        <v>642.73599999999965</v>
      </c>
      <c r="AM136" s="331">
        <f t="shared" si="320"/>
        <v>2443.0749999999998</v>
      </c>
      <c r="AN136" s="332">
        <f t="shared" si="320"/>
        <v>514.14800000000002</v>
      </c>
      <c r="AO136" s="333">
        <f t="shared" si="320"/>
        <v>581.95899999999995</v>
      </c>
      <c r="AP136" s="333">
        <f t="shared" ref="AP136:AT136" si="321">AP134-AP135</f>
        <v>592.24</v>
      </c>
      <c r="AQ136" s="334">
        <f t="shared" si="321"/>
        <v>671.46299999999997</v>
      </c>
      <c r="AR136" s="331">
        <f t="shared" si="321"/>
        <v>2359.81</v>
      </c>
      <c r="AS136" s="332">
        <f t="shared" si="321"/>
        <v>567.59</v>
      </c>
      <c r="AT136" s="333">
        <f t="shared" si="321"/>
        <v>609.28200000000004</v>
      </c>
      <c r="AU136" s="333">
        <f t="shared" ref="AU136:AW136" si="322">AU134-AU135</f>
        <v>598.85699999999997</v>
      </c>
      <c r="AV136" s="334">
        <f t="shared" si="322"/>
        <v>692.2679999999998</v>
      </c>
      <c r="AW136" s="331">
        <f t="shared" si="322"/>
        <v>2467.9969999999998</v>
      </c>
      <c r="AX136" s="332">
        <f>AS136*(1+AX137)</f>
        <v>567.59</v>
      </c>
      <c r="AY136" s="333">
        <f>AT136*(1+AY137)</f>
        <v>609.28200000000004</v>
      </c>
      <c r="AZ136" s="333">
        <f>AU136*(1+AZ137)</f>
        <v>598.85699999999997</v>
      </c>
      <c r="BA136" s="334">
        <f>AV136*(1+BA137)</f>
        <v>692.2679999999998</v>
      </c>
      <c r="BB136" s="331">
        <f>SUM(AX136:BA136)</f>
        <v>2467.9969999999998</v>
      </c>
      <c r="BC136" s="332">
        <f>AX136*(1+BC137)</f>
        <v>573.26589999999999</v>
      </c>
      <c r="BD136" s="333">
        <f>AY136*(1+BD137)</f>
        <v>615.37482</v>
      </c>
      <c r="BE136" s="333">
        <f>AZ136*(1+BE137)</f>
        <v>604.84556999999995</v>
      </c>
      <c r="BF136" s="334">
        <f>BA136*(1+BF137)</f>
        <v>699.19067999999982</v>
      </c>
      <c r="BG136" s="331">
        <f>SUM(BC136:BF136)</f>
        <v>2492.6769699999995</v>
      </c>
      <c r="BH136" s="332">
        <f>BC136*(1+BH137)</f>
        <v>578.998559</v>
      </c>
      <c r="BI136" s="333">
        <f>BD136*(1+BI137)</f>
        <v>621.5285682</v>
      </c>
      <c r="BJ136" s="333">
        <f>BE136*(1+BJ137)</f>
        <v>610.89402569999993</v>
      </c>
      <c r="BK136" s="334">
        <f>BF136*(1+BK137)</f>
        <v>706.18258679999985</v>
      </c>
      <c r="BL136" s="331">
        <f>SUM(BH136:BK136)</f>
        <v>2517.6037397</v>
      </c>
      <c r="BM136" s="332">
        <f>BH136*(1+BM137)</f>
        <v>584.78854459000001</v>
      </c>
      <c r="BN136" s="333">
        <f>BI136*(1+BN137)</f>
        <v>627.74385388200005</v>
      </c>
      <c r="BO136" s="333">
        <f>BJ136*(1+BO137)</f>
        <v>617.0029659569999</v>
      </c>
      <c r="BP136" s="334">
        <f>BK136*(1+BP137)</f>
        <v>713.24441266799988</v>
      </c>
      <c r="BQ136" s="331">
        <f>SUM(BM136:BP136)</f>
        <v>2542.7797770969996</v>
      </c>
    </row>
    <row r="137" spans="1:69">
      <c r="A137" s="370"/>
      <c r="B137" s="370"/>
      <c r="C137" s="1194" t="s">
        <v>676</v>
      </c>
      <c r="D137" s="370"/>
      <c r="E137" s="373"/>
      <c r="F137" s="371"/>
      <c r="G137" s="371"/>
      <c r="H137" s="372"/>
      <c r="I137" s="370"/>
      <c r="J137" s="373">
        <f t="shared" ref="J137:AA137" si="323">J136/E136-1</f>
        <v>3.0432188219248202E-2</v>
      </c>
      <c r="K137" s="371">
        <f t="shared" si="323"/>
        <v>-2.5603518906259004E-2</v>
      </c>
      <c r="L137" s="371">
        <f t="shared" si="323"/>
        <v>0.12777233396617649</v>
      </c>
      <c r="M137" s="372">
        <f t="shared" si="323"/>
        <v>0.11293050122133241</v>
      </c>
      <c r="N137" s="370">
        <f t="shared" si="323"/>
        <v>6.1194975025959497E-2</v>
      </c>
      <c r="O137" s="373">
        <f t="shared" si="323"/>
        <v>2.9949352893595238E-2</v>
      </c>
      <c r="P137" s="371">
        <f t="shared" si="323"/>
        <v>2.9026004497225921E-2</v>
      </c>
      <c r="Q137" s="371">
        <f t="shared" si="323"/>
        <v>-7.3208006780279167E-2</v>
      </c>
      <c r="R137" s="372">
        <f t="shared" si="323"/>
        <v>2.4127674265964183E-2</v>
      </c>
      <c r="S137" s="370">
        <f t="shared" si="323"/>
        <v>8.5946271009373909E-4</v>
      </c>
      <c r="T137" s="373">
        <f t="shared" si="323"/>
        <v>8.0379115620000663E-2</v>
      </c>
      <c r="U137" s="371">
        <f t="shared" si="323"/>
        <v>5.6381505776607499E-2</v>
      </c>
      <c r="V137" s="371">
        <f t="shared" si="323"/>
        <v>6.2703770513072854E-2</v>
      </c>
      <c r="W137" s="372">
        <f t="shared" si="323"/>
        <v>-2.5209632635825319E-3</v>
      </c>
      <c r="X137" s="370">
        <f t="shared" si="323"/>
        <v>4.7141677266148818E-2</v>
      </c>
      <c r="Y137" s="373">
        <f t="shared" si="323"/>
        <v>5.8916582511921112E-2</v>
      </c>
      <c r="Z137" s="371">
        <f t="shared" si="323"/>
        <v>7.6411609704835071E-2</v>
      </c>
      <c r="AA137" s="371">
        <f t="shared" si="323"/>
        <v>0.10633282791485321</v>
      </c>
      <c r="AB137" s="372">
        <f>AB136/W136-1</f>
        <v>-1.5362703152390522E-2</v>
      </c>
      <c r="AC137" s="370">
        <f>AC136/X136-1</f>
        <v>5.5506922820829141E-2</v>
      </c>
      <c r="AD137" s="373">
        <f>AD136/Y136-1</f>
        <v>-3.0263907199525653E-2</v>
      </c>
      <c r="AE137" s="371">
        <f>AE136/Z136-1</f>
        <v>9.7156441105483715E-3</v>
      </c>
      <c r="AF137" s="371">
        <f t="shared" ref="AF137" si="324">AF136/AA136-1</f>
        <v>3.8289230353007797E-2</v>
      </c>
      <c r="AG137" s="372">
        <f t="shared" ref="AG137:AP137" si="325">AG136/AB136-1</f>
        <v>0.19240568875544795</v>
      </c>
      <c r="AH137" s="370">
        <f t="shared" si="325"/>
        <v>5.2585609496570873E-2</v>
      </c>
      <c r="AI137" s="373">
        <f t="shared" si="325"/>
        <v>0.11702243191389239</v>
      </c>
      <c r="AJ137" s="371">
        <f t="shared" si="325"/>
        <v>9.9638045806794917E-2</v>
      </c>
      <c r="AK137" s="371">
        <f t="shared" si="325"/>
        <v>8.521088008557598E-2</v>
      </c>
      <c r="AL137" s="372">
        <f t="shared" si="325"/>
        <v>1.6569132951633536E-2</v>
      </c>
      <c r="AM137" s="370">
        <f t="shared" si="325"/>
        <v>7.6594030749190356E-2</v>
      </c>
      <c r="AN137" s="373">
        <f t="shared" si="325"/>
        <v>-7.4317730894844725E-2</v>
      </c>
      <c r="AO137" s="371">
        <f t="shared" si="325"/>
        <v>-4.8876794717789163E-2</v>
      </c>
      <c r="AP137" s="371">
        <f t="shared" si="325"/>
        <v>-6.4462726365141387E-2</v>
      </c>
      <c r="AQ137" s="372">
        <f t="shared" ref="AQ137" si="326">AQ136/AL136-1</f>
        <v>4.4694866943815637E-2</v>
      </c>
      <c r="AR137" s="370">
        <f t="shared" ref="AR137:AT137" si="327">AR136/AM136-1</f>
        <v>-3.4082048238388007E-2</v>
      </c>
      <c r="AS137" s="373">
        <f t="shared" si="327"/>
        <v>0.10394283358099221</v>
      </c>
      <c r="AT137" s="371">
        <f t="shared" si="327"/>
        <v>4.6950042872436093E-2</v>
      </c>
      <c r="AU137" s="371">
        <f t="shared" ref="AU137" si="328">AU136/AP136-1</f>
        <v>1.1172835337025511E-2</v>
      </c>
      <c r="AV137" s="372">
        <f t="shared" ref="AV137" si="329">AV136/AQ136-1</f>
        <v>3.0984581428909364E-2</v>
      </c>
      <c r="AW137" s="370">
        <f t="shared" ref="AW137" si="330">AW136/AR136-1</f>
        <v>4.5845640115093955E-2</v>
      </c>
      <c r="AX137" s="373">
        <f t="shared" ref="AX137:BL137" si="331">AX78</f>
        <v>0</v>
      </c>
      <c r="AY137" s="371">
        <f t="shared" si="331"/>
        <v>0</v>
      </c>
      <c r="AZ137" s="371">
        <f t="shared" si="331"/>
        <v>0</v>
      </c>
      <c r="BA137" s="372">
        <f t="shared" si="331"/>
        <v>0</v>
      </c>
      <c r="BB137" s="370">
        <f t="shared" si="331"/>
        <v>0</v>
      </c>
      <c r="BC137" s="373">
        <f t="shared" si="331"/>
        <v>0.01</v>
      </c>
      <c r="BD137" s="371">
        <f t="shared" si="331"/>
        <v>0.01</v>
      </c>
      <c r="BE137" s="371">
        <f t="shared" si="331"/>
        <v>0.01</v>
      </c>
      <c r="BF137" s="372">
        <f t="shared" si="331"/>
        <v>0.01</v>
      </c>
      <c r="BG137" s="370">
        <f t="shared" si="331"/>
        <v>0.01</v>
      </c>
      <c r="BH137" s="373">
        <f t="shared" si="331"/>
        <v>0.01</v>
      </c>
      <c r="BI137" s="371">
        <f t="shared" si="331"/>
        <v>0.01</v>
      </c>
      <c r="BJ137" s="371">
        <f t="shared" si="331"/>
        <v>0.01</v>
      </c>
      <c r="BK137" s="372">
        <f t="shared" si="331"/>
        <v>0.01</v>
      </c>
      <c r="BL137" s="370">
        <f t="shared" si="331"/>
        <v>0.01</v>
      </c>
      <c r="BM137" s="373">
        <f t="shared" ref="BM137:BQ137" si="332">BM78</f>
        <v>0.01</v>
      </c>
      <c r="BN137" s="371">
        <f t="shared" si="332"/>
        <v>0.01</v>
      </c>
      <c r="BO137" s="371">
        <f t="shared" si="332"/>
        <v>0.01</v>
      </c>
      <c r="BP137" s="372">
        <f t="shared" si="332"/>
        <v>0.01</v>
      </c>
      <c r="BQ137" s="370">
        <f t="shared" si="332"/>
        <v>0.01</v>
      </c>
    </row>
    <row r="138" spans="1:69">
      <c r="A138" s="320"/>
      <c r="B138" s="420"/>
      <c r="C138" s="1193"/>
      <c r="D138" s="420"/>
      <c r="E138" s="324"/>
      <c r="F138" s="325"/>
      <c r="G138" s="325"/>
      <c r="H138" s="326"/>
      <c r="I138" s="320"/>
      <c r="J138" s="324"/>
      <c r="K138" s="325"/>
      <c r="L138" s="325"/>
      <c r="M138" s="326"/>
      <c r="N138" s="320"/>
      <c r="O138" s="324"/>
      <c r="P138" s="325"/>
      <c r="Q138" s="325"/>
      <c r="R138" s="326"/>
      <c r="S138" s="320"/>
      <c r="T138" s="324"/>
      <c r="U138" s="325"/>
      <c r="V138" s="325"/>
      <c r="W138" s="326"/>
      <c r="X138" s="320"/>
      <c r="Y138" s="324"/>
      <c r="Z138" s="325"/>
      <c r="AA138" s="325"/>
      <c r="AB138" s="326"/>
      <c r="AC138" s="320"/>
      <c r="AD138" s="324"/>
      <c r="AE138" s="325"/>
      <c r="AF138" s="325"/>
      <c r="AG138" s="326"/>
      <c r="AH138" s="320"/>
      <c r="AI138" s="324"/>
      <c r="AJ138" s="325"/>
      <c r="AK138" s="325"/>
      <c r="AL138" s="326"/>
      <c r="AM138" s="320"/>
      <c r="AN138" s="324"/>
      <c r="AO138" s="325"/>
      <c r="AP138" s="325"/>
      <c r="AQ138" s="326"/>
      <c r="AR138" s="320"/>
      <c r="AS138" s="324"/>
      <c r="AT138" s="325"/>
      <c r="AU138" s="325"/>
      <c r="AV138" s="326"/>
      <c r="AW138" s="320"/>
      <c r="AX138" s="324"/>
      <c r="AY138" s="325"/>
      <c r="AZ138" s="325"/>
      <c r="BA138" s="326"/>
      <c r="BB138" s="320"/>
      <c r="BC138" s="324"/>
      <c r="BD138" s="325"/>
      <c r="BE138" s="325"/>
      <c r="BF138" s="326"/>
      <c r="BG138" s="320"/>
      <c r="BH138" s="324"/>
      <c r="BI138" s="325"/>
      <c r="BJ138" s="325"/>
      <c r="BK138" s="326"/>
      <c r="BL138" s="320"/>
      <c r="BM138" s="324"/>
      <c r="BN138" s="325"/>
      <c r="BO138" s="325"/>
      <c r="BP138" s="326"/>
      <c r="BQ138" s="320"/>
    </row>
    <row r="139" spans="1:69">
      <c r="A139" s="327"/>
      <c r="B139" s="110"/>
      <c r="C139" s="1128" t="s">
        <v>170</v>
      </c>
      <c r="D139" s="110"/>
      <c r="E139" s="335">
        <f>E21</f>
        <v>25.036999999999999</v>
      </c>
      <c r="F139" s="336">
        <f t="shared" ref="F139:X139" si="333">F21</f>
        <v>24.536999999999999</v>
      </c>
      <c r="G139" s="336">
        <f t="shared" si="333"/>
        <v>24.837</v>
      </c>
      <c r="H139" s="337">
        <f t="shared" si="333"/>
        <v>25.272000000000006</v>
      </c>
      <c r="I139" s="327">
        <f t="shared" si="333"/>
        <v>99.683000000000007</v>
      </c>
      <c r="J139" s="335">
        <f t="shared" si="333"/>
        <v>25.42</v>
      </c>
      <c r="K139" s="336">
        <f t="shared" si="333"/>
        <v>25.844999999999999</v>
      </c>
      <c r="L139" s="336">
        <f t="shared" si="333"/>
        <v>26.277000000000001</v>
      </c>
      <c r="M139" s="337">
        <f t="shared" si="333"/>
        <v>26.715999999999994</v>
      </c>
      <c r="N139" s="327">
        <f t="shared" si="333"/>
        <v>104.258</v>
      </c>
      <c r="O139" s="335">
        <f t="shared" si="333"/>
        <v>27.161999999999999</v>
      </c>
      <c r="P139" s="336">
        <f t="shared" si="333"/>
        <v>26.879000000000001</v>
      </c>
      <c r="Q139" s="336">
        <f t="shared" si="333"/>
        <v>27.327000000000002</v>
      </c>
      <c r="R139" s="337">
        <f t="shared" si="333"/>
        <v>27.77600000000001</v>
      </c>
      <c r="S139" s="327">
        <f t="shared" si="333"/>
        <v>109.14400000000001</v>
      </c>
      <c r="T139" s="335">
        <f t="shared" si="333"/>
        <v>28.231000000000002</v>
      </c>
      <c r="U139" s="336">
        <f t="shared" si="333"/>
        <v>28.687999999999999</v>
      </c>
      <c r="V139" s="336">
        <f t="shared" si="333"/>
        <v>27.657</v>
      </c>
      <c r="W139" s="337">
        <f t="shared" si="333"/>
        <v>28.088000000000008</v>
      </c>
      <c r="X139" s="327">
        <f t="shared" si="333"/>
        <v>112.664</v>
      </c>
      <c r="Y139" s="335">
        <f t="shared" ref="Y139:AD139" si="334">Y21</f>
        <v>28.527000000000001</v>
      </c>
      <c r="Z139" s="336">
        <f t="shared" si="334"/>
        <v>28.972999999999999</v>
      </c>
      <c r="AA139" s="336">
        <f t="shared" si="334"/>
        <v>29.425999999999998</v>
      </c>
      <c r="AB139" s="337">
        <f t="shared" si="334"/>
        <v>29.885999999999996</v>
      </c>
      <c r="AC139" s="327">
        <f t="shared" si="334"/>
        <v>116.812</v>
      </c>
      <c r="AD139" s="335">
        <f t="shared" si="334"/>
        <v>31.742999999999999</v>
      </c>
      <c r="AE139" s="336">
        <f>AE21</f>
        <v>32.600999999999999</v>
      </c>
      <c r="AF139" s="336">
        <f t="shared" ref="AF139:AI139" si="335">AF21</f>
        <v>33.130000000000003</v>
      </c>
      <c r="AG139" s="337">
        <f t="shared" si="335"/>
        <v>33.636000000000024</v>
      </c>
      <c r="AH139" s="327">
        <f t="shared" si="335"/>
        <v>131.11000000000001</v>
      </c>
      <c r="AI139" s="335">
        <f t="shared" si="335"/>
        <v>34.860999999999997</v>
      </c>
      <c r="AJ139" s="336">
        <f>AJ21</f>
        <v>35.386000000000003</v>
      </c>
      <c r="AK139" s="336">
        <f>AK21</f>
        <v>35.978000000000002</v>
      </c>
      <c r="AL139" s="337">
        <f t="shared" ref="AL139:AN139" si="336">AL21</f>
        <v>36.519000000000005</v>
      </c>
      <c r="AM139" s="327">
        <f t="shared" si="336"/>
        <v>142.744</v>
      </c>
      <c r="AN139" s="335">
        <f t="shared" si="336"/>
        <v>37.243000000000002</v>
      </c>
      <c r="AO139" s="336">
        <f>AO21</f>
        <v>37.802</v>
      </c>
      <c r="AP139" s="336">
        <f>AP21</f>
        <v>38.369999999999997</v>
      </c>
      <c r="AQ139" s="337">
        <f t="shared" ref="AQ139:AS139" si="337">AQ21</f>
        <v>38.94</v>
      </c>
      <c r="AR139" s="327">
        <f t="shared" si="337"/>
        <v>152.35499999999999</v>
      </c>
      <c r="AS139" s="335">
        <f t="shared" si="337"/>
        <v>39.51</v>
      </c>
      <c r="AT139" s="336">
        <f>AT21</f>
        <v>40.104999999999997</v>
      </c>
      <c r="AU139" s="336">
        <f t="shared" ref="AU139:AW139" si="338">AU21</f>
        <v>35.322000000000003</v>
      </c>
      <c r="AV139" s="337">
        <f t="shared" si="338"/>
        <v>35.790000000000006</v>
      </c>
      <c r="AW139" s="327">
        <f t="shared" si="338"/>
        <v>150.727</v>
      </c>
      <c r="AX139" s="335">
        <f>AX140+AX141</f>
        <v>39.905099999999997</v>
      </c>
      <c r="AY139" s="336">
        <f>AY140+AY141</f>
        <v>40.506049999999995</v>
      </c>
      <c r="AZ139" s="336">
        <f>AZ140+AZ141</f>
        <v>35.675220000000003</v>
      </c>
      <c r="BA139" s="337">
        <f>BA140+BA141</f>
        <v>36.147900000000007</v>
      </c>
      <c r="BB139" s="327">
        <f>SUM(AX139:BA139)</f>
        <v>152.23426999999998</v>
      </c>
      <c r="BC139" s="335">
        <f>BC140+BC141</f>
        <v>40.304150999999997</v>
      </c>
      <c r="BD139" s="336">
        <f>BD140+BD141</f>
        <v>40.911110499999992</v>
      </c>
      <c r="BE139" s="336">
        <f>BE140+BE141</f>
        <v>36.031972200000006</v>
      </c>
      <c r="BF139" s="337">
        <f>BF140+BF141</f>
        <v>36.50937900000001</v>
      </c>
      <c r="BG139" s="327">
        <f>SUM(BC139:BF139)</f>
        <v>153.75661270000001</v>
      </c>
      <c r="BH139" s="335">
        <f>BH140+BH141</f>
        <v>40.707192509999999</v>
      </c>
      <c r="BI139" s="336">
        <f>BI140+BI141</f>
        <v>41.320221604999993</v>
      </c>
      <c r="BJ139" s="336">
        <f>BJ140+BJ141</f>
        <v>36.392291922000005</v>
      </c>
      <c r="BK139" s="337">
        <f>BK140+BK141</f>
        <v>36.874472790000013</v>
      </c>
      <c r="BL139" s="327">
        <f>SUM(BH139:BK139)</f>
        <v>155.294178827</v>
      </c>
      <c r="BM139" s="335">
        <f>BM140+BM141</f>
        <v>41.114264435099997</v>
      </c>
      <c r="BN139" s="336">
        <f>BN140+BN141</f>
        <v>41.733423821049996</v>
      </c>
      <c r="BO139" s="336">
        <f>BO140+BO141</f>
        <v>36.756214841220007</v>
      </c>
      <c r="BP139" s="337">
        <f>BP140+BP141</f>
        <v>37.243217517900014</v>
      </c>
      <c r="BQ139" s="327">
        <f>SUM(BM139:BP139)</f>
        <v>156.84712061527</v>
      </c>
    </row>
    <row r="140" spans="1:69">
      <c r="A140" s="320"/>
      <c r="B140" s="320"/>
      <c r="C140" s="129" t="s">
        <v>674</v>
      </c>
      <c r="D140" s="320"/>
      <c r="E140" s="405">
        <v>0</v>
      </c>
      <c r="F140" s="406">
        <v>0</v>
      </c>
      <c r="G140" s="406">
        <v>0</v>
      </c>
      <c r="H140" s="251">
        <f>I140-SUM(E140:G140)</f>
        <v>0</v>
      </c>
      <c r="I140" s="348">
        <v>0</v>
      </c>
      <c r="J140" s="393">
        <v>0</v>
      </c>
      <c r="K140" s="190">
        <v>0</v>
      </c>
      <c r="L140" s="190">
        <v>0</v>
      </c>
      <c r="M140" s="251">
        <f>N140-SUM(J140:L140)</f>
        <v>0</v>
      </c>
      <c r="N140" s="348">
        <v>0</v>
      </c>
      <c r="O140" s="393">
        <v>0</v>
      </c>
      <c r="P140" s="190">
        <v>0</v>
      </c>
      <c r="Q140" s="190">
        <v>0</v>
      </c>
      <c r="R140" s="251">
        <f>S140-SUM(O140:Q140)</f>
        <v>0</v>
      </c>
      <c r="S140" s="348">
        <v>0</v>
      </c>
      <c r="T140" s="393">
        <v>0</v>
      </c>
      <c r="U140" s="190">
        <v>0</v>
      </c>
      <c r="V140" s="190">
        <v>0</v>
      </c>
      <c r="W140" s="251">
        <f>X140-SUM(T140:V140)</f>
        <v>0</v>
      </c>
      <c r="X140" s="348">
        <v>0</v>
      </c>
      <c r="Y140" s="393">
        <v>0</v>
      </c>
      <c r="Z140" s="190">
        <v>0</v>
      </c>
      <c r="AA140" s="190">
        <v>0</v>
      </c>
      <c r="AB140" s="251">
        <f>AC140-SUM(Y140:AA140)</f>
        <v>0</v>
      </c>
      <c r="AC140" s="348">
        <v>0</v>
      </c>
      <c r="AD140" s="393">
        <v>0</v>
      </c>
      <c r="AE140" s="190">
        <v>0</v>
      </c>
      <c r="AF140" s="190">
        <v>0</v>
      </c>
      <c r="AG140" s="251">
        <f>AH140-SUM(AD140:AF140)</f>
        <v>0</v>
      </c>
      <c r="AH140" s="348">
        <v>0</v>
      </c>
      <c r="AI140" s="393">
        <v>0</v>
      </c>
      <c r="AJ140" s="190">
        <v>0</v>
      </c>
      <c r="AK140" s="190">
        <v>0</v>
      </c>
      <c r="AL140" s="251">
        <f>AM140-SUM(AI140:AK140)</f>
        <v>0</v>
      </c>
      <c r="AM140" s="348">
        <v>0</v>
      </c>
      <c r="AN140" s="393">
        <v>0</v>
      </c>
      <c r="AO140" s="190">
        <v>0</v>
      </c>
      <c r="AP140" s="190">
        <v>0</v>
      </c>
      <c r="AQ140" s="251">
        <f>AR140-SUM(AN140:AP140)</f>
        <v>0</v>
      </c>
      <c r="AR140" s="348">
        <v>0</v>
      </c>
      <c r="AS140" s="393">
        <v>0</v>
      </c>
      <c r="AT140" s="190">
        <v>0</v>
      </c>
      <c r="AU140" s="190">
        <v>0</v>
      </c>
      <c r="AV140" s="251">
        <f>AW140-SUM(AS140:AU140)</f>
        <v>0</v>
      </c>
      <c r="AW140" s="348">
        <v>0</v>
      </c>
      <c r="AX140" s="197">
        <v>0</v>
      </c>
      <c r="AY140" s="198">
        <v>0</v>
      </c>
      <c r="AZ140" s="198">
        <v>0</v>
      </c>
      <c r="BA140" s="193">
        <v>0</v>
      </c>
      <c r="BB140" s="107">
        <f>SUM(AX140:BA140)</f>
        <v>0</v>
      </c>
      <c r="BC140" s="197">
        <v>0</v>
      </c>
      <c r="BD140" s="198">
        <v>0</v>
      </c>
      <c r="BE140" s="198">
        <v>0</v>
      </c>
      <c r="BF140" s="193">
        <v>0</v>
      </c>
      <c r="BG140" s="107">
        <f>SUM(BC140:BF140)</f>
        <v>0</v>
      </c>
      <c r="BH140" s="197">
        <v>0</v>
      </c>
      <c r="BI140" s="198">
        <v>0</v>
      </c>
      <c r="BJ140" s="198">
        <v>0</v>
      </c>
      <c r="BK140" s="193">
        <v>0</v>
      </c>
      <c r="BL140" s="107">
        <f>SUM(BH140:BK140)</f>
        <v>0</v>
      </c>
      <c r="BM140" s="197">
        <v>0</v>
      </c>
      <c r="BN140" s="198">
        <v>0</v>
      </c>
      <c r="BO140" s="198">
        <v>0</v>
      </c>
      <c r="BP140" s="193">
        <v>0</v>
      </c>
      <c r="BQ140" s="107">
        <f>SUM(BM140:BP140)</f>
        <v>0</v>
      </c>
    </row>
    <row r="141" spans="1:69" s="103" customFormat="1">
      <c r="A141" s="331"/>
      <c r="B141" s="44"/>
      <c r="C141" s="1127" t="s">
        <v>172</v>
      </c>
      <c r="D141" s="44"/>
      <c r="E141" s="332">
        <f t="shared" ref="E141:AA141" si="339">E139-E140</f>
        <v>25.036999999999999</v>
      </c>
      <c r="F141" s="333">
        <f t="shared" si="339"/>
        <v>24.536999999999999</v>
      </c>
      <c r="G141" s="333">
        <f t="shared" si="339"/>
        <v>24.837</v>
      </c>
      <c r="H141" s="334">
        <f t="shared" si="339"/>
        <v>25.272000000000006</v>
      </c>
      <c r="I141" s="331">
        <f t="shared" si="339"/>
        <v>99.683000000000007</v>
      </c>
      <c r="J141" s="332">
        <f t="shared" si="339"/>
        <v>25.42</v>
      </c>
      <c r="K141" s="333">
        <f t="shared" si="339"/>
        <v>25.844999999999999</v>
      </c>
      <c r="L141" s="333">
        <f t="shared" si="339"/>
        <v>26.277000000000001</v>
      </c>
      <c r="M141" s="334">
        <f t="shared" si="339"/>
        <v>26.715999999999994</v>
      </c>
      <c r="N141" s="331">
        <f t="shared" si="339"/>
        <v>104.258</v>
      </c>
      <c r="O141" s="332">
        <f t="shared" si="339"/>
        <v>27.161999999999999</v>
      </c>
      <c r="P141" s="333">
        <f t="shared" si="339"/>
        <v>26.879000000000001</v>
      </c>
      <c r="Q141" s="333">
        <f t="shared" si="339"/>
        <v>27.327000000000002</v>
      </c>
      <c r="R141" s="334">
        <f t="shared" si="339"/>
        <v>27.77600000000001</v>
      </c>
      <c r="S141" s="331">
        <f t="shared" si="339"/>
        <v>109.14400000000001</v>
      </c>
      <c r="T141" s="332">
        <f t="shared" si="339"/>
        <v>28.231000000000002</v>
      </c>
      <c r="U141" s="333">
        <f t="shared" si="339"/>
        <v>28.687999999999999</v>
      </c>
      <c r="V141" s="333">
        <f t="shared" si="339"/>
        <v>27.657</v>
      </c>
      <c r="W141" s="334">
        <f t="shared" si="339"/>
        <v>28.088000000000008</v>
      </c>
      <c r="X141" s="331">
        <f t="shared" si="339"/>
        <v>112.664</v>
      </c>
      <c r="Y141" s="332">
        <f t="shared" si="339"/>
        <v>28.527000000000001</v>
      </c>
      <c r="Z141" s="333">
        <f t="shared" si="339"/>
        <v>28.972999999999999</v>
      </c>
      <c r="AA141" s="333">
        <f t="shared" si="339"/>
        <v>29.425999999999998</v>
      </c>
      <c r="AB141" s="334">
        <f>AB139-AB140</f>
        <v>29.885999999999996</v>
      </c>
      <c r="AC141" s="331">
        <f>AC139-AC140</f>
        <v>116.812</v>
      </c>
      <c r="AD141" s="332">
        <f>AD139-AD140</f>
        <v>31.742999999999999</v>
      </c>
      <c r="AE141" s="333">
        <f>AE139-AE140</f>
        <v>32.600999999999999</v>
      </c>
      <c r="AF141" s="333">
        <f t="shared" ref="AF141" si="340">AF139-AF140</f>
        <v>33.130000000000003</v>
      </c>
      <c r="AG141" s="334">
        <f t="shared" ref="AG141:AM141" si="341">AG139-AG140</f>
        <v>33.636000000000024</v>
      </c>
      <c r="AH141" s="331">
        <f t="shared" si="341"/>
        <v>131.11000000000001</v>
      </c>
      <c r="AI141" s="332">
        <f t="shared" si="341"/>
        <v>34.860999999999997</v>
      </c>
      <c r="AJ141" s="333">
        <f t="shared" si="341"/>
        <v>35.386000000000003</v>
      </c>
      <c r="AK141" s="333">
        <f t="shared" si="341"/>
        <v>35.978000000000002</v>
      </c>
      <c r="AL141" s="334">
        <f t="shared" si="341"/>
        <v>36.519000000000005</v>
      </c>
      <c r="AM141" s="331">
        <f t="shared" si="341"/>
        <v>142.744</v>
      </c>
      <c r="AN141" s="332">
        <f t="shared" ref="AN141:AR141" si="342">AN139-AN140</f>
        <v>37.243000000000002</v>
      </c>
      <c r="AO141" s="333">
        <f t="shared" si="342"/>
        <v>37.802</v>
      </c>
      <c r="AP141" s="333">
        <f t="shared" si="342"/>
        <v>38.369999999999997</v>
      </c>
      <c r="AQ141" s="334">
        <f t="shared" si="342"/>
        <v>38.94</v>
      </c>
      <c r="AR141" s="331">
        <f t="shared" si="342"/>
        <v>152.35499999999999</v>
      </c>
      <c r="AS141" s="332">
        <f t="shared" ref="AS141:AT141" si="343">AS139-AS140</f>
        <v>39.51</v>
      </c>
      <c r="AT141" s="333">
        <f t="shared" si="343"/>
        <v>40.104999999999997</v>
      </c>
      <c r="AU141" s="333">
        <f t="shared" ref="AU141:AW141" si="344">AU139-AU140</f>
        <v>35.322000000000003</v>
      </c>
      <c r="AV141" s="334">
        <f t="shared" si="344"/>
        <v>35.790000000000006</v>
      </c>
      <c r="AW141" s="331">
        <f t="shared" si="344"/>
        <v>150.727</v>
      </c>
      <c r="AX141" s="332">
        <f>AS141*(1+AX142)</f>
        <v>39.905099999999997</v>
      </c>
      <c r="AY141" s="333">
        <f>AT141*(1+AY142)</f>
        <v>40.506049999999995</v>
      </c>
      <c r="AZ141" s="333">
        <f>AU141*(1+AZ142)</f>
        <v>35.675220000000003</v>
      </c>
      <c r="BA141" s="334">
        <f>AV141*(1+BA142)</f>
        <v>36.147900000000007</v>
      </c>
      <c r="BB141" s="331">
        <f>SUM(AX141:BA141)</f>
        <v>152.23426999999998</v>
      </c>
      <c r="BC141" s="332">
        <f>AX141*(1+BC142)</f>
        <v>40.304150999999997</v>
      </c>
      <c r="BD141" s="333">
        <f>AY141*(1+BD142)</f>
        <v>40.911110499999992</v>
      </c>
      <c r="BE141" s="333">
        <f>AZ141*(1+BE142)</f>
        <v>36.031972200000006</v>
      </c>
      <c r="BF141" s="334">
        <f>BA141*(1+BF142)</f>
        <v>36.50937900000001</v>
      </c>
      <c r="BG141" s="331">
        <f>SUM(BC141:BF141)</f>
        <v>153.75661270000001</v>
      </c>
      <c r="BH141" s="332">
        <f>BC141*(1+BH142)</f>
        <v>40.707192509999999</v>
      </c>
      <c r="BI141" s="333">
        <f>BD141*(1+BI142)</f>
        <v>41.320221604999993</v>
      </c>
      <c r="BJ141" s="333">
        <f>BE141*(1+BJ142)</f>
        <v>36.392291922000005</v>
      </c>
      <c r="BK141" s="334">
        <f>BF141*(1+BK142)</f>
        <v>36.874472790000013</v>
      </c>
      <c r="BL141" s="331">
        <f>SUM(BH141:BK141)</f>
        <v>155.294178827</v>
      </c>
      <c r="BM141" s="332">
        <f>BH141*(1+BM142)</f>
        <v>41.114264435099997</v>
      </c>
      <c r="BN141" s="333">
        <f>BI141*(1+BN142)</f>
        <v>41.733423821049996</v>
      </c>
      <c r="BO141" s="333">
        <f>BJ141*(1+BO142)</f>
        <v>36.756214841220007</v>
      </c>
      <c r="BP141" s="334">
        <f>BK141*(1+BP142)</f>
        <v>37.243217517900014</v>
      </c>
      <c r="BQ141" s="331">
        <f>SUM(BM141:BP141)</f>
        <v>156.84712061527</v>
      </c>
    </row>
    <row r="142" spans="1:69">
      <c r="A142" s="370"/>
      <c r="B142" s="370"/>
      <c r="C142" s="1194" t="s">
        <v>676</v>
      </c>
      <c r="D142" s="370"/>
      <c r="E142" s="373"/>
      <c r="F142" s="371"/>
      <c r="G142" s="371"/>
      <c r="H142" s="372"/>
      <c r="I142" s="370"/>
      <c r="J142" s="373">
        <f t="shared" ref="J142:AA142" si="345">J141/E141-1</f>
        <v>1.529735990733716E-2</v>
      </c>
      <c r="K142" s="371">
        <f t="shared" si="345"/>
        <v>5.3307250275094642E-2</v>
      </c>
      <c r="L142" s="371">
        <f t="shared" si="345"/>
        <v>5.7978016668679855E-2</v>
      </c>
      <c r="M142" s="372">
        <f t="shared" si="345"/>
        <v>5.713833491611231E-2</v>
      </c>
      <c r="N142" s="370">
        <f t="shared" si="345"/>
        <v>4.5895488699176257E-2</v>
      </c>
      <c r="O142" s="373">
        <f t="shared" si="345"/>
        <v>6.8528717545239815E-2</v>
      </c>
      <c r="P142" s="371">
        <f t="shared" si="345"/>
        <v>4.0007738440704266E-2</v>
      </c>
      <c r="Q142" s="371">
        <f t="shared" si="345"/>
        <v>3.9958899417741778E-2</v>
      </c>
      <c r="R142" s="372">
        <f t="shared" si="345"/>
        <v>3.9676598293158394E-2</v>
      </c>
      <c r="S142" s="370">
        <f t="shared" si="345"/>
        <v>4.6864509198335069E-2</v>
      </c>
      <c r="T142" s="373">
        <f t="shared" si="345"/>
        <v>3.9356453869376473E-2</v>
      </c>
      <c r="U142" s="371">
        <f t="shared" si="345"/>
        <v>6.7301610923025335E-2</v>
      </c>
      <c r="V142" s="371">
        <f t="shared" si="345"/>
        <v>1.2075968822043981E-2</v>
      </c>
      <c r="W142" s="372">
        <f t="shared" si="345"/>
        <v>1.1232718894009119E-2</v>
      </c>
      <c r="X142" s="370">
        <f t="shared" si="345"/>
        <v>3.2250971194018874E-2</v>
      </c>
      <c r="Y142" s="373">
        <f t="shared" si="345"/>
        <v>1.0484927916120546E-2</v>
      </c>
      <c r="Z142" s="371">
        <f t="shared" si="345"/>
        <v>9.9344673731176503E-3</v>
      </c>
      <c r="AA142" s="371">
        <f t="shared" si="345"/>
        <v>6.3962107242289346E-2</v>
      </c>
      <c r="AB142" s="372">
        <f>AB141/W141-1</f>
        <v>6.4013101680432394E-2</v>
      </c>
      <c r="AC142" s="370">
        <f>AC141/X141-1</f>
        <v>3.6817439466022783E-2</v>
      </c>
      <c r="AD142" s="373">
        <f>AD141/Y141-1</f>
        <v>0.11273530339678195</v>
      </c>
      <c r="AE142" s="371">
        <f>AE141/Z141-1</f>
        <v>0.1252200324439996</v>
      </c>
      <c r="AF142" s="371">
        <f t="shared" ref="AF142" si="346">AF141/AA141-1</f>
        <v>0.12587507646299212</v>
      </c>
      <c r="AG142" s="372">
        <f t="shared" ref="AG142:AP142" si="347">AG141/AB141-1</f>
        <v>0.12547681188516457</v>
      </c>
      <c r="AH142" s="370">
        <f t="shared" si="347"/>
        <v>0.12240180803342127</v>
      </c>
      <c r="AI142" s="373">
        <f t="shared" si="347"/>
        <v>9.8226380619349074E-2</v>
      </c>
      <c r="AJ142" s="371">
        <f t="shared" si="347"/>
        <v>8.5426827397932614E-2</v>
      </c>
      <c r="AK142" s="371">
        <f t="shared" si="347"/>
        <v>8.5964382734681433E-2</v>
      </c>
      <c r="AL142" s="372">
        <f t="shared" si="347"/>
        <v>8.5711737424187806E-2</v>
      </c>
      <c r="AM142" s="370">
        <f t="shared" si="347"/>
        <v>8.8734650293646355E-2</v>
      </c>
      <c r="AN142" s="373">
        <f t="shared" si="347"/>
        <v>6.832850463268425E-2</v>
      </c>
      <c r="AO142" s="371">
        <f t="shared" si="347"/>
        <v>6.8275589216074017E-2</v>
      </c>
      <c r="AP142" s="371">
        <f t="shared" si="347"/>
        <v>6.6485074212018436E-2</v>
      </c>
      <c r="AQ142" s="372">
        <f t="shared" ref="AQ142" si="348">AQ141/AL141-1</f>
        <v>6.6294257783619193E-2</v>
      </c>
      <c r="AR142" s="370">
        <f t="shared" ref="AR142:AT142" si="349">AR141/AM141-1</f>
        <v>6.7330325617889208E-2</v>
      </c>
      <c r="AS142" s="373">
        <f t="shared" si="349"/>
        <v>6.0870499154203284E-2</v>
      </c>
      <c r="AT142" s="371">
        <f t="shared" si="349"/>
        <v>6.0922702502512971E-2</v>
      </c>
      <c r="AU142" s="371">
        <f t="shared" ref="AU142" si="350">AU141/AP141-1</f>
        <v>-7.9437060203283671E-2</v>
      </c>
      <c r="AV142" s="372">
        <f t="shared" ref="AV142" si="351">AV141/AQ141-1</f>
        <v>-8.0893682588597637E-2</v>
      </c>
      <c r="AW142" s="370">
        <f t="shared" ref="AW142" si="352">AW141/AR141-1</f>
        <v>-1.0685569886121127E-2</v>
      </c>
      <c r="AX142" s="373">
        <f>+AY142</f>
        <v>0.01</v>
      </c>
      <c r="AY142" s="371">
        <f>+AZ142</f>
        <v>0.01</v>
      </c>
      <c r="AZ142" s="371">
        <f>+BA142</f>
        <v>0.01</v>
      </c>
      <c r="BA142" s="372">
        <f>+BB142</f>
        <v>0.01</v>
      </c>
      <c r="BB142" s="370">
        <f>+BB79</f>
        <v>0.01</v>
      </c>
      <c r="BC142" s="373">
        <f>+BD142</f>
        <v>0.01</v>
      </c>
      <c r="BD142" s="371">
        <f>+BE142</f>
        <v>0.01</v>
      </c>
      <c r="BE142" s="371">
        <f>+BF142</f>
        <v>0.01</v>
      </c>
      <c r="BF142" s="372">
        <f>+BG142</f>
        <v>0.01</v>
      </c>
      <c r="BG142" s="370">
        <f>+BG79</f>
        <v>0.01</v>
      </c>
      <c r="BH142" s="373">
        <f>+BI142</f>
        <v>0.01</v>
      </c>
      <c r="BI142" s="371">
        <f>+BJ142</f>
        <v>0.01</v>
      </c>
      <c r="BJ142" s="371">
        <f>+BK142</f>
        <v>0.01</v>
      </c>
      <c r="BK142" s="372">
        <f>+BL142</f>
        <v>0.01</v>
      </c>
      <c r="BL142" s="370">
        <f>+BL79</f>
        <v>0.01</v>
      </c>
      <c r="BM142" s="373">
        <f>+BN142</f>
        <v>0.01</v>
      </c>
      <c r="BN142" s="371">
        <f>+BO142</f>
        <v>0.01</v>
      </c>
      <c r="BO142" s="371">
        <f>+BP142</f>
        <v>0.01</v>
      </c>
      <c r="BP142" s="372">
        <f>+BQ142</f>
        <v>0.01</v>
      </c>
      <c r="BQ142" s="370">
        <f>+BQ79</f>
        <v>0.01</v>
      </c>
    </row>
    <row r="143" spans="1:69">
      <c r="A143" s="320"/>
      <c r="B143" s="420"/>
      <c r="C143" s="1193"/>
      <c r="D143" s="420"/>
      <c r="E143" s="324"/>
      <c r="F143" s="325"/>
      <c r="G143" s="325"/>
      <c r="H143" s="326"/>
      <c r="I143" s="320"/>
      <c r="J143" s="324"/>
      <c r="K143" s="325"/>
      <c r="L143" s="325"/>
      <c r="M143" s="326"/>
      <c r="N143" s="320"/>
      <c r="O143" s="324"/>
      <c r="P143" s="325"/>
      <c r="Q143" s="325"/>
      <c r="R143" s="326"/>
      <c r="S143" s="320"/>
      <c r="T143" s="324"/>
      <c r="U143" s="325"/>
      <c r="V143" s="325"/>
      <c r="W143" s="326"/>
      <c r="X143" s="320"/>
      <c r="Y143" s="324"/>
      <c r="Z143" s="325"/>
      <c r="AA143" s="325"/>
      <c r="AB143" s="326"/>
      <c r="AC143" s="320"/>
      <c r="AD143" s="324"/>
      <c r="AE143" s="325"/>
      <c r="AF143" s="325"/>
      <c r="AG143" s="326"/>
      <c r="AH143" s="320"/>
      <c r="AI143" s="324"/>
      <c r="AJ143" s="325"/>
      <c r="AK143" s="325"/>
      <c r="AL143" s="326"/>
      <c r="AM143" s="320"/>
      <c r="AN143" s="324"/>
      <c r="AO143" s="325"/>
      <c r="AP143" s="325"/>
      <c r="AQ143" s="326"/>
      <c r="AR143" s="320"/>
      <c r="AS143" s="324"/>
      <c r="AT143" s="325"/>
      <c r="AU143" s="325"/>
      <c r="AV143" s="326"/>
      <c r="AW143" s="320"/>
      <c r="AX143" s="324"/>
      <c r="AY143" s="325"/>
      <c r="AZ143" s="325"/>
      <c r="BA143" s="326"/>
      <c r="BB143" s="320"/>
      <c r="BC143" s="324"/>
      <c r="BD143" s="325"/>
      <c r="BE143" s="325"/>
      <c r="BF143" s="326"/>
      <c r="BG143" s="320"/>
      <c r="BH143" s="324"/>
      <c r="BI143" s="325"/>
      <c r="BJ143" s="325"/>
      <c r="BK143" s="326"/>
      <c r="BL143" s="320"/>
      <c r="BM143" s="324"/>
      <c r="BN143" s="325"/>
      <c r="BO143" s="325"/>
      <c r="BP143" s="326"/>
      <c r="BQ143" s="320"/>
    </row>
    <row r="144" spans="1:69">
      <c r="A144" s="327"/>
      <c r="B144" s="110"/>
      <c r="C144" s="1158" t="s">
        <v>173</v>
      </c>
      <c r="D144" s="110"/>
      <c r="E144" s="335">
        <f>E22</f>
        <v>106.40300000000001</v>
      </c>
      <c r="F144" s="336">
        <f t="shared" ref="F144:X144" si="353">F22</f>
        <v>97.326999999999998</v>
      </c>
      <c r="G144" s="336">
        <f t="shared" si="353"/>
        <v>103.929</v>
      </c>
      <c r="H144" s="337">
        <f t="shared" si="353"/>
        <v>94.840000000000032</v>
      </c>
      <c r="I144" s="327">
        <f t="shared" si="353"/>
        <v>402.49900000000002</v>
      </c>
      <c r="J144" s="335">
        <f t="shared" si="353"/>
        <v>109.83</v>
      </c>
      <c r="K144" s="336">
        <f t="shared" si="353"/>
        <v>100.224</v>
      </c>
      <c r="L144" s="336">
        <f t="shared" si="353"/>
        <v>112.902</v>
      </c>
      <c r="M144" s="337">
        <f t="shared" si="353"/>
        <v>108.41499999999996</v>
      </c>
      <c r="N144" s="327">
        <f t="shared" si="353"/>
        <v>431.37099999999998</v>
      </c>
      <c r="O144" s="335">
        <f t="shared" si="353"/>
        <v>103.59099999999999</v>
      </c>
      <c r="P144" s="336">
        <f t="shared" si="353"/>
        <v>104.717</v>
      </c>
      <c r="Q144" s="336">
        <f t="shared" si="353"/>
        <v>121.92400000000001</v>
      </c>
      <c r="R144" s="337">
        <f t="shared" si="353"/>
        <v>101.38700000000006</v>
      </c>
      <c r="S144" s="327">
        <f t="shared" si="353"/>
        <v>431.61900000000003</v>
      </c>
      <c r="T144" s="335">
        <f t="shared" si="353"/>
        <v>107.099</v>
      </c>
      <c r="U144" s="336">
        <f t="shared" si="353"/>
        <v>107.14100000000001</v>
      </c>
      <c r="V144" s="336">
        <f t="shared" si="353"/>
        <v>119.676</v>
      </c>
      <c r="W144" s="337">
        <f t="shared" si="353"/>
        <v>98.506000000000029</v>
      </c>
      <c r="X144" s="327">
        <f t="shared" si="353"/>
        <v>432.42200000000003</v>
      </c>
      <c r="Y144" s="335">
        <f t="shared" ref="Y144:AD144" si="354">Y22</f>
        <v>118.063</v>
      </c>
      <c r="Z144" s="336">
        <f t="shared" si="354"/>
        <v>114.236</v>
      </c>
      <c r="AA144" s="336">
        <f t="shared" si="354"/>
        <v>122.86199999999999</v>
      </c>
      <c r="AB144" s="337">
        <f t="shared" si="354"/>
        <v>114.80799999999999</v>
      </c>
      <c r="AC144" s="327">
        <f t="shared" si="354"/>
        <v>469.96899999999999</v>
      </c>
      <c r="AD144" s="335">
        <f t="shared" si="354"/>
        <v>121.28400000000001</v>
      </c>
      <c r="AE144" s="336">
        <f>AE22</f>
        <v>119.03400000000001</v>
      </c>
      <c r="AF144" s="336">
        <f t="shared" ref="AF144:AI144" si="355">AF22</f>
        <v>126.95099999999999</v>
      </c>
      <c r="AG144" s="337">
        <f t="shared" si="355"/>
        <v>105.45999999999998</v>
      </c>
      <c r="AH144" s="327">
        <f t="shared" si="355"/>
        <v>472.72899999999998</v>
      </c>
      <c r="AI144" s="335">
        <f t="shared" si="355"/>
        <v>131.482</v>
      </c>
      <c r="AJ144" s="336">
        <f>AJ22</f>
        <v>121.26600000000001</v>
      </c>
      <c r="AK144" s="336">
        <f>AK22</f>
        <v>135.03200000000001</v>
      </c>
      <c r="AL144" s="337">
        <f t="shared" ref="AL144:AN144" si="356">AL22</f>
        <v>119.959</v>
      </c>
      <c r="AM144" s="327">
        <f t="shared" si="356"/>
        <v>507.73899999999998</v>
      </c>
      <c r="AN144" s="335">
        <f t="shared" si="356"/>
        <v>125.021</v>
      </c>
      <c r="AO144" s="336">
        <f>AO22</f>
        <v>123.41200000000001</v>
      </c>
      <c r="AP144" s="336">
        <f>AP22</f>
        <v>125.05</v>
      </c>
      <c r="AQ144" s="337">
        <f t="shared" ref="AQ144:AS144" si="357">AQ22</f>
        <v>124.02699999999999</v>
      </c>
      <c r="AR144" s="327">
        <f t="shared" si="357"/>
        <v>497.51</v>
      </c>
      <c r="AS144" s="335">
        <f t="shared" si="357"/>
        <v>132.62299999999999</v>
      </c>
      <c r="AT144" s="336">
        <f>AT22</f>
        <v>134.01599999999999</v>
      </c>
      <c r="AU144" s="336">
        <f t="shared" ref="AU144:AW144" si="358">AU22</f>
        <v>141.114</v>
      </c>
      <c r="AV144" s="337">
        <f t="shared" si="358"/>
        <v>128.654</v>
      </c>
      <c r="AW144" s="327">
        <f t="shared" si="358"/>
        <v>536.40700000000004</v>
      </c>
      <c r="AX144" s="335">
        <f>SUM(AX145:AX146)</f>
        <v>133.94923</v>
      </c>
      <c r="AY144" s="336">
        <f>SUM(AY145:AY146)</f>
        <v>135.35615999999999</v>
      </c>
      <c r="AZ144" s="336">
        <f>SUM(AZ145:AZ146)</f>
        <v>142.52513999999999</v>
      </c>
      <c r="BA144" s="337">
        <f>SUM(BA145:BA146)</f>
        <v>129.94054</v>
      </c>
      <c r="BB144" s="327">
        <f>SUM(AX144:BA144)</f>
        <v>541.77107000000001</v>
      </c>
      <c r="BC144" s="335">
        <f>SUM(BC145:BC146)</f>
        <v>135.28872229999999</v>
      </c>
      <c r="BD144" s="336">
        <f>SUM(BD145:BD146)</f>
        <v>136.70972159999999</v>
      </c>
      <c r="BE144" s="336">
        <f>SUM(BE145:BE146)</f>
        <v>143.9503914</v>
      </c>
      <c r="BF144" s="337">
        <f>SUM(BF145:BF146)</f>
        <v>131.23994540000001</v>
      </c>
      <c r="BG144" s="327">
        <f>SUM(BC144:BF144)</f>
        <v>547.18878070000005</v>
      </c>
      <c r="BH144" s="335">
        <f>SUM(BH145:BH146)</f>
        <v>136.641609523</v>
      </c>
      <c r="BI144" s="336">
        <f>SUM(BI145:BI146)</f>
        <v>138.07681881599999</v>
      </c>
      <c r="BJ144" s="336">
        <f>SUM(BJ145:BJ146)</f>
        <v>145.389895314</v>
      </c>
      <c r="BK144" s="337">
        <f>SUM(BK145:BK146)</f>
        <v>132.55234485400001</v>
      </c>
      <c r="BL144" s="327">
        <f>SUM(BH144:BK144)</f>
        <v>552.66066850699997</v>
      </c>
      <c r="BM144" s="335">
        <f>SUM(BM145:BM146)</f>
        <v>138.00802561822999</v>
      </c>
      <c r="BN144" s="336">
        <f>SUM(BN145:BN146)</f>
        <v>139.45758700415999</v>
      </c>
      <c r="BO144" s="336">
        <f>SUM(BO145:BO146)</f>
        <v>146.84379426714</v>
      </c>
      <c r="BP144" s="337">
        <f>SUM(BP145:BP146)</f>
        <v>133.87786830254001</v>
      </c>
      <c r="BQ144" s="327">
        <f>SUM(BM144:BP144)</f>
        <v>558.18727519207005</v>
      </c>
    </row>
    <row r="145" spans="1:71">
      <c r="A145" s="320"/>
      <c r="B145" s="320"/>
      <c r="C145" s="1125" t="s">
        <v>674</v>
      </c>
      <c r="D145" s="348"/>
      <c r="E145" s="393">
        <v>0</v>
      </c>
      <c r="F145" s="190">
        <v>0</v>
      </c>
      <c r="G145" s="190">
        <v>0</v>
      </c>
      <c r="H145" s="251">
        <f>I145-SUM(E145:G145)</f>
        <v>0</v>
      </c>
      <c r="I145" s="348">
        <v>0</v>
      </c>
      <c r="J145" s="393">
        <v>0</v>
      </c>
      <c r="K145" s="190">
        <v>0</v>
      </c>
      <c r="L145" s="190">
        <v>0</v>
      </c>
      <c r="M145" s="251">
        <f>N145-SUM(J145:L145)</f>
        <v>0</v>
      </c>
      <c r="N145" s="348">
        <v>0</v>
      </c>
      <c r="O145" s="393">
        <v>0</v>
      </c>
      <c r="P145" s="190">
        <v>0</v>
      </c>
      <c r="Q145" s="190">
        <v>0</v>
      </c>
      <c r="R145" s="251">
        <f>S145-SUM(O145:Q145)</f>
        <v>0</v>
      </c>
      <c r="S145" s="348">
        <v>0</v>
      </c>
      <c r="T145" s="393">
        <v>0</v>
      </c>
      <c r="U145" s="190">
        <v>0</v>
      </c>
      <c r="V145" s="190">
        <v>0</v>
      </c>
      <c r="W145" s="251">
        <f>X145-SUM(T145:V145)</f>
        <v>0</v>
      </c>
      <c r="X145" s="348">
        <v>0</v>
      </c>
      <c r="Y145" s="393">
        <v>0</v>
      </c>
      <c r="Z145" s="190">
        <v>0</v>
      </c>
      <c r="AA145" s="190">
        <v>0</v>
      </c>
      <c r="AB145" s="251">
        <f>AC145-SUM(Y145:AA145)</f>
        <v>0</v>
      </c>
      <c r="AC145" s="348">
        <v>0</v>
      </c>
      <c r="AD145" s="393">
        <v>0</v>
      </c>
      <c r="AE145" s="190">
        <v>0</v>
      </c>
      <c r="AF145" s="190">
        <v>0</v>
      </c>
      <c r="AG145" s="251">
        <f>AH145-SUM(AD145:AF145)</f>
        <v>0</v>
      </c>
      <c r="AH145" s="348">
        <v>0</v>
      </c>
      <c r="AI145" s="393">
        <v>0</v>
      </c>
      <c r="AJ145" s="190">
        <v>0</v>
      </c>
      <c r="AK145" s="190">
        <v>0</v>
      </c>
      <c r="AL145" s="251">
        <f>AM145-SUM(AI145:AK145)</f>
        <v>0</v>
      </c>
      <c r="AM145" s="348">
        <v>0</v>
      </c>
      <c r="AN145" s="393">
        <v>0</v>
      </c>
      <c r="AO145" s="190">
        <v>0</v>
      </c>
      <c r="AP145" s="190">
        <v>0</v>
      </c>
      <c r="AQ145" s="251">
        <f>AR145-SUM(AN145:AP145)</f>
        <v>0</v>
      </c>
      <c r="AR145" s="348">
        <v>0</v>
      </c>
      <c r="AS145" s="393">
        <v>0</v>
      </c>
      <c r="AT145" s="190">
        <v>0</v>
      </c>
      <c r="AU145" s="190">
        <v>0</v>
      </c>
      <c r="AV145" s="251">
        <f>AW145-SUM(AS145:AU145)</f>
        <v>0</v>
      </c>
      <c r="AW145" s="348">
        <v>0</v>
      </c>
      <c r="AX145" s="183">
        <v>0</v>
      </c>
      <c r="AY145" s="184">
        <v>0</v>
      </c>
      <c r="AZ145" s="184">
        <v>0</v>
      </c>
      <c r="BA145" s="185">
        <v>0</v>
      </c>
      <c r="BB145" s="107">
        <f>SUM(AX145:BA145)</f>
        <v>0</v>
      </c>
      <c r="BC145" s="183">
        <v>0</v>
      </c>
      <c r="BD145" s="184">
        <v>0</v>
      </c>
      <c r="BE145" s="184">
        <v>0</v>
      </c>
      <c r="BF145" s="185">
        <v>0</v>
      </c>
      <c r="BG145" s="107">
        <f>SUM(BC145:BF145)</f>
        <v>0</v>
      </c>
      <c r="BH145" s="183">
        <v>0</v>
      </c>
      <c r="BI145" s="184">
        <v>0</v>
      </c>
      <c r="BJ145" s="184">
        <v>0</v>
      </c>
      <c r="BK145" s="185">
        <v>0</v>
      </c>
      <c r="BL145" s="107">
        <f>SUM(BH145:BK145)</f>
        <v>0</v>
      </c>
      <c r="BM145" s="183">
        <v>0</v>
      </c>
      <c r="BN145" s="184">
        <v>0</v>
      </c>
      <c r="BO145" s="184">
        <v>0</v>
      </c>
      <c r="BP145" s="185">
        <v>0</v>
      </c>
      <c r="BQ145" s="107">
        <f>SUM(BM145:BP145)</f>
        <v>0</v>
      </c>
    </row>
    <row r="146" spans="1:71" s="103" customFormat="1">
      <c r="A146" s="331"/>
      <c r="B146" s="44"/>
      <c r="C146" s="1159" t="s">
        <v>174</v>
      </c>
      <c r="D146" s="44"/>
      <c r="E146" s="332">
        <f>E144-E145</f>
        <v>106.40300000000001</v>
      </c>
      <c r="F146" s="333">
        <f t="shared" ref="F146:U146" si="359">F144-F145</f>
        <v>97.326999999999998</v>
      </c>
      <c r="G146" s="333">
        <f t="shared" si="359"/>
        <v>103.929</v>
      </c>
      <c r="H146" s="334">
        <f t="shared" si="359"/>
        <v>94.840000000000032</v>
      </c>
      <c r="I146" s="331">
        <f t="shared" si="359"/>
        <v>402.49900000000002</v>
      </c>
      <c r="J146" s="332">
        <f t="shared" si="359"/>
        <v>109.83</v>
      </c>
      <c r="K146" s="333">
        <f t="shared" si="359"/>
        <v>100.224</v>
      </c>
      <c r="L146" s="333">
        <f t="shared" si="359"/>
        <v>112.902</v>
      </c>
      <c r="M146" s="334">
        <f t="shared" si="359"/>
        <v>108.41499999999996</v>
      </c>
      <c r="N146" s="331">
        <f t="shared" si="359"/>
        <v>431.37099999999998</v>
      </c>
      <c r="O146" s="332">
        <f t="shared" si="359"/>
        <v>103.59099999999999</v>
      </c>
      <c r="P146" s="333">
        <f t="shared" si="359"/>
        <v>104.717</v>
      </c>
      <c r="Q146" s="333">
        <f t="shared" si="359"/>
        <v>121.92400000000001</v>
      </c>
      <c r="R146" s="334">
        <f t="shared" si="359"/>
        <v>101.38700000000006</v>
      </c>
      <c r="S146" s="331">
        <f t="shared" si="359"/>
        <v>431.61900000000003</v>
      </c>
      <c r="T146" s="332">
        <f t="shared" si="359"/>
        <v>107.099</v>
      </c>
      <c r="U146" s="333">
        <f t="shared" si="359"/>
        <v>107.14100000000001</v>
      </c>
      <c r="V146" s="333">
        <f t="shared" ref="V146:AA146" si="360">V144-V145</f>
        <v>119.676</v>
      </c>
      <c r="W146" s="334">
        <f t="shared" si="360"/>
        <v>98.506000000000029</v>
      </c>
      <c r="X146" s="331">
        <f t="shared" si="360"/>
        <v>432.42200000000003</v>
      </c>
      <c r="Y146" s="332">
        <f t="shared" si="360"/>
        <v>118.063</v>
      </c>
      <c r="Z146" s="333">
        <f t="shared" si="360"/>
        <v>114.236</v>
      </c>
      <c r="AA146" s="333">
        <f t="shared" si="360"/>
        <v>122.86199999999999</v>
      </c>
      <c r="AB146" s="334">
        <f>AB144-AB145</f>
        <v>114.80799999999999</v>
      </c>
      <c r="AC146" s="331">
        <f>AC144-AC145</f>
        <v>469.96899999999999</v>
      </c>
      <c r="AD146" s="332">
        <f>AD144-AD145</f>
        <v>121.28400000000001</v>
      </c>
      <c r="AE146" s="333">
        <f>AE144-AE145</f>
        <v>119.03400000000001</v>
      </c>
      <c r="AF146" s="333">
        <f t="shared" ref="AF146" si="361">AF144-AF145</f>
        <v>126.95099999999999</v>
      </c>
      <c r="AG146" s="334">
        <f t="shared" ref="AG146:AM146" si="362">AG144-AG145</f>
        <v>105.45999999999998</v>
      </c>
      <c r="AH146" s="331">
        <f t="shared" si="362"/>
        <v>472.72899999999998</v>
      </c>
      <c r="AI146" s="332">
        <f t="shared" si="362"/>
        <v>131.482</v>
      </c>
      <c r="AJ146" s="333">
        <f t="shared" si="362"/>
        <v>121.26600000000001</v>
      </c>
      <c r="AK146" s="333">
        <f t="shared" si="362"/>
        <v>135.03200000000001</v>
      </c>
      <c r="AL146" s="334">
        <f t="shared" si="362"/>
        <v>119.959</v>
      </c>
      <c r="AM146" s="331">
        <f t="shared" si="362"/>
        <v>507.73899999999998</v>
      </c>
      <c r="AN146" s="332">
        <f t="shared" ref="AN146:AR146" si="363">AN144-AN145</f>
        <v>125.021</v>
      </c>
      <c r="AO146" s="333">
        <f t="shared" si="363"/>
        <v>123.41200000000001</v>
      </c>
      <c r="AP146" s="333">
        <f t="shared" si="363"/>
        <v>125.05</v>
      </c>
      <c r="AQ146" s="334">
        <f t="shared" si="363"/>
        <v>124.02699999999999</v>
      </c>
      <c r="AR146" s="331">
        <f t="shared" si="363"/>
        <v>497.51</v>
      </c>
      <c r="AS146" s="332">
        <f t="shared" ref="AS146:AT146" si="364">AS144-AS145</f>
        <v>132.62299999999999</v>
      </c>
      <c r="AT146" s="333">
        <f t="shared" si="364"/>
        <v>134.01599999999999</v>
      </c>
      <c r="AU146" s="333">
        <f t="shared" ref="AU146:AW146" si="365">AU144-AU145</f>
        <v>141.114</v>
      </c>
      <c r="AV146" s="334">
        <f t="shared" si="365"/>
        <v>128.654</v>
      </c>
      <c r="AW146" s="331">
        <f t="shared" si="365"/>
        <v>536.40700000000004</v>
      </c>
      <c r="AX146" s="332">
        <f>AS146*(1+AX147)</f>
        <v>133.94923</v>
      </c>
      <c r="AY146" s="333">
        <f>AT146*(1+AY147)</f>
        <v>135.35615999999999</v>
      </c>
      <c r="AZ146" s="333">
        <f>AU146*(1+AZ147)</f>
        <v>142.52513999999999</v>
      </c>
      <c r="BA146" s="334">
        <f>AV146*(1+BA147)</f>
        <v>129.94054</v>
      </c>
      <c r="BB146" s="331">
        <f>SUM(AX146:BA146)</f>
        <v>541.77107000000001</v>
      </c>
      <c r="BC146" s="332">
        <f>AX146*(1+BC147)</f>
        <v>135.28872229999999</v>
      </c>
      <c r="BD146" s="333">
        <f>AY146*(1+BD147)</f>
        <v>136.70972159999999</v>
      </c>
      <c r="BE146" s="333">
        <f>AZ146*(1+BE147)</f>
        <v>143.9503914</v>
      </c>
      <c r="BF146" s="334">
        <f>BA146*(1+BF147)</f>
        <v>131.23994540000001</v>
      </c>
      <c r="BG146" s="331">
        <f>SUM(BC146:BF146)</f>
        <v>547.18878070000005</v>
      </c>
      <c r="BH146" s="332">
        <f>BC146*(1+BH147)</f>
        <v>136.641609523</v>
      </c>
      <c r="BI146" s="333">
        <f>BD146*(1+BI147)</f>
        <v>138.07681881599999</v>
      </c>
      <c r="BJ146" s="333">
        <f>BE146*(1+BJ147)</f>
        <v>145.389895314</v>
      </c>
      <c r="BK146" s="334">
        <f>BF146*(1+BK147)</f>
        <v>132.55234485400001</v>
      </c>
      <c r="BL146" s="331">
        <f>SUM(BH146:BK146)</f>
        <v>552.66066850699997</v>
      </c>
      <c r="BM146" s="332">
        <f>BH146*(1+BM147)</f>
        <v>138.00802561822999</v>
      </c>
      <c r="BN146" s="333">
        <f>BI146*(1+BN147)</f>
        <v>139.45758700415999</v>
      </c>
      <c r="BO146" s="333">
        <f>BJ146*(1+BO147)</f>
        <v>146.84379426714</v>
      </c>
      <c r="BP146" s="334">
        <f>BK146*(1+BP147)</f>
        <v>133.87786830254001</v>
      </c>
      <c r="BQ146" s="331">
        <f>SUM(BM146:BP146)</f>
        <v>558.18727519207005</v>
      </c>
    </row>
    <row r="147" spans="1:71">
      <c r="A147" s="370"/>
      <c r="B147" s="370"/>
      <c r="C147" s="1160" t="s">
        <v>676</v>
      </c>
      <c r="D147" s="370"/>
      <c r="E147" s="373"/>
      <c r="F147" s="371"/>
      <c r="G147" s="371"/>
      <c r="H147" s="372"/>
      <c r="I147" s="370"/>
      <c r="J147" s="373">
        <f>J146/E146-1</f>
        <v>3.220773850361347E-2</v>
      </c>
      <c r="K147" s="371">
        <f t="shared" ref="K147:S147" si="366">K146/F146-1</f>
        <v>2.9765635435182514E-2</v>
      </c>
      <c r="L147" s="371">
        <f t="shared" si="366"/>
        <v>8.6337788297780271E-2</v>
      </c>
      <c r="M147" s="372">
        <f t="shared" si="366"/>
        <v>0.14313580767608536</v>
      </c>
      <c r="N147" s="370">
        <f t="shared" si="366"/>
        <v>7.1731855234422826E-2</v>
      </c>
      <c r="O147" s="373">
        <f t="shared" si="366"/>
        <v>-5.6805972867158383E-2</v>
      </c>
      <c r="P147" s="371">
        <f t="shared" si="366"/>
        <v>4.4829581736909319E-2</v>
      </c>
      <c r="Q147" s="371">
        <f t="shared" si="366"/>
        <v>7.9910010451542002E-2</v>
      </c>
      <c r="R147" s="372">
        <f t="shared" si="366"/>
        <v>-6.4824978093436458E-2</v>
      </c>
      <c r="S147" s="370">
        <f t="shared" si="366"/>
        <v>5.7491115536278947E-4</v>
      </c>
      <c r="T147" s="373">
        <f t="shared" ref="T147:AA147" si="367">T146/O146-1</f>
        <v>3.3863945709569521E-2</v>
      </c>
      <c r="U147" s="371">
        <f t="shared" si="367"/>
        <v>2.314810393727873E-2</v>
      </c>
      <c r="V147" s="371">
        <f t="shared" si="367"/>
        <v>-1.8437715298054602E-2</v>
      </c>
      <c r="W147" s="372">
        <f t="shared" si="367"/>
        <v>-2.8415871857338959E-2</v>
      </c>
      <c r="X147" s="370">
        <f t="shared" si="367"/>
        <v>1.8604370984596219E-3</v>
      </c>
      <c r="Y147" s="373">
        <f t="shared" si="367"/>
        <v>0.10237257117246656</v>
      </c>
      <c r="Z147" s="371">
        <f t="shared" si="367"/>
        <v>6.6221147833229077E-2</v>
      </c>
      <c r="AA147" s="371">
        <f t="shared" si="367"/>
        <v>2.6621879073498445E-2</v>
      </c>
      <c r="AB147" s="372">
        <f>AB146/W146-1</f>
        <v>0.16549245731224449</v>
      </c>
      <c r="AC147" s="370">
        <f>AC146/X146-1</f>
        <v>8.6829532262465703E-2</v>
      </c>
      <c r="AD147" s="373">
        <f>AD146/Y146-1</f>
        <v>2.7282044332263222E-2</v>
      </c>
      <c r="AE147" s="371">
        <f>AE146/Z146-1</f>
        <v>4.200077033509575E-2</v>
      </c>
      <c r="AF147" s="371">
        <f t="shared" ref="AF147" si="368">AF146/AA146-1</f>
        <v>3.3281242369487707E-2</v>
      </c>
      <c r="AG147" s="372">
        <f t="shared" ref="AG147:AP147" si="369">AG146/AB146-1</f>
        <v>-8.1422897359069157E-2</v>
      </c>
      <c r="AH147" s="370">
        <f t="shared" si="369"/>
        <v>5.8727277756618346E-3</v>
      </c>
      <c r="AI147" s="373">
        <f t="shared" si="369"/>
        <v>8.4083638402427274E-2</v>
      </c>
      <c r="AJ147" s="371">
        <f t="shared" si="369"/>
        <v>1.8750945108120254E-2</v>
      </c>
      <c r="AK147" s="371">
        <f t="shared" si="369"/>
        <v>6.3654480862695095E-2</v>
      </c>
      <c r="AL147" s="372">
        <f t="shared" si="369"/>
        <v>0.13748340603072284</v>
      </c>
      <c r="AM147" s="370">
        <f t="shared" si="369"/>
        <v>7.4059344783163228E-2</v>
      </c>
      <c r="AN147" s="373">
        <f t="shared" si="369"/>
        <v>-4.9139806209214987E-2</v>
      </c>
      <c r="AO147" s="371">
        <f t="shared" si="369"/>
        <v>1.7696633846255416E-2</v>
      </c>
      <c r="AP147" s="371">
        <f t="shared" si="369"/>
        <v>-7.3923218200130481E-2</v>
      </c>
      <c r="AQ147" s="372">
        <f t="shared" ref="AQ147" si="370">AQ146/AL146-1</f>
        <v>3.3911586458706511E-2</v>
      </c>
      <c r="AR147" s="370">
        <f t="shared" ref="AR147:AT147" si="371">AR146/AM146-1</f>
        <v>-2.0146177465193649E-2</v>
      </c>
      <c r="AS147" s="373">
        <f t="shared" si="371"/>
        <v>6.0805784628182424E-2</v>
      </c>
      <c r="AT147" s="371">
        <f t="shared" si="371"/>
        <v>8.5923573072310466E-2</v>
      </c>
      <c r="AU147" s="371">
        <f t="shared" ref="AU147" si="372">AU146/AP146-1</f>
        <v>0.12846061575369849</v>
      </c>
      <c r="AV147" s="372">
        <f t="shared" ref="AV147" si="373">AV146/AQ146-1</f>
        <v>3.7306392962822787E-2</v>
      </c>
      <c r="AW147" s="370">
        <f t="shared" ref="AW147" si="374">AW146/AR146-1</f>
        <v>7.8183353098430386E-2</v>
      </c>
      <c r="AX147" s="373">
        <f>+AY147</f>
        <v>0.01</v>
      </c>
      <c r="AY147" s="371">
        <f>+AZ147</f>
        <v>0.01</v>
      </c>
      <c r="AZ147" s="371">
        <f>+BA147</f>
        <v>0.01</v>
      </c>
      <c r="BA147" s="372">
        <f>+BB147</f>
        <v>0.01</v>
      </c>
      <c r="BB147" s="370">
        <f>+BB80</f>
        <v>0.01</v>
      </c>
      <c r="BC147" s="373">
        <f>+BD147</f>
        <v>0.01</v>
      </c>
      <c r="BD147" s="371">
        <f>+BE147</f>
        <v>0.01</v>
      </c>
      <c r="BE147" s="371">
        <f>+BF147</f>
        <v>0.01</v>
      </c>
      <c r="BF147" s="372">
        <f>+BG147</f>
        <v>0.01</v>
      </c>
      <c r="BG147" s="370">
        <f>+BG80</f>
        <v>0.01</v>
      </c>
      <c r="BH147" s="373">
        <f>+BI147</f>
        <v>0.01</v>
      </c>
      <c r="BI147" s="371">
        <f>+BJ147</f>
        <v>0.01</v>
      </c>
      <c r="BJ147" s="371">
        <f>+BK147</f>
        <v>0.01</v>
      </c>
      <c r="BK147" s="372">
        <f>+BL147</f>
        <v>0.01</v>
      </c>
      <c r="BL147" s="370">
        <f>+BL80</f>
        <v>0.01</v>
      </c>
      <c r="BM147" s="373">
        <f>+BN147</f>
        <v>0.01</v>
      </c>
      <c r="BN147" s="371">
        <f>+BO147</f>
        <v>0.01</v>
      </c>
      <c r="BO147" s="371">
        <f>+BP147</f>
        <v>0.01</v>
      </c>
      <c r="BP147" s="372">
        <f>+BQ147</f>
        <v>0.01</v>
      </c>
      <c r="BQ147" s="370">
        <f>+BQ80</f>
        <v>0.01</v>
      </c>
    </row>
    <row r="148" spans="1:71">
      <c r="A148" s="5"/>
      <c r="B148" s="5"/>
      <c r="C148" s="1173"/>
      <c r="D148" s="5"/>
      <c r="E148" s="139"/>
      <c r="F148" s="18"/>
      <c r="G148" s="18"/>
      <c r="H148" s="140"/>
      <c r="I148" s="5"/>
      <c r="J148" s="139"/>
      <c r="K148" s="18"/>
      <c r="L148" s="18"/>
      <c r="M148" s="140"/>
      <c r="N148" s="5"/>
      <c r="O148" s="139"/>
      <c r="P148" s="18"/>
      <c r="Q148" s="18"/>
      <c r="R148" s="140"/>
      <c r="S148" s="5"/>
      <c r="T148" s="139"/>
      <c r="U148" s="18"/>
      <c r="V148" s="18"/>
      <c r="W148" s="140"/>
      <c r="X148" s="5"/>
      <c r="Y148" s="139"/>
      <c r="Z148" s="18"/>
      <c r="AA148" s="18"/>
      <c r="AB148" s="140"/>
      <c r="AC148" s="5"/>
      <c r="AD148" s="139"/>
      <c r="AE148" s="18"/>
      <c r="AF148" s="18"/>
      <c r="AG148" s="140"/>
      <c r="AH148" s="5"/>
      <c r="AI148" s="139"/>
      <c r="AJ148" s="18"/>
      <c r="AK148" s="18"/>
      <c r="AL148" s="140"/>
      <c r="AM148" s="5"/>
      <c r="AN148" s="139"/>
      <c r="AO148" s="18"/>
      <c r="AP148" s="18"/>
      <c r="AQ148" s="140"/>
      <c r="AR148" s="5"/>
      <c r="AS148" s="139"/>
      <c r="AT148" s="18"/>
      <c r="AU148" s="18"/>
      <c r="AV148" s="140"/>
      <c r="AW148" s="1979"/>
      <c r="AX148" s="139"/>
      <c r="AY148" s="18"/>
      <c r="AZ148" s="18"/>
      <c r="BA148" s="140"/>
      <c r="BB148" s="5"/>
      <c r="BC148" s="139"/>
      <c r="BD148" s="18"/>
      <c r="BE148" s="18"/>
      <c r="BF148" s="140"/>
      <c r="BG148" s="5"/>
      <c r="BH148" s="139"/>
      <c r="BI148" s="18"/>
      <c r="BJ148" s="18"/>
      <c r="BK148" s="140"/>
      <c r="BL148" s="5"/>
      <c r="BM148" s="139"/>
      <c r="BN148" s="18"/>
      <c r="BO148" s="18"/>
      <c r="BP148" s="140"/>
      <c r="BQ148" s="5"/>
    </row>
    <row r="149" spans="1:71">
      <c r="A149" s="5"/>
      <c r="B149" s="5"/>
      <c r="C149" s="1173"/>
      <c r="D149" s="5"/>
      <c r="E149" s="139"/>
      <c r="F149" s="18"/>
      <c r="G149" s="18"/>
      <c r="H149" s="140"/>
      <c r="I149" s="5"/>
      <c r="J149" s="139"/>
      <c r="K149" s="18"/>
      <c r="L149" s="18"/>
      <c r="M149" s="140"/>
      <c r="N149" s="5"/>
      <c r="O149" s="139"/>
      <c r="P149" s="18"/>
      <c r="Q149" s="18"/>
      <c r="R149" s="140"/>
      <c r="S149" s="5"/>
      <c r="T149" s="139"/>
      <c r="U149" s="18"/>
      <c r="V149" s="18"/>
      <c r="W149" s="140"/>
      <c r="X149" s="5"/>
      <c r="Y149" s="139"/>
      <c r="Z149" s="18"/>
      <c r="AA149" s="18"/>
      <c r="AB149" s="140"/>
      <c r="AC149" s="5"/>
      <c r="AD149" s="139"/>
      <c r="AE149" s="18"/>
      <c r="AF149" s="18"/>
      <c r="AG149" s="140"/>
      <c r="AH149" s="5"/>
      <c r="AI149" s="139"/>
      <c r="AJ149" s="18"/>
      <c r="AK149" s="18"/>
      <c r="AL149" s="140"/>
      <c r="AM149" s="5"/>
      <c r="AN149" s="139"/>
      <c r="AO149" s="18"/>
      <c r="AP149" s="18"/>
      <c r="AQ149" s="140"/>
      <c r="AR149" s="5"/>
      <c r="AS149" s="139"/>
      <c r="AT149" s="18"/>
      <c r="AU149" s="18"/>
      <c r="AV149" s="140"/>
      <c r="AW149" s="5"/>
      <c r="AX149" s="139"/>
      <c r="AY149" s="18"/>
      <c r="AZ149" s="18"/>
      <c r="BA149" s="140"/>
      <c r="BB149" s="5"/>
      <c r="BC149" s="139"/>
      <c r="BD149" s="18"/>
      <c r="BE149" s="18"/>
      <c r="BF149" s="140"/>
      <c r="BG149" s="5"/>
      <c r="BH149" s="139"/>
      <c r="BI149" s="18"/>
      <c r="BJ149" s="18"/>
      <c r="BK149" s="140"/>
      <c r="BL149" s="5"/>
      <c r="BM149" s="139"/>
      <c r="BN149" s="18"/>
      <c r="BO149" s="18"/>
      <c r="BP149" s="140"/>
      <c r="BQ149" s="5"/>
    </row>
    <row r="150" spans="1:71">
      <c r="A150" s="5"/>
      <c r="B150" s="400" t="s">
        <v>661</v>
      </c>
      <c r="C150" s="1172"/>
      <c r="D150" s="92"/>
      <c r="E150" s="187"/>
      <c r="F150" s="188"/>
      <c r="G150" s="188"/>
      <c r="H150" s="189"/>
      <c r="I150" s="107"/>
      <c r="J150" s="187"/>
      <c r="K150" s="188"/>
      <c r="L150" s="188"/>
      <c r="M150" s="189"/>
      <c r="N150" s="107"/>
      <c r="O150" s="187"/>
      <c r="P150" s="188"/>
      <c r="Q150" s="188"/>
      <c r="R150" s="189"/>
      <c r="S150" s="107"/>
      <c r="T150" s="187"/>
      <c r="U150" s="188"/>
      <c r="V150" s="188"/>
      <c r="W150" s="189"/>
      <c r="X150" s="107"/>
      <c r="Y150" s="187"/>
      <c r="Z150" s="188"/>
      <c r="AA150" s="188"/>
      <c r="AB150" s="189"/>
      <c r="AC150" s="107"/>
      <c r="AD150" s="187"/>
      <c r="AE150" s="188"/>
      <c r="AF150" s="188"/>
      <c r="AG150" s="189"/>
      <c r="AH150" s="107"/>
      <c r="AI150" s="187"/>
      <c r="AJ150" s="188"/>
      <c r="AK150" s="188"/>
      <c r="AL150" s="189"/>
      <c r="AM150" s="107"/>
      <c r="AN150" s="187"/>
      <c r="AO150" s="188"/>
      <c r="AP150" s="188"/>
      <c r="AQ150" s="189"/>
      <c r="AR150" s="107"/>
      <c r="AS150" s="187"/>
      <c r="AT150" s="188"/>
      <c r="AU150" s="188"/>
      <c r="AV150" s="189"/>
      <c r="AW150" s="107"/>
      <c r="AX150" s="187"/>
      <c r="AY150" s="2033"/>
      <c r="AZ150" s="188"/>
      <c r="BA150" s="189"/>
      <c r="BB150" s="107"/>
      <c r="BC150" s="187"/>
      <c r="BD150" s="188"/>
      <c r="BE150" s="188"/>
      <c r="BF150" s="189"/>
      <c r="BG150" s="107"/>
      <c r="BH150" s="187"/>
      <c r="BI150" s="188"/>
      <c r="BJ150" s="188"/>
      <c r="BK150" s="189"/>
      <c r="BL150" s="107"/>
      <c r="BM150" s="187"/>
      <c r="BN150" s="188"/>
      <c r="BO150" s="188"/>
      <c r="BP150" s="189"/>
      <c r="BQ150" s="107"/>
    </row>
    <row r="151" spans="1:71">
      <c r="A151" s="5"/>
      <c r="B151" s="5"/>
      <c r="C151" s="1174"/>
      <c r="D151" s="5"/>
      <c r="E151" s="225"/>
      <c r="F151" s="178"/>
      <c r="G151" s="178"/>
      <c r="H151" s="179"/>
      <c r="I151" s="107"/>
      <c r="J151" s="177"/>
      <c r="K151" s="178"/>
      <c r="L151" s="178"/>
      <c r="M151" s="179"/>
      <c r="N151" s="107"/>
      <c r="O151" s="177"/>
      <c r="P151" s="178"/>
      <c r="Q151" s="178"/>
      <c r="R151" s="179"/>
      <c r="S151" s="107"/>
      <c r="T151" s="177"/>
      <c r="U151" s="178"/>
      <c r="V151" s="178"/>
      <c r="W151" s="179"/>
      <c r="X151" s="107"/>
      <c r="Y151" s="177"/>
      <c r="Z151" s="178"/>
      <c r="AA151" s="178"/>
      <c r="AB151" s="179"/>
      <c r="AC151" s="107"/>
      <c r="AD151" s="177"/>
      <c r="AE151" s="178"/>
      <c r="AF151" s="178"/>
      <c r="AG151" s="179"/>
      <c r="AH151" s="107"/>
      <c r="AI151" s="177"/>
      <c r="AJ151" s="178"/>
      <c r="AK151" s="178"/>
      <c r="AL151" s="179"/>
      <c r="AM151" s="107"/>
      <c r="AN151" s="177"/>
      <c r="AO151" s="178"/>
      <c r="AP151" s="178"/>
      <c r="AQ151" s="179"/>
      <c r="AR151" s="107"/>
      <c r="AS151" s="177"/>
      <c r="AT151" s="178"/>
      <c r="AU151" s="178"/>
      <c r="AV151" s="179"/>
      <c r="AW151" s="107"/>
      <c r="AX151" s="177"/>
      <c r="AY151" s="178"/>
      <c r="AZ151" s="178"/>
      <c r="BA151" s="179"/>
      <c r="BB151" s="421"/>
      <c r="BC151" s="177"/>
      <c r="BD151" s="178"/>
      <c r="BE151" s="178"/>
      <c r="BF151" s="179"/>
      <c r="BG151" s="107"/>
      <c r="BH151" s="177"/>
      <c r="BI151" s="178"/>
      <c r="BJ151" s="178"/>
      <c r="BK151" s="179"/>
      <c r="BL151" s="107"/>
      <c r="BM151" s="177"/>
      <c r="BN151" s="178"/>
      <c r="BO151" s="178"/>
      <c r="BP151" s="179"/>
      <c r="BQ151" s="107"/>
    </row>
    <row r="152" spans="1:71">
      <c r="A152" s="320"/>
      <c r="B152" s="320"/>
      <c r="C152" s="1174" t="s">
        <v>594</v>
      </c>
      <c r="D152" s="320"/>
      <c r="E152" s="427">
        <v>32231.94</v>
      </c>
      <c r="F152" s="428">
        <v>32453.334999999999</v>
      </c>
      <c r="G152" s="428">
        <v>32807.481</v>
      </c>
      <c r="H152" s="429">
        <v>33128.249000000003</v>
      </c>
      <c r="I152" s="107">
        <f>+H152</f>
        <v>33128.249000000003</v>
      </c>
      <c r="J152" s="427">
        <v>32265.543000000001</v>
      </c>
      <c r="K152" s="428">
        <v>33271.42</v>
      </c>
      <c r="L152" s="428">
        <f>35731.935-681.2</f>
        <v>35050.735000000001</v>
      </c>
      <c r="M152" s="429">
        <f>36197.987-760.14</f>
        <v>35437.847000000002</v>
      </c>
      <c r="N152" s="107">
        <f>+M152</f>
        <v>35437.847000000002</v>
      </c>
      <c r="O152" s="427">
        <f>33267.577+796.566+334.326</f>
        <v>34398.468999999997</v>
      </c>
      <c r="P152" s="428">
        <f>37220.179-770.273</f>
        <v>36449.905999999995</v>
      </c>
      <c r="Q152" s="428">
        <f>37519.928-731.218</f>
        <v>36788.71</v>
      </c>
      <c r="R152" s="429">
        <f>37862.68-801.972</f>
        <v>37060.707999999999</v>
      </c>
      <c r="S152" s="107">
        <f>+R152</f>
        <v>37060.707999999999</v>
      </c>
      <c r="T152" s="427">
        <f>38338.878-814.958</f>
        <v>37523.919999999998</v>
      </c>
      <c r="U152" s="428">
        <f>38894.39-857.775</f>
        <v>38036.614999999998</v>
      </c>
      <c r="V152" s="428">
        <f>39517.237-877.381</f>
        <v>38639.856</v>
      </c>
      <c r="W152" s="429">
        <f>40433.508-907.293</f>
        <v>39526.215000000004</v>
      </c>
      <c r="X152" s="107">
        <f>+W152</f>
        <v>39526.215000000004</v>
      </c>
      <c r="Y152" s="427">
        <f>40561.489-899.158</f>
        <v>39662.330999999998</v>
      </c>
      <c r="Z152" s="428">
        <f>40955.813-876.011</f>
        <v>40079.802000000003</v>
      </c>
      <c r="AA152" s="428">
        <f>41295.087-877.375</f>
        <v>40417.712</v>
      </c>
      <c r="AB152" s="429">
        <f>41422.933-854.617</f>
        <v>40568.315999999999</v>
      </c>
      <c r="AC152" s="107">
        <f>+AB152</f>
        <v>40568.315999999999</v>
      </c>
      <c r="AD152" s="427">
        <f>41767.8-891.396</f>
        <v>40876.404000000002</v>
      </c>
      <c r="AE152" s="428">
        <f>42116.32-892.795</f>
        <v>41223.525000000001</v>
      </c>
      <c r="AF152" s="428">
        <f>42426.057-859.745</f>
        <v>41566.311999999998</v>
      </c>
      <c r="AG152" s="429">
        <f>42979.036-839.694</f>
        <v>42139.341999999997</v>
      </c>
      <c r="AH152" s="107">
        <f>+AG152</f>
        <v>42139.341999999997</v>
      </c>
      <c r="AI152" s="427">
        <f>43252.642-851.478</f>
        <v>42401.163999999997</v>
      </c>
      <c r="AJ152" s="428">
        <f>43554.4-806.776</f>
        <v>42747.624000000003</v>
      </c>
      <c r="AK152" s="428">
        <f>44085.498-842.369</f>
        <v>43243.129000000001</v>
      </c>
      <c r="AL152" s="429">
        <f>44607.796-856.573</f>
        <v>43751.223000000005</v>
      </c>
      <c r="AM152" s="107">
        <f>+AL152</f>
        <v>43751.223000000005</v>
      </c>
      <c r="AN152" s="427">
        <f>46271.743-845.285</f>
        <v>45426.457999999999</v>
      </c>
      <c r="AO152" s="428">
        <f>46476.434-808.573</f>
        <v>45667.861000000004</v>
      </c>
      <c r="AP152" s="428">
        <f>47108.465-769.698</f>
        <v>46338.767</v>
      </c>
      <c r="AQ152" s="429">
        <f>47357.647-816.794-1334.169</f>
        <v>45206.683999999994</v>
      </c>
      <c r="AR152" s="107">
        <f>+AQ152</f>
        <v>45206.683999999994</v>
      </c>
      <c r="AS152" s="427">
        <f>47804.161-847.143-1546.643</f>
        <v>45410.375</v>
      </c>
      <c r="AT152" s="428">
        <f>48465.858-821.16-1694.901</f>
        <v>45949.796999999999</v>
      </c>
      <c r="AU152" s="428">
        <f>49225.866-765.152-2146.759</f>
        <v>46313.955000000002</v>
      </c>
      <c r="AV152" s="429">
        <f>50178.365-1949.769-822.26</f>
        <v>47406.335999999996</v>
      </c>
      <c r="AW152" s="107">
        <f>+AV152</f>
        <v>47406.335999999996</v>
      </c>
      <c r="AX152" s="177">
        <f>+AW152+AX168</f>
        <v>48386.335999999996</v>
      </c>
      <c r="AY152" s="178">
        <f>+AX152+AY168</f>
        <v>49366.335999999996</v>
      </c>
      <c r="AZ152" s="178">
        <f>+AY152+AZ168</f>
        <v>50346.335999999996</v>
      </c>
      <c r="BA152" s="179">
        <f>+AZ152+BA168</f>
        <v>51326.335999999996</v>
      </c>
      <c r="BB152" s="107">
        <f>+BA152</f>
        <v>51326.335999999996</v>
      </c>
      <c r="BC152" s="177">
        <f>+BB152+BC168</f>
        <v>52236.335999999996</v>
      </c>
      <c r="BD152" s="178">
        <f>+BC152+BD168</f>
        <v>53146.335999999996</v>
      </c>
      <c r="BE152" s="178">
        <f>+BD152+BE168</f>
        <v>54056.335999999996</v>
      </c>
      <c r="BF152" s="179">
        <f>+BE152+BF168</f>
        <v>54966.335999999996</v>
      </c>
      <c r="BG152" s="107">
        <f>+BF152</f>
        <v>54966.335999999996</v>
      </c>
      <c r="BH152" s="177">
        <f>+BG152+BH168</f>
        <v>55791.335999999996</v>
      </c>
      <c r="BI152" s="178">
        <f>+BH152+BI168</f>
        <v>56616.335999999996</v>
      </c>
      <c r="BJ152" s="178">
        <f>+BI152+BJ168</f>
        <v>57441.335999999996</v>
      </c>
      <c r="BK152" s="179">
        <f>+BJ152+BK168</f>
        <v>58266.335999999996</v>
      </c>
      <c r="BL152" s="107">
        <f>+BK152</f>
        <v>58266.335999999996</v>
      </c>
      <c r="BM152" s="177">
        <f>+BL152+BM168</f>
        <v>59158.00266666666</v>
      </c>
      <c r="BN152" s="178">
        <f>+BM152+BN168</f>
        <v>60049.669333333324</v>
      </c>
      <c r="BO152" s="178">
        <f>+BN152+BO168</f>
        <v>60941.335999999988</v>
      </c>
      <c r="BP152" s="179">
        <f>+BO152+BP168</f>
        <v>61833.002666666653</v>
      </c>
      <c r="BQ152" s="107">
        <f>+BP152</f>
        <v>61833.002666666653</v>
      </c>
    </row>
    <row r="153" spans="1:71">
      <c r="A153" s="320"/>
      <c r="B153" s="320"/>
      <c r="C153" s="1174" t="s">
        <v>612</v>
      </c>
      <c r="D153" s="320"/>
      <c r="E153" s="427">
        <v>-15286.825000000001</v>
      </c>
      <c r="F153" s="428">
        <v>-15405.044</v>
      </c>
      <c r="G153" s="428">
        <v>-15540.361999999999</v>
      </c>
      <c r="H153" s="429">
        <v>-15744.157999999999</v>
      </c>
      <c r="I153" s="107">
        <f>+H153</f>
        <v>-15744.157999999999</v>
      </c>
      <c r="J153" s="427">
        <v>-15863.93</v>
      </c>
      <c r="K153" s="428">
        <v>-16032.362999999999</v>
      </c>
      <c r="L153" s="428">
        <v>-16543.079000000002</v>
      </c>
      <c r="M153" s="429">
        <v>-16690.91</v>
      </c>
      <c r="N153" s="107">
        <f>+M153</f>
        <v>-16690.91</v>
      </c>
      <c r="O153" s="427">
        <v>-16838.039000000001</v>
      </c>
      <c r="P153" s="428">
        <v>-17034.361000000001</v>
      </c>
      <c r="Q153" s="428">
        <v>-17202.625</v>
      </c>
      <c r="R153" s="429">
        <v>-17238.272000000001</v>
      </c>
      <c r="S153" s="107">
        <f>+R153</f>
        <v>-17238.272000000001</v>
      </c>
      <c r="T153" s="427">
        <v>-17425.291000000001</v>
      </c>
      <c r="U153" s="428">
        <v>-17553.541000000001</v>
      </c>
      <c r="V153" s="428">
        <v>-17714.3</v>
      </c>
      <c r="W153" s="429">
        <v>-17840.386999999999</v>
      </c>
      <c r="X153" s="107">
        <f>+W153</f>
        <v>-17840.386999999999</v>
      </c>
      <c r="Y153" s="427">
        <v>-17967.918000000001</v>
      </c>
      <c r="Z153" s="428">
        <v>-18200.282999999999</v>
      </c>
      <c r="AA153" s="428">
        <v>-18360.23</v>
      </c>
      <c r="AB153" s="429">
        <v>-18199.511999999999</v>
      </c>
      <c r="AC153" s="107">
        <f>+AB153</f>
        <v>-18199.511999999999</v>
      </c>
      <c r="AD153" s="427">
        <v>-18383.702000000001</v>
      </c>
      <c r="AE153" s="428">
        <v>-18595.2</v>
      </c>
      <c r="AF153" s="428">
        <v>-18822.804</v>
      </c>
      <c r="AG153" s="429">
        <v>-19007.188999999998</v>
      </c>
      <c r="AH153" s="107">
        <f>+AG153</f>
        <v>-19007.188999999998</v>
      </c>
      <c r="AI153" s="427">
        <v>-19162.982</v>
      </c>
      <c r="AJ153" s="428">
        <v>-19358.812999999998</v>
      </c>
      <c r="AK153" s="428">
        <v>-19601.975999999999</v>
      </c>
      <c r="AL153" s="429">
        <v>-19654.374</v>
      </c>
      <c r="AM153" s="107">
        <f>+AL153</f>
        <v>-19654.374</v>
      </c>
      <c r="AN153" s="427">
        <v>-20146.691999999999</v>
      </c>
      <c r="AO153" s="428">
        <v>-20182.991999999998</v>
      </c>
      <c r="AP153" s="428">
        <v>-20539.405999999999</v>
      </c>
      <c r="AQ153" s="429">
        <v>-20290.63</v>
      </c>
      <c r="AR153" s="107">
        <f>+AQ153</f>
        <v>-20290.63</v>
      </c>
      <c r="AS153" s="427">
        <v>-20361.674999999999</v>
      </c>
      <c r="AT153" s="428">
        <v>-20564.923999999999</v>
      </c>
      <c r="AU153" s="428">
        <v>-20817.526000000002</v>
      </c>
      <c r="AV153" s="429">
        <v>-21003.294999999998</v>
      </c>
      <c r="AW153" s="107">
        <f>+AV153</f>
        <v>-21003.294999999998</v>
      </c>
      <c r="AX153" s="177">
        <f>+AW153-AX159</f>
        <v>-21313.530731749997</v>
      </c>
      <c r="AY153" s="178">
        <f>+AX153-AY159</f>
        <v>-21631.636193651935</v>
      </c>
      <c r="AZ153" s="178">
        <f>+AY153-AZ159</f>
        <v>-21957.518916376524</v>
      </c>
      <c r="BA153" s="179">
        <f>+AZ153-BA159</f>
        <v>-22291.087517109099</v>
      </c>
      <c r="BB153" s="107">
        <f>+BA153</f>
        <v>-22291.087517109099</v>
      </c>
      <c r="BC153" s="177">
        <f>+BB153-BC159</f>
        <v>-22624.992874662345</v>
      </c>
      <c r="BD153" s="178">
        <f>+BC153-BD159</f>
        <v>-22965.523320603726</v>
      </c>
      <c r="BE153" s="178">
        <f>+BD153-BE159</f>
        <v>-23312.602666416784</v>
      </c>
      <c r="BF153" s="179">
        <f>+BE153-BF159</f>
        <v>-23666.15559975299</v>
      </c>
      <c r="BG153" s="107">
        <f>+BF153</f>
        <v>-23666.15559975299</v>
      </c>
      <c r="BH153" s="177">
        <f>+BG153-BH159</f>
        <v>-24026.10767435583</v>
      </c>
      <c r="BI153" s="178">
        <f>+BH153-BI159</f>
        <v>-24391.407800100736</v>
      </c>
      <c r="BJ153" s="178">
        <f>+BI153-BJ159</f>
        <v>-24761.994474399577</v>
      </c>
      <c r="BK153" s="179">
        <f>+BJ153-BK159</f>
        <v>-25137.806901943983</v>
      </c>
      <c r="BL153" s="107">
        <f>+BK153</f>
        <v>-25137.806901943983</v>
      </c>
      <c r="BM153" s="177">
        <f>+BL153-BM159</f>
        <v>-25518.784986571627</v>
      </c>
      <c r="BN153" s="178">
        <f>+BM153-BN159</f>
        <v>-25905.635989892718</v>
      </c>
      <c r="BO153" s="178">
        <f>+BN153-BO159</f>
        <v>-26298.292373342287</v>
      </c>
      <c r="BP153" s="179">
        <f>+BO153-BP159</f>
        <v>-26696.687375048852</v>
      </c>
      <c r="BQ153" s="107">
        <f>+BP153</f>
        <v>-26696.687375048852</v>
      </c>
    </row>
    <row r="154" spans="1:71">
      <c r="A154" s="327"/>
      <c r="B154" s="327"/>
      <c r="C154" s="1173" t="s">
        <v>385</v>
      </c>
      <c r="D154" s="327"/>
      <c r="E154" s="180">
        <f>+SUM(E152:E153)</f>
        <v>16945.114999999998</v>
      </c>
      <c r="F154" s="181">
        <f t="shared" ref="F154:Y154" si="375">+SUM(F152:F153)</f>
        <v>17048.290999999997</v>
      </c>
      <c r="G154" s="181">
        <f t="shared" si="375"/>
        <v>17267.118999999999</v>
      </c>
      <c r="H154" s="182">
        <f t="shared" si="375"/>
        <v>17384.091000000004</v>
      </c>
      <c r="I154" s="110">
        <f>+SUM(I152:I153)</f>
        <v>17384.091000000004</v>
      </c>
      <c r="J154" s="180">
        <f t="shared" si="375"/>
        <v>16401.613000000001</v>
      </c>
      <c r="K154" s="181">
        <f t="shared" si="375"/>
        <v>17239.057000000001</v>
      </c>
      <c r="L154" s="181">
        <f t="shared" si="375"/>
        <v>18507.655999999999</v>
      </c>
      <c r="M154" s="182">
        <f t="shared" si="375"/>
        <v>18746.937000000002</v>
      </c>
      <c r="N154" s="110">
        <f t="shared" si="375"/>
        <v>18746.937000000002</v>
      </c>
      <c r="O154" s="180">
        <f t="shared" si="375"/>
        <v>17560.429999999997</v>
      </c>
      <c r="P154" s="181">
        <f t="shared" si="375"/>
        <v>19415.544999999995</v>
      </c>
      <c r="Q154" s="181">
        <f t="shared" si="375"/>
        <v>19586.084999999999</v>
      </c>
      <c r="R154" s="182">
        <f t="shared" si="375"/>
        <v>19822.435999999998</v>
      </c>
      <c r="S154" s="110">
        <f t="shared" si="375"/>
        <v>19822.435999999998</v>
      </c>
      <c r="T154" s="180">
        <f t="shared" si="375"/>
        <v>20098.628999999997</v>
      </c>
      <c r="U154" s="181">
        <f t="shared" si="375"/>
        <v>20483.073999999997</v>
      </c>
      <c r="V154" s="181">
        <f t="shared" si="375"/>
        <v>20925.556</v>
      </c>
      <c r="W154" s="182">
        <f t="shared" si="375"/>
        <v>21685.828000000005</v>
      </c>
      <c r="X154" s="110">
        <f t="shared" si="375"/>
        <v>21685.828000000005</v>
      </c>
      <c r="Y154" s="180">
        <f t="shared" si="375"/>
        <v>21694.412999999997</v>
      </c>
      <c r="Z154" s="181">
        <f>+SUM(Z152:Z153)</f>
        <v>21879.519000000004</v>
      </c>
      <c r="AA154" s="181">
        <f>+SUM(AA152:AA153)</f>
        <v>22057.482</v>
      </c>
      <c r="AB154" s="182">
        <f>+SUM(AB152:AB153)</f>
        <v>22368.804</v>
      </c>
      <c r="AC154" s="110">
        <f>+SUM(AC152:AC153)</f>
        <v>22368.804</v>
      </c>
      <c r="AD154" s="180">
        <f>+SUM(AD152:AD153)</f>
        <v>22492.702000000001</v>
      </c>
      <c r="AE154" s="181">
        <f t="shared" ref="AE154:AP154" si="376">+SUM(AE152:AE153)</f>
        <v>22628.325000000001</v>
      </c>
      <c r="AF154" s="181">
        <f>+SUM(AF152:AF153)</f>
        <v>22743.507999999998</v>
      </c>
      <c r="AG154" s="182">
        <f>+SUM(AG152:AG153)</f>
        <v>23132.152999999998</v>
      </c>
      <c r="AH154" s="110">
        <f>+SUM(AH152:AH153)</f>
        <v>23132.152999999998</v>
      </c>
      <c r="AI154" s="180">
        <f>+SUM(AI152:AI153)</f>
        <v>23238.181999999997</v>
      </c>
      <c r="AJ154" s="181">
        <f t="shared" ref="AJ154" si="377">+SUM(AJ152:AJ153)</f>
        <v>23388.811000000005</v>
      </c>
      <c r="AK154" s="181">
        <f>+SUM(AK152:AK153)</f>
        <v>23641.153000000002</v>
      </c>
      <c r="AL154" s="182">
        <f>+SUM(AL152:AL153)</f>
        <v>24096.849000000006</v>
      </c>
      <c r="AM154" s="110">
        <f>+SUM(AM152:AM153)</f>
        <v>24096.849000000006</v>
      </c>
      <c r="AN154" s="180">
        <f>+SUM(AN152:AN153)</f>
        <v>25279.766</v>
      </c>
      <c r="AO154" s="181">
        <f t="shared" ref="AO154" si="378">+SUM(AO152:AO153)</f>
        <v>25484.869000000006</v>
      </c>
      <c r="AP154" s="181">
        <f t="shared" si="376"/>
        <v>25799.361000000001</v>
      </c>
      <c r="AQ154" s="182">
        <f>+SUM(AQ152:AQ153)</f>
        <v>24916.053999999993</v>
      </c>
      <c r="AR154" s="110">
        <f>+SUM(AR152:AR153)</f>
        <v>24916.053999999993</v>
      </c>
      <c r="AS154" s="180">
        <f>+SUM(AS152:AS153)</f>
        <v>25048.7</v>
      </c>
      <c r="AT154" s="181">
        <f t="shared" ref="AT154:BB154" si="379">+SUM(AT152:AT153)</f>
        <v>25384.873</v>
      </c>
      <c r="AU154" s="181">
        <f t="shared" si="379"/>
        <v>25496.429</v>
      </c>
      <c r="AV154" s="182">
        <f t="shared" si="379"/>
        <v>26403.040999999997</v>
      </c>
      <c r="AW154" s="110">
        <f t="shared" si="379"/>
        <v>26403.040999999997</v>
      </c>
      <c r="AX154" s="180">
        <f t="shared" si="379"/>
        <v>27072.805268249998</v>
      </c>
      <c r="AY154" s="181">
        <f t="shared" si="379"/>
        <v>27734.699806348061</v>
      </c>
      <c r="AZ154" s="181">
        <f t="shared" si="379"/>
        <v>28388.817083623471</v>
      </c>
      <c r="BA154" s="182">
        <f t="shared" si="379"/>
        <v>29035.248482890896</v>
      </c>
      <c r="BB154" s="110">
        <f t="shared" si="379"/>
        <v>29035.248482890896</v>
      </c>
      <c r="BC154" s="180">
        <f t="shared" ref="BC154:BL154" si="380">+SUM(BC152:BC153)</f>
        <v>29611.343125337651</v>
      </c>
      <c r="BD154" s="181">
        <f t="shared" si="380"/>
        <v>30180.812679396269</v>
      </c>
      <c r="BE154" s="181">
        <f t="shared" si="380"/>
        <v>30743.733333583212</v>
      </c>
      <c r="BF154" s="182">
        <f t="shared" si="380"/>
        <v>31300.180400247005</v>
      </c>
      <c r="BG154" s="110">
        <f t="shared" si="380"/>
        <v>31300.180400247005</v>
      </c>
      <c r="BH154" s="180">
        <f t="shared" si="380"/>
        <v>31765.228325644166</v>
      </c>
      <c r="BI154" s="181">
        <f t="shared" si="380"/>
        <v>32224.928199899259</v>
      </c>
      <c r="BJ154" s="181">
        <f t="shared" si="380"/>
        <v>32679.341525600419</v>
      </c>
      <c r="BK154" s="182">
        <f t="shared" si="380"/>
        <v>33128.529098056009</v>
      </c>
      <c r="BL154" s="110">
        <f t="shared" si="380"/>
        <v>33128.529098056009</v>
      </c>
      <c r="BM154" s="180">
        <f t="shared" ref="BM154:BQ154" si="381">+SUM(BM152:BM153)</f>
        <v>33639.217680095033</v>
      </c>
      <c r="BN154" s="181">
        <f t="shared" si="381"/>
        <v>34144.033343440606</v>
      </c>
      <c r="BO154" s="181">
        <f t="shared" si="381"/>
        <v>34643.043626657702</v>
      </c>
      <c r="BP154" s="182">
        <f t="shared" si="381"/>
        <v>35136.315291617801</v>
      </c>
      <c r="BQ154" s="110">
        <f t="shared" si="381"/>
        <v>35136.315291617801</v>
      </c>
    </row>
    <row r="155" spans="1:71">
      <c r="A155" s="320"/>
      <c r="B155" s="320"/>
      <c r="C155" s="1174"/>
      <c r="D155" s="320"/>
      <c r="E155" s="177"/>
      <c r="F155" s="178"/>
      <c r="G155" s="178"/>
      <c r="H155" s="179"/>
      <c r="I155" s="107"/>
      <c r="J155" s="217"/>
      <c r="K155" s="218"/>
      <c r="L155" s="218"/>
      <c r="M155" s="219"/>
      <c r="N155" s="107"/>
      <c r="O155" s="217"/>
      <c r="P155" s="178"/>
      <c r="Q155" s="178"/>
      <c r="R155" s="179"/>
      <c r="S155" s="107"/>
      <c r="T155" s="217"/>
      <c r="U155" s="178"/>
      <c r="V155" s="178"/>
      <c r="W155" s="179"/>
      <c r="X155" s="107"/>
      <c r="Y155" s="177"/>
      <c r="Z155" s="178"/>
      <c r="AA155" s="178"/>
      <c r="AB155" s="179"/>
      <c r="AC155" s="107"/>
      <c r="AD155" s="177"/>
      <c r="AE155" s="178"/>
      <c r="AF155" s="178"/>
      <c r="AG155" s="179"/>
      <c r="AH155" s="107"/>
      <c r="AI155" s="177"/>
      <c r="AJ155" s="178"/>
      <c r="AK155" s="178"/>
      <c r="AL155" s="179"/>
      <c r="AM155" s="107"/>
      <c r="AN155" s="177"/>
      <c r="AO155" s="178"/>
      <c r="AP155" s="178"/>
      <c r="AQ155" s="179"/>
      <c r="AR155" s="107"/>
      <c r="AS155" s="177"/>
      <c r="AT155" s="178"/>
      <c r="AU155" s="178"/>
      <c r="AV155" s="179"/>
      <c r="AW155" s="107"/>
      <c r="AX155" s="177"/>
      <c r="AY155" s="178"/>
      <c r="AZ155" s="178"/>
      <c r="BA155" s="179"/>
      <c r="BB155" s="107"/>
      <c r="BC155" s="177"/>
      <c r="BD155" s="178"/>
      <c r="BE155" s="178"/>
      <c r="BF155" s="179"/>
      <c r="BG155" s="107"/>
      <c r="BH155" s="177"/>
      <c r="BI155" s="178"/>
      <c r="BJ155" s="178"/>
      <c r="BK155" s="179"/>
      <c r="BL155" s="107"/>
      <c r="BM155" s="177"/>
      <c r="BN155" s="178"/>
      <c r="BO155" s="178"/>
      <c r="BP155" s="179"/>
      <c r="BQ155" s="107"/>
    </row>
    <row r="156" spans="1:71">
      <c r="A156" s="320"/>
      <c r="B156" s="320"/>
      <c r="C156" s="1174" t="s">
        <v>35</v>
      </c>
      <c r="D156" s="320"/>
      <c r="E156" s="427">
        <v>1000</v>
      </c>
      <c r="F156" s="428">
        <v>1177.038</v>
      </c>
      <c r="G156" s="428">
        <v>1034.338</v>
      </c>
      <c r="H156" s="429">
        <v>1073.338</v>
      </c>
      <c r="I156" s="107">
        <f>+H156</f>
        <v>1073.338</v>
      </c>
      <c r="J156" s="427">
        <v>1160.9090000000001</v>
      </c>
      <c r="K156" s="428">
        <v>1159.153</v>
      </c>
      <c r="L156" s="428">
        <v>1165.0060000000001</v>
      </c>
      <c r="M156" s="429">
        <v>1661.56</v>
      </c>
      <c r="N156" s="107">
        <f>+M156</f>
        <v>1661.56</v>
      </c>
      <c r="O156" s="427">
        <v>1359.403</v>
      </c>
      <c r="P156" s="428">
        <v>1435.152</v>
      </c>
      <c r="Q156" s="428">
        <v>1553.4290000000001</v>
      </c>
      <c r="R156" s="429">
        <v>1420.163</v>
      </c>
      <c r="S156" s="107">
        <f>+R156</f>
        <v>1420.163</v>
      </c>
      <c r="T156" s="427">
        <v>1665.761</v>
      </c>
      <c r="U156" s="428">
        <v>1206.2090000000001</v>
      </c>
      <c r="V156" s="428">
        <v>1608.941</v>
      </c>
      <c r="W156" s="429">
        <v>973.07100000000003</v>
      </c>
      <c r="X156" s="107">
        <f>+W156</f>
        <v>973.07100000000003</v>
      </c>
      <c r="Y156" s="427">
        <v>1021.823</v>
      </c>
      <c r="Z156" s="428">
        <v>1177.711</v>
      </c>
      <c r="AA156" s="428">
        <v>1243.239</v>
      </c>
      <c r="AB156" s="429">
        <v>1217.1379999999999</v>
      </c>
      <c r="AC156" s="107">
        <f>+AB156</f>
        <v>1217.1379999999999</v>
      </c>
      <c r="AD156" s="427">
        <v>1301.7760000000001</v>
      </c>
      <c r="AE156" s="428">
        <v>1309.3030000000001</v>
      </c>
      <c r="AF156" s="428">
        <v>1446.857</v>
      </c>
      <c r="AG156" s="429">
        <v>970.62900000000002</v>
      </c>
      <c r="AH156" s="107">
        <f>+AG156</f>
        <v>970.62900000000002</v>
      </c>
      <c r="AI156" s="427">
        <v>917.67899999999997</v>
      </c>
      <c r="AJ156" s="428">
        <v>973.57299999999998</v>
      </c>
      <c r="AK156" s="428">
        <v>1077.7739999999999</v>
      </c>
      <c r="AL156" s="429">
        <v>1326.7280000000001</v>
      </c>
      <c r="AM156" s="107">
        <f>+AL156</f>
        <v>1326.7280000000001</v>
      </c>
      <c r="AN156" s="427">
        <v>1271.9359999999999</v>
      </c>
      <c r="AO156" s="428">
        <v>1121.288</v>
      </c>
      <c r="AP156" s="428">
        <v>1299.6320000000001</v>
      </c>
      <c r="AQ156" s="429">
        <v>1334.1690000000001</v>
      </c>
      <c r="AR156" s="107">
        <f>+AQ156</f>
        <v>1334.1690000000001</v>
      </c>
      <c r="AS156" s="427">
        <v>1546.643</v>
      </c>
      <c r="AT156" s="428">
        <v>1694.9010000000001</v>
      </c>
      <c r="AU156" s="428">
        <v>2146.759</v>
      </c>
      <c r="AV156" s="429">
        <v>1949.769</v>
      </c>
      <c r="AW156" s="107">
        <f>+AV156</f>
        <v>1949.769</v>
      </c>
      <c r="AX156" s="177">
        <f>+AX162*BB168</f>
        <v>2171.3336590909094</v>
      </c>
      <c r="AY156" s="178">
        <f>+AY162*BB168</f>
        <v>2171.3336590909094</v>
      </c>
      <c r="AZ156" s="178">
        <f>+AZ162*BB168</f>
        <v>2171.3336590909094</v>
      </c>
      <c r="BA156" s="179">
        <f>+BA162*BB168</f>
        <v>2171.3336590909094</v>
      </c>
      <c r="BB156" s="107">
        <f>+BA156</f>
        <v>2171.3336590909094</v>
      </c>
      <c r="BC156" s="177">
        <f>+BC162*BG168</f>
        <v>2016.2383977272727</v>
      </c>
      <c r="BD156" s="178">
        <f>+BD162*BG168</f>
        <v>2016.2383977272727</v>
      </c>
      <c r="BE156" s="178">
        <f>+BE162*BG168</f>
        <v>2016.2383977272727</v>
      </c>
      <c r="BF156" s="179">
        <f>+BF162*BG168</f>
        <v>2016.2383977272727</v>
      </c>
      <c r="BG156" s="107">
        <f>+BF156</f>
        <v>2016.2383977272727</v>
      </c>
      <c r="BH156" s="177">
        <f>+BH162*BL168</f>
        <v>1827.9084375</v>
      </c>
      <c r="BI156" s="178">
        <f>+BI162*BL168</f>
        <v>1827.9084375</v>
      </c>
      <c r="BJ156" s="178">
        <f>+BJ162*BL168</f>
        <v>1827.9084375</v>
      </c>
      <c r="BK156" s="179">
        <f>+BK162*BL168</f>
        <v>1827.9084375</v>
      </c>
      <c r="BL156" s="107">
        <f>+BK156</f>
        <v>1827.9084375</v>
      </c>
      <c r="BM156" s="177">
        <f>+BM162*BQ168</f>
        <v>1975.6182102272728</v>
      </c>
      <c r="BN156" s="178">
        <f>+BN162*BQ168</f>
        <v>1975.6182102272728</v>
      </c>
      <c r="BO156" s="178">
        <f>+BO162*BQ168</f>
        <v>1975.6182102272728</v>
      </c>
      <c r="BP156" s="179">
        <f>+BP162*BQ168</f>
        <v>1975.6182102272728</v>
      </c>
      <c r="BQ156" s="107">
        <f>+BP156</f>
        <v>1975.6182102272728</v>
      </c>
    </row>
    <row r="157" spans="1:71">
      <c r="A157" s="320"/>
      <c r="B157" s="320"/>
      <c r="C157" s="1174" t="s">
        <v>803</v>
      </c>
      <c r="D157" s="320"/>
      <c r="E157" s="427">
        <v>443.75900000000001</v>
      </c>
      <c r="F157" s="428">
        <v>447.18099999999998</v>
      </c>
      <c r="G157" s="428">
        <v>518.99599999999998</v>
      </c>
      <c r="H157" s="429">
        <v>554.40200000000004</v>
      </c>
      <c r="I157" s="107">
        <f>+H157</f>
        <v>554.40200000000004</v>
      </c>
      <c r="J157" s="427">
        <v>621.75800000000004</v>
      </c>
      <c r="K157" s="428">
        <v>588.51499999999999</v>
      </c>
      <c r="L157" s="428">
        <v>681.2</v>
      </c>
      <c r="M157" s="429">
        <v>760.14</v>
      </c>
      <c r="N157" s="107">
        <f>+M157</f>
        <v>760.14</v>
      </c>
      <c r="O157" s="427">
        <v>825.97799999999995</v>
      </c>
      <c r="P157" s="428">
        <v>770.27300000000002</v>
      </c>
      <c r="Q157" s="428">
        <v>731.21799999999996</v>
      </c>
      <c r="R157" s="429">
        <v>801.97199999999998</v>
      </c>
      <c r="S157" s="107">
        <f>+R157</f>
        <v>801.97199999999998</v>
      </c>
      <c r="T157" s="427">
        <v>814.95799999999997</v>
      </c>
      <c r="U157" s="428">
        <v>857.77499999999998</v>
      </c>
      <c r="V157" s="428">
        <v>877.38099999999997</v>
      </c>
      <c r="W157" s="429">
        <v>907.29300000000001</v>
      </c>
      <c r="X157" s="107">
        <f>+W157</f>
        <v>907.29300000000001</v>
      </c>
      <c r="Y157" s="427">
        <v>899.15800000000002</v>
      </c>
      <c r="Z157" s="428">
        <v>876.01099999999997</v>
      </c>
      <c r="AA157" s="428">
        <v>877.375</v>
      </c>
      <c r="AB157" s="429">
        <v>854.61699999999996</v>
      </c>
      <c r="AC157" s="107">
        <f>+AB157</f>
        <v>854.61699999999996</v>
      </c>
      <c r="AD157" s="427">
        <v>891.39599999999996</v>
      </c>
      <c r="AE157" s="428">
        <v>892.79499999999996</v>
      </c>
      <c r="AF157" s="428">
        <v>859.745</v>
      </c>
      <c r="AG157" s="429">
        <v>839.69399999999996</v>
      </c>
      <c r="AH157" s="107">
        <f>+AG157</f>
        <v>839.69399999999996</v>
      </c>
      <c r="AI157" s="427">
        <v>851.47799999999995</v>
      </c>
      <c r="AJ157" s="428">
        <v>806.77599999999995</v>
      </c>
      <c r="AK157" s="428">
        <v>842.36900000000003</v>
      </c>
      <c r="AL157" s="429">
        <v>856.57299999999998</v>
      </c>
      <c r="AM157" s="107">
        <f>+AL157</f>
        <v>856.57299999999998</v>
      </c>
      <c r="AN157" s="427">
        <v>845.28499999999997</v>
      </c>
      <c r="AO157" s="428">
        <v>808.57299999999998</v>
      </c>
      <c r="AP157" s="428">
        <v>769.69799999999998</v>
      </c>
      <c r="AQ157" s="429">
        <v>816.79399999999998</v>
      </c>
      <c r="AR157" s="107">
        <f>+AQ157</f>
        <v>816.79399999999998</v>
      </c>
      <c r="AS157" s="427">
        <v>847.14300000000003</v>
      </c>
      <c r="AT157" s="428">
        <v>821.16</v>
      </c>
      <c r="AU157" s="428">
        <v>765.15200000000004</v>
      </c>
      <c r="AV157" s="429">
        <v>822.26</v>
      </c>
      <c r="AW157" s="107">
        <f>+AV157</f>
        <v>822.26</v>
      </c>
      <c r="AX157" s="177">
        <f>+AV157</f>
        <v>822.26</v>
      </c>
      <c r="AY157" s="178">
        <f>+AX157</f>
        <v>822.26</v>
      </c>
      <c r="AZ157" s="178">
        <f>+AY157</f>
        <v>822.26</v>
      </c>
      <c r="BA157" s="179">
        <f>+AZ157</f>
        <v>822.26</v>
      </c>
      <c r="BB157" s="107">
        <f>+BA157</f>
        <v>822.26</v>
      </c>
      <c r="BC157" s="177">
        <f>+BA157</f>
        <v>822.26</v>
      </c>
      <c r="BD157" s="178">
        <f>+BC157</f>
        <v>822.26</v>
      </c>
      <c r="BE157" s="178">
        <f>+BD157</f>
        <v>822.26</v>
      </c>
      <c r="BF157" s="179">
        <f>+BE157</f>
        <v>822.26</v>
      </c>
      <c r="BG157" s="107">
        <f>+BF157</f>
        <v>822.26</v>
      </c>
      <c r="BH157" s="177">
        <f>+BF157</f>
        <v>822.26</v>
      </c>
      <c r="BI157" s="178">
        <f>+BH157</f>
        <v>822.26</v>
      </c>
      <c r="BJ157" s="178">
        <f>+BI157</f>
        <v>822.26</v>
      </c>
      <c r="BK157" s="179">
        <f>+BJ157</f>
        <v>822.26</v>
      </c>
      <c r="BL157" s="107">
        <f>+BK157</f>
        <v>822.26</v>
      </c>
      <c r="BM157" s="177">
        <f>+BK157</f>
        <v>822.26</v>
      </c>
      <c r="BN157" s="178">
        <f>+BM157</f>
        <v>822.26</v>
      </c>
      <c r="BO157" s="178">
        <f>+BN157</f>
        <v>822.26</v>
      </c>
      <c r="BP157" s="179">
        <f>+BO157</f>
        <v>822.26</v>
      </c>
      <c r="BQ157" s="107">
        <f>+BP157</f>
        <v>822.26</v>
      </c>
    </row>
    <row r="158" spans="1:71">
      <c r="A158" s="320"/>
      <c r="B158" s="320"/>
      <c r="C158" s="129"/>
      <c r="D158" s="320"/>
      <c r="E158" s="174"/>
      <c r="F158" s="175"/>
      <c r="G158" s="175"/>
      <c r="H158" s="176"/>
      <c r="I158" s="107"/>
      <c r="J158" s="174"/>
      <c r="K158" s="175"/>
      <c r="L158" s="175"/>
      <c r="M158" s="176"/>
      <c r="N158" s="107"/>
      <c r="O158" s="174"/>
      <c r="P158" s="175"/>
      <c r="Q158" s="175"/>
      <c r="R158" s="176"/>
      <c r="S158" s="107"/>
      <c r="T158" s="174"/>
      <c r="U158" s="175"/>
      <c r="V158" s="175"/>
      <c r="W158" s="176"/>
      <c r="X158" s="107"/>
      <c r="Y158" s="174"/>
      <c r="Z158" s="175"/>
      <c r="AA158" s="175"/>
      <c r="AB158" s="176"/>
      <c r="AC158" s="107"/>
      <c r="AD158" s="174"/>
      <c r="AE158" s="175"/>
      <c r="AF158" s="175"/>
      <c r="AG158" s="176"/>
      <c r="AH158" s="107"/>
      <c r="AI158" s="174"/>
      <c r="AJ158" s="175"/>
      <c r="AK158" s="175"/>
      <c r="AL158" s="176"/>
      <c r="AM158" s="107"/>
      <c r="AN158" s="174"/>
      <c r="AO158" s="175"/>
      <c r="AP158" s="175"/>
      <c r="AQ158" s="176"/>
      <c r="AR158" s="107"/>
      <c r="AS158" s="174"/>
      <c r="AT158" s="175"/>
      <c r="AU158" s="175"/>
      <c r="AV158" s="176"/>
      <c r="AW158" s="107"/>
      <c r="AX158" s="174"/>
      <c r="AY158" s="175"/>
      <c r="AZ158" s="175"/>
      <c r="BA158" s="176"/>
      <c r="BB158" s="107"/>
      <c r="BC158" s="174"/>
      <c r="BD158" s="175"/>
      <c r="BE158" s="175"/>
      <c r="BF158" s="176"/>
      <c r="BG158" s="107"/>
      <c r="BH158" s="174"/>
      <c r="BI158" s="175"/>
      <c r="BJ158" s="175"/>
      <c r="BK158" s="176"/>
      <c r="BL158" s="107"/>
      <c r="BM158" s="174"/>
      <c r="BN158" s="175"/>
      <c r="BO158" s="175"/>
      <c r="BP158" s="176"/>
      <c r="BQ158" s="107"/>
    </row>
    <row r="159" spans="1:71" s="37" customFormat="1">
      <c r="A159" s="327"/>
      <c r="B159" s="327"/>
      <c r="C159" s="1173" t="s">
        <v>185</v>
      </c>
      <c r="D159" s="327"/>
      <c r="E159" s="180">
        <f>+E23</f>
        <v>220.36</v>
      </c>
      <c r="F159" s="181">
        <f t="shared" ref="F159:X159" si="382">+F23</f>
        <v>221.92</v>
      </c>
      <c r="G159" s="181">
        <f t="shared" si="382"/>
        <v>240.84399999999999</v>
      </c>
      <c r="H159" s="182">
        <f t="shared" si="382"/>
        <v>243.11500000000001</v>
      </c>
      <c r="I159" s="110">
        <f t="shared" si="382"/>
        <v>926.23900000000003</v>
      </c>
      <c r="J159" s="180">
        <f t="shared" si="382"/>
        <v>227.547</v>
      </c>
      <c r="K159" s="181">
        <f t="shared" si="382"/>
        <v>216.33</v>
      </c>
      <c r="L159" s="181">
        <f t="shared" si="382"/>
        <v>221.62700000000001</v>
      </c>
      <c r="M159" s="182">
        <f t="shared" si="382"/>
        <v>236.62299999999993</v>
      </c>
      <c r="N159" s="110">
        <f t="shared" si="382"/>
        <v>902.12699999999995</v>
      </c>
      <c r="O159" s="180">
        <f t="shared" si="382"/>
        <v>220.60499999999999</v>
      </c>
      <c r="P159" s="181">
        <f t="shared" si="382"/>
        <v>218.87700000000001</v>
      </c>
      <c r="Q159" s="181">
        <f t="shared" si="382"/>
        <v>237.197</v>
      </c>
      <c r="R159" s="182">
        <f t="shared" si="382"/>
        <v>241.774</v>
      </c>
      <c r="S159" s="110">
        <f t="shared" si="382"/>
        <v>918.45299999999997</v>
      </c>
      <c r="T159" s="180">
        <f t="shared" si="382"/>
        <v>228.08600000000001</v>
      </c>
      <c r="U159" s="181">
        <f t="shared" si="382"/>
        <v>225.55600000000001</v>
      </c>
      <c r="V159" s="181">
        <f t="shared" si="382"/>
        <v>251.09899999999999</v>
      </c>
      <c r="W159" s="182">
        <f t="shared" si="382"/>
        <v>259.44000000000005</v>
      </c>
      <c r="X159" s="110">
        <f t="shared" si="382"/>
        <v>964.18100000000004</v>
      </c>
      <c r="Y159" s="180">
        <f t="shared" ref="Y159:AD159" si="383">+Y23</f>
        <v>250.53100000000001</v>
      </c>
      <c r="Z159" s="181">
        <f t="shared" si="383"/>
        <v>246.19</v>
      </c>
      <c r="AA159" s="181">
        <f t="shared" si="383"/>
        <v>269.00599999999997</v>
      </c>
      <c r="AB159" s="182">
        <f t="shared" si="383"/>
        <v>275.30399999999997</v>
      </c>
      <c r="AC159" s="110">
        <f t="shared" si="383"/>
        <v>1041.0309999999999</v>
      </c>
      <c r="AD159" s="180">
        <f t="shared" si="383"/>
        <v>257.55599999999998</v>
      </c>
      <c r="AE159" s="181">
        <f>+AE23</f>
        <v>259.74700000000001</v>
      </c>
      <c r="AF159" s="181">
        <f t="shared" ref="AF159:AI159" si="384">+AF23</f>
        <v>259.58999999999997</v>
      </c>
      <c r="AG159" s="182">
        <f t="shared" si="384"/>
        <v>262.11899999999991</v>
      </c>
      <c r="AH159" s="110">
        <f t="shared" si="384"/>
        <v>1039.0119999999999</v>
      </c>
      <c r="AI159" s="180">
        <f t="shared" si="384"/>
        <v>269.28899999999999</v>
      </c>
      <c r="AJ159" s="181">
        <f>+AJ23</f>
        <v>275.91699999999997</v>
      </c>
      <c r="AK159" s="181">
        <f t="shared" ref="AK159:AN159" si="385">+AK23</f>
        <v>273.93700000000001</v>
      </c>
      <c r="AL159" s="182">
        <f t="shared" si="385"/>
        <v>276.94500000000005</v>
      </c>
      <c r="AM159" s="110">
        <f t="shared" si="385"/>
        <v>1096.088</v>
      </c>
      <c r="AN159" s="180">
        <f t="shared" si="385"/>
        <v>277.90800000000002</v>
      </c>
      <c r="AO159" s="181">
        <f>+AO23</f>
        <v>289.12099999999998</v>
      </c>
      <c r="AP159" s="181">
        <f t="shared" ref="AP159:AS159" si="386">+AP23</f>
        <v>287.02100000000002</v>
      </c>
      <c r="AQ159" s="182">
        <f t="shared" si="386"/>
        <v>291.63800000000015</v>
      </c>
      <c r="AR159" s="110">
        <f t="shared" si="386"/>
        <v>1145.6880000000001</v>
      </c>
      <c r="AS159" s="180">
        <f t="shared" si="386"/>
        <v>294.358</v>
      </c>
      <c r="AT159" s="181">
        <f>+AT23</f>
        <v>297.95400000000001</v>
      </c>
      <c r="AU159" s="181">
        <f t="shared" ref="AU159:AW159" si="387">+AU23</f>
        <v>301.87</v>
      </c>
      <c r="AV159" s="182">
        <f t="shared" si="387"/>
        <v>300.99700000000007</v>
      </c>
      <c r="AW159" s="110">
        <f t="shared" si="387"/>
        <v>1195.1790000000001</v>
      </c>
      <c r="AX159" s="180">
        <f>AX161*AW154/4</f>
        <v>310.23573174999996</v>
      </c>
      <c r="AY159" s="181">
        <f>AY161*AX154/4</f>
        <v>318.10546190193747</v>
      </c>
      <c r="AZ159" s="181">
        <f>AZ161*AY154/4</f>
        <v>325.88272272458971</v>
      </c>
      <c r="BA159" s="182">
        <f>BA161*AZ154/4</f>
        <v>333.56860073257576</v>
      </c>
      <c r="BB159" s="110">
        <f>+SUM(AX159:BA159)</f>
        <v>1287.7925171091028</v>
      </c>
      <c r="BC159" s="180">
        <f>BC161*BB154/4</f>
        <v>333.90535755324532</v>
      </c>
      <c r="BD159" s="181">
        <f>BD161*BC154/4</f>
        <v>340.53044594138299</v>
      </c>
      <c r="BE159" s="181">
        <f>BE161*BD154/4</f>
        <v>347.0793458130571</v>
      </c>
      <c r="BF159" s="182">
        <f>BF161*BE154/4</f>
        <v>353.55293333620693</v>
      </c>
      <c r="BG159" s="110">
        <f>+SUM(BC159:BF159)</f>
        <v>1375.0680826438925</v>
      </c>
      <c r="BH159" s="180">
        <f>BH161*BG154/4</f>
        <v>359.95207460284058</v>
      </c>
      <c r="BI159" s="181">
        <f>BI161*BH154/4</f>
        <v>365.30012574490792</v>
      </c>
      <c r="BJ159" s="181">
        <f>BJ161*BI154/4</f>
        <v>370.5866742988415</v>
      </c>
      <c r="BK159" s="182">
        <f>BK161*BJ154/4</f>
        <v>375.81242754440484</v>
      </c>
      <c r="BL159" s="110">
        <f>+SUM(BH159:BK159)</f>
        <v>1471.651302190995</v>
      </c>
      <c r="BM159" s="180">
        <f>BM161*BL154/4</f>
        <v>380.97808462764408</v>
      </c>
      <c r="BN159" s="181">
        <f>BN161*BM154/4</f>
        <v>386.85100332109289</v>
      </c>
      <c r="BO159" s="181">
        <f>BO161*BN154/4</f>
        <v>392.65638344956693</v>
      </c>
      <c r="BP159" s="182">
        <f>BP161*BO154/4</f>
        <v>398.39500170656356</v>
      </c>
      <c r="BQ159" s="110">
        <f>+SUM(BM159:BP159)</f>
        <v>1558.8804731048674</v>
      </c>
      <c r="BS159" s="1936"/>
    </row>
    <row r="160" spans="1:71">
      <c r="A160" s="320"/>
      <c r="B160" s="342"/>
      <c r="C160" s="1188"/>
      <c r="D160" s="320"/>
      <c r="E160" s="177"/>
      <c r="F160" s="178"/>
      <c r="G160" s="178"/>
      <c r="H160" s="179"/>
      <c r="I160" s="107"/>
      <c r="J160" s="177"/>
      <c r="K160" s="178"/>
      <c r="L160" s="178"/>
      <c r="M160" s="179"/>
      <c r="N160" s="107"/>
      <c r="O160" s="177"/>
      <c r="P160" s="178"/>
      <c r="Q160" s="178"/>
      <c r="R160" s="179"/>
      <c r="S160" s="107"/>
      <c r="T160" s="177"/>
      <c r="U160" s="178"/>
      <c r="V160" s="178"/>
      <c r="W160" s="179"/>
      <c r="X160" s="107"/>
      <c r="Y160" s="177"/>
      <c r="Z160" s="178"/>
      <c r="AA160" s="178"/>
      <c r="AB160" s="179"/>
      <c r="AC160" s="107"/>
      <c r="AD160" s="177"/>
      <c r="AE160" s="178"/>
      <c r="AF160" s="178"/>
      <c r="AG160" s="179"/>
      <c r="AH160" s="107"/>
      <c r="AI160" s="177"/>
      <c r="AJ160" s="178"/>
      <c r="AK160" s="178"/>
      <c r="AL160" s="179"/>
      <c r="AM160" s="107"/>
      <c r="AN160" s="177"/>
      <c r="AO160" s="178"/>
      <c r="AP160" s="178"/>
      <c r="AQ160" s="179"/>
      <c r="AR160" s="107"/>
      <c r="AS160" s="177"/>
      <c r="AT160" s="178"/>
      <c r="AU160" s="178"/>
      <c r="AV160" s="179"/>
      <c r="AW160" s="107"/>
      <c r="AX160" s="177"/>
      <c r="AY160" s="178"/>
      <c r="AZ160" s="178"/>
      <c r="BA160" s="179"/>
      <c r="BB160" s="107"/>
      <c r="BC160" s="177"/>
      <c r="BD160" s="178"/>
      <c r="BE160" s="178"/>
      <c r="BF160" s="179"/>
      <c r="BG160" s="107"/>
      <c r="BH160" s="177"/>
      <c r="BI160" s="178"/>
      <c r="BJ160" s="178"/>
      <c r="BK160" s="179"/>
      <c r="BL160" s="107"/>
      <c r="BM160" s="177"/>
      <c r="BN160" s="178"/>
      <c r="BO160" s="178"/>
      <c r="BP160" s="179"/>
      <c r="BQ160" s="107"/>
    </row>
    <row r="161" spans="1:100">
      <c r="A161" s="5"/>
      <c r="B161" s="32"/>
      <c r="C161" s="1174" t="s">
        <v>184</v>
      </c>
      <c r="D161" s="5"/>
      <c r="E161" s="223">
        <f>4*E159/AVERAGE(E154:E154)</f>
        <v>5.2017351313343119E-2</v>
      </c>
      <c r="F161" s="500">
        <f>4*F159/AVERAGE(E154:F154)</f>
        <v>5.2226599476380808E-2</v>
      </c>
      <c r="G161" s="500">
        <f>4*G159/AVERAGE(F154:G154)</f>
        <v>5.6148301885362878E-2</v>
      </c>
      <c r="H161" s="501">
        <f>4*H159/AVERAGE(G154:H154)</f>
        <v>5.6128487288034087E-2</v>
      </c>
      <c r="I161" s="25">
        <f>+I159/AVERAGE(E154:H154)</f>
        <v>5.3973002048696733E-2</v>
      </c>
      <c r="J161" s="223">
        <f>4*J159/AVERAGE(I154:J154)</f>
        <v>5.3880067143191678E-2</v>
      </c>
      <c r="K161" s="500">
        <f>4*K159/AVERAGE(J154:K154)</f>
        <v>5.1444873125297448E-2</v>
      </c>
      <c r="L161" s="500">
        <f>4*L159/AVERAGE(K154:L154)</f>
        <v>4.9599413518104443E-2</v>
      </c>
      <c r="M161" s="501">
        <f>4*M159/AVERAGE(L154:M154)</f>
        <v>5.0812097182218567E-2</v>
      </c>
      <c r="N161" s="25">
        <f>+N159/AVERAGE(J154:M154)</f>
        <v>5.0899141173931461E-2</v>
      </c>
      <c r="O161" s="223">
        <f>4*O159/AVERAGE(N154:O154)</f>
        <v>4.8608316874093352E-2</v>
      </c>
      <c r="P161" s="500">
        <f>4*P159/AVERAGE(O154:P154)</f>
        <v>4.7355505838588448E-2</v>
      </c>
      <c r="Q161" s="500">
        <f>4*Q159/AVERAGE(P154:Q154)</f>
        <v>4.8653761394075082E-2</v>
      </c>
      <c r="R161" s="501">
        <f>4*R159/AVERAGE(Q154:R154)</f>
        <v>4.9080552908849343E-2</v>
      </c>
      <c r="S161" s="25">
        <f>+S159/AVERAGE(O154:R154)</f>
        <v>4.8096304778917444E-2</v>
      </c>
      <c r="T161" s="223">
        <f>4*T159/AVERAGE(S154:T154)</f>
        <v>4.5707397836205033E-2</v>
      </c>
      <c r="U161" s="500">
        <f>4*U159/AVERAGE(T154:U154)</f>
        <v>4.4464570646530047E-2</v>
      </c>
      <c r="V161" s="500">
        <f>4*V159/AVERAGE(U154:V154)</f>
        <v>4.8511433486208067E-2</v>
      </c>
      <c r="W161" s="501">
        <f>4*W159/AVERAGE(V154:W154)</f>
        <v>4.8708110489910403E-2</v>
      </c>
      <c r="X161" s="25">
        <f>+X159/AVERAGE(T154:W154)</f>
        <v>4.6358707665217429E-2</v>
      </c>
      <c r="Y161" s="223">
        <f>4*Y159/AVERAGE(X154:Y154)</f>
        <v>4.6201864115969292E-2</v>
      </c>
      <c r="Z161" s="500">
        <f>4*Z159/AVERAGE(Y154:Z154)</f>
        <v>4.5199501389959484E-2</v>
      </c>
      <c r="AA161" s="500">
        <f>4*AA159/AVERAGE(Z154:AA154)</f>
        <v>4.8980311605701071E-2</v>
      </c>
      <c r="AB161" s="501">
        <f>4*AB159/AVERAGE(AA154:AB154)</f>
        <v>4.9574974599497237E-2</v>
      </c>
      <c r="AC161" s="25">
        <f>+AC159/AVERAGE(Y154:AB154)</f>
        <v>4.7319473685849274E-2</v>
      </c>
      <c r="AD161" s="223">
        <f>4*AD159/AVERAGE(AC154:AD154)</f>
        <v>4.5929086731952326E-2</v>
      </c>
      <c r="AE161" s="500">
        <f>4*AE159/AVERAGE(AD154:AE154)</f>
        <v>4.6053384378861764E-2</v>
      </c>
      <c r="AF161" s="500">
        <f>4*AF159/AVERAGE(AE154:AF154)</f>
        <v>4.5771128532541318E-2</v>
      </c>
      <c r="AG161" s="501">
        <f>4*AG159/AVERAGE(AF154:AG154)</f>
        <v>4.5709466725721938E-2</v>
      </c>
      <c r="AH161" s="25">
        <f>+AH159/AVERAGE(AD154:AG154)</f>
        <v>4.5672519421805773E-2</v>
      </c>
      <c r="AI161" s="223">
        <f>4*AI159/AVERAGE(AH154:AI154)</f>
        <v>4.645884054967471E-2</v>
      </c>
      <c r="AJ161" s="500">
        <f>4*AJ159/AVERAGE(AI154:AJ154)</f>
        <v>4.7340303501879261E-2</v>
      </c>
      <c r="AK161" s="500">
        <f>4*AK159/AVERAGE(AJ154:AK154)</f>
        <v>4.6597866840808126E-2</v>
      </c>
      <c r="AL161" s="501">
        <f>4*AL159/AVERAGE(AK154:AL154)</f>
        <v>4.6410823812860873E-2</v>
      </c>
      <c r="AM161" s="25">
        <f>+AM159/AVERAGE(AI154:AL154)</f>
        <v>4.6461635482521878E-2</v>
      </c>
      <c r="AN161" s="223">
        <f>4*AN159/AVERAGE(AM154:AN154)</f>
        <v>4.5026658874854013E-2</v>
      </c>
      <c r="AO161" s="500">
        <f>4*AO159/AVERAGE(AN154:AO154)</f>
        <v>4.5562585055521417E-2</v>
      </c>
      <c r="AP161" s="500">
        <f>4*AP159/AVERAGE(AO154:AP154)</f>
        <v>4.4773373803213966E-2</v>
      </c>
      <c r="AQ161" s="501">
        <f>4*AQ159/AVERAGE(AP154:AQ154)</f>
        <v>4.6003843210195586E-2</v>
      </c>
      <c r="AR161" s="25">
        <f>+AR159/AVERAGE(AN154:AQ154)</f>
        <v>4.5159142117095923E-2</v>
      </c>
      <c r="AS161" s="223">
        <f>4*AS159/AVERAGE(AR154:AS154)</f>
        <v>4.7130503234339954E-2</v>
      </c>
      <c r="AT161" s="500">
        <f>4*AT159/AVERAGE(AS154:AT154)</f>
        <v>4.7262802498645097E-2</v>
      </c>
      <c r="AU161" s="500">
        <f>4*AU159/AVERAGE(AT154:AU154)</f>
        <v>4.7462621927402728E-2</v>
      </c>
      <c r="AV161" s="501">
        <f>4*AV159/AVERAGE(AU154:AV154)</f>
        <v>4.639692852354755E-2</v>
      </c>
      <c r="AW161" s="25">
        <f>+AW159/AVERAGE(AS154:AV154)</f>
        <v>4.6717227005552843E-2</v>
      </c>
      <c r="AX161" s="1911">
        <v>4.7E-2</v>
      </c>
      <c r="AY161" s="500">
        <f t="shared" ref="AY161:BA162" si="388">+AX161</f>
        <v>4.7E-2</v>
      </c>
      <c r="AZ161" s="500">
        <f t="shared" si="388"/>
        <v>4.7E-2</v>
      </c>
      <c r="BA161" s="501">
        <f t="shared" si="388"/>
        <v>4.7E-2</v>
      </c>
      <c r="BB161" s="25">
        <f>+BB159/AVERAGE(AX154:BA154)</f>
        <v>4.5897692057687782E-2</v>
      </c>
      <c r="BC161" s="1911">
        <v>4.5999999999999999E-2</v>
      </c>
      <c r="BD161" s="500">
        <f t="shared" ref="BD161:BD162" si="389">+BC161</f>
        <v>4.5999999999999999E-2</v>
      </c>
      <c r="BE161" s="500">
        <f t="shared" ref="BE161:BE162" si="390">+BD161</f>
        <v>4.5999999999999999E-2</v>
      </c>
      <c r="BF161" s="501">
        <f t="shared" ref="BF161:BF162" si="391">+BE161</f>
        <v>4.5999999999999999E-2</v>
      </c>
      <c r="BG161" s="25">
        <f>+BG159/AVERAGE(BC154:BF154)</f>
        <v>4.5144860232335361E-2</v>
      </c>
      <c r="BH161" s="223">
        <f>+BF161</f>
        <v>4.5999999999999999E-2</v>
      </c>
      <c r="BI161" s="500">
        <f t="shared" ref="BI161:BI162" si="392">+BH161</f>
        <v>4.5999999999999999E-2</v>
      </c>
      <c r="BJ161" s="500">
        <f t="shared" ref="BJ161:BJ162" si="393">+BI161</f>
        <v>4.5999999999999999E-2</v>
      </c>
      <c r="BK161" s="501">
        <f t="shared" ref="BK161:BK162" si="394">+BJ161</f>
        <v>4.5999999999999999E-2</v>
      </c>
      <c r="BL161" s="25">
        <f>+BL159/AVERAGE(BH154:BK154)</f>
        <v>4.5352039149235003E-2</v>
      </c>
      <c r="BM161" s="223">
        <f>+BK161</f>
        <v>4.5999999999999999E-2</v>
      </c>
      <c r="BN161" s="500">
        <f t="shared" ref="BN161:BN162" si="395">+BM161</f>
        <v>4.5999999999999999E-2</v>
      </c>
      <c r="BO161" s="500">
        <f t="shared" ref="BO161:BO162" si="396">+BN161</f>
        <v>4.5999999999999999E-2</v>
      </c>
      <c r="BP161" s="501">
        <f t="shared" ref="BP161:BP162" si="397">+BO161</f>
        <v>4.5999999999999999E-2</v>
      </c>
      <c r="BQ161" s="25">
        <f>+BQ159/AVERAGE(BM154:BP154)</f>
        <v>4.5328609969359328E-2</v>
      </c>
    </row>
    <row r="162" spans="1:100">
      <c r="A162" s="1251"/>
      <c r="B162" s="1251"/>
      <c r="C162" s="1258" t="s">
        <v>183</v>
      </c>
      <c r="D162" s="1251"/>
      <c r="E162" s="206"/>
      <c r="F162" s="1252"/>
      <c r="G162" s="1252"/>
      <c r="H162" s="208"/>
      <c r="I162" s="1253">
        <f>I156/I168</f>
        <v>0.69158376288659795</v>
      </c>
      <c r="J162" s="206"/>
      <c r="K162" s="1252"/>
      <c r="L162" s="1252"/>
      <c r="M162" s="208"/>
      <c r="N162" s="1253">
        <f>N156/N168</f>
        <v>0.93556306306306303</v>
      </c>
      <c r="O162" s="206"/>
      <c r="P162" s="1252"/>
      <c r="Q162" s="1252"/>
      <c r="R162" s="208"/>
      <c r="S162" s="1253">
        <f>S156/S168</f>
        <v>0.63598880429914917</v>
      </c>
      <c r="T162" s="206"/>
      <c r="U162" s="1252"/>
      <c r="V162" s="1252"/>
      <c r="W162" s="208"/>
      <c r="X162" s="1253">
        <f>X156/X168</f>
        <v>0.37512374710871244</v>
      </c>
      <c r="Y162" s="206"/>
      <c r="Z162" s="1252"/>
      <c r="AA162" s="1252"/>
      <c r="AB162" s="208"/>
      <c r="AC162" s="1253">
        <f>AC156/AC168</f>
        <v>0.60796103896103892</v>
      </c>
      <c r="AD162" s="206">
        <f>AD156/AH168</f>
        <v>0.56232224622030236</v>
      </c>
      <c r="AE162" s="1252">
        <f>AE156/AH168</f>
        <v>0.56557365010799143</v>
      </c>
      <c r="AF162" s="1252">
        <f>AF156/AH168</f>
        <v>0.62499222462203019</v>
      </c>
      <c r="AG162" s="208">
        <f>AG156/AH168</f>
        <v>0.41927818574514042</v>
      </c>
      <c r="AH162" s="1253">
        <f>AH156/AH168</f>
        <v>0.41927818574514042</v>
      </c>
      <c r="AI162" s="206">
        <f>AI156/AM168</f>
        <v>0.2751661169415292</v>
      </c>
      <c r="AJ162" s="1252">
        <f>AJ156/AM168</f>
        <v>0.29192593703148423</v>
      </c>
      <c r="AK162" s="1252">
        <f>AK156/AM168</f>
        <v>0.32317061469265362</v>
      </c>
      <c r="AL162" s="208">
        <f>AL156/AM168</f>
        <v>0.39781949025487257</v>
      </c>
      <c r="AM162" s="1253">
        <f>AM156/AM168</f>
        <v>0.39781949025487257</v>
      </c>
      <c r="AN162" s="206">
        <f>AN156/AR168</f>
        <v>0.36289186875891583</v>
      </c>
      <c r="AO162" s="1252">
        <f>AO156/AR168</f>
        <v>0.31991098430813125</v>
      </c>
      <c r="AP162" s="1252">
        <f>AP156/AR168</f>
        <v>0.37079372325249643</v>
      </c>
      <c r="AQ162" s="208">
        <f>AQ156/AR168</f>
        <v>0.38064736091298146</v>
      </c>
      <c r="AR162" s="1253">
        <f>AR156/AR168</f>
        <v>0.38064736091298146</v>
      </c>
      <c r="AS162" s="206">
        <f>AS156/AW168</f>
        <v>0.43938721590909091</v>
      </c>
      <c r="AT162" s="1252">
        <f>AT156/AW168</f>
        <v>0.48150596590909095</v>
      </c>
      <c r="AU162" s="1252">
        <f>AU156/AW168</f>
        <v>0.60987471590909093</v>
      </c>
      <c r="AV162" s="208">
        <f>AV156/AW168</f>
        <v>0.55391164772727275</v>
      </c>
      <c r="AW162" s="1253">
        <f>AW156/AW168</f>
        <v>0.55391164772727275</v>
      </c>
      <c r="AX162" s="206">
        <f>+AW162</f>
        <v>0.55391164772727275</v>
      </c>
      <c r="AY162" s="1252">
        <f t="shared" si="388"/>
        <v>0.55391164772727275</v>
      </c>
      <c r="AZ162" s="1252">
        <f t="shared" si="388"/>
        <v>0.55391164772727275</v>
      </c>
      <c r="BA162" s="208">
        <f t="shared" si="388"/>
        <v>0.55391164772727275</v>
      </c>
      <c r="BB162" s="1253">
        <f>+BA162</f>
        <v>0.55391164772727275</v>
      </c>
      <c r="BC162" s="206">
        <f>+BB162</f>
        <v>0.55391164772727275</v>
      </c>
      <c r="BD162" s="1252">
        <f t="shared" si="389"/>
        <v>0.55391164772727275</v>
      </c>
      <c r="BE162" s="1252">
        <f t="shared" si="390"/>
        <v>0.55391164772727275</v>
      </c>
      <c r="BF162" s="208">
        <f t="shared" si="391"/>
        <v>0.55391164772727275</v>
      </c>
      <c r="BG162" s="1253">
        <f>+BF162</f>
        <v>0.55391164772727275</v>
      </c>
      <c r="BH162" s="206">
        <f>+BG162</f>
        <v>0.55391164772727275</v>
      </c>
      <c r="BI162" s="1252">
        <f t="shared" si="392"/>
        <v>0.55391164772727275</v>
      </c>
      <c r="BJ162" s="1252">
        <f t="shared" si="393"/>
        <v>0.55391164772727275</v>
      </c>
      <c r="BK162" s="208">
        <f t="shared" si="394"/>
        <v>0.55391164772727275</v>
      </c>
      <c r="BL162" s="1253">
        <f>+BK162</f>
        <v>0.55391164772727275</v>
      </c>
      <c r="BM162" s="206">
        <f>+BL162</f>
        <v>0.55391164772727275</v>
      </c>
      <c r="BN162" s="1252">
        <f t="shared" si="395"/>
        <v>0.55391164772727275</v>
      </c>
      <c r="BO162" s="1252">
        <f t="shared" si="396"/>
        <v>0.55391164772727275</v>
      </c>
      <c r="BP162" s="208">
        <f t="shared" si="397"/>
        <v>0.55391164772727275</v>
      </c>
      <c r="BQ162" s="1253">
        <f>+BP162</f>
        <v>0.55391164772727275</v>
      </c>
      <c r="BR162" s="1251"/>
      <c r="BS162" s="1251"/>
      <c r="BT162" s="1251"/>
      <c r="BU162" s="1251"/>
      <c r="BV162" s="1251"/>
      <c r="BW162" s="1251"/>
      <c r="BX162" s="1251"/>
      <c r="BY162" s="1251"/>
      <c r="BZ162" s="1251"/>
      <c r="CA162" s="1251"/>
      <c r="CB162" s="1251"/>
      <c r="CC162" s="1251"/>
      <c r="CD162" s="1251"/>
      <c r="CE162" s="1251"/>
      <c r="CF162" s="1251"/>
      <c r="CG162" s="1251"/>
      <c r="CH162" s="1251"/>
      <c r="CI162" s="1251"/>
      <c r="CJ162" s="1251"/>
      <c r="CK162" s="1251"/>
      <c r="CL162" s="1251"/>
      <c r="CM162" s="1251"/>
      <c r="CN162" s="1251"/>
      <c r="CO162" s="1251"/>
      <c r="CP162" s="1251"/>
      <c r="CQ162" s="1251"/>
      <c r="CR162" s="1251"/>
      <c r="CS162" s="1251"/>
      <c r="CT162" s="1251"/>
      <c r="CU162" s="1251"/>
      <c r="CV162" s="1251"/>
    </row>
    <row r="163" spans="1:100">
      <c r="A163" s="5"/>
      <c r="B163" s="5"/>
      <c r="C163" s="129"/>
      <c r="D163" s="5"/>
      <c r="E163" s="136"/>
      <c r="F163" s="137"/>
      <c r="G163" s="137"/>
      <c r="H163" s="138"/>
      <c r="I163" s="5"/>
      <c r="J163" s="136"/>
      <c r="K163" s="137"/>
      <c r="L163" s="137"/>
      <c r="M163" s="138"/>
      <c r="N163" s="5"/>
      <c r="O163" s="220"/>
      <c r="P163" s="221"/>
      <c r="Q163" s="221"/>
      <c r="R163" s="222"/>
      <c r="S163" s="5"/>
      <c r="T163" s="220"/>
      <c r="U163" s="221"/>
      <c r="V163" s="221"/>
      <c r="W163" s="222"/>
      <c r="X163" s="5"/>
      <c r="Y163" s="220"/>
      <c r="Z163" s="221"/>
      <c r="AA163" s="221"/>
      <c r="AB163" s="222"/>
      <c r="AC163" s="5"/>
      <c r="AD163" s="220"/>
      <c r="AE163" s="221"/>
      <c r="AF163" s="221"/>
      <c r="AG163" s="222"/>
      <c r="AH163" s="5"/>
      <c r="AI163" s="220"/>
      <c r="AJ163" s="221"/>
      <c r="AK163" s="221"/>
      <c r="AL163" s="222"/>
      <c r="AM163" s="5"/>
      <c r="AN163" s="220"/>
      <c r="AO163" s="221"/>
      <c r="AP163" s="221"/>
      <c r="AQ163" s="222"/>
      <c r="AR163" s="5"/>
      <c r="AS163" s="220"/>
      <c r="AT163" s="221"/>
      <c r="AU163" s="221"/>
      <c r="AV163" s="222"/>
      <c r="AW163" s="5"/>
      <c r="AX163" s="220"/>
      <c r="AY163" s="221"/>
      <c r="AZ163" s="221"/>
      <c r="BA163" s="222"/>
      <c r="BB163" s="5"/>
      <c r="BC163" s="220"/>
      <c r="BD163" s="221"/>
      <c r="BE163" s="221"/>
      <c r="BF163" s="222"/>
      <c r="BG163" s="5"/>
      <c r="BH163" s="220"/>
      <c r="BI163" s="221"/>
      <c r="BJ163" s="221"/>
      <c r="BK163" s="222"/>
      <c r="BL163" s="5"/>
      <c r="BM163" s="220"/>
      <c r="BN163" s="221"/>
      <c r="BO163" s="221"/>
      <c r="BP163" s="222"/>
      <c r="BQ163" s="5"/>
      <c r="BS163" s="1783" t="s">
        <v>972</v>
      </c>
      <c r="BT163" s="1783"/>
      <c r="BU163" s="1783"/>
    </row>
    <row r="164" spans="1:100">
      <c r="A164" s="1603"/>
      <c r="B164" s="1603"/>
      <c r="C164" s="1174" t="s">
        <v>734</v>
      </c>
      <c r="D164" s="320"/>
      <c r="E164" s="177"/>
      <c r="F164" s="178"/>
      <c r="G164" s="178"/>
      <c r="H164" s="179"/>
      <c r="I164" s="108"/>
      <c r="J164" s="177"/>
      <c r="K164" s="178"/>
      <c r="L164" s="178"/>
      <c r="M164" s="179"/>
      <c r="N164" s="108"/>
      <c r="O164" s="177">
        <f>+S164/4</f>
        <v>117.5</v>
      </c>
      <c r="P164" s="178">
        <f>+S164/4</f>
        <v>117.5</v>
      </c>
      <c r="Q164" s="178">
        <f>+S164/4</f>
        <v>117.5</v>
      </c>
      <c r="R164" s="179">
        <f>+S164/4</f>
        <v>117.5</v>
      </c>
      <c r="S164" s="108">
        <f>440+30</f>
        <v>470</v>
      </c>
      <c r="T164" s="177">
        <f>+X164/4</f>
        <v>112.5</v>
      </c>
      <c r="U164" s="178">
        <f>+X164/4</f>
        <v>112.5</v>
      </c>
      <c r="V164" s="178">
        <f>+X164/4</f>
        <v>112.5</v>
      </c>
      <c r="W164" s="179">
        <f>+X164/4</f>
        <v>112.5</v>
      </c>
      <c r="X164" s="108">
        <f>433+17</f>
        <v>450</v>
      </c>
      <c r="Y164" s="177">
        <f>+AC164/4</f>
        <v>137.25</v>
      </c>
      <c r="Z164" s="178">
        <f>+AC164/4</f>
        <v>137.25</v>
      </c>
      <c r="AA164" s="178">
        <f>+AC164/4</f>
        <v>137.25</v>
      </c>
      <c r="AB164" s="179">
        <f>+AC164/4</f>
        <v>137.25</v>
      </c>
      <c r="AC164" s="108">
        <f>504+45</f>
        <v>549</v>
      </c>
      <c r="AD164" s="177">
        <f>+AH164/4</f>
        <v>143.75</v>
      </c>
      <c r="AE164" s="178">
        <f>+AH164/4</f>
        <v>143.75</v>
      </c>
      <c r="AF164" s="178">
        <f>+AH164/4</f>
        <v>143.75</v>
      </c>
      <c r="AG164" s="179">
        <f>+AH164/4</f>
        <v>143.75</v>
      </c>
      <c r="AH164" s="108">
        <v>575</v>
      </c>
      <c r="AI164" s="177">
        <f>+AM164/4</f>
        <v>178.75</v>
      </c>
      <c r="AJ164" s="178">
        <f>+AM164/4</f>
        <v>178.75</v>
      </c>
      <c r="AK164" s="178">
        <f>+AM164/4</f>
        <v>178.75</v>
      </c>
      <c r="AL164" s="179">
        <f>+AM164/4</f>
        <v>178.75</v>
      </c>
      <c r="AM164" s="108">
        <v>715</v>
      </c>
      <c r="AN164" s="177">
        <f>+AR164/4</f>
        <v>191.25</v>
      </c>
      <c r="AO164" s="178">
        <f>+AR164/4</f>
        <v>191.25</v>
      </c>
      <c r="AP164" s="178">
        <f>+AR164/4</f>
        <v>191.25</v>
      </c>
      <c r="AQ164" s="179">
        <f>+AR164/4</f>
        <v>191.25</v>
      </c>
      <c r="AR164" s="108">
        <v>765</v>
      </c>
      <c r="AS164" s="177">
        <f>+AW164/4</f>
        <v>188.75</v>
      </c>
      <c r="AT164" s="178">
        <f>+AW164/4</f>
        <v>188.75</v>
      </c>
      <c r="AU164" s="178">
        <f>+AW164/4</f>
        <v>188.75</v>
      </c>
      <c r="AV164" s="179">
        <f>+AW164/4</f>
        <v>188.75</v>
      </c>
      <c r="AW164" s="108">
        <v>755</v>
      </c>
      <c r="AX164" s="177">
        <f>+BB164/4</f>
        <v>215</v>
      </c>
      <c r="AY164" s="178">
        <f>+BB164/4</f>
        <v>215</v>
      </c>
      <c r="AZ164" s="178">
        <f>+BB164/4</f>
        <v>215</v>
      </c>
      <c r="BA164" s="179">
        <f>+BB164/4</f>
        <v>215</v>
      </c>
      <c r="BB164" s="108">
        <v>860</v>
      </c>
      <c r="BC164" s="177">
        <f>+BG164/4</f>
        <v>257.5</v>
      </c>
      <c r="BD164" s="178">
        <f>+BG164/4</f>
        <v>257.5</v>
      </c>
      <c r="BE164" s="178">
        <f>+BG164/4</f>
        <v>257.5</v>
      </c>
      <c r="BF164" s="179">
        <f>+BG164/4</f>
        <v>257.5</v>
      </c>
      <c r="BG164" s="108">
        <v>1030</v>
      </c>
      <c r="BH164" s="177">
        <f>+BL164/4</f>
        <v>236.25</v>
      </c>
      <c r="BI164" s="178">
        <f>+BL164/4</f>
        <v>236.25</v>
      </c>
      <c r="BJ164" s="178">
        <f>+BL164/4</f>
        <v>236.25</v>
      </c>
      <c r="BK164" s="179">
        <f>+BL164/4</f>
        <v>236.25</v>
      </c>
      <c r="BL164" s="108">
        <v>945</v>
      </c>
      <c r="BM164" s="177">
        <f>+BQ164/4</f>
        <v>225.41666666666666</v>
      </c>
      <c r="BN164" s="178">
        <f>+BQ164/4</f>
        <v>225.41666666666666</v>
      </c>
      <c r="BO164" s="178">
        <f>+BQ164/4</f>
        <v>225.41666666666666</v>
      </c>
      <c r="BP164" s="179">
        <f>+BQ164/4</f>
        <v>225.41666666666666</v>
      </c>
      <c r="BQ164" s="108">
        <v>901.66666666666663</v>
      </c>
      <c r="BS164" s="1768">
        <f>AW164+BB164+BG164</f>
        <v>2645</v>
      </c>
      <c r="BU164" s="1925"/>
    </row>
    <row r="165" spans="1:100">
      <c r="A165" s="1603"/>
      <c r="B165" s="1603"/>
      <c r="C165" s="1174" t="s">
        <v>735</v>
      </c>
      <c r="D165" s="320"/>
      <c r="E165" s="177"/>
      <c r="F165" s="178"/>
      <c r="G165" s="178"/>
      <c r="H165" s="179"/>
      <c r="I165" s="108"/>
      <c r="J165" s="177"/>
      <c r="K165" s="178"/>
      <c r="L165" s="178"/>
      <c r="M165" s="179"/>
      <c r="N165" s="108"/>
      <c r="O165" s="177">
        <f>+S165/4</f>
        <v>101.5</v>
      </c>
      <c r="P165" s="178">
        <f>+S165/4</f>
        <v>101.5</v>
      </c>
      <c r="Q165" s="178">
        <f>+S165/4</f>
        <v>101.5</v>
      </c>
      <c r="R165" s="179">
        <f>+S165/4</f>
        <v>101.5</v>
      </c>
      <c r="S165" s="108">
        <f>193+213</f>
        <v>406</v>
      </c>
      <c r="T165" s="177">
        <f>+X165/4</f>
        <v>113</v>
      </c>
      <c r="U165" s="178">
        <f>+X165/4</f>
        <v>113</v>
      </c>
      <c r="V165" s="178">
        <f>+X165/4</f>
        <v>113</v>
      </c>
      <c r="W165" s="179">
        <f>+X165/4</f>
        <v>113</v>
      </c>
      <c r="X165" s="108">
        <f>282+170</f>
        <v>452</v>
      </c>
      <c r="Y165" s="177">
        <f>+AC165/4</f>
        <v>103.75</v>
      </c>
      <c r="Z165" s="178">
        <f>+AC165/4</f>
        <v>103.75</v>
      </c>
      <c r="AA165" s="178">
        <f>+AC165/4</f>
        <v>103.75</v>
      </c>
      <c r="AB165" s="179">
        <f>+AC165/4</f>
        <v>103.75</v>
      </c>
      <c r="AC165" s="108">
        <f>253+162</f>
        <v>415</v>
      </c>
      <c r="AD165" s="177">
        <f>+AH165/4</f>
        <v>128.75</v>
      </c>
      <c r="AE165" s="178">
        <f>+AH165/4</f>
        <v>128.75</v>
      </c>
      <c r="AF165" s="178">
        <f>+AH165/4</f>
        <v>128.75</v>
      </c>
      <c r="AG165" s="179">
        <f>+AH165/4</f>
        <v>128.75</v>
      </c>
      <c r="AH165" s="108">
        <v>515</v>
      </c>
      <c r="AI165" s="177">
        <f>+AM165/4</f>
        <v>201.25</v>
      </c>
      <c r="AJ165" s="178">
        <f>+AM165/4</f>
        <v>201.25</v>
      </c>
      <c r="AK165" s="178">
        <f>+AM165/4</f>
        <v>201.25</v>
      </c>
      <c r="AL165" s="179">
        <f>+AM165/4</f>
        <v>201.25</v>
      </c>
      <c r="AM165" s="108">
        <v>805</v>
      </c>
      <c r="AN165" s="177">
        <f>+AR165/4</f>
        <v>172.5</v>
      </c>
      <c r="AO165" s="178">
        <f>+AR165/4</f>
        <v>172.5</v>
      </c>
      <c r="AP165" s="178">
        <f>+AR165/4</f>
        <v>172.5</v>
      </c>
      <c r="AQ165" s="179">
        <f>+AR165/4</f>
        <v>172.5</v>
      </c>
      <c r="AR165" s="108">
        <v>690</v>
      </c>
      <c r="AS165" s="177">
        <f>+AW165/4</f>
        <v>211.25</v>
      </c>
      <c r="AT165" s="178">
        <f>+AW165/4</f>
        <v>211.25</v>
      </c>
      <c r="AU165" s="178">
        <f>+AW165/4</f>
        <v>211.25</v>
      </c>
      <c r="AV165" s="179">
        <f>+AW165/4</f>
        <v>211.25</v>
      </c>
      <c r="AW165" s="108">
        <v>845</v>
      </c>
      <c r="AX165" s="177">
        <f>+BB165/4</f>
        <v>247.5</v>
      </c>
      <c r="AY165" s="178">
        <f>+BB165/4</f>
        <v>247.5</v>
      </c>
      <c r="AZ165" s="178">
        <f>+BB165/4</f>
        <v>247.5</v>
      </c>
      <c r="BA165" s="179">
        <f>+BB165/4</f>
        <v>247.5</v>
      </c>
      <c r="BB165" s="108">
        <v>990</v>
      </c>
      <c r="BC165" s="177">
        <f>+BG165/4</f>
        <v>216.25</v>
      </c>
      <c r="BD165" s="178">
        <f>+BG165/4</f>
        <v>216.25</v>
      </c>
      <c r="BE165" s="178">
        <f>+BG165/4</f>
        <v>216.25</v>
      </c>
      <c r="BF165" s="179">
        <f>+BG165/4</f>
        <v>216.25</v>
      </c>
      <c r="BG165" s="108">
        <v>865</v>
      </c>
      <c r="BH165" s="177">
        <f>+BL165/4</f>
        <v>183.75</v>
      </c>
      <c r="BI165" s="178">
        <f>+BL165/4</f>
        <v>183.75</v>
      </c>
      <c r="BJ165" s="178">
        <f>+BL165/4</f>
        <v>183.75</v>
      </c>
      <c r="BK165" s="179">
        <f>+BL165/4</f>
        <v>183.75</v>
      </c>
      <c r="BL165" s="108">
        <v>735</v>
      </c>
      <c r="BM165" s="177">
        <f>+BQ165/4</f>
        <v>211.25</v>
      </c>
      <c r="BN165" s="178">
        <f>+BQ165/4</f>
        <v>211.25</v>
      </c>
      <c r="BO165" s="178">
        <f>+BQ165/4</f>
        <v>211.25</v>
      </c>
      <c r="BP165" s="179">
        <f>+BQ165/4</f>
        <v>211.25</v>
      </c>
      <c r="BQ165" s="108">
        <v>845</v>
      </c>
      <c r="BS165" s="1768">
        <f>AW165+BB165+BG165</f>
        <v>2700</v>
      </c>
      <c r="BU165" s="1925"/>
    </row>
    <row r="166" spans="1:100">
      <c r="A166" s="1603"/>
      <c r="B166" s="1603"/>
      <c r="C166" s="129" t="s">
        <v>802</v>
      </c>
      <c r="D166" s="320"/>
      <c r="E166" s="177"/>
      <c r="F166" s="178"/>
      <c r="G166" s="178"/>
      <c r="H166" s="179"/>
      <c r="I166" s="108"/>
      <c r="J166" s="177"/>
      <c r="K166" s="178"/>
      <c r="L166" s="178"/>
      <c r="M166" s="179"/>
      <c r="N166" s="108"/>
      <c r="O166" s="177">
        <f>+S166/4</f>
        <v>306</v>
      </c>
      <c r="P166" s="178">
        <f>+S166/4</f>
        <v>306</v>
      </c>
      <c r="Q166" s="178">
        <f>+S166/4</f>
        <v>306</v>
      </c>
      <c r="R166" s="179">
        <f>+S166/4</f>
        <v>306</v>
      </c>
      <c r="S166" s="108">
        <f>126+1098</f>
        <v>1224</v>
      </c>
      <c r="T166" s="177">
        <f>+X166/4</f>
        <v>389</v>
      </c>
      <c r="U166" s="178">
        <f>+X166/4</f>
        <v>389</v>
      </c>
      <c r="V166" s="178">
        <f>+X166/4</f>
        <v>389</v>
      </c>
      <c r="W166" s="179">
        <f>+X166/4</f>
        <v>389</v>
      </c>
      <c r="X166" s="108">
        <f>128+1428</f>
        <v>1556</v>
      </c>
      <c r="Y166" s="177">
        <f>+AC166/4</f>
        <v>212.25</v>
      </c>
      <c r="Z166" s="178">
        <f>+AC166/4</f>
        <v>212.25</v>
      </c>
      <c r="AA166" s="178">
        <f>+AC166/4</f>
        <v>212.25</v>
      </c>
      <c r="AB166" s="179">
        <f>+AC166/4</f>
        <v>212.25</v>
      </c>
      <c r="AC166" s="108">
        <f>133+716</f>
        <v>849</v>
      </c>
      <c r="AD166" s="177">
        <f>+AH166/4</f>
        <v>162.5</v>
      </c>
      <c r="AE166" s="178">
        <f>+AH166/4</f>
        <v>162.5</v>
      </c>
      <c r="AF166" s="178">
        <f>+AH166/4</f>
        <v>162.5</v>
      </c>
      <c r="AG166" s="179">
        <f>+AH166/4</f>
        <v>162.5</v>
      </c>
      <c r="AH166" s="108">
        <v>650</v>
      </c>
      <c r="AI166" s="177">
        <f>+AM166/4</f>
        <v>396.25</v>
      </c>
      <c r="AJ166" s="178">
        <f>+AM166/4</f>
        <v>396.25</v>
      </c>
      <c r="AK166" s="178">
        <f>+AM166/4</f>
        <v>396.25</v>
      </c>
      <c r="AL166" s="179">
        <f>+AM166/4</f>
        <v>396.25</v>
      </c>
      <c r="AM166" s="108">
        <v>1585</v>
      </c>
      <c r="AN166" s="177">
        <f>+AR166/4</f>
        <v>442.5</v>
      </c>
      <c r="AO166" s="178">
        <f>+AR166/4</f>
        <v>442.5</v>
      </c>
      <c r="AP166" s="178">
        <f>+AR166/4</f>
        <v>442.5</v>
      </c>
      <c r="AQ166" s="179">
        <f>+AR166/4</f>
        <v>442.5</v>
      </c>
      <c r="AR166" s="108">
        <v>1770</v>
      </c>
      <c r="AS166" s="177">
        <f>+AW166/4</f>
        <v>347.5</v>
      </c>
      <c r="AT166" s="178">
        <f>+AW166/4</f>
        <v>347.5</v>
      </c>
      <c r="AU166" s="178">
        <f>+AW166/4</f>
        <v>347.5</v>
      </c>
      <c r="AV166" s="179">
        <f>+AW166/4</f>
        <v>347.5</v>
      </c>
      <c r="AW166" s="108">
        <v>1390</v>
      </c>
      <c r="AX166" s="177">
        <f>+BB166/4</f>
        <v>397.5</v>
      </c>
      <c r="AY166" s="178">
        <f>+BB166/4</f>
        <v>397.5</v>
      </c>
      <c r="AZ166" s="178">
        <f>+BB166/4</f>
        <v>397.5</v>
      </c>
      <c r="BA166" s="179">
        <f>+BB166/4</f>
        <v>397.5</v>
      </c>
      <c r="BB166" s="108">
        <v>1590</v>
      </c>
      <c r="BC166" s="177">
        <f>+BG166/4</f>
        <v>352.5</v>
      </c>
      <c r="BD166" s="178">
        <f>+BG166/4</f>
        <v>352.5</v>
      </c>
      <c r="BE166" s="178">
        <f>+BG166/4</f>
        <v>352.5</v>
      </c>
      <c r="BF166" s="179">
        <f>+BG166/4</f>
        <v>352.5</v>
      </c>
      <c r="BG166" s="108">
        <v>1410</v>
      </c>
      <c r="BH166" s="177">
        <f>+BL166/4</f>
        <v>311.25</v>
      </c>
      <c r="BI166" s="178">
        <f>+BL166/4</f>
        <v>311.25</v>
      </c>
      <c r="BJ166" s="178">
        <f>+BL166/4</f>
        <v>311.25</v>
      </c>
      <c r="BK166" s="179">
        <f>+BL166/4</f>
        <v>311.25</v>
      </c>
      <c r="BL166" s="108">
        <v>1245</v>
      </c>
      <c r="BM166" s="177">
        <f>+BQ166/4</f>
        <v>370.83333333333331</v>
      </c>
      <c r="BN166" s="178">
        <f>+BQ166/4</f>
        <v>370.83333333333331</v>
      </c>
      <c r="BO166" s="178">
        <f>+BQ166/4</f>
        <v>370.83333333333331</v>
      </c>
      <c r="BP166" s="179">
        <f>+BQ166/4</f>
        <v>370.83333333333331</v>
      </c>
      <c r="BQ166" s="108">
        <v>1483.3333333333333</v>
      </c>
      <c r="BS166" s="1768">
        <f>AW166+BB166+BG166</f>
        <v>4390</v>
      </c>
      <c r="BU166" s="1925"/>
    </row>
    <row r="167" spans="1:100">
      <c r="A167" s="1603"/>
      <c r="B167" s="1603"/>
      <c r="C167" s="129" t="s">
        <v>313</v>
      </c>
      <c r="D167" s="320"/>
      <c r="E167" s="177"/>
      <c r="F167" s="178"/>
      <c r="G167" s="178"/>
      <c r="H167" s="179"/>
      <c r="I167" s="108"/>
      <c r="J167" s="177"/>
      <c r="K167" s="178"/>
      <c r="L167" s="178"/>
      <c r="M167" s="179"/>
      <c r="N167" s="108"/>
      <c r="O167" s="177">
        <f>+S167/4</f>
        <v>33.25</v>
      </c>
      <c r="P167" s="178">
        <f>+S167/4</f>
        <v>33.25</v>
      </c>
      <c r="Q167" s="178">
        <f>+S167/4</f>
        <v>33.25</v>
      </c>
      <c r="R167" s="179">
        <f>+S167/4</f>
        <v>33.25</v>
      </c>
      <c r="S167" s="108">
        <f>89+44</f>
        <v>133</v>
      </c>
      <c r="T167" s="177">
        <f>+X167/4</f>
        <v>34</v>
      </c>
      <c r="U167" s="178">
        <f>+X167/4</f>
        <v>34</v>
      </c>
      <c r="V167" s="178">
        <f>+X167/4</f>
        <v>34</v>
      </c>
      <c r="W167" s="179">
        <f>+X167/4</f>
        <v>34</v>
      </c>
      <c r="X167" s="108">
        <f>91+45</f>
        <v>136</v>
      </c>
      <c r="Y167" s="177">
        <f>+AC167/4</f>
        <v>47.25</v>
      </c>
      <c r="Z167" s="178">
        <f>+AC167/4</f>
        <v>47.25</v>
      </c>
      <c r="AA167" s="178">
        <f>+AC167/4</f>
        <v>47.25</v>
      </c>
      <c r="AB167" s="179">
        <f>+AC167/4</f>
        <v>47.25</v>
      </c>
      <c r="AC167" s="108">
        <f>97+92</f>
        <v>189</v>
      </c>
      <c r="AD167" s="177">
        <f>+AH167/4</f>
        <v>143.75</v>
      </c>
      <c r="AE167" s="178">
        <f>+AH167/4</f>
        <v>143.75</v>
      </c>
      <c r="AF167" s="178">
        <f>+AH167/4</f>
        <v>143.75</v>
      </c>
      <c r="AG167" s="179">
        <f>+AH167/4</f>
        <v>143.75</v>
      </c>
      <c r="AH167" s="108">
        <f>155+420</f>
        <v>575</v>
      </c>
      <c r="AI167" s="177">
        <f>+AM167/4</f>
        <v>57.5</v>
      </c>
      <c r="AJ167" s="178">
        <f>+AM167/4</f>
        <v>57.5</v>
      </c>
      <c r="AK167" s="178">
        <f>+AM167/4</f>
        <v>57.5</v>
      </c>
      <c r="AL167" s="179">
        <f>+AM167/4</f>
        <v>57.5</v>
      </c>
      <c r="AM167" s="108">
        <f>230</f>
        <v>230</v>
      </c>
      <c r="AN167" s="177">
        <f>+AR167/4</f>
        <v>70</v>
      </c>
      <c r="AO167" s="178">
        <f>+AR167/4</f>
        <v>70</v>
      </c>
      <c r="AP167" s="178">
        <f>+AR167/4</f>
        <v>70</v>
      </c>
      <c r="AQ167" s="179">
        <f>+AR167/4</f>
        <v>70</v>
      </c>
      <c r="AR167" s="108">
        <v>280</v>
      </c>
      <c r="AS167" s="177">
        <f>+AW167/4</f>
        <v>132.5</v>
      </c>
      <c r="AT167" s="178">
        <f>+AW167/4</f>
        <v>132.5</v>
      </c>
      <c r="AU167" s="178">
        <f>+AW167/4</f>
        <v>132.5</v>
      </c>
      <c r="AV167" s="179">
        <f>+AW167/4</f>
        <v>132.5</v>
      </c>
      <c r="AW167" s="108">
        <v>530</v>
      </c>
      <c r="AX167" s="177">
        <f>+BB167/4</f>
        <v>120</v>
      </c>
      <c r="AY167" s="178">
        <f>+BB167/4</f>
        <v>120</v>
      </c>
      <c r="AZ167" s="178">
        <f>+BB167/4</f>
        <v>120</v>
      </c>
      <c r="BA167" s="179">
        <f>+BB167/4</f>
        <v>120</v>
      </c>
      <c r="BB167" s="108">
        <v>480</v>
      </c>
      <c r="BC167" s="177">
        <f>+BG167/4</f>
        <v>83.75</v>
      </c>
      <c r="BD167" s="178">
        <f>+BG167/4</f>
        <v>83.75</v>
      </c>
      <c r="BE167" s="178">
        <f>+BG167/4</f>
        <v>83.75</v>
      </c>
      <c r="BF167" s="179">
        <f>+BG167/4</f>
        <v>83.75</v>
      </c>
      <c r="BG167" s="108">
        <v>335</v>
      </c>
      <c r="BH167" s="177">
        <f>+BL167/4</f>
        <v>93.75</v>
      </c>
      <c r="BI167" s="178">
        <f>+BL167/4</f>
        <v>93.75</v>
      </c>
      <c r="BJ167" s="178">
        <f>+BL167/4</f>
        <v>93.75</v>
      </c>
      <c r="BK167" s="179">
        <f>+BL167/4</f>
        <v>93.75</v>
      </c>
      <c r="BL167" s="108">
        <v>375</v>
      </c>
      <c r="BM167" s="177">
        <f>+BQ167/4</f>
        <v>84.166666666666671</v>
      </c>
      <c r="BN167" s="178">
        <f>+BQ167/4</f>
        <v>84.166666666666671</v>
      </c>
      <c r="BO167" s="178">
        <f>+BQ167/4</f>
        <v>84.166666666666671</v>
      </c>
      <c r="BP167" s="179">
        <f>+BQ167/4</f>
        <v>84.166666666666671</v>
      </c>
      <c r="BQ167" s="108">
        <v>336.66666666666669</v>
      </c>
      <c r="BS167" s="1768">
        <f>AW167+BB167+BG167</f>
        <v>1345</v>
      </c>
      <c r="BU167" s="1925"/>
    </row>
    <row r="168" spans="1:100" s="37" customFormat="1">
      <c r="A168" s="327"/>
      <c r="B168" s="327"/>
      <c r="C168" s="1173" t="s">
        <v>733</v>
      </c>
      <c r="D168" s="327"/>
      <c r="E168" s="180">
        <f>+I168/4</f>
        <v>388</v>
      </c>
      <c r="F168" s="181">
        <f>+I168/4</f>
        <v>388</v>
      </c>
      <c r="G168" s="181">
        <f>+I168/4</f>
        <v>388</v>
      </c>
      <c r="H168" s="182">
        <f>+I168/4</f>
        <v>388</v>
      </c>
      <c r="I168" s="1604">
        <f>738+8+806</f>
        <v>1552</v>
      </c>
      <c r="J168" s="1605">
        <f>+N168/4</f>
        <v>444</v>
      </c>
      <c r="K168" s="1606">
        <f>+N168/4</f>
        <v>444</v>
      </c>
      <c r="L168" s="1606">
        <f>+N168/4</f>
        <v>444</v>
      </c>
      <c r="M168" s="1607">
        <f>+N168/4</f>
        <v>444</v>
      </c>
      <c r="N168" s="1604">
        <f>776+9+991</f>
        <v>1776</v>
      </c>
      <c r="O168" s="1605">
        <f t="shared" ref="O168:AB168" si="398">SUM(O164:O167)</f>
        <v>558.25</v>
      </c>
      <c r="P168" s="1606">
        <f t="shared" si="398"/>
        <v>558.25</v>
      </c>
      <c r="Q168" s="1606">
        <f t="shared" si="398"/>
        <v>558.25</v>
      </c>
      <c r="R168" s="1607">
        <f t="shared" si="398"/>
        <v>558.25</v>
      </c>
      <c r="S168" s="1604">
        <f t="shared" si="398"/>
        <v>2233</v>
      </c>
      <c r="T168" s="1605">
        <f t="shared" si="398"/>
        <v>648.5</v>
      </c>
      <c r="U168" s="1606">
        <f t="shared" si="398"/>
        <v>648.5</v>
      </c>
      <c r="V168" s="1606">
        <f t="shared" si="398"/>
        <v>648.5</v>
      </c>
      <c r="W168" s="1607">
        <f t="shared" si="398"/>
        <v>648.5</v>
      </c>
      <c r="X168" s="1604">
        <f t="shared" si="398"/>
        <v>2594</v>
      </c>
      <c r="Y168" s="1605">
        <f t="shared" si="398"/>
        <v>500.5</v>
      </c>
      <c r="Z168" s="1606">
        <f t="shared" si="398"/>
        <v>500.5</v>
      </c>
      <c r="AA168" s="1606">
        <f t="shared" si="398"/>
        <v>500.5</v>
      </c>
      <c r="AB168" s="1607">
        <f t="shared" si="398"/>
        <v>500.5</v>
      </c>
      <c r="AC168" s="1604">
        <f t="shared" ref="AC168:AE168" si="399">SUM(AC164:AC167)</f>
        <v>2002</v>
      </c>
      <c r="AD168" s="180">
        <f t="shared" si="399"/>
        <v>578.75</v>
      </c>
      <c r="AE168" s="181">
        <f t="shared" si="399"/>
        <v>578.75</v>
      </c>
      <c r="AF168" s="181">
        <f t="shared" ref="AF168:AG168" si="400">SUM(AF164:AF167)</f>
        <v>578.75</v>
      </c>
      <c r="AG168" s="182">
        <f t="shared" si="400"/>
        <v>578.75</v>
      </c>
      <c r="AH168" s="1604">
        <f t="shared" ref="AH168" si="401">SUM(AH164:AH167)</f>
        <v>2315</v>
      </c>
      <c r="AI168" s="180">
        <f t="shared" ref="AI168:AV168" si="402">SUM(AI164:AI167)</f>
        <v>833.75</v>
      </c>
      <c r="AJ168" s="181">
        <f t="shared" si="402"/>
        <v>833.75</v>
      </c>
      <c r="AK168" s="181">
        <f t="shared" si="402"/>
        <v>833.75</v>
      </c>
      <c r="AL168" s="182">
        <f t="shared" si="402"/>
        <v>833.75</v>
      </c>
      <c r="AM168" s="110">
        <f t="shared" si="402"/>
        <v>3335</v>
      </c>
      <c r="AN168" s="180">
        <f t="shared" ref="AN168:AP168" si="403">SUM(AN164:AN167)</f>
        <v>876.25</v>
      </c>
      <c r="AO168" s="181">
        <f t="shared" si="403"/>
        <v>876.25</v>
      </c>
      <c r="AP168" s="181">
        <f t="shared" si="403"/>
        <v>876.25</v>
      </c>
      <c r="AQ168" s="182">
        <f t="shared" si="402"/>
        <v>876.25</v>
      </c>
      <c r="AR168" s="110">
        <f>SUM(AR164:AR167)</f>
        <v>3505</v>
      </c>
      <c r="AS168" s="180">
        <f t="shared" ref="AS168:AU168" si="404">SUM(AS164:AS167)</f>
        <v>880</v>
      </c>
      <c r="AT168" s="181">
        <f t="shared" si="404"/>
        <v>880</v>
      </c>
      <c r="AU168" s="181">
        <f t="shared" si="404"/>
        <v>880</v>
      </c>
      <c r="AV168" s="182">
        <f t="shared" si="402"/>
        <v>880</v>
      </c>
      <c r="AW168" s="110">
        <f>SUM(AW164:AW167)</f>
        <v>3520</v>
      </c>
      <c r="AX168" s="180">
        <f>SUM(AX164:AX167)</f>
        <v>980</v>
      </c>
      <c r="AY168" s="181">
        <f>SUM(AY164:AY167)</f>
        <v>980</v>
      </c>
      <c r="AZ168" s="181">
        <f>SUM(AZ164:AZ167)</f>
        <v>980</v>
      </c>
      <c r="BA168" s="182">
        <f>SUM(BA164:BA167)</f>
        <v>980</v>
      </c>
      <c r="BB168" s="110">
        <f t="shared" ref="BB168" si="405">SUM(BB164:BB167)</f>
        <v>3920</v>
      </c>
      <c r="BC168" s="180">
        <f t="shared" ref="BC168:BL168" si="406">SUM(BC164:BC167)</f>
        <v>910</v>
      </c>
      <c r="BD168" s="181">
        <f t="shared" si="406"/>
        <v>910</v>
      </c>
      <c r="BE168" s="181">
        <f t="shared" si="406"/>
        <v>910</v>
      </c>
      <c r="BF168" s="182">
        <f t="shared" si="406"/>
        <v>910</v>
      </c>
      <c r="BG168" s="110">
        <f t="shared" si="406"/>
        <v>3640</v>
      </c>
      <c r="BH168" s="180">
        <f t="shared" si="406"/>
        <v>825</v>
      </c>
      <c r="BI168" s="181">
        <f t="shared" si="406"/>
        <v>825</v>
      </c>
      <c r="BJ168" s="181">
        <f t="shared" si="406"/>
        <v>825</v>
      </c>
      <c r="BK168" s="182">
        <f t="shared" si="406"/>
        <v>825</v>
      </c>
      <c r="BL168" s="110">
        <f t="shared" si="406"/>
        <v>3300</v>
      </c>
      <c r="BM168" s="180">
        <f t="shared" ref="BM168:BQ168" si="407">SUM(BM164:BM167)</f>
        <v>891.66666666666663</v>
      </c>
      <c r="BN168" s="181">
        <f t="shared" si="407"/>
        <v>891.66666666666663</v>
      </c>
      <c r="BO168" s="181">
        <f t="shared" si="407"/>
        <v>891.66666666666663</v>
      </c>
      <c r="BP168" s="182">
        <f t="shared" si="407"/>
        <v>891.66666666666663</v>
      </c>
      <c r="BQ168" s="110">
        <f t="shared" si="407"/>
        <v>3566.6666666666665</v>
      </c>
      <c r="BS168" s="1768">
        <f>AW168+BB168+BG168</f>
        <v>11080</v>
      </c>
      <c r="BU168" s="1768"/>
    </row>
    <row r="169" spans="1:100" s="37" customFormat="1">
      <c r="A169" s="327"/>
      <c r="B169" s="327"/>
      <c r="C169" s="1173"/>
      <c r="D169" s="327"/>
      <c r="E169" s="180"/>
      <c r="F169" s="181"/>
      <c r="G169" s="181"/>
      <c r="H169" s="182"/>
      <c r="I169" s="347"/>
      <c r="J169" s="180"/>
      <c r="K169" s="181"/>
      <c r="L169" s="181"/>
      <c r="M169" s="182"/>
      <c r="N169" s="347"/>
      <c r="O169" s="180"/>
      <c r="P169" s="181"/>
      <c r="Q169" s="181"/>
      <c r="R169" s="182"/>
      <c r="S169" s="347"/>
      <c r="T169" s="180"/>
      <c r="U169" s="181"/>
      <c r="V169" s="181"/>
      <c r="W169" s="182"/>
      <c r="X169" s="347"/>
      <c r="Y169" s="180"/>
      <c r="Z169" s="181"/>
      <c r="AA169" s="181"/>
      <c r="AB169" s="182"/>
      <c r="AC169" s="347"/>
      <c r="AD169" s="180"/>
      <c r="AE169" s="181"/>
      <c r="AF169" s="181"/>
      <c r="AG169" s="182"/>
      <c r="AH169" s="347"/>
      <c r="AI169" s="180"/>
      <c r="AJ169" s="181"/>
      <c r="AK169" s="181"/>
      <c r="AL169" s="182"/>
      <c r="AM169" s="347"/>
      <c r="AN169" s="180"/>
      <c r="AO169" s="181"/>
      <c r="AP169" s="181"/>
      <c r="AQ169" s="182"/>
      <c r="AR169" s="347"/>
      <c r="AS169" s="180"/>
      <c r="AT169" s="181"/>
      <c r="AU169" s="181"/>
      <c r="AV169" s="182"/>
      <c r="AW169" s="347"/>
      <c r="AX169" s="1710"/>
      <c r="AY169" s="1711"/>
      <c r="AZ169" s="1711"/>
      <c r="BA169" s="1712"/>
      <c r="BB169" s="1709"/>
      <c r="BC169" s="180"/>
      <c r="BD169" s="181"/>
      <c r="BE169" s="181"/>
      <c r="BF169" s="182"/>
      <c r="BG169" s="1709"/>
      <c r="BH169" s="180"/>
      <c r="BI169" s="181"/>
      <c r="BJ169" s="181"/>
      <c r="BK169" s="182"/>
      <c r="BL169" s="1709"/>
      <c r="BM169" s="180"/>
      <c r="BN169" s="181"/>
      <c r="BO169" s="181"/>
      <c r="BP169" s="182"/>
      <c r="BQ169" s="1709"/>
    </row>
    <row r="170" spans="1:100">
      <c r="A170" s="5"/>
      <c r="B170" s="5"/>
      <c r="C170" s="1250" t="s">
        <v>182</v>
      </c>
      <c r="D170" s="5"/>
      <c r="E170" s="136"/>
      <c r="F170" s="137"/>
      <c r="G170" s="137"/>
      <c r="H170" s="138"/>
      <c r="I170" s="5"/>
      <c r="J170" s="136"/>
      <c r="K170" s="137"/>
      <c r="L170" s="137"/>
      <c r="M170" s="138"/>
      <c r="N170" s="5"/>
      <c r="O170" s="220"/>
      <c r="P170" s="221"/>
      <c r="Q170" s="221"/>
      <c r="R170" s="222"/>
      <c r="S170" s="5"/>
      <c r="T170" s="220"/>
      <c r="U170" s="221"/>
      <c r="V170" s="221"/>
      <c r="W170" s="222"/>
      <c r="X170" s="5"/>
      <c r="Y170" s="220"/>
      <c r="Z170" s="221"/>
      <c r="AA170" s="221"/>
      <c r="AB170" s="222"/>
      <c r="AC170" s="5"/>
      <c r="AD170" s="220"/>
      <c r="AE170" s="221"/>
      <c r="AF170" s="221"/>
      <c r="AG170" s="222"/>
      <c r="AH170" s="5"/>
      <c r="AI170" s="220"/>
      <c r="AJ170" s="221"/>
      <c r="AK170" s="221"/>
      <c r="AL170" s="222"/>
      <c r="AM170" s="5"/>
      <c r="AN170" s="220"/>
      <c r="AO170" s="221"/>
      <c r="AP170" s="221"/>
      <c r="AQ170" s="222"/>
      <c r="AR170" s="5"/>
      <c r="AS170" s="220"/>
      <c r="AT170" s="221"/>
      <c r="AU170" s="221"/>
      <c r="AV170" s="222"/>
      <c r="AW170" s="5"/>
      <c r="AX170" s="220"/>
      <c r="AY170" s="221"/>
      <c r="AZ170" s="221"/>
      <c r="BA170" s="222"/>
      <c r="BB170" s="5"/>
      <c r="BC170" s="220"/>
      <c r="BD170" s="221"/>
      <c r="BE170" s="221"/>
      <c r="BF170" s="222"/>
      <c r="BG170" s="5"/>
      <c r="BH170" s="220"/>
      <c r="BI170" s="221"/>
      <c r="BJ170" s="221"/>
      <c r="BK170" s="222"/>
      <c r="BL170" s="5"/>
      <c r="BM170" s="220"/>
      <c r="BN170" s="221"/>
      <c r="BO170" s="221"/>
      <c r="BP170" s="222"/>
      <c r="BQ170" s="5"/>
    </row>
    <row r="171" spans="1:100">
      <c r="A171" s="1608"/>
      <c r="B171" s="1608"/>
      <c r="C171" s="1195" t="s">
        <v>137</v>
      </c>
      <c r="D171" s="5"/>
      <c r="E171" s="1033">
        <v>83.527000000000001</v>
      </c>
      <c r="F171" s="1034">
        <f>167.408-E171</f>
        <v>83.880999999999986</v>
      </c>
      <c r="G171" s="1034">
        <f>235.543-E171-F171</f>
        <v>68.135000000000034</v>
      </c>
      <c r="H171" s="179">
        <f>I171-E171-F171-G171</f>
        <v>103.20900000000002</v>
      </c>
      <c r="I171" s="33">
        <v>338.75200000000001</v>
      </c>
      <c r="J171" s="1033">
        <v>64.855999999999995</v>
      </c>
      <c r="K171" s="1034">
        <f>144.478-J171</f>
        <v>79.622000000000014</v>
      </c>
      <c r="L171" s="1034">
        <f>212.468-J171-K171</f>
        <v>67.989999999999981</v>
      </c>
      <c r="M171" s="179">
        <f>N171-J171-K171-L171</f>
        <v>78.799000000000007</v>
      </c>
      <c r="N171" s="33">
        <v>291.267</v>
      </c>
      <c r="O171" s="1033">
        <v>70.379000000000005</v>
      </c>
      <c r="P171" s="1034">
        <f>173.311-O171</f>
        <v>102.932</v>
      </c>
      <c r="Q171" s="1034">
        <f>271.443-O171-P171</f>
        <v>98.131999999999962</v>
      </c>
      <c r="R171" s="179">
        <f>S171-O171-P171-Q171</f>
        <v>111.33300000000001</v>
      </c>
      <c r="S171" s="33">
        <v>382.77600000000001</v>
      </c>
      <c r="T171" s="1033">
        <v>81.518000000000001</v>
      </c>
      <c r="U171" s="184">
        <f>183.154-T171</f>
        <v>101.636</v>
      </c>
      <c r="V171" s="1034">
        <f>273.01-T171-U171</f>
        <v>89.855999999999995</v>
      </c>
      <c r="W171" s="179">
        <f>X171-T171-U171-V171</f>
        <v>88.848000000000042</v>
      </c>
      <c r="X171" s="33">
        <v>361.858</v>
      </c>
      <c r="Y171" s="183">
        <v>126.629</v>
      </c>
      <c r="Z171" s="184">
        <f>233.856-Y171</f>
        <v>107.22699999999999</v>
      </c>
      <c r="AA171" s="184">
        <f>365.511-Y171-Z171</f>
        <v>131.65500000000003</v>
      </c>
      <c r="AB171" s="179">
        <f>AC171-Y171-Z171-AA171</f>
        <v>123.56799999999998</v>
      </c>
      <c r="AC171" s="33">
        <v>489.07900000000001</v>
      </c>
      <c r="AD171" s="183">
        <v>140.43899999999999</v>
      </c>
      <c r="AE171" s="184">
        <f>261.336-AD171</f>
        <v>120.89700000000002</v>
      </c>
      <c r="AF171" s="184">
        <f>397.055-AD171-AE171</f>
        <v>135.71899999999997</v>
      </c>
      <c r="AG171" s="179">
        <f>AH171-AD171-AE171-AF171</f>
        <v>138.40900000000008</v>
      </c>
      <c r="AH171" s="33">
        <v>535.46400000000006</v>
      </c>
      <c r="AI171" s="183">
        <v>128.399</v>
      </c>
      <c r="AJ171" s="184">
        <f>268.714-AI171</f>
        <v>140.315</v>
      </c>
      <c r="AK171" s="184">
        <f>428.491-AI171-AJ171</f>
        <v>159.77699999999999</v>
      </c>
      <c r="AL171" s="179">
        <f>AM171-AI171-AJ171-AK171</f>
        <v>461.50900000000007</v>
      </c>
      <c r="AM171" s="33">
        <v>890</v>
      </c>
      <c r="AN171" s="183">
        <v>171.09</v>
      </c>
      <c r="AO171" s="184">
        <f>316.569-AN171</f>
        <v>145.47900000000001</v>
      </c>
      <c r="AP171" s="184">
        <f>494.071-AO171-AN171</f>
        <v>177.50199999999998</v>
      </c>
      <c r="AQ171" s="179">
        <f>AR171-AN171-AO171-AP171</f>
        <v>380.92899999999997</v>
      </c>
      <c r="AR171" s="33">
        <v>875</v>
      </c>
      <c r="AS171" s="183">
        <v>165.49600000000001</v>
      </c>
      <c r="AT171" s="184">
        <f>381.197-AS171</f>
        <v>215.70099999999999</v>
      </c>
      <c r="AU171" s="184">
        <f>558.985-AT171-AS171</f>
        <v>177.78799999999998</v>
      </c>
      <c r="AV171" s="179">
        <f>AW171-AS171-AT171-AU171</f>
        <v>151.01500000000001</v>
      </c>
      <c r="AW171" s="33">
        <v>710</v>
      </c>
      <c r="AX171" s="177">
        <f>BB171/4</f>
        <v>173.75</v>
      </c>
      <c r="AY171" s="178">
        <f>(BB171-AX171)/3</f>
        <v>173.75</v>
      </c>
      <c r="AZ171" s="178">
        <f>(BB171-AX171-AY171)/2</f>
        <v>173.75</v>
      </c>
      <c r="BA171" s="179">
        <f>BB171-AX171-AY171-AZ171</f>
        <v>173.75</v>
      </c>
      <c r="BB171" s="33">
        <v>695</v>
      </c>
      <c r="BC171" s="177">
        <f>BG171/4</f>
        <v>183.75</v>
      </c>
      <c r="BD171" s="178">
        <f>(BG171-BC171)/3</f>
        <v>183.75</v>
      </c>
      <c r="BE171" s="178">
        <f>(BG171-BC171-BD171)/2</f>
        <v>183.75</v>
      </c>
      <c r="BF171" s="179">
        <f>BG171-BC171-BD171-BE171</f>
        <v>183.75</v>
      </c>
      <c r="BG171" s="33">
        <v>735</v>
      </c>
      <c r="BH171" s="177">
        <f>BL171/4</f>
        <v>177.5</v>
      </c>
      <c r="BI171" s="178">
        <f>(BL171-BH171)/3</f>
        <v>177.5</v>
      </c>
      <c r="BJ171" s="178">
        <f>(BL171-BH171-BI171)/2</f>
        <v>177.5</v>
      </c>
      <c r="BK171" s="179">
        <f>BL171-BH171-BI171-BJ171</f>
        <v>177.5</v>
      </c>
      <c r="BL171" s="33">
        <v>710</v>
      </c>
      <c r="BM171" s="177">
        <f>BQ171/4</f>
        <v>125</v>
      </c>
      <c r="BN171" s="178">
        <f>(BQ171-BM171)/3</f>
        <v>125</v>
      </c>
      <c r="BO171" s="178">
        <f>(BQ171-BM171-BN171)/2</f>
        <v>125</v>
      </c>
      <c r="BP171" s="179">
        <f>BQ171-BM171-BN171-BO171</f>
        <v>125</v>
      </c>
      <c r="BQ171" s="33">
        <v>500</v>
      </c>
      <c r="BS171" s="1768">
        <f>AW171+BB171+BG171</f>
        <v>2140</v>
      </c>
    </row>
    <row r="172" spans="1:100">
      <c r="A172" s="1608"/>
      <c r="B172" s="1608"/>
      <c r="C172" s="1729" t="s">
        <v>805</v>
      </c>
      <c r="D172" s="5"/>
      <c r="E172" s="1033">
        <v>54.774999999999999</v>
      </c>
      <c r="F172" s="1034">
        <f>84.132-E172</f>
        <v>29.357000000000006</v>
      </c>
      <c r="G172" s="1034">
        <f>140.224-E172-F172</f>
        <v>56.091999999999977</v>
      </c>
      <c r="H172" s="179">
        <f t="shared" ref="H172:H178" si="408">I172-E172-F172-G172</f>
        <v>59.059000000000005</v>
      </c>
      <c r="I172" s="33">
        <v>199.28299999999999</v>
      </c>
      <c r="J172" s="1033">
        <v>68.284000000000006</v>
      </c>
      <c r="K172" s="1034">
        <f>118.261-J172</f>
        <v>49.97699999999999</v>
      </c>
      <c r="L172" s="1034">
        <f>171.142-J172-K172</f>
        <v>52.881</v>
      </c>
      <c r="M172" s="179">
        <f t="shared" ref="M172:M178" si="409">N172-J172-K172-L172</f>
        <v>66.108999999999995</v>
      </c>
      <c r="N172" s="33">
        <v>237.251</v>
      </c>
      <c r="O172" s="1033">
        <v>59.88</v>
      </c>
      <c r="P172" s="1034">
        <f>108.261-O172</f>
        <v>48.380999999999993</v>
      </c>
      <c r="Q172" s="1034">
        <f>156.944-O172-P172</f>
        <v>48.683</v>
      </c>
      <c r="R172" s="179">
        <f t="shared" ref="R172:R178" si="410">S172-O172-P172-Q172</f>
        <v>62.362999999999992</v>
      </c>
      <c r="S172" s="33">
        <v>219.30699999999999</v>
      </c>
      <c r="T172" s="1033">
        <v>57.920999999999999</v>
      </c>
      <c r="U172" s="184">
        <f>128.809-T172</f>
        <v>70.888000000000005</v>
      </c>
      <c r="V172" s="1034">
        <f>198.785-T172-U172</f>
        <v>69.975999999999999</v>
      </c>
      <c r="W172" s="179">
        <f t="shared" ref="W172:W178" si="411">X172-T172-U172-V172</f>
        <v>85.67300000000003</v>
      </c>
      <c r="X172" s="33">
        <v>284.45800000000003</v>
      </c>
      <c r="Y172" s="183">
        <v>70.474000000000004</v>
      </c>
      <c r="Z172" s="184">
        <f>148.16-Y172</f>
        <v>77.685999999999993</v>
      </c>
      <c r="AA172" s="184">
        <f>205.162-Y172-Z172</f>
        <v>57.001999999999995</v>
      </c>
      <c r="AB172" s="179">
        <f t="shared" ref="AB172:AB178" si="412">AC172-Y172-Z172-AA172</f>
        <v>61.960000000000036</v>
      </c>
      <c r="AC172" s="33">
        <v>267.12200000000001</v>
      </c>
      <c r="AD172" s="183">
        <v>61.683</v>
      </c>
      <c r="AE172" s="184">
        <f>125.851-AD172</f>
        <v>64.168000000000006</v>
      </c>
      <c r="AF172" s="184">
        <f>198.569-AD172-AE172</f>
        <v>72.717999999999989</v>
      </c>
      <c r="AG172" s="179">
        <f t="shared" ref="AG172:AG178" si="413">AH172-AD172-AE172-AF172</f>
        <v>74.169000000000011</v>
      </c>
      <c r="AH172" s="33">
        <v>272.738</v>
      </c>
      <c r="AI172" s="183">
        <v>77.849999999999994</v>
      </c>
      <c r="AJ172" s="184">
        <f>159.5-AI172</f>
        <v>81.650000000000006</v>
      </c>
      <c r="AK172" s="178">
        <f t="shared" ref="AK172" si="414">(AM172-AI172-AJ172)/2</f>
        <v>370.25</v>
      </c>
      <c r="AL172" s="179">
        <f t="shared" ref="AL172:AL177" si="415">AM172-AI172-AJ172-AK172</f>
        <v>370.25</v>
      </c>
      <c r="AM172" s="33">
        <v>900</v>
      </c>
      <c r="AN172" s="183">
        <v>0</v>
      </c>
      <c r="AO172" s="184">
        <v>0</v>
      </c>
      <c r="AP172" s="184">
        <v>0</v>
      </c>
      <c r="AQ172" s="179">
        <f t="shared" ref="AQ172:AQ177" si="416">AR172-AN172-AO172-AP172</f>
        <v>0</v>
      </c>
      <c r="AR172" s="33">
        <v>0</v>
      </c>
      <c r="AS172" s="183">
        <v>0</v>
      </c>
      <c r="AT172" s="184">
        <v>0</v>
      </c>
      <c r="AU172" s="184">
        <v>0</v>
      </c>
      <c r="AV172" s="179">
        <f t="shared" ref="AV172:AV177" si="417">AW172-AS172-AT172-AU172</f>
        <v>0</v>
      </c>
      <c r="AW172" s="33">
        <v>0</v>
      </c>
      <c r="AX172" s="177">
        <f t="shared" ref="AX172:AX177" si="418">BB172/4</f>
        <v>0</v>
      </c>
      <c r="AY172" s="178">
        <f t="shared" ref="AY172:AY177" si="419">(BB172-AX172)/3</f>
        <v>0</v>
      </c>
      <c r="AZ172" s="178">
        <f t="shared" ref="AZ172:AZ177" si="420">(BB172-AX172-AY172)/2</f>
        <v>0</v>
      </c>
      <c r="BA172" s="179">
        <f t="shared" ref="BA172:BA177" si="421">BB172-AX172-AY172-AZ172</f>
        <v>0</v>
      </c>
      <c r="BB172" s="33">
        <v>0</v>
      </c>
      <c r="BC172" s="177">
        <f t="shared" ref="BC172:BC177" si="422">BG172/4</f>
        <v>0</v>
      </c>
      <c r="BD172" s="178">
        <f t="shared" ref="BD172:BD177" si="423">(BG172-BC172)/3</f>
        <v>0</v>
      </c>
      <c r="BE172" s="178">
        <f t="shared" ref="BE172:BE177" si="424">(BG172-BC172-BD172)/2</f>
        <v>0</v>
      </c>
      <c r="BF172" s="179">
        <f t="shared" ref="BF172:BF177" si="425">BG172-BC172-BD172-BE172</f>
        <v>0</v>
      </c>
      <c r="BG172" s="33">
        <v>0</v>
      </c>
      <c r="BH172" s="177">
        <f t="shared" ref="BH172:BH177" si="426">BL172/4</f>
        <v>0</v>
      </c>
      <c r="BI172" s="178">
        <f t="shared" ref="BI172:BI177" si="427">(BL172-BH172)/3</f>
        <v>0</v>
      </c>
      <c r="BJ172" s="178">
        <f t="shared" ref="BJ172:BJ177" si="428">(BL172-BH172-BI172)/2</f>
        <v>0</v>
      </c>
      <c r="BK172" s="179">
        <f t="shared" ref="BK172:BK177" si="429">BL172-BH172-BI172-BJ172</f>
        <v>0</v>
      </c>
      <c r="BL172" s="33">
        <v>0</v>
      </c>
      <c r="BM172" s="177">
        <f t="shared" ref="BM172:BM177" si="430">BQ172/4</f>
        <v>0</v>
      </c>
      <c r="BN172" s="178">
        <f t="shared" ref="BN172:BN177" si="431">(BQ172-BM172)/3</f>
        <v>0</v>
      </c>
      <c r="BO172" s="178">
        <f t="shared" ref="BO172:BO177" si="432">(BQ172-BM172-BN172)/2</f>
        <v>0</v>
      </c>
      <c r="BP172" s="179">
        <f t="shared" ref="BP172:BP177" si="433">BQ172-BM172-BN172-BO172</f>
        <v>0</v>
      </c>
      <c r="BQ172" s="33">
        <v>0</v>
      </c>
      <c r="BS172" s="1768">
        <f t="shared" ref="BS172:BS178" si="434">AW172+BB172+BG172</f>
        <v>0</v>
      </c>
    </row>
    <row r="173" spans="1:100">
      <c r="A173" s="1608"/>
      <c r="B173" s="1608"/>
      <c r="C173" s="1195" t="s">
        <v>806</v>
      </c>
      <c r="D173" s="5"/>
      <c r="E173" s="1033">
        <v>115.97</v>
      </c>
      <c r="F173" s="1034">
        <f>240.172-E173</f>
        <v>124.202</v>
      </c>
      <c r="G173" s="1034">
        <f>342.308-E173-F173</f>
        <v>102.136</v>
      </c>
      <c r="H173" s="179">
        <f t="shared" si="408"/>
        <v>125.21099999999998</v>
      </c>
      <c r="I173" s="33">
        <v>467.51900000000001</v>
      </c>
      <c r="J173" s="1033">
        <v>132.06299999999999</v>
      </c>
      <c r="K173" s="1034">
        <f>213.121-J173</f>
        <v>81.058000000000021</v>
      </c>
      <c r="L173" s="1034">
        <f>316.756-J173-K173</f>
        <v>103.63499999999996</v>
      </c>
      <c r="M173" s="179">
        <f t="shared" si="409"/>
        <v>111.61700000000002</v>
      </c>
      <c r="N173" s="33">
        <v>428.37299999999999</v>
      </c>
      <c r="O173" s="1033">
        <v>108.014</v>
      </c>
      <c r="P173" s="1034">
        <f>219.667-O173</f>
        <v>111.65300000000001</v>
      </c>
      <c r="Q173" s="1034">
        <f>314.799-O173-P173</f>
        <v>95.131999999999962</v>
      </c>
      <c r="R173" s="179">
        <f t="shared" si="410"/>
        <v>119.07699999999998</v>
      </c>
      <c r="S173" s="33">
        <v>433.87599999999998</v>
      </c>
      <c r="T173" s="1033">
        <v>93.843999999999994</v>
      </c>
      <c r="U173" s="184">
        <f>223.78-T173</f>
        <v>129.93600000000001</v>
      </c>
      <c r="V173" s="1034">
        <f>429.82-T173-U173</f>
        <v>206.04</v>
      </c>
      <c r="W173" s="179">
        <f t="shared" si="411"/>
        <v>357.255</v>
      </c>
      <c r="X173" s="33">
        <v>787.07500000000005</v>
      </c>
      <c r="Y173" s="183">
        <v>223.75800000000001</v>
      </c>
      <c r="Z173" s="184">
        <f>418.402-Y173</f>
        <v>194.64399999999998</v>
      </c>
      <c r="AA173" s="184">
        <f>583.451-Y173-Z173</f>
        <v>165.04900000000001</v>
      </c>
      <c r="AB173" s="179">
        <f t="shared" si="412"/>
        <v>128.01899999999998</v>
      </c>
      <c r="AC173" s="33">
        <v>711.47</v>
      </c>
      <c r="AD173" s="183">
        <v>118.854</v>
      </c>
      <c r="AE173" s="184">
        <f>233.235-AD173</f>
        <v>114.38100000000001</v>
      </c>
      <c r="AF173" s="184">
        <f>356.407-AD173-AE173</f>
        <v>123.17199999999998</v>
      </c>
      <c r="AG173" s="179">
        <f t="shared" si="413"/>
        <v>128.23099999999999</v>
      </c>
      <c r="AH173" s="33">
        <v>484.63799999999998</v>
      </c>
      <c r="AI173" s="183">
        <v>102.78400000000001</v>
      </c>
      <c r="AJ173" s="184">
        <f>214.674-AI173</f>
        <v>111.89</v>
      </c>
      <c r="AK173" s="184">
        <f>314.752-AI173-AJ173</f>
        <v>100.07800000000002</v>
      </c>
      <c r="AL173" s="179">
        <f t="shared" si="415"/>
        <v>200.24799999999999</v>
      </c>
      <c r="AM173" s="33">
        <v>515</v>
      </c>
      <c r="AN173" s="183">
        <v>206.572</v>
      </c>
      <c r="AO173" s="184">
        <f>403.387-AN173</f>
        <v>196.815</v>
      </c>
      <c r="AP173" s="184">
        <f>675.248-AO173-AN173</f>
        <v>271.86100000000005</v>
      </c>
      <c r="AQ173" s="179">
        <f t="shared" si="416"/>
        <v>824.75199999999973</v>
      </c>
      <c r="AR173" s="33">
        <v>1500</v>
      </c>
      <c r="AS173" s="183">
        <v>360.69299999999998</v>
      </c>
      <c r="AT173" s="184">
        <f>755.158-AS173</f>
        <v>394.46500000000003</v>
      </c>
      <c r="AU173" s="184">
        <f>1177.121-AT173-AS173</f>
        <v>421.96300000000008</v>
      </c>
      <c r="AV173" s="179">
        <f t="shared" si="417"/>
        <v>542.87899999999991</v>
      </c>
      <c r="AW173" s="33">
        <v>1720</v>
      </c>
      <c r="AX173" s="177">
        <f t="shared" si="418"/>
        <v>457.5</v>
      </c>
      <c r="AY173" s="178">
        <f t="shared" si="419"/>
        <v>457.5</v>
      </c>
      <c r="AZ173" s="178">
        <f t="shared" si="420"/>
        <v>457.5</v>
      </c>
      <c r="BA173" s="179">
        <f t="shared" si="421"/>
        <v>457.5</v>
      </c>
      <c r="BB173" s="33">
        <v>1830</v>
      </c>
      <c r="BC173" s="177">
        <f t="shared" si="422"/>
        <v>346.25</v>
      </c>
      <c r="BD173" s="178">
        <f t="shared" si="423"/>
        <v>346.25</v>
      </c>
      <c r="BE173" s="178">
        <f t="shared" si="424"/>
        <v>346.25</v>
      </c>
      <c r="BF173" s="179">
        <f t="shared" si="425"/>
        <v>346.25</v>
      </c>
      <c r="BG173" s="33">
        <v>1385</v>
      </c>
      <c r="BH173" s="177">
        <f t="shared" si="426"/>
        <v>278.75</v>
      </c>
      <c r="BI173" s="178">
        <f t="shared" si="427"/>
        <v>278.75</v>
      </c>
      <c r="BJ173" s="178">
        <f t="shared" si="428"/>
        <v>278.75</v>
      </c>
      <c r="BK173" s="179">
        <f t="shared" si="429"/>
        <v>278.75</v>
      </c>
      <c r="BL173" s="33">
        <v>1115</v>
      </c>
      <c r="BM173" s="177">
        <f t="shared" si="430"/>
        <v>275</v>
      </c>
      <c r="BN173" s="178">
        <f t="shared" si="431"/>
        <v>275</v>
      </c>
      <c r="BO173" s="178">
        <f t="shared" si="432"/>
        <v>275</v>
      </c>
      <c r="BP173" s="179">
        <f t="shared" si="433"/>
        <v>275</v>
      </c>
      <c r="BQ173" s="33">
        <v>1100</v>
      </c>
      <c r="BS173" s="1768">
        <f t="shared" si="434"/>
        <v>4935</v>
      </c>
    </row>
    <row r="174" spans="1:100">
      <c r="A174" s="1608"/>
      <c r="B174" s="1608"/>
      <c r="C174" s="1195" t="s">
        <v>807</v>
      </c>
      <c r="D174" s="5"/>
      <c r="E174" s="1033">
        <v>28.675999999999998</v>
      </c>
      <c r="F174" s="1034">
        <f>59.434-E174</f>
        <v>30.757999999999999</v>
      </c>
      <c r="G174" s="1034">
        <f>91.553-E174-F174</f>
        <v>32.119</v>
      </c>
      <c r="H174" s="179">
        <f t="shared" si="408"/>
        <v>39.354000000000013</v>
      </c>
      <c r="I174" s="33">
        <v>130.90700000000001</v>
      </c>
      <c r="J174" s="1033">
        <v>78.185000000000002</v>
      </c>
      <c r="K174" s="1034">
        <f>117.021-J174</f>
        <v>38.835999999999999</v>
      </c>
      <c r="L174" s="1034">
        <f>159.87-J174-K174</f>
        <v>42.849000000000004</v>
      </c>
      <c r="M174" s="179">
        <f t="shared" si="409"/>
        <v>63.917000000000002</v>
      </c>
      <c r="N174" s="33">
        <v>223.78700000000001</v>
      </c>
      <c r="O174" s="1033">
        <v>43.192</v>
      </c>
      <c r="P174" s="1034">
        <f>86.497-O174</f>
        <v>43.305</v>
      </c>
      <c r="Q174" s="1034">
        <f>121.813-O174-P174</f>
        <v>35.31600000000001</v>
      </c>
      <c r="R174" s="179">
        <f t="shared" si="410"/>
        <v>44.184999999999967</v>
      </c>
      <c r="S174" s="33">
        <v>165.99799999999999</v>
      </c>
      <c r="T174" s="1033">
        <v>36.664000000000001</v>
      </c>
      <c r="U174" s="184">
        <f>79.851-T174</f>
        <v>43.186999999999998</v>
      </c>
      <c r="V174" s="1034">
        <f>121.634-T174-U174</f>
        <v>41.783000000000001</v>
      </c>
      <c r="W174" s="179">
        <f t="shared" si="411"/>
        <v>53.91</v>
      </c>
      <c r="X174" s="33">
        <v>175.54400000000001</v>
      </c>
      <c r="Y174" s="183">
        <v>39.729999999999997</v>
      </c>
      <c r="Z174" s="184">
        <f>85.436-Y174</f>
        <v>45.70600000000001</v>
      </c>
      <c r="AA174" s="184">
        <f>128.006-Y174-Z174</f>
        <v>42.57</v>
      </c>
      <c r="AB174" s="179">
        <f t="shared" si="412"/>
        <v>40.503999999999984</v>
      </c>
      <c r="AC174" s="33">
        <v>168.51</v>
      </c>
      <c r="AD174" s="183">
        <v>34.877000000000002</v>
      </c>
      <c r="AE174" s="184">
        <f>70.364-AD174</f>
        <v>35.487000000000002</v>
      </c>
      <c r="AF174" s="184">
        <f>124.944-AD174-AE174</f>
        <v>54.580000000000005</v>
      </c>
      <c r="AG174" s="179">
        <f t="shared" si="413"/>
        <v>54.6</v>
      </c>
      <c r="AH174" s="33">
        <v>179.54400000000001</v>
      </c>
      <c r="AI174" s="183">
        <v>45.975999999999999</v>
      </c>
      <c r="AJ174" s="184">
        <f>89.581-AI174</f>
        <v>43.605000000000004</v>
      </c>
      <c r="AK174" s="184">
        <f>146.41-AI174-AJ174</f>
        <v>56.828999999999994</v>
      </c>
      <c r="AL174" s="179">
        <f t="shared" si="415"/>
        <v>108.58999999999999</v>
      </c>
      <c r="AM174" s="33">
        <v>255</v>
      </c>
      <c r="AN174" s="183">
        <v>72.763999999999996</v>
      </c>
      <c r="AO174" s="184">
        <f>143.171-AN174</f>
        <v>70.406999999999996</v>
      </c>
      <c r="AP174" s="184">
        <f>223.643-AO174-AN174</f>
        <v>80.471999999999994</v>
      </c>
      <c r="AQ174" s="179">
        <f t="shared" si="416"/>
        <v>96.357000000000014</v>
      </c>
      <c r="AR174" s="33">
        <v>320</v>
      </c>
      <c r="AS174" s="183">
        <v>92.087000000000003</v>
      </c>
      <c r="AT174" s="184">
        <f>199.873-AS174</f>
        <v>107.78599999999999</v>
      </c>
      <c r="AU174" s="184">
        <f>313.91-AT174-AS174</f>
        <v>114.03700000000002</v>
      </c>
      <c r="AV174" s="179">
        <f t="shared" si="417"/>
        <v>96.089999999999989</v>
      </c>
      <c r="AW174" s="33">
        <v>410</v>
      </c>
      <c r="AX174" s="177">
        <f t="shared" si="418"/>
        <v>98.75</v>
      </c>
      <c r="AY174" s="178">
        <f t="shared" si="419"/>
        <v>98.75</v>
      </c>
      <c r="AZ174" s="178">
        <f t="shared" si="420"/>
        <v>98.75</v>
      </c>
      <c r="BA174" s="179">
        <f t="shared" si="421"/>
        <v>98.75</v>
      </c>
      <c r="BB174" s="33">
        <v>395</v>
      </c>
      <c r="BC174" s="177">
        <f t="shared" si="422"/>
        <v>83.75</v>
      </c>
      <c r="BD174" s="178">
        <f t="shared" si="423"/>
        <v>83.75</v>
      </c>
      <c r="BE174" s="178">
        <f t="shared" si="424"/>
        <v>83.75</v>
      </c>
      <c r="BF174" s="179">
        <f t="shared" si="425"/>
        <v>83.75</v>
      </c>
      <c r="BG174" s="33">
        <v>335</v>
      </c>
      <c r="BH174" s="177">
        <f t="shared" si="426"/>
        <v>132.5</v>
      </c>
      <c r="BI174" s="178">
        <f t="shared" si="427"/>
        <v>132.5</v>
      </c>
      <c r="BJ174" s="178">
        <f t="shared" si="428"/>
        <v>132.5</v>
      </c>
      <c r="BK174" s="179">
        <f t="shared" si="429"/>
        <v>132.5</v>
      </c>
      <c r="BL174" s="33">
        <v>530</v>
      </c>
      <c r="BM174" s="177">
        <f t="shared" si="430"/>
        <v>75</v>
      </c>
      <c r="BN174" s="178">
        <f t="shared" si="431"/>
        <v>75</v>
      </c>
      <c r="BO174" s="178">
        <f t="shared" si="432"/>
        <v>75</v>
      </c>
      <c r="BP174" s="179">
        <f t="shared" si="433"/>
        <v>75</v>
      </c>
      <c r="BQ174" s="33">
        <v>300</v>
      </c>
      <c r="BS174" s="1768">
        <f t="shared" si="434"/>
        <v>1140</v>
      </c>
    </row>
    <row r="175" spans="1:100">
      <c r="A175" s="1608"/>
      <c r="B175" s="1608"/>
      <c r="C175" s="1195" t="s">
        <v>808</v>
      </c>
      <c r="D175" s="5"/>
      <c r="E175" s="1033">
        <v>13.752000000000001</v>
      </c>
      <c r="F175" s="1034">
        <f>30.063-E175</f>
        <v>16.311</v>
      </c>
      <c r="G175" s="1034">
        <f>47.992-E175-F175</f>
        <v>17.928999999999995</v>
      </c>
      <c r="H175" s="179">
        <f t="shared" si="408"/>
        <v>13.962000000000003</v>
      </c>
      <c r="I175" s="33">
        <v>61.954000000000001</v>
      </c>
      <c r="J175" s="1033">
        <v>16.491</v>
      </c>
      <c r="K175" s="1034">
        <f>35.568-J175</f>
        <v>19.076999999999998</v>
      </c>
      <c r="L175" s="1034">
        <f>56.088-J175-K175</f>
        <v>20.520000000000003</v>
      </c>
      <c r="M175" s="179">
        <f t="shared" si="409"/>
        <v>24.130000000000003</v>
      </c>
      <c r="N175" s="33">
        <v>80.218000000000004</v>
      </c>
      <c r="O175" s="1033">
        <v>15.085000000000001</v>
      </c>
      <c r="P175" s="1034">
        <f>28.4-O175</f>
        <v>13.314999999999998</v>
      </c>
      <c r="Q175" s="1034">
        <f>41.607-O175-P175</f>
        <v>13.207000000000001</v>
      </c>
      <c r="R175" s="179">
        <f t="shared" si="410"/>
        <v>14.993000000000002</v>
      </c>
      <c r="S175" s="33">
        <v>56.6</v>
      </c>
      <c r="T175" s="1033">
        <v>14.938000000000001</v>
      </c>
      <c r="U175" s="184">
        <f>30.969-T175</f>
        <v>16.030999999999999</v>
      </c>
      <c r="V175" s="1034">
        <f>47.325-T175-U175</f>
        <v>16.356000000000002</v>
      </c>
      <c r="W175" s="179">
        <f t="shared" si="411"/>
        <v>39.048000000000002</v>
      </c>
      <c r="X175" s="33">
        <v>86.373000000000005</v>
      </c>
      <c r="Y175" s="183">
        <v>18.533000000000001</v>
      </c>
      <c r="Z175" s="184">
        <f>44.018-Y175</f>
        <v>25.484999999999999</v>
      </c>
      <c r="AA175" s="184">
        <f>68.643-Y175-Z175</f>
        <v>24.625</v>
      </c>
      <c r="AB175" s="179">
        <f t="shared" si="412"/>
        <v>20.221000000000004</v>
      </c>
      <c r="AC175" s="33">
        <v>88.864000000000004</v>
      </c>
      <c r="AD175" s="183">
        <v>12.563000000000001</v>
      </c>
      <c r="AE175" s="184">
        <f>27.016-AD175</f>
        <v>14.452999999999998</v>
      </c>
      <c r="AF175" s="184">
        <f>42.42-AD175-AE175</f>
        <v>15.404000000000002</v>
      </c>
      <c r="AG175" s="179">
        <f t="shared" si="413"/>
        <v>19.778999999999996</v>
      </c>
      <c r="AH175" s="33">
        <v>62.198999999999998</v>
      </c>
      <c r="AI175" s="183">
        <v>14.334</v>
      </c>
      <c r="AJ175" s="184">
        <f>31.991-AI175</f>
        <v>17.657</v>
      </c>
      <c r="AK175" s="184">
        <f>64.28-AI175-AJ175</f>
        <v>32.289000000000001</v>
      </c>
      <c r="AL175" s="179">
        <f t="shared" si="415"/>
        <v>10.719999999999999</v>
      </c>
      <c r="AM175" s="33">
        <v>75</v>
      </c>
      <c r="AN175" s="183">
        <v>17.931000000000001</v>
      </c>
      <c r="AO175" s="184">
        <f>37.345-AN175</f>
        <v>19.413999999999998</v>
      </c>
      <c r="AP175" s="184">
        <f>63.161-AO175-AN175</f>
        <v>25.815999999999999</v>
      </c>
      <c r="AQ175" s="179">
        <f t="shared" si="416"/>
        <v>271.83900000000006</v>
      </c>
      <c r="AR175" s="33">
        <v>335</v>
      </c>
      <c r="AS175" s="183">
        <v>26.079000000000001</v>
      </c>
      <c r="AT175" s="184">
        <f>48.683-AS175</f>
        <v>22.603999999999999</v>
      </c>
      <c r="AU175" s="184">
        <f>81.143-AT175-AS175</f>
        <v>32.46</v>
      </c>
      <c r="AV175" s="179">
        <f t="shared" si="417"/>
        <v>78.856999999999999</v>
      </c>
      <c r="AW175" s="33">
        <v>160</v>
      </c>
      <c r="AX175" s="177">
        <f t="shared" si="418"/>
        <v>57.5</v>
      </c>
      <c r="AY175" s="178">
        <f t="shared" si="419"/>
        <v>57.5</v>
      </c>
      <c r="AZ175" s="178">
        <f t="shared" si="420"/>
        <v>57.5</v>
      </c>
      <c r="BA175" s="179">
        <f t="shared" si="421"/>
        <v>57.5</v>
      </c>
      <c r="BB175" s="33">
        <v>230</v>
      </c>
      <c r="BC175" s="177">
        <f t="shared" si="422"/>
        <v>47.5</v>
      </c>
      <c r="BD175" s="178">
        <f t="shared" si="423"/>
        <v>47.5</v>
      </c>
      <c r="BE175" s="178">
        <f t="shared" si="424"/>
        <v>47.5</v>
      </c>
      <c r="BF175" s="179">
        <f t="shared" si="425"/>
        <v>47.5</v>
      </c>
      <c r="BG175" s="33">
        <v>190</v>
      </c>
      <c r="BH175" s="177">
        <f t="shared" si="426"/>
        <v>28.75</v>
      </c>
      <c r="BI175" s="178">
        <f t="shared" si="427"/>
        <v>28.75</v>
      </c>
      <c r="BJ175" s="178">
        <f t="shared" si="428"/>
        <v>28.75</v>
      </c>
      <c r="BK175" s="179">
        <f t="shared" si="429"/>
        <v>28.75</v>
      </c>
      <c r="BL175" s="33">
        <v>115</v>
      </c>
      <c r="BM175" s="177">
        <f t="shared" si="430"/>
        <v>20</v>
      </c>
      <c r="BN175" s="178">
        <f t="shared" si="431"/>
        <v>20</v>
      </c>
      <c r="BO175" s="178">
        <f t="shared" si="432"/>
        <v>20</v>
      </c>
      <c r="BP175" s="179">
        <f t="shared" si="433"/>
        <v>20</v>
      </c>
      <c r="BQ175" s="33">
        <v>80</v>
      </c>
      <c r="BS175" s="1768">
        <f t="shared" si="434"/>
        <v>580</v>
      </c>
    </row>
    <row r="176" spans="1:100">
      <c r="A176" s="1608"/>
      <c r="B176" s="1608"/>
      <c r="C176" s="1195" t="s">
        <v>138</v>
      </c>
      <c r="D176" s="5"/>
      <c r="E176" s="1033">
        <v>54.921999999999997</v>
      </c>
      <c r="F176" s="1034">
        <f>104.047-E176</f>
        <v>49.125</v>
      </c>
      <c r="G176" s="1034">
        <f>138.916-E176-F176</f>
        <v>34.869</v>
      </c>
      <c r="H176" s="179">
        <f t="shared" si="408"/>
        <v>49.36099999999999</v>
      </c>
      <c r="I176" s="33">
        <v>188.27699999999999</v>
      </c>
      <c r="J176" s="1033">
        <v>34.137999999999998</v>
      </c>
      <c r="K176" s="1034">
        <f>79.704-J176</f>
        <v>45.565999999999995</v>
      </c>
      <c r="L176" s="1034">
        <f>119.518-J176-K176</f>
        <v>39.814</v>
      </c>
      <c r="M176" s="179">
        <f t="shared" si="409"/>
        <v>43.303999999999995</v>
      </c>
      <c r="N176" s="33">
        <v>162.822</v>
      </c>
      <c r="O176" s="1033">
        <v>32.295000000000002</v>
      </c>
      <c r="P176" s="1034">
        <f>75.623-O176</f>
        <v>43.328000000000003</v>
      </c>
      <c r="Q176" s="1034">
        <f>120.992-O176-P176</f>
        <v>45.369</v>
      </c>
      <c r="R176" s="179">
        <f t="shared" si="410"/>
        <v>52.46999999999997</v>
      </c>
      <c r="S176" s="33">
        <v>173.46199999999999</v>
      </c>
      <c r="T176" s="1033">
        <v>42.161999999999999</v>
      </c>
      <c r="U176" s="184">
        <f>83.474-T176</f>
        <v>41.312000000000005</v>
      </c>
      <c r="V176" s="1034">
        <f>128.199-T176-U176</f>
        <v>44.725000000000001</v>
      </c>
      <c r="W176" s="179">
        <f t="shared" si="411"/>
        <v>53.204999999999977</v>
      </c>
      <c r="X176" s="33">
        <v>181.404</v>
      </c>
      <c r="Y176" s="183">
        <v>43.381999999999998</v>
      </c>
      <c r="Z176" s="184">
        <f>92.149-Y176</f>
        <v>48.767000000000003</v>
      </c>
      <c r="AA176" s="184">
        <f>133.489-Y176-Z176</f>
        <v>41.339999999999996</v>
      </c>
      <c r="AB176" s="179">
        <f t="shared" si="412"/>
        <v>48.056999999999995</v>
      </c>
      <c r="AC176" s="33">
        <v>181.54599999999999</v>
      </c>
      <c r="AD176" s="183">
        <v>34.677</v>
      </c>
      <c r="AE176" s="184">
        <f>82.352-AD176</f>
        <v>47.675000000000004</v>
      </c>
      <c r="AF176" s="184">
        <f>130.71-AD176-AE176</f>
        <v>48.358000000000011</v>
      </c>
      <c r="AG176" s="179">
        <f t="shared" si="413"/>
        <v>65.084000000000003</v>
      </c>
      <c r="AH176" s="33">
        <v>195.79400000000001</v>
      </c>
      <c r="AI176" s="183">
        <v>66.370999999999995</v>
      </c>
      <c r="AJ176" s="184">
        <f>133.344-AI176</f>
        <v>66.972999999999999</v>
      </c>
      <c r="AK176" s="184">
        <f>210.595-AI176-AJ176</f>
        <v>77.250999999999991</v>
      </c>
      <c r="AL176" s="179">
        <f t="shared" si="415"/>
        <v>344.40500000000003</v>
      </c>
      <c r="AM176" s="33">
        <v>555</v>
      </c>
      <c r="AN176" s="183">
        <v>91.843000000000004</v>
      </c>
      <c r="AO176" s="184">
        <f>185.945-AN176</f>
        <v>94.10199999999999</v>
      </c>
      <c r="AP176" s="184">
        <f>264.394-AO176-AN176</f>
        <v>78.449000000000026</v>
      </c>
      <c r="AQ176" s="179">
        <f t="shared" si="416"/>
        <v>40.605999999999966</v>
      </c>
      <c r="AR176" s="33">
        <v>305</v>
      </c>
      <c r="AS176" s="183">
        <v>68.765000000000001</v>
      </c>
      <c r="AT176" s="184">
        <f>155.755-AS176</f>
        <v>86.99</v>
      </c>
      <c r="AU176" s="184">
        <f>243.226-AT176-AS176</f>
        <v>87.470999999999989</v>
      </c>
      <c r="AV176" s="179">
        <f t="shared" si="417"/>
        <v>106.77400000000002</v>
      </c>
      <c r="AW176" s="33">
        <v>350</v>
      </c>
      <c r="AX176" s="177">
        <f t="shared" si="418"/>
        <v>132.5</v>
      </c>
      <c r="AY176" s="178">
        <f t="shared" si="419"/>
        <v>132.5</v>
      </c>
      <c r="AZ176" s="178">
        <f t="shared" si="420"/>
        <v>132.5</v>
      </c>
      <c r="BA176" s="179">
        <f t="shared" si="421"/>
        <v>132.5</v>
      </c>
      <c r="BB176" s="33">
        <v>530</v>
      </c>
      <c r="BC176" s="177">
        <f t="shared" si="422"/>
        <v>205</v>
      </c>
      <c r="BD176" s="178">
        <f t="shared" si="423"/>
        <v>205</v>
      </c>
      <c r="BE176" s="178">
        <f t="shared" si="424"/>
        <v>205</v>
      </c>
      <c r="BF176" s="179">
        <f t="shared" si="425"/>
        <v>205</v>
      </c>
      <c r="BG176" s="33">
        <v>820</v>
      </c>
      <c r="BH176" s="177">
        <f t="shared" si="426"/>
        <v>151.25</v>
      </c>
      <c r="BI176" s="178">
        <f t="shared" si="427"/>
        <v>151.25</v>
      </c>
      <c r="BJ176" s="178">
        <f t="shared" si="428"/>
        <v>151.25</v>
      </c>
      <c r="BK176" s="179">
        <f t="shared" si="429"/>
        <v>151.25</v>
      </c>
      <c r="BL176" s="33">
        <v>605</v>
      </c>
      <c r="BM176" s="177">
        <f t="shared" si="430"/>
        <v>75</v>
      </c>
      <c r="BN176" s="178">
        <f t="shared" si="431"/>
        <v>75</v>
      </c>
      <c r="BO176" s="178">
        <f t="shared" si="432"/>
        <v>75</v>
      </c>
      <c r="BP176" s="179">
        <f t="shared" si="433"/>
        <v>75</v>
      </c>
      <c r="BQ176" s="33">
        <v>300</v>
      </c>
      <c r="BS176" s="1768">
        <f t="shared" si="434"/>
        <v>1700</v>
      </c>
    </row>
    <row r="177" spans="1:71">
      <c r="A177" s="1608"/>
      <c r="B177" s="1608"/>
      <c r="C177" s="1195" t="s">
        <v>679</v>
      </c>
      <c r="D177" s="5"/>
      <c r="E177" s="1033">
        <v>11.952999999999999</v>
      </c>
      <c r="F177" s="1034">
        <f>36.678-E177</f>
        <v>24.724999999999998</v>
      </c>
      <c r="G177" s="1034">
        <f>56.605-E177-F177</f>
        <v>19.927000000000003</v>
      </c>
      <c r="H177" s="179">
        <f t="shared" si="408"/>
        <v>34.173000000000002</v>
      </c>
      <c r="I177" s="33">
        <v>90.778000000000006</v>
      </c>
      <c r="J177" s="1033">
        <v>26.741</v>
      </c>
      <c r="K177" s="1034">
        <f>70.695-J177</f>
        <v>43.953999999999994</v>
      </c>
      <c r="L177" s="1034">
        <f>113.771-J177-K177</f>
        <v>43.076000000000008</v>
      </c>
      <c r="M177" s="179">
        <f t="shared" si="409"/>
        <v>42.994999999999976</v>
      </c>
      <c r="N177" s="33">
        <v>156.76599999999999</v>
      </c>
      <c r="O177" s="1033">
        <v>52.795999999999999</v>
      </c>
      <c r="P177" s="1034">
        <f>105.653-O177</f>
        <v>52.857000000000006</v>
      </c>
      <c r="Q177" s="1034">
        <f>164.013-O177-P177</f>
        <v>58.360000000000007</v>
      </c>
      <c r="R177" s="179">
        <f t="shared" si="410"/>
        <v>70.739999999999981</v>
      </c>
      <c r="S177" s="33">
        <v>234.75299999999999</v>
      </c>
      <c r="T177" s="1033">
        <v>140.334</v>
      </c>
      <c r="U177" s="184">
        <f>341.458-T177</f>
        <v>201.12400000000002</v>
      </c>
      <c r="V177" s="1034">
        <f>415.013-T177-U177</f>
        <v>73.55499999999995</v>
      </c>
      <c r="W177" s="179">
        <f t="shared" si="411"/>
        <v>35.223000000000013</v>
      </c>
      <c r="X177" s="33">
        <v>450.23599999999999</v>
      </c>
      <c r="Y177" s="183">
        <v>21.349</v>
      </c>
      <c r="Z177" s="184">
        <f>30.515-Y177</f>
        <v>9.1660000000000004</v>
      </c>
      <c r="AA177" s="184">
        <f>37.731-Y177-Z177</f>
        <v>7.2160000000000011</v>
      </c>
      <c r="AB177" s="179">
        <f t="shared" si="412"/>
        <v>13.853000000000002</v>
      </c>
      <c r="AC177" s="33">
        <v>51.584000000000003</v>
      </c>
      <c r="AD177" s="183">
        <v>19.056000000000001</v>
      </c>
      <c r="AE177" s="184">
        <f>37.453-AD177</f>
        <v>18.397000000000002</v>
      </c>
      <c r="AF177" s="184">
        <f>50.379-AD177-AE177</f>
        <v>12.925999999999995</v>
      </c>
      <c r="AG177" s="179">
        <f t="shared" si="413"/>
        <v>13.395000000000007</v>
      </c>
      <c r="AH177" s="33">
        <v>63.774000000000001</v>
      </c>
      <c r="AI177" s="183">
        <v>13.324</v>
      </c>
      <c r="AJ177" s="184">
        <f>27.608-AI177</f>
        <v>14.284000000000001</v>
      </c>
      <c r="AK177" s="184">
        <f>48.756-AI177-AJ177</f>
        <v>21.148000000000003</v>
      </c>
      <c r="AL177" s="179">
        <f t="shared" si="415"/>
        <v>26.244</v>
      </c>
      <c r="AM177" s="33">
        <v>75</v>
      </c>
      <c r="AN177" s="183">
        <v>34.747</v>
      </c>
      <c r="AO177" s="184">
        <f>57.429-AN177</f>
        <v>22.682000000000002</v>
      </c>
      <c r="AP177" s="184">
        <f>71.471-AO177-AN177</f>
        <v>14.042000000000002</v>
      </c>
      <c r="AQ177" s="179">
        <f t="shared" si="416"/>
        <v>23.528999999999996</v>
      </c>
      <c r="AR177" s="33">
        <v>95</v>
      </c>
      <c r="AS177" s="183">
        <v>14.096</v>
      </c>
      <c r="AT177" s="184">
        <f>32.799-AS177</f>
        <v>18.702999999999999</v>
      </c>
      <c r="AU177" s="184">
        <f>60.041-AT177-AS177</f>
        <v>27.241999999999994</v>
      </c>
      <c r="AV177" s="179">
        <f t="shared" si="417"/>
        <v>39.959000000000003</v>
      </c>
      <c r="AW177" s="33">
        <v>100</v>
      </c>
      <c r="AX177" s="177">
        <f t="shared" si="418"/>
        <v>48.75</v>
      </c>
      <c r="AY177" s="178">
        <f t="shared" si="419"/>
        <v>48.75</v>
      </c>
      <c r="AZ177" s="178">
        <f t="shared" si="420"/>
        <v>48.75</v>
      </c>
      <c r="BA177" s="179">
        <f t="shared" si="421"/>
        <v>48.75</v>
      </c>
      <c r="BB177" s="33">
        <v>195</v>
      </c>
      <c r="BC177" s="177">
        <f t="shared" si="422"/>
        <v>36.25</v>
      </c>
      <c r="BD177" s="178">
        <f t="shared" si="423"/>
        <v>36.25</v>
      </c>
      <c r="BE177" s="178">
        <f t="shared" si="424"/>
        <v>36.25</v>
      </c>
      <c r="BF177" s="179">
        <f t="shared" si="425"/>
        <v>36.25</v>
      </c>
      <c r="BG177" s="33">
        <v>145</v>
      </c>
      <c r="BH177" s="177">
        <f t="shared" si="426"/>
        <v>40</v>
      </c>
      <c r="BI177" s="178">
        <f t="shared" si="427"/>
        <v>40</v>
      </c>
      <c r="BJ177" s="178">
        <f t="shared" si="428"/>
        <v>40</v>
      </c>
      <c r="BK177" s="179">
        <f t="shared" si="429"/>
        <v>40</v>
      </c>
      <c r="BL177" s="33">
        <v>160</v>
      </c>
      <c r="BM177" s="177">
        <f t="shared" si="430"/>
        <v>12.5</v>
      </c>
      <c r="BN177" s="178">
        <f t="shared" si="431"/>
        <v>12.5</v>
      </c>
      <c r="BO177" s="178">
        <f t="shared" si="432"/>
        <v>12.5</v>
      </c>
      <c r="BP177" s="179">
        <f t="shared" si="433"/>
        <v>12.5</v>
      </c>
      <c r="BQ177" s="33">
        <v>50</v>
      </c>
      <c r="BS177" s="1768">
        <f t="shared" si="434"/>
        <v>440</v>
      </c>
    </row>
    <row r="178" spans="1:71" s="103" customFormat="1">
      <c r="A178" s="31"/>
      <c r="B178" s="31"/>
      <c r="C178" s="1195" t="s">
        <v>313</v>
      </c>
      <c r="D178" s="31"/>
      <c r="E178" s="220">
        <f>+E168-SUM(E171:E177)</f>
        <v>24.425000000000068</v>
      </c>
      <c r="F178" s="178">
        <f>+F168-SUM(F171:F177)</f>
        <v>29.64100000000002</v>
      </c>
      <c r="G178" s="178">
        <f>+G168-SUM(G171:G177)</f>
        <v>56.793000000000006</v>
      </c>
      <c r="H178" s="179">
        <f t="shared" si="408"/>
        <v>-36.329000000000121</v>
      </c>
      <c r="I178" s="21">
        <f>+I168-SUM(I171:I177)</f>
        <v>74.529999999999973</v>
      </c>
      <c r="J178" s="220">
        <f>+J168-SUM(J171:J177)</f>
        <v>23.242000000000075</v>
      </c>
      <c r="K178" s="178">
        <f>+K168-SUM(K171:K177)</f>
        <v>85.910000000000025</v>
      </c>
      <c r="L178" s="178">
        <f>+L168-SUM(L171:L177)</f>
        <v>73.235000000000014</v>
      </c>
      <c r="M178" s="179">
        <f t="shared" si="409"/>
        <v>13.128999999999508</v>
      </c>
      <c r="N178" s="21">
        <f>+N168-SUM(N171:N177)</f>
        <v>195.51599999999962</v>
      </c>
      <c r="O178" s="220">
        <f>+O168-SUM(O171:O177)</f>
        <v>176.60899999999998</v>
      </c>
      <c r="P178" s="178">
        <f>+P168-SUM(P171:P177)</f>
        <v>142.47899999999998</v>
      </c>
      <c r="Q178" s="178">
        <f>+Q168-SUM(Q171:Q177)</f>
        <v>164.05100000000004</v>
      </c>
      <c r="R178" s="179">
        <f t="shared" si="410"/>
        <v>83.089000000000283</v>
      </c>
      <c r="S178" s="21">
        <f>+S168-SUM(S171:S177)</f>
        <v>566.22800000000029</v>
      </c>
      <c r="T178" s="220">
        <f>+T168-SUM(T171:T177)</f>
        <v>181.11900000000003</v>
      </c>
      <c r="U178" s="178">
        <f>+U168-SUM(U171:U177)</f>
        <v>44.385999999999967</v>
      </c>
      <c r="V178" s="178">
        <f>+V168-SUM(V171:V177)</f>
        <v>106.20900000000006</v>
      </c>
      <c r="W178" s="179">
        <f t="shared" si="411"/>
        <v>-64.662000000000376</v>
      </c>
      <c r="X178" s="21">
        <f>+X168-SUM(X171:X177)</f>
        <v>267.05199999999968</v>
      </c>
      <c r="Y178" s="220">
        <f>+Y168-SUM(Y171:Y177)</f>
        <v>-43.355000000000018</v>
      </c>
      <c r="Z178" s="178">
        <f>+Z168-SUM(Z171:Z177)</f>
        <v>-8.1809999999999832</v>
      </c>
      <c r="AA178" s="178">
        <f>+AA168-SUM(AA171:AA177)</f>
        <v>31.043000000000006</v>
      </c>
      <c r="AB178" s="179">
        <f t="shared" si="412"/>
        <v>64.317999999999813</v>
      </c>
      <c r="AC178" s="21">
        <f>+AC168-SUM(AC171:AC177)</f>
        <v>43.824999999999818</v>
      </c>
      <c r="AD178" s="220">
        <f>+AD168-SUM(AD171:AD177)</f>
        <v>156.601</v>
      </c>
      <c r="AE178" s="178">
        <f>+AE168-SUM(AE171:AE177)</f>
        <v>163.29199999999997</v>
      </c>
      <c r="AF178" s="178">
        <f>+AF168-SUM(AF171:AF177)</f>
        <v>115.8730000000001</v>
      </c>
      <c r="AG178" s="179">
        <f t="shared" si="413"/>
        <v>85.082999999999629</v>
      </c>
      <c r="AH178" s="21">
        <f>+AH168-SUM(AH171:AH177)</f>
        <v>520.84899999999971</v>
      </c>
      <c r="AI178" s="220">
        <f>+AI168-SUM(AI171:AI177)</f>
        <v>384.71199999999999</v>
      </c>
      <c r="AJ178" s="178">
        <f>+AJ168-SUM(AJ171:AJ177)</f>
        <v>357.37599999999998</v>
      </c>
      <c r="AK178" s="178">
        <f>+AK168-SUM(AK171:AK177)</f>
        <v>16.128000000000043</v>
      </c>
      <c r="AL178" s="222">
        <f>+AL168-SUM(AL171:AL177)</f>
        <v>-688.21599999999989</v>
      </c>
      <c r="AM178" s="21">
        <f t="shared" ref="AM178" si="435">+AM168-SUM(AM171:AM177)</f>
        <v>70</v>
      </c>
      <c r="AN178" s="220">
        <f>+AN168-SUM(AN171:AN177)</f>
        <v>281.303</v>
      </c>
      <c r="AO178" s="178">
        <f>+AO168-SUM(AO171:AO177)</f>
        <v>327.351</v>
      </c>
      <c r="AP178" s="221">
        <f>+AP168-SUM(AP171:AP177)</f>
        <v>228.10799999999983</v>
      </c>
      <c r="AQ178" s="222">
        <f>+AQ168-SUM(AQ171:AQ177)</f>
        <v>-761.76199999999949</v>
      </c>
      <c r="AR178" s="21">
        <f t="shared" ref="AR178:BB178" si="436">+AR168-SUM(AR171:AR177)</f>
        <v>75</v>
      </c>
      <c r="AS178" s="220">
        <f>+AS168-SUM(AS171:AS177)</f>
        <v>152.78400000000011</v>
      </c>
      <c r="AT178" s="178">
        <f>+AT168-SUM(AT171:AT177)</f>
        <v>33.750999999999976</v>
      </c>
      <c r="AU178" s="178">
        <f>+AU168-SUM(AU171:AU177)</f>
        <v>19.038999999999874</v>
      </c>
      <c r="AV178" s="222">
        <f t="shared" si="436"/>
        <v>-135.57399999999984</v>
      </c>
      <c r="AW178" s="21">
        <f t="shared" si="436"/>
        <v>70</v>
      </c>
      <c r="AX178" s="220">
        <f t="shared" si="436"/>
        <v>11.25</v>
      </c>
      <c r="AY178" s="221">
        <f t="shared" si="436"/>
        <v>11.25</v>
      </c>
      <c r="AZ178" s="221">
        <f t="shared" si="436"/>
        <v>11.25</v>
      </c>
      <c r="BA178" s="222">
        <f t="shared" si="436"/>
        <v>11.25</v>
      </c>
      <c r="BB178" s="21">
        <f t="shared" si="436"/>
        <v>45</v>
      </c>
      <c r="BC178" s="220">
        <f t="shared" ref="BC178:BL178" si="437">+BC168-SUM(BC171:BC177)</f>
        <v>7.5</v>
      </c>
      <c r="BD178" s="221">
        <f t="shared" si="437"/>
        <v>7.5</v>
      </c>
      <c r="BE178" s="221">
        <f t="shared" si="437"/>
        <v>7.5</v>
      </c>
      <c r="BF178" s="222">
        <f t="shared" si="437"/>
        <v>7.5</v>
      </c>
      <c r="BG178" s="21">
        <f t="shared" si="437"/>
        <v>30</v>
      </c>
      <c r="BH178" s="220">
        <f t="shared" si="437"/>
        <v>16.25</v>
      </c>
      <c r="BI178" s="221">
        <f t="shared" si="437"/>
        <v>16.25</v>
      </c>
      <c r="BJ178" s="221">
        <f t="shared" si="437"/>
        <v>16.25</v>
      </c>
      <c r="BK178" s="222">
        <f t="shared" si="437"/>
        <v>16.25</v>
      </c>
      <c r="BL178" s="21">
        <f t="shared" si="437"/>
        <v>65</v>
      </c>
      <c r="BM178" s="220">
        <f t="shared" ref="BM178:BQ178" si="438">+BM168-SUM(BM171:BM177)</f>
        <v>309.16666666666663</v>
      </c>
      <c r="BN178" s="221">
        <f t="shared" si="438"/>
        <v>309.16666666666663</v>
      </c>
      <c r="BO178" s="221">
        <f t="shared" si="438"/>
        <v>309.16666666666663</v>
      </c>
      <c r="BP178" s="222">
        <f t="shared" si="438"/>
        <v>309.16666666666663</v>
      </c>
      <c r="BQ178" s="21">
        <f t="shared" si="438"/>
        <v>1236.6666666666665</v>
      </c>
      <c r="BS178" s="1768">
        <f t="shared" si="434"/>
        <v>145</v>
      </c>
    </row>
    <row r="179" spans="1:71" s="1595" customFormat="1">
      <c r="A179" s="36"/>
      <c r="B179" s="36"/>
      <c r="C179" s="1196" t="s">
        <v>810</v>
      </c>
      <c r="D179" s="36"/>
      <c r="E179" s="200">
        <f t="shared" ref="E179:N179" si="439">SUM(E171:E178)</f>
        <v>388</v>
      </c>
      <c r="F179" s="181">
        <f t="shared" si="439"/>
        <v>388</v>
      </c>
      <c r="G179" s="181">
        <f t="shared" si="439"/>
        <v>388</v>
      </c>
      <c r="H179" s="182">
        <f t="shared" si="439"/>
        <v>387.99999999999994</v>
      </c>
      <c r="I179" s="20">
        <f t="shared" si="439"/>
        <v>1552</v>
      </c>
      <c r="J179" s="200">
        <f t="shared" si="439"/>
        <v>444</v>
      </c>
      <c r="K179" s="181">
        <f t="shared" si="439"/>
        <v>444</v>
      </c>
      <c r="L179" s="181">
        <f t="shared" si="439"/>
        <v>444</v>
      </c>
      <c r="M179" s="182">
        <f t="shared" si="439"/>
        <v>443.99999999999949</v>
      </c>
      <c r="N179" s="20">
        <f t="shared" si="439"/>
        <v>1776</v>
      </c>
      <c r="O179" s="200">
        <f t="shared" ref="O179:AE179" si="440">SUM(O171:O178)</f>
        <v>558.25</v>
      </c>
      <c r="P179" s="181">
        <f t="shared" si="440"/>
        <v>558.25</v>
      </c>
      <c r="Q179" s="181">
        <f t="shared" si="440"/>
        <v>558.25</v>
      </c>
      <c r="R179" s="182">
        <f t="shared" si="440"/>
        <v>558.25000000000011</v>
      </c>
      <c r="S179" s="20">
        <f t="shared" si="440"/>
        <v>2233</v>
      </c>
      <c r="T179" s="200">
        <f t="shared" si="440"/>
        <v>648.5</v>
      </c>
      <c r="U179" s="181">
        <f t="shared" si="440"/>
        <v>648.5</v>
      </c>
      <c r="V179" s="181">
        <f t="shared" si="440"/>
        <v>648.5</v>
      </c>
      <c r="W179" s="182">
        <f t="shared" si="440"/>
        <v>648.49999999999966</v>
      </c>
      <c r="X179" s="20">
        <f t="shared" si="440"/>
        <v>2594</v>
      </c>
      <c r="Y179" s="200">
        <f t="shared" si="440"/>
        <v>500.5</v>
      </c>
      <c r="Z179" s="181">
        <f t="shared" si="440"/>
        <v>500.5</v>
      </c>
      <c r="AA179" s="181">
        <f t="shared" si="440"/>
        <v>500.5</v>
      </c>
      <c r="AB179" s="182">
        <f t="shared" si="440"/>
        <v>500.49999999999983</v>
      </c>
      <c r="AC179" s="20">
        <f t="shared" si="440"/>
        <v>2002</v>
      </c>
      <c r="AD179" s="200">
        <f t="shared" si="440"/>
        <v>578.75</v>
      </c>
      <c r="AE179" s="181">
        <f t="shared" si="440"/>
        <v>578.75</v>
      </c>
      <c r="AF179" s="181">
        <f t="shared" ref="AF179:AJ179" si="441">SUM(AF171:AF178)</f>
        <v>578.75</v>
      </c>
      <c r="AG179" s="182">
        <f t="shared" si="441"/>
        <v>578.74999999999977</v>
      </c>
      <c r="AH179" s="20">
        <f t="shared" si="441"/>
        <v>2315</v>
      </c>
      <c r="AI179" s="200">
        <f t="shared" si="441"/>
        <v>833.75</v>
      </c>
      <c r="AJ179" s="181">
        <f t="shared" si="441"/>
        <v>833.75</v>
      </c>
      <c r="AK179" s="181">
        <f t="shared" ref="AK179" si="442">SUM(AK171:AK178)</f>
        <v>833.75</v>
      </c>
      <c r="AL179" s="202">
        <f t="shared" ref="AL179:BB179" si="443">SUM(AL171:AL178)</f>
        <v>833.75</v>
      </c>
      <c r="AM179" s="110">
        <f t="shared" si="443"/>
        <v>3335</v>
      </c>
      <c r="AN179" s="200">
        <f t="shared" si="443"/>
        <v>876.25</v>
      </c>
      <c r="AO179" s="181">
        <f t="shared" si="443"/>
        <v>876.25</v>
      </c>
      <c r="AP179" s="181">
        <f t="shared" si="443"/>
        <v>876.25</v>
      </c>
      <c r="AQ179" s="182">
        <f t="shared" si="443"/>
        <v>876.25</v>
      </c>
      <c r="AR179" s="110">
        <f t="shared" si="443"/>
        <v>3505</v>
      </c>
      <c r="AS179" s="200">
        <f t="shared" ref="AS179:AT179" si="444">SUM(AS171:AS178)</f>
        <v>880</v>
      </c>
      <c r="AT179" s="181">
        <f t="shared" si="444"/>
        <v>880</v>
      </c>
      <c r="AU179" s="181">
        <f t="shared" ref="AU179" si="445">SUM(AU171:AU178)</f>
        <v>880</v>
      </c>
      <c r="AV179" s="182">
        <f t="shared" si="443"/>
        <v>880</v>
      </c>
      <c r="AW179" s="110">
        <f t="shared" si="443"/>
        <v>3520</v>
      </c>
      <c r="AX179" s="200">
        <f t="shared" si="443"/>
        <v>980</v>
      </c>
      <c r="AY179" s="201">
        <f t="shared" si="443"/>
        <v>980</v>
      </c>
      <c r="AZ179" s="201">
        <f t="shared" si="443"/>
        <v>980</v>
      </c>
      <c r="BA179" s="202">
        <f t="shared" si="443"/>
        <v>980</v>
      </c>
      <c r="BB179" s="20">
        <f t="shared" si="443"/>
        <v>3920</v>
      </c>
      <c r="BC179" s="200">
        <f t="shared" ref="BC179:BS179" si="446">SUM(BC171:BC178)</f>
        <v>910</v>
      </c>
      <c r="BD179" s="201">
        <f t="shared" si="446"/>
        <v>910</v>
      </c>
      <c r="BE179" s="201">
        <f t="shared" si="446"/>
        <v>910</v>
      </c>
      <c r="BF179" s="202">
        <f t="shared" si="446"/>
        <v>910</v>
      </c>
      <c r="BG179" s="20">
        <f t="shared" si="446"/>
        <v>3640</v>
      </c>
      <c r="BH179" s="200">
        <f t="shared" si="446"/>
        <v>825</v>
      </c>
      <c r="BI179" s="201">
        <f t="shared" si="446"/>
        <v>825</v>
      </c>
      <c r="BJ179" s="201">
        <f t="shared" si="446"/>
        <v>825</v>
      </c>
      <c r="BK179" s="202">
        <f t="shared" si="446"/>
        <v>825</v>
      </c>
      <c r="BL179" s="20">
        <f t="shared" si="446"/>
        <v>3300</v>
      </c>
      <c r="BM179" s="200">
        <f t="shared" ref="BM179:BQ179" si="447">SUM(BM171:BM178)</f>
        <v>891.66666666666663</v>
      </c>
      <c r="BN179" s="201">
        <f t="shared" si="447"/>
        <v>891.66666666666663</v>
      </c>
      <c r="BO179" s="201">
        <f t="shared" si="447"/>
        <v>891.66666666666663</v>
      </c>
      <c r="BP179" s="202">
        <f t="shared" si="447"/>
        <v>891.66666666666663</v>
      </c>
      <c r="BQ179" s="20">
        <f t="shared" si="447"/>
        <v>3566.6666666666665</v>
      </c>
      <c r="BS179" s="20">
        <f t="shared" si="446"/>
        <v>11080</v>
      </c>
    </row>
    <row r="180" spans="1:71">
      <c r="A180" s="5"/>
      <c r="B180" s="32"/>
      <c r="C180" s="1188"/>
      <c r="D180" s="5"/>
      <c r="E180" s="136"/>
      <c r="F180" s="137"/>
      <c r="G180" s="137"/>
      <c r="H180" s="138"/>
      <c r="I180" s="6"/>
      <c r="J180" s="136"/>
      <c r="K180" s="137"/>
      <c r="L180" s="137"/>
      <c r="M180" s="138"/>
      <c r="N180" s="6"/>
      <c r="O180" s="136"/>
      <c r="P180" s="137"/>
      <c r="Q180" s="137"/>
      <c r="R180" s="138"/>
      <c r="S180" s="6"/>
      <c r="T180" s="136"/>
      <c r="U180" s="137"/>
      <c r="V180" s="137"/>
      <c r="W180" s="138"/>
      <c r="X180" s="6"/>
      <c r="Y180" s="136"/>
      <c r="Z180" s="137"/>
      <c r="AA180" s="137"/>
      <c r="AB180" s="138"/>
      <c r="AC180" s="6"/>
      <c r="AD180" s="136"/>
      <c r="AE180" s="137"/>
      <c r="AF180" s="137"/>
      <c r="AG180" s="138"/>
      <c r="AH180" s="6"/>
      <c r="AI180" s="136"/>
      <c r="AJ180" s="137"/>
      <c r="AK180" s="137"/>
      <c r="AL180" s="138"/>
      <c r="AM180" s="6"/>
      <c r="AN180" s="136"/>
      <c r="AO180" s="137"/>
      <c r="AP180" s="137"/>
      <c r="AQ180" s="138"/>
      <c r="AR180" s="6"/>
      <c r="AS180" s="136"/>
      <c r="AT180" s="137"/>
      <c r="AU180" s="137"/>
      <c r="AV180" s="138"/>
      <c r="AW180" s="6"/>
      <c r="AX180" s="136"/>
      <c r="AY180" s="137"/>
      <c r="AZ180" s="137"/>
      <c r="BA180" s="138"/>
      <c r="BB180" s="6"/>
      <c r="BC180" s="136"/>
      <c r="BD180" s="137"/>
      <c r="BE180" s="137"/>
      <c r="BF180" s="138"/>
      <c r="BG180" s="6"/>
      <c r="BH180" s="136"/>
      <c r="BI180" s="137"/>
      <c r="BJ180" s="137"/>
      <c r="BK180" s="138"/>
      <c r="BL180" s="6"/>
      <c r="BM180" s="136"/>
      <c r="BN180" s="137"/>
      <c r="BO180" s="137"/>
      <c r="BP180" s="138"/>
      <c r="BQ180" s="6"/>
    </row>
    <row r="181" spans="1:71">
      <c r="A181" s="5"/>
      <c r="B181" s="32"/>
      <c r="C181" s="1188"/>
      <c r="D181" s="5"/>
      <c r="E181" s="136"/>
      <c r="F181" s="137"/>
      <c r="G181" s="137"/>
      <c r="H181" s="138"/>
      <c r="I181" s="6"/>
      <c r="J181" s="136"/>
      <c r="K181" s="137"/>
      <c r="L181" s="137"/>
      <c r="M181" s="138"/>
      <c r="N181" s="6"/>
      <c r="O181" s="136"/>
      <c r="P181" s="137"/>
      <c r="Q181" s="137"/>
      <c r="R181" s="138"/>
      <c r="S181" s="6"/>
      <c r="T181" s="136"/>
      <c r="U181" s="137"/>
      <c r="V181" s="137"/>
      <c r="W181" s="138"/>
      <c r="X181" s="6"/>
      <c r="Y181" s="136"/>
      <c r="Z181" s="137"/>
      <c r="AA181" s="137"/>
      <c r="AB181" s="138"/>
      <c r="AC181" s="6"/>
      <c r="AD181" s="136"/>
      <c r="AE181" s="137"/>
      <c r="AF181" s="137"/>
      <c r="AG181" s="138"/>
      <c r="AH181" s="6"/>
      <c r="AI181" s="136"/>
      <c r="AJ181" s="137"/>
      <c r="AK181" s="137"/>
      <c r="AL181" s="138"/>
      <c r="AM181" s="6"/>
      <c r="AN181" s="136"/>
      <c r="AO181" s="137"/>
      <c r="AP181" s="137"/>
      <c r="AQ181" s="138"/>
      <c r="AR181" s="6"/>
      <c r="AS181" s="136"/>
      <c r="AT181" s="137"/>
      <c r="AU181" s="137"/>
      <c r="AV181" s="138"/>
      <c r="AW181" s="6"/>
      <c r="AX181" s="136"/>
      <c r="AY181" s="137"/>
      <c r="AZ181" s="137"/>
      <c r="BA181" s="138"/>
      <c r="BB181" s="6"/>
      <c r="BC181" s="136"/>
      <c r="BD181" s="137"/>
      <c r="BE181" s="137"/>
      <c r="BF181" s="138"/>
      <c r="BG181" s="6"/>
      <c r="BH181" s="136"/>
      <c r="BI181" s="137"/>
      <c r="BJ181" s="137"/>
      <c r="BK181" s="138"/>
      <c r="BL181" s="6"/>
      <c r="BM181" s="136"/>
      <c r="BN181" s="137"/>
      <c r="BO181" s="137"/>
      <c r="BP181" s="138"/>
      <c r="BQ181" s="6"/>
    </row>
    <row r="182" spans="1:71">
      <c r="A182" s="5"/>
      <c r="B182" s="401" t="s">
        <v>680</v>
      </c>
      <c r="C182" s="1172"/>
      <c r="D182" s="92"/>
      <c r="E182" s="133"/>
      <c r="F182" s="134"/>
      <c r="G182" s="134"/>
      <c r="H182" s="135"/>
      <c r="I182" s="5"/>
      <c r="J182" s="133"/>
      <c r="K182" s="134"/>
      <c r="L182" s="134"/>
      <c r="M182" s="135"/>
      <c r="N182" s="5"/>
      <c r="O182" s="133"/>
      <c r="P182" s="134"/>
      <c r="Q182" s="134"/>
      <c r="R182" s="135"/>
      <c r="S182" s="5"/>
      <c r="T182" s="133"/>
      <c r="U182" s="134"/>
      <c r="V182" s="134"/>
      <c r="W182" s="135"/>
      <c r="X182" s="5"/>
      <c r="Y182" s="133"/>
      <c r="Z182" s="134"/>
      <c r="AA182" s="134"/>
      <c r="AB182" s="135"/>
      <c r="AC182" s="5"/>
      <c r="AD182" s="133"/>
      <c r="AE182" s="134"/>
      <c r="AF182" s="134"/>
      <c r="AG182" s="135"/>
      <c r="AH182" s="5"/>
      <c r="AI182" s="133"/>
      <c r="AJ182" s="134"/>
      <c r="AK182" s="134"/>
      <c r="AL182" s="135"/>
      <c r="AM182" s="5"/>
      <c r="AN182" s="133"/>
      <c r="AO182" s="134"/>
      <c r="AP182" s="134"/>
      <c r="AQ182" s="135"/>
      <c r="AR182" s="5"/>
      <c r="AS182" s="133"/>
      <c r="AT182" s="134"/>
      <c r="AU182" s="134"/>
      <c r="AV182" s="135"/>
      <c r="AW182" s="5"/>
      <c r="AX182" s="133"/>
      <c r="AY182" s="134"/>
      <c r="AZ182" s="134"/>
      <c r="BA182" s="135"/>
      <c r="BB182" s="5"/>
      <c r="BC182" s="133"/>
      <c r="BD182" s="134"/>
      <c r="BE182" s="134"/>
      <c r="BF182" s="135"/>
      <c r="BG182" s="5"/>
      <c r="BH182" s="133"/>
      <c r="BI182" s="134"/>
      <c r="BJ182" s="134"/>
      <c r="BK182" s="135"/>
      <c r="BL182" s="5"/>
      <c r="BM182" s="133"/>
      <c r="BN182" s="134"/>
      <c r="BO182" s="134"/>
      <c r="BP182" s="135"/>
      <c r="BQ182" s="5"/>
    </row>
    <row r="183" spans="1:71">
      <c r="A183" s="497"/>
      <c r="B183" s="497"/>
      <c r="C183" s="1197" t="s">
        <v>686</v>
      </c>
      <c r="D183" s="357"/>
      <c r="E183" s="197">
        <f t="shared" ref="E183:X183" si="448">E29</f>
        <v>16.946999999999999</v>
      </c>
      <c r="F183" s="198">
        <f t="shared" si="448"/>
        <v>15.782</v>
      </c>
      <c r="G183" s="198">
        <f t="shared" si="448"/>
        <v>14.77</v>
      </c>
      <c r="H183" s="193">
        <f t="shared" si="448"/>
        <v>12.046000000000006</v>
      </c>
      <c r="I183" s="357">
        <f t="shared" si="448"/>
        <v>59.545000000000002</v>
      </c>
      <c r="J183" s="197">
        <f t="shared" si="448"/>
        <v>13.295999999999999</v>
      </c>
      <c r="K183" s="198">
        <f t="shared" si="448"/>
        <v>17.63</v>
      </c>
      <c r="L183" s="198">
        <f t="shared" si="448"/>
        <v>15.064</v>
      </c>
      <c r="M183" s="193">
        <f t="shared" si="448"/>
        <v>13.391000000000005</v>
      </c>
      <c r="N183" s="357">
        <f t="shared" si="448"/>
        <v>59.381</v>
      </c>
      <c r="O183" s="197">
        <f t="shared" si="448"/>
        <v>17.289000000000001</v>
      </c>
      <c r="P183" s="198">
        <f t="shared" si="448"/>
        <v>20.753</v>
      </c>
      <c r="Q183" s="198">
        <f t="shared" si="448"/>
        <v>21.515999999999998</v>
      </c>
      <c r="R183" s="193">
        <f t="shared" si="448"/>
        <v>24.747000000000007</v>
      </c>
      <c r="S183" s="357">
        <f t="shared" si="448"/>
        <v>84.305000000000007</v>
      </c>
      <c r="T183" s="197">
        <f t="shared" si="448"/>
        <v>24.306999999999999</v>
      </c>
      <c r="U183" s="198">
        <f t="shared" si="448"/>
        <v>28.282</v>
      </c>
      <c r="V183" s="198">
        <f t="shared" si="448"/>
        <v>18.396000000000001</v>
      </c>
      <c r="W183" s="193">
        <f t="shared" si="448"/>
        <v>21.774000000000001</v>
      </c>
      <c r="X183" s="357">
        <f t="shared" si="448"/>
        <v>92.759</v>
      </c>
      <c r="Y183" s="197">
        <f t="shared" ref="Y183:AD183" si="449">Y29</f>
        <v>12.750999999999999</v>
      </c>
      <c r="Z183" s="198">
        <f t="shared" si="449"/>
        <v>16.248999999999999</v>
      </c>
      <c r="AA183" s="198">
        <f t="shared" si="449"/>
        <v>17.675999999999998</v>
      </c>
      <c r="AB183" s="193">
        <f t="shared" si="449"/>
        <v>19.376999999999995</v>
      </c>
      <c r="AC183" s="357">
        <f t="shared" si="449"/>
        <v>66.052999999999997</v>
      </c>
      <c r="AD183" s="197">
        <f t="shared" si="449"/>
        <v>15.129</v>
      </c>
      <c r="AE183" s="198">
        <f>AE29</f>
        <v>14.788</v>
      </c>
      <c r="AF183" s="198">
        <f t="shared" ref="AF183:AI183" si="450">AF29</f>
        <v>16.736999999999998</v>
      </c>
      <c r="AG183" s="193">
        <f t="shared" si="450"/>
        <v>18.14800000000001</v>
      </c>
      <c r="AH183" s="357">
        <f t="shared" si="450"/>
        <v>64.802000000000007</v>
      </c>
      <c r="AI183" s="197">
        <f t="shared" si="450"/>
        <v>11.738</v>
      </c>
      <c r="AJ183" s="198">
        <f>AJ29</f>
        <v>11.974</v>
      </c>
      <c r="AK183" s="198">
        <f t="shared" ref="AK183:AN183" si="451">AK29</f>
        <v>14.129</v>
      </c>
      <c r="AL183" s="193">
        <f t="shared" si="451"/>
        <v>14.067</v>
      </c>
      <c r="AM183" s="357">
        <f t="shared" si="451"/>
        <v>51.908000000000001</v>
      </c>
      <c r="AN183" s="197">
        <f t="shared" si="451"/>
        <v>18.931999999999999</v>
      </c>
      <c r="AO183" s="198">
        <f>AO29</f>
        <v>13.86</v>
      </c>
      <c r="AP183" s="198">
        <f t="shared" ref="AP183:AS183" si="452">AP29</f>
        <v>15.451000000000001</v>
      </c>
      <c r="AQ183" s="193">
        <f t="shared" si="452"/>
        <v>19.32</v>
      </c>
      <c r="AR183" s="357">
        <f t="shared" si="452"/>
        <v>67.563000000000002</v>
      </c>
      <c r="AS183" s="197">
        <f t="shared" si="452"/>
        <v>19.007999999999999</v>
      </c>
      <c r="AT183" s="198">
        <f>AT29</f>
        <v>22.376000000000001</v>
      </c>
      <c r="AU183" s="198">
        <f t="shared" ref="AU183:AW183" si="453">AU29</f>
        <v>24.338000000000001</v>
      </c>
      <c r="AV183" s="193">
        <f t="shared" si="453"/>
        <v>29.365999999999985</v>
      </c>
      <c r="AW183" s="357">
        <f t="shared" si="453"/>
        <v>95.087999999999994</v>
      </c>
      <c r="AX183" s="197">
        <f>+AX184*AX156/4</f>
        <v>27.141670738636368</v>
      </c>
      <c r="AY183" s="198">
        <f>+AY184*AY156/4</f>
        <v>27.141670738636368</v>
      </c>
      <c r="AZ183" s="198">
        <f>+AZ184*AZ156/4</f>
        <v>27.141670738636368</v>
      </c>
      <c r="BA183" s="193">
        <f>+BA184*BA156/4</f>
        <v>27.141670738636368</v>
      </c>
      <c r="BB183" s="357">
        <f>SUM(AX183:BA183)</f>
        <v>108.56668295454547</v>
      </c>
      <c r="BC183" s="197">
        <f>+BC184*BC156/4</f>
        <v>25.20297997159091</v>
      </c>
      <c r="BD183" s="198">
        <f>+BD184*BD156/4</f>
        <v>25.20297997159091</v>
      </c>
      <c r="BE183" s="198">
        <f>+BE184*BE156/4</f>
        <v>25.20297997159091</v>
      </c>
      <c r="BF183" s="193">
        <f>+BF184*BF156/4</f>
        <v>25.20297997159091</v>
      </c>
      <c r="BG183" s="357">
        <f>SUM(BC183:BF183)</f>
        <v>100.81191988636364</v>
      </c>
      <c r="BH183" s="197">
        <f>+BH184*BH156/4</f>
        <v>22.848855468750003</v>
      </c>
      <c r="BI183" s="198">
        <f>+BI184*BI156/4</f>
        <v>22.848855468750003</v>
      </c>
      <c r="BJ183" s="198">
        <f>+BJ184*BJ156/4</f>
        <v>22.848855468750003</v>
      </c>
      <c r="BK183" s="193">
        <f>+BK184*BK156/4</f>
        <v>22.848855468750003</v>
      </c>
      <c r="BL183" s="357">
        <f>SUM(BH183:BK183)</f>
        <v>91.395421875000011</v>
      </c>
      <c r="BM183" s="197">
        <f>+BM184*BM156/4</f>
        <v>24.695227627840911</v>
      </c>
      <c r="BN183" s="198">
        <f>+BN184*BN156/4</f>
        <v>24.695227627840911</v>
      </c>
      <c r="BO183" s="198">
        <f>+BO184*BO156/4</f>
        <v>24.695227627840911</v>
      </c>
      <c r="BP183" s="193">
        <f>+BP184*BP156/4</f>
        <v>24.695227627840911</v>
      </c>
      <c r="BQ183" s="357">
        <f>SUM(BM183:BP183)</f>
        <v>98.780910511363643</v>
      </c>
    </row>
    <row r="184" spans="1:71">
      <c r="A184" s="503"/>
      <c r="B184" s="503"/>
      <c r="C184" s="1198" t="s">
        <v>683</v>
      </c>
      <c r="D184" s="1555"/>
      <c r="E184" s="505">
        <f>+E183/E156*4</f>
        <v>6.7788000000000001E-2</v>
      </c>
      <c r="F184" s="506">
        <f>+F183/F156*4</f>
        <v>5.3632932836492959E-2</v>
      </c>
      <c r="G184" s="506">
        <f>+G183/G156*4</f>
        <v>5.7118659471081988E-2</v>
      </c>
      <c r="H184" s="510">
        <f>+H183/H156*4</f>
        <v>4.4891730284402513E-2</v>
      </c>
      <c r="I184" s="1555">
        <f>+I183/(AVERAGE(I156,D156))</f>
        <v>5.5476466872504286E-2</v>
      </c>
      <c r="J184" s="505">
        <f>+J183/J156*4</f>
        <v>4.5812376336129702E-2</v>
      </c>
      <c r="K184" s="506">
        <f>+K183/K156*4</f>
        <v>6.0837525330995991E-2</v>
      </c>
      <c r="L184" s="506">
        <f>+L183/L156*4</f>
        <v>5.1721622034564624E-2</v>
      </c>
      <c r="M184" s="510">
        <f>+M183/M156*4</f>
        <v>3.2237174703290898E-2</v>
      </c>
      <c r="N184" s="1555">
        <f>+N183/(AVERAGE(N156,I156))</f>
        <v>4.3424654228420949E-2</v>
      </c>
      <c r="O184" s="505">
        <f>+O183/O156*4</f>
        <v>5.0872331457264698E-2</v>
      </c>
      <c r="P184" s="506">
        <f>+P183/P156*4</f>
        <v>5.7841956810149725E-2</v>
      </c>
      <c r="Q184" s="506">
        <f>+Q183/Q156*4</f>
        <v>5.5402596449531966E-2</v>
      </c>
      <c r="R184" s="510">
        <f>+R183/R156*4</f>
        <v>6.970185816698507E-2</v>
      </c>
      <c r="S184" s="1555">
        <f>+S183/(AVERAGE(S156,N156))</f>
        <v>5.4712899245000286E-2</v>
      </c>
      <c r="T184" s="505">
        <f>+T183/T156*4</f>
        <v>5.8368517452383625E-2</v>
      </c>
      <c r="U184" s="506">
        <f>+U183/U156*4</f>
        <v>9.378805828840607E-2</v>
      </c>
      <c r="V184" s="506">
        <f>+V183/V156*4</f>
        <v>4.5734430286753835E-2</v>
      </c>
      <c r="W184" s="510">
        <f>+W183/W156*4</f>
        <v>8.9506315572039447E-2</v>
      </c>
      <c r="X184" s="1555">
        <f>+X183/(AVERAGE(X156,S156))</f>
        <v>7.7517701988188373E-2</v>
      </c>
      <c r="Y184" s="505">
        <f>+Y183/Y156*4</f>
        <v>4.9914711256254754E-2</v>
      </c>
      <c r="Z184" s="506">
        <f>+Z183/Z156*4</f>
        <v>5.5188412097704781E-2</v>
      </c>
      <c r="AA184" s="506">
        <f>+AA183/AA156*4</f>
        <v>5.687080279817476E-2</v>
      </c>
      <c r="AB184" s="510">
        <f>+AB183/AB156*4</f>
        <v>6.3680535814344782E-2</v>
      </c>
      <c r="AC184" s="1555">
        <f>+AC183/(AVERAGE(AC156,X156))</f>
        <v>6.0316618185753054E-2</v>
      </c>
      <c r="AD184" s="505">
        <f>+AD183/AD156*4</f>
        <v>4.6487260481065863E-2</v>
      </c>
      <c r="AE184" s="506">
        <f>+AE183/AE156*4</f>
        <v>4.5178236053839332E-2</v>
      </c>
      <c r="AF184" s="506">
        <f>+AF183/AF156*4</f>
        <v>4.6271331582872388E-2</v>
      </c>
      <c r="AG184" s="510">
        <f>+AG183/AG156*4</f>
        <v>7.4788616453866558E-2</v>
      </c>
      <c r="AH184" s="1555">
        <f>+AH183/(AVERAGE(AH156,AC156))</f>
        <v>5.9240312153899397E-2</v>
      </c>
      <c r="AI184" s="505">
        <f>+AI183/AI156*4</f>
        <v>5.1163860129740356E-2</v>
      </c>
      <c r="AJ184" s="506">
        <f>+AJ183/AJ156*4</f>
        <v>4.9196105479506931E-2</v>
      </c>
      <c r="AK184" s="506">
        <f>+AK183/AK156*4</f>
        <v>5.2437709575476867E-2</v>
      </c>
      <c r="AL184" s="510">
        <f>+AL183/AL156*4</f>
        <v>4.2411104612249083E-2</v>
      </c>
      <c r="AM184" s="1555">
        <f>+AM183/(AVERAGE(AM156,AH156))</f>
        <v>4.5189319726973216E-2</v>
      </c>
      <c r="AN184" s="505">
        <f>+AN183/AN156*4</f>
        <v>5.9537586796819968E-2</v>
      </c>
      <c r="AO184" s="506">
        <f>+AO183/AO156*4</f>
        <v>4.9443140388553158E-2</v>
      </c>
      <c r="AP184" s="506">
        <f>+AP183/AP156*4</f>
        <v>4.7555000184667656E-2</v>
      </c>
      <c r="AQ184" s="510">
        <f>+AQ183/AQ156*4</f>
        <v>5.7923696323329353E-2</v>
      </c>
      <c r="AR184" s="1555">
        <f>+AR183/(AVERAGE(AR156,AM156))</f>
        <v>5.0782123471896888E-2</v>
      </c>
      <c r="AS184" s="505">
        <f>+AS183/AS156*4</f>
        <v>4.9159372912818272E-2</v>
      </c>
      <c r="AT184" s="506">
        <f>+AT183/AT156*4</f>
        <v>5.2807804113632596E-2</v>
      </c>
      <c r="AU184" s="506">
        <f>+AU183/AU156*4</f>
        <v>4.5348360016191851E-2</v>
      </c>
      <c r="AV184" s="510">
        <f>+AV183/AV156*4</f>
        <v>6.0245085443455068E-2</v>
      </c>
      <c r="AW184" s="1555">
        <f>+AW183/(AVERAGE(AW156,AR156))</f>
        <v>5.7910959342106938E-2</v>
      </c>
      <c r="AX184" s="1911">
        <v>0.05</v>
      </c>
      <c r="AY184" s="506">
        <f t="shared" ref="AY184:BB184" si="454">+AX184</f>
        <v>0.05</v>
      </c>
      <c r="AZ184" s="506">
        <f t="shared" si="454"/>
        <v>0.05</v>
      </c>
      <c r="BA184" s="510">
        <f t="shared" si="454"/>
        <v>0.05</v>
      </c>
      <c r="BB184" s="1555">
        <f t="shared" si="454"/>
        <v>0.05</v>
      </c>
      <c r="BC184" s="505">
        <f t="shared" ref="BC184" si="455">+BB184</f>
        <v>0.05</v>
      </c>
      <c r="BD184" s="506">
        <f t="shared" ref="BD184" si="456">+BC184</f>
        <v>0.05</v>
      </c>
      <c r="BE184" s="506">
        <f t="shared" ref="BE184" si="457">+BD184</f>
        <v>0.05</v>
      </c>
      <c r="BF184" s="510">
        <f t="shared" ref="BF184" si="458">+BE184</f>
        <v>0.05</v>
      </c>
      <c r="BG184" s="1555">
        <f t="shared" ref="BG184" si="459">+BF184</f>
        <v>0.05</v>
      </c>
      <c r="BH184" s="505">
        <f t="shared" ref="BH184" si="460">+BG184</f>
        <v>0.05</v>
      </c>
      <c r="BI184" s="506">
        <f t="shared" ref="BI184" si="461">+BH184</f>
        <v>0.05</v>
      </c>
      <c r="BJ184" s="506">
        <f t="shared" ref="BJ184" si="462">+BI184</f>
        <v>0.05</v>
      </c>
      <c r="BK184" s="510">
        <f t="shared" ref="BK184" si="463">+BJ184</f>
        <v>0.05</v>
      </c>
      <c r="BL184" s="1555">
        <f t="shared" ref="BL184" si="464">+BK184</f>
        <v>0.05</v>
      </c>
      <c r="BM184" s="505">
        <f t="shared" ref="BM184" si="465">+BL184</f>
        <v>0.05</v>
      </c>
      <c r="BN184" s="506">
        <f t="shared" ref="BN184" si="466">+BM184</f>
        <v>0.05</v>
      </c>
      <c r="BO184" s="506">
        <f t="shared" ref="BO184" si="467">+BN184</f>
        <v>0.05</v>
      </c>
      <c r="BP184" s="510">
        <f t="shared" ref="BP184" si="468">+BO184</f>
        <v>0.05</v>
      </c>
      <c r="BQ184" s="1555">
        <f t="shared" ref="BQ184" si="469">+BP184</f>
        <v>0.05</v>
      </c>
    </row>
    <row r="185" spans="1:71">
      <c r="A185" s="5"/>
      <c r="B185" s="5"/>
      <c r="C185" s="1197"/>
      <c r="D185" s="28"/>
      <c r="E185" s="161"/>
      <c r="F185" s="163"/>
      <c r="G185" s="163"/>
      <c r="H185" s="164"/>
      <c r="I185" s="28"/>
      <c r="J185" s="161"/>
      <c r="K185" s="163"/>
      <c r="L185" s="163"/>
      <c r="M185" s="164"/>
      <c r="N185" s="28"/>
      <c r="O185" s="161"/>
      <c r="P185" s="163"/>
      <c r="Q185" s="163"/>
      <c r="R185" s="164"/>
      <c r="S185" s="28"/>
      <c r="T185" s="161"/>
      <c r="U185" s="163"/>
      <c r="V185" s="163"/>
      <c r="W185" s="164"/>
      <c r="X185" s="28"/>
      <c r="Y185" s="161"/>
      <c r="Z185" s="163"/>
      <c r="AA185" s="163"/>
      <c r="AB185" s="164"/>
      <c r="AC185" s="28"/>
      <c r="AD185" s="161"/>
      <c r="AE185" s="163"/>
      <c r="AF185" s="163"/>
      <c r="AG185" s="164"/>
      <c r="AH185" s="28"/>
      <c r="AI185" s="161"/>
      <c r="AJ185" s="163"/>
      <c r="AK185" s="163"/>
      <c r="AL185" s="164"/>
      <c r="AM185" s="28"/>
      <c r="AN185" s="161"/>
      <c r="AO185" s="163"/>
      <c r="AP185" s="163"/>
      <c r="AQ185" s="164"/>
      <c r="AR185" s="28"/>
      <c r="AS185" s="161"/>
      <c r="AT185" s="163"/>
      <c r="AU185" s="163"/>
      <c r="AV185" s="164"/>
      <c r="AW185" s="28"/>
      <c r="AX185" s="161"/>
      <c r="AY185" s="163"/>
      <c r="AZ185" s="163"/>
      <c r="BA185" s="164"/>
      <c r="BB185" s="28"/>
      <c r="BC185" s="161"/>
      <c r="BD185" s="163"/>
      <c r="BE185" s="163"/>
      <c r="BF185" s="164"/>
      <c r="BG185" s="28"/>
      <c r="BH185" s="161"/>
      <c r="BI185" s="163"/>
      <c r="BJ185" s="163"/>
      <c r="BK185" s="164"/>
      <c r="BL185" s="28"/>
      <c r="BM185" s="161"/>
      <c r="BN185" s="163"/>
      <c r="BO185" s="163"/>
      <c r="BP185" s="164"/>
      <c r="BQ185" s="28"/>
    </row>
    <row r="186" spans="1:71">
      <c r="A186" s="498"/>
      <c r="B186" s="498"/>
      <c r="C186" s="1197" t="s">
        <v>687</v>
      </c>
      <c r="D186" s="357"/>
      <c r="E186" s="197">
        <f t="shared" ref="E186:X186" si="470">E38</f>
        <v>-9.8119999999999994</v>
      </c>
      <c r="F186" s="198">
        <f t="shared" si="470"/>
        <v>-8.4830000000000005</v>
      </c>
      <c r="G186" s="198">
        <f t="shared" si="470"/>
        <v>-8.2520000000000007</v>
      </c>
      <c r="H186" s="193">
        <f t="shared" si="470"/>
        <v>-6.6879999999999953</v>
      </c>
      <c r="I186" s="357">
        <f t="shared" si="470"/>
        <v>-33.234999999999999</v>
      </c>
      <c r="J186" s="197">
        <f t="shared" si="470"/>
        <v>-8.0009999999999994</v>
      </c>
      <c r="K186" s="198">
        <f t="shared" si="470"/>
        <v>-10.323</v>
      </c>
      <c r="L186" s="198">
        <f t="shared" si="470"/>
        <v>-8.9489999999999998</v>
      </c>
      <c r="M186" s="193">
        <f t="shared" si="470"/>
        <v>-7.7060000000000031</v>
      </c>
      <c r="N186" s="357">
        <f t="shared" si="470"/>
        <v>-34.978999999999999</v>
      </c>
      <c r="O186" s="197">
        <f t="shared" si="470"/>
        <v>-8.5340000000000007</v>
      </c>
      <c r="P186" s="198">
        <f t="shared" si="470"/>
        <v>-9.15</v>
      </c>
      <c r="Q186" s="198">
        <f t="shared" si="470"/>
        <v>-9.7129999999999992</v>
      </c>
      <c r="R186" s="193">
        <f t="shared" si="470"/>
        <v>-10.496000000000002</v>
      </c>
      <c r="S186" s="357">
        <f t="shared" si="470"/>
        <v>-37.893000000000001</v>
      </c>
      <c r="T186" s="197">
        <f t="shared" si="470"/>
        <v>-9.391</v>
      </c>
      <c r="U186" s="198">
        <f t="shared" si="470"/>
        <v>-10.483000000000001</v>
      </c>
      <c r="V186" s="198">
        <f t="shared" si="470"/>
        <v>-8.0030000000000001</v>
      </c>
      <c r="W186" s="193">
        <f t="shared" si="470"/>
        <v>-9.4349999999999952</v>
      </c>
      <c r="X186" s="357">
        <f t="shared" si="470"/>
        <v>-37.311999999999998</v>
      </c>
      <c r="Y186" s="197">
        <f t="shared" ref="Y186:AD186" si="471">Y38</f>
        <v>-5.1879999999999997</v>
      </c>
      <c r="Z186" s="198">
        <f t="shared" si="471"/>
        <v>-6.7910000000000004</v>
      </c>
      <c r="AA186" s="198">
        <f t="shared" si="471"/>
        <v>-6.4530000000000003</v>
      </c>
      <c r="AB186" s="193">
        <f t="shared" si="471"/>
        <v>-7.0680000000000014</v>
      </c>
      <c r="AC186" s="357">
        <f t="shared" si="471"/>
        <v>-25.5</v>
      </c>
      <c r="AD186" s="197">
        <f t="shared" si="471"/>
        <v>-7.02</v>
      </c>
      <c r="AE186" s="198">
        <f>AE38</f>
        <v>-8.516</v>
      </c>
      <c r="AF186" s="198">
        <f t="shared" ref="AF186:AI186" si="472">AF38</f>
        <v>-8.6639999999999997</v>
      </c>
      <c r="AG186" s="193">
        <f t="shared" si="472"/>
        <v>-9.3760000000000012</v>
      </c>
      <c r="AH186" s="357">
        <f t="shared" si="472"/>
        <v>-33.576000000000001</v>
      </c>
      <c r="AI186" s="197">
        <f t="shared" si="472"/>
        <v>-6.117</v>
      </c>
      <c r="AJ186" s="198">
        <f>AJ38</f>
        <v>-6.0439999999999996</v>
      </c>
      <c r="AK186" s="198">
        <f>AK38</f>
        <v>-7.2889999999999997</v>
      </c>
      <c r="AL186" s="193">
        <f t="shared" ref="AL186:AN186" si="473">AL38</f>
        <v>-7.1769999999999996</v>
      </c>
      <c r="AM186" s="357">
        <f t="shared" si="473"/>
        <v>-26.626999999999999</v>
      </c>
      <c r="AN186" s="197">
        <f t="shared" si="473"/>
        <v>-9.6820000000000004</v>
      </c>
      <c r="AO186" s="198">
        <f>AO38</f>
        <v>-7.1319999999999997</v>
      </c>
      <c r="AP186" s="198">
        <f>AP38</f>
        <v>-7.7069999999999999</v>
      </c>
      <c r="AQ186" s="193">
        <f t="shared" ref="AQ186:AS186" si="474">AQ38</f>
        <v>-9.6539999999999964</v>
      </c>
      <c r="AR186" s="357">
        <f t="shared" si="474"/>
        <v>-34.174999999999997</v>
      </c>
      <c r="AS186" s="197">
        <f t="shared" si="474"/>
        <v>-9.0419999999999998</v>
      </c>
      <c r="AT186" s="198">
        <f>AT38</f>
        <v>-10.523</v>
      </c>
      <c r="AU186" s="198">
        <f>AU38</f>
        <v>-11.492000000000001</v>
      </c>
      <c r="AV186" s="193">
        <f t="shared" ref="AV186:AW186" si="475">AV38</f>
        <v>-13.812000000000001</v>
      </c>
      <c r="AW186" s="357">
        <f t="shared" si="475"/>
        <v>-44.869</v>
      </c>
      <c r="AX186" s="197">
        <f>+AX187*AX156/4</f>
        <v>-13.570835369318184</v>
      </c>
      <c r="AY186" s="198">
        <f>+AY187*AY156/4</f>
        <v>-13.570835369318184</v>
      </c>
      <c r="AZ186" s="198">
        <f>+AZ187*AZ156/4</f>
        <v>-13.570835369318184</v>
      </c>
      <c r="BA186" s="193">
        <f>+BA187*BA156/4</f>
        <v>-13.570835369318184</v>
      </c>
      <c r="BB186" s="357">
        <f>SUM(AX186:BA186)</f>
        <v>-54.283341477272735</v>
      </c>
      <c r="BC186" s="197">
        <f>+BC187*BC156/4</f>
        <v>-12.601489985795455</v>
      </c>
      <c r="BD186" s="198">
        <f>+BD187*BD156/4</f>
        <v>-12.601489985795455</v>
      </c>
      <c r="BE186" s="198">
        <f>+BE187*BE156/4</f>
        <v>-12.601489985795455</v>
      </c>
      <c r="BF186" s="193">
        <f>+BF187*BF156/4</f>
        <v>-12.601489985795455</v>
      </c>
      <c r="BG186" s="357">
        <f>SUM(BC186:BF186)</f>
        <v>-50.40595994318182</v>
      </c>
      <c r="BH186" s="197">
        <f>+BH187*BH156/4</f>
        <v>-11.424427734375001</v>
      </c>
      <c r="BI186" s="198">
        <f>+BI187*BI156/4</f>
        <v>-11.424427734375001</v>
      </c>
      <c r="BJ186" s="198">
        <f>+BJ187*BJ156/4</f>
        <v>-11.424427734375001</v>
      </c>
      <c r="BK186" s="193">
        <f>+BK187*BK156/4</f>
        <v>-11.424427734375001</v>
      </c>
      <c r="BL186" s="357">
        <f>SUM(BH186:BK186)</f>
        <v>-45.697710937500005</v>
      </c>
      <c r="BM186" s="197">
        <f>+BM187*BM156/4</f>
        <v>-12.347613813920455</v>
      </c>
      <c r="BN186" s="198">
        <f>+BN187*BN156/4</f>
        <v>-12.347613813920455</v>
      </c>
      <c r="BO186" s="198">
        <f>+BO187*BO156/4</f>
        <v>-12.347613813920455</v>
      </c>
      <c r="BP186" s="193">
        <f>+BP187*BP156/4</f>
        <v>-12.347613813920455</v>
      </c>
      <c r="BQ186" s="357">
        <f>SUM(BM186:BP186)</f>
        <v>-49.390455255681822</v>
      </c>
    </row>
    <row r="187" spans="1:71">
      <c r="A187" s="503"/>
      <c r="B187" s="504"/>
      <c r="C187" s="1198" t="s">
        <v>684</v>
      </c>
      <c r="D187" s="1555"/>
      <c r="E187" s="505">
        <f>+E186/E156*4</f>
        <v>-3.9247999999999998E-2</v>
      </c>
      <c r="F187" s="506">
        <f>+F186/F156*4</f>
        <v>-2.8828296112784806E-2</v>
      </c>
      <c r="G187" s="506">
        <f>+G186/G156*4</f>
        <v>-3.1912198913701326E-2</v>
      </c>
      <c r="H187" s="510">
        <f>+H186/H156*4</f>
        <v>-2.4924115236766034E-2</v>
      </c>
      <c r="I187" s="1555">
        <f>+I186/(AVERAGE(I156,D156))</f>
        <v>-3.0964151087541854E-2</v>
      </c>
      <c r="J187" s="505">
        <f>+J186/J156*4</f>
        <v>-2.7568052276276601E-2</v>
      </c>
      <c r="K187" s="506">
        <f>+K186/K156*4</f>
        <v>-3.5622562336464644E-2</v>
      </c>
      <c r="L187" s="506">
        <f>+L186/L156*4</f>
        <v>-3.07260220119038E-2</v>
      </c>
      <c r="M187" s="510">
        <f>+M186/M156*4</f>
        <v>-1.8551241002431457E-2</v>
      </c>
      <c r="N187" s="1555">
        <f>+N186/(AVERAGE(N156,I156))</f>
        <v>-2.5579747398257628E-2</v>
      </c>
      <c r="O187" s="505">
        <f>+O186/O156*4</f>
        <v>-2.5111023000537736E-2</v>
      </c>
      <c r="P187" s="506">
        <f>+P186/P156*4</f>
        <v>-2.5502525168065823E-2</v>
      </c>
      <c r="Q187" s="506">
        <f>+Q186/Q156*4</f>
        <v>-2.5010476822564787E-2</v>
      </c>
      <c r="R187" s="510">
        <f>+R186/R156*4</f>
        <v>-2.9562803706335124E-2</v>
      </c>
      <c r="S187" s="1555">
        <f>+S186/(AVERAGE(S156,N156))</f>
        <v>-2.4592086959145908E-2</v>
      </c>
      <c r="T187" s="505">
        <f>+T186/T156*4</f>
        <v>-2.2550654025397403E-2</v>
      </c>
      <c r="U187" s="506">
        <f>+U186/U156*4</f>
        <v>-3.4763461390190258E-2</v>
      </c>
      <c r="V187" s="506">
        <f>+V186/V156*4</f>
        <v>-1.9896316894155844E-2</v>
      </c>
      <c r="W187" s="510">
        <f>+W186/W156*4</f>
        <v>-3.8784425802433714E-2</v>
      </c>
      <c r="X187" s="1555">
        <f>+X186/(AVERAGE(X156,S156))</f>
        <v>-3.1181238441372636E-2</v>
      </c>
      <c r="Y187" s="505">
        <f>+Y186/Y156*4</f>
        <v>-2.0308801035012914E-2</v>
      </c>
      <c r="Z187" s="506">
        <f>+Z186/Z156*4</f>
        <v>-2.3065081331498136E-2</v>
      </c>
      <c r="AA187" s="506">
        <f>+AA186/AA156*4</f>
        <v>-2.0761896948213499E-2</v>
      </c>
      <c r="AB187" s="510">
        <f>+AB186/AB156*4</f>
        <v>-2.3228261709025606E-2</v>
      </c>
      <c r="AC187" s="1555">
        <f>+AC186/(AVERAGE(AC156,X156))</f>
        <v>-2.3285449014226498E-2</v>
      </c>
      <c r="AD187" s="505">
        <f>+AD186/AD156*4</f>
        <v>-2.1570531335652215E-2</v>
      </c>
      <c r="AE187" s="506">
        <f>+AE186/AE156*4</f>
        <v>-2.6016896012611288E-2</v>
      </c>
      <c r="AF187" s="506">
        <f>+AF186/AF156*4</f>
        <v>-2.3952609000060129E-2</v>
      </c>
      <c r="AG187" s="510">
        <f>+AG186/AG156*4</f>
        <v>-3.8638862016280168E-2</v>
      </c>
      <c r="AH187" s="1555">
        <f>+AH186/(AVERAGE(AH156,AC156))</f>
        <v>-3.069431068299321E-2</v>
      </c>
      <c r="AI187" s="505">
        <f>+AI186/AI156*4</f>
        <v>-2.6662918079197628E-2</v>
      </c>
      <c r="AJ187" s="506">
        <f>+AJ186/AJ156*4</f>
        <v>-2.4832241650086843E-2</v>
      </c>
      <c r="AK187" s="506">
        <f>+AK186/AK156*4</f>
        <v>-2.7052053584517722E-2</v>
      </c>
      <c r="AL187" s="510">
        <f>+AL186/AL156*4</f>
        <v>-2.163819562110696E-2</v>
      </c>
      <c r="AM187" s="1555">
        <f>+AM186/(AVERAGE(AM156,AH156))</f>
        <v>-2.3180550519575321E-2</v>
      </c>
      <c r="AN187" s="505">
        <f>+AN186/AN156*4</f>
        <v>-3.0448072859011778E-2</v>
      </c>
      <c r="AO187" s="506">
        <f>+AO186/AO156*4</f>
        <v>-2.5442170075841354E-2</v>
      </c>
      <c r="AP187" s="506">
        <f>+AP186/AP156*4</f>
        <v>-2.3720560897238601E-2</v>
      </c>
      <c r="AQ187" s="510">
        <f>+AQ186/AQ156*4</f>
        <v>-2.8943859436098413E-2</v>
      </c>
      <c r="AR187" s="1555">
        <f>+AR186/(AVERAGE(AR156,AM156))</f>
        <v>-2.5686826660332961E-2</v>
      </c>
      <c r="AS187" s="505">
        <f>+AS186/AS156*4</f>
        <v>-2.3384840587000362E-2</v>
      </c>
      <c r="AT187" s="506">
        <f>+AT186/AT156*4</f>
        <v>-2.4834488858051295E-2</v>
      </c>
      <c r="AU187" s="506">
        <f>+AU186/AU156*4</f>
        <v>-2.141274358230244E-2</v>
      </c>
      <c r="AV187" s="510">
        <f>+AV186/AV156*4</f>
        <v>-2.8335664378703326E-2</v>
      </c>
      <c r="AW187" s="1555">
        <f>+AW186/(AVERAGE(AW156,AR156))</f>
        <v>-2.7326338073374101E-2</v>
      </c>
      <c r="AX187" s="1911">
        <v>-2.5000000000000001E-2</v>
      </c>
      <c r="AY187" s="506">
        <f t="shared" ref="AY187:BB187" si="476">+AX187</f>
        <v>-2.5000000000000001E-2</v>
      </c>
      <c r="AZ187" s="506">
        <f t="shared" si="476"/>
        <v>-2.5000000000000001E-2</v>
      </c>
      <c r="BA187" s="510">
        <f t="shared" si="476"/>
        <v>-2.5000000000000001E-2</v>
      </c>
      <c r="BB187" s="1555">
        <f t="shared" si="476"/>
        <v>-2.5000000000000001E-2</v>
      </c>
      <c r="BC187" s="505">
        <f t="shared" ref="BC187" si="477">+BB187</f>
        <v>-2.5000000000000001E-2</v>
      </c>
      <c r="BD187" s="506">
        <f t="shared" ref="BD187" si="478">+BC187</f>
        <v>-2.5000000000000001E-2</v>
      </c>
      <c r="BE187" s="506">
        <f t="shared" ref="BE187" si="479">+BD187</f>
        <v>-2.5000000000000001E-2</v>
      </c>
      <c r="BF187" s="510">
        <f t="shared" ref="BF187" si="480">+BE187</f>
        <v>-2.5000000000000001E-2</v>
      </c>
      <c r="BG187" s="1555">
        <f t="shared" ref="BG187" si="481">+BF187</f>
        <v>-2.5000000000000001E-2</v>
      </c>
      <c r="BH187" s="505">
        <f t="shared" ref="BH187" si="482">+BG187</f>
        <v>-2.5000000000000001E-2</v>
      </c>
      <c r="BI187" s="506">
        <f t="shared" ref="BI187" si="483">+BH187</f>
        <v>-2.5000000000000001E-2</v>
      </c>
      <c r="BJ187" s="506">
        <f t="shared" ref="BJ187" si="484">+BI187</f>
        <v>-2.5000000000000001E-2</v>
      </c>
      <c r="BK187" s="510">
        <f t="shared" ref="BK187" si="485">+BJ187</f>
        <v>-2.5000000000000001E-2</v>
      </c>
      <c r="BL187" s="1555">
        <f t="shared" ref="BL187" si="486">+BK187</f>
        <v>-2.5000000000000001E-2</v>
      </c>
      <c r="BM187" s="505">
        <f t="shared" ref="BM187" si="487">+BL187</f>
        <v>-2.5000000000000001E-2</v>
      </c>
      <c r="BN187" s="506">
        <f t="shared" ref="BN187" si="488">+BM187</f>
        <v>-2.5000000000000001E-2</v>
      </c>
      <c r="BO187" s="506">
        <f t="shared" ref="BO187" si="489">+BN187</f>
        <v>-2.5000000000000001E-2</v>
      </c>
      <c r="BP187" s="510">
        <f t="shared" ref="BP187" si="490">+BO187</f>
        <v>-2.5000000000000001E-2</v>
      </c>
      <c r="BQ187" s="1555">
        <f t="shared" ref="BQ187" si="491">+BP187</f>
        <v>-2.5000000000000001E-2</v>
      </c>
    </row>
    <row r="188" spans="1:71">
      <c r="A188" s="5"/>
      <c r="B188" s="32"/>
      <c r="C188" s="1174"/>
      <c r="D188" s="31"/>
      <c r="E188" s="214"/>
      <c r="F188" s="215"/>
      <c r="G188" s="215"/>
      <c r="H188" s="216"/>
      <c r="I188" s="26"/>
      <c r="J188" s="214"/>
      <c r="K188" s="215"/>
      <c r="L188" s="215"/>
      <c r="M188" s="216"/>
      <c r="N188" s="26"/>
      <c r="O188" s="214"/>
      <c r="P188" s="215"/>
      <c r="Q188" s="215"/>
      <c r="R188" s="216"/>
      <c r="S188" s="26"/>
      <c r="T188" s="214"/>
      <c r="U188" s="215"/>
      <c r="V188" s="215"/>
      <c r="W188" s="216"/>
      <c r="X188" s="26"/>
      <c r="Y188" s="214"/>
      <c r="Z188" s="215"/>
      <c r="AA188" s="215"/>
      <c r="AB188" s="216"/>
      <c r="AC188" s="26"/>
      <c r="AD188" s="214"/>
      <c r="AE188" s="215"/>
      <c r="AF188" s="215"/>
      <c r="AG188" s="216"/>
      <c r="AH188" s="26"/>
      <c r="AI188" s="214"/>
      <c r="AJ188" s="215"/>
      <c r="AK188" s="215"/>
      <c r="AL188" s="216"/>
      <c r="AM188" s="26"/>
      <c r="AN188" s="214"/>
      <c r="AO188" s="215"/>
      <c r="AP188" s="215"/>
      <c r="AQ188" s="216"/>
      <c r="AR188" s="26"/>
      <c r="AS188" s="214"/>
      <c r="AT188" s="215"/>
      <c r="AU188" s="215"/>
      <c r="AV188" s="216"/>
      <c r="AW188" s="26"/>
      <c r="AX188" s="214"/>
      <c r="AY188" s="215"/>
      <c r="AZ188" s="215"/>
      <c r="BA188" s="216"/>
      <c r="BB188" s="26"/>
      <c r="BC188" s="214"/>
      <c r="BD188" s="215"/>
      <c r="BE188" s="215"/>
      <c r="BF188" s="216"/>
      <c r="BG188" s="26"/>
      <c r="BH188" s="214"/>
      <c r="BI188" s="215"/>
      <c r="BJ188" s="215"/>
      <c r="BK188" s="216"/>
      <c r="BL188" s="26"/>
      <c r="BM188" s="214"/>
      <c r="BN188" s="215"/>
      <c r="BO188" s="215"/>
      <c r="BP188" s="216"/>
      <c r="BQ188" s="26"/>
    </row>
    <row r="189" spans="1:71">
      <c r="A189" s="5"/>
      <c r="B189" s="32"/>
      <c r="C189" s="1174"/>
      <c r="D189" s="31"/>
      <c r="E189" s="214"/>
      <c r="F189" s="215"/>
      <c r="G189" s="215"/>
      <c r="H189" s="216"/>
      <c r="I189" s="26"/>
      <c r="J189" s="214"/>
      <c r="K189" s="215"/>
      <c r="L189" s="215"/>
      <c r="M189" s="216"/>
      <c r="N189" s="26"/>
      <c r="O189" s="214"/>
      <c r="P189" s="215"/>
      <c r="Q189" s="215"/>
      <c r="R189" s="216"/>
      <c r="S189" s="26"/>
      <c r="T189" s="214"/>
      <c r="U189" s="215"/>
      <c r="V189" s="215"/>
      <c r="W189" s="216"/>
      <c r="X189" s="26"/>
      <c r="Y189" s="214"/>
      <c r="Z189" s="215"/>
      <c r="AA189" s="215"/>
      <c r="AB189" s="216"/>
      <c r="AC189" s="26"/>
      <c r="AD189" s="214"/>
      <c r="AE189" s="215"/>
      <c r="AF189" s="215"/>
      <c r="AG189" s="216"/>
      <c r="AH189" s="26"/>
      <c r="AI189" s="214"/>
      <c r="AJ189" s="215"/>
      <c r="AK189" s="215"/>
      <c r="AL189" s="216"/>
      <c r="AM189" s="26"/>
      <c r="AN189" s="214"/>
      <c r="AO189" s="215"/>
      <c r="AP189" s="215"/>
      <c r="AQ189" s="216"/>
      <c r="AR189" s="26"/>
      <c r="AS189" s="214"/>
      <c r="AT189" s="215"/>
      <c r="AU189" s="215"/>
      <c r="AV189" s="216"/>
      <c r="AW189" s="26"/>
      <c r="AX189" s="214"/>
      <c r="AY189" s="215"/>
      <c r="AZ189" s="215"/>
      <c r="BA189" s="216"/>
      <c r="BB189" s="26"/>
      <c r="BC189" s="214"/>
      <c r="BD189" s="215"/>
      <c r="BE189" s="215"/>
      <c r="BF189" s="216"/>
      <c r="BG189" s="26"/>
      <c r="BH189" s="214"/>
      <c r="BI189" s="215"/>
      <c r="BJ189" s="215"/>
      <c r="BK189" s="216"/>
      <c r="BL189" s="26"/>
      <c r="BM189" s="214"/>
      <c r="BN189" s="215"/>
      <c r="BO189" s="215"/>
      <c r="BP189" s="216"/>
      <c r="BQ189" s="26"/>
    </row>
    <row r="190" spans="1:71">
      <c r="A190" s="5"/>
      <c r="B190" s="401" t="s">
        <v>662</v>
      </c>
      <c r="C190" s="1172"/>
      <c r="D190" s="92"/>
      <c r="E190" s="214"/>
      <c r="F190" s="215"/>
      <c r="G190" s="215"/>
      <c r="H190" s="216"/>
      <c r="I190" s="26"/>
      <c r="J190" s="214"/>
      <c r="K190" s="215"/>
      <c r="L190" s="215"/>
      <c r="M190" s="216"/>
      <c r="N190" s="26"/>
      <c r="O190" s="214"/>
      <c r="P190" s="215"/>
      <c r="Q190" s="215"/>
      <c r="R190" s="216"/>
      <c r="S190" s="26"/>
      <c r="T190" s="214"/>
      <c r="U190" s="215"/>
      <c r="V190" s="215"/>
      <c r="W190" s="216"/>
      <c r="X190" s="26"/>
      <c r="Y190" s="214"/>
      <c r="Z190" s="215"/>
      <c r="AA190" s="215"/>
      <c r="AB190" s="216"/>
      <c r="AC190" s="26"/>
      <c r="AD190" s="214"/>
      <c r="AE190" s="215"/>
      <c r="AF190" s="215"/>
      <c r="AG190" s="216"/>
      <c r="AH190" s="26"/>
      <c r="AI190" s="214"/>
      <c r="AJ190" s="215"/>
      <c r="AK190" s="215"/>
      <c r="AL190" s="216"/>
      <c r="AM190" s="26"/>
      <c r="AN190" s="214"/>
      <c r="AO190" s="215"/>
      <c r="AP190" s="215"/>
      <c r="AQ190" s="216"/>
      <c r="AR190" s="26"/>
      <c r="AS190" s="214"/>
      <c r="AT190" s="215"/>
      <c r="AU190" s="215"/>
      <c r="AV190" s="216"/>
      <c r="AW190" s="26"/>
      <c r="AX190" s="214"/>
      <c r="AY190" s="215"/>
      <c r="AZ190" s="215"/>
      <c r="BA190" s="216"/>
      <c r="BB190" s="26"/>
      <c r="BC190" s="214"/>
      <c r="BD190" s="215"/>
      <c r="BE190" s="215"/>
      <c r="BF190" s="216"/>
      <c r="BG190" s="26"/>
      <c r="BH190" s="214"/>
      <c r="BI190" s="215"/>
      <c r="BJ190" s="215"/>
      <c r="BK190" s="216"/>
      <c r="BL190" s="26"/>
      <c r="BM190" s="214"/>
      <c r="BN190" s="215"/>
      <c r="BO190" s="215"/>
      <c r="BP190" s="216"/>
      <c r="BQ190" s="26"/>
    </row>
    <row r="191" spans="1:71">
      <c r="A191" s="331"/>
      <c r="B191" s="422"/>
      <c r="C191" s="1174" t="s">
        <v>133</v>
      </c>
      <c r="D191" s="331"/>
      <c r="E191" s="177"/>
      <c r="F191" s="178"/>
      <c r="G191" s="178"/>
      <c r="H191" s="179"/>
      <c r="I191" s="44"/>
      <c r="J191" s="177"/>
      <c r="K191" s="178"/>
      <c r="L191" s="178"/>
      <c r="M191" s="179"/>
      <c r="N191" s="44"/>
      <c r="O191" s="177"/>
      <c r="P191" s="178"/>
      <c r="Q191" s="178"/>
      <c r="R191" s="179"/>
      <c r="S191" s="44"/>
      <c r="T191" s="217"/>
      <c r="U191" s="218"/>
      <c r="V191" s="178"/>
      <c r="W191" s="179"/>
      <c r="X191" s="518"/>
      <c r="Y191" s="177"/>
      <c r="Z191" s="178"/>
      <c r="AA191" s="178"/>
      <c r="AB191" s="179"/>
      <c r="AC191" s="518"/>
      <c r="AD191" s="177"/>
      <c r="AE191" s="178"/>
      <c r="AF191" s="178"/>
      <c r="AG191" s="179"/>
      <c r="AH191" s="518"/>
      <c r="AI191" s="177"/>
      <c r="AJ191" s="178"/>
      <c r="AK191" s="178"/>
      <c r="AL191" s="179"/>
      <c r="AM191" s="518"/>
      <c r="AN191" s="177"/>
      <c r="AO191" s="178"/>
      <c r="AP191" s="178"/>
      <c r="AQ191" s="1909"/>
      <c r="AR191" s="44"/>
      <c r="AS191" s="177"/>
      <c r="AT191" s="178"/>
      <c r="AU191" s="178"/>
      <c r="AV191" s="179"/>
      <c r="AW191" s="518"/>
      <c r="AX191" s="177">
        <f>Debt!AW181</f>
        <v>0</v>
      </c>
      <c r="AY191" s="178">
        <f>Debt!AX181</f>
        <v>2500</v>
      </c>
      <c r="AZ191" s="178">
        <f>Debt!AY181</f>
        <v>0</v>
      </c>
      <c r="BA191" s="179">
        <f>Debt!AZ181</f>
        <v>0</v>
      </c>
      <c r="BB191" s="518">
        <v>2500</v>
      </c>
      <c r="BC191" s="177">
        <f>Debt!BB181</f>
        <v>0</v>
      </c>
      <c r="BD191" s="178">
        <f>Debt!BC181</f>
        <v>0</v>
      </c>
      <c r="BE191" s="178">
        <f>Debt!BD181</f>
        <v>1800</v>
      </c>
      <c r="BF191" s="179">
        <f>Debt!BE181</f>
        <v>0</v>
      </c>
      <c r="BG191" s="108">
        <v>1800</v>
      </c>
      <c r="BH191" s="177">
        <f>Debt!BG181</f>
        <v>0</v>
      </c>
      <c r="BI191" s="178">
        <f>Debt!BH181</f>
        <v>0</v>
      </c>
      <c r="BJ191" s="178">
        <f>Debt!BI181</f>
        <v>1700</v>
      </c>
      <c r="BK191" s="179">
        <f>Debt!BJ181</f>
        <v>0</v>
      </c>
      <c r="BL191" s="518">
        <v>1700</v>
      </c>
      <c r="BM191" s="177">
        <f>Debt!BL181</f>
        <v>0</v>
      </c>
      <c r="BN191" s="178">
        <f>Debt!BM181</f>
        <v>0</v>
      </c>
      <c r="BO191" s="178">
        <f>Debt!BN181</f>
        <v>2100</v>
      </c>
      <c r="BP191" s="179">
        <f>Debt!BO181</f>
        <v>0</v>
      </c>
      <c r="BQ191" s="1949">
        <v>2100</v>
      </c>
    </row>
    <row r="192" spans="1:71">
      <c r="A192" s="331"/>
      <c r="B192" s="422"/>
      <c r="C192" s="1174" t="s">
        <v>716</v>
      </c>
      <c r="D192" s="331"/>
      <c r="E192" s="177"/>
      <c r="F192" s="178"/>
      <c r="G192" s="178"/>
      <c r="H192" s="179"/>
      <c r="I192" s="44"/>
      <c r="J192" s="177"/>
      <c r="K192" s="178"/>
      <c r="L192" s="178"/>
      <c r="M192" s="179"/>
      <c r="N192" s="44"/>
      <c r="O192" s="177"/>
      <c r="P192" s="178"/>
      <c r="Q192" s="178"/>
      <c r="R192" s="179"/>
      <c r="S192" s="44"/>
      <c r="T192" s="177"/>
      <c r="U192" s="178"/>
      <c r="V192" s="178"/>
      <c r="W192" s="179"/>
      <c r="X192" s="44"/>
      <c r="Y192" s="177"/>
      <c r="Z192" s="178"/>
      <c r="AA192" s="178"/>
      <c r="AB192" s="179"/>
      <c r="AC192" s="44"/>
      <c r="AD192" s="177"/>
      <c r="AE192" s="178"/>
      <c r="AF192" s="178"/>
      <c r="AG192" s="179"/>
      <c r="AH192" s="44"/>
      <c r="AI192" s="177"/>
      <c r="AJ192" s="178"/>
      <c r="AK192" s="178"/>
      <c r="AL192" s="179"/>
      <c r="AM192" s="44"/>
      <c r="AN192" s="177"/>
      <c r="AO192" s="178"/>
      <c r="AP192" s="178"/>
      <c r="AQ192" s="179"/>
      <c r="AR192" s="44"/>
      <c r="AS192" s="177"/>
      <c r="AT192" s="178"/>
      <c r="AU192" s="178"/>
      <c r="AV192" s="179"/>
      <c r="AW192" s="44"/>
      <c r="AX192" s="177">
        <f>Debt!AW169</f>
        <v>0</v>
      </c>
      <c r="AY192" s="178">
        <f>Debt!AX169</f>
        <v>-375</v>
      </c>
      <c r="AZ192" s="178">
        <f>Debt!AY169</f>
        <v>-300</v>
      </c>
      <c r="BA192" s="179">
        <f>Debt!AZ169</f>
        <v>-85</v>
      </c>
      <c r="BB192" s="44">
        <f>+SUM(AX192:BA192)</f>
        <v>-760</v>
      </c>
      <c r="BC192" s="177">
        <f>Debt!BB169</f>
        <v>-500</v>
      </c>
      <c r="BD192" s="178">
        <f>Debt!BC169</f>
        <v>0</v>
      </c>
      <c r="BE192" s="178">
        <f>Debt!BD169</f>
        <v>-180.76900000000001</v>
      </c>
      <c r="BF192" s="179">
        <f>Debt!BE169</f>
        <v>0</v>
      </c>
      <c r="BG192" s="44">
        <f>+SUM(BC192:BF192)</f>
        <v>-680.76900000000001</v>
      </c>
      <c r="BH192" s="177">
        <f>Debt!BG169</f>
        <v>0</v>
      </c>
      <c r="BI192" s="178">
        <f>Debt!BH169</f>
        <v>0</v>
      </c>
      <c r="BJ192" s="178">
        <f>Debt!BI169</f>
        <v>-70</v>
      </c>
      <c r="BK192" s="179">
        <f>Debt!BJ169</f>
        <v>-275</v>
      </c>
      <c r="BL192" s="44">
        <f>+SUM(BH192:BK192)</f>
        <v>-345</v>
      </c>
      <c r="BM192" s="177">
        <f>Debt!BL169</f>
        <v>-390</v>
      </c>
      <c r="BN192" s="178">
        <f>Debt!BM169</f>
        <v>-449.22800000000001</v>
      </c>
      <c r="BO192" s="178">
        <f>Debt!BN169</f>
        <v>-200.76400000000001</v>
      </c>
      <c r="BP192" s="179">
        <f>Debt!BO169</f>
        <v>0</v>
      </c>
      <c r="BQ192" s="44">
        <f>+SUM(BM192:BP192)</f>
        <v>-1039.9920000000002</v>
      </c>
    </row>
    <row r="193" spans="1:69">
      <c r="A193" s="331"/>
      <c r="B193" s="422"/>
      <c r="C193" s="1174"/>
      <c r="D193" s="331"/>
      <c r="E193" s="177"/>
      <c r="F193" s="178"/>
      <c r="G193" s="178"/>
      <c r="H193" s="179"/>
      <c r="I193" s="44"/>
      <c r="J193" s="177"/>
      <c r="K193" s="178"/>
      <c r="L193" s="178"/>
      <c r="M193" s="179"/>
      <c r="N193" s="44"/>
      <c r="O193" s="177"/>
      <c r="P193" s="178"/>
      <c r="Q193" s="178"/>
      <c r="R193" s="179"/>
      <c r="S193" s="44"/>
      <c r="T193" s="177"/>
      <c r="U193" s="178"/>
      <c r="V193" s="178"/>
      <c r="W193" s="179"/>
      <c r="X193" s="44"/>
      <c r="Y193" s="177"/>
      <c r="Z193" s="178"/>
      <c r="AA193" s="178"/>
      <c r="AB193" s="179"/>
      <c r="AC193" s="44"/>
      <c r="AD193" s="177"/>
      <c r="AE193" s="178"/>
      <c r="AF193" s="178"/>
      <c r="AG193" s="179"/>
      <c r="AH193" s="44"/>
      <c r="AI193" s="177"/>
      <c r="AJ193" s="178"/>
      <c r="AK193" s="178"/>
      <c r="AL193" s="179"/>
      <c r="AM193" s="44"/>
      <c r="AN193" s="177"/>
      <c r="AO193" s="178"/>
      <c r="AP193" s="178"/>
      <c r="AQ193" s="179"/>
      <c r="AR193" s="44"/>
      <c r="AS193" s="177"/>
      <c r="AT193" s="178"/>
      <c r="AU193" s="178"/>
      <c r="AV193" s="179"/>
      <c r="AW193" s="44"/>
      <c r="AX193" s="177"/>
      <c r="AY193" s="178"/>
      <c r="AZ193" s="178"/>
      <c r="BA193" s="179"/>
      <c r="BB193" s="44"/>
      <c r="BC193" s="177"/>
      <c r="BD193" s="178"/>
      <c r="BE193" s="178"/>
      <c r="BF193" s="179"/>
      <c r="BG193" s="44"/>
      <c r="BH193" s="177"/>
      <c r="BI193" s="178"/>
      <c r="BJ193" s="178"/>
      <c r="BK193" s="179"/>
      <c r="BL193" s="44"/>
      <c r="BM193" s="177"/>
      <c r="BN193" s="178"/>
      <c r="BO193" s="178"/>
      <c r="BP193" s="179"/>
      <c r="BQ193" s="44"/>
    </row>
    <row r="194" spans="1:69">
      <c r="A194" s="331"/>
      <c r="B194" s="331"/>
      <c r="C194" s="1173" t="s">
        <v>324</v>
      </c>
      <c r="D194" s="331"/>
      <c r="E194" s="177"/>
      <c r="F194" s="178"/>
      <c r="G194" s="178"/>
      <c r="H194" s="179"/>
      <c r="I194" s="44"/>
      <c r="J194" s="177"/>
      <c r="K194" s="178"/>
      <c r="L194" s="178"/>
      <c r="M194" s="179"/>
      <c r="N194" s="44"/>
      <c r="O194" s="177"/>
      <c r="P194" s="178"/>
      <c r="Q194" s="178"/>
      <c r="R194" s="179"/>
      <c r="S194" s="44"/>
      <c r="T194" s="177"/>
      <c r="U194" s="178"/>
      <c r="V194" s="178"/>
      <c r="W194" s="179"/>
      <c r="X194" s="44"/>
      <c r="Y194" s="177"/>
      <c r="Z194" s="178"/>
      <c r="AA194" s="178"/>
      <c r="AB194" s="179"/>
      <c r="AC194" s="44"/>
      <c r="AD194" s="177"/>
      <c r="AE194" s="178"/>
      <c r="AF194" s="178"/>
      <c r="AG194" s="179"/>
      <c r="AH194" s="44"/>
      <c r="AI194" s="177"/>
      <c r="AJ194" s="178"/>
      <c r="AK194" s="178"/>
      <c r="AL194" s="179"/>
      <c r="AM194" s="44"/>
      <c r="AN194" s="177"/>
      <c r="AO194" s="178"/>
      <c r="AP194" s="178"/>
      <c r="AQ194" s="179"/>
      <c r="AR194" s="44"/>
      <c r="AS194" s="177"/>
      <c r="AT194" s="178"/>
      <c r="AU194" s="178"/>
      <c r="AV194" s="179"/>
      <c r="AW194" s="44"/>
      <c r="AX194" s="177"/>
      <c r="AY194" s="178"/>
      <c r="AZ194" s="178"/>
      <c r="BA194" s="179"/>
      <c r="BB194" s="44"/>
      <c r="BC194" s="177"/>
      <c r="BD194" s="178"/>
      <c r="BE194" s="178"/>
      <c r="BF194" s="179"/>
      <c r="BG194" s="44"/>
      <c r="BH194" s="177"/>
      <c r="BI194" s="178"/>
      <c r="BJ194" s="178"/>
      <c r="BK194" s="179"/>
      <c r="BL194" s="44"/>
      <c r="BM194" s="177"/>
      <c r="BN194" s="178"/>
      <c r="BO194" s="178"/>
      <c r="BP194" s="179"/>
      <c r="BQ194" s="44"/>
    </row>
    <row r="195" spans="1:69" s="103" customFormat="1">
      <c r="A195" s="331"/>
      <c r="B195" s="331"/>
      <c r="C195" s="1174" t="s">
        <v>707</v>
      </c>
      <c r="D195" s="331"/>
      <c r="E195" s="177"/>
      <c r="F195" s="178"/>
      <c r="G195" s="178"/>
      <c r="H195" s="179"/>
      <c r="I195" s="44"/>
      <c r="J195" s="177"/>
      <c r="K195" s="178"/>
      <c r="L195" s="178"/>
      <c r="M195" s="179"/>
      <c r="N195" s="44"/>
      <c r="O195" s="177"/>
      <c r="P195" s="178"/>
      <c r="Q195" s="178"/>
      <c r="R195" s="179"/>
      <c r="S195" s="44"/>
      <c r="T195" s="177"/>
      <c r="U195" s="178"/>
      <c r="V195" s="178"/>
      <c r="W195" s="179"/>
      <c r="X195" s="44"/>
      <c r="Y195" s="177"/>
      <c r="Z195" s="178"/>
      <c r="AA195" s="178"/>
      <c r="AB195" s="179"/>
      <c r="AC195" s="44"/>
      <c r="AD195" s="177"/>
      <c r="AE195" s="178"/>
      <c r="AF195" s="178"/>
      <c r="AG195" s="179"/>
      <c r="AH195" s="44"/>
      <c r="AI195" s="177"/>
      <c r="AJ195" s="178"/>
      <c r="AK195" s="178"/>
      <c r="AL195" s="179"/>
      <c r="AM195" s="44"/>
      <c r="AN195" s="177"/>
      <c r="AO195" s="178"/>
      <c r="AP195" s="178"/>
      <c r="AQ195" s="179"/>
      <c r="AR195" s="44"/>
      <c r="AS195" s="177"/>
      <c r="AT195" s="178"/>
      <c r="AU195" s="178"/>
      <c r="AV195" s="179"/>
      <c r="AW195" s="44"/>
      <c r="AX195" s="177">
        <f>AX200*((AW234-AS234)-(AW232-AS232))/4</f>
        <v>-1.16245</v>
      </c>
      <c r="AY195" s="178">
        <f>AY200*((AX234-AT234)-(AX232-AT232))/4</f>
        <v>3.1033553170200396</v>
      </c>
      <c r="AZ195" s="178">
        <f>AZ200*((AY234-AU234)-(AY232-AU232))/4</f>
        <v>-7.0712686193097811</v>
      </c>
      <c r="BA195" s="179">
        <f>BA200*((AZ234-AV234)-(AZ232-AV232))/4</f>
        <v>-3.3902320216628374</v>
      </c>
      <c r="BB195" s="44">
        <f>+SUM(AX195:BA195)</f>
        <v>-8.5205953239525787</v>
      </c>
      <c r="BC195" s="177">
        <f>BC200*((BB234-AX234)-(BB232-AX232))/4</f>
        <v>-2.7817134175735578</v>
      </c>
      <c r="BD195" s="178">
        <f>BD200*((BC234-AY234)-(BC232-AY232))/4</f>
        <v>9.8937677250371632</v>
      </c>
      <c r="BE195" s="178">
        <f>BE200*((BD234-AZ234)-(BD232-AZ232))/4</f>
        <v>8.758728680799809</v>
      </c>
      <c r="BF195" s="179">
        <f>BF200*((BE234-BA234)-(BE232-BA232))/4</f>
        <v>-1.7001237836449128</v>
      </c>
      <c r="BG195" s="44">
        <f>+SUM(BC195:BF195)</f>
        <v>14.170659204618502</v>
      </c>
      <c r="BH195" s="177">
        <f>BH200*((BG234-BC234)-(BG232-BC232))/4</f>
        <v>-4.0200929293194827</v>
      </c>
      <c r="BI195" s="178">
        <f>BI200*((BH234-BD234)-(BH232-BD232))/4</f>
        <v>-3.8012836337512317</v>
      </c>
      <c r="BJ195" s="178">
        <f>BJ200*((BI234-BE234)-(BI232-BE232))/4</f>
        <v>5.2575030652555261</v>
      </c>
      <c r="BK195" s="179">
        <f>BK200*((BJ234-BF234)-(BJ232-BF232))/4</f>
        <v>-4.1979568529194777</v>
      </c>
      <c r="BL195" s="44">
        <f>+SUM(BH195:BK195)</f>
        <v>-6.761830350734666</v>
      </c>
      <c r="BM195" s="177">
        <f>BM200*((BL234-BH234)-(BL232-BH232))/4</f>
        <v>-2.6314716838502608</v>
      </c>
      <c r="BN195" s="178">
        <f>BN200*((BM234-BI234)-(BM232-BI232))/4</f>
        <v>-0.51400633083481018</v>
      </c>
      <c r="BO195" s="178">
        <f>BO200*((BN234-BJ234)-(BN232-BJ232))/4</f>
        <v>10.757926834272514</v>
      </c>
      <c r="BP195" s="179">
        <f>BP200*((BO234-BK234)-(BO232-BK232))/4</f>
        <v>-1.4420990586342162</v>
      </c>
      <c r="BQ195" s="44">
        <f>+SUM(BM195:BP195)</f>
        <v>6.1703497609532265</v>
      </c>
    </row>
    <row r="196" spans="1:69" s="103" customFormat="1">
      <c r="A196" s="331"/>
      <c r="B196" s="331"/>
      <c r="C196" s="1174" t="s">
        <v>717</v>
      </c>
      <c r="D196" s="331"/>
      <c r="E196" s="177"/>
      <c r="F196" s="178"/>
      <c r="G196" s="178"/>
      <c r="H196" s="179"/>
      <c r="I196" s="44"/>
      <c r="J196" s="177"/>
      <c r="K196" s="178"/>
      <c r="L196" s="178"/>
      <c r="M196" s="179"/>
      <c r="N196" s="44"/>
      <c r="O196" s="177"/>
      <c r="P196" s="178"/>
      <c r="Q196" s="178"/>
      <c r="R196" s="179"/>
      <c r="S196" s="44"/>
      <c r="T196" s="177"/>
      <c r="U196" s="178"/>
      <c r="V196" s="178"/>
      <c r="W196" s="179"/>
      <c r="X196" s="44"/>
      <c r="Y196" s="177"/>
      <c r="Z196" s="178"/>
      <c r="AA196" s="178"/>
      <c r="AB196" s="179"/>
      <c r="AC196" s="44"/>
      <c r="AD196" s="177"/>
      <c r="AE196" s="178"/>
      <c r="AF196" s="178"/>
      <c r="AG196" s="179"/>
      <c r="AH196" s="44"/>
      <c r="AI196" s="177"/>
      <c r="AJ196" s="178"/>
      <c r="AK196" s="178"/>
      <c r="AL196" s="179"/>
      <c r="AM196" s="44"/>
      <c r="AN196" s="177"/>
      <c r="AO196" s="178"/>
      <c r="AP196" s="178"/>
      <c r="AQ196" s="179"/>
      <c r="AR196" s="44"/>
      <c r="AS196" s="177"/>
      <c r="AT196" s="178"/>
      <c r="AU196" s="178"/>
      <c r="AV196" s="179"/>
      <c r="AW196" s="44"/>
      <c r="AX196" s="177">
        <f>+Debt!DC181</f>
        <v>7.3995833333333332</v>
      </c>
      <c r="AY196" s="178">
        <f>+Debt!DD181</f>
        <v>42.446249999999999</v>
      </c>
      <c r="AZ196" s="178">
        <f>+Debt!DE181</f>
        <v>40.106250000000003</v>
      </c>
      <c r="BA196" s="179">
        <f>+Debt!DF181</f>
        <v>39.237499999999997</v>
      </c>
      <c r="BB196" s="44">
        <f>+SUM(AX196:BA196)</f>
        <v>129.18958333333333</v>
      </c>
      <c r="BC196" s="177">
        <f>+Debt!DH181</f>
        <v>37.5</v>
      </c>
      <c r="BD196" s="178">
        <f>+Debt!DI181</f>
        <v>0</v>
      </c>
      <c r="BE196" s="178">
        <f>+Debt!DJ181</f>
        <v>27</v>
      </c>
      <c r="BF196" s="179">
        <f>+Debt!DK181</f>
        <v>27</v>
      </c>
      <c r="BG196" s="44">
        <f>+SUM(BC196:BF196)</f>
        <v>91.5</v>
      </c>
      <c r="BH196" s="177">
        <f>+Debt!DM181</f>
        <v>27</v>
      </c>
      <c r="BI196" s="178">
        <f>+Debt!DN181</f>
        <v>27</v>
      </c>
      <c r="BJ196" s="178">
        <f>+Debt!DO181</f>
        <v>25.5</v>
      </c>
      <c r="BK196" s="179">
        <f>+Debt!DP181</f>
        <v>25.5</v>
      </c>
      <c r="BL196" s="44">
        <f>+SUM(BH196:BK196)</f>
        <v>105</v>
      </c>
      <c r="BM196" s="177">
        <f>+Debt!DR181</f>
        <v>25.5</v>
      </c>
      <c r="BN196" s="178">
        <f>+Debt!DS181</f>
        <v>25.5</v>
      </c>
      <c r="BO196" s="178">
        <f>+Debt!DT181</f>
        <v>31.5</v>
      </c>
      <c r="BP196" s="179">
        <f>+Debt!DU181</f>
        <v>31.5</v>
      </c>
      <c r="BQ196" s="44">
        <f>+SUM(BM196:BP196)</f>
        <v>114</v>
      </c>
    </row>
    <row r="197" spans="1:69" s="103" customFormat="1">
      <c r="A197" s="331"/>
      <c r="B197" s="331"/>
      <c r="C197" s="1174" t="s">
        <v>718</v>
      </c>
      <c r="D197" s="331"/>
      <c r="E197" s="177"/>
      <c r="F197" s="178"/>
      <c r="G197" s="178"/>
      <c r="H197" s="179"/>
      <c r="I197" s="44"/>
      <c r="J197" s="177"/>
      <c r="K197" s="178"/>
      <c r="L197" s="178"/>
      <c r="M197" s="179"/>
      <c r="N197" s="44"/>
      <c r="O197" s="177"/>
      <c r="P197" s="178"/>
      <c r="Q197" s="178"/>
      <c r="R197" s="179"/>
      <c r="S197" s="44"/>
      <c r="T197" s="177"/>
      <c r="U197" s="178"/>
      <c r="V197" s="178"/>
      <c r="W197" s="179"/>
      <c r="X197" s="44"/>
      <c r="Y197" s="177"/>
      <c r="Z197" s="178"/>
      <c r="AA197" s="178"/>
      <c r="AB197" s="179"/>
      <c r="AC197" s="44"/>
      <c r="AD197" s="177"/>
      <c r="AE197" s="178"/>
      <c r="AF197" s="178"/>
      <c r="AG197" s="179"/>
      <c r="AH197" s="44"/>
      <c r="AI197" s="177"/>
      <c r="AJ197" s="178"/>
      <c r="AK197" s="178"/>
      <c r="AL197" s="179"/>
      <c r="AM197" s="44"/>
      <c r="AN197" s="177"/>
      <c r="AO197" s="178"/>
      <c r="AP197" s="178"/>
      <c r="AQ197" s="179"/>
      <c r="AR197" s="44"/>
      <c r="AS197" s="177"/>
      <c r="AT197" s="178"/>
      <c r="AU197" s="178"/>
      <c r="AV197" s="179"/>
      <c r="AW197" s="44"/>
      <c r="AX197" s="177">
        <f>+Debt!DC169</f>
        <v>-4.1402918999999994</v>
      </c>
      <c r="AY197" s="178">
        <f>+Debt!DD169</f>
        <v>-7.6521377333333334</v>
      </c>
      <c r="AZ197" s="178">
        <f>+Debt!DE169</f>
        <v>-7.9843783999999998</v>
      </c>
      <c r="BA197" s="179">
        <f>+Debt!DF169</f>
        <v>-11.565250000000001</v>
      </c>
      <c r="BB197" s="44">
        <f>+SUM(AX197:BA197)</f>
        <v>-31.342058033333331</v>
      </c>
      <c r="BC197" s="177">
        <f>+Debt!DH169</f>
        <v>-17.240749999999998</v>
      </c>
      <c r="BD197" s="178">
        <f>+Debt!DI169</f>
        <v>-16.459499999999998</v>
      </c>
      <c r="BE197" s="178">
        <f>+Debt!DJ169</f>
        <v>-15.636678083333333</v>
      </c>
      <c r="BF197" s="179">
        <f>+Debt!DK169</f>
        <v>-11.677017125000001</v>
      </c>
      <c r="BG197" s="44">
        <f>+SUM(BC197:BF197)</f>
        <v>-61.013945208333332</v>
      </c>
      <c r="BH197" s="177">
        <f>+Debt!DM169</f>
        <v>-5.7395171249999999</v>
      </c>
      <c r="BI197" s="178">
        <f>+Debt!DN169</f>
        <v>-2.7707671250000003</v>
      </c>
      <c r="BJ197" s="178">
        <f>+Debt!DO169</f>
        <v>-0.48792237499999991</v>
      </c>
      <c r="BK197" s="179">
        <f>+Debt!DP169</f>
        <v>-3.1665000000000001</v>
      </c>
      <c r="BL197" s="44">
        <f>+SUM(BH197:BK197)</f>
        <v>-12.164706625000001</v>
      </c>
      <c r="BM197" s="177">
        <f>+Debt!DR169</f>
        <v>-5.8278333333333325</v>
      </c>
      <c r="BN197" s="178">
        <f>+Debt!DS169</f>
        <v>-9.1416250999999988</v>
      </c>
      <c r="BO197" s="178">
        <f>+Debt!DT169</f>
        <v>-11.740637299999998</v>
      </c>
      <c r="BP197" s="179">
        <f>+Debt!DU169</f>
        <v>-9.5495183000000008</v>
      </c>
      <c r="BQ197" s="44">
        <f>+SUM(BM197:BP197)</f>
        <v>-36.259614033333328</v>
      </c>
    </row>
    <row r="198" spans="1:69" s="37" customFormat="1">
      <c r="A198" s="327"/>
      <c r="B198" s="327"/>
      <c r="C198" s="1173" t="s">
        <v>681</v>
      </c>
      <c r="D198" s="327"/>
      <c r="E198" s="180"/>
      <c r="F198" s="181"/>
      <c r="G198" s="181"/>
      <c r="H198" s="182"/>
      <c r="I198" s="110"/>
      <c r="J198" s="180"/>
      <c r="K198" s="181"/>
      <c r="L198" s="181"/>
      <c r="M198" s="182"/>
      <c r="N198" s="110"/>
      <c r="O198" s="180"/>
      <c r="P198" s="181"/>
      <c r="Q198" s="181"/>
      <c r="R198" s="182"/>
      <c r="S198" s="110"/>
      <c r="T198" s="180"/>
      <c r="U198" s="181"/>
      <c r="V198" s="181"/>
      <c r="W198" s="182"/>
      <c r="X198" s="110"/>
      <c r="Y198" s="180"/>
      <c r="Z198" s="181"/>
      <c r="AA198" s="181"/>
      <c r="AB198" s="182"/>
      <c r="AC198" s="110"/>
      <c r="AD198" s="180"/>
      <c r="AE198" s="181"/>
      <c r="AF198" s="181"/>
      <c r="AG198" s="182"/>
      <c r="AH198" s="110"/>
      <c r="AI198" s="180"/>
      <c r="AJ198" s="181"/>
      <c r="AK198" s="181"/>
      <c r="AL198" s="182"/>
      <c r="AM198" s="110"/>
      <c r="AN198" s="180"/>
      <c r="AO198" s="181"/>
      <c r="AP198" s="181"/>
      <c r="AQ198" s="182"/>
      <c r="AR198" s="110"/>
      <c r="AS198" s="180"/>
      <c r="AT198" s="181"/>
      <c r="AU198" s="181"/>
      <c r="AV198" s="182"/>
      <c r="AW198" s="110"/>
      <c r="AX198" s="180">
        <f>+SUM(AX195:AX197)</f>
        <v>2.0968414333333341</v>
      </c>
      <c r="AY198" s="181">
        <f>+SUM(AY195:AY197)</f>
        <v>37.897467583686705</v>
      </c>
      <c r="AZ198" s="181">
        <f>+SUM(AZ195:AZ197)</f>
        <v>25.050602980690218</v>
      </c>
      <c r="BA198" s="182">
        <f>+SUM(BA195:BA197)</f>
        <v>24.282017978337159</v>
      </c>
      <c r="BB198" s="110">
        <f>+SUM(AX198:BA198)</f>
        <v>89.32692997604741</v>
      </c>
      <c r="BC198" s="180">
        <f>+SUM(BC195:BC197)</f>
        <v>17.477536582426445</v>
      </c>
      <c r="BD198" s="181">
        <f>+SUM(BD195:BD197)</f>
        <v>-6.5657322749628353</v>
      </c>
      <c r="BE198" s="181">
        <f>+SUM(BE195:BE197)</f>
        <v>20.122050597466473</v>
      </c>
      <c r="BF198" s="182">
        <f>+SUM(BF195:BF197)</f>
        <v>13.622859091355087</v>
      </c>
      <c r="BG198" s="110">
        <f>+SUM(BC198:BF198)</f>
        <v>44.65671399628517</v>
      </c>
      <c r="BH198" s="180">
        <f>+SUM(BH195:BH197)</f>
        <v>17.240389945680519</v>
      </c>
      <c r="BI198" s="181">
        <f>+SUM(BI195:BI197)</f>
        <v>20.427949241248768</v>
      </c>
      <c r="BJ198" s="181">
        <f>+SUM(BJ195:BJ197)</f>
        <v>30.269580690255527</v>
      </c>
      <c r="BK198" s="182">
        <f>+SUM(BK195:BK197)</f>
        <v>18.135543147080522</v>
      </c>
      <c r="BL198" s="110">
        <f>+SUM(BH198:BK198)</f>
        <v>86.073463024265337</v>
      </c>
      <c r="BM198" s="180">
        <f>+SUM(BM195:BM197)</f>
        <v>17.040694982816404</v>
      </c>
      <c r="BN198" s="181">
        <f>+SUM(BN195:BN197)</f>
        <v>15.844368569165191</v>
      </c>
      <c r="BO198" s="181">
        <f>+SUM(BO195:BO197)</f>
        <v>30.517289534272514</v>
      </c>
      <c r="BP198" s="182">
        <f>+SUM(BP195:BP197)</f>
        <v>20.508382641365785</v>
      </c>
      <c r="BQ198" s="110">
        <f>+SUM(BM198:BP198)</f>
        <v>83.910735727619894</v>
      </c>
    </row>
    <row r="199" spans="1:69">
      <c r="A199" s="331"/>
      <c r="B199" s="331"/>
      <c r="C199" s="1174"/>
      <c r="D199" s="331"/>
      <c r="E199" s="339"/>
      <c r="F199" s="340"/>
      <c r="G199" s="340"/>
      <c r="H199" s="341"/>
      <c r="I199" s="331"/>
      <c r="J199" s="339"/>
      <c r="K199" s="340"/>
      <c r="L199" s="340"/>
      <c r="M199" s="341"/>
      <c r="N199" s="331"/>
      <c r="O199" s="339"/>
      <c r="P199" s="340"/>
      <c r="Q199" s="340"/>
      <c r="R199" s="341"/>
      <c r="S199" s="331"/>
      <c r="T199" s="339"/>
      <c r="U199" s="340"/>
      <c r="V199" s="340"/>
      <c r="W199" s="341"/>
      <c r="X199" s="331"/>
      <c r="Y199" s="339"/>
      <c r="Z199" s="340"/>
      <c r="AA199" s="340"/>
      <c r="AB199" s="341"/>
      <c r="AC199" s="331"/>
      <c r="AD199" s="339"/>
      <c r="AE199" s="340"/>
      <c r="AF199" s="340"/>
      <c r="AG199" s="341"/>
      <c r="AH199" s="331"/>
      <c r="AI199" s="339"/>
      <c r="AJ199" s="340"/>
      <c r="AK199" s="340"/>
      <c r="AL199" s="341"/>
      <c r="AM199" s="331"/>
      <c r="AN199" s="339"/>
      <c r="AO199" s="340"/>
      <c r="AP199" s="340"/>
      <c r="AQ199" s="341"/>
      <c r="AR199" s="331"/>
      <c r="AS199" s="339"/>
      <c r="AT199" s="340"/>
      <c r="AU199" s="340"/>
      <c r="AV199" s="341"/>
      <c r="AW199" s="331"/>
      <c r="AX199" s="339"/>
      <c r="AY199" s="340"/>
      <c r="AZ199" s="340"/>
      <c r="BA199" s="341"/>
      <c r="BB199" s="331"/>
      <c r="BC199" s="339"/>
      <c r="BD199" s="340"/>
      <c r="BE199" s="340"/>
      <c r="BF199" s="341"/>
      <c r="BG199" s="331"/>
      <c r="BH199" s="339"/>
      <c r="BI199" s="340"/>
      <c r="BJ199" s="340"/>
      <c r="BK199" s="341"/>
      <c r="BL199" s="331"/>
      <c r="BM199" s="339"/>
      <c r="BN199" s="340"/>
      <c r="BO199" s="340"/>
      <c r="BP199" s="341"/>
      <c r="BQ199" s="331"/>
    </row>
    <row r="200" spans="1:69">
      <c r="A200" s="104"/>
      <c r="B200" s="104"/>
      <c r="C200" s="1199" t="s">
        <v>456</v>
      </c>
      <c r="D200" s="104"/>
      <c r="E200" s="423"/>
      <c r="F200" s="424"/>
      <c r="G200" s="424"/>
      <c r="H200" s="425"/>
      <c r="I200" s="104"/>
      <c r="J200" s="426"/>
      <c r="K200" s="424"/>
      <c r="L200" s="424"/>
      <c r="M200" s="425"/>
      <c r="N200" s="104"/>
      <c r="O200" s="426"/>
      <c r="P200" s="424"/>
      <c r="Q200" s="424"/>
      <c r="R200" s="425"/>
      <c r="S200" s="104"/>
      <c r="T200" s="426"/>
      <c r="U200" s="424"/>
      <c r="V200" s="424"/>
      <c r="W200" s="425"/>
      <c r="X200" s="104"/>
      <c r="Y200" s="426"/>
      <c r="Z200" s="424"/>
      <c r="AA200" s="424"/>
      <c r="AB200" s="425"/>
      <c r="AC200" s="104"/>
      <c r="AD200" s="426"/>
      <c r="AE200" s="424"/>
      <c r="AF200" s="424"/>
      <c r="AG200" s="425"/>
      <c r="AH200" s="104"/>
      <c r="AI200" s="426"/>
      <c r="AJ200" s="424"/>
      <c r="AK200" s="424"/>
      <c r="AL200" s="425"/>
      <c r="AM200" s="104"/>
      <c r="AN200" s="426"/>
      <c r="AO200" s="424"/>
      <c r="AP200" s="424"/>
      <c r="AQ200" s="425"/>
      <c r="AR200" s="104"/>
      <c r="AS200" s="426"/>
      <c r="AT200" s="424"/>
      <c r="AU200" s="424"/>
      <c r="AV200" s="425"/>
      <c r="AW200" s="104"/>
      <c r="AX200" s="426">
        <f>+ETR!AX$96</f>
        <v>0.02</v>
      </c>
      <c r="AY200" s="424">
        <f>+ETR!AY$96</f>
        <v>0.02</v>
      </c>
      <c r="AZ200" s="424">
        <f>+ETR!AZ$96</f>
        <v>0.02</v>
      </c>
      <c r="BA200" s="425">
        <f>+ETR!BA$96</f>
        <v>0.02</v>
      </c>
      <c r="BB200" s="104">
        <f>+ETR!BB$96</f>
        <v>0.02</v>
      </c>
      <c r="BC200" s="426">
        <f>+ETR!BC$96</f>
        <v>0.02</v>
      </c>
      <c r="BD200" s="424">
        <f>+ETR!BD$96</f>
        <v>0.02</v>
      </c>
      <c r="BE200" s="424">
        <f>+ETR!BE$96</f>
        <v>0.02</v>
      </c>
      <c r="BF200" s="425">
        <f>+ETR!BF$96</f>
        <v>0.02</v>
      </c>
      <c r="BG200" s="104">
        <f>+ETR!BG$96</f>
        <v>0.02</v>
      </c>
      <c r="BH200" s="426">
        <f>+ETR!BH$96</f>
        <v>0.02</v>
      </c>
      <c r="BI200" s="424">
        <f>+ETR!BI$96</f>
        <v>0.02</v>
      </c>
      <c r="BJ200" s="424">
        <f>+ETR!BJ$96</f>
        <v>0.02</v>
      </c>
      <c r="BK200" s="425">
        <f>+ETR!BK$96</f>
        <v>0.02</v>
      </c>
      <c r="BL200" s="104">
        <f>+ETR!BL$96</f>
        <v>0.02</v>
      </c>
      <c r="BM200" s="426">
        <f>+ETR!BM$96</f>
        <v>0.02</v>
      </c>
      <c r="BN200" s="424">
        <f>+ETR!BN$96</f>
        <v>0.02</v>
      </c>
      <c r="BO200" s="424">
        <f>+ETR!BO$96</f>
        <v>0.02</v>
      </c>
      <c r="BP200" s="425">
        <f>+ETR!BP$96</f>
        <v>0.02</v>
      </c>
      <c r="BQ200" s="104">
        <f>+ETR!BQ$96</f>
        <v>0.02</v>
      </c>
    </row>
    <row r="201" spans="1:69">
      <c r="A201" s="331"/>
      <c r="B201" s="331"/>
      <c r="C201" s="1174"/>
      <c r="D201" s="331"/>
      <c r="E201" s="339"/>
      <c r="F201" s="333"/>
      <c r="G201" s="333"/>
      <c r="H201" s="334"/>
      <c r="I201" s="331"/>
      <c r="J201" s="332"/>
      <c r="K201" s="333"/>
      <c r="L201" s="333"/>
      <c r="M201" s="334"/>
      <c r="N201" s="331"/>
      <c r="O201" s="332"/>
      <c r="P201" s="333"/>
      <c r="Q201" s="333"/>
      <c r="R201" s="334"/>
      <c r="S201" s="331"/>
      <c r="T201" s="332"/>
      <c r="U201" s="333"/>
      <c r="V201" s="333"/>
      <c r="W201" s="334"/>
      <c r="X201" s="331"/>
      <c r="Y201" s="332"/>
      <c r="Z201" s="333"/>
      <c r="AA201" s="333"/>
      <c r="AB201" s="334"/>
      <c r="AC201" s="331"/>
      <c r="AD201" s="332"/>
      <c r="AE201" s="333"/>
      <c r="AF201" s="333"/>
      <c r="AG201" s="334"/>
      <c r="AH201" s="331"/>
      <c r="AI201" s="332"/>
      <c r="AJ201" s="333"/>
      <c r="AK201" s="333"/>
      <c r="AL201" s="334"/>
      <c r="AM201" s="331"/>
      <c r="AN201" s="332"/>
      <c r="AO201" s="333"/>
      <c r="AP201" s="333"/>
      <c r="AQ201" s="334"/>
      <c r="AR201" s="331"/>
      <c r="AS201" s="332"/>
      <c r="AT201" s="333"/>
      <c r="AU201" s="333"/>
      <c r="AV201" s="334"/>
      <c r="AW201" s="331"/>
      <c r="AX201" s="332"/>
      <c r="AY201" s="333"/>
      <c r="AZ201" s="333"/>
      <c r="BA201" s="334"/>
      <c r="BB201" s="331"/>
      <c r="BC201" s="332"/>
      <c r="BD201" s="333"/>
      <c r="BE201" s="333"/>
      <c r="BF201" s="334"/>
      <c r="BG201" s="331"/>
      <c r="BH201" s="332"/>
      <c r="BI201" s="333"/>
      <c r="BJ201" s="333"/>
      <c r="BK201" s="334"/>
      <c r="BL201" s="331"/>
      <c r="BM201" s="332"/>
      <c r="BN201" s="333"/>
      <c r="BO201" s="333"/>
      <c r="BP201" s="334"/>
      <c r="BQ201" s="331"/>
    </row>
    <row r="202" spans="1:69">
      <c r="A202" s="331"/>
      <c r="B202" s="331"/>
      <c r="C202" s="1174" t="s">
        <v>204</v>
      </c>
      <c r="D202" s="331"/>
      <c r="E202" s="339"/>
      <c r="F202" s="333"/>
      <c r="G202" s="333"/>
      <c r="H202" s="334"/>
      <c r="I202" s="331"/>
      <c r="J202" s="332"/>
      <c r="K202" s="333"/>
      <c r="L202" s="333"/>
      <c r="M202" s="334"/>
      <c r="N202" s="331"/>
      <c r="O202" s="332"/>
      <c r="P202" s="333"/>
      <c r="Q202" s="333"/>
      <c r="R202" s="334"/>
      <c r="S202" s="331"/>
      <c r="T202" s="332"/>
      <c r="U202" s="333"/>
      <c r="V202" s="333"/>
      <c r="W202" s="334"/>
      <c r="X202" s="1374">
        <f>AC202</f>
        <v>106</v>
      </c>
      <c r="Y202" s="332"/>
      <c r="Z202" s="333"/>
      <c r="AA202" s="333"/>
      <c r="AB202" s="334"/>
      <c r="AC202" s="1374">
        <f>AH202</f>
        <v>106</v>
      </c>
      <c r="AD202" s="332"/>
      <c r="AE202" s="333"/>
      <c r="AF202" s="333"/>
      <c r="AG202" s="334"/>
      <c r="AH202" s="1374">
        <v>106</v>
      </c>
      <c r="AI202" s="332"/>
      <c r="AJ202" s="333"/>
      <c r="AK202" s="333"/>
      <c r="AL202" s="334"/>
      <c r="AM202" s="1374">
        <v>106</v>
      </c>
      <c r="AN202" s="332">
        <f>+AR202/4</f>
        <v>26.5</v>
      </c>
      <c r="AO202" s="333">
        <f>+AR202/4</f>
        <v>26.5</v>
      </c>
      <c r="AP202" s="333">
        <f>+AR202/4</f>
        <v>26.5</v>
      </c>
      <c r="AQ202" s="334">
        <f>+AR202/4</f>
        <v>26.5</v>
      </c>
      <c r="AR202" s="1374">
        <v>106</v>
      </c>
      <c r="AS202" s="332">
        <f>+AW202/4</f>
        <v>26.5</v>
      </c>
      <c r="AT202" s="333">
        <f>+AW202/4</f>
        <v>26.5</v>
      </c>
      <c r="AU202" s="333">
        <f>+AW202/4</f>
        <v>26.5</v>
      </c>
      <c r="AV202" s="334">
        <f>+AW202/4</f>
        <v>26.5</v>
      </c>
      <c r="AW202" s="1374">
        <v>106</v>
      </c>
      <c r="AX202" s="332">
        <f>+BB202/4</f>
        <v>26.5</v>
      </c>
      <c r="AY202" s="333">
        <f>+BB202/4</f>
        <v>26.5</v>
      </c>
      <c r="AZ202" s="333">
        <f>+BB202/4</f>
        <v>26.5</v>
      </c>
      <c r="BA202" s="334">
        <f>+BB202/4</f>
        <v>26.5</v>
      </c>
      <c r="BB202" s="1374">
        <v>106</v>
      </c>
      <c r="BC202" s="332">
        <f>+BG202/4</f>
        <v>26.5</v>
      </c>
      <c r="BD202" s="333">
        <f>+BG202/4</f>
        <v>26.5</v>
      </c>
      <c r="BE202" s="333">
        <f>+BG202/4</f>
        <v>26.5</v>
      </c>
      <c r="BF202" s="334">
        <f>+BG202/4</f>
        <v>26.5</v>
      </c>
      <c r="BG202" s="1374">
        <v>106</v>
      </c>
      <c r="BH202" s="332">
        <f>+BL202/4</f>
        <v>26.5</v>
      </c>
      <c r="BI202" s="333">
        <f>+BL202/4</f>
        <v>26.5</v>
      </c>
      <c r="BJ202" s="333">
        <f>+BL202/4</f>
        <v>26.5</v>
      </c>
      <c r="BK202" s="334">
        <f>+BL202/4</f>
        <v>26.5</v>
      </c>
      <c r="BL202" s="1374">
        <v>106</v>
      </c>
      <c r="BM202" s="332">
        <f>+BQ202/4</f>
        <v>26.5</v>
      </c>
      <c r="BN202" s="333">
        <f>+BQ202/4</f>
        <v>26.5</v>
      </c>
      <c r="BO202" s="333">
        <f>+BQ202/4</f>
        <v>26.5</v>
      </c>
      <c r="BP202" s="334">
        <f>+BQ202/4</f>
        <v>26.5</v>
      </c>
      <c r="BQ202" s="1374">
        <v>106</v>
      </c>
    </row>
    <row r="203" spans="1:69">
      <c r="A203" s="331"/>
      <c r="B203" s="331"/>
      <c r="C203" s="1174"/>
      <c r="D203" s="331"/>
      <c r="E203" s="339"/>
      <c r="F203" s="333"/>
      <c r="G203" s="333"/>
      <c r="H203" s="334"/>
      <c r="I203" s="331"/>
      <c r="J203" s="332"/>
      <c r="K203" s="333"/>
      <c r="L203" s="333"/>
      <c r="M203" s="334"/>
      <c r="N203" s="331"/>
      <c r="O203" s="332"/>
      <c r="P203" s="333"/>
      <c r="Q203" s="333"/>
      <c r="R203" s="334"/>
      <c r="S203" s="331"/>
      <c r="T203" s="332"/>
      <c r="U203" s="333"/>
      <c r="V203" s="333"/>
      <c r="W203" s="334"/>
      <c r="X203" s="331"/>
      <c r="Y203" s="332"/>
      <c r="Z203" s="333"/>
      <c r="AA203" s="333"/>
      <c r="AB203" s="334"/>
      <c r="AC203" s="331"/>
      <c r="AD203" s="332"/>
      <c r="AE203" s="333"/>
      <c r="AF203" s="333"/>
      <c r="AG203" s="334"/>
      <c r="AH203" s="331"/>
      <c r="AI203" s="332"/>
      <c r="AJ203" s="333"/>
      <c r="AK203" s="333"/>
      <c r="AL203" s="334"/>
      <c r="AM203" s="331"/>
      <c r="AN203" s="332"/>
      <c r="AO203" s="333"/>
      <c r="AP203" s="333"/>
      <c r="AQ203" s="334"/>
      <c r="AR203" s="331"/>
      <c r="AS203" s="332"/>
      <c r="AT203" s="333"/>
      <c r="AU203" s="333"/>
      <c r="AV203" s="334"/>
      <c r="AW203" s="331"/>
      <c r="AX203" s="332"/>
      <c r="AY203" s="333"/>
      <c r="AZ203" s="333"/>
      <c r="BA203" s="334"/>
      <c r="BB203" s="331"/>
      <c r="BC203" s="332"/>
      <c r="BD203" s="333"/>
      <c r="BE203" s="333"/>
      <c r="BF203" s="334"/>
      <c r="BG203" s="331"/>
      <c r="BH203" s="332"/>
      <c r="BI203" s="333"/>
      <c r="BJ203" s="333"/>
      <c r="BK203" s="334"/>
      <c r="BL203" s="331"/>
      <c r="BM203" s="332"/>
      <c r="BN203" s="333"/>
      <c r="BO203" s="333"/>
      <c r="BP203" s="334"/>
      <c r="BQ203" s="331"/>
    </row>
    <row r="204" spans="1:69">
      <c r="A204" s="331"/>
      <c r="B204" s="331"/>
      <c r="C204" s="1174"/>
      <c r="D204" s="331"/>
      <c r="E204" s="339"/>
      <c r="F204" s="333"/>
      <c r="G204" s="333"/>
      <c r="H204" s="334"/>
      <c r="I204" s="331"/>
      <c r="J204" s="332"/>
      <c r="K204" s="333"/>
      <c r="L204" s="333"/>
      <c r="M204" s="334"/>
      <c r="N204" s="331"/>
      <c r="O204" s="332"/>
      <c r="P204" s="333"/>
      <c r="Q204" s="333"/>
      <c r="R204" s="334"/>
      <c r="S204" s="331"/>
      <c r="T204" s="332"/>
      <c r="U204" s="333"/>
      <c r="V204" s="333"/>
      <c r="W204" s="334"/>
      <c r="X204" s="331"/>
      <c r="Y204" s="332"/>
      <c r="Z204" s="333"/>
      <c r="AA204" s="333"/>
      <c r="AB204" s="334"/>
      <c r="AC204" s="331"/>
      <c r="AD204" s="332"/>
      <c r="AE204" s="333"/>
      <c r="AF204" s="333"/>
      <c r="AG204" s="334"/>
      <c r="AH204" s="331"/>
      <c r="AI204" s="332"/>
      <c r="AJ204" s="333"/>
      <c r="AK204" s="333"/>
      <c r="AL204" s="334"/>
      <c r="AM204" s="331"/>
      <c r="AN204" s="332"/>
      <c r="AO204" s="333"/>
      <c r="AP204" s="333"/>
      <c r="AQ204" s="334"/>
      <c r="AR204" s="331"/>
      <c r="AS204" s="332"/>
      <c r="AT204" s="333"/>
      <c r="AU204" s="333"/>
      <c r="AV204" s="334"/>
      <c r="AW204" s="331"/>
      <c r="AX204" s="332"/>
      <c r="AY204" s="333"/>
      <c r="AZ204" s="333"/>
      <c r="BA204" s="334"/>
      <c r="BB204" s="331"/>
      <c r="BC204" s="332"/>
      <c r="BD204" s="333"/>
      <c r="BE204" s="333"/>
      <c r="BF204" s="334"/>
      <c r="BG204" s="331"/>
      <c r="BH204" s="332"/>
      <c r="BI204" s="333"/>
      <c r="BJ204" s="333"/>
      <c r="BK204" s="334"/>
      <c r="BL204" s="331"/>
      <c r="BM204" s="332"/>
      <c r="BN204" s="333"/>
      <c r="BO204" s="333"/>
      <c r="BP204" s="334"/>
      <c r="BQ204" s="331"/>
    </row>
    <row r="205" spans="1:69">
      <c r="A205" s="5"/>
      <c r="B205" s="401" t="s">
        <v>5</v>
      </c>
      <c r="C205" s="1172"/>
      <c r="D205" s="92"/>
      <c r="E205" s="133"/>
      <c r="F205" s="134"/>
      <c r="G205" s="134"/>
      <c r="H205" s="135"/>
      <c r="I205" s="5"/>
      <c r="J205" s="133"/>
      <c r="K205" s="134"/>
      <c r="L205" s="134"/>
      <c r="M205" s="135"/>
      <c r="N205" s="5"/>
      <c r="O205" s="133"/>
      <c r="P205" s="134"/>
      <c r="Q205" s="134"/>
      <c r="R205" s="135"/>
      <c r="S205" s="5"/>
      <c r="T205" s="133"/>
      <c r="U205" s="134"/>
      <c r="V205" s="134"/>
      <c r="W205" s="135"/>
      <c r="X205" s="5"/>
      <c r="Y205" s="133"/>
      <c r="Z205" s="134"/>
      <c r="AA205" s="134"/>
      <c r="AB205" s="135"/>
      <c r="AC205" s="5"/>
      <c r="AD205" s="133"/>
      <c r="AE205" s="134"/>
      <c r="AF205" s="134"/>
      <c r="AG205" s="135"/>
      <c r="AH205" s="5"/>
      <c r="AI205" s="133"/>
      <c r="AJ205" s="134"/>
      <c r="AK205" s="134"/>
      <c r="AL205" s="135"/>
      <c r="AM205" s="5"/>
      <c r="AN205" s="133"/>
      <c r="AO205" s="134"/>
      <c r="AP205" s="134"/>
      <c r="AQ205" s="135"/>
      <c r="AR205" s="5"/>
      <c r="AS205" s="133"/>
      <c r="AT205" s="134"/>
      <c r="AU205" s="134"/>
      <c r="AV205" s="135"/>
      <c r="AW205" s="5"/>
      <c r="AX205" s="133"/>
      <c r="AY205" s="134"/>
      <c r="AZ205" s="134"/>
      <c r="BA205" s="135"/>
      <c r="BB205" s="5"/>
      <c r="BC205" s="133"/>
      <c r="BD205" s="134"/>
      <c r="BE205" s="134"/>
      <c r="BF205" s="135"/>
      <c r="BG205" s="5"/>
      <c r="BH205" s="133"/>
      <c r="BI205" s="134"/>
      <c r="BJ205" s="134"/>
      <c r="BK205" s="135"/>
      <c r="BL205" s="5"/>
      <c r="BM205" s="133"/>
      <c r="BN205" s="134"/>
      <c r="BO205" s="134"/>
      <c r="BP205" s="135"/>
      <c r="BQ205" s="5"/>
    </row>
    <row r="206" spans="1:69">
      <c r="A206" s="320"/>
      <c r="B206" s="320"/>
      <c r="C206" s="129" t="s">
        <v>354</v>
      </c>
      <c r="D206" s="320"/>
      <c r="E206" s="405"/>
      <c r="F206" s="406"/>
      <c r="G206" s="406"/>
      <c r="H206" s="407"/>
      <c r="I206" s="107"/>
      <c r="J206" s="197">
        <f>J51</f>
        <v>138.63799999999955</v>
      </c>
      <c r="K206" s="198">
        <f>K51</f>
        <v>225.8390000000002</v>
      </c>
      <c r="L206" s="198">
        <f>L51</f>
        <v>333.60899999999981</v>
      </c>
      <c r="M206" s="193">
        <f>M51</f>
        <v>114.30100000000091</v>
      </c>
      <c r="N206" s="107">
        <f>SUM(J206:M206)</f>
        <v>812.38700000000051</v>
      </c>
      <c r="O206" s="197">
        <f>O51</f>
        <v>164.32099999999997</v>
      </c>
      <c r="P206" s="198">
        <f>P51</f>
        <v>248.40899999999993</v>
      </c>
      <c r="Q206" s="198">
        <f>Q51</f>
        <v>524.12699999999961</v>
      </c>
      <c r="R206" s="193">
        <f>R51</f>
        <v>169.67999999999989</v>
      </c>
      <c r="S206" s="107">
        <f>SUM(O206:R206)</f>
        <v>1106.5369999999994</v>
      </c>
      <c r="T206" s="197">
        <f>T51</f>
        <v>68.680000000000305</v>
      </c>
      <c r="U206" s="198">
        <f>U51</f>
        <v>314.09299999999928</v>
      </c>
      <c r="V206" s="198">
        <f>V51</f>
        <v>306.87400000000008</v>
      </c>
      <c r="W206" s="193">
        <f>W51</f>
        <v>290.44600000000105</v>
      </c>
      <c r="X206" s="107">
        <f>SUM(T206:W206)</f>
        <v>980.09300000000076</v>
      </c>
      <c r="Y206" s="197">
        <f>Y51</f>
        <v>129.80299999999968</v>
      </c>
      <c r="Z206" s="198">
        <f>Z51</f>
        <v>211.12299999999951</v>
      </c>
      <c r="AA206" s="175">
        <f>AA51</f>
        <v>363.27100000000013</v>
      </c>
      <c r="AB206" s="193">
        <f>AB51</f>
        <v>153.68900000000139</v>
      </c>
      <c r="AC206" s="107">
        <f>SUM(Y206:AB206)</f>
        <v>857.88600000000065</v>
      </c>
      <c r="AD206" s="197">
        <f>AD51</f>
        <v>203.4079999999997</v>
      </c>
      <c r="AE206" s="198">
        <f>AE51</f>
        <v>211.2829999999999</v>
      </c>
      <c r="AF206" s="175">
        <f>AF51</f>
        <v>311.23099999999971</v>
      </c>
      <c r="AG206" s="193">
        <f>AG51</f>
        <v>110.82600000000014</v>
      </c>
      <c r="AH206" s="107">
        <f>SUM(AD206:AG206)</f>
        <v>836.74799999999948</v>
      </c>
      <c r="AI206" s="197">
        <f>AI51</f>
        <v>223.41799999999952</v>
      </c>
      <c r="AJ206" s="198">
        <f>AJ51</f>
        <v>199.7030000000002</v>
      </c>
      <c r="AK206" s="175">
        <f>AK51</f>
        <v>360.01800000000037</v>
      </c>
      <c r="AL206" s="193">
        <f>AL51</f>
        <v>313.73599999999988</v>
      </c>
      <c r="AM206" s="107">
        <f>SUM(AI206:AL206)</f>
        <v>1096.875</v>
      </c>
      <c r="AN206" s="197">
        <f>AN51</f>
        <v>194.92200000000005</v>
      </c>
      <c r="AO206" s="198">
        <f>AO51</f>
        <v>375.58800000000031</v>
      </c>
      <c r="AP206" s="175">
        <f>AP51</f>
        <v>443.29499999999996</v>
      </c>
      <c r="AQ206" s="193">
        <f>AQ51</f>
        <v>120.40000000000032</v>
      </c>
      <c r="AR206" s="107">
        <f>SUM(AN206:AQ206)</f>
        <v>1134.2050000000006</v>
      </c>
      <c r="AS206" s="197">
        <f>AS51</f>
        <v>164.72399999999982</v>
      </c>
      <c r="AT206" s="198">
        <f>AT51</f>
        <v>243.48299999999972</v>
      </c>
      <c r="AU206" s="198">
        <f t="shared" ref="AU206" si="492">AU51</f>
        <v>400.83400000000023</v>
      </c>
      <c r="AV206" s="193">
        <f>AV51</f>
        <v>133.25400000000099</v>
      </c>
      <c r="AW206" s="107">
        <f>SUM(AS206:AV206)</f>
        <v>942.29500000000075</v>
      </c>
      <c r="AX206" s="174">
        <f>AX51</f>
        <v>216.22771095394666</v>
      </c>
      <c r="AY206" s="175">
        <f>AY51</f>
        <v>236.24683147198101</v>
      </c>
      <c r="AZ206" s="175">
        <f>AZ51</f>
        <v>434.38546385397638</v>
      </c>
      <c r="BA206" s="176">
        <f>BA51</f>
        <v>156.1911211535149</v>
      </c>
      <c r="BB206" s="107">
        <f>SUM(AX206:BA206)</f>
        <v>1043.051127433419</v>
      </c>
      <c r="BC206" s="174">
        <f>BC51</f>
        <v>229.09267114796114</v>
      </c>
      <c r="BD206" s="175">
        <f>BD51</f>
        <v>265.48751333408529</v>
      </c>
      <c r="BE206" s="175">
        <f>BE51</f>
        <v>448.96183281140981</v>
      </c>
      <c r="BF206" s="176">
        <f>BF51</f>
        <v>173.43892449991353</v>
      </c>
      <c r="BG206" s="107">
        <f>SUM(BC206:BF206)</f>
        <v>1116.9809417933698</v>
      </c>
      <c r="BH206" s="174">
        <f>BH51</f>
        <v>246.82283880471613</v>
      </c>
      <c r="BI206" s="175">
        <f>BI51</f>
        <v>282.73352632394614</v>
      </c>
      <c r="BJ206" s="175">
        <f>BJ51</f>
        <v>462.01598041801833</v>
      </c>
      <c r="BK206" s="176">
        <f>BK51</f>
        <v>192.66545204930844</v>
      </c>
      <c r="BL206" s="107">
        <f>SUM(BH206:BK206)</f>
        <v>1184.2377975959889</v>
      </c>
      <c r="BM206" s="174">
        <f>BM51</f>
        <v>265.49872174342295</v>
      </c>
      <c r="BN206" s="175">
        <f>BN51</f>
        <v>302.52924327960523</v>
      </c>
      <c r="BO206" s="175">
        <f>BO51</f>
        <v>473.52689963079519</v>
      </c>
      <c r="BP206" s="176">
        <f>BP51</f>
        <v>207.92473194466356</v>
      </c>
      <c r="BQ206" s="107">
        <f>SUM(BM206:BP206)</f>
        <v>1249.479596598487</v>
      </c>
    </row>
    <row r="207" spans="1:69">
      <c r="A207" s="320"/>
      <c r="B207" s="320"/>
      <c r="C207" s="129" t="s">
        <v>318</v>
      </c>
      <c r="D207" s="320"/>
      <c r="E207" s="405"/>
      <c r="F207" s="406"/>
      <c r="G207" s="406"/>
      <c r="H207" s="407"/>
      <c r="I207" s="107"/>
      <c r="J207" s="197">
        <f>J23</f>
        <v>227.547</v>
      </c>
      <c r="K207" s="198">
        <f>K23</f>
        <v>216.33</v>
      </c>
      <c r="L207" s="198">
        <f>L23</f>
        <v>221.62700000000001</v>
      </c>
      <c r="M207" s="193">
        <f>M23</f>
        <v>236.62299999999993</v>
      </c>
      <c r="N207" s="107">
        <f>SUM(J207:M207)</f>
        <v>902.12699999999995</v>
      </c>
      <c r="O207" s="197">
        <f>O23</f>
        <v>220.60499999999999</v>
      </c>
      <c r="P207" s="198">
        <f>P23</f>
        <v>218.87700000000001</v>
      </c>
      <c r="Q207" s="198">
        <f>Q23</f>
        <v>237.197</v>
      </c>
      <c r="R207" s="193">
        <f>R23</f>
        <v>241.774</v>
      </c>
      <c r="S207" s="107">
        <f>SUM(O207:R207)</f>
        <v>918.45299999999997</v>
      </c>
      <c r="T207" s="197">
        <f>T23</f>
        <v>228.08600000000001</v>
      </c>
      <c r="U207" s="198">
        <f>U23</f>
        <v>225.55600000000001</v>
      </c>
      <c r="V207" s="198">
        <f>V23</f>
        <v>251.09899999999999</v>
      </c>
      <c r="W207" s="193">
        <f>W23</f>
        <v>259.44000000000005</v>
      </c>
      <c r="X207" s="107">
        <f>SUM(T207:W207)</f>
        <v>964.18100000000004</v>
      </c>
      <c r="Y207" s="197">
        <f>Y23</f>
        <v>250.53100000000001</v>
      </c>
      <c r="Z207" s="198">
        <f>Z23</f>
        <v>246.19</v>
      </c>
      <c r="AA207" s="175">
        <f>+AA23</f>
        <v>269.00599999999997</v>
      </c>
      <c r="AB207" s="193">
        <f>AB23</f>
        <v>275.30399999999997</v>
      </c>
      <c r="AC207" s="107">
        <f>SUM(Y207:AB207)</f>
        <v>1041.0309999999999</v>
      </c>
      <c r="AD207" s="197">
        <f>AD23</f>
        <v>257.55599999999998</v>
      </c>
      <c r="AE207" s="198">
        <f>AE23</f>
        <v>259.74700000000001</v>
      </c>
      <c r="AF207" s="175">
        <f>+AF23</f>
        <v>259.58999999999997</v>
      </c>
      <c r="AG207" s="193">
        <f>AG23</f>
        <v>262.11899999999991</v>
      </c>
      <c r="AH207" s="107">
        <f>SUM(AD207:AG207)</f>
        <v>1039.0119999999999</v>
      </c>
      <c r="AI207" s="197">
        <f>AI23</f>
        <v>269.28899999999999</v>
      </c>
      <c r="AJ207" s="198">
        <f>AJ23</f>
        <v>275.91699999999997</v>
      </c>
      <c r="AK207" s="175">
        <f>+AK23</f>
        <v>273.93700000000001</v>
      </c>
      <c r="AL207" s="193">
        <f>AL23</f>
        <v>276.94500000000005</v>
      </c>
      <c r="AM207" s="107">
        <f>SUM(AI207:AL207)</f>
        <v>1096.088</v>
      </c>
      <c r="AN207" s="197">
        <f>AN23</f>
        <v>277.90800000000002</v>
      </c>
      <c r="AO207" s="198">
        <f>AO23</f>
        <v>289.12099999999998</v>
      </c>
      <c r="AP207" s="175">
        <f>+AP23</f>
        <v>287.02100000000002</v>
      </c>
      <c r="AQ207" s="193">
        <f>AQ23</f>
        <v>291.63800000000015</v>
      </c>
      <c r="AR207" s="107">
        <f>SUM(AN207:AQ207)</f>
        <v>1145.6880000000001</v>
      </c>
      <c r="AS207" s="197">
        <f>AS23</f>
        <v>294.358</v>
      </c>
      <c r="AT207" s="198">
        <f>AT23</f>
        <v>297.95400000000001</v>
      </c>
      <c r="AU207" s="198">
        <f t="shared" ref="AU207" si="493">AU23</f>
        <v>301.87</v>
      </c>
      <c r="AV207" s="193">
        <f>AV23</f>
        <v>300.99700000000007</v>
      </c>
      <c r="AW207" s="107">
        <f>SUM(AS207:AV207)</f>
        <v>1195.1790000000001</v>
      </c>
      <c r="AX207" s="174">
        <f>+AX23</f>
        <v>310.23573174999996</v>
      </c>
      <c r="AY207" s="175">
        <f>+AY23</f>
        <v>318.10546190193747</v>
      </c>
      <c r="AZ207" s="175">
        <f>+AZ23</f>
        <v>325.88272272458971</v>
      </c>
      <c r="BA207" s="176">
        <f>+BA23</f>
        <v>333.56860073257576</v>
      </c>
      <c r="BB207" s="107">
        <f>SUM(AX207:BA207)</f>
        <v>1287.7925171091028</v>
      </c>
      <c r="BC207" s="174">
        <f>+BC23</f>
        <v>333.90535755324532</v>
      </c>
      <c r="BD207" s="175">
        <f>+BD23</f>
        <v>340.53044594138299</v>
      </c>
      <c r="BE207" s="175">
        <f>+BE23</f>
        <v>347.0793458130571</v>
      </c>
      <c r="BF207" s="176">
        <f>+BF23</f>
        <v>353.55293333620693</v>
      </c>
      <c r="BG207" s="107">
        <f>SUM(BC207:BF207)</f>
        <v>1375.0680826438925</v>
      </c>
      <c r="BH207" s="174">
        <f>+BH23</f>
        <v>359.95207460284058</v>
      </c>
      <c r="BI207" s="175">
        <f>+BI23</f>
        <v>365.30012574490792</v>
      </c>
      <c r="BJ207" s="175">
        <f>+BJ23</f>
        <v>370.5866742988415</v>
      </c>
      <c r="BK207" s="176">
        <f>+BK23</f>
        <v>375.81242754440484</v>
      </c>
      <c r="BL207" s="107">
        <f>SUM(BH207:BK207)</f>
        <v>1471.651302190995</v>
      </c>
      <c r="BM207" s="174">
        <f>+BM23</f>
        <v>380.97808462764408</v>
      </c>
      <c r="BN207" s="175">
        <f>+BN23</f>
        <v>386.85100332109289</v>
      </c>
      <c r="BO207" s="175">
        <f>+BO23</f>
        <v>392.65638344956693</v>
      </c>
      <c r="BP207" s="176">
        <f>+BP23</f>
        <v>398.39500170656356</v>
      </c>
      <c r="BQ207" s="107">
        <f>SUM(BM207:BP207)</f>
        <v>1558.8804731048674</v>
      </c>
    </row>
    <row r="208" spans="1:69">
      <c r="A208" s="320"/>
      <c r="B208" s="320"/>
      <c r="C208" s="1174" t="s">
        <v>187</v>
      </c>
      <c r="D208" s="320"/>
      <c r="E208" s="405"/>
      <c r="F208" s="406"/>
      <c r="G208" s="406"/>
      <c r="H208" s="407"/>
      <c r="I208" s="107"/>
      <c r="J208" s="197">
        <f>+-J29+J38</f>
        <v>-21.296999999999997</v>
      </c>
      <c r="K208" s="198">
        <f t="shared" ref="K208:AA208" si="494">+-K29+K38</f>
        <v>-27.952999999999999</v>
      </c>
      <c r="L208" s="198">
        <f t="shared" si="494"/>
        <v>-24.012999999999998</v>
      </c>
      <c r="M208" s="193">
        <f t="shared" si="494"/>
        <v>-21.097000000000008</v>
      </c>
      <c r="N208" s="107">
        <f>SUM(J208:M208)</f>
        <v>-94.360000000000014</v>
      </c>
      <c r="O208" s="197">
        <f t="shared" si="494"/>
        <v>-25.823</v>
      </c>
      <c r="P208" s="198">
        <f t="shared" si="494"/>
        <v>-29.902999999999999</v>
      </c>
      <c r="Q208" s="198">
        <f t="shared" si="494"/>
        <v>-31.228999999999999</v>
      </c>
      <c r="R208" s="193">
        <f t="shared" si="494"/>
        <v>-35.243000000000009</v>
      </c>
      <c r="S208" s="107">
        <f>SUM(O208:R208)</f>
        <v>-122.19800000000001</v>
      </c>
      <c r="T208" s="197">
        <f t="shared" si="494"/>
        <v>-33.698</v>
      </c>
      <c r="U208" s="198">
        <f t="shared" si="494"/>
        <v>-38.765000000000001</v>
      </c>
      <c r="V208" s="198">
        <f t="shared" si="494"/>
        <v>-26.399000000000001</v>
      </c>
      <c r="W208" s="193">
        <f t="shared" si="494"/>
        <v>-31.208999999999996</v>
      </c>
      <c r="X208" s="107">
        <f>SUM(T208:W208)</f>
        <v>-130.071</v>
      </c>
      <c r="Y208" s="197">
        <f>+-Y29+Y38</f>
        <v>-17.939</v>
      </c>
      <c r="Z208" s="198">
        <f>+-Z29+Z38</f>
        <v>-23.04</v>
      </c>
      <c r="AA208" s="198">
        <f t="shared" si="494"/>
        <v>-24.128999999999998</v>
      </c>
      <c r="AB208" s="193">
        <f>+-AB29+AB38</f>
        <v>-26.444999999999997</v>
      </c>
      <c r="AC208" s="107">
        <f>SUM(Y208:AB208)</f>
        <v>-91.552999999999997</v>
      </c>
      <c r="AD208" s="197">
        <f>+-AD29+AD38</f>
        <v>-22.149000000000001</v>
      </c>
      <c r="AE208" s="198">
        <f>+-AE29+AE38</f>
        <v>-23.304000000000002</v>
      </c>
      <c r="AF208" s="198">
        <f t="shared" ref="AF208" si="495">+-AF29+AF38</f>
        <v>-25.400999999999996</v>
      </c>
      <c r="AG208" s="193">
        <f>+-AG29+AG38</f>
        <v>-27.524000000000012</v>
      </c>
      <c r="AH208" s="107">
        <f>SUM(AD208:AG208)</f>
        <v>-98.378000000000014</v>
      </c>
      <c r="AI208" s="197">
        <f>+-AI29+AI38</f>
        <v>-17.855</v>
      </c>
      <c r="AJ208" s="198">
        <f>+-AJ29+AJ38</f>
        <v>-18.018000000000001</v>
      </c>
      <c r="AK208" s="198">
        <f>+-AK29+AK38</f>
        <v>-21.417999999999999</v>
      </c>
      <c r="AL208" s="193">
        <f>+-AL29+AL38</f>
        <v>-21.244</v>
      </c>
      <c r="AM208" s="107">
        <f>SUM(AI208:AL208)</f>
        <v>-78.534999999999997</v>
      </c>
      <c r="AN208" s="197">
        <f>+-AN29+AN38</f>
        <v>-28.613999999999997</v>
      </c>
      <c r="AO208" s="198">
        <f>+-AO29+AO38</f>
        <v>-20.991999999999997</v>
      </c>
      <c r="AP208" s="198">
        <f>+-AP29+AP38</f>
        <v>-23.158000000000001</v>
      </c>
      <c r="AQ208" s="193">
        <f>+-AQ29+AQ38</f>
        <v>-28.973999999999997</v>
      </c>
      <c r="AR208" s="107">
        <f>SUM(AN208:AQ208)</f>
        <v>-101.738</v>
      </c>
      <c r="AS208" s="197">
        <f>+-AS29+AS38</f>
        <v>-28.049999999999997</v>
      </c>
      <c r="AT208" s="198">
        <f>+-AT29+AT38</f>
        <v>-32.899000000000001</v>
      </c>
      <c r="AU208" s="198">
        <f t="shared" ref="AU208" si="496">+-AU29+AU38</f>
        <v>-35.83</v>
      </c>
      <c r="AV208" s="193">
        <f>+-AV29+AV38</f>
        <v>-43.177999999999983</v>
      </c>
      <c r="AW208" s="107">
        <f>SUM(AS208:AV208)</f>
        <v>-139.95699999999999</v>
      </c>
      <c r="AX208" s="197">
        <f>+-AX29+AX38</f>
        <v>-40.712506107954553</v>
      </c>
      <c r="AY208" s="198">
        <f>+-AY29+AY38</f>
        <v>-40.712506107954553</v>
      </c>
      <c r="AZ208" s="198">
        <f>+-AZ29+AZ38</f>
        <v>-40.712506107954553</v>
      </c>
      <c r="BA208" s="193">
        <f>+-BA29+BA38</f>
        <v>-40.712506107954553</v>
      </c>
      <c r="BB208" s="107">
        <f>SUM(AX208:BA208)</f>
        <v>-162.85002443181821</v>
      </c>
      <c r="BC208" s="197">
        <f>+-BC29+BC38</f>
        <v>-37.804469957386367</v>
      </c>
      <c r="BD208" s="198">
        <f>+-BD29+BD38</f>
        <v>-37.804469957386367</v>
      </c>
      <c r="BE208" s="198">
        <f>+-BE29+BE38</f>
        <v>-37.804469957386367</v>
      </c>
      <c r="BF208" s="193">
        <f>+-BF29+BF38</f>
        <v>-37.804469957386367</v>
      </c>
      <c r="BG208" s="107">
        <f>SUM(BC208:BF208)</f>
        <v>-151.21787982954547</v>
      </c>
      <c r="BH208" s="197">
        <f>+-BH29+BH38</f>
        <v>-34.273283203125004</v>
      </c>
      <c r="BI208" s="198">
        <f>+-BI29+BI38</f>
        <v>-34.273283203125004</v>
      </c>
      <c r="BJ208" s="198">
        <f>+-BJ29+BJ38</f>
        <v>-34.273283203125004</v>
      </c>
      <c r="BK208" s="193">
        <f>+-BK29+BK38</f>
        <v>-34.273283203125004</v>
      </c>
      <c r="BL208" s="107">
        <f>SUM(BH208:BK208)</f>
        <v>-137.09313281250002</v>
      </c>
      <c r="BM208" s="197">
        <f>+-BM29+BM38</f>
        <v>-37.042841441761368</v>
      </c>
      <c r="BN208" s="198">
        <f>+-BN29+BN38</f>
        <v>-37.042841441761368</v>
      </c>
      <c r="BO208" s="198">
        <f>+-BO29+BO38</f>
        <v>-37.042841441761368</v>
      </c>
      <c r="BP208" s="193">
        <f>+-BP29+BP38</f>
        <v>-37.042841441761368</v>
      </c>
      <c r="BQ208" s="107">
        <f>SUM(BM208:BP208)</f>
        <v>-148.17136576704547</v>
      </c>
    </row>
    <row r="209" spans="1:69">
      <c r="A209" s="320"/>
      <c r="B209" s="320"/>
      <c r="C209" s="1174" t="s">
        <v>708</v>
      </c>
      <c r="D209" s="320"/>
      <c r="E209" s="405"/>
      <c r="F209" s="406"/>
      <c r="G209" s="406"/>
      <c r="H209" s="407"/>
      <c r="I209" s="107"/>
      <c r="J209" s="197">
        <f t="shared" ref="J209:X209" si="497">+J43</f>
        <v>89.97</v>
      </c>
      <c r="K209" s="198">
        <f t="shared" si="497"/>
        <v>141.047</v>
      </c>
      <c r="L209" s="198">
        <f t="shared" si="497"/>
        <v>216.59100000000001</v>
      </c>
      <c r="M209" s="193">
        <f t="shared" si="497"/>
        <v>6.6189999999999714</v>
      </c>
      <c r="N209" s="357">
        <f t="shared" si="497"/>
        <v>454.22699999999998</v>
      </c>
      <c r="O209" s="197">
        <f t="shared" si="497"/>
        <v>90.203999999999994</v>
      </c>
      <c r="P209" s="198">
        <f t="shared" si="497"/>
        <v>139.036</v>
      </c>
      <c r="Q209" s="198">
        <f t="shared" si="497"/>
        <v>-158.673</v>
      </c>
      <c r="R209" s="193">
        <f t="shared" si="497"/>
        <v>-43.256000000000007</v>
      </c>
      <c r="S209" s="357">
        <f t="shared" si="497"/>
        <v>27.311</v>
      </c>
      <c r="T209" s="197">
        <f t="shared" si="497"/>
        <v>99.706999999999994</v>
      </c>
      <c r="U209" s="198">
        <f t="shared" si="497"/>
        <v>-124.461</v>
      </c>
      <c r="V209" s="198">
        <f t="shared" si="497"/>
        <v>187.66800000000001</v>
      </c>
      <c r="W209" s="193">
        <f t="shared" si="497"/>
        <v>-113.57399999999998</v>
      </c>
      <c r="X209" s="357">
        <f t="shared" si="497"/>
        <v>49.34</v>
      </c>
      <c r="Y209" s="197">
        <f>+Y43</f>
        <v>71.075000000000003</v>
      </c>
      <c r="Z209" s="198">
        <f>+Z43</f>
        <v>98.926000000000002</v>
      </c>
      <c r="AA209" s="198">
        <f>+AA43/2</f>
        <v>85.408000000000001</v>
      </c>
      <c r="AB209" s="193">
        <f>+AB43</f>
        <v>25.099999999999966</v>
      </c>
      <c r="AC209" s="357">
        <f>+AC43</f>
        <v>365.91699999999997</v>
      </c>
      <c r="AD209" s="197">
        <f>+AD43</f>
        <v>115.06399999999999</v>
      </c>
      <c r="AE209" s="198">
        <f>+AE43</f>
        <v>122.884</v>
      </c>
      <c r="AF209" s="1974">
        <f>+AF43/2</f>
        <v>86.093999999999994</v>
      </c>
      <c r="AG209" s="193">
        <f t="shared" ref="AG209:AP209" si="498">+AG43</f>
        <v>62.012000000000057</v>
      </c>
      <c r="AH209" s="357">
        <f t="shared" si="498"/>
        <v>472.14800000000002</v>
      </c>
      <c r="AI209" s="197">
        <f t="shared" si="498"/>
        <v>91.251000000000005</v>
      </c>
      <c r="AJ209" s="198">
        <f t="shared" si="498"/>
        <v>117.798</v>
      </c>
      <c r="AK209" s="198">
        <f t="shared" si="498"/>
        <v>198.94499999999999</v>
      </c>
      <c r="AL209" s="193">
        <f t="shared" si="498"/>
        <v>-391.233</v>
      </c>
      <c r="AM209" s="357">
        <f t="shared" si="498"/>
        <v>16.760999999999999</v>
      </c>
      <c r="AN209" s="197">
        <f t="shared" si="498"/>
        <v>107.836</v>
      </c>
      <c r="AO209" s="198">
        <f t="shared" si="498"/>
        <v>-3.7850000000000001</v>
      </c>
      <c r="AP209" s="198">
        <f t="shared" si="498"/>
        <v>255.60300000000001</v>
      </c>
      <c r="AQ209" s="193">
        <f t="shared" ref="AQ209:AT209" si="499">+AQ43</f>
        <v>64.73399999999998</v>
      </c>
      <c r="AR209" s="357">
        <f t="shared" si="499"/>
        <v>424.38799999999998</v>
      </c>
      <c r="AS209" s="197">
        <f t="shared" si="499"/>
        <v>98.492000000000004</v>
      </c>
      <c r="AT209" s="198">
        <f t="shared" si="499"/>
        <v>130.851</v>
      </c>
      <c r="AU209" s="198">
        <f t="shared" ref="AU209:AW209" si="500">+AU43</f>
        <v>230.64699999999999</v>
      </c>
      <c r="AV209" s="193">
        <f t="shared" si="500"/>
        <v>334.62599999999998</v>
      </c>
      <c r="AW209" s="357">
        <f t="shared" si="500"/>
        <v>794.61599999999999</v>
      </c>
      <c r="AX209" s="177">
        <f>+BB209/4</f>
        <v>137.19999999999999</v>
      </c>
      <c r="AY209" s="178">
        <f>+(BB209-SUM(AX209))/3</f>
        <v>137.19999999999999</v>
      </c>
      <c r="AZ209" s="178">
        <f>(BB209-SUM(AX209:AY209))/2</f>
        <v>137.19999999999999</v>
      </c>
      <c r="BA209" s="179">
        <f>(BB209-SUM(AX209:AZ209))/1</f>
        <v>137.19999999999999</v>
      </c>
      <c r="BB209" s="108">
        <f>BB179*0.4*0.35</f>
        <v>548.79999999999995</v>
      </c>
      <c r="BC209" s="177">
        <f>+BG209/4</f>
        <v>95.55</v>
      </c>
      <c r="BD209" s="178">
        <f>+(BG209-SUM(BC209))/3</f>
        <v>95.55</v>
      </c>
      <c r="BE209" s="178">
        <f>(BG209-SUM(BC209:BD209))/2</f>
        <v>95.55</v>
      </c>
      <c r="BF209" s="179">
        <f>(BG209-SUM(BC209:BE209))/1</f>
        <v>95.550000000000011</v>
      </c>
      <c r="BG209" s="108">
        <f>BG179*0.3*0.35</f>
        <v>382.2</v>
      </c>
      <c r="BH209" s="177">
        <f>+BL209/4</f>
        <v>0</v>
      </c>
      <c r="BI209" s="178">
        <f>+(BL209-SUM(BH209))/3</f>
        <v>0</v>
      </c>
      <c r="BJ209" s="178">
        <f>(BL209-SUM(BH209:BI209))/2</f>
        <v>0</v>
      </c>
      <c r="BK209" s="179">
        <f>(BL209-SUM(BH209:BJ209))/1</f>
        <v>0</v>
      </c>
      <c r="BL209" s="108">
        <v>0</v>
      </c>
      <c r="BM209" s="177">
        <f>+BQ209/4</f>
        <v>0</v>
      </c>
      <c r="BN209" s="178">
        <f>+(BQ209-SUM(BM209))/3</f>
        <v>0</v>
      </c>
      <c r="BO209" s="178">
        <f>(BQ209-SUM(BM209:BN209))/2</f>
        <v>0</v>
      </c>
      <c r="BP209" s="179">
        <f>(BQ209-SUM(BM209:BO209))/1</f>
        <v>0</v>
      </c>
      <c r="BQ209" s="108">
        <v>0</v>
      </c>
    </row>
    <row r="210" spans="1:69">
      <c r="A210" s="320"/>
      <c r="B210" s="320"/>
      <c r="C210" s="129" t="s">
        <v>186</v>
      </c>
      <c r="D210" s="320"/>
      <c r="E210" s="405"/>
      <c r="F210" s="406"/>
      <c r="G210" s="406"/>
      <c r="H210" s="407"/>
      <c r="I210" s="107"/>
      <c r="J210" s="197">
        <f>+J211-SUM(J206:J209)</f>
        <v>-18.857999999999606</v>
      </c>
      <c r="K210" s="198">
        <f t="shared" ref="K210:AA210" si="501">+K211-SUM(K206:K209)</f>
        <v>21.736999999999739</v>
      </c>
      <c r="L210" s="198">
        <f t="shared" si="501"/>
        <v>678.18600000000015</v>
      </c>
      <c r="M210" s="193">
        <f t="shared" si="501"/>
        <v>186.55399999999923</v>
      </c>
      <c r="N210" s="107">
        <f t="shared" si="501"/>
        <v>867.61899999999969</v>
      </c>
      <c r="O210" s="197">
        <f t="shared" si="501"/>
        <v>-316.30699999999996</v>
      </c>
      <c r="P210" s="198">
        <f t="shared" si="501"/>
        <v>-69.418999999999869</v>
      </c>
      <c r="Q210" s="198">
        <f t="shared" si="501"/>
        <v>278.57800000000043</v>
      </c>
      <c r="R210" s="193">
        <f t="shared" si="501"/>
        <v>277.04500000000013</v>
      </c>
      <c r="S210" s="107">
        <f t="shared" si="501"/>
        <v>169.89700000000084</v>
      </c>
      <c r="T210" s="197">
        <f t="shared" si="501"/>
        <v>120.22499999999968</v>
      </c>
      <c r="U210" s="198">
        <f t="shared" si="501"/>
        <v>116.57700000000068</v>
      </c>
      <c r="V210" s="198">
        <f t="shared" si="501"/>
        <v>101.75799999999992</v>
      </c>
      <c r="W210" s="193">
        <f t="shared" si="501"/>
        <v>151.8969999999988</v>
      </c>
      <c r="X210" s="107">
        <f t="shared" si="501"/>
        <v>490.4569999999992</v>
      </c>
      <c r="Y210" s="197">
        <f t="shared" si="501"/>
        <v>-64.469999999999686</v>
      </c>
      <c r="Z210" s="198">
        <f t="shared" si="501"/>
        <v>-521.1989999999995</v>
      </c>
      <c r="AA210" s="198">
        <f t="shared" si="501"/>
        <v>227.44399999999996</v>
      </c>
      <c r="AB210" s="193">
        <f>+AB211-SUM(AB206:AB209)</f>
        <v>478.35199999999867</v>
      </c>
      <c r="AC210" s="107">
        <f>+AC211-SUM(AC206:AC209)</f>
        <v>34.718999999999596</v>
      </c>
      <c r="AD210" s="197">
        <f>+AD211-SUM(AD206:AD209)</f>
        <v>-148.87899999999968</v>
      </c>
      <c r="AE210" s="198">
        <f>+AE211-SUM(AE206:AE209)</f>
        <v>28.3900000000001</v>
      </c>
      <c r="AF210" s="198">
        <f t="shared" ref="AF210" si="502">+AF211-SUM(AF206:AF209)</f>
        <v>607.48600000000033</v>
      </c>
      <c r="AG210" s="193">
        <f>+AG211-SUM(AG206:AG209)</f>
        <v>668.56699999999989</v>
      </c>
      <c r="AH210" s="107">
        <f>+AH211-SUM(AH206:AH209)</f>
        <v>1069.4700000000007</v>
      </c>
      <c r="AI210" s="197">
        <f>+AI211-SUM(AI206:AI209)</f>
        <v>-112.1029999999995</v>
      </c>
      <c r="AJ210" s="198">
        <f>+AJ211-SUM(AJ206:AJ209)</f>
        <v>186.5999999999998</v>
      </c>
      <c r="AK210" s="198">
        <f t="shared" ref="AK210" si="503">+AK211-SUM(AK206:AK209)</f>
        <v>21.517999999999574</v>
      </c>
      <c r="AL210" s="193">
        <f>+AL211-SUM(AL206:AL209)</f>
        <v>679.79600000000005</v>
      </c>
      <c r="AM210" s="107">
        <f>+AM211-SUM(AM206:AM209)</f>
        <v>775.81100000000015</v>
      </c>
      <c r="AN210" s="197">
        <f>+AN211-SUM(AN206:AN209)</f>
        <v>-93.052000000000021</v>
      </c>
      <c r="AO210" s="198">
        <f>+AO211-SUM(AO206:AO209)</f>
        <v>50.067999999999643</v>
      </c>
      <c r="AP210" s="198">
        <f t="shared" ref="AP210" si="504">+AP211-SUM(AP206:AP209)</f>
        <v>-33.760999999999967</v>
      </c>
      <c r="AQ210" s="193">
        <f>+AQ211-SUM(AQ206:AQ209)</f>
        <v>335.20199999999954</v>
      </c>
      <c r="AR210" s="107">
        <f>+AR211-SUM(AR206:AR209)</f>
        <v>258.45699999999897</v>
      </c>
      <c r="AS210" s="197">
        <f>+AS211-SUM(AS206:AS209)</f>
        <v>28.476000000000226</v>
      </c>
      <c r="AT210" s="198">
        <f>+AT211-SUM(AT206:AT209)</f>
        <v>-70.388999999999669</v>
      </c>
      <c r="AU210" s="198">
        <f t="shared" ref="AU210" si="505">+AU211-SUM(AU206:AU209)</f>
        <v>-19.521000000000186</v>
      </c>
      <c r="AV210" s="193">
        <f>+AV211-SUM(AV206:AV209)</f>
        <v>208.30099999999902</v>
      </c>
      <c r="AW210" s="107">
        <f>+AW211-SUM(AW206:AW209)</f>
        <v>146.86699999999882</v>
      </c>
      <c r="AX210" s="177">
        <f>+BB210/4</f>
        <v>0</v>
      </c>
      <c r="AY210" s="178">
        <f>+(BB210-SUM(AX210))/3</f>
        <v>0</v>
      </c>
      <c r="AZ210" s="178">
        <f>(BB210-SUM(AX210:AY210))/2</f>
        <v>0</v>
      </c>
      <c r="BA210" s="179">
        <f>(BB210-SUM(AX210:AZ210))/1</f>
        <v>0</v>
      </c>
      <c r="BB210" s="108">
        <v>0</v>
      </c>
      <c r="BC210" s="177">
        <f>+BG210/4</f>
        <v>0</v>
      </c>
      <c r="BD210" s="178">
        <f>+(BG210-SUM(BC210))/3</f>
        <v>0</v>
      </c>
      <c r="BE210" s="178">
        <f>(BG210-SUM(BC210:BD210))/2</f>
        <v>0</v>
      </c>
      <c r="BF210" s="179">
        <f>(BG210-SUM(BC210:BE210))/1</f>
        <v>0</v>
      </c>
      <c r="BG210" s="108">
        <v>0</v>
      </c>
      <c r="BH210" s="177">
        <f>+BL210/4</f>
        <v>0</v>
      </c>
      <c r="BI210" s="178">
        <f>+(BL210-SUM(BH210))/3</f>
        <v>0</v>
      </c>
      <c r="BJ210" s="178">
        <f>(BL210-SUM(BH210:BI210))/2</f>
        <v>0</v>
      </c>
      <c r="BK210" s="179">
        <f>(BL210-SUM(BH210:BJ210))/1</f>
        <v>0</v>
      </c>
      <c r="BL210" s="108">
        <v>0</v>
      </c>
      <c r="BM210" s="177">
        <f>+BQ210/4</f>
        <v>0</v>
      </c>
      <c r="BN210" s="178">
        <f>+(BQ210-SUM(BM210))/3</f>
        <v>0</v>
      </c>
      <c r="BO210" s="178">
        <f>(BQ210-SUM(BM210:BN210))/2</f>
        <v>0</v>
      </c>
      <c r="BP210" s="179">
        <f>(BQ210-SUM(BM210:BO210))/1</f>
        <v>0</v>
      </c>
      <c r="BQ210" s="108">
        <v>0</v>
      </c>
    </row>
    <row r="211" spans="1:69">
      <c r="A211" s="327"/>
      <c r="B211" s="327"/>
      <c r="C211" s="1173" t="s">
        <v>359</v>
      </c>
      <c r="D211" s="327"/>
      <c r="E211" s="448"/>
      <c r="F211" s="449"/>
      <c r="G211" s="449"/>
      <c r="H211" s="182"/>
      <c r="I211" s="496"/>
      <c r="J211" s="430">
        <v>416</v>
      </c>
      <c r="K211" s="431">
        <v>577</v>
      </c>
      <c r="L211" s="431">
        <v>1426</v>
      </c>
      <c r="M211" s="182">
        <f>N211-SUM(J211:L211)</f>
        <v>523</v>
      </c>
      <c r="N211" s="496">
        <v>2942</v>
      </c>
      <c r="O211" s="430">
        <v>133</v>
      </c>
      <c r="P211" s="431">
        <v>507</v>
      </c>
      <c r="Q211" s="431">
        <v>850</v>
      </c>
      <c r="R211" s="182">
        <f>S211-SUM(O211:Q211)</f>
        <v>610</v>
      </c>
      <c r="S211" s="496">
        <v>2100</v>
      </c>
      <c r="T211" s="430">
        <v>483</v>
      </c>
      <c r="U211" s="431">
        <v>493</v>
      </c>
      <c r="V211" s="431">
        <v>821</v>
      </c>
      <c r="W211" s="182">
        <f>X211-SUM(T211:V211)</f>
        <v>557</v>
      </c>
      <c r="X211" s="496">
        <v>2354</v>
      </c>
      <c r="Y211" s="430">
        <v>369</v>
      </c>
      <c r="Z211" s="431">
        <v>12</v>
      </c>
      <c r="AA211" s="431">
        <v>921</v>
      </c>
      <c r="AB211" s="182">
        <f>AC211-SUM(Y211:AA211)</f>
        <v>906</v>
      </c>
      <c r="AC211" s="496">
        <v>2208</v>
      </c>
      <c r="AD211" s="430">
        <v>405</v>
      </c>
      <c r="AE211" s="431">
        <v>599</v>
      </c>
      <c r="AF211" s="431">
        <v>1239</v>
      </c>
      <c r="AG211" s="182">
        <f>AH211-SUM(AD211:AF211)</f>
        <v>1076</v>
      </c>
      <c r="AH211" s="496">
        <v>3319</v>
      </c>
      <c r="AI211" s="430">
        <v>454</v>
      </c>
      <c r="AJ211" s="431">
        <v>762</v>
      </c>
      <c r="AK211" s="431">
        <v>833</v>
      </c>
      <c r="AL211" s="182">
        <f>AM211-SUM(AI211:AK211)</f>
        <v>858</v>
      </c>
      <c r="AM211" s="496">
        <v>2907</v>
      </c>
      <c r="AN211" s="430">
        <v>459</v>
      </c>
      <c r="AO211" s="431">
        <v>690</v>
      </c>
      <c r="AP211" s="431">
        <v>929</v>
      </c>
      <c r="AQ211" s="182">
        <f>AR211-SUM(AN211:AP211)</f>
        <v>783</v>
      </c>
      <c r="AR211" s="496">
        <v>2861</v>
      </c>
      <c r="AS211" s="430">
        <v>558</v>
      </c>
      <c r="AT211" s="431">
        <v>569</v>
      </c>
      <c r="AU211" s="431">
        <v>878</v>
      </c>
      <c r="AV211" s="182">
        <f>AW211-SUM(AS211:AU211)</f>
        <v>934</v>
      </c>
      <c r="AW211" s="496">
        <v>2939</v>
      </c>
      <c r="AX211" s="180">
        <f>+SUM(AX206:AX210)</f>
        <v>622.95093659599206</v>
      </c>
      <c r="AY211" s="181">
        <f>+SUM(AY206:AY210)</f>
        <v>650.83978726596388</v>
      </c>
      <c r="AZ211" s="181">
        <f>+SUM(AZ206:AZ210)</f>
        <v>856.75568047061142</v>
      </c>
      <c r="BA211" s="182">
        <f>+SUM(BA206:BA210)</f>
        <v>586.24721577813614</v>
      </c>
      <c r="BB211" s="110">
        <f>SUM(BB206:BB210)</f>
        <v>2716.7936201107032</v>
      </c>
      <c r="BC211" s="180">
        <f>+SUM(BC206:BC210)</f>
        <v>620.74355874382013</v>
      </c>
      <c r="BD211" s="181">
        <f>+SUM(BD206:BD210)</f>
        <v>663.76348931808184</v>
      </c>
      <c r="BE211" s="181">
        <f>+SUM(BE206:BE210)</f>
        <v>853.78670866708057</v>
      </c>
      <c r="BF211" s="182">
        <f>+SUM(BF206:BF210)</f>
        <v>584.73738787873413</v>
      </c>
      <c r="BG211" s="110">
        <f>SUM(BG206:BG210)</f>
        <v>2723.0311446077167</v>
      </c>
      <c r="BH211" s="180">
        <f>+SUM(BH206:BH210)</f>
        <v>572.50163020443165</v>
      </c>
      <c r="BI211" s="181">
        <f>+SUM(BI206:BI210)</f>
        <v>613.76036886572911</v>
      </c>
      <c r="BJ211" s="181">
        <f>+SUM(BJ206:BJ210)</f>
        <v>798.32937151373494</v>
      </c>
      <c r="BK211" s="182">
        <f>+SUM(BK206:BK210)</f>
        <v>534.20459639058822</v>
      </c>
      <c r="BL211" s="110">
        <f>SUM(BL206:BL210)</f>
        <v>2518.7959669744841</v>
      </c>
      <c r="BM211" s="180">
        <f>+SUM(BM206:BM210)</f>
        <v>609.4339649293056</v>
      </c>
      <c r="BN211" s="181">
        <f>+SUM(BN206:BN210)</f>
        <v>652.33740515893669</v>
      </c>
      <c r="BO211" s="181">
        <f>+SUM(BO206:BO210)</f>
        <v>829.14044163860081</v>
      </c>
      <c r="BP211" s="182">
        <f>+SUM(BP206:BP210)</f>
        <v>569.27689220946581</v>
      </c>
      <c r="BQ211" s="110">
        <f>SUM(BQ206:BQ210)</f>
        <v>2660.1887039363091</v>
      </c>
    </row>
    <row r="212" spans="1:69">
      <c r="A212" s="320"/>
      <c r="B212" s="320"/>
      <c r="C212" s="129"/>
      <c r="D212" s="320"/>
      <c r="E212" s="324"/>
      <c r="F212" s="325"/>
      <c r="G212" s="325"/>
      <c r="H212" s="326"/>
      <c r="I212" s="107"/>
      <c r="J212" s="249"/>
      <c r="K212" s="250"/>
      <c r="L212" s="250"/>
      <c r="M212" s="251"/>
      <c r="N212" s="107"/>
      <c r="O212" s="249"/>
      <c r="P212" s="250"/>
      <c r="Q212" s="250"/>
      <c r="R212" s="251"/>
      <c r="S212" s="107"/>
      <c r="T212" s="249"/>
      <c r="U212" s="250"/>
      <c r="V212" s="250"/>
      <c r="W212" s="251"/>
      <c r="X212" s="107"/>
      <c r="Y212" s="183"/>
      <c r="Z212" s="184"/>
      <c r="AA212" s="184"/>
      <c r="AB212" s="251"/>
      <c r="AC212" s="107"/>
      <c r="AD212" s="183"/>
      <c r="AE212" s="184"/>
      <c r="AF212" s="184"/>
      <c r="AG212" s="251"/>
      <c r="AH212" s="107"/>
      <c r="AI212" s="183"/>
      <c r="AJ212" s="184"/>
      <c r="AK212" s="184"/>
      <c r="AL212" s="185"/>
      <c r="AM212" s="107"/>
      <c r="AN212" s="183"/>
      <c r="AO212" s="184"/>
      <c r="AP212" s="184"/>
      <c r="AQ212" s="185"/>
      <c r="AR212" s="107"/>
      <c r="AS212" s="183"/>
      <c r="AT212" s="184"/>
      <c r="AU212" s="184"/>
      <c r="AV212" s="185"/>
      <c r="AW212" s="107"/>
      <c r="AX212" s="183"/>
      <c r="AY212" s="184"/>
      <c r="AZ212" s="184"/>
      <c r="BA212" s="185"/>
      <c r="BB212" s="107"/>
      <c r="BC212" s="183"/>
      <c r="BD212" s="184"/>
      <c r="BE212" s="184"/>
      <c r="BF212" s="185"/>
      <c r="BG212" s="107"/>
      <c r="BH212" s="183"/>
      <c r="BI212" s="184"/>
      <c r="BJ212" s="184"/>
      <c r="BK212" s="185"/>
      <c r="BL212" s="107"/>
      <c r="BM212" s="183"/>
      <c r="BN212" s="184"/>
      <c r="BO212" s="184"/>
      <c r="BP212" s="185"/>
      <c r="BQ212" s="107"/>
    </row>
    <row r="213" spans="1:69">
      <c r="A213" s="320"/>
      <c r="B213" s="320"/>
      <c r="C213" s="129" t="s">
        <v>709</v>
      </c>
      <c r="D213" s="320"/>
      <c r="E213" s="405"/>
      <c r="F213" s="406"/>
      <c r="G213" s="406"/>
      <c r="H213" s="407"/>
      <c r="I213" s="107"/>
      <c r="J213" s="249">
        <f>I152-J152</f>
        <v>862.70600000000195</v>
      </c>
      <c r="K213" s="250">
        <f t="shared" ref="K213:U213" si="506">J152-K152</f>
        <v>-1005.8769999999968</v>
      </c>
      <c r="L213" s="250">
        <f t="shared" si="506"/>
        <v>-1779.3150000000023</v>
      </c>
      <c r="M213" s="251">
        <f t="shared" si="506"/>
        <v>-387.11200000000099</v>
      </c>
      <c r="N213" s="107">
        <f>SUM(J213:M213)</f>
        <v>-2309.5979999999981</v>
      </c>
      <c r="O213" s="249">
        <f t="shared" si="506"/>
        <v>1039.3780000000042</v>
      </c>
      <c r="P213" s="250">
        <f t="shared" si="506"/>
        <v>-2051.4369999999981</v>
      </c>
      <c r="Q213" s="250">
        <f t="shared" si="506"/>
        <v>-338.80400000000373</v>
      </c>
      <c r="R213" s="251">
        <f t="shared" si="506"/>
        <v>-271.99799999999959</v>
      </c>
      <c r="S213" s="107">
        <f>SUM(O213:R213)</f>
        <v>-1622.8609999999971</v>
      </c>
      <c r="T213" s="249">
        <f t="shared" si="506"/>
        <v>-463.21199999999953</v>
      </c>
      <c r="U213" s="250">
        <f t="shared" si="506"/>
        <v>-512.69499999999971</v>
      </c>
      <c r="V213" s="250">
        <f>U152-V152</f>
        <v>-603.2410000000018</v>
      </c>
      <c r="W213" s="251">
        <f>V152-W152</f>
        <v>-886.35900000000402</v>
      </c>
      <c r="X213" s="107">
        <f>SUM(T213:W213)</f>
        <v>-2465.5070000000051</v>
      </c>
      <c r="Y213" s="249">
        <f>X152-Y152</f>
        <v>-136.11599999999453</v>
      </c>
      <c r="Z213" s="175">
        <f>Y152-Z152</f>
        <v>-417.47100000000501</v>
      </c>
      <c r="AA213" s="175">
        <f>Z152-AA152</f>
        <v>-337.90999999999622</v>
      </c>
      <c r="AB213" s="251">
        <f>AA152-AB152</f>
        <v>-150.60399999999936</v>
      </c>
      <c r="AC213" s="107">
        <f>SUM(Y213:AB213)</f>
        <v>-1042.1009999999951</v>
      </c>
      <c r="AD213" s="249">
        <f>AC152-AD152</f>
        <v>-308.08800000000338</v>
      </c>
      <c r="AE213" s="175">
        <f>AD152-AE152</f>
        <v>-347.12099999999919</v>
      </c>
      <c r="AF213" s="175">
        <f>AE152-AF152</f>
        <v>-342.78699999999662</v>
      </c>
      <c r="AG213" s="251">
        <f>AF152-AG152</f>
        <v>-573.02999999999884</v>
      </c>
      <c r="AH213" s="107">
        <f>SUM(AD213:AG213)</f>
        <v>-1571.025999999998</v>
      </c>
      <c r="AI213" s="249">
        <f>AH152-AI152</f>
        <v>-261.82200000000012</v>
      </c>
      <c r="AJ213" s="175">
        <f>AI152-AJ152</f>
        <v>-346.4600000000064</v>
      </c>
      <c r="AK213" s="175">
        <f>AJ152-AK152</f>
        <v>-495.50499999999738</v>
      </c>
      <c r="AL213" s="176">
        <f>-AL168</f>
        <v>-833.75</v>
      </c>
      <c r="AM213" s="107">
        <f>SUM(AI213:AL213)</f>
        <v>-1937.5370000000039</v>
      </c>
      <c r="AN213" s="249">
        <f>AM152-AN152</f>
        <v>-1675.2349999999933</v>
      </c>
      <c r="AO213" s="175">
        <f>AN152-AO152</f>
        <v>-241.4030000000057</v>
      </c>
      <c r="AP213" s="175">
        <f>AO152-AP152</f>
        <v>-670.9059999999954</v>
      </c>
      <c r="AQ213" s="176">
        <f>-AQ168</f>
        <v>-876.25</v>
      </c>
      <c r="AR213" s="107">
        <f>SUM(AN213:AQ213)</f>
        <v>-3463.7939999999944</v>
      </c>
      <c r="AS213" s="174">
        <f>-AS168</f>
        <v>-880</v>
      </c>
      <c r="AT213" s="175">
        <f>-AT168</f>
        <v>-880</v>
      </c>
      <c r="AU213" s="175">
        <f t="shared" ref="AU213:AV213" si="507">-AU168</f>
        <v>-880</v>
      </c>
      <c r="AV213" s="176">
        <f t="shared" si="507"/>
        <v>-880</v>
      </c>
      <c r="AW213" s="107">
        <f>SUM(AS213:AV213)</f>
        <v>-3520</v>
      </c>
      <c r="AX213" s="174">
        <f>-AX168</f>
        <v>-980</v>
      </c>
      <c r="AY213" s="175">
        <f>-AY168</f>
        <v>-980</v>
      </c>
      <c r="AZ213" s="175">
        <f>-AZ168</f>
        <v>-980</v>
      </c>
      <c r="BA213" s="176">
        <f>-BA168</f>
        <v>-980</v>
      </c>
      <c r="BB213" s="107">
        <f>SUM(AX213:BA213)</f>
        <v>-3920</v>
      </c>
      <c r="BC213" s="174">
        <f>-BC168</f>
        <v>-910</v>
      </c>
      <c r="BD213" s="175">
        <f>-BD168</f>
        <v>-910</v>
      </c>
      <c r="BE213" s="175">
        <f>-BE168</f>
        <v>-910</v>
      </c>
      <c r="BF213" s="176">
        <f>-BF168</f>
        <v>-910</v>
      </c>
      <c r="BG213" s="107">
        <f>SUM(BC213:BF213)</f>
        <v>-3640</v>
      </c>
      <c r="BH213" s="174">
        <f>-BH168</f>
        <v>-825</v>
      </c>
      <c r="BI213" s="175">
        <f>-BI168</f>
        <v>-825</v>
      </c>
      <c r="BJ213" s="175">
        <f>-BJ168</f>
        <v>-825</v>
      </c>
      <c r="BK213" s="176">
        <f>-BK168</f>
        <v>-825</v>
      </c>
      <c r="BL213" s="107">
        <f>SUM(BH213:BK213)</f>
        <v>-3300</v>
      </c>
      <c r="BM213" s="174">
        <f>-BM168</f>
        <v>-891.66666666666663</v>
      </c>
      <c r="BN213" s="175">
        <f>-BN168</f>
        <v>-891.66666666666663</v>
      </c>
      <c r="BO213" s="175">
        <f>-BO168</f>
        <v>-891.66666666666663</v>
      </c>
      <c r="BP213" s="176">
        <f>-BP168</f>
        <v>-891.66666666666663</v>
      </c>
      <c r="BQ213" s="107">
        <f>SUM(BM213:BP213)</f>
        <v>-3566.6666666666665</v>
      </c>
    </row>
    <row r="214" spans="1:69">
      <c r="A214" s="320"/>
      <c r="B214" s="320"/>
      <c r="C214" s="129" t="s">
        <v>188</v>
      </c>
      <c r="D214" s="320"/>
      <c r="E214" s="405"/>
      <c r="F214" s="406"/>
      <c r="G214" s="406"/>
      <c r="H214" s="407"/>
      <c r="I214" s="107"/>
      <c r="J214" s="249"/>
      <c r="K214" s="250"/>
      <c r="L214" s="250"/>
      <c r="M214" s="251"/>
      <c r="N214" s="107"/>
      <c r="O214" s="249"/>
      <c r="P214" s="250"/>
      <c r="Q214" s="250"/>
      <c r="R214" s="251"/>
      <c r="S214" s="107"/>
      <c r="T214" s="249"/>
      <c r="U214" s="250"/>
      <c r="V214" s="250"/>
      <c r="W214" s="251"/>
      <c r="X214" s="107"/>
      <c r="Y214" s="177"/>
      <c r="Z214" s="178"/>
      <c r="AA214" s="178"/>
      <c r="AB214" s="179"/>
      <c r="AC214" s="108"/>
      <c r="AD214" s="177"/>
      <c r="AE214" s="178"/>
      <c r="AF214" s="178"/>
      <c r="AG214" s="179"/>
      <c r="AH214" s="108"/>
      <c r="AI214" s="177"/>
      <c r="AJ214" s="178"/>
      <c r="AK214" s="178"/>
      <c r="AL214" s="179"/>
      <c r="AM214" s="108"/>
      <c r="AN214" s="177"/>
      <c r="AO214" s="178"/>
      <c r="AP214" s="178"/>
      <c r="AQ214" s="179"/>
      <c r="AR214" s="108"/>
      <c r="AS214" s="197"/>
      <c r="AT214" s="198"/>
      <c r="AU214" s="198"/>
      <c r="AV214" s="179"/>
      <c r="AW214" s="108"/>
      <c r="AX214" s="177">
        <f>+BB214/4</f>
        <v>0</v>
      </c>
      <c r="AY214" s="178">
        <f>+(BB214-SUM(AX214))/3</f>
        <v>0</v>
      </c>
      <c r="AZ214" s="178">
        <f>(BB214-SUM(AX214:AY214))/2</f>
        <v>0</v>
      </c>
      <c r="BA214" s="179">
        <f>(BB214-SUM(AX214:AZ214))/1</f>
        <v>0</v>
      </c>
      <c r="BB214" s="108">
        <v>0</v>
      </c>
      <c r="BC214" s="177">
        <f>+BG214/4</f>
        <v>0</v>
      </c>
      <c r="BD214" s="178">
        <f>+(BG214-SUM(BC214))/3</f>
        <v>0</v>
      </c>
      <c r="BE214" s="178">
        <f>(BG214-SUM(BC214:BD214))/2</f>
        <v>0</v>
      </c>
      <c r="BF214" s="179">
        <f>(BG214-SUM(BC214:BE214))/1</f>
        <v>0</v>
      </c>
      <c r="BG214" s="108">
        <v>0</v>
      </c>
      <c r="BH214" s="177">
        <f>+BL214/4</f>
        <v>0</v>
      </c>
      <c r="BI214" s="178">
        <f>+(BL214-SUM(BH214))/3</f>
        <v>0</v>
      </c>
      <c r="BJ214" s="178">
        <f>(BL214-SUM(BH214:BI214))/2</f>
        <v>0</v>
      </c>
      <c r="BK214" s="179">
        <f>(BL214-SUM(BH214:BJ214))/1</f>
        <v>0</v>
      </c>
      <c r="BL214" s="108">
        <v>0</v>
      </c>
      <c r="BM214" s="177">
        <f>+BQ214/4</f>
        <v>0</v>
      </c>
      <c r="BN214" s="178">
        <f>+(BQ214-SUM(BM214))/3</f>
        <v>0</v>
      </c>
      <c r="BO214" s="178">
        <f>(BQ214-SUM(BM214:BN214))/2</f>
        <v>0</v>
      </c>
      <c r="BP214" s="179">
        <f>(BQ214-SUM(BM214:BO214))/1</f>
        <v>0</v>
      </c>
      <c r="BQ214" s="108">
        <v>0</v>
      </c>
    </row>
    <row r="215" spans="1:69">
      <c r="A215" s="327"/>
      <c r="B215" s="327"/>
      <c r="C215" s="1173" t="s">
        <v>361</v>
      </c>
      <c r="D215" s="327"/>
      <c r="E215" s="335"/>
      <c r="F215" s="336"/>
      <c r="G215" s="336"/>
      <c r="H215" s="337"/>
      <c r="I215" s="110"/>
      <c r="J215" s="248"/>
      <c r="K215" s="246"/>
      <c r="L215" s="246"/>
      <c r="M215" s="247"/>
      <c r="N215" s="110"/>
      <c r="O215" s="248"/>
      <c r="P215" s="246"/>
      <c r="Q215" s="246"/>
      <c r="R215" s="247"/>
      <c r="S215" s="110"/>
      <c r="T215" s="248"/>
      <c r="U215" s="246"/>
      <c r="V215" s="246"/>
      <c r="W215" s="247"/>
      <c r="X215" s="110"/>
      <c r="Y215" s="180"/>
      <c r="Z215" s="181"/>
      <c r="AA215" s="181"/>
      <c r="AB215" s="182"/>
      <c r="AC215" s="110"/>
      <c r="AD215" s="180"/>
      <c r="AE215" s="181"/>
      <c r="AF215" s="181"/>
      <c r="AG215" s="182"/>
      <c r="AH215" s="110"/>
      <c r="AI215" s="180"/>
      <c r="AJ215" s="181"/>
      <c r="AK215" s="181"/>
      <c r="AL215" s="182"/>
      <c r="AM215" s="110"/>
      <c r="AN215" s="180"/>
      <c r="AO215" s="181"/>
      <c r="AP215" s="181"/>
      <c r="AQ215" s="182"/>
      <c r="AR215" s="110"/>
      <c r="AS215" s="180"/>
      <c r="AT215" s="181"/>
      <c r="AU215" s="181"/>
      <c r="AV215" s="182"/>
      <c r="AW215" s="110"/>
      <c r="AX215" s="180">
        <f t="shared" ref="AX215:BB215" si="508">+SUM(AX213:AX214)</f>
        <v>-980</v>
      </c>
      <c r="AY215" s="181">
        <f t="shared" si="508"/>
        <v>-980</v>
      </c>
      <c r="AZ215" s="181">
        <f t="shared" si="508"/>
        <v>-980</v>
      </c>
      <c r="BA215" s="182">
        <f t="shared" si="508"/>
        <v>-980</v>
      </c>
      <c r="BB215" s="110">
        <f t="shared" si="508"/>
        <v>-3920</v>
      </c>
      <c r="BC215" s="180">
        <f t="shared" ref="BC215:BL215" si="509">+SUM(BC213:BC214)</f>
        <v>-910</v>
      </c>
      <c r="BD215" s="181">
        <f t="shared" si="509"/>
        <v>-910</v>
      </c>
      <c r="BE215" s="181">
        <f t="shared" si="509"/>
        <v>-910</v>
      </c>
      <c r="BF215" s="182">
        <f t="shared" si="509"/>
        <v>-910</v>
      </c>
      <c r="BG215" s="110">
        <f t="shared" si="509"/>
        <v>-3640</v>
      </c>
      <c r="BH215" s="180">
        <f t="shared" si="509"/>
        <v>-825</v>
      </c>
      <c r="BI215" s="181">
        <f t="shared" si="509"/>
        <v>-825</v>
      </c>
      <c r="BJ215" s="181">
        <f t="shared" si="509"/>
        <v>-825</v>
      </c>
      <c r="BK215" s="182">
        <f t="shared" si="509"/>
        <v>-825</v>
      </c>
      <c r="BL215" s="110">
        <f t="shared" si="509"/>
        <v>-3300</v>
      </c>
      <c r="BM215" s="180">
        <f t="shared" ref="BM215:BQ215" si="510">+SUM(BM213:BM214)</f>
        <v>-891.66666666666663</v>
      </c>
      <c r="BN215" s="181">
        <f t="shared" si="510"/>
        <v>-891.66666666666663</v>
      </c>
      <c r="BO215" s="181">
        <f t="shared" si="510"/>
        <v>-891.66666666666663</v>
      </c>
      <c r="BP215" s="182">
        <f t="shared" si="510"/>
        <v>-891.66666666666663</v>
      </c>
      <c r="BQ215" s="110">
        <f t="shared" si="510"/>
        <v>-3566.6666666666665</v>
      </c>
    </row>
    <row r="216" spans="1:69">
      <c r="A216" s="320"/>
      <c r="B216" s="320"/>
      <c r="C216" s="129"/>
      <c r="D216" s="320"/>
      <c r="E216" s="324"/>
      <c r="F216" s="325"/>
      <c r="G216" s="325"/>
      <c r="H216" s="326"/>
      <c r="I216" s="107"/>
      <c r="J216" s="249"/>
      <c r="K216" s="250"/>
      <c r="L216" s="250"/>
      <c r="M216" s="251"/>
      <c r="N216" s="107"/>
      <c r="O216" s="249"/>
      <c r="P216" s="250"/>
      <c r="Q216" s="250"/>
      <c r="R216" s="251"/>
      <c r="S216" s="107"/>
      <c r="T216" s="249"/>
      <c r="U216" s="250"/>
      <c r="V216" s="250"/>
      <c r="W216" s="251"/>
      <c r="X216" s="107"/>
      <c r="Y216" s="174"/>
      <c r="Z216" s="175"/>
      <c r="AA216" s="175"/>
      <c r="AB216" s="176"/>
      <c r="AC216" s="107"/>
      <c r="AD216" s="174"/>
      <c r="AE216" s="175"/>
      <c r="AF216" s="175"/>
      <c r="AG216" s="176"/>
      <c r="AH216" s="107"/>
      <c r="AI216" s="174"/>
      <c r="AJ216" s="175"/>
      <c r="AK216" s="175"/>
      <c r="AL216" s="176"/>
      <c r="AM216" s="107"/>
      <c r="AN216" s="174"/>
      <c r="AO216" s="175"/>
      <c r="AP216" s="175"/>
      <c r="AQ216" s="176"/>
      <c r="AR216" s="107"/>
      <c r="AS216" s="174"/>
      <c r="AT216" s="175"/>
      <c r="AU216" s="175"/>
      <c r="AV216" s="176"/>
      <c r="AW216" s="107"/>
      <c r="AX216" s="174"/>
      <c r="AY216" s="175"/>
      <c r="AZ216" s="175"/>
      <c r="BA216" s="176"/>
      <c r="BB216" s="107"/>
      <c r="BC216" s="174"/>
      <c r="BD216" s="175"/>
      <c r="BE216" s="175"/>
      <c r="BF216" s="176"/>
      <c r="BG216" s="107"/>
      <c r="BH216" s="174"/>
      <c r="BI216" s="175"/>
      <c r="BJ216" s="175"/>
      <c r="BK216" s="176"/>
      <c r="BL216" s="107"/>
      <c r="BM216" s="174"/>
      <c r="BN216" s="175"/>
      <c r="BO216" s="175"/>
      <c r="BP216" s="176"/>
      <c r="BQ216" s="107"/>
    </row>
    <row r="217" spans="1:69">
      <c r="A217" s="320"/>
      <c r="B217" s="320"/>
      <c r="C217" s="1174" t="s">
        <v>457</v>
      </c>
      <c r="D217" s="320"/>
      <c r="E217" s="405"/>
      <c r="F217" s="406"/>
      <c r="G217" s="406"/>
      <c r="H217" s="407"/>
      <c r="I217" s="107"/>
      <c r="J217" s="249"/>
      <c r="K217" s="250"/>
      <c r="L217" s="250"/>
      <c r="M217" s="251"/>
      <c r="N217" s="107"/>
      <c r="O217" s="249"/>
      <c r="P217" s="250"/>
      <c r="Q217" s="250"/>
      <c r="R217" s="251"/>
      <c r="S217" s="107"/>
      <c r="T217" s="249"/>
      <c r="U217" s="250"/>
      <c r="V217" s="250"/>
      <c r="W217" s="251"/>
      <c r="X217" s="107"/>
      <c r="Y217" s="174"/>
      <c r="Z217" s="175"/>
      <c r="AA217" s="175"/>
      <c r="AB217" s="176"/>
      <c r="AC217" s="107"/>
      <c r="AD217" s="174"/>
      <c r="AE217" s="175"/>
      <c r="AF217" s="175"/>
      <c r="AG217" s="176"/>
      <c r="AH217" s="107"/>
      <c r="AI217" s="174"/>
      <c r="AJ217" s="175"/>
      <c r="AK217" s="175"/>
      <c r="AL217" s="176"/>
      <c r="AM217" s="107"/>
      <c r="AN217" s="174"/>
      <c r="AO217" s="175"/>
      <c r="AP217" s="175"/>
      <c r="AQ217" s="176"/>
      <c r="AR217" s="107"/>
      <c r="AS217" s="174"/>
      <c r="AT217" s="175"/>
      <c r="AU217" s="175"/>
      <c r="AV217" s="176"/>
      <c r="AW217" s="107"/>
      <c r="AX217" s="174">
        <f t="shared" ref="AX217:BA218" si="511">+AX191</f>
        <v>0</v>
      </c>
      <c r="AY217" s="175">
        <f t="shared" si="511"/>
        <v>2500</v>
      </c>
      <c r="AZ217" s="175">
        <f t="shared" si="511"/>
        <v>0</v>
      </c>
      <c r="BA217" s="176">
        <f t="shared" si="511"/>
        <v>0</v>
      </c>
      <c r="BB217" s="107">
        <f>SUM(AX217:BA217)</f>
        <v>2500</v>
      </c>
      <c r="BC217" s="174">
        <f t="shared" ref="BC217:BF217" si="512">+BC191</f>
        <v>0</v>
      </c>
      <c r="BD217" s="175">
        <f t="shared" si="512"/>
        <v>0</v>
      </c>
      <c r="BE217" s="175">
        <f t="shared" si="512"/>
        <v>1800</v>
      </c>
      <c r="BF217" s="176">
        <f t="shared" si="512"/>
        <v>0</v>
      </c>
      <c r="BG217" s="107">
        <f>SUM(BC217:BF217)</f>
        <v>1800</v>
      </c>
      <c r="BH217" s="174">
        <f t="shared" ref="BH217:BK217" si="513">+BH191</f>
        <v>0</v>
      </c>
      <c r="BI217" s="175">
        <f t="shared" si="513"/>
        <v>0</v>
      </c>
      <c r="BJ217" s="175">
        <f t="shared" si="513"/>
        <v>1700</v>
      </c>
      <c r="BK217" s="176">
        <f t="shared" si="513"/>
        <v>0</v>
      </c>
      <c r="BL217" s="107">
        <f>SUM(BH217:BK217)</f>
        <v>1700</v>
      </c>
      <c r="BM217" s="174">
        <f t="shared" ref="BM217:BP217" si="514">+BM191</f>
        <v>0</v>
      </c>
      <c r="BN217" s="175">
        <f t="shared" si="514"/>
        <v>0</v>
      </c>
      <c r="BO217" s="175">
        <f t="shared" si="514"/>
        <v>2100</v>
      </c>
      <c r="BP217" s="176">
        <f t="shared" si="514"/>
        <v>0</v>
      </c>
      <c r="BQ217" s="107">
        <f>SUM(BM217:BP217)</f>
        <v>2100</v>
      </c>
    </row>
    <row r="218" spans="1:69">
      <c r="A218" s="320"/>
      <c r="B218" s="320"/>
      <c r="C218" s="1174" t="s">
        <v>132</v>
      </c>
      <c r="D218" s="320"/>
      <c r="E218" s="405"/>
      <c r="F218" s="406"/>
      <c r="G218" s="406"/>
      <c r="H218" s="407"/>
      <c r="I218" s="107"/>
      <c r="J218" s="249"/>
      <c r="K218" s="250"/>
      <c r="L218" s="250"/>
      <c r="M218" s="251"/>
      <c r="N218" s="107"/>
      <c r="O218" s="249"/>
      <c r="P218" s="250"/>
      <c r="Q218" s="250"/>
      <c r="R218" s="251"/>
      <c r="S218" s="107"/>
      <c r="T218" s="249"/>
      <c r="U218" s="250"/>
      <c r="V218" s="250"/>
      <c r="W218" s="251"/>
      <c r="X218" s="107"/>
      <c r="Y218" s="174"/>
      <c r="Z218" s="175"/>
      <c r="AA218" s="175"/>
      <c r="AB218" s="176"/>
      <c r="AC218" s="107"/>
      <c r="AD218" s="174"/>
      <c r="AE218" s="175"/>
      <c r="AF218" s="175"/>
      <c r="AG218" s="176"/>
      <c r="AH218" s="107"/>
      <c r="AI218" s="174"/>
      <c r="AJ218" s="175"/>
      <c r="AK218" s="175"/>
      <c r="AL218" s="176"/>
      <c r="AM218" s="107"/>
      <c r="AN218" s="174"/>
      <c r="AO218" s="175"/>
      <c r="AP218" s="175"/>
      <c r="AQ218" s="176"/>
      <c r="AR218" s="107"/>
      <c r="AS218" s="174"/>
      <c r="AT218" s="175"/>
      <c r="AU218" s="175"/>
      <c r="AV218" s="176"/>
      <c r="AW218" s="107"/>
      <c r="AX218" s="174">
        <f t="shared" si="511"/>
        <v>0</v>
      </c>
      <c r="AY218" s="175">
        <f t="shared" si="511"/>
        <v>-375</v>
      </c>
      <c r="AZ218" s="175">
        <f t="shared" si="511"/>
        <v>-300</v>
      </c>
      <c r="BA218" s="176">
        <f t="shared" si="511"/>
        <v>-85</v>
      </c>
      <c r="BB218" s="107">
        <f>SUM(AX218:BA218)</f>
        <v>-760</v>
      </c>
      <c r="BC218" s="174">
        <f t="shared" ref="BC218:BF218" si="515">+BC192</f>
        <v>-500</v>
      </c>
      <c r="BD218" s="175">
        <f t="shared" si="515"/>
        <v>0</v>
      </c>
      <c r="BE218" s="175">
        <f t="shared" si="515"/>
        <v>-180.76900000000001</v>
      </c>
      <c r="BF218" s="176">
        <f t="shared" si="515"/>
        <v>0</v>
      </c>
      <c r="BG218" s="107">
        <f>SUM(BC218:BF218)</f>
        <v>-680.76900000000001</v>
      </c>
      <c r="BH218" s="174">
        <f t="shared" ref="BH218:BK218" si="516">+BH192</f>
        <v>0</v>
      </c>
      <c r="BI218" s="175">
        <f t="shared" si="516"/>
        <v>0</v>
      </c>
      <c r="BJ218" s="175">
        <f t="shared" si="516"/>
        <v>-70</v>
      </c>
      <c r="BK218" s="176">
        <f t="shared" si="516"/>
        <v>-275</v>
      </c>
      <c r="BL218" s="107">
        <f>SUM(BH218:BK218)</f>
        <v>-345</v>
      </c>
      <c r="BM218" s="174">
        <f t="shared" ref="BM218:BP218" si="517">+BM192</f>
        <v>-390</v>
      </c>
      <c r="BN218" s="175">
        <f t="shared" si="517"/>
        <v>-449.22800000000001</v>
      </c>
      <c r="BO218" s="175">
        <f t="shared" si="517"/>
        <v>-200.76400000000001</v>
      </c>
      <c r="BP218" s="176">
        <f t="shared" si="517"/>
        <v>0</v>
      </c>
      <c r="BQ218" s="107">
        <f>SUM(BM218:BP218)</f>
        <v>-1039.9920000000002</v>
      </c>
    </row>
    <row r="219" spans="1:69">
      <c r="A219" s="320"/>
      <c r="B219" s="320"/>
      <c r="C219" s="129" t="s">
        <v>189</v>
      </c>
      <c r="D219" s="320"/>
      <c r="E219" s="405"/>
      <c r="F219" s="406"/>
      <c r="G219" s="406"/>
      <c r="H219" s="407"/>
      <c r="I219" s="107"/>
      <c r="J219" s="249"/>
      <c r="K219" s="250"/>
      <c r="L219" s="250"/>
      <c r="M219" s="251"/>
      <c r="N219" s="107"/>
      <c r="O219" s="249"/>
      <c r="P219" s="250"/>
      <c r="Q219" s="250"/>
      <c r="R219" s="251"/>
      <c r="S219" s="107"/>
      <c r="T219" s="249"/>
      <c r="U219" s="250"/>
      <c r="V219" s="250"/>
      <c r="W219" s="251"/>
      <c r="X219" s="107"/>
      <c r="Y219" s="183"/>
      <c r="Z219" s="184"/>
      <c r="AA219" s="184"/>
      <c r="AB219" s="185"/>
      <c r="AC219" s="107"/>
      <c r="AD219" s="183"/>
      <c r="AE219" s="184"/>
      <c r="AF219" s="184"/>
      <c r="AG219" s="185"/>
      <c r="AH219" s="107"/>
      <c r="AI219" s="183"/>
      <c r="AJ219" s="184"/>
      <c r="AK219" s="184"/>
      <c r="AL219" s="185"/>
      <c r="AM219" s="107"/>
      <c r="AN219" s="183"/>
      <c r="AO219" s="184"/>
      <c r="AP219" s="184"/>
      <c r="AQ219" s="185"/>
      <c r="AR219" s="107"/>
      <c r="AS219" s="183"/>
      <c r="AT219" s="184"/>
      <c r="AU219" s="184"/>
      <c r="AV219" s="185"/>
      <c r="AW219" s="107"/>
      <c r="AX219" s="183">
        <v>0</v>
      </c>
      <c r="AY219" s="184">
        <v>0</v>
      </c>
      <c r="AZ219" s="184">
        <v>0</v>
      </c>
      <c r="BA219" s="185">
        <v>0</v>
      </c>
      <c r="BB219" s="107">
        <f>SUM(AX219:BA219)</f>
        <v>0</v>
      </c>
      <c r="BC219" s="183">
        <v>0</v>
      </c>
      <c r="BD219" s="184">
        <v>0</v>
      </c>
      <c r="BE219" s="184">
        <v>0</v>
      </c>
      <c r="BF219" s="185">
        <v>0</v>
      </c>
      <c r="BG219" s="107">
        <f>SUM(BC219:BF219)</f>
        <v>0</v>
      </c>
      <c r="BH219" s="183">
        <v>0</v>
      </c>
      <c r="BI219" s="184">
        <v>0</v>
      </c>
      <c r="BJ219" s="184">
        <v>0</v>
      </c>
      <c r="BK219" s="185">
        <v>0</v>
      </c>
      <c r="BL219" s="107">
        <f>SUM(BH219:BK219)</f>
        <v>0</v>
      </c>
      <c r="BM219" s="183">
        <v>0</v>
      </c>
      <c r="BN219" s="184">
        <v>0</v>
      </c>
      <c r="BO219" s="184">
        <v>0</v>
      </c>
      <c r="BP219" s="185">
        <v>0</v>
      </c>
      <c r="BQ219" s="107">
        <f>SUM(BM219:BP219)</f>
        <v>0</v>
      </c>
    </row>
    <row r="220" spans="1:69">
      <c r="A220" s="320"/>
      <c r="B220" s="320"/>
      <c r="C220" s="129" t="s">
        <v>362</v>
      </c>
      <c r="D220" s="320"/>
      <c r="E220" s="405"/>
      <c r="F220" s="406"/>
      <c r="G220" s="406"/>
      <c r="H220" s="407"/>
      <c r="I220" s="107"/>
      <c r="J220" s="249"/>
      <c r="K220" s="250"/>
      <c r="L220" s="250"/>
      <c r="M220" s="251"/>
      <c r="N220" s="107"/>
      <c r="O220" s="249"/>
      <c r="P220" s="250"/>
      <c r="Q220" s="250"/>
      <c r="R220" s="251"/>
      <c r="S220" s="107"/>
      <c r="T220" s="249"/>
      <c r="U220" s="250"/>
      <c r="V220" s="250"/>
      <c r="W220" s="251"/>
      <c r="X220" s="107"/>
      <c r="Y220" s="183"/>
      <c r="Z220" s="184"/>
      <c r="AA220" s="184"/>
      <c r="AB220" s="185"/>
      <c r="AC220" s="107"/>
      <c r="AD220" s="183"/>
      <c r="AE220" s="184"/>
      <c r="AF220" s="184"/>
      <c r="AG220" s="185"/>
      <c r="AH220" s="107"/>
      <c r="AI220" s="183"/>
      <c r="AJ220" s="184"/>
      <c r="AK220" s="184"/>
      <c r="AL220" s="185"/>
      <c r="AM220" s="107"/>
      <c r="AN220" s="183"/>
      <c r="AO220" s="184"/>
      <c r="AP220" s="184"/>
      <c r="AQ220" s="185"/>
      <c r="AR220" s="107"/>
      <c r="AS220" s="183"/>
      <c r="AT220" s="184"/>
      <c r="AU220" s="184"/>
      <c r="AV220" s="185"/>
      <c r="AW220" s="107"/>
      <c r="AX220" s="183">
        <v>0</v>
      </c>
      <c r="AY220" s="184">
        <v>0</v>
      </c>
      <c r="AZ220" s="184">
        <v>0</v>
      </c>
      <c r="BA220" s="185">
        <v>0</v>
      </c>
      <c r="BB220" s="107">
        <f>SUM(AX220:BA220)</f>
        <v>0</v>
      </c>
      <c r="BC220" s="183">
        <v>0</v>
      </c>
      <c r="BD220" s="184">
        <v>0</v>
      </c>
      <c r="BE220" s="184">
        <v>0</v>
      </c>
      <c r="BF220" s="185">
        <v>0</v>
      </c>
      <c r="BG220" s="107">
        <f>SUM(BC220:BF220)</f>
        <v>0</v>
      </c>
      <c r="BH220" s="183">
        <v>0</v>
      </c>
      <c r="BI220" s="184">
        <v>0</v>
      </c>
      <c r="BJ220" s="184">
        <v>0</v>
      </c>
      <c r="BK220" s="185">
        <v>0</v>
      </c>
      <c r="BL220" s="107">
        <f>SUM(BH220:BK220)</f>
        <v>0</v>
      </c>
      <c r="BM220" s="183">
        <v>0</v>
      </c>
      <c r="BN220" s="184">
        <v>0</v>
      </c>
      <c r="BO220" s="184">
        <v>0</v>
      </c>
      <c r="BP220" s="185">
        <v>0</v>
      </c>
      <c r="BQ220" s="107">
        <f>SUM(BM220:BP220)</f>
        <v>0</v>
      </c>
    </row>
    <row r="221" spans="1:69">
      <c r="A221" s="320"/>
      <c r="B221" s="320"/>
      <c r="C221" s="129" t="s">
        <v>618</v>
      </c>
      <c r="D221" s="320"/>
      <c r="E221" s="405"/>
      <c r="F221" s="406"/>
      <c r="G221" s="406"/>
      <c r="H221" s="407"/>
      <c r="I221" s="107"/>
      <c r="J221" s="249"/>
      <c r="K221" s="250"/>
      <c r="L221" s="250"/>
      <c r="M221" s="251"/>
      <c r="N221" s="107"/>
      <c r="O221" s="249"/>
      <c r="P221" s="250"/>
      <c r="Q221" s="250"/>
      <c r="R221" s="251"/>
      <c r="S221" s="107"/>
      <c r="T221" s="249"/>
      <c r="U221" s="250"/>
      <c r="V221" s="250"/>
      <c r="W221" s="251"/>
      <c r="X221" s="107"/>
      <c r="Y221" s="177"/>
      <c r="Z221" s="178"/>
      <c r="AA221" s="178"/>
      <c r="AB221" s="179"/>
      <c r="AC221" s="108"/>
      <c r="AD221" s="177"/>
      <c r="AE221" s="178"/>
      <c r="AF221" s="178"/>
      <c r="AG221" s="179"/>
      <c r="AH221" s="108"/>
      <c r="AI221" s="177"/>
      <c r="AJ221" s="178"/>
      <c r="AK221" s="178"/>
      <c r="AL221" s="179"/>
      <c r="AM221" s="108"/>
      <c r="AN221" s="177"/>
      <c r="AO221" s="178"/>
      <c r="AP221" s="178"/>
      <c r="AQ221" s="179"/>
      <c r="AR221" s="108"/>
      <c r="AS221" s="177"/>
      <c r="AT221" s="178"/>
      <c r="AU221" s="178"/>
      <c r="AV221" s="179"/>
      <c r="AW221" s="108"/>
      <c r="AX221" s="177">
        <f>+BB221/4</f>
        <v>-112.5</v>
      </c>
      <c r="AY221" s="178">
        <f>+(BB221-SUM(AX221))/3</f>
        <v>-112.5</v>
      </c>
      <c r="AZ221" s="178">
        <f>(BB221-SUM(AX221:AY221))/2</f>
        <v>-112.5</v>
      </c>
      <c r="BA221" s="179">
        <f>(BB221-SUM(AX221:AZ221))/1</f>
        <v>-112.5</v>
      </c>
      <c r="BB221" s="108">
        <v>-450</v>
      </c>
      <c r="BC221" s="177">
        <f>+BG221/4</f>
        <v>-62.5</v>
      </c>
      <c r="BD221" s="178">
        <f>+(BG221-SUM(BC221))/3</f>
        <v>-62.5</v>
      </c>
      <c r="BE221" s="178">
        <f>(BG221-SUM(BC221:BD221))/2</f>
        <v>-62.5</v>
      </c>
      <c r="BF221" s="179">
        <f>(BG221-SUM(BC221:BE221))/1</f>
        <v>-62.5</v>
      </c>
      <c r="BG221" s="108">
        <v>-250</v>
      </c>
      <c r="BH221" s="177">
        <f>+BL221/4</f>
        <v>-100</v>
      </c>
      <c r="BI221" s="178">
        <f>+(BL221-SUM(BH221))/3</f>
        <v>-100</v>
      </c>
      <c r="BJ221" s="178">
        <f>(BL221-SUM(BH221:BI221))/2</f>
        <v>-100</v>
      </c>
      <c r="BK221" s="179">
        <f>(BL221-SUM(BH221:BJ221))/1</f>
        <v>-100</v>
      </c>
      <c r="BL221" s="108">
        <v>-400</v>
      </c>
      <c r="BM221" s="177">
        <f>+BQ221/4</f>
        <v>-62.5</v>
      </c>
      <c r="BN221" s="178">
        <f>+(BQ221-SUM(BM221))/3</f>
        <v>-62.5</v>
      </c>
      <c r="BO221" s="178">
        <f>(BQ221-SUM(BM221:BN221))/2</f>
        <v>-62.5</v>
      </c>
      <c r="BP221" s="179">
        <f>(BQ221-SUM(BM221:BO221))/1</f>
        <v>-62.5</v>
      </c>
      <c r="BQ221" s="108">
        <v>-250</v>
      </c>
    </row>
    <row r="222" spans="1:69">
      <c r="A222" s="320"/>
      <c r="B222" s="320"/>
      <c r="C222" s="129" t="s">
        <v>363</v>
      </c>
      <c r="D222" s="320"/>
      <c r="E222" s="405"/>
      <c r="F222" s="406"/>
      <c r="G222" s="406"/>
      <c r="H222" s="407"/>
      <c r="I222" s="107"/>
      <c r="J222" s="249"/>
      <c r="K222" s="250"/>
      <c r="L222" s="250"/>
      <c r="M222" s="251"/>
      <c r="N222" s="107"/>
      <c r="O222" s="249"/>
      <c r="P222" s="250"/>
      <c r="Q222" s="250"/>
      <c r="R222" s="251"/>
      <c r="S222" s="107"/>
      <c r="T222" s="249"/>
      <c r="U222" s="250"/>
      <c r="V222" s="250"/>
      <c r="W222" s="251"/>
      <c r="X222" s="107"/>
      <c r="Y222" s="183"/>
      <c r="Z222" s="184"/>
      <c r="AA222" s="184"/>
      <c r="AB222" s="185"/>
      <c r="AC222" s="107"/>
      <c r="AD222" s="183"/>
      <c r="AE222" s="184"/>
      <c r="AF222" s="184"/>
      <c r="AG222" s="185"/>
      <c r="AH222" s="107"/>
      <c r="AI222" s="183"/>
      <c r="AJ222" s="184"/>
      <c r="AK222" s="184"/>
      <c r="AL222" s="185"/>
      <c r="AM222" s="107"/>
      <c r="AN222" s="183"/>
      <c r="AO222" s="184"/>
      <c r="AP222" s="184"/>
      <c r="AQ222" s="185"/>
      <c r="AR222" s="107"/>
      <c r="AS222" s="183"/>
      <c r="AT222" s="184"/>
      <c r="AU222" s="184"/>
      <c r="AV222" s="185"/>
      <c r="AW222" s="107"/>
      <c r="AX222" s="183">
        <v>0</v>
      </c>
      <c r="AY222" s="184">
        <v>0</v>
      </c>
      <c r="AZ222" s="184">
        <v>0</v>
      </c>
      <c r="BA222" s="185">
        <v>0</v>
      </c>
      <c r="BB222" s="107">
        <f>SUM(AX222:BA222)</f>
        <v>0</v>
      </c>
      <c r="BC222" s="183">
        <v>0</v>
      </c>
      <c r="BD222" s="184">
        <v>0</v>
      </c>
      <c r="BE222" s="184">
        <v>0</v>
      </c>
      <c r="BF222" s="185">
        <v>0</v>
      </c>
      <c r="BG222" s="107">
        <f>SUM(BC222:BF222)</f>
        <v>0</v>
      </c>
      <c r="BH222" s="183">
        <v>0</v>
      </c>
      <c r="BI222" s="184">
        <v>0</v>
      </c>
      <c r="BJ222" s="184">
        <v>0</v>
      </c>
      <c r="BK222" s="185">
        <v>0</v>
      </c>
      <c r="BL222" s="107">
        <f>SUM(BH222:BK222)</f>
        <v>0</v>
      </c>
      <c r="BM222" s="183">
        <v>0</v>
      </c>
      <c r="BN222" s="184">
        <v>0</v>
      </c>
      <c r="BO222" s="184">
        <v>0</v>
      </c>
      <c r="BP222" s="185">
        <v>0</v>
      </c>
      <c r="BQ222" s="107">
        <f>SUM(BM222:BP222)</f>
        <v>0</v>
      </c>
    </row>
    <row r="223" spans="1:69">
      <c r="A223" s="327"/>
      <c r="B223" s="327"/>
      <c r="C223" s="1173" t="s">
        <v>364</v>
      </c>
      <c r="D223" s="327"/>
      <c r="E223" s="335"/>
      <c r="F223" s="336"/>
      <c r="G223" s="336"/>
      <c r="H223" s="337"/>
      <c r="I223" s="110"/>
      <c r="J223" s="248"/>
      <c r="K223" s="246"/>
      <c r="L223" s="246"/>
      <c r="M223" s="247"/>
      <c r="N223" s="110"/>
      <c r="O223" s="248"/>
      <c r="P223" s="246"/>
      <c r="Q223" s="246"/>
      <c r="R223" s="247"/>
      <c r="S223" s="110"/>
      <c r="T223" s="248"/>
      <c r="U223" s="246"/>
      <c r="V223" s="246"/>
      <c r="W223" s="247"/>
      <c r="X223" s="110"/>
      <c r="Y223" s="180"/>
      <c r="Z223" s="181"/>
      <c r="AA223" s="181"/>
      <c r="AB223" s="182"/>
      <c r="AC223" s="110"/>
      <c r="AD223" s="180"/>
      <c r="AE223" s="181"/>
      <c r="AF223" s="181"/>
      <c r="AG223" s="182"/>
      <c r="AH223" s="110"/>
      <c r="AI223" s="180"/>
      <c r="AJ223" s="181"/>
      <c r="AK223" s="181"/>
      <c r="AL223" s="182"/>
      <c r="AM223" s="110"/>
      <c r="AN223" s="180"/>
      <c r="AO223" s="181"/>
      <c r="AP223" s="181"/>
      <c r="AQ223" s="182"/>
      <c r="AR223" s="110"/>
      <c r="AS223" s="180"/>
      <c r="AT223" s="181"/>
      <c r="AU223" s="181"/>
      <c r="AV223" s="182"/>
      <c r="AW223" s="110"/>
      <c r="AX223" s="180">
        <f t="shared" ref="AX223:BB223" si="518">SUM(AX217:AX222)</f>
        <v>-112.5</v>
      </c>
      <c r="AY223" s="181">
        <f t="shared" si="518"/>
        <v>2012.5</v>
      </c>
      <c r="AZ223" s="181">
        <f t="shared" si="518"/>
        <v>-412.5</v>
      </c>
      <c r="BA223" s="182">
        <f t="shared" si="518"/>
        <v>-197.5</v>
      </c>
      <c r="BB223" s="110">
        <f t="shared" si="518"/>
        <v>1290</v>
      </c>
      <c r="BC223" s="180">
        <f t="shared" ref="BC223:BL223" si="519">SUM(BC217:BC222)</f>
        <v>-562.5</v>
      </c>
      <c r="BD223" s="181">
        <f t="shared" si="519"/>
        <v>-62.5</v>
      </c>
      <c r="BE223" s="181">
        <f t="shared" si="519"/>
        <v>1556.731</v>
      </c>
      <c r="BF223" s="182">
        <f t="shared" si="519"/>
        <v>-62.5</v>
      </c>
      <c r="BG223" s="110">
        <f t="shared" si="519"/>
        <v>869.23099999999999</v>
      </c>
      <c r="BH223" s="180">
        <f t="shared" si="519"/>
        <v>-100</v>
      </c>
      <c r="BI223" s="181">
        <f t="shared" si="519"/>
        <v>-100</v>
      </c>
      <c r="BJ223" s="181">
        <f t="shared" si="519"/>
        <v>1530</v>
      </c>
      <c r="BK223" s="182">
        <f t="shared" si="519"/>
        <v>-375</v>
      </c>
      <c r="BL223" s="110">
        <f t="shared" si="519"/>
        <v>955</v>
      </c>
      <c r="BM223" s="180">
        <f t="shared" ref="BM223:BQ223" si="520">SUM(BM217:BM222)</f>
        <v>-452.5</v>
      </c>
      <c r="BN223" s="181">
        <f t="shared" si="520"/>
        <v>-511.72800000000001</v>
      </c>
      <c r="BO223" s="181">
        <f t="shared" si="520"/>
        <v>1836.7359999999999</v>
      </c>
      <c r="BP223" s="182">
        <f t="shared" si="520"/>
        <v>-62.5</v>
      </c>
      <c r="BQ223" s="110">
        <f t="shared" si="520"/>
        <v>810.00799999999981</v>
      </c>
    </row>
    <row r="224" spans="1:69">
      <c r="A224" s="320"/>
      <c r="B224" s="320"/>
      <c r="C224" s="129"/>
      <c r="D224" s="320"/>
      <c r="E224" s="324"/>
      <c r="F224" s="325"/>
      <c r="G224" s="325"/>
      <c r="H224" s="326"/>
      <c r="I224" s="107"/>
      <c r="J224" s="249"/>
      <c r="K224" s="250"/>
      <c r="L224" s="250"/>
      <c r="M224" s="251"/>
      <c r="N224" s="107"/>
      <c r="O224" s="249"/>
      <c r="P224" s="250"/>
      <c r="Q224" s="250"/>
      <c r="R224" s="251"/>
      <c r="S224" s="107"/>
      <c r="T224" s="249"/>
      <c r="U224" s="250"/>
      <c r="V224" s="250"/>
      <c r="W224" s="251"/>
      <c r="X224" s="107"/>
      <c r="Y224" s="174"/>
      <c r="Z224" s="175"/>
      <c r="AA224" s="175"/>
      <c r="AB224" s="176"/>
      <c r="AC224" s="107"/>
      <c r="AD224" s="174"/>
      <c r="AE224" s="175"/>
      <c r="AF224" s="175"/>
      <c r="AG224" s="176"/>
      <c r="AH224" s="107"/>
      <c r="AI224" s="174"/>
      <c r="AJ224" s="175"/>
      <c r="AK224" s="175"/>
      <c r="AL224" s="176"/>
      <c r="AM224" s="107"/>
      <c r="AN224" s="174"/>
      <c r="AO224" s="175"/>
      <c r="AP224" s="175"/>
      <c r="AQ224" s="176"/>
      <c r="AR224" s="107"/>
      <c r="AS224" s="174"/>
      <c r="AT224" s="175"/>
      <c r="AU224" s="175"/>
      <c r="AV224" s="176"/>
      <c r="AW224" s="107"/>
      <c r="AX224" s="174"/>
      <c r="AY224" s="175"/>
      <c r="AZ224" s="175"/>
      <c r="BA224" s="176"/>
      <c r="BB224" s="107"/>
      <c r="BC224" s="174"/>
      <c r="BD224" s="175"/>
      <c r="BE224" s="175"/>
      <c r="BF224" s="176"/>
      <c r="BG224" s="107"/>
      <c r="BH224" s="174"/>
      <c r="BI224" s="175"/>
      <c r="BJ224" s="175"/>
      <c r="BK224" s="176"/>
      <c r="BL224" s="107"/>
      <c r="BM224" s="174"/>
      <c r="BN224" s="175"/>
      <c r="BO224" s="175"/>
      <c r="BP224" s="176"/>
      <c r="BQ224" s="107"/>
    </row>
    <row r="225" spans="1:69">
      <c r="A225" s="320"/>
      <c r="B225" s="320"/>
      <c r="C225" s="1173" t="s">
        <v>383</v>
      </c>
      <c r="D225" s="320"/>
      <c r="E225" s="335"/>
      <c r="F225" s="336"/>
      <c r="G225" s="336"/>
      <c r="H225" s="337"/>
      <c r="I225" s="110"/>
      <c r="J225" s="248"/>
      <c r="K225" s="246"/>
      <c r="L225" s="246"/>
      <c r="M225" s="247"/>
      <c r="N225" s="110"/>
      <c r="O225" s="248"/>
      <c r="P225" s="246"/>
      <c r="Q225" s="246"/>
      <c r="R225" s="247"/>
      <c r="S225" s="110"/>
      <c r="T225" s="248"/>
      <c r="U225" s="246"/>
      <c r="V225" s="246"/>
      <c r="W225" s="247"/>
      <c r="X225" s="110"/>
      <c r="Y225" s="180"/>
      <c r="Z225" s="181"/>
      <c r="AA225" s="181"/>
      <c r="AB225" s="182"/>
      <c r="AC225" s="110"/>
      <c r="AD225" s="180"/>
      <c r="AE225" s="181"/>
      <c r="AF225" s="181"/>
      <c r="AG225" s="182"/>
      <c r="AH225" s="110"/>
      <c r="AI225" s="180"/>
      <c r="AJ225" s="181"/>
      <c r="AK225" s="181"/>
      <c r="AL225" s="182"/>
      <c r="AM225" s="110"/>
      <c r="AN225" s="180"/>
      <c r="AO225" s="181"/>
      <c r="AP225" s="181"/>
      <c r="AQ225" s="182"/>
      <c r="AR225" s="110"/>
      <c r="AS225" s="180"/>
      <c r="AT225" s="181"/>
      <c r="AU225" s="181"/>
      <c r="AV225" s="182"/>
      <c r="AW225" s="110"/>
      <c r="AX225" s="180">
        <f t="shared" ref="AX225:BB225" si="521">AX211+AX215+AX223</f>
        <v>-469.54906340400794</v>
      </c>
      <c r="AY225" s="181">
        <f t="shared" si="521"/>
        <v>1683.3397872659639</v>
      </c>
      <c r="AZ225" s="181">
        <f t="shared" si="521"/>
        <v>-535.74431952938858</v>
      </c>
      <c r="BA225" s="182">
        <f t="shared" si="521"/>
        <v>-591.25278422186386</v>
      </c>
      <c r="BB225" s="110">
        <f t="shared" si="521"/>
        <v>86.793620110703159</v>
      </c>
      <c r="BC225" s="180">
        <f t="shared" ref="BC225:BL225" si="522">BC211+BC215+BC223</f>
        <v>-851.75644125617987</v>
      </c>
      <c r="BD225" s="181">
        <f t="shared" si="522"/>
        <v>-308.73651068191816</v>
      </c>
      <c r="BE225" s="181">
        <f t="shared" si="522"/>
        <v>1500.5177086670806</v>
      </c>
      <c r="BF225" s="182">
        <f t="shared" si="522"/>
        <v>-387.76261212126587</v>
      </c>
      <c r="BG225" s="110">
        <f t="shared" si="522"/>
        <v>-47.737855392283336</v>
      </c>
      <c r="BH225" s="180">
        <f t="shared" si="522"/>
        <v>-352.49836979556835</v>
      </c>
      <c r="BI225" s="181">
        <f t="shared" si="522"/>
        <v>-311.23963113427089</v>
      </c>
      <c r="BJ225" s="181">
        <f t="shared" si="522"/>
        <v>1503.3293715137349</v>
      </c>
      <c r="BK225" s="182">
        <f t="shared" si="522"/>
        <v>-665.79540360941178</v>
      </c>
      <c r="BL225" s="110">
        <f t="shared" si="522"/>
        <v>173.79596697448414</v>
      </c>
      <c r="BM225" s="180">
        <f t="shared" ref="BM225:BQ225" si="523">BM211+BM215+BM223</f>
        <v>-734.73270173736103</v>
      </c>
      <c r="BN225" s="181">
        <f t="shared" si="523"/>
        <v>-751.05726150772989</v>
      </c>
      <c r="BO225" s="181">
        <f t="shared" si="523"/>
        <v>1774.2097749719342</v>
      </c>
      <c r="BP225" s="182">
        <f t="shared" si="523"/>
        <v>-384.88977445720082</v>
      </c>
      <c r="BQ225" s="110">
        <f t="shared" si="523"/>
        <v>-96.469962730357565</v>
      </c>
    </row>
    <row r="226" spans="1:69" ht="12.75" customHeight="1">
      <c r="A226" s="320"/>
      <c r="B226" s="320"/>
      <c r="C226" s="129" t="s">
        <v>384</v>
      </c>
      <c r="D226" s="320"/>
      <c r="E226" s="324"/>
      <c r="F226" s="325"/>
      <c r="G226" s="325"/>
      <c r="H226" s="326"/>
      <c r="I226" s="107"/>
      <c r="J226" s="174"/>
      <c r="K226" s="175"/>
      <c r="L226" s="175"/>
      <c r="M226" s="176"/>
      <c r="N226" s="107"/>
      <c r="O226" s="174"/>
      <c r="P226" s="175"/>
      <c r="Q226" s="175"/>
      <c r="R226" s="176"/>
      <c r="S226" s="107"/>
      <c r="T226" s="174"/>
      <c r="U226" s="175"/>
      <c r="V226" s="175"/>
      <c r="W226" s="176"/>
      <c r="X226" s="107"/>
      <c r="Y226" s="174"/>
      <c r="Z226" s="175"/>
      <c r="AA226" s="175"/>
      <c r="AB226" s="176"/>
      <c r="AC226" s="107"/>
      <c r="AD226" s="174"/>
      <c r="AE226" s="175"/>
      <c r="AF226" s="175"/>
      <c r="AG226" s="176"/>
      <c r="AH226" s="107"/>
      <c r="AI226" s="174"/>
      <c r="AJ226" s="175"/>
      <c r="AK226" s="175"/>
      <c r="AL226" s="176"/>
      <c r="AM226" s="107"/>
      <c r="AN226" s="174"/>
      <c r="AO226" s="175"/>
      <c r="AP226" s="175"/>
      <c r="AQ226" s="176"/>
      <c r="AR226" s="107"/>
      <c r="AS226" s="174"/>
      <c r="AT226" s="175"/>
      <c r="AU226" s="175"/>
      <c r="AV226" s="176"/>
      <c r="AW226" s="107"/>
      <c r="AX226" s="174">
        <f>AW232</f>
        <v>544.428</v>
      </c>
      <c r="AY226" s="175">
        <f>AX232</f>
        <v>0</v>
      </c>
      <c r="AZ226" s="175">
        <f>AY232</f>
        <v>1646.873723861956</v>
      </c>
      <c r="BA226" s="176">
        <f>AZ232</f>
        <v>1111.1294043325674</v>
      </c>
      <c r="BB226" s="107">
        <f>AW228</f>
        <v>544.428</v>
      </c>
      <c r="BC226" s="174">
        <f>BB232</f>
        <v>519.87662011070358</v>
      </c>
      <c r="BD226" s="175">
        <f>BC232</f>
        <v>0</v>
      </c>
      <c r="BE226" s="175">
        <f>BD232</f>
        <v>0</v>
      </c>
      <c r="BF226" s="176">
        <f>BE232</f>
        <v>859.90137683968612</v>
      </c>
      <c r="BG226" s="107">
        <f>BB228</f>
        <v>519.87662011070313</v>
      </c>
      <c r="BH226" s="174">
        <f>BG232</f>
        <v>472.13876471842025</v>
      </c>
      <c r="BI226" s="175">
        <f>BH232</f>
        <v>119.6403949228519</v>
      </c>
      <c r="BJ226" s="175">
        <f>BI232</f>
        <v>0</v>
      </c>
      <c r="BK226" s="176">
        <f>BJ232</f>
        <v>1311.7301353023158</v>
      </c>
      <c r="BL226" s="107">
        <f>BG228</f>
        <v>472.13876471841979</v>
      </c>
      <c r="BM226" s="174">
        <f>BL232</f>
        <v>645.93473169290405</v>
      </c>
      <c r="BN226" s="175">
        <f>BM232</f>
        <v>0</v>
      </c>
      <c r="BO226" s="175">
        <f>BN232</f>
        <v>0</v>
      </c>
      <c r="BP226" s="176">
        <f>BO232</f>
        <v>934.3545434197473</v>
      </c>
      <c r="BQ226" s="107">
        <f>BL228</f>
        <v>645.93473169290394</v>
      </c>
    </row>
    <row r="227" spans="1:69">
      <c r="A227" s="320"/>
      <c r="B227" s="320"/>
      <c r="C227" s="129" t="s">
        <v>467</v>
      </c>
      <c r="D227" s="320"/>
      <c r="E227" s="197"/>
      <c r="F227" s="198"/>
      <c r="G227" s="198"/>
      <c r="H227" s="193"/>
      <c r="I227" s="107"/>
      <c r="J227" s="197"/>
      <c r="K227" s="198"/>
      <c r="L227" s="198"/>
      <c r="M227" s="193"/>
      <c r="N227" s="107"/>
      <c r="O227" s="197"/>
      <c r="P227" s="198"/>
      <c r="Q227" s="198"/>
      <c r="R227" s="193"/>
      <c r="S227" s="107"/>
      <c r="T227" s="197"/>
      <c r="U227" s="198"/>
      <c r="V227" s="198"/>
      <c r="W227" s="193"/>
      <c r="X227" s="107"/>
      <c r="Y227" s="174"/>
      <c r="Z227" s="175"/>
      <c r="AA227" s="175"/>
      <c r="AB227" s="176"/>
      <c r="AC227" s="107"/>
      <c r="AD227" s="174"/>
      <c r="AE227" s="175"/>
      <c r="AF227" s="175"/>
      <c r="AG227" s="176"/>
      <c r="AH227" s="107"/>
      <c r="AI227" s="174"/>
      <c r="AJ227" s="175"/>
      <c r="AK227" s="175"/>
      <c r="AL227" s="176"/>
      <c r="AM227" s="107"/>
      <c r="AN227" s="174"/>
      <c r="AO227" s="175"/>
      <c r="AP227" s="175"/>
      <c r="AQ227" s="176"/>
      <c r="AR227" s="107"/>
      <c r="AS227" s="174"/>
      <c r="AT227" s="175"/>
      <c r="AU227" s="175"/>
      <c r="AV227" s="176"/>
      <c r="AW227" s="107"/>
      <c r="AX227" s="174">
        <f>IF((AX226+AX225)&gt;=AW234,-AW234,-(AX226+AX225))</f>
        <v>-74.878936595992059</v>
      </c>
      <c r="AY227" s="175">
        <f>IF((AY226+AY225)&gt;=AX234,-AX234,-(AY226+AY225))</f>
        <v>-36.46606340400794</v>
      </c>
      <c r="AZ227" s="175">
        <f>IF((AZ226+AZ225)&gt;=AY234,-AY234,-(AZ226+AZ225))</f>
        <v>0</v>
      </c>
      <c r="BA227" s="176">
        <f>IF((BA226+BA225)&gt;=AZ234,-AZ234,-(BA226+BA225))</f>
        <v>0</v>
      </c>
      <c r="BB227" s="107">
        <f>+SUM(AX227:BA227)</f>
        <v>-111.345</v>
      </c>
      <c r="BC227" s="174">
        <f>IF((BC226+BC225)&gt;=BB234,-BB234,-(BC226+BC225))</f>
        <v>331.87982114547628</v>
      </c>
      <c r="BD227" s="175">
        <f>IF((BD226+BD225)&gt;=BC234,-BC234,-(BD226+BD225))</f>
        <v>308.73651068191816</v>
      </c>
      <c r="BE227" s="175">
        <f>IF((BE226+BE225)&gt;=BD234,-BD234,-(BE226+BE225))</f>
        <v>-640.61633182739445</v>
      </c>
      <c r="BF227" s="176">
        <f>IF((BF226+BF225)&gt;=BE234,-BE234,-(BF226+BF225))</f>
        <v>0</v>
      </c>
      <c r="BG227" s="107">
        <f>+SUM(BC227:BF227)</f>
        <v>0</v>
      </c>
      <c r="BH227" s="174">
        <f>IF((BH226+BH225)&gt;=BG234,-BG234,-(BH226+BH225))</f>
        <v>0</v>
      </c>
      <c r="BI227" s="175">
        <f>IF((BI226+BI225)&gt;=BH234,-BH234,-(BI226+BI225))</f>
        <v>191.599236211419</v>
      </c>
      <c r="BJ227" s="175">
        <f>IF((BJ226+BJ225)&gt;=BI234,-BI234,-(BJ226+BJ225))</f>
        <v>-191.599236211419</v>
      </c>
      <c r="BK227" s="176">
        <f>IF((BK226+BK225)&gt;=BJ234,-BJ234,-(BK226+BK225))</f>
        <v>0</v>
      </c>
      <c r="BL227" s="107">
        <f>+SUM(BH227:BK227)</f>
        <v>0</v>
      </c>
      <c r="BM227" s="174">
        <f>IF((BM226+BM225)&gt;=BL234,-BL234,-(BM226+BM225))</f>
        <v>88.797970044456974</v>
      </c>
      <c r="BN227" s="175">
        <f>IF((BN226+BN225)&gt;=BM234,-BM234,-(BN226+BN225))</f>
        <v>751.05726150772989</v>
      </c>
      <c r="BO227" s="175">
        <f>IF((BO226+BO225)&gt;=BN234,-BN234,-(BO226+BO225))</f>
        <v>-839.85523155218686</v>
      </c>
      <c r="BP227" s="176">
        <f>IF((BP226+BP225)&gt;=BO234,-BO234,-(BP226+BP225))</f>
        <v>0</v>
      </c>
      <c r="BQ227" s="107">
        <f>+SUM(BM227:BP227)</f>
        <v>0</v>
      </c>
    </row>
    <row r="228" spans="1:69" s="37" customFormat="1">
      <c r="A228" s="327"/>
      <c r="B228" s="327"/>
      <c r="C228" s="1173" t="s">
        <v>440</v>
      </c>
      <c r="D228" s="327"/>
      <c r="E228" s="335"/>
      <c r="F228" s="336"/>
      <c r="G228" s="336"/>
      <c r="H228" s="330"/>
      <c r="I228" s="110"/>
      <c r="J228" s="186"/>
      <c r="K228" s="192"/>
      <c r="L228" s="192"/>
      <c r="M228" s="125"/>
      <c r="N228" s="110"/>
      <c r="O228" s="180"/>
      <c r="P228" s="181"/>
      <c r="Q228" s="181"/>
      <c r="R228" s="182"/>
      <c r="S228" s="110"/>
      <c r="T228" s="180"/>
      <c r="U228" s="181"/>
      <c r="V228" s="181"/>
      <c r="W228" s="182"/>
      <c r="X228" s="110">
        <f>+X232</f>
        <v>380.13299999999998</v>
      </c>
      <c r="Y228" s="180"/>
      <c r="Z228" s="181"/>
      <c r="AA228" s="181"/>
      <c r="AB228" s="182"/>
      <c r="AC228" s="110">
        <f>+AC232</f>
        <v>551.21699999999998</v>
      </c>
      <c r="AD228" s="180"/>
      <c r="AE228" s="181"/>
      <c r="AF228" s="181"/>
      <c r="AG228" s="182"/>
      <c r="AH228" s="110">
        <f>+AH232</f>
        <v>973.41499999999996</v>
      </c>
      <c r="AI228" s="180"/>
      <c r="AJ228" s="181"/>
      <c r="AK228" s="181"/>
      <c r="AL228" s="182"/>
      <c r="AM228" s="110">
        <f>+AM232</f>
        <v>619.06799999999998</v>
      </c>
      <c r="AN228" s="180"/>
      <c r="AO228" s="181"/>
      <c r="AP228" s="181"/>
      <c r="AQ228" s="182"/>
      <c r="AR228" s="110">
        <f>+AR232</f>
        <v>746.90899999999999</v>
      </c>
      <c r="AS228" s="180"/>
      <c r="AT228" s="181"/>
      <c r="AU228" s="181"/>
      <c r="AV228" s="182"/>
      <c r="AW228" s="110">
        <f>+AW232</f>
        <v>544.428</v>
      </c>
      <c r="AX228" s="180">
        <f t="shared" ref="AX228:BB228" si="524">AX225+AX226+AX227</f>
        <v>0</v>
      </c>
      <c r="AY228" s="181">
        <f t="shared" si="524"/>
        <v>1646.873723861956</v>
      </c>
      <c r="AZ228" s="181">
        <f t="shared" si="524"/>
        <v>1111.1294043325674</v>
      </c>
      <c r="BA228" s="182">
        <f t="shared" si="524"/>
        <v>519.87662011070358</v>
      </c>
      <c r="BB228" s="110">
        <f t="shared" si="524"/>
        <v>519.87662011070313</v>
      </c>
      <c r="BC228" s="180">
        <f t="shared" ref="BC228:BL228" si="525">BC225+BC226+BC227</f>
        <v>0</v>
      </c>
      <c r="BD228" s="181">
        <f t="shared" si="525"/>
        <v>0</v>
      </c>
      <c r="BE228" s="181">
        <f t="shared" si="525"/>
        <v>859.90137683968612</v>
      </c>
      <c r="BF228" s="182">
        <f t="shared" si="525"/>
        <v>472.13876471842025</v>
      </c>
      <c r="BG228" s="110">
        <f t="shared" si="525"/>
        <v>472.13876471841979</v>
      </c>
      <c r="BH228" s="180">
        <f t="shared" si="525"/>
        <v>119.6403949228519</v>
      </c>
      <c r="BI228" s="181">
        <f t="shared" si="525"/>
        <v>0</v>
      </c>
      <c r="BJ228" s="181">
        <f t="shared" si="525"/>
        <v>1311.7301353023158</v>
      </c>
      <c r="BK228" s="182">
        <f t="shared" si="525"/>
        <v>645.93473169290405</v>
      </c>
      <c r="BL228" s="110">
        <f t="shared" si="525"/>
        <v>645.93473169290394</v>
      </c>
      <c r="BM228" s="180">
        <f t="shared" ref="BM228:BQ228" si="526">BM225+BM226+BM227</f>
        <v>0</v>
      </c>
      <c r="BN228" s="181">
        <f t="shared" si="526"/>
        <v>0</v>
      </c>
      <c r="BO228" s="181">
        <f t="shared" si="526"/>
        <v>934.3545434197473</v>
      </c>
      <c r="BP228" s="182">
        <f t="shared" si="526"/>
        <v>549.46476896254649</v>
      </c>
      <c r="BQ228" s="110">
        <f t="shared" si="526"/>
        <v>549.46476896254637</v>
      </c>
    </row>
    <row r="229" spans="1:69">
      <c r="A229" s="5"/>
      <c r="B229" s="5"/>
      <c r="C229" s="129"/>
      <c r="D229" s="5"/>
      <c r="E229" s="139"/>
      <c r="F229" s="18"/>
      <c r="G229" s="18"/>
      <c r="H229" s="140"/>
      <c r="I229" s="5"/>
      <c r="J229" s="139"/>
      <c r="K229" s="18"/>
      <c r="L229" s="18"/>
      <c r="M229" s="140"/>
      <c r="N229" s="5"/>
      <c r="O229" s="139"/>
      <c r="P229" s="18"/>
      <c r="Q229" s="18"/>
      <c r="R229" s="140"/>
      <c r="S229" s="5"/>
      <c r="T229" s="139"/>
      <c r="U229" s="18"/>
      <c r="V229" s="18"/>
      <c r="W229" s="140"/>
      <c r="X229" s="5"/>
      <c r="Y229" s="139"/>
      <c r="Z229" s="18"/>
      <c r="AA229" s="18"/>
      <c r="AB229" s="140"/>
      <c r="AC229" s="5"/>
      <c r="AD229" s="139"/>
      <c r="AE229" s="18"/>
      <c r="AF229" s="18"/>
      <c r="AG229" s="140"/>
      <c r="AH229" s="5"/>
      <c r="AI229" s="139"/>
      <c r="AJ229" s="18"/>
      <c r="AK229" s="18"/>
      <c r="AL229" s="140"/>
      <c r="AM229" s="5"/>
      <c r="AN229" s="139"/>
      <c r="AO229" s="18"/>
      <c r="AP229" s="18"/>
      <c r="AQ229" s="140"/>
      <c r="AR229" s="5"/>
      <c r="AS229" s="139"/>
      <c r="AT229" s="18"/>
      <c r="AU229" s="18"/>
      <c r="AV229" s="140"/>
      <c r="AW229" s="5"/>
      <c r="AX229" s="139"/>
      <c r="AY229" s="18"/>
      <c r="AZ229" s="18"/>
      <c r="BA229" s="140"/>
      <c r="BB229" s="5"/>
      <c r="BC229" s="139"/>
      <c r="BD229" s="18"/>
      <c r="BE229" s="18"/>
      <c r="BF229" s="140"/>
      <c r="BG229" s="5"/>
      <c r="BH229" s="139"/>
      <c r="BI229" s="18"/>
      <c r="BJ229" s="18"/>
      <c r="BK229" s="140"/>
      <c r="BL229" s="5"/>
      <c r="BM229" s="139"/>
      <c r="BN229" s="18"/>
      <c r="BO229" s="18"/>
      <c r="BP229" s="140"/>
      <c r="BQ229" s="5"/>
    </row>
    <row r="230" spans="1:69">
      <c r="A230" s="5"/>
      <c r="B230" s="5"/>
      <c r="C230" s="129"/>
      <c r="D230" s="5"/>
      <c r="E230" s="139"/>
      <c r="F230" s="18"/>
      <c r="G230" s="18"/>
      <c r="H230" s="140"/>
      <c r="I230" s="5"/>
      <c r="J230" s="139"/>
      <c r="K230" s="18"/>
      <c r="L230" s="18"/>
      <c r="M230" s="140"/>
      <c r="N230" s="5"/>
      <c r="O230" s="139"/>
      <c r="P230" s="18"/>
      <c r="Q230" s="18"/>
      <c r="R230" s="140"/>
      <c r="S230" s="5"/>
      <c r="T230" s="139"/>
      <c r="U230" s="18"/>
      <c r="V230" s="18"/>
      <c r="W230" s="140"/>
      <c r="X230" s="5"/>
      <c r="Y230" s="139"/>
      <c r="Z230" s="18"/>
      <c r="AA230" s="18"/>
      <c r="AB230" s="140"/>
      <c r="AC230" s="5"/>
      <c r="AD230" s="139"/>
      <c r="AE230" s="18"/>
      <c r="AF230" s="18"/>
      <c r="AG230" s="140"/>
      <c r="AH230" s="5"/>
      <c r="AI230" s="139"/>
      <c r="AJ230" s="18"/>
      <c r="AK230" s="18"/>
      <c r="AL230" s="140"/>
      <c r="AM230" s="5"/>
      <c r="AN230" s="139"/>
      <c r="AO230" s="18"/>
      <c r="AP230" s="18"/>
      <c r="AQ230" s="140"/>
      <c r="AR230" s="5"/>
      <c r="AS230" s="139"/>
      <c r="AT230" s="18"/>
      <c r="AU230" s="18"/>
      <c r="AV230" s="140"/>
      <c r="AW230" s="5"/>
      <c r="AX230" s="139"/>
      <c r="AY230" s="18"/>
      <c r="AZ230" s="18"/>
      <c r="BA230" s="140"/>
      <c r="BB230" s="5"/>
      <c r="BC230" s="139"/>
      <c r="BD230" s="18"/>
      <c r="BE230" s="18"/>
      <c r="BF230" s="140"/>
      <c r="BG230" s="5"/>
      <c r="BH230" s="139"/>
      <c r="BI230" s="18"/>
      <c r="BJ230" s="18"/>
      <c r="BK230" s="140"/>
      <c r="BL230" s="5"/>
      <c r="BM230" s="139"/>
      <c r="BN230" s="18"/>
      <c r="BO230" s="18"/>
      <c r="BP230" s="140"/>
      <c r="BQ230" s="5"/>
    </row>
    <row r="231" spans="1:69">
      <c r="A231" s="5"/>
      <c r="B231" s="401" t="s">
        <v>13</v>
      </c>
      <c r="C231" s="1172"/>
      <c r="D231" s="92"/>
      <c r="E231" s="133"/>
      <c r="F231" s="134"/>
      <c r="G231" s="134"/>
      <c r="H231" s="135"/>
      <c r="I231" s="5"/>
      <c r="J231" s="133"/>
      <c r="K231" s="134"/>
      <c r="L231" s="134"/>
      <c r="M231" s="135"/>
      <c r="N231" s="5"/>
      <c r="O231" s="133"/>
      <c r="P231" s="134"/>
      <c r="Q231" s="134"/>
      <c r="R231" s="135"/>
      <c r="S231" s="5"/>
      <c r="T231" s="133"/>
      <c r="U231" s="134"/>
      <c r="V231" s="134"/>
      <c r="W231" s="135"/>
      <c r="X231" s="5"/>
      <c r="Y231" s="133"/>
      <c r="Z231" s="134"/>
      <c r="AA231" s="134"/>
      <c r="AB231" s="135"/>
      <c r="AC231" s="5"/>
      <c r="AD231" s="133"/>
      <c r="AE231" s="134"/>
      <c r="AF231" s="134"/>
      <c r="AG231" s="135"/>
      <c r="AH231" s="5"/>
      <c r="AI231" s="133"/>
      <c r="AJ231" s="134"/>
      <c r="AK231" s="134"/>
      <c r="AL231" s="135"/>
      <c r="AM231" s="5"/>
      <c r="AN231" s="133"/>
      <c r="AO231" s="134"/>
      <c r="AP231" s="134"/>
      <c r="AQ231" s="135"/>
      <c r="AR231" s="5"/>
      <c r="AS231" s="133"/>
      <c r="AT231" s="134"/>
      <c r="AU231" s="134"/>
      <c r="AV231" s="135"/>
      <c r="AW231" s="5"/>
      <c r="AX231" s="133"/>
      <c r="AY231" s="134"/>
      <c r="AZ231" s="134"/>
      <c r="BA231" s="135"/>
      <c r="BB231" s="5"/>
      <c r="BC231" s="133"/>
      <c r="BD231" s="134"/>
      <c r="BE231" s="134"/>
      <c r="BF231" s="135"/>
      <c r="BG231" s="5"/>
      <c r="BH231" s="133"/>
      <c r="BI231" s="134"/>
      <c r="BJ231" s="134"/>
      <c r="BK231" s="135"/>
      <c r="BL231" s="5"/>
      <c r="BM231" s="133"/>
      <c r="BN231" s="134"/>
      <c r="BO231" s="134"/>
      <c r="BP231" s="135"/>
      <c r="BQ231" s="5"/>
    </row>
    <row r="232" spans="1:69">
      <c r="A232" s="320"/>
      <c r="B232" s="320"/>
      <c r="C232" s="1174" t="s">
        <v>611</v>
      </c>
      <c r="D232" s="320"/>
      <c r="E232" s="393"/>
      <c r="F232" s="190"/>
      <c r="G232" s="190"/>
      <c r="H232" s="191">
        <v>1239.269</v>
      </c>
      <c r="I232" s="107">
        <f>H232</f>
        <v>1239.269</v>
      </c>
      <c r="J232" s="393">
        <v>1038.9110000000001</v>
      </c>
      <c r="K232" s="190">
        <v>989.56299999999999</v>
      </c>
      <c r="L232" s="190">
        <v>1055.4179999999999</v>
      </c>
      <c r="M232" s="191">
        <v>821.58500000000004</v>
      </c>
      <c r="N232" s="107">
        <f>M232</f>
        <v>821.58500000000004</v>
      </c>
      <c r="O232" s="393">
        <v>439.22399999999999</v>
      </c>
      <c r="P232" s="190">
        <v>225.95</v>
      </c>
      <c r="Q232" s="190">
        <v>466.97399999999999</v>
      </c>
      <c r="R232" s="191">
        <v>359.63200000000001</v>
      </c>
      <c r="S232" s="107">
        <f>R232</f>
        <v>359.63200000000001</v>
      </c>
      <c r="T232" s="393">
        <v>415.52600000000001</v>
      </c>
      <c r="U232" s="190">
        <v>173.399</v>
      </c>
      <c r="V232" s="190">
        <v>544.48299999999995</v>
      </c>
      <c r="W232" s="191">
        <v>380.13299999999998</v>
      </c>
      <c r="X232" s="107">
        <f>W232</f>
        <v>380.13299999999998</v>
      </c>
      <c r="Y232" s="393">
        <v>97.786000000000001</v>
      </c>
      <c r="Z232" s="190">
        <v>169.06</v>
      </c>
      <c r="AA232" s="190">
        <v>235.303</v>
      </c>
      <c r="AB232" s="191">
        <v>551.21699999999998</v>
      </c>
      <c r="AC232" s="107">
        <f>AB232</f>
        <v>551.21699999999998</v>
      </c>
      <c r="AD232" s="393">
        <v>610.71400000000006</v>
      </c>
      <c r="AE232" s="190">
        <v>319.46600000000001</v>
      </c>
      <c r="AF232" s="190">
        <v>489.36700000000002</v>
      </c>
      <c r="AG232" s="191">
        <v>973.41499999999996</v>
      </c>
      <c r="AH232" s="107">
        <f>AG232</f>
        <v>973.41499999999996</v>
      </c>
      <c r="AI232" s="393">
        <v>773.53200000000004</v>
      </c>
      <c r="AJ232" s="190">
        <v>734.42499999999995</v>
      </c>
      <c r="AK232" s="190">
        <v>829.83299999999997</v>
      </c>
      <c r="AL232" s="191">
        <v>619.06799999999998</v>
      </c>
      <c r="AM232" s="107">
        <f>AL232</f>
        <v>619.06799999999998</v>
      </c>
      <c r="AN232" s="393">
        <v>662.625</v>
      </c>
      <c r="AO232" s="190">
        <v>492.46300000000002</v>
      </c>
      <c r="AP232" s="190">
        <v>708.08500000000004</v>
      </c>
      <c r="AQ232" s="191">
        <v>746.90899999999999</v>
      </c>
      <c r="AR232" s="107">
        <f>AQ232</f>
        <v>746.90899999999999</v>
      </c>
      <c r="AS232" s="393">
        <v>436.13400000000001</v>
      </c>
      <c r="AT232" s="190">
        <v>686.572</v>
      </c>
      <c r="AU232" s="190">
        <v>313.18400000000003</v>
      </c>
      <c r="AV232" s="191">
        <v>544.428</v>
      </c>
      <c r="AW232" s="107">
        <f>AV232</f>
        <v>544.428</v>
      </c>
      <c r="AX232" s="174">
        <f>AW232+AX225+AX227</f>
        <v>0</v>
      </c>
      <c r="AY232" s="175">
        <f>AX232+AY225+AY227</f>
        <v>1646.873723861956</v>
      </c>
      <c r="AZ232" s="175">
        <f>AY232+AZ225+AZ227</f>
        <v>1111.1294043325674</v>
      </c>
      <c r="BA232" s="176">
        <f>AZ232+BA225+BA227</f>
        <v>519.87662011070358</v>
      </c>
      <c r="BB232" s="107">
        <f>BA232</f>
        <v>519.87662011070358</v>
      </c>
      <c r="BC232" s="174">
        <f>BB232+BC225+BC227</f>
        <v>0</v>
      </c>
      <c r="BD232" s="175">
        <f>BC232+BD225+BD227</f>
        <v>0</v>
      </c>
      <c r="BE232" s="175">
        <f>BD232+BE225+BE227</f>
        <v>859.90137683968612</v>
      </c>
      <c r="BF232" s="176">
        <f>BE232+BF225+BF227</f>
        <v>472.13876471842025</v>
      </c>
      <c r="BG232" s="107">
        <f>BF232</f>
        <v>472.13876471842025</v>
      </c>
      <c r="BH232" s="174">
        <f>BG232+BH225+BH227</f>
        <v>119.6403949228519</v>
      </c>
      <c r="BI232" s="175">
        <f>BH232+BI225+BI227</f>
        <v>0</v>
      </c>
      <c r="BJ232" s="175">
        <f>BI232+BJ225+BJ227</f>
        <v>1311.7301353023158</v>
      </c>
      <c r="BK232" s="176">
        <f>BJ232+BK225+BK227</f>
        <v>645.93473169290405</v>
      </c>
      <c r="BL232" s="107">
        <f>BK232</f>
        <v>645.93473169290405</v>
      </c>
      <c r="BM232" s="174">
        <f>BL232+BM225+BM227</f>
        <v>0</v>
      </c>
      <c r="BN232" s="175">
        <f>BM232+BN225+BN227</f>
        <v>0</v>
      </c>
      <c r="BO232" s="175">
        <f>BN232+BO225+BO227</f>
        <v>934.3545434197473</v>
      </c>
      <c r="BP232" s="176">
        <f>BO232+BP225+BP227</f>
        <v>549.46476896254649</v>
      </c>
      <c r="BQ232" s="107">
        <f>BP232</f>
        <v>549.46476896254649</v>
      </c>
    </row>
    <row r="233" spans="1:69">
      <c r="A233" s="320"/>
      <c r="B233" s="320"/>
      <c r="C233" s="129"/>
      <c r="D233" s="320"/>
      <c r="E233" s="393"/>
      <c r="F233" s="190"/>
      <c r="G233" s="190"/>
      <c r="H233" s="191"/>
      <c r="I233" s="107"/>
      <c r="J233" s="393"/>
      <c r="K233" s="190"/>
      <c r="L233" s="190"/>
      <c r="M233" s="191"/>
      <c r="N233" s="107"/>
      <c r="O233" s="393"/>
      <c r="P233" s="190"/>
      <c r="Q233" s="190"/>
      <c r="R233" s="191"/>
      <c r="S233" s="107"/>
      <c r="T233" s="393"/>
      <c r="U233" s="190"/>
      <c r="V233" s="190"/>
      <c r="W233" s="191"/>
      <c r="X233" s="107"/>
      <c r="Y233" s="393"/>
      <c r="Z233" s="175"/>
      <c r="AA233" s="175"/>
      <c r="AB233" s="191"/>
      <c r="AC233" s="107"/>
      <c r="AD233" s="393"/>
      <c r="AE233" s="175"/>
      <c r="AF233" s="175"/>
      <c r="AG233" s="191"/>
      <c r="AH233" s="107"/>
      <c r="AI233" s="393"/>
      <c r="AJ233" s="175"/>
      <c r="AK233" s="175"/>
      <c r="AL233" s="191"/>
      <c r="AM233" s="107"/>
      <c r="AN233" s="393"/>
      <c r="AO233" s="175"/>
      <c r="AP233" s="175"/>
      <c r="AQ233" s="191"/>
      <c r="AR233" s="107"/>
      <c r="AS233" s="393"/>
      <c r="AT233" s="175"/>
      <c r="AU233" s="175"/>
      <c r="AV233" s="191"/>
      <c r="AW233" s="107"/>
      <c r="AX233" s="174"/>
      <c r="AY233" s="175"/>
      <c r="AZ233" s="175"/>
      <c r="BA233" s="176"/>
      <c r="BB233" s="107"/>
      <c r="BC233" s="174"/>
      <c r="BD233" s="175"/>
      <c r="BE233" s="175"/>
      <c r="BF233" s="176"/>
      <c r="BG233" s="107"/>
      <c r="BH233" s="174"/>
      <c r="BI233" s="175"/>
      <c r="BJ233" s="175"/>
      <c r="BK233" s="176"/>
      <c r="BL233" s="107"/>
      <c r="BM233" s="174"/>
      <c r="BN233" s="175"/>
      <c r="BO233" s="175"/>
      <c r="BP233" s="176"/>
      <c r="BQ233" s="107"/>
    </row>
    <row r="234" spans="1:69">
      <c r="A234" s="320"/>
      <c r="B234" s="320"/>
      <c r="C234" s="1174" t="s">
        <v>613</v>
      </c>
      <c r="D234" s="320"/>
      <c r="E234" s="393"/>
      <c r="F234" s="190"/>
      <c r="G234" s="190"/>
      <c r="H234" s="191">
        <v>953.54299999999978</v>
      </c>
      <c r="I234" s="107">
        <f>H234</f>
        <v>953.54299999999978</v>
      </c>
      <c r="J234" s="393">
        <f>411.002+5.388+175.498</f>
        <v>591.88799999999992</v>
      </c>
      <c r="K234" s="190">
        <f>336.002+203.974</f>
        <v>539.976</v>
      </c>
      <c r="L234" s="190">
        <f>334.291+167.915</f>
        <v>502.20600000000002</v>
      </c>
      <c r="M234" s="191">
        <f>184.291</f>
        <v>184.291</v>
      </c>
      <c r="N234" s="107">
        <f>M234</f>
        <v>184.291</v>
      </c>
      <c r="O234" s="393">
        <v>180.02699999999999</v>
      </c>
      <c r="P234" s="190">
        <f>100.027+130.795</f>
        <v>230.822</v>
      </c>
      <c r="Q234" s="190">
        <f>125.472+144.871</f>
        <v>270.34300000000002</v>
      </c>
      <c r="R234" s="191">
        <v>108.331</v>
      </c>
      <c r="S234" s="107">
        <f>R234</f>
        <v>108.331</v>
      </c>
      <c r="T234" s="393">
        <v>141.113</v>
      </c>
      <c r="U234" s="190">
        <v>103.71599999999999</v>
      </c>
      <c r="V234" s="190">
        <v>201.92599999999999</v>
      </c>
      <c r="W234" s="191">
        <f>28+131.399</f>
        <v>159.399</v>
      </c>
      <c r="X234" s="107">
        <f>W234</f>
        <v>159.399</v>
      </c>
      <c r="Y234" s="393">
        <v>190.989</v>
      </c>
      <c r="Z234" s="190">
        <v>142.876</v>
      </c>
      <c r="AA234" s="190">
        <v>90.962999999999994</v>
      </c>
      <c r="AB234" s="191">
        <v>2.94</v>
      </c>
      <c r="AC234" s="107">
        <f>AB234</f>
        <v>2.94</v>
      </c>
      <c r="AD234" s="393">
        <v>146.892</v>
      </c>
      <c r="AE234" s="190">
        <v>131.86099999999999</v>
      </c>
      <c r="AF234" s="190">
        <v>115.283</v>
      </c>
      <c r="AG234" s="191">
        <v>114.417</v>
      </c>
      <c r="AH234" s="107">
        <f>AG234</f>
        <v>114.417</v>
      </c>
      <c r="AI234" s="393">
        <v>46.811</v>
      </c>
      <c r="AJ234" s="190">
        <v>44.884999999999998</v>
      </c>
      <c r="AK234" s="190">
        <v>118.461</v>
      </c>
      <c r="AL234" s="191">
        <v>72.046999999999997</v>
      </c>
      <c r="AM234" s="107">
        <f>AL234</f>
        <v>72.046999999999997</v>
      </c>
      <c r="AN234" s="393">
        <v>188.46199999999999</v>
      </c>
      <c r="AO234" s="190">
        <v>171.685</v>
      </c>
      <c r="AP234" s="190">
        <v>169.42</v>
      </c>
      <c r="AQ234" s="191">
        <v>70.686000000000007</v>
      </c>
      <c r="AR234" s="107">
        <f>AQ234</f>
        <v>70.686000000000007</v>
      </c>
      <c r="AS234" s="393">
        <v>235.541</v>
      </c>
      <c r="AT234" s="190">
        <v>102.367</v>
      </c>
      <c r="AU234" s="190">
        <v>80.563999999999993</v>
      </c>
      <c r="AV234" s="191">
        <v>111.345</v>
      </c>
      <c r="AW234" s="107">
        <f>AV234</f>
        <v>111.345</v>
      </c>
      <c r="AX234" s="174">
        <f>AW234+AX227</f>
        <v>36.46606340400794</v>
      </c>
      <c r="AY234" s="175">
        <f>AX234+AY227</f>
        <v>0</v>
      </c>
      <c r="AZ234" s="175">
        <f>AY234+AZ227</f>
        <v>0</v>
      </c>
      <c r="BA234" s="176">
        <f>AZ234+BA227</f>
        <v>0</v>
      </c>
      <c r="BB234" s="107">
        <f>BA234</f>
        <v>0</v>
      </c>
      <c r="BC234" s="174">
        <f>BB234+BC227</f>
        <v>331.87982114547628</v>
      </c>
      <c r="BD234" s="175">
        <f>BC234+BD227</f>
        <v>640.61633182739445</v>
      </c>
      <c r="BE234" s="175">
        <f>BD234+BE227</f>
        <v>0</v>
      </c>
      <c r="BF234" s="176">
        <f>BE234+BF227</f>
        <v>0</v>
      </c>
      <c r="BG234" s="107">
        <f>BF234</f>
        <v>0</v>
      </c>
      <c r="BH234" s="174">
        <f>BG234+BH227</f>
        <v>0</v>
      </c>
      <c r="BI234" s="175">
        <f>BH234+BI227</f>
        <v>191.599236211419</v>
      </c>
      <c r="BJ234" s="175">
        <f>BI234+BJ227</f>
        <v>0</v>
      </c>
      <c r="BK234" s="176">
        <f>BJ234+BK227</f>
        <v>0</v>
      </c>
      <c r="BL234" s="107">
        <f>BK234</f>
        <v>0</v>
      </c>
      <c r="BM234" s="174">
        <f>BL234+BM227</f>
        <v>88.797970044456974</v>
      </c>
      <c r="BN234" s="175">
        <f>BM234+BN227</f>
        <v>839.85523155218686</v>
      </c>
      <c r="BO234" s="175">
        <f>BN234+BO227</f>
        <v>0</v>
      </c>
      <c r="BP234" s="176">
        <f>BO234+BP227</f>
        <v>0</v>
      </c>
      <c r="BQ234" s="107">
        <f>BP234</f>
        <v>0</v>
      </c>
    </row>
    <row r="235" spans="1:69">
      <c r="A235" s="320"/>
      <c r="B235" s="320"/>
      <c r="C235" s="1174" t="s">
        <v>614</v>
      </c>
      <c r="D235" s="320"/>
      <c r="E235" s="393"/>
      <c r="F235" s="190"/>
      <c r="G235" s="190"/>
      <c r="H235" s="191">
        <v>7897.0320000000002</v>
      </c>
      <c r="I235" s="107">
        <f>H235</f>
        <v>7897.0320000000002</v>
      </c>
      <c r="J235" s="393">
        <v>8565.9339999999993</v>
      </c>
      <c r="K235" s="190">
        <v>8405.7960000000003</v>
      </c>
      <c r="L235" s="190">
        <v>8522.3029999999999</v>
      </c>
      <c r="M235" s="191">
        <v>8677.4650000000001</v>
      </c>
      <c r="N235" s="107">
        <f>M235</f>
        <v>8677.4650000000001</v>
      </c>
      <c r="O235" s="393">
        <v>8723.0409999999993</v>
      </c>
      <c r="P235" s="190">
        <v>9030.384</v>
      </c>
      <c r="Q235" s="190">
        <v>9118.69</v>
      </c>
      <c r="R235" s="191">
        <f>245.472+8936.342</f>
        <v>9181.8140000000003</v>
      </c>
      <c r="S235" s="107">
        <f>R235</f>
        <v>9181.8140000000003</v>
      </c>
      <c r="T235" s="393">
        <f>288.845+9049.262</f>
        <v>9338.107</v>
      </c>
      <c r="U235" s="190">
        <f>393.845+8891.395</f>
        <v>9285.24</v>
      </c>
      <c r="V235" s="190">
        <f>771.09+8824.916</f>
        <v>9596.0059999999994</v>
      </c>
      <c r="W235" s="191">
        <f>701.09+9533.76</f>
        <v>10234.85</v>
      </c>
      <c r="X235" s="107">
        <f>W235</f>
        <v>10234.85</v>
      </c>
      <c r="Y235" s="393">
        <f>613.246+9566.847</f>
        <v>10180.092999999999</v>
      </c>
      <c r="Z235" s="190">
        <f>508.246+10311.738</f>
        <v>10819.983999999999</v>
      </c>
      <c r="AA235" s="190">
        <f>10531.749+188.884</f>
        <v>10720.633</v>
      </c>
      <c r="AB235" s="191">
        <f>10307.888+438.884</f>
        <v>10746.772000000001</v>
      </c>
      <c r="AC235" s="107">
        <f>AB235</f>
        <v>10746.772000000001</v>
      </c>
      <c r="AD235" s="393">
        <f>404.455+10506.619</f>
        <v>10911.074000000001</v>
      </c>
      <c r="AE235" s="190">
        <f>664.455+10163.323</f>
        <v>10827.778</v>
      </c>
      <c r="AF235" s="190">
        <f>545.835+10361.119</f>
        <v>10906.954000000002</v>
      </c>
      <c r="AG235" s="191">
        <f>327.79+10797.389</f>
        <v>11125.179</v>
      </c>
      <c r="AH235" s="107">
        <f>AG235</f>
        <v>11125.179</v>
      </c>
      <c r="AI235" s="393">
        <f>325.292+10791.025</f>
        <v>11116.316999999999</v>
      </c>
      <c r="AJ235" s="190">
        <f>223.192+10811.732</f>
        <v>11034.923999999999</v>
      </c>
      <c r="AK235" s="190">
        <f>257.129+10868.33</f>
        <v>11125.459000000001</v>
      </c>
      <c r="AL235" s="191">
        <f>209.374+11691.219</f>
        <v>11900.592999999999</v>
      </c>
      <c r="AM235" s="107">
        <f>AL235</f>
        <v>11900.592999999999</v>
      </c>
      <c r="AN235" s="393">
        <f>291.006+11702.182</f>
        <v>11993.188</v>
      </c>
      <c r="AO235" s="190">
        <f>166.006+11691.219</f>
        <v>11857.224999999999</v>
      </c>
      <c r="AP235" s="190">
        <f>250.2+11804.148</f>
        <v>12054.348</v>
      </c>
      <c r="AQ235" s="191">
        <f>364.9+11886.598</f>
        <v>12251.498</v>
      </c>
      <c r="AR235" s="107">
        <f>AQ235</f>
        <v>12251.498</v>
      </c>
      <c r="AS235" s="393">
        <f>276.209+11865.168</f>
        <v>12141.377</v>
      </c>
      <c r="AT235" s="190">
        <f>12245.242+632.409</f>
        <v>12877.651</v>
      </c>
      <c r="AU235" s="190">
        <f>11989.506+789.707</f>
        <v>12779.213</v>
      </c>
      <c r="AV235" s="191">
        <f>760.007+12163.671</f>
        <v>12923.678</v>
      </c>
      <c r="AW235" s="107">
        <f>AV235</f>
        <v>12923.678</v>
      </c>
      <c r="AX235" s="174">
        <f>+AW235+AX191+AX192</f>
        <v>12923.678</v>
      </c>
      <c r="AY235" s="175">
        <f>+AX235+AY191+AY192</f>
        <v>15048.678</v>
      </c>
      <c r="AZ235" s="175">
        <f>+AY235+AZ191+AZ192</f>
        <v>14748.678</v>
      </c>
      <c r="BA235" s="176">
        <f>+AZ235+BA191+BA192</f>
        <v>14663.678</v>
      </c>
      <c r="BB235" s="107">
        <f>BA235</f>
        <v>14663.678</v>
      </c>
      <c r="BC235" s="174">
        <f>+BB235+BC191+BC192</f>
        <v>14163.678</v>
      </c>
      <c r="BD235" s="175">
        <f>+BC235+BD191+BD192</f>
        <v>14163.678</v>
      </c>
      <c r="BE235" s="175">
        <f>+BD235+BE191+BE192</f>
        <v>15782.909</v>
      </c>
      <c r="BF235" s="176">
        <f>+BE235+BF191+BF192</f>
        <v>15782.909</v>
      </c>
      <c r="BG235" s="107">
        <f>BF235</f>
        <v>15782.909</v>
      </c>
      <c r="BH235" s="174">
        <f>+BG235+BH191+BH192</f>
        <v>15782.909</v>
      </c>
      <c r="BI235" s="175">
        <f>+BH235+BI191+BI192</f>
        <v>15782.909</v>
      </c>
      <c r="BJ235" s="175">
        <f>+BI235+BJ191+BJ192</f>
        <v>17412.909</v>
      </c>
      <c r="BK235" s="176">
        <f>+BJ235+BK191+BK192</f>
        <v>17137.909</v>
      </c>
      <c r="BL235" s="107">
        <f>BK235</f>
        <v>17137.909</v>
      </c>
      <c r="BM235" s="174">
        <f>+BL235+BM191+BM192</f>
        <v>16747.909</v>
      </c>
      <c r="BN235" s="175">
        <f>+BM235+BN191+BN192</f>
        <v>16298.681</v>
      </c>
      <c r="BO235" s="175">
        <f>+BN235+BO191+BO192</f>
        <v>18197.917000000001</v>
      </c>
      <c r="BP235" s="176">
        <f>+BO235+BP191+BP192</f>
        <v>18197.917000000001</v>
      </c>
      <c r="BQ235" s="107">
        <f>BP235</f>
        <v>18197.917000000001</v>
      </c>
    </row>
    <row r="236" spans="1:69">
      <c r="A236" s="327"/>
      <c r="B236" s="327"/>
      <c r="C236" s="1200" t="s">
        <v>190</v>
      </c>
      <c r="D236" s="327"/>
      <c r="E236" s="180"/>
      <c r="F236" s="181"/>
      <c r="G236" s="181"/>
      <c r="H236" s="182">
        <f>SUM(H234:H235)-H248</f>
        <v>7919.4440000000004</v>
      </c>
      <c r="I236" s="110">
        <f t="shared" ref="I236:AE236" si="527">SUM(I234:I235)-I248</f>
        <v>7919.4440000000004</v>
      </c>
      <c r="J236" s="180">
        <f t="shared" si="527"/>
        <v>8226.6910000000007</v>
      </c>
      <c r="K236" s="181">
        <f t="shared" si="527"/>
        <v>8014.6410000000005</v>
      </c>
      <c r="L236" s="181">
        <f t="shared" si="527"/>
        <v>8093.3779999999997</v>
      </c>
      <c r="M236" s="182">
        <f t="shared" si="527"/>
        <v>7930.6249999999991</v>
      </c>
      <c r="N236" s="110">
        <f t="shared" si="527"/>
        <v>7930.6249999999991</v>
      </c>
      <c r="O236" s="180">
        <f t="shared" si="527"/>
        <v>7832.0679999999993</v>
      </c>
      <c r="P236" s="181">
        <f t="shared" si="527"/>
        <v>8190.2060000000001</v>
      </c>
      <c r="Q236" s="181">
        <f t="shared" si="527"/>
        <v>8318.0330000000013</v>
      </c>
      <c r="R236" s="182">
        <f t="shared" si="527"/>
        <v>8219.1450000000004</v>
      </c>
      <c r="S236" s="110">
        <f t="shared" si="527"/>
        <v>8219.1450000000004</v>
      </c>
      <c r="T236" s="180">
        <f t="shared" si="527"/>
        <v>8506.2199999999993</v>
      </c>
      <c r="U236" s="181">
        <f t="shared" si="527"/>
        <v>8415.9560000000001</v>
      </c>
      <c r="V236" s="181">
        <f t="shared" si="527"/>
        <v>8824.9319999999989</v>
      </c>
      <c r="W236" s="182">
        <f t="shared" si="527"/>
        <v>9421.2489999999998</v>
      </c>
      <c r="X236" s="110">
        <f t="shared" si="527"/>
        <v>9421.2489999999998</v>
      </c>
      <c r="Y236" s="180">
        <f t="shared" si="527"/>
        <v>9398.0819999999985</v>
      </c>
      <c r="Z236" s="181">
        <f t="shared" si="527"/>
        <v>9989.8599999999988</v>
      </c>
      <c r="AA236" s="181">
        <f t="shared" si="527"/>
        <v>9838.5959999999995</v>
      </c>
      <c r="AB236" s="182">
        <f>SUM(AB234:AB235)-AB248</f>
        <v>9866.7120000000014</v>
      </c>
      <c r="AC236" s="110">
        <f>SUM(AC234:AC235)-AC248</f>
        <v>9866.7120000000014</v>
      </c>
      <c r="AD236" s="180">
        <f t="shared" si="527"/>
        <v>10174.966</v>
      </c>
      <c r="AE236" s="181">
        <f t="shared" si="527"/>
        <v>10076.639000000001</v>
      </c>
      <c r="AF236" s="181">
        <f t="shared" ref="AF236" si="528">SUM(AF234:AF235)-AF248</f>
        <v>10139.237000000001</v>
      </c>
      <c r="AG236" s="182">
        <f>SUM(AG234:AG235)-AG248</f>
        <v>10462.778999999999</v>
      </c>
      <c r="AH236" s="110">
        <f>SUM(AH234:AH235)-AH248</f>
        <v>10462.778999999999</v>
      </c>
      <c r="AI236" s="180">
        <f t="shared" ref="AI236:AJ236" si="529">SUM(AI234:AI235)-AI248</f>
        <v>10386.310999999998</v>
      </c>
      <c r="AJ236" s="181">
        <f t="shared" si="529"/>
        <v>10302.991999999998</v>
      </c>
      <c r="AK236" s="181">
        <f>SUM(AK234:AK235)-AK248</f>
        <v>10467.102999999999</v>
      </c>
      <c r="AL236" s="182">
        <f>SUM(AL234:AL235)-AL248</f>
        <v>11197.944</v>
      </c>
      <c r="AM236" s="110">
        <f>SUM(AM234:AM235)-AM248</f>
        <v>11197.944</v>
      </c>
      <c r="AN236" s="180">
        <f t="shared" ref="AN236:AO236" si="530">SUM(AN234:AN235)-AN248</f>
        <v>11520.475</v>
      </c>
      <c r="AO236" s="181">
        <f t="shared" si="530"/>
        <v>11367.734999999999</v>
      </c>
      <c r="AP236" s="181">
        <f>SUM(AP234:AP235)-AP248</f>
        <v>11562.593000000001</v>
      </c>
      <c r="AQ236" s="182">
        <f>SUM(AQ234:AQ235)-AQ248</f>
        <v>11661.009</v>
      </c>
      <c r="AR236" s="110">
        <f>SUM(AR234:AR235)-AR248</f>
        <v>11661.009</v>
      </c>
      <c r="AS236" s="180">
        <f t="shared" ref="AS236:AT236" si="531">SUM(AS234:AS235)-AS248</f>
        <v>11831.996999999999</v>
      </c>
      <c r="AT236" s="181">
        <f t="shared" si="531"/>
        <v>12435.097</v>
      </c>
      <c r="AU236" s="181">
        <f t="shared" ref="AU236" si="532">SUM(AU234:AU235)-AU248</f>
        <v>12314.856</v>
      </c>
      <c r="AV236" s="182">
        <f>SUM(AV234:AV235)-AV248</f>
        <v>12490.101999999999</v>
      </c>
      <c r="AW236" s="110">
        <f>SUM(AW234:AW235)-AW248</f>
        <v>12490.101999999999</v>
      </c>
      <c r="AX236" s="180">
        <f t="shared" ref="AX236:BB236" si="533">SUM(AX234:AX235)-AX248</f>
        <v>12415.223063404008</v>
      </c>
      <c r="AY236" s="181">
        <f t="shared" si="533"/>
        <v>14503.757</v>
      </c>
      <c r="AZ236" s="181">
        <f t="shared" si="533"/>
        <v>14203.757</v>
      </c>
      <c r="BA236" s="182">
        <f t="shared" si="533"/>
        <v>14118.757</v>
      </c>
      <c r="BB236" s="110">
        <f t="shared" si="533"/>
        <v>14118.757</v>
      </c>
      <c r="BC236" s="180">
        <f t="shared" ref="BC236:BL236" si="534">SUM(BC234:BC235)-BC248</f>
        <v>13950.636821145476</v>
      </c>
      <c r="BD236" s="181">
        <f t="shared" si="534"/>
        <v>14259.373331827393</v>
      </c>
      <c r="BE236" s="181">
        <f t="shared" si="534"/>
        <v>15237.987999999999</v>
      </c>
      <c r="BF236" s="182">
        <f t="shared" si="534"/>
        <v>15237.987999999999</v>
      </c>
      <c r="BG236" s="110">
        <f t="shared" si="534"/>
        <v>15237.987999999999</v>
      </c>
      <c r="BH236" s="180">
        <f t="shared" si="534"/>
        <v>15237.987999999999</v>
      </c>
      <c r="BI236" s="181">
        <f t="shared" si="534"/>
        <v>15429.587236211419</v>
      </c>
      <c r="BJ236" s="181">
        <f t="shared" si="534"/>
        <v>16867.988000000001</v>
      </c>
      <c r="BK236" s="182">
        <f t="shared" si="534"/>
        <v>16592.988000000001</v>
      </c>
      <c r="BL236" s="110">
        <f t="shared" si="534"/>
        <v>16592.988000000001</v>
      </c>
      <c r="BM236" s="180">
        <f t="shared" ref="BM236:BQ236" si="535">SUM(BM234:BM235)-BM248</f>
        <v>16291.785970044455</v>
      </c>
      <c r="BN236" s="181">
        <f t="shared" si="535"/>
        <v>16593.61523155219</v>
      </c>
      <c r="BO236" s="181">
        <f t="shared" si="535"/>
        <v>17652.996000000003</v>
      </c>
      <c r="BP236" s="182">
        <f t="shared" si="535"/>
        <v>17652.996000000003</v>
      </c>
      <c r="BQ236" s="110">
        <f t="shared" si="535"/>
        <v>17652.996000000003</v>
      </c>
    </row>
    <row r="237" spans="1:69">
      <c r="A237" s="370"/>
      <c r="B237" s="370"/>
      <c r="C237" s="1201" t="s">
        <v>17</v>
      </c>
      <c r="D237" s="370"/>
      <c r="E237" s="373"/>
      <c r="F237" s="371"/>
      <c r="G237" s="371"/>
      <c r="H237" s="372">
        <f t="shared" ref="H237:AE237" si="536">H236/H245</f>
        <v>0.5217221967601281</v>
      </c>
      <c r="I237" s="370">
        <f t="shared" si="536"/>
        <v>0.5217221967601281</v>
      </c>
      <c r="J237" s="373">
        <f t="shared" si="536"/>
        <v>0.53039382979295424</v>
      </c>
      <c r="K237" s="371">
        <f t="shared" si="536"/>
        <v>0.52075701123676987</v>
      </c>
      <c r="L237" s="371">
        <f t="shared" si="536"/>
        <v>0.52201995064100704</v>
      </c>
      <c r="M237" s="372">
        <f t="shared" si="536"/>
        <v>0.51329683538929294</v>
      </c>
      <c r="N237" s="370">
        <f t="shared" si="536"/>
        <v>0.51329683538929294</v>
      </c>
      <c r="O237" s="373">
        <f t="shared" si="536"/>
        <v>0.50900347317766048</v>
      </c>
      <c r="P237" s="371">
        <f t="shared" si="536"/>
        <v>0.51547474155476614</v>
      </c>
      <c r="Q237" s="371">
        <f t="shared" si="536"/>
        <v>0.51186225926169793</v>
      </c>
      <c r="R237" s="372">
        <f t="shared" si="536"/>
        <v>0.50783763965134243</v>
      </c>
      <c r="S237" s="370">
        <f t="shared" si="536"/>
        <v>0.50783763965134243</v>
      </c>
      <c r="T237" s="373">
        <f t="shared" si="536"/>
        <v>0.51600305129111157</v>
      </c>
      <c r="U237" s="371">
        <f t="shared" si="536"/>
        <v>0.50505877580218106</v>
      </c>
      <c r="V237" s="371">
        <f t="shared" si="536"/>
        <v>0.50970029218613899</v>
      </c>
      <c r="W237" s="372">
        <f t="shared" si="536"/>
        <v>0.52345701634719555</v>
      </c>
      <c r="X237" s="370">
        <f t="shared" si="536"/>
        <v>0.52345701634719555</v>
      </c>
      <c r="Y237" s="373">
        <f t="shared" si="536"/>
        <v>0.52533365634903884</v>
      </c>
      <c r="Z237" s="371">
        <f t="shared" si="536"/>
        <v>0.53473869699642862</v>
      </c>
      <c r="AA237" s="371">
        <f t="shared" si="536"/>
        <v>0.52439211003444375</v>
      </c>
      <c r="AB237" s="372">
        <f>AB236/AB245</f>
        <v>0.51795794827230224</v>
      </c>
      <c r="AC237" s="370">
        <f>AC236/AC245</f>
        <v>0.51795794827230224</v>
      </c>
      <c r="AD237" s="373">
        <f t="shared" si="536"/>
        <v>0.52372467853491655</v>
      </c>
      <c r="AE237" s="371">
        <f t="shared" si="536"/>
        <v>0.52016773984466058</v>
      </c>
      <c r="AF237" s="371">
        <f t="shared" ref="AF237" si="537">AF236/AF245</f>
        <v>0.51868615402260376</v>
      </c>
      <c r="AG237" s="372">
        <f>AG236/AG245</f>
        <v>0.53246326025138102</v>
      </c>
      <c r="AH237" s="370">
        <f>AH236/AH245</f>
        <v>0.53246326025138102</v>
      </c>
      <c r="AI237" s="373">
        <f t="shared" ref="AI237:AJ237" si="538">AI236/AI245</f>
        <v>0.52533074462518159</v>
      </c>
      <c r="AJ237" s="371">
        <f t="shared" si="538"/>
        <v>0.52155341537770283</v>
      </c>
      <c r="AK237" s="371">
        <f>AK236/AK245</f>
        <v>0.51878797413034472</v>
      </c>
      <c r="AL237" s="372">
        <f>AL236/AL245</f>
        <v>0.53151776563585174</v>
      </c>
      <c r="AM237" s="370">
        <f>AM236/AM245</f>
        <v>0.53151776563585174</v>
      </c>
      <c r="AN237" s="373">
        <f t="shared" ref="AN237:AO237" si="539">AN236/AN245</f>
        <v>0.52895197034060848</v>
      </c>
      <c r="AO237" s="371">
        <f t="shared" si="539"/>
        <v>0.52318912190452649</v>
      </c>
      <c r="AP237" s="371">
        <f>AP236/AP245</f>
        <v>0.5216628777891652</v>
      </c>
      <c r="AQ237" s="372">
        <f>AQ236/AQ245</f>
        <v>0.52339790140090625</v>
      </c>
      <c r="AR237" s="370">
        <f>AR236/AR245</f>
        <v>0.52339790140090625</v>
      </c>
      <c r="AS237" s="373">
        <f t="shared" ref="AS237:AT237" si="540">AS236/AS245</f>
        <v>0.52431611891822283</v>
      </c>
      <c r="AT237" s="371">
        <f t="shared" si="540"/>
        <v>0.53251324506629361</v>
      </c>
      <c r="AU237" s="371">
        <f t="shared" ref="AU237" si="541">AU236/AU245</f>
        <v>0.52347948790822629</v>
      </c>
      <c r="AV237" s="372">
        <f>AV236/AV245</f>
        <v>0.52778247054773908</v>
      </c>
      <c r="AW237" s="370">
        <f>AW236/AW245</f>
        <v>0.52778247054773908</v>
      </c>
      <c r="AX237" s="373">
        <f t="shared" ref="AX237:BB237" si="542">AX236/AX245</f>
        <v>0.52397963212504406</v>
      </c>
      <c r="AY237" s="371">
        <f t="shared" si="542"/>
        <v>0.55985280442830465</v>
      </c>
      <c r="AZ237" s="371">
        <f t="shared" si="542"/>
        <v>0.54780985876992705</v>
      </c>
      <c r="BA237" s="372">
        <f t="shared" si="542"/>
        <v>0.54540051414696278</v>
      </c>
      <c r="BB237" s="370">
        <f t="shared" si="542"/>
        <v>0.54540051414696278</v>
      </c>
      <c r="BC237" s="373">
        <f t="shared" ref="BC237:BL237" si="543">BC236/BC245</f>
        <v>0.53893791684274417</v>
      </c>
      <c r="BD237" s="371">
        <f t="shared" si="543"/>
        <v>0.54018612101907515</v>
      </c>
      <c r="BE237" s="371">
        <f t="shared" si="543"/>
        <v>0.54887488018568598</v>
      </c>
      <c r="BF237" s="372">
        <f t="shared" si="543"/>
        <v>0.54669028468222647</v>
      </c>
      <c r="BG237" s="370">
        <f t="shared" si="543"/>
        <v>0.54669028468222647</v>
      </c>
      <c r="BH237" s="373">
        <f t="shared" si="543"/>
        <v>0.54382566451636216</v>
      </c>
      <c r="BI237" s="371">
        <f t="shared" si="543"/>
        <v>0.54340401232453195</v>
      </c>
      <c r="BJ237" s="371">
        <f t="shared" si="543"/>
        <v>0.5586400148784525</v>
      </c>
      <c r="BK237" s="372">
        <f t="shared" si="543"/>
        <v>0.5528710455640915</v>
      </c>
      <c r="BL237" s="1084">
        <f t="shared" si="543"/>
        <v>0.5528710455640915</v>
      </c>
      <c r="BM237" s="373">
        <f t="shared" ref="BM237:BQ237" si="544">BM236/BM245</f>
        <v>0.54461716358952716</v>
      </c>
      <c r="BN237" s="371">
        <f t="shared" si="544"/>
        <v>0.54483793476649189</v>
      </c>
      <c r="BO237" s="371">
        <f t="shared" si="544"/>
        <v>0.55292673800477976</v>
      </c>
      <c r="BP237" s="372">
        <f t="shared" si="544"/>
        <v>0.5504195822367639</v>
      </c>
      <c r="BQ237" s="1084">
        <f t="shared" si="544"/>
        <v>0.5504195822367639</v>
      </c>
    </row>
    <row r="238" spans="1:69">
      <c r="A238" s="370"/>
      <c r="B238" s="370"/>
      <c r="C238" s="1201"/>
      <c r="D238" s="370"/>
      <c r="E238" s="373"/>
      <c r="F238" s="371"/>
      <c r="G238" s="371"/>
      <c r="H238" s="372"/>
      <c r="I238" s="370"/>
      <c r="J238" s="373"/>
      <c r="K238" s="371"/>
      <c r="L238" s="371"/>
      <c r="M238" s="372"/>
      <c r="N238" s="370"/>
      <c r="O238" s="373"/>
      <c r="P238" s="371"/>
      <c r="Q238" s="371"/>
      <c r="R238" s="372"/>
      <c r="S238" s="370"/>
      <c r="T238" s="373"/>
      <c r="U238" s="371"/>
      <c r="V238" s="371"/>
      <c r="W238" s="372"/>
      <c r="X238" s="370"/>
      <c r="Y238" s="373"/>
      <c r="Z238" s="371"/>
      <c r="AA238" s="371"/>
      <c r="AB238" s="372"/>
      <c r="AC238" s="370"/>
      <c r="AD238" s="373"/>
      <c r="AE238" s="371"/>
      <c r="AF238" s="371"/>
      <c r="AG238" s="372"/>
      <c r="AH238" s="370"/>
      <c r="AI238" s="373"/>
      <c r="AJ238" s="371"/>
      <c r="AK238" s="371"/>
      <c r="AL238" s="372"/>
      <c r="AM238" s="370"/>
      <c r="AN238" s="373"/>
      <c r="AO238" s="371"/>
      <c r="AP238" s="371"/>
      <c r="AQ238" s="372"/>
      <c r="AR238" s="370"/>
      <c r="AS238" s="373"/>
      <c r="AT238" s="371"/>
      <c r="AU238" s="371"/>
      <c r="AV238" s="372"/>
      <c r="AW238" s="370"/>
      <c r="AX238" s="373"/>
      <c r="AY238" s="371"/>
      <c r="AZ238" s="371"/>
      <c r="BA238" s="372"/>
      <c r="BB238" s="370"/>
      <c r="BC238" s="373"/>
      <c r="BD238" s="371"/>
      <c r="BE238" s="371"/>
      <c r="BF238" s="372"/>
      <c r="BG238" s="370"/>
      <c r="BH238" s="373"/>
      <c r="BI238" s="371"/>
      <c r="BJ238" s="371"/>
      <c r="BK238" s="372"/>
      <c r="BL238" s="370"/>
      <c r="BM238" s="373"/>
      <c r="BN238" s="371"/>
      <c r="BO238" s="371"/>
      <c r="BP238" s="372"/>
      <c r="BQ238" s="370"/>
    </row>
    <row r="239" spans="1:69" s="37" customFormat="1">
      <c r="A239" s="327"/>
      <c r="B239" s="327"/>
      <c r="C239" s="1173" t="s">
        <v>393</v>
      </c>
      <c r="D239" s="327"/>
      <c r="E239" s="186"/>
      <c r="F239" s="192"/>
      <c r="G239" s="192"/>
      <c r="H239" s="432">
        <v>280.51</v>
      </c>
      <c r="I239" s="110">
        <f>H239</f>
        <v>280.51</v>
      </c>
      <c r="J239" s="430">
        <v>280.51</v>
      </c>
      <c r="K239" s="431">
        <v>280.51</v>
      </c>
      <c r="L239" s="431">
        <f>186.51+94</f>
        <v>280.51</v>
      </c>
      <c r="M239" s="432">
        <f>186.51+94</f>
        <v>280.51</v>
      </c>
      <c r="N239" s="110">
        <f>M239</f>
        <v>280.51</v>
      </c>
      <c r="O239" s="430">
        <f>94+186.51</f>
        <v>280.51</v>
      </c>
      <c r="P239" s="431">
        <f>186.51+94</f>
        <v>280.51</v>
      </c>
      <c r="Q239" s="431">
        <f>186.51+94</f>
        <v>280.51</v>
      </c>
      <c r="R239" s="432">
        <f>186.51+94</f>
        <v>280.51</v>
      </c>
      <c r="S239" s="110">
        <f>R239</f>
        <v>280.51</v>
      </c>
      <c r="T239" s="430">
        <f>94+186.51</f>
        <v>280.51</v>
      </c>
      <c r="U239" s="431">
        <f>94+186.51</f>
        <v>280.51</v>
      </c>
      <c r="V239" s="431">
        <f>186.51+94</f>
        <v>280.51</v>
      </c>
      <c r="W239" s="432">
        <f>186.511+94</f>
        <v>280.51099999999997</v>
      </c>
      <c r="X239" s="110">
        <f>W239</f>
        <v>280.51099999999997</v>
      </c>
      <c r="Y239" s="430">
        <f>186.511+94</f>
        <v>280.51099999999997</v>
      </c>
      <c r="Z239" s="431">
        <f>94+186.511</f>
        <v>280.51099999999997</v>
      </c>
      <c r="AA239" s="431">
        <f>94+186.511</f>
        <v>280.51099999999997</v>
      </c>
      <c r="AB239" s="432">
        <f>186.511+94</f>
        <v>280.51099999999997</v>
      </c>
      <c r="AC239" s="110">
        <f>AB239</f>
        <v>280.51099999999997</v>
      </c>
      <c r="AD239" s="430">
        <f>186.511+94</f>
        <v>280.51099999999997</v>
      </c>
      <c r="AE239" s="431">
        <f>186.511+94</f>
        <v>280.51099999999997</v>
      </c>
      <c r="AF239" s="431">
        <f>94+186.511</f>
        <v>280.51099999999997</v>
      </c>
      <c r="AG239" s="432">
        <f>186.511+94</f>
        <v>280.51099999999997</v>
      </c>
      <c r="AH239" s="110">
        <f>AG239</f>
        <v>280.51099999999997</v>
      </c>
      <c r="AI239" s="430">
        <f>186.511+94</f>
        <v>280.51099999999997</v>
      </c>
      <c r="AJ239" s="431">
        <f>186.511+94</f>
        <v>280.51099999999997</v>
      </c>
      <c r="AK239" s="431">
        <v>186.511</v>
      </c>
      <c r="AL239" s="432">
        <v>293.93599999999998</v>
      </c>
      <c r="AM239" s="110">
        <f>AL239</f>
        <v>293.93599999999998</v>
      </c>
      <c r="AN239" s="430">
        <v>293.93599999999998</v>
      </c>
      <c r="AO239" s="431">
        <v>293.93599999999998</v>
      </c>
      <c r="AP239" s="431">
        <v>208.93600000000001</v>
      </c>
      <c r="AQ239" s="432">
        <v>178.93600000000001</v>
      </c>
      <c r="AR239" s="110">
        <f>AQ239</f>
        <v>178.93600000000001</v>
      </c>
      <c r="AS239" s="430">
        <v>178.93600000000001</v>
      </c>
      <c r="AT239" s="431">
        <v>178.93600000000001</v>
      </c>
      <c r="AU239" s="431">
        <v>178.93600000000001</v>
      </c>
      <c r="AV239" s="432">
        <v>173.554</v>
      </c>
      <c r="AW239" s="110">
        <f>AV239</f>
        <v>173.554</v>
      </c>
      <c r="AX239" s="180">
        <f>AV239+AX220</f>
        <v>173.554</v>
      </c>
      <c r="AY239" s="181">
        <f>AX239+AY220</f>
        <v>173.554</v>
      </c>
      <c r="AZ239" s="181">
        <f>AY239+AZ220</f>
        <v>173.554</v>
      </c>
      <c r="BA239" s="182">
        <f>AZ239+BA220</f>
        <v>173.554</v>
      </c>
      <c r="BB239" s="110">
        <f>BA239</f>
        <v>173.554</v>
      </c>
      <c r="BC239" s="180">
        <f>BA239+BC220</f>
        <v>173.554</v>
      </c>
      <c r="BD239" s="181">
        <f>BC239+BD220</f>
        <v>173.554</v>
      </c>
      <c r="BE239" s="181">
        <f>BD239+BE220</f>
        <v>173.554</v>
      </c>
      <c r="BF239" s="182">
        <f>BE239+BF220</f>
        <v>173.554</v>
      </c>
      <c r="BG239" s="110">
        <f>BF239</f>
        <v>173.554</v>
      </c>
      <c r="BH239" s="180">
        <f>BF239+BH220</f>
        <v>173.554</v>
      </c>
      <c r="BI239" s="181">
        <f>BH239+BI220</f>
        <v>173.554</v>
      </c>
      <c r="BJ239" s="181">
        <f>BI239+BJ220</f>
        <v>173.554</v>
      </c>
      <c r="BK239" s="182">
        <f>BJ239+BK220</f>
        <v>173.554</v>
      </c>
      <c r="BL239" s="110">
        <f>BK239</f>
        <v>173.554</v>
      </c>
      <c r="BM239" s="180">
        <f>BK239+BM220</f>
        <v>173.554</v>
      </c>
      <c r="BN239" s="181">
        <f>BM239+BN220</f>
        <v>173.554</v>
      </c>
      <c r="BO239" s="181">
        <f>BN239+BO220</f>
        <v>173.554</v>
      </c>
      <c r="BP239" s="182">
        <f>BO239+BP220</f>
        <v>173.554</v>
      </c>
      <c r="BQ239" s="110">
        <f>BP239</f>
        <v>173.554</v>
      </c>
    </row>
    <row r="240" spans="1:69">
      <c r="A240" s="370"/>
      <c r="B240" s="370"/>
      <c r="C240" s="1201" t="s">
        <v>17</v>
      </c>
      <c r="D240" s="370"/>
      <c r="E240" s="373"/>
      <c r="F240" s="371"/>
      <c r="G240" s="371"/>
      <c r="H240" s="372">
        <f t="shared" ref="H240:N240" si="545">H239/H245</f>
        <v>1.8479617181860686E-2</v>
      </c>
      <c r="I240" s="370">
        <f t="shared" si="545"/>
        <v>1.8479617181860686E-2</v>
      </c>
      <c r="J240" s="373">
        <f t="shared" si="545"/>
        <v>1.8085129634165375E-2</v>
      </c>
      <c r="K240" s="371">
        <f t="shared" si="545"/>
        <v>1.8226337177426451E-2</v>
      </c>
      <c r="L240" s="371">
        <f t="shared" si="545"/>
        <v>1.8092793436104045E-2</v>
      </c>
      <c r="M240" s="372">
        <f t="shared" si="545"/>
        <v>1.8155554612032544E-2</v>
      </c>
      <c r="N240" s="370">
        <f t="shared" si="545"/>
        <v>1.8155554612032544E-2</v>
      </c>
      <c r="O240" s="373">
        <f>O239/O245</f>
        <v>1.8230250843208406E-2</v>
      </c>
      <c r="P240" s="371">
        <f t="shared" ref="P240:AE240" si="546">P239/P245</f>
        <v>1.7654723184438517E-2</v>
      </c>
      <c r="Q240" s="371">
        <f t="shared" si="546"/>
        <v>1.7261590852729106E-2</v>
      </c>
      <c r="R240" s="372">
        <f t="shared" si="546"/>
        <v>1.7331916677294057E-2</v>
      </c>
      <c r="S240" s="370">
        <f t="shared" si="546"/>
        <v>1.7331916677294057E-2</v>
      </c>
      <c r="T240" s="373">
        <f t="shared" si="546"/>
        <v>1.7016255859555681E-2</v>
      </c>
      <c r="U240" s="371">
        <f t="shared" si="546"/>
        <v>1.6833980263236858E-2</v>
      </c>
      <c r="V240" s="371">
        <f>V239/V245</f>
        <v>1.6201374578425517E-2</v>
      </c>
      <c r="W240" s="372">
        <f>W239/W245</f>
        <v>1.5585561013467338E-2</v>
      </c>
      <c r="X240" s="370">
        <f>X239/X245</f>
        <v>1.5585561013467338E-2</v>
      </c>
      <c r="Y240" s="373">
        <f t="shared" si="546"/>
        <v>1.5679993989850826E-2</v>
      </c>
      <c r="Z240" s="371">
        <f t="shared" si="546"/>
        <v>1.5015234110704772E-2</v>
      </c>
      <c r="AA240" s="371">
        <f t="shared" si="546"/>
        <v>1.4951092125123527E-2</v>
      </c>
      <c r="AB240" s="372">
        <f>AB239/AB245</f>
        <v>1.4725564304280063E-2</v>
      </c>
      <c r="AC240" s="370">
        <f>AC239/AC245</f>
        <v>1.4725564304280063E-2</v>
      </c>
      <c r="AD240" s="373">
        <f t="shared" si="546"/>
        <v>1.4438429897506091E-2</v>
      </c>
      <c r="AE240" s="371">
        <f t="shared" si="546"/>
        <v>1.4480301702935428E-2</v>
      </c>
      <c r="AF240" s="371">
        <f t="shared" ref="AF240" si="547">AF239/AF245</f>
        <v>1.4349913287462813E-2</v>
      </c>
      <c r="AG240" s="372">
        <f>AG239/AG245</f>
        <v>1.4275538229028363E-2</v>
      </c>
      <c r="AH240" s="370">
        <f>AH239/AH245</f>
        <v>1.4275538229028363E-2</v>
      </c>
      <c r="AI240" s="373">
        <f t="shared" ref="AI240:AJ240" si="548">AI239/AI245</f>
        <v>1.4188006935817187E-2</v>
      </c>
      <c r="AJ240" s="371">
        <f t="shared" si="548"/>
        <v>1.4199901358849428E-2</v>
      </c>
      <c r="AK240" s="371">
        <f>AK239/AK245</f>
        <v>9.2441685003983188E-3</v>
      </c>
      <c r="AL240" s="372">
        <f>AL239/AL245</f>
        <v>1.3951865267404421E-2</v>
      </c>
      <c r="AM240" s="370">
        <f>AM239/AM245</f>
        <v>1.3951865267404421E-2</v>
      </c>
      <c r="AN240" s="373">
        <f t="shared" ref="AN240:AP240" si="549">AN239/AN245</f>
        <v>1.349579998689612E-2</v>
      </c>
      <c r="AO240" s="371">
        <f t="shared" si="549"/>
        <v>1.3528123037362226E-2</v>
      </c>
      <c r="AP240" s="371">
        <f t="shared" si="549"/>
        <v>9.4264456972373775E-3</v>
      </c>
      <c r="AQ240" s="372">
        <f>AQ239/AQ245</f>
        <v>8.0314428095435465E-3</v>
      </c>
      <c r="AR240" s="370">
        <f>AR239/AR245</f>
        <v>8.0314428095435465E-3</v>
      </c>
      <c r="AS240" s="373">
        <f t="shared" ref="AS240:AU240" si="550">AS239/AS245</f>
        <v>7.9292641009587085E-3</v>
      </c>
      <c r="AT240" s="371">
        <f t="shared" si="550"/>
        <v>7.6626495168620173E-3</v>
      </c>
      <c r="AU240" s="371">
        <f t="shared" si="550"/>
        <v>7.6062055170069698E-3</v>
      </c>
      <c r="AV240" s="372">
        <f t="shared" ref="AV240:BB240" si="551">AV239/AV245</f>
        <v>7.333707834687204E-3</v>
      </c>
      <c r="AW240" s="370">
        <f t="shared" si="551"/>
        <v>7.333707834687204E-3</v>
      </c>
      <c r="AX240" s="373">
        <f t="shared" si="551"/>
        <v>7.3247786696549527E-3</v>
      </c>
      <c r="AY240" s="371">
        <f t="shared" si="551"/>
        <v>6.6992775471727776E-3</v>
      </c>
      <c r="AZ240" s="371">
        <f t="shared" si="551"/>
        <v>6.6936228371800447E-3</v>
      </c>
      <c r="BA240" s="372">
        <f t="shared" si="551"/>
        <v>6.7043041276411228E-3</v>
      </c>
      <c r="BB240" s="370">
        <f t="shared" si="551"/>
        <v>6.7043041276411228E-3</v>
      </c>
      <c r="BC240" s="373">
        <f t="shared" ref="BC240:BL240" si="552">BC239/BC245</f>
        <v>6.7046997509068234E-3</v>
      </c>
      <c r="BD240" s="371">
        <f t="shared" si="552"/>
        <v>6.574725260758002E-3</v>
      </c>
      <c r="BE240" s="371">
        <f t="shared" si="552"/>
        <v>6.2514441510090795E-3</v>
      </c>
      <c r="BF240" s="372">
        <f t="shared" si="552"/>
        <v>6.2265625663794422E-3</v>
      </c>
      <c r="BG240" s="370">
        <f t="shared" si="552"/>
        <v>6.2265625663794422E-3</v>
      </c>
      <c r="BH240" s="373">
        <f t="shared" si="552"/>
        <v>6.1939357991010833E-3</v>
      </c>
      <c r="BI240" s="371">
        <f t="shared" si="552"/>
        <v>6.1122788647020665E-3</v>
      </c>
      <c r="BJ240" s="371">
        <f t="shared" si="552"/>
        <v>5.7478229853029856E-3</v>
      </c>
      <c r="BK240" s="372">
        <f t="shared" si="552"/>
        <v>5.7827427731419042E-3</v>
      </c>
      <c r="BL240" s="370">
        <f t="shared" si="552"/>
        <v>5.7827427731419042E-3</v>
      </c>
      <c r="BM240" s="373">
        <f t="shared" ref="BM240:BQ240" si="553">BM239/BM245</f>
        <v>5.8017265500179462E-3</v>
      </c>
      <c r="BN240" s="371">
        <f t="shared" si="553"/>
        <v>5.6985052148650168E-3</v>
      </c>
      <c r="BO240" s="371">
        <f t="shared" si="553"/>
        <v>5.4360544288165891E-3</v>
      </c>
      <c r="BP240" s="372">
        <f t="shared" si="553"/>
        <v>5.4114055300029133E-3</v>
      </c>
      <c r="BQ240" s="370">
        <f t="shared" si="553"/>
        <v>5.4114055300029133E-3</v>
      </c>
    </row>
    <row r="241" spans="1:69">
      <c r="A241" s="320"/>
      <c r="B241" s="320"/>
      <c r="C241" s="1201"/>
      <c r="D241" s="320"/>
      <c r="E241" s="183"/>
      <c r="F241" s="184"/>
      <c r="G241" s="184"/>
      <c r="H241" s="185"/>
      <c r="I241" s="107"/>
      <c r="J241" s="183"/>
      <c r="K241" s="184"/>
      <c r="L241" s="184"/>
      <c r="M241" s="185"/>
      <c r="N241" s="107"/>
      <c r="O241" s="183"/>
      <c r="P241" s="184"/>
      <c r="Q241" s="184"/>
      <c r="R241" s="185"/>
      <c r="S241" s="107"/>
      <c r="T241" s="183"/>
      <c r="U241" s="184"/>
      <c r="V241" s="184"/>
      <c r="W241" s="185"/>
      <c r="X241" s="107"/>
      <c r="Y241" s="183"/>
      <c r="Z241" s="175"/>
      <c r="AA241" s="175"/>
      <c r="AB241" s="185"/>
      <c r="AC241" s="107"/>
      <c r="AD241" s="183"/>
      <c r="AE241" s="175"/>
      <c r="AF241" s="175"/>
      <c r="AG241" s="185"/>
      <c r="AH241" s="107"/>
      <c r="AI241" s="183"/>
      <c r="AJ241" s="175"/>
      <c r="AK241" s="175"/>
      <c r="AL241" s="185"/>
      <c r="AM241" s="107"/>
      <c r="AN241" s="183"/>
      <c r="AO241" s="175"/>
      <c r="AP241" s="175"/>
      <c r="AQ241" s="185"/>
      <c r="AR241" s="107"/>
      <c r="AS241" s="183"/>
      <c r="AT241" s="175"/>
      <c r="AU241" s="175"/>
      <c r="AV241" s="185"/>
      <c r="AW241" s="107"/>
      <c r="AX241" s="174"/>
      <c r="AY241" s="175"/>
      <c r="AZ241" s="175"/>
      <c r="BA241" s="176"/>
      <c r="BB241" s="107"/>
      <c r="BC241" s="174"/>
      <c r="BD241" s="175"/>
      <c r="BE241" s="175"/>
      <c r="BF241" s="176"/>
      <c r="BG241" s="107"/>
      <c r="BH241" s="174"/>
      <c r="BI241" s="175"/>
      <c r="BJ241" s="175"/>
      <c r="BK241" s="176"/>
      <c r="BL241" s="107"/>
      <c r="BM241" s="174"/>
      <c r="BN241" s="175"/>
      <c r="BO241" s="175"/>
      <c r="BP241" s="176"/>
      <c r="BQ241" s="107"/>
    </row>
    <row r="242" spans="1:69" s="37" customFormat="1">
      <c r="A242" s="327"/>
      <c r="B242" s="327"/>
      <c r="C242" s="1173" t="s">
        <v>619</v>
      </c>
      <c r="D242" s="327"/>
      <c r="E242" s="430"/>
      <c r="F242" s="431"/>
      <c r="G242" s="431"/>
      <c r="H242" s="432">
        <v>6979.473</v>
      </c>
      <c r="I242" s="110">
        <f>H242</f>
        <v>6979.473</v>
      </c>
      <c r="J242" s="430">
        <v>7003.3320000000003</v>
      </c>
      <c r="K242" s="431">
        <v>7095.2150000000001</v>
      </c>
      <c r="L242" s="431">
        <v>7130.0749999999998</v>
      </c>
      <c r="M242" s="432">
        <v>7239.2330000000002</v>
      </c>
      <c r="N242" s="110">
        <f>M242</f>
        <v>7239.2330000000002</v>
      </c>
      <c r="O242" s="430">
        <v>7274.4840000000004</v>
      </c>
      <c r="P242" s="431">
        <v>7417.95</v>
      </c>
      <c r="Q242" s="431">
        <v>7651.9870000000001</v>
      </c>
      <c r="R242" s="432">
        <v>7684.9369999999999</v>
      </c>
      <c r="S242" s="110">
        <f>R242</f>
        <v>7684.9369999999999</v>
      </c>
      <c r="T242" s="430">
        <v>7698.0950000000003</v>
      </c>
      <c r="U242" s="431">
        <v>7966.8540000000003</v>
      </c>
      <c r="V242" s="431">
        <v>8208.5210000000006</v>
      </c>
      <c r="W242" s="432">
        <v>8296.3729999999996</v>
      </c>
      <c r="X242" s="110">
        <f>W242</f>
        <v>8296.3729999999996</v>
      </c>
      <c r="Y242" s="430">
        <v>8211.1460000000006</v>
      </c>
      <c r="Z242" s="431">
        <v>8411.3889999999992</v>
      </c>
      <c r="AA242" s="431">
        <v>8642.7999999999993</v>
      </c>
      <c r="AB242" s="432">
        <v>8902.0300000000007</v>
      </c>
      <c r="AC242" s="110">
        <f>AB242</f>
        <v>8902.0300000000007</v>
      </c>
      <c r="AD242" s="430">
        <v>8972.6049999999996</v>
      </c>
      <c r="AE242" s="431">
        <v>9014.7530000000006</v>
      </c>
      <c r="AF242" s="431">
        <v>9128.1749999999993</v>
      </c>
      <c r="AG242" s="432">
        <v>8906.4770000000008</v>
      </c>
      <c r="AH242" s="110">
        <f>AG242</f>
        <v>8906.4770000000008</v>
      </c>
      <c r="AI242" s="430">
        <v>9104.1720000000005</v>
      </c>
      <c r="AJ242" s="431">
        <v>9170.93</v>
      </c>
      <c r="AK242" s="431">
        <v>9522.4570000000003</v>
      </c>
      <c r="AL242" s="432">
        <v>9575.9840000000004</v>
      </c>
      <c r="AM242" s="110">
        <f>AL242</f>
        <v>9575.9840000000004</v>
      </c>
      <c r="AN242" s="430">
        <v>9965.402</v>
      </c>
      <c r="AO242" s="431">
        <v>10066.102999999999</v>
      </c>
      <c r="AP242" s="431">
        <v>10393.347</v>
      </c>
      <c r="AQ242" s="432">
        <v>10439.489</v>
      </c>
      <c r="AR242" s="110">
        <f>AQ242</f>
        <v>10439.489</v>
      </c>
      <c r="AS242" s="430">
        <v>10555.6</v>
      </c>
      <c r="AT242" s="431">
        <v>10737.681</v>
      </c>
      <c r="AU242" s="431">
        <v>11031.21</v>
      </c>
      <c r="AV242" s="432">
        <v>11001.59</v>
      </c>
      <c r="AW242" s="110">
        <f>AV242</f>
        <v>11001.59</v>
      </c>
      <c r="AX242" s="180">
        <f>AV242+AX49+AX221</f>
        <v>11105.317710953947</v>
      </c>
      <c r="AY242" s="181">
        <f>AX242+AY49+AY221</f>
        <v>11229.064542425927</v>
      </c>
      <c r="AZ242" s="181">
        <f>AY242+AZ49+AZ221</f>
        <v>11550.950006279903</v>
      </c>
      <c r="BA242" s="182">
        <f>AZ242+BA49+BA221</f>
        <v>11594.641127433419</v>
      </c>
      <c r="BB242" s="110">
        <f>BA242</f>
        <v>11594.641127433419</v>
      </c>
      <c r="BC242" s="180">
        <f>BA242+BC49+BC221</f>
        <v>11761.233798581379</v>
      </c>
      <c r="BD242" s="181">
        <f>BC242+BD49+BD221</f>
        <v>11964.221311915464</v>
      </c>
      <c r="BE242" s="181">
        <f>BD242+BE49+BE221</f>
        <v>12350.683144726874</v>
      </c>
      <c r="BF242" s="182">
        <f>BE242+BF49+BF221</f>
        <v>12461.622069226787</v>
      </c>
      <c r="BG242" s="110">
        <f>BF242</f>
        <v>12461.622069226787</v>
      </c>
      <c r="BH242" s="180">
        <f>BF242+BH49+BH221</f>
        <v>12608.444908031503</v>
      </c>
      <c r="BI242" s="181">
        <f>BH242+BI49+BI221</f>
        <v>12791.178434355448</v>
      </c>
      <c r="BJ242" s="181">
        <f>BI242+BJ49+BJ221</f>
        <v>13153.194414773467</v>
      </c>
      <c r="BK242" s="182">
        <f>BJ242+BK49+BK221</f>
        <v>13245.859866822775</v>
      </c>
      <c r="BL242" s="110">
        <f>BK242</f>
        <v>13245.859866822775</v>
      </c>
      <c r="BM242" s="180">
        <f>BK242+BM49+BM221</f>
        <v>13448.858588566198</v>
      </c>
      <c r="BN242" s="181">
        <f>BM242+BN49+BN221</f>
        <v>13688.887831845803</v>
      </c>
      <c r="BO242" s="181">
        <f>BN242+BO49+BO221</f>
        <v>14099.914731476598</v>
      </c>
      <c r="BP242" s="182">
        <f>BO242+BP49+BP221</f>
        <v>14245.339463421262</v>
      </c>
      <c r="BQ242" s="110">
        <f>BP242</f>
        <v>14245.339463421262</v>
      </c>
    </row>
    <row r="243" spans="1:69">
      <c r="A243" s="370"/>
      <c r="B243" s="370"/>
      <c r="C243" s="1201" t="s">
        <v>17</v>
      </c>
      <c r="D243" s="370"/>
      <c r="E243" s="373"/>
      <c r="F243" s="371"/>
      <c r="G243" s="371"/>
      <c r="H243" s="372">
        <f t="shared" ref="H243:N243" si="554">H242/H245</f>
        <v>0.45979818605801126</v>
      </c>
      <c r="I243" s="370">
        <f t="shared" si="554"/>
        <v>0.45979818605801126</v>
      </c>
      <c r="J243" s="373">
        <f t="shared" si="554"/>
        <v>0.45152104057288034</v>
      </c>
      <c r="K243" s="371">
        <f t="shared" si="554"/>
        <v>0.46101665158580374</v>
      </c>
      <c r="L243" s="371">
        <f t="shared" si="554"/>
        <v>0.45988725592288887</v>
      </c>
      <c r="M243" s="372">
        <f t="shared" si="554"/>
        <v>0.46854760999867451</v>
      </c>
      <c r="N243" s="370">
        <f t="shared" si="554"/>
        <v>0.46854760999867451</v>
      </c>
      <c r="O243" s="373">
        <f>O242/O245</f>
        <v>0.47276627597913107</v>
      </c>
      <c r="P243" s="371">
        <f t="shared" ref="P243:AE243" si="555">P242/P245</f>
        <v>0.46687053526079531</v>
      </c>
      <c r="Q243" s="371">
        <f t="shared" si="555"/>
        <v>0.47087614988557291</v>
      </c>
      <c r="R243" s="372">
        <f t="shared" si="555"/>
        <v>0.47483044367136346</v>
      </c>
      <c r="S243" s="370">
        <f t="shared" si="555"/>
        <v>0.47483044367136346</v>
      </c>
      <c r="T243" s="373">
        <f t="shared" si="555"/>
        <v>0.46698069284933263</v>
      </c>
      <c r="U243" s="371">
        <f t="shared" si="555"/>
        <v>0.47810724393458209</v>
      </c>
      <c r="V243" s="371">
        <f>V242/V245</f>
        <v>0.47409833323543549</v>
      </c>
      <c r="W243" s="372">
        <f>W242/W245</f>
        <v>0.46095742263933703</v>
      </c>
      <c r="X243" s="370">
        <f>X242/X245</f>
        <v>0.46095742263933703</v>
      </c>
      <c r="Y243" s="373">
        <f t="shared" si="555"/>
        <v>0.45898634966111018</v>
      </c>
      <c r="Z243" s="371">
        <f t="shared" si="555"/>
        <v>0.45024606889286661</v>
      </c>
      <c r="AA243" s="371">
        <f t="shared" si="555"/>
        <v>0.46065679784043273</v>
      </c>
      <c r="AB243" s="372">
        <f>AB242/AB245</f>
        <v>0.46731648742341753</v>
      </c>
      <c r="AC243" s="370">
        <f>AC242/AC245</f>
        <v>0.46731648742341753</v>
      </c>
      <c r="AD243" s="373">
        <f t="shared" si="555"/>
        <v>0.46183689156757723</v>
      </c>
      <c r="AE243" s="371">
        <f t="shared" si="555"/>
        <v>0.46535195845240396</v>
      </c>
      <c r="AF243" s="371">
        <f t="shared" ref="AF243" si="556">AF242/AF245</f>
        <v>0.46696393268993325</v>
      </c>
      <c r="AG243" s="372">
        <f>AG242/AG245</f>
        <v>0.4532612015195906</v>
      </c>
      <c r="AH243" s="370">
        <f>AH242/AH245</f>
        <v>0.4532612015195906</v>
      </c>
      <c r="AI243" s="373">
        <f t="shared" ref="AI243:AJ243" si="557">AI242/AI245</f>
        <v>0.46048124843900112</v>
      </c>
      <c r="AJ243" s="371">
        <f t="shared" si="557"/>
        <v>0.46424668326344781</v>
      </c>
      <c r="AK243" s="371">
        <f>AK242/AK245</f>
        <v>0.47196785736925689</v>
      </c>
      <c r="AL243" s="372">
        <f>AL242/AL245</f>
        <v>0.45453036909674371</v>
      </c>
      <c r="AM243" s="522">
        <f>AM242/AM245</f>
        <v>0.45453036909674371</v>
      </c>
      <c r="AN243" s="373">
        <f t="shared" ref="AN243:AO243" si="558">AN242/AN245</f>
        <v>0.45755222967249531</v>
      </c>
      <c r="AO243" s="371">
        <f t="shared" si="558"/>
        <v>0.46328275505811134</v>
      </c>
      <c r="AP243" s="371">
        <f>AP242/AP245</f>
        <v>0.46891067651359747</v>
      </c>
      <c r="AQ243" s="372">
        <f>AQ242/AQ245</f>
        <v>0.46857065578955009</v>
      </c>
      <c r="AR243" s="522">
        <f>AR242/AR245</f>
        <v>0.46857065578955009</v>
      </c>
      <c r="AS243" s="373">
        <f t="shared" ref="AS243:AU243" si="559">AS242/AS245</f>
        <v>0.46775461698081849</v>
      </c>
      <c r="AT243" s="2013">
        <f t="shared" si="559"/>
        <v>0.45982410541684438</v>
      </c>
      <c r="AU243" s="2013">
        <f t="shared" si="559"/>
        <v>0.46891430657476668</v>
      </c>
      <c r="AV243" s="372">
        <f t="shared" ref="AV243:BB243" si="560">AV242/AV245</f>
        <v>0.46488382161757374</v>
      </c>
      <c r="AW243" s="522">
        <f t="shared" si="560"/>
        <v>0.46488382161757374</v>
      </c>
      <c r="AX243" s="373">
        <f t="shared" si="560"/>
        <v>0.46869558920530108</v>
      </c>
      <c r="AY243" s="371">
        <f t="shared" si="560"/>
        <v>0.43344791802452243</v>
      </c>
      <c r="AZ243" s="371">
        <f t="shared" si="560"/>
        <v>0.44549651839289295</v>
      </c>
      <c r="BA243" s="372">
        <f t="shared" si="560"/>
        <v>0.44789518172539605</v>
      </c>
      <c r="BB243" s="522">
        <f t="shared" si="560"/>
        <v>0.44789518172539605</v>
      </c>
      <c r="BC243" s="373">
        <f t="shared" ref="BC243:BL243" si="561">BC242/BC245</f>
        <v>0.45435738340634896</v>
      </c>
      <c r="BD243" s="371">
        <f t="shared" si="561"/>
        <v>0.45323915372016688</v>
      </c>
      <c r="BE243" s="371">
        <f t="shared" si="561"/>
        <v>0.44487367566330505</v>
      </c>
      <c r="BF243" s="372">
        <f t="shared" si="561"/>
        <v>0.44708315275139404</v>
      </c>
      <c r="BG243" s="522">
        <f t="shared" si="561"/>
        <v>0.44708315275139404</v>
      </c>
      <c r="BH243" s="373">
        <f t="shared" si="561"/>
        <v>0.44998039968453674</v>
      </c>
      <c r="BI243" s="371">
        <f t="shared" si="561"/>
        <v>0.45048370881076594</v>
      </c>
      <c r="BJ243" s="371">
        <f t="shared" si="561"/>
        <v>0.43561216213624449</v>
      </c>
      <c r="BK243" s="372">
        <f t="shared" si="561"/>
        <v>0.44134621166276655</v>
      </c>
      <c r="BL243" s="522">
        <f t="shared" si="561"/>
        <v>0.44134621166276655</v>
      </c>
      <c r="BM243" s="373">
        <f t="shared" ref="BM243:BQ243" si="562">BM242/BM245</f>
        <v>0.44958110986045491</v>
      </c>
      <c r="BN243" s="371">
        <f t="shared" si="562"/>
        <v>0.44946356001864307</v>
      </c>
      <c r="BO243" s="371">
        <f t="shared" si="562"/>
        <v>0.44163720756640368</v>
      </c>
      <c r="BP243" s="372">
        <f t="shared" si="562"/>
        <v>0.44416901223323318</v>
      </c>
      <c r="BQ243" s="522">
        <f t="shared" si="562"/>
        <v>0.44416901223323318</v>
      </c>
    </row>
    <row r="244" spans="1:69">
      <c r="A244" s="320"/>
      <c r="B244" s="320"/>
      <c r="C244" s="1201"/>
      <c r="D244" s="320"/>
      <c r="E244" s="183"/>
      <c r="F244" s="184"/>
      <c r="G244" s="184"/>
      <c r="H244" s="185"/>
      <c r="I244" s="107"/>
      <c r="J244" s="183"/>
      <c r="K244" s="184"/>
      <c r="L244" s="184"/>
      <c r="M244" s="185"/>
      <c r="N244" s="107"/>
      <c r="O244" s="183"/>
      <c r="P244" s="184"/>
      <c r="Q244" s="184"/>
      <c r="R244" s="176"/>
      <c r="S244" s="107"/>
      <c r="T244" s="183"/>
      <c r="U244" s="184"/>
      <c r="V244" s="184"/>
      <c r="W244" s="176"/>
      <c r="X244" s="107"/>
      <c r="Y244" s="183"/>
      <c r="Z244" s="184"/>
      <c r="AA244" s="184"/>
      <c r="AB244" s="176"/>
      <c r="AC244" s="107"/>
      <c r="AD244" s="183"/>
      <c r="AE244" s="184"/>
      <c r="AF244" s="184"/>
      <c r="AG244" s="176"/>
      <c r="AH244" s="107"/>
      <c r="AI244" s="183"/>
      <c r="AJ244" s="184"/>
      <c r="AK244" s="184"/>
      <c r="AL244" s="176"/>
      <c r="AM244" s="107"/>
      <c r="AN244" s="183"/>
      <c r="AO244" s="184"/>
      <c r="AP244" s="184"/>
      <c r="AQ244" s="176"/>
      <c r="AR244" s="107"/>
      <c r="AS244" s="183"/>
      <c r="AT244" s="184"/>
      <c r="AU244" s="175"/>
      <c r="AV244" s="176"/>
      <c r="AW244" s="107"/>
      <c r="AX244" s="174"/>
      <c r="AY244" s="175"/>
      <c r="AZ244" s="175"/>
      <c r="BA244" s="176"/>
      <c r="BB244" s="107"/>
      <c r="BC244" s="174"/>
      <c r="BD244" s="175"/>
      <c r="BE244" s="175"/>
      <c r="BF244" s="176"/>
      <c r="BG244" s="107"/>
      <c r="BH244" s="174"/>
      <c r="BI244" s="175"/>
      <c r="BJ244" s="175"/>
      <c r="BK244" s="176"/>
      <c r="BL244" s="107"/>
      <c r="BM244" s="174"/>
      <c r="BN244" s="175"/>
      <c r="BO244" s="175"/>
      <c r="BP244" s="176"/>
      <c r="BQ244" s="107"/>
    </row>
    <row r="245" spans="1:69">
      <c r="A245" s="320"/>
      <c r="B245" s="320"/>
      <c r="C245" s="1200" t="s">
        <v>80</v>
      </c>
      <c r="D245" s="320"/>
      <c r="E245" s="180"/>
      <c r="F245" s="181"/>
      <c r="G245" s="181"/>
      <c r="H245" s="182">
        <f>H236+H239+H242</f>
        <v>15179.427</v>
      </c>
      <c r="I245" s="110">
        <f t="shared" ref="I245:Y245" si="563">I236+I239+I242</f>
        <v>15179.427</v>
      </c>
      <c r="J245" s="180">
        <f t="shared" si="563"/>
        <v>15510.533000000001</v>
      </c>
      <c r="K245" s="181">
        <f t="shared" si="563"/>
        <v>15390.366</v>
      </c>
      <c r="L245" s="181">
        <f t="shared" si="563"/>
        <v>15503.963</v>
      </c>
      <c r="M245" s="182">
        <f t="shared" si="563"/>
        <v>15450.367999999999</v>
      </c>
      <c r="N245" s="110">
        <f t="shared" si="563"/>
        <v>15450.367999999999</v>
      </c>
      <c r="O245" s="180">
        <f t="shared" si="563"/>
        <v>15387.062</v>
      </c>
      <c r="P245" s="181">
        <f t="shared" si="563"/>
        <v>15888.666000000001</v>
      </c>
      <c r="Q245" s="181">
        <f t="shared" si="563"/>
        <v>16250.530000000002</v>
      </c>
      <c r="R245" s="182">
        <f t="shared" si="563"/>
        <v>16184.592000000001</v>
      </c>
      <c r="S245" s="110">
        <f t="shared" si="563"/>
        <v>16184.592000000001</v>
      </c>
      <c r="T245" s="180">
        <f t="shared" si="563"/>
        <v>16484.825000000001</v>
      </c>
      <c r="U245" s="181">
        <f t="shared" si="563"/>
        <v>16663.32</v>
      </c>
      <c r="V245" s="181">
        <f t="shared" si="563"/>
        <v>17313.963</v>
      </c>
      <c r="W245" s="182">
        <f>W236+W239+W242</f>
        <v>17998.133000000002</v>
      </c>
      <c r="X245" s="110">
        <f>X236+X239+X242</f>
        <v>17998.133000000002</v>
      </c>
      <c r="Y245" s="180">
        <f t="shared" si="563"/>
        <v>17889.739000000001</v>
      </c>
      <c r="Z245" s="181">
        <f t="shared" ref="Z245:AE245" si="564">Z236+Z239+Z242</f>
        <v>18681.759999999998</v>
      </c>
      <c r="AA245" s="181">
        <f t="shared" si="564"/>
        <v>18761.906999999999</v>
      </c>
      <c r="AB245" s="182">
        <f t="shared" si="564"/>
        <v>19049.253000000004</v>
      </c>
      <c r="AC245" s="110">
        <f t="shared" si="564"/>
        <v>19049.253000000004</v>
      </c>
      <c r="AD245" s="180">
        <f t="shared" si="564"/>
        <v>19428.082000000002</v>
      </c>
      <c r="AE245" s="181">
        <f t="shared" si="564"/>
        <v>19371.903000000002</v>
      </c>
      <c r="AF245" s="181">
        <f t="shared" ref="AF245:AJ245" si="565">AF236+AF239+AF242</f>
        <v>19547.923000000003</v>
      </c>
      <c r="AG245" s="182">
        <f t="shared" si="565"/>
        <v>19649.767</v>
      </c>
      <c r="AH245" s="110">
        <f t="shared" si="565"/>
        <v>19649.767</v>
      </c>
      <c r="AI245" s="180">
        <f t="shared" si="565"/>
        <v>19770.993999999999</v>
      </c>
      <c r="AJ245" s="181">
        <f t="shared" si="565"/>
        <v>19754.432999999997</v>
      </c>
      <c r="AK245" s="181">
        <f t="shared" ref="AK245:AO245" si="566">AK236+AK239+AK242</f>
        <v>20176.071</v>
      </c>
      <c r="AL245" s="182">
        <f t="shared" si="566"/>
        <v>21067.864000000001</v>
      </c>
      <c r="AM245" s="110">
        <f t="shared" si="566"/>
        <v>21067.864000000001</v>
      </c>
      <c r="AN245" s="180">
        <f t="shared" si="566"/>
        <v>21779.813000000002</v>
      </c>
      <c r="AO245" s="181">
        <f t="shared" si="566"/>
        <v>21727.773999999998</v>
      </c>
      <c r="AP245" s="181">
        <f t="shared" ref="AP245:AT245" si="567">AP236+AP239+AP242</f>
        <v>22164.876</v>
      </c>
      <c r="AQ245" s="182">
        <f t="shared" si="567"/>
        <v>22279.434000000001</v>
      </c>
      <c r="AR245" s="110">
        <f t="shared" si="567"/>
        <v>22279.434000000001</v>
      </c>
      <c r="AS245" s="180">
        <f t="shared" si="567"/>
        <v>22566.532999999999</v>
      </c>
      <c r="AT245" s="181">
        <f t="shared" si="567"/>
        <v>23351.714</v>
      </c>
      <c r="AU245" s="181">
        <f t="shared" ref="AU245:AW245" si="568">AU236+AU239+AU242</f>
        <v>23525.002</v>
      </c>
      <c r="AV245" s="182">
        <f t="shared" si="568"/>
        <v>23665.245999999999</v>
      </c>
      <c r="AW245" s="110">
        <f t="shared" si="568"/>
        <v>23665.245999999999</v>
      </c>
      <c r="AX245" s="180">
        <f t="shared" ref="AX245:BB245" si="569">AX236+AX239+AX242</f>
        <v>23694.094774357953</v>
      </c>
      <c r="AY245" s="181">
        <f t="shared" si="569"/>
        <v>25906.375542425929</v>
      </c>
      <c r="AZ245" s="181">
        <f t="shared" si="569"/>
        <v>25928.261006279903</v>
      </c>
      <c r="BA245" s="182">
        <f t="shared" si="569"/>
        <v>25886.952127433418</v>
      </c>
      <c r="BB245" s="110">
        <f t="shared" si="569"/>
        <v>25886.952127433418</v>
      </c>
      <c r="BC245" s="180">
        <f t="shared" ref="BC245:BL245" si="570">BC236+BC239+BC242</f>
        <v>25885.424619726855</v>
      </c>
      <c r="BD245" s="181">
        <f t="shared" si="570"/>
        <v>26397.148643742858</v>
      </c>
      <c r="BE245" s="181">
        <f t="shared" si="570"/>
        <v>27762.225144726872</v>
      </c>
      <c r="BF245" s="182">
        <f t="shared" si="570"/>
        <v>27873.164069226787</v>
      </c>
      <c r="BG245" s="110">
        <f t="shared" si="570"/>
        <v>27873.164069226787</v>
      </c>
      <c r="BH245" s="180">
        <f t="shared" si="570"/>
        <v>28019.986908031504</v>
      </c>
      <c r="BI245" s="181">
        <f t="shared" si="570"/>
        <v>28394.319670566867</v>
      </c>
      <c r="BJ245" s="181">
        <f t="shared" si="570"/>
        <v>30194.73641477347</v>
      </c>
      <c r="BK245" s="182">
        <f t="shared" si="570"/>
        <v>30012.401866822776</v>
      </c>
      <c r="BL245" s="110">
        <f t="shared" si="570"/>
        <v>30012.401866822776</v>
      </c>
      <c r="BM245" s="180">
        <f t="shared" ref="BM245:BQ245" si="571">BM236+BM239+BM242</f>
        <v>29914.198558610653</v>
      </c>
      <c r="BN245" s="181">
        <f t="shared" si="571"/>
        <v>30456.057063397995</v>
      </c>
      <c r="BO245" s="181">
        <f t="shared" si="571"/>
        <v>31926.464731476601</v>
      </c>
      <c r="BP245" s="182">
        <f t="shared" si="571"/>
        <v>32071.889463421263</v>
      </c>
      <c r="BQ245" s="110">
        <f t="shared" si="571"/>
        <v>32071.889463421263</v>
      </c>
    </row>
    <row r="246" spans="1:69">
      <c r="A246" s="370"/>
      <c r="B246" s="370"/>
      <c r="C246" s="1201" t="s">
        <v>17</v>
      </c>
      <c r="D246" s="370"/>
      <c r="E246" s="373"/>
      <c r="F246" s="371"/>
      <c r="G246" s="371"/>
      <c r="H246" s="372">
        <f>(H236+H239+H242)/H245</f>
        <v>1</v>
      </c>
      <c r="I246" s="370">
        <f t="shared" ref="I246:AE246" si="572">(I236+I239+I242)/I245</f>
        <v>1</v>
      </c>
      <c r="J246" s="373">
        <f t="shared" si="572"/>
        <v>1</v>
      </c>
      <c r="K246" s="371">
        <f t="shared" si="572"/>
        <v>1</v>
      </c>
      <c r="L246" s="371">
        <f t="shared" si="572"/>
        <v>1</v>
      </c>
      <c r="M246" s="372">
        <f t="shared" si="572"/>
        <v>1</v>
      </c>
      <c r="N246" s="370">
        <f t="shared" si="572"/>
        <v>1</v>
      </c>
      <c r="O246" s="373">
        <f t="shared" si="572"/>
        <v>1</v>
      </c>
      <c r="P246" s="371">
        <f t="shared" si="572"/>
        <v>1</v>
      </c>
      <c r="Q246" s="371">
        <f t="shared" si="572"/>
        <v>1</v>
      </c>
      <c r="R246" s="372">
        <f t="shared" si="572"/>
        <v>1</v>
      </c>
      <c r="S246" s="370">
        <f t="shared" si="572"/>
        <v>1</v>
      </c>
      <c r="T246" s="373">
        <f t="shared" si="572"/>
        <v>1</v>
      </c>
      <c r="U246" s="371">
        <f t="shared" si="572"/>
        <v>1</v>
      </c>
      <c r="V246" s="371">
        <f t="shared" si="572"/>
        <v>1</v>
      </c>
      <c r="W246" s="372">
        <f t="shared" si="572"/>
        <v>1</v>
      </c>
      <c r="X246" s="370">
        <f t="shared" si="572"/>
        <v>1</v>
      </c>
      <c r="Y246" s="373">
        <f t="shared" si="572"/>
        <v>1</v>
      </c>
      <c r="Z246" s="371">
        <f t="shared" si="572"/>
        <v>1</v>
      </c>
      <c r="AA246" s="371">
        <f t="shared" si="572"/>
        <v>1</v>
      </c>
      <c r="AB246" s="372">
        <f>(AB236+AB239+AB242)/AB245</f>
        <v>1</v>
      </c>
      <c r="AC246" s="370">
        <f>(AC236+AC239+AC242)/AC245</f>
        <v>1</v>
      </c>
      <c r="AD246" s="373">
        <f t="shared" si="572"/>
        <v>1</v>
      </c>
      <c r="AE246" s="371">
        <f t="shared" si="572"/>
        <v>1</v>
      </c>
      <c r="AF246" s="371">
        <f t="shared" ref="AF246" si="573">(AF236+AF239+AF242)/AF245</f>
        <v>1</v>
      </c>
      <c r="AG246" s="372">
        <f>(AG236+AG239+AG242)/AG245</f>
        <v>1</v>
      </c>
      <c r="AH246" s="370">
        <f>(AH236+AH239+AH242)/AH245</f>
        <v>1</v>
      </c>
      <c r="AI246" s="373">
        <f t="shared" ref="AI246:AJ246" si="574">(AI236+AI239+AI242)/AI245</f>
        <v>1</v>
      </c>
      <c r="AJ246" s="371">
        <f t="shared" si="574"/>
        <v>1</v>
      </c>
      <c r="AK246" s="371">
        <f>(AK236+AK239+AK242)/AK245</f>
        <v>1</v>
      </c>
      <c r="AL246" s="372">
        <f>(AL236+AL239+AL242)/AL245</f>
        <v>1</v>
      </c>
      <c r="AM246" s="370">
        <f>(AM236+AM239+AM242)/AM245</f>
        <v>1</v>
      </c>
      <c r="AN246" s="373">
        <f t="shared" ref="AN246:AO246" si="575">(AN236+AN239+AN242)/AN245</f>
        <v>1</v>
      </c>
      <c r="AO246" s="371">
        <f t="shared" si="575"/>
        <v>1</v>
      </c>
      <c r="AP246" s="371">
        <f>(AP236+AP239+AP242)/AP245</f>
        <v>1</v>
      </c>
      <c r="AQ246" s="372">
        <f>(AQ236+AQ239+AQ242)/AQ245</f>
        <v>1</v>
      </c>
      <c r="AR246" s="370">
        <f>(AR236+AR239+AR242)/AR245</f>
        <v>1</v>
      </c>
      <c r="AS246" s="373">
        <f t="shared" ref="AS246:AT246" si="576">(AS236+AS239+AS242)/AS245</f>
        <v>1</v>
      </c>
      <c r="AT246" s="371">
        <f t="shared" si="576"/>
        <v>1</v>
      </c>
      <c r="AU246" s="371">
        <f t="shared" ref="AU246" si="577">(AU236+AU239+AU242)/AU245</f>
        <v>1</v>
      </c>
      <c r="AV246" s="372">
        <f>(AV236+AV239+AV242)/AV245</f>
        <v>1</v>
      </c>
      <c r="AW246" s="370">
        <f>(AW236+AW239+AW242)/AW245</f>
        <v>1</v>
      </c>
      <c r="AX246" s="373">
        <f t="shared" ref="AX246:BB246" si="578">(AX236+AX239+AX242)/AX245</f>
        <v>1</v>
      </c>
      <c r="AY246" s="371">
        <f t="shared" si="578"/>
        <v>1</v>
      </c>
      <c r="AZ246" s="371">
        <f t="shared" si="578"/>
        <v>1</v>
      </c>
      <c r="BA246" s="372">
        <f t="shared" si="578"/>
        <v>1</v>
      </c>
      <c r="BB246" s="370">
        <f t="shared" si="578"/>
        <v>1</v>
      </c>
      <c r="BC246" s="373">
        <f t="shared" ref="BC246:BL246" si="579">(BC236+BC239+BC242)/BC245</f>
        <v>1</v>
      </c>
      <c r="BD246" s="371">
        <f t="shared" si="579"/>
        <v>1</v>
      </c>
      <c r="BE246" s="371">
        <f t="shared" si="579"/>
        <v>1</v>
      </c>
      <c r="BF246" s="372">
        <f t="shared" si="579"/>
        <v>1</v>
      </c>
      <c r="BG246" s="370">
        <f t="shared" si="579"/>
        <v>1</v>
      </c>
      <c r="BH246" s="373">
        <f t="shared" si="579"/>
        <v>1</v>
      </c>
      <c r="BI246" s="371">
        <f t="shared" si="579"/>
        <v>1</v>
      </c>
      <c r="BJ246" s="371">
        <f t="shared" si="579"/>
        <v>1</v>
      </c>
      <c r="BK246" s="372">
        <f t="shared" si="579"/>
        <v>1</v>
      </c>
      <c r="BL246" s="370">
        <f t="shared" si="579"/>
        <v>1</v>
      </c>
      <c r="BM246" s="373">
        <f t="shared" ref="BM246:BQ246" si="580">(BM236+BM239+BM242)/BM245</f>
        <v>1</v>
      </c>
      <c r="BN246" s="371">
        <f t="shared" si="580"/>
        <v>1</v>
      </c>
      <c r="BO246" s="371">
        <f t="shared" si="580"/>
        <v>1</v>
      </c>
      <c r="BP246" s="372">
        <f t="shared" si="580"/>
        <v>1</v>
      </c>
      <c r="BQ246" s="370">
        <f t="shared" si="580"/>
        <v>1</v>
      </c>
    </row>
    <row r="247" spans="1:69">
      <c r="A247" s="320"/>
      <c r="B247" s="320"/>
      <c r="C247" s="1201"/>
      <c r="D247" s="320"/>
      <c r="E247" s="180"/>
      <c r="F247" s="181"/>
      <c r="G247" s="181"/>
      <c r="H247" s="182"/>
      <c r="I247" s="110"/>
      <c r="J247" s="180"/>
      <c r="K247" s="181"/>
      <c r="L247" s="181"/>
      <c r="M247" s="182"/>
      <c r="N247" s="110"/>
      <c r="O247" s="180"/>
      <c r="P247" s="181"/>
      <c r="Q247" s="181"/>
      <c r="R247" s="182"/>
      <c r="S247" s="110"/>
      <c r="T247" s="180"/>
      <c r="U247" s="181"/>
      <c r="V247" s="181"/>
      <c r="W247" s="182"/>
      <c r="X247" s="110"/>
      <c r="Y247" s="180"/>
      <c r="Z247" s="181"/>
      <c r="AA247" s="181"/>
      <c r="AB247" s="182"/>
      <c r="AC247" s="110"/>
      <c r="AD247" s="180"/>
      <c r="AE247" s="181"/>
      <c r="AF247" s="181"/>
      <c r="AG247" s="182"/>
      <c r="AH247" s="110"/>
      <c r="AI247" s="180"/>
      <c r="AJ247" s="181"/>
      <c r="AK247" s="181"/>
      <c r="AL247" s="182"/>
      <c r="AM247" s="110"/>
      <c r="AN247" s="180"/>
      <c r="AO247" s="181"/>
      <c r="AP247" s="181"/>
      <c r="AQ247" s="182"/>
      <c r="AR247" s="110"/>
      <c r="AS247" s="180"/>
      <c r="AT247" s="181"/>
      <c r="AU247" s="181"/>
      <c r="AV247" s="182"/>
      <c r="AW247" s="110"/>
      <c r="AX247" s="180"/>
      <c r="AY247" s="181"/>
      <c r="AZ247" s="181"/>
      <c r="BA247" s="182"/>
      <c r="BB247" s="110"/>
      <c r="BC247" s="180"/>
      <c r="BD247" s="181"/>
      <c r="BE247" s="181"/>
      <c r="BF247" s="182"/>
      <c r="BG247" s="110"/>
      <c r="BH247" s="180"/>
      <c r="BI247" s="181"/>
      <c r="BJ247" s="181"/>
      <c r="BK247" s="182"/>
      <c r="BL247" s="110"/>
      <c r="BM247" s="180"/>
      <c r="BN247" s="181"/>
      <c r="BO247" s="181"/>
      <c r="BP247" s="182"/>
      <c r="BQ247" s="110"/>
    </row>
    <row r="248" spans="1:69">
      <c r="A248" s="370"/>
      <c r="B248" s="370"/>
      <c r="C248" s="1174" t="s">
        <v>748</v>
      </c>
      <c r="D248" s="1110"/>
      <c r="E248" s="1111"/>
      <c r="F248" s="1112"/>
      <c r="G248" s="1112"/>
      <c r="H248" s="179">
        <f t="shared" ref="H248:M248" si="581">+I248</f>
        <v>931.13099999999997</v>
      </c>
      <c r="I248" s="107">
        <f t="shared" si="581"/>
        <v>931.13099999999997</v>
      </c>
      <c r="J248" s="197">
        <f t="shared" si="581"/>
        <v>931.13099999999997</v>
      </c>
      <c r="K248" s="198">
        <f t="shared" si="581"/>
        <v>931.13099999999997</v>
      </c>
      <c r="L248" s="198">
        <f t="shared" si="581"/>
        <v>931.13099999999997</v>
      </c>
      <c r="M248" s="193">
        <f t="shared" si="581"/>
        <v>931.13099999999997</v>
      </c>
      <c r="N248" s="348">
        <v>931.13099999999997</v>
      </c>
      <c r="O248" s="197">
        <f>+P248</f>
        <v>1071</v>
      </c>
      <c r="P248" s="198">
        <f>+Q248</f>
        <v>1071</v>
      </c>
      <c r="Q248" s="198">
        <f>+R248</f>
        <v>1071</v>
      </c>
      <c r="R248" s="193">
        <f>+S248</f>
        <v>1071</v>
      </c>
      <c r="S248" s="348">
        <v>1071</v>
      </c>
      <c r="T248" s="197">
        <f>+U248</f>
        <v>973</v>
      </c>
      <c r="U248" s="198">
        <f>+V248</f>
        <v>973</v>
      </c>
      <c r="V248" s="198">
        <f>+W248</f>
        <v>973</v>
      </c>
      <c r="W248" s="193">
        <f>+X248</f>
        <v>973</v>
      </c>
      <c r="X248" s="348">
        <v>973</v>
      </c>
      <c r="Y248" s="197">
        <f>+X248</f>
        <v>973</v>
      </c>
      <c r="Z248" s="198">
        <f>+Y248</f>
        <v>973</v>
      </c>
      <c r="AA248" s="198">
        <f>+Z248</f>
        <v>973</v>
      </c>
      <c r="AB248" s="193">
        <f>+AC248</f>
        <v>883</v>
      </c>
      <c r="AC248" s="348">
        <v>883</v>
      </c>
      <c r="AD248" s="197">
        <f>+AC248</f>
        <v>883</v>
      </c>
      <c r="AE248" s="198">
        <f>+AD248</f>
        <v>883</v>
      </c>
      <c r="AF248" s="198">
        <f>+AE248</f>
        <v>883</v>
      </c>
      <c r="AG248" s="193">
        <f>+AH248</f>
        <v>776.81700000000001</v>
      </c>
      <c r="AH248" s="348">
        <v>776.81700000000001</v>
      </c>
      <c r="AI248" s="197">
        <f>+AH248</f>
        <v>776.81700000000001</v>
      </c>
      <c r="AJ248" s="198">
        <f>+AI248</f>
        <v>776.81700000000001</v>
      </c>
      <c r="AK248" s="198">
        <f>+AJ248</f>
        <v>776.81700000000001</v>
      </c>
      <c r="AL248" s="193">
        <f>+AM248</f>
        <v>774.69600000000003</v>
      </c>
      <c r="AM248" s="348">
        <v>774.69600000000003</v>
      </c>
      <c r="AN248" s="197">
        <f>+AR248</f>
        <v>661.17499999999995</v>
      </c>
      <c r="AO248" s="198">
        <f>+AN248</f>
        <v>661.17499999999995</v>
      </c>
      <c r="AP248" s="198">
        <f>+AO248</f>
        <v>661.17499999999995</v>
      </c>
      <c r="AQ248" s="193">
        <f t="shared" ref="AQ248" si="582">+AP248</f>
        <v>661.17499999999995</v>
      </c>
      <c r="AR248" s="348">
        <v>661.17499999999995</v>
      </c>
      <c r="AS248" s="197">
        <f>+AW248</f>
        <v>544.92100000000005</v>
      </c>
      <c r="AT248" s="198">
        <f>+AS248</f>
        <v>544.92100000000005</v>
      </c>
      <c r="AU248" s="198">
        <f>+AT248</f>
        <v>544.92100000000005</v>
      </c>
      <c r="AV248" s="193">
        <f t="shared" ref="AV248" si="583">+AU248</f>
        <v>544.92100000000005</v>
      </c>
      <c r="AW248" s="348">
        <v>544.92100000000005</v>
      </c>
      <c r="AX248" s="197">
        <f t="shared" ref="AX248:BB248" si="584">+AW248</f>
        <v>544.92100000000005</v>
      </c>
      <c r="AY248" s="198">
        <f t="shared" si="584"/>
        <v>544.92100000000005</v>
      </c>
      <c r="AZ248" s="198">
        <f t="shared" si="584"/>
        <v>544.92100000000005</v>
      </c>
      <c r="BA248" s="193">
        <f t="shared" si="584"/>
        <v>544.92100000000005</v>
      </c>
      <c r="BB248" s="107">
        <f t="shared" si="584"/>
        <v>544.92100000000005</v>
      </c>
      <c r="BC248" s="197">
        <f t="shared" ref="BC248" si="585">+BB248</f>
        <v>544.92100000000005</v>
      </c>
      <c r="BD248" s="198">
        <f t="shared" ref="BD248" si="586">+BC248</f>
        <v>544.92100000000005</v>
      </c>
      <c r="BE248" s="198">
        <f t="shared" ref="BE248" si="587">+BD248</f>
        <v>544.92100000000005</v>
      </c>
      <c r="BF248" s="193">
        <f t="shared" ref="BF248" si="588">+BE248</f>
        <v>544.92100000000005</v>
      </c>
      <c r="BG248" s="107">
        <f t="shared" ref="BG248" si="589">+BF248</f>
        <v>544.92100000000005</v>
      </c>
      <c r="BH248" s="197">
        <f t="shared" ref="BH248" si="590">+BG248</f>
        <v>544.92100000000005</v>
      </c>
      <c r="BI248" s="198">
        <f t="shared" ref="BI248" si="591">+BH248</f>
        <v>544.92100000000005</v>
      </c>
      <c r="BJ248" s="198">
        <f t="shared" ref="BJ248" si="592">+BI248</f>
        <v>544.92100000000005</v>
      </c>
      <c r="BK248" s="193">
        <f t="shared" ref="BK248" si="593">+BJ248</f>
        <v>544.92100000000005</v>
      </c>
      <c r="BL248" s="107">
        <f t="shared" ref="BL248" si="594">+BK248</f>
        <v>544.92100000000005</v>
      </c>
      <c r="BM248" s="197">
        <f t="shared" ref="BM248" si="595">+BL248</f>
        <v>544.92100000000005</v>
      </c>
      <c r="BN248" s="198">
        <f t="shared" ref="BN248" si="596">+BM248</f>
        <v>544.92100000000005</v>
      </c>
      <c r="BO248" s="198">
        <f t="shared" ref="BO248" si="597">+BN248</f>
        <v>544.92100000000005</v>
      </c>
      <c r="BP248" s="193">
        <f t="shared" ref="BP248" si="598">+BO248</f>
        <v>544.92100000000005</v>
      </c>
      <c r="BQ248" s="107">
        <f t="shared" ref="BQ248" si="599">+BP248</f>
        <v>544.92100000000005</v>
      </c>
    </row>
    <row r="249" spans="1:69">
      <c r="A249" s="320"/>
      <c r="B249" s="320"/>
      <c r="C249" s="1174"/>
      <c r="D249" s="320"/>
      <c r="E249" s="332"/>
      <c r="F249" s="333"/>
      <c r="G249" s="333"/>
      <c r="H249" s="334"/>
      <c r="I249" s="320"/>
      <c r="J249" s="332"/>
      <c r="K249" s="333"/>
      <c r="L249" s="333"/>
      <c r="M249" s="334"/>
      <c r="N249" s="320"/>
      <c r="O249" s="332"/>
      <c r="P249" s="333"/>
      <c r="Q249" s="333"/>
      <c r="R249" s="334"/>
      <c r="S249" s="320"/>
      <c r="T249" s="393"/>
      <c r="U249" s="190"/>
      <c r="V249" s="333"/>
      <c r="W249" s="334"/>
      <c r="X249" s="320"/>
      <c r="Y249" s="332"/>
      <c r="Z249" s="333"/>
      <c r="AA249" s="333"/>
      <c r="AB249" s="334"/>
      <c r="AC249" s="320"/>
      <c r="AD249" s="332"/>
      <c r="AE249" s="333"/>
      <c r="AF249" s="333"/>
      <c r="AG249" s="334"/>
      <c r="AH249" s="320"/>
      <c r="AI249" s="332"/>
      <c r="AJ249" s="333"/>
      <c r="AK249" s="333"/>
      <c r="AL249" s="334"/>
      <c r="AM249" s="320"/>
      <c r="AN249" s="332"/>
      <c r="AO249" s="333"/>
      <c r="AP249" s="333"/>
      <c r="AQ249" s="334"/>
      <c r="AR249" s="320"/>
      <c r="AS249" s="332"/>
      <c r="AT249" s="333"/>
      <c r="AU249" s="333"/>
      <c r="AV249" s="334"/>
      <c r="AW249" s="320"/>
      <c r="AX249" s="332"/>
      <c r="AY249" s="333"/>
      <c r="AZ249" s="333"/>
      <c r="BA249" s="334"/>
      <c r="BB249" s="320"/>
      <c r="BC249" s="332"/>
      <c r="BD249" s="333"/>
      <c r="BE249" s="333"/>
      <c r="BF249" s="334"/>
      <c r="BG249" s="320"/>
      <c r="BH249" s="332"/>
      <c r="BI249" s="333"/>
      <c r="BJ249" s="333"/>
      <c r="BK249" s="334"/>
      <c r="BL249" s="320"/>
      <c r="BM249" s="332"/>
      <c r="BN249" s="333"/>
      <c r="BO249" s="333"/>
      <c r="BP249" s="334"/>
      <c r="BQ249" s="320"/>
    </row>
    <row r="250" spans="1:69">
      <c r="A250" s="320"/>
      <c r="B250" s="320"/>
      <c r="C250" s="1174"/>
      <c r="D250" s="320"/>
      <c r="E250" s="332"/>
      <c r="F250" s="333"/>
      <c r="G250" s="333"/>
      <c r="H250" s="334"/>
      <c r="I250" s="320"/>
      <c r="J250" s="332"/>
      <c r="K250" s="333"/>
      <c r="L250" s="333"/>
      <c r="M250" s="334"/>
      <c r="N250" s="320"/>
      <c r="O250" s="332"/>
      <c r="P250" s="333"/>
      <c r="Q250" s="333"/>
      <c r="R250" s="334"/>
      <c r="S250" s="320"/>
      <c r="T250" s="393"/>
      <c r="U250" s="190"/>
      <c r="V250" s="333"/>
      <c r="W250" s="334"/>
      <c r="X250" s="320"/>
      <c r="Y250" s="332"/>
      <c r="Z250" s="333"/>
      <c r="AA250" s="333"/>
      <c r="AB250" s="334"/>
      <c r="AC250" s="320"/>
      <c r="AD250" s="332"/>
      <c r="AE250" s="333"/>
      <c r="AF250" s="333"/>
      <c r="AG250" s="334"/>
      <c r="AH250" s="320"/>
      <c r="AI250" s="332"/>
      <c r="AJ250" s="333"/>
      <c r="AK250" s="333"/>
      <c r="AL250" s="334"/>
      <c r="AM250" s="320"/>
      <c r="AN250" s="332"/>
      <c r="AO250" s="333"/>
      <c r="AP250" s="333"/>
      <c r="AQ250" s="334"/>
      <c r="AR250" s="320"/>
      <c r="AS250" s="332"/>
      <c r="AT250" s="333"/>
      <c r="AU250" s="333"/>
      <c r="AV250" s="334"/>
      <c r="AW250" s="320"/>
      <c r="AX250" s="332"/>
      <c r="AY250" s="333"/>
      <c r="AZ250" s="333"/>
      <c r="BA250" s="334"/>
      <c r="BB250" s="320"/>
      <c r="BC250" s="332"/>
      <c r="BD250" s="333"/>
      <c r="BE250" s="333"/>
      <c r="BF250" s="334"/>
      <c r="BG250" s="320"/>
      <c r="BH250" s="332"/>
      <c r="BI250" s="333"/>
      <c r="BJ250" s="333"/>
      <c r="BK250" s="334"/>
      <c r="BL250" s="320"/>
      <c r="BM250" s="332"/>
      <c r="BN250" s="333"/>
      <c r="BO250" s="333"/>
      <c r="BP250" s="334"/>
      <c r="BQ250" s="320"/>
    </row>
    <row r="251" spans="1:69">
      <c r="A251" s="5"/>
      <c r="B251" s="400" t="s">
        <v>18</v>
      </c>
      <c r="C251" s="1172"/>
      <c r="D251" s="92"/>
      <c r="E251" s="133"/>
      <c r="F251" s="134"/>
      <c r="G251" s="134"/>
      <c r="H251" s="135"/>
      <c r="I251" s="5"/>
      <c r="J251" s="133"/>
      <c r="K251" s="134"/>
      <c r="L251" s="134"/>
      <c r="M251" s="135"/>
      <c r="N251" s="5"/>
      <c r="O251" s="133"/>
      <c r="P251" s="134"/>
      <c r="Q251" s="134"/>
      <c r="R251" s="135"/>
      <c r="S251" s="5"/>
      <c r="T251" s="133"/>
      <c r="U251" s="134"/>
      <c r="V251" s="134"/>
      <c r="W251" s="135"/>
      <c r="X251" s="5"/>
      <c r="Y251" s="133"/>
      <c r="Z251" s="134"/>
      <c r="AA251" s="134"/>
      <c r="AB251" s="135"/>
      <c r="AC251" s="5"/>
      <c r="AD251" s="133"/>
      <c r="AE251" s="134"/>
      <c r="AF251" s="134"/>
      <c r="AG251" s="135"/>
      <c r="AH251" s="5"/>
      <c r="AI251" s="133"/>
      <c r="AJ251" s="134"/>
      <c r="AK251" s="134"/>
      <c r="AL251" s="135"/>
      <c r="AM251" s="5"/>
      <c r="AN251" s="133"/>
      <c r="AO251" s="134"/>
      <c r="AP251" s="134"/>
      <c r="AQ251" s="135"/>
      <c r="AR251" s="5"/>
      <c r="AS251" s="133"/>
      <c r="AT251" s="134"/>
      <c r="AU251" s="134"/>
      <c r="AV251" s="135"/>
      <c r="AW251" s="5"/>
      <c r="AX251" s="133"/>
      <c r="AY251" s="134"/>
      <c r="AZ251" s="134"/>
      <c r="BA251" s="135"/>
      <c r="BB251" s="5"/>
      <c r="BC251" s="133"/>
      <c r="BD251" s="134"/>
      <c r="BE251" s="134"/>
      <c r="BF251" s="135"/>
      <c r="BG251" s="5"/>
      <c r="BH251" s="133"/>
      <c r="BI251" s="134"/>
      <c r="BJ251" s="134"/>
      <c r="BK251" s="135"/>
      <c r="BL251" s="5"/>
      <c r="BM251" s="133"/>
      <c r="BN251" s="134"/>
      <c r="BO251" s="134"/>
      <c r="BP251" s="135"/>
      <c r="BQ251" s="5"/>
    </row>
    <row r="252" spans="1:69">
      <c r="A252" s="320"/>
      <c r="B252" s="320"/>
      <c r="C252" s="1202" t="s">
        <v>175</v>
      </c>
      <c r="D252" s="320"/>
      <c r="E252" s="332"/>
      <c r="F252" s="333"/>
      <c r="G252" s="333"/>
      <c r="H252" s="334"/>
      <c r="I252" s="320"/>
      <c r="J252" s="332"/>
      <c r="K252" s="333"/>
      <c r="L252" s="333"/>
      <c r="M252" s="334"/>
      <c r="N252" s="320">
        <f>+N51+N23</f>
        <v>1714.5139999999997</v>
      </c>
      <c r="O252" s="332"/>
      <c r="P252" s="333"/>
      <c r="Q252" s="333"/>
      <c r="R252" s="334"/>
      <c r="S252" s="320">
        <f>+S51+S23</f>
        <v>2024.9899999999993</v>
      </c>
      <c r="T252" s="332"/>
      <c r="U252" s="333"/>
      <c r="V252" s="333"/>
      <c r="W252" s="334"/>
      <c r="X252" s="320">
        <f>+X51+X23</f>
        <v>1944.2739999999994</v>
      </c>
      <c r="Y252" s="332"/>
      <c r="Z252" s="333"/>
      <c r="AA252" s="333"/>
      <c r="AB252" s="334"/>
      <c r="AC252" s="320">
        <f>+AC51+AC23</f>
        <v>1898.9170000000013</v>
      </c>
      <c r="AD252" s="332"/>
      <c r="AE252" s="333"/>
      <c r="AF252" s="333"/>
      <c r="AG252" s="334"/>
      <c r="AH252" s="320">
        <f>+AH51+AH23</f>
        <v>1875.7599999999998</v>
      </c>
      <c r="AI252" s="332"/>
      <c r="AJ252" s="333"/>
      <c r="AK252" s="333"/>
      <c r="AL252" s="334"/>
      <c r="AM252" s="320">
        <f>+AM51+AM23</f>
        <v>2192.9630000000002</v>
      </c>
      <c r="AN252" s="332"/>
      <c r="AO252" s="333"/>
      <c r="AP252" s="333"/>
      <c r="AQ252" s="334"/>
      <c r="AR252" s="320">
        <f>+AR51+AR23</f>
        <v>2279.893</v>
      </c>
      <c r="AS252" s="332"/>
      <c r="AT252" s="333"/>
      <c r="AU252" s="333"/>
      <c r="AV252" s="334"/>
      <c r="AW252" s="320">
        <f>+AW51+AW23</f>
        <v>2137.4739999999993</v>
      </c>
      <c r="AX252" s="332"/>
      <c r="AY252" s="333"/>
      <c r="AZ252" s="333"/>
      <c r="BA252" s="334"/>
      <c r="BB252" s="320">
        <f>+BB51+BB23</f>
        <v>2330.8436445425241</v>
      </c>
      <c r="BC252" s="332"/>
      <c r="BD252" s="333"/>
      <c r="BE252" s="333"/>
      <c r="BF252" s="334"/>
      <c r="BG252" s="320">
        <f>+BG51+BG23</f>
        <v>2492.0490244372641</v>
      </c>
      <c r="BH252" s="332"/>
      <c r="BI252" s="333"/>
      <c r="BJ252" s="333"/>
      <c r="BK252" s="334"/>
      <c r="BL252" s="320">
        <f>+BL51+BL23</f>
        <v>2655.8890997869835</v>
      </c>
      <c r="BM252" s="332"/>
      <c r="BN252" s="333"/>
      <c r="BO252" s="333"/>
      <c r="BP252" s="334"/>
      <c r="BQ252" s="320">
        <f>+BQ51+BQ23</f>
        <v>2808.3600697033535</v>
      </c>
    </row>
    <row r="253" spans="1:69">
      <c r="A253" s="320"/>
      <c r="B253" s="320"/>
      <c r="C253" s="1202" t="s">
        <v>34</v>
      </c>
      <c r="D253" s="320"/>
      <c r="E253" s="332"/>
      <c r="F253" s="333"/>
      <c r="G253" s="333"/>
      <c r="H253" s="334"/>
      <c r="I253" s="320"/>
      <c r="J253" s="332"/>
      <c r="K253" s="333"/>
      <c r="L253" s="333"/>
      <c r="M253" s="334"/>
      <c r="N253" s="320">
        <f>+N34</f>
        <v>1777.1859999999997</v>
      </c>
      <c r="O253" s="332"/>
      <c r="P253" s="333"/>
      <c r="Q253" s="333"/>
      <c r="R253" s="334"/>
      <c r="S253" s="320">
        <f>+S34</f>
        <v>1606.9159999999993</v>
      </c>
      <c r="T253" s="332"/>
      <c r="U253" s="333"/>
      <c r="V253" s="333"/>
      <c r="W253" s="334"/>
      <c r="X253" s="320">
        <f>+X34</f>
        <v>1486.1469999999995</v>
      </c>
      <c r="Y253" s="332"/>
      <c r="Z253" s="333"/>
      <c r="AA253" s="333"/>
      <c r="AB253" s="334"/>
      <c r="AC253" s="320">
        <f>+AC34</f>
        <v>1721.3050000000012</v>
      </c>
      <c r="AD253" s="332"/>
      <c r="AE253" s="333"/>
      <c r="AF253" s="333"/>
      <c r="AG253" s="334"/>
      <c r="AH253" s="320">
        <f>+AH34</f>
        <v>1850.3729999999998</v>
      </c>
      <c r="AI253" s="332"/>
      <c r="AJ253" s="333"/>
      <c r="AK253" s="333"/>
      <c r="AL253" s="334"/>
      <c r="AM253" s="320">
        <f>+AM34</f>
        <v>1674.4090000000003</v>
      </c>
      <c r="AN253" s="332"/>
      <c r="AO253" s="333"/>
      <c r="AP253" s="333"/>
      <c r="AQ253" s="334"/>
      <c r="AR253" s="320">
        <f>+AR34</f>
        <v>2133.067</v>
      </c>
      <c r="AS253" s="332"/>
      <c r="AT253" s="333"/>
      <c r="AU253" s="333"/>
      <c r="AV253" s="334"/>
      <c r="AW253" s="320">
        <f>+AW34</f>
        <v>2115.0649999999991</v>
      </c>
      <c r="AX253" s="332"/>
      <c r="AY253" s="333"/>
      <c r="AZ253" s="333"/>
      <c r="BA253" s="334"/>
      <c r="BB253" s="320">
        <f>+BB34</f>
        <v>2196.6793754515052</v>
      </c>
      <c r="BC253" s="332"/>
      <c r="BD253" s="333"/>
      <c r="BE253" s="333"/>
      <c r="BF253" s="334"/>
      <c r="BG253" s="320">
        <f>+BG34</f>
        <v>2369.2080263461708</v>
      </c>
      <c r="BH253" s="332"/>
      <c r="BI253" s="333"/>
      <c r="BJ253" s="333"/>
      <c r="BK253" s="334"/>
      <c r="BL253" s="320">
        <f>+BL34</f>
        <v>2574.239940064725</v>
      </c>
      <c r="BM253" s="332"/>
      <c r="BN253" s="333"/>
      <c r="BO253" s="333"/>
      <c r="BP253" s="334"/>
      <c r="BQ253" s="320">
        <f>+BQ34</f>
        <v>2755.1600497333238</v>
      </c>
    </row>
    <row r="254" spans="1:69">
      <c r="A254" s="320"/>
      <c r="B254" s="320"/>
      <c r="C254" s="1202" t="s">
        <v>317</v>
      </c>
      <c r="D254" s="320"/>
      <c r="E254" s="332"/>
      <c r="F254" s="333"/>
      <c r="G254" s="333"/>
      <c r="H254" s="334"/>
      <c r="I254" s="320"/>
      <c r="J254" s="332"/>
      <c r="K254" s="333"/>
      <c r="L254" s="333"/>
      <c r="M254" s="334"/>
      <c r="N254" s="320">
        <f>+N35</f>
        <v>2679.3129999999996</v>
      </c>
      <c r="O254" s="332"/>
      <c r="P254" s="333"/>
      <c r="Q254" s="333"/>
      <c r="R254" s="334"/>
      <c r="S254" s="320">
        <f>+S35</f>
        <v>2525.3689999999992</v>
      </c>
      <c r="T254" s="332"/>
      <c r="U254" s="333"/>
      <c r="V254" s="333"/>
      <c r="W254" s="334"/>
      <c r="X254" s="320">
        <f>+X35</f>
        <v>2450.3279999999995</v>
      </c>
      <c r="Y254" s="332"/>
      <c r="Z254" s="333"/>
      <c r="AA254" s="333"/>
      <c r="AB254" s="334"/>
      <c r="AC254" s="320">
        <f>+AC35</f>
        <v>2762.3360000000011</v>
      </c>
      <c r="AD254" s="332"/>
      <c r="AE254" s="333"/>
      <c r="AF254" s="333"/>
      <c r="AG254" s="334"/>
      <c r="AH254" s="320">
        <f>+AH35</f>
        <v>2889.3849999999998</v>
      </c>
      <c r="AI254" s="332"/>
      <c r="AJ254" s="333"/>
      <c r="AK254" s="333"/>
      <c r="AL254" s="334"/>
      <c r="AM254" s="320">
        <f>+AM35</f>
        <v>2770.4970000000003</v>
      </c>
      <c r="AN254" s="332"/>
      <c r="AO254" s="333"/>
      <c r="AP254" s="333"/>
      <c r="AQ254" s="334"/>
      <c r="AR254" s="320">
        <f>+AR35</f>
        <v>3278.7550000000001</v>
      </c>
      <c r="AS254" s="332"/>
      <c r="AT254" s="333"/>
      <c r="AU254" s="333"/>
      <c r="AV254" s="334"/>
      <c r="AW254" s="320">
        <f>+AW35</f>
        <v>3310.2439999999992</v>
      </c>
      <c r="AX254" s="332"/>
      <c r="AY254" s="333"/>
      <c r="AZ254" s="333"/>
      <c r="BA254" s="334"/>
      <c r="BB254" s="320">
        <f>+BB35</f>
        <v>3484.471892560608</v>
      </c>
      <c r="BC254" s="332"/>
      <c r="BD254" s="333"/>
      <c r="BE254" s="333"/>
      <c r="BF254" s="334"/>
      <c r="BG254" s="320">
        <f>+BG35</f>
        <v>3744.2761089900632</v>
      </c>
      <c r="BH254" s="332"/>
      <c r="BI254" s="333"/>
      <c r="BJ254" s="333"/>
      <c r="BK254" s="334"/>
      <c r="BL254" s="320">
        <f>+BL35</f>
        <v>4045.89124225572</v>
      </c>
      <c r="BM254" s="332"/>
      <c r="BN254" s="333"/>
      <c r="BO254" s="333"/>
      <c r="BP254" s="334"/>
      <c r="BQ254" s="320">
        <f>+BQ35</f>
        <v>4314.0405228381915</v>
      </c>
    </row>
    <row r="255" spans="1:69">
      <c r="A255" s="320"/>
      <c r="B255" s="320"/>
      <c r="C255" s="1202" t="s">
        <v>324</v>
      </c>
      <c r="D255" s="320"/>
      <c r="E255" s="332"/>
      <c r="F255" s="333"/>
      <c r="G255" s="333"/>
      <c r="H255" s="334"/>
      <c r="I255" s="320"/>
      <c r="J255" s="332"/>
      <c r="K255" s="333"/>
      <c r="L255" s="333"/>
      <c r="M255" s="334"/>
      <c r="N255" s="320">
        <f>+N37</f>
        <v>528.22</v>
      </c>
      <c r="O255" s="332"/>
      <c r="P255" s="333"/>
      <c r="Q255" s="333"/>
      <c r="R255" s="334"/>
      <c r="S255" s="320">
        <f>+S37</f>
        <v>493.63200000000001</v>
      </c>
      <c r="T255" s="332"/>
      <c r="U255" s="333"/>
      <c r="V255" s="333"/>
      <c r="W255" s="334"/>
      <c r="X255" s="320">
        <f>+X37</f>
        <v>513.79700000000003</v>
      </c>
      <c r="Y255" s="332"/>
      <c r="Z255" s="333"/>
      <c r="AA255" s="333"/>
      <c r="AB255" s="334"/>
      <c r="AC255" s="320">
        <f>+AC37</f>
        <v>534.673</v>
      </c>
      <c r="AD255" s="332"/>
      <c r="AE255" s="333"/>
      <c r="AF255" s="333"/>
      <c r="AG255" s="334"/>
      <c r="AH255" s="320">
        <f>+AH37</f>
        <v>565.30499999999995</v>
      </c>
      <c r="AI255" s="332"/>
      <c r="AJ255" s="333"/>
      <c r="AK255" s="333"/>
      <c r="AL255" s="334"/>
      <c r="AM255" s="320">
        <f>+AM37</f>
        <v>569.75900000000001</v>
      </c>
      <c r="AN255" s="332"/>
      <c r="AO255" s="333"/>
      <c r="AP255" s="333"/>
      <c r="AQ255" s="334"/>
      <c r="AR255" s="320">
        <f>+AR37</f>
        <v>591.721</v>
      </c>
      <c r="AS255" s="332"/>
      <c r="AT255" s="333"/>
      <c r="AU255" s="333"/>
      <c r="AV255" s="334"/>
      <c r="AW255" s="320">
        <f>+AW37</f>
        <v>592.16999999999996</v>
      </c>
      <c r="AX255" s="332"/>
      <c r="AY255" s="333"/>
      <c r="AZ255" s="333"/>
      <c r="BA255" s="334"/>
      <c r="BB255" s="320">
        <f>+BB37</f>
        <v>681.49692997604745</v>
      </c>
      <c r="BC255" s="332"/>
      <c r="BD255" s="333"/>
      <c r="BE255" s="333"/>
      <c r="BF255" s="334"/>
      <c r="BG255" s="320">
        <f>+BG37</f>
        <v>726.15364397233259</v>
      </c>
      <c r="BH255" s="332"/>
      <c r="BI255" s="333"/>
      <c r="BJ255" s="333"/>
      <c r="BK255" s="334"/>
      <c r="BL255" s="320">
        <f>+BL37</f>
        <v>812.22710699659797</v>
      </c>
      <c r="BM255" s="332"/>
      <c r="BN255" s="333"/>
      <c r="BO255" s="333"/>
      <c r="BP255" s="334"/>
      <c r="BQ255" s="320">
        <f>+BQ37</f>
        <v>896.13784272421776</v>
      </c>
    </row>
    <row r="256" spans="1:69">
      <c r="A256" s="320"/>
      <c r="B256" s="320"/>
      <c r="C256" s="1202" t="s">
        <v>354</v>
      </c>
      <c r="D256" s="320"/>
      <c r="E256" s="332"/>
      <c r="F256" s="333"/>
      <c r="G256" s="333"/>
      <c r="H256" s="334"/>
      <c r="I256" s="320"/>
      <c r="J256" s="332"/>
      <c r="K256" s="333"/>
      <c r="L256" s="333"/>
      <c r="M256" s="334"/>
      <c r="N256" s="320">
        <f>+N51</f>
        <v>812.38699999999972</v>
      </c>
      <c r="O256" s="332"/>
      <c r="P256" s="333"/>
      <c r="Q256" s="333"/>
      <c r="R256" s="334"/>
      <c r="S256" s="320">
        <f>+S51</f>
        <v>1106.5369999999994</v>
      </c>
      <c r="T256" s="332"/>
      <c r="U256" s="333"/>
      <c r="V256" s="333"/>
      <c r="W256" s="334"/>
      <c r="X256" s="320">
        <f>+X51</f>
        <v>980.09299999999951</v>
      </c>
      <c r="Y256" s="332"/>
      <c r="Z256" s="333"/>
      <c r="AA256" s="333"/>
      <c r="AB256" s="334"/>
      <c r="AC256" s="320">
        <f>+AC51</f>
        <v>857.88600000000133</v>
      </c>
      <c r="AD256" s="332"/>
      <c r="AE256" s="333"/>
      <c r="AF256" s="333"/>
      <c r="AG256" s="334"/>
      <c r="AH256" s="320">
        <f>+AH51</f>
        <v>836.74799999999982</v>
      </c>
      <c r="AI256" s="332"/>
      <c r="AJ256" s="333"/>
      <c r="AK256" s="333"/>
      <c r="AL256" s="334"/>
      <c r="AM256" s="320">
        <f>+AM51</f>
        <v>1096.8750000000002</v>
      </c>
      <c r="AN256" s="332"/>
      <c r="AO256" s="333"/>
      <c r="AP256" s="333"/>
      <c r="AQ256" s="334"/>
      <c r="AR256" s="320">
        <f>+AR51</f>
        <v>1134.2049999999999</v>
      </c>
      <c r="AS256" s="332"/>
      <c r="AT256" s="333"/>
      <c r="AU256" s="333"/>
      <c r="AV256" s="334"/>
      <c r="AW256" s="320">
        <f>+AW51</f>
        <v>942.29499999999916</v>
      </c>
      <c r="AX256" s="332"/>
      <c r="AY256" s="333"/>
      <c r="AZ256" s="333"/>
      <c r="BA256" s="334"/>
      <c r="BB256" s="320">
        <f>+BB51</f>
        <v>1043.051127433421</v>
      </c>
      <c r="BC256" s="332"/>
      <c r="BD256" s="333"/>
      <c r="BE256" s="333"/>
      <c r="BF256" s="334"/>
      <c r="BG256" s="320">
        <f>+BG51</f>
        <v>1116.9809417933714</v>
      </c>
      <c r="BH256" s="332"/>
      <c r="BI256" s="333"/>
      <c r="BJ256" s="333"/>
      <c r="BK256" s="334"/>
      <c r="BL256" s="320">
        <f>+BL51</f>
        <v>1184.2377975959885</v>
      </c>
      <c r="BM256" s="332"/>
      <c r="BN256" s="333"/>
      <c r="BO256" s="333"/>
      <c r="BP256" s="334"/>
      <c r="BQ256" s="320">
        <f>+BQ51</f>
        <v>1249.4795965984863</v>
      </c>
    </row>
    <row r="257" spans="1:69">
      <c r="A257" s="5"/>
      <c r="B257" s="5"/>
      <c r="C257" s="1174"/>
      <c r="D257" s="5"/>
      <c r="E257" s="177"/>
      <c r="F257" s="178"/>
      <c r="G257" s="178"/>
      <c r="H257" s="179"/>
      <c r="I257" s="107"/>
      <c r="J257" s="177"/>
      <c r="K257" s="178"/>
      <c r="L257" s="178"/>
      <c r="M257" s="179"/>
      <c r="N257" s="107"/>
      <c r="O257" s="177"/>
      <c r="P257" s="178"/>
      <c r="Q257" s="178"/>
      <c r="R257" s="179"/>
      <c r="S257" s="107"/>
      <c r="T257" s="177"/>
      <c r="U257" s="178"/>
      <c r="V257" s="178"/>
      <c r="W257" s="179"/>
      <c r="X257" s="107"/>
      <c r="Y257" s="177"/>
      <c r="Z257" s="178"/>
      <c r="AA257" s="178"/>
      <c r="AB257" s="179"/>
      <c r="AC257" s="107"/>
      <c r="AD257" s="177"/>
      <c r="AE257" s="178"/>
      <c r="AF257" s="178"/>
      <c r="AG257" s="179"/>
      <c r="AH257" s="107"/>
      <c r="AI257" s="177"/>
      <c r="AJ257" s="178"/>
      <c r="AK257" s="178"/>
      <c r="AL257" s="179"/>
      <c r="AM257" s="107"/>
      <c r="AN257" s="177"/>
      <c r="AO257" s="178"/>
      <c r="AP257" s="178"/>
      <c r="AQ257" s="179"/>
      <c r="AR257" s="107"/>
      <c r="AS257" s="177"/>
      <c r="AT257" s="178"/>
      <c r="AU257" s="178"/>
      <c r="AV257" s="179"/>
      <c r="AW257" s="107"/>
      <c r="AX257" s="177"/>
      <c r="AY257" s="178"/>
      <c r="AZ257" s="178"/>
      <c r="BA257" s="179"/>
      <c r="BB257" s="107"/>
      <c r="BC257" s="177"/>
      <c r="BD257" s="178"/>
      <c r="BE257" s="178"/>
      <c r="BF257" s="179"/>
      <c r="BG257" s="107"/>
      <c r="BH257" s="177"/>
      <c r="BI257" s="178"/>
      <c r="BJ257" s="178"/>
      <c r="BK257" s="179"/>
      <c r="BL257" s="107"/>
      <c r="BM257" s="177"/>
      <c r="BN257" s="178"/>
      <c r="BO257" s="178"/>
      <c r="BP257" s="179"/>
      <c r="BQ257" s="107"/>
    </row>
    <row r="258" spans="1:69">
      <c r="A258" s="5"/>
      <c r="B258" s="5"/>
      <c r="C258" s="1173" t="s">
        <v>397</v>
      </c>
      <c r="D258" s="31"/>
      <c r="E258" s="136"/>
      <c r="F258" s="137"/>
      <c r="G258" s="137"/>
      <c r="H258" s="138"/>
      <c r="I258" s="21"/>
      <c r="J258" s="136"/>
      <c r="K258" s="137"/>
      <c r="L258" s="137"/>
      <c r="M258" s="138"/>
      <c r="N258" s="21"/>
      <c r="O258" s="136"/>
      <c r="P258" s="137"/>
      <c r="Q258" s="137"/>
      <c r="R258" s="138"/>
      <c r="S258" s="21"/>
      <c r="T258" s="136"/>
      <c r="U258" s="137"/>
      <c r="V258" s="137"/>
      <c r="W258" s="138"/>
      <c r="X258" s="21"/>
      <c r="Y258" s="136"/>
      <c r="Z258" s="137"/>
      <c r="AA258" s="137"/>
      <c r="AB258" s="138"/>
      <c r="AC258" s="21"/>
      <c r="AD258" s="136"/>
      <c r="AE258" s="137"/>
      <c r="AF258" s="137"/>
      <c r="AG258" s="138"/>
      <c r="AH258" s="21"/>
      <c r="AI258" s="136"/>
      <c r="AJ258" s="137"/>
      <c r="AK258" s="137"/>
      <c r="AL258" s="138"/>
      <c r="AM258" s="21"/>
      <c r="AN258" s="136"/>
      <c r="AO258" s="137"/>
      <c r="AP258" s="137"/>
      <c r="AQ258" s="138"/>
      <c r="AR258" s="21"/>
      <c r="AS258" s="136"/>
      <c r="AT258" s="137"/>
      <c r="AU258" s="137"/>
      <c r="AV258" s="138"/>
      <c r="AW258" s="21"/>
      <c r="AX258" s="136"/>
      <c r="AY258" s="137"/>
      <c r="AZ258" s="137"/>
      <c r="BA258" s="138"/>
      <c r="BB258" s="21"/>
      <c r="BC258" s="136"/>
      <c r="BD258" s="137"/>
      <c r="BE258" s="137"/>
      <c r="BF258" s="138"/>
      <c r="BG258" s="21"/>
      <c r="BH258" s="136"/>
      <c r="BI258" s="137"/>
      <c r="BJ258" s="137"/>
      <c r="BK258" s="138"/>
      <c r="BL258" s="21"/>
      <c r="BM258" s="136"/>
      <c r="BN258" s="137"/>
      <c r="BO258" s="137"/>
      <c r="BP258" s="138"/>
      <c r="BQ258" s="21"/>
    </row>
    <row r="259" spans="1:69">
      <c r="A259" s="5"/>
      <c r="B259" s="5"/>
      <c r="C259" s="1174" t="s">
        <v>866</v>
      </c>
      <c r="D259" s="31"/>
      <c r="E259" s="206"/>
      <c r="F259" s="207"/>
      <c r="G259" s="207"/>
      <c r="H259" s="208"/>
      <c r="I259" s="24"/>
      <c r="J259" s="206"/>
      <c r="K259" s="207"/>
      <c r="L259" s="207"/>
      <c r="M259" s="208"/>
      <c r="N259" s="24">
        <f>N235/N245</f>
        <v>0.56163484261345753</v>
      </c>
      <c r="O259" s="206"/>
      <c r="P259" s="207"/>
      <c r="Q259" s="207"/>
      <c r="R259" s="208"/>
      <c r="S259" s="24">
        <f>S235/S245</f>
        <v>0.56731822464230175</v>
      </c>
      <c r="T259" s="206"/>
      <c r="U259" s="207"/>
      <c r="V259" s="207"/>
      <c r="W259" s="208"/>
      <c r="X259" s="24">
        <f>X235/X245</f>
        <v>0.56866176063928409</v>
      </c>
      <c r="Y259" s="206"/>
      <c r="Z259" s="207"/>
      <c r="AA259" s="207"/>
      <c r="AB259" s="208"/>
      <c r="AC259" s="24">
        <f>AC235/AC245</f>
        <v>0.56415713519055044</v>
      </c>
      <c r="AD259" s="206"/>
      <c r="AE259" s="207"/>
      <c r="AF259" s="207"/>
      <c r="AG259" s="208"/>
      <c r="AH259" s="24">
        <f>AH235/AH245</f>
        <v>0.56617358363587722</v>
      </c>
      <c r="AI259" s="206"/>
      <c r="AJ259" s="207"/>
      <c r="AK259" s="207"/>
      <c r="AL259" s="208"/>
      <c r="AM259" s="24">
        <f>AM235/AM245</f>
        <v>0.56486946184957332</v>
      </c>
      <c r="AN259" s="206"/>
      <c r="AO259" s="207"/>
      <c r="AP259" s="207"/>
      <c r="AQ259" s="208"/>
      <c r="AR259" s="24">
        <f>AR235/AR245</f>
        <v>0.54990167164928871</v>
      </c>
      <c r="AS259" s="206"/>
      <c r="AT259" s="207"/>
      <c r="AU259" s="207"/>
      <c r="AV259" s="208"/>
      <c r="AW259" s="24">
        <f>AW235/AW245</f>
        <v>0.54610368301263379</v>
      </c>
      <c r="AX259" s="206"/>
      <c r="AY259" s="207"/>
      <c r="AZ259" s="207"/>
      <c r="BA259" s="208"/>
      <c r="BB259" s="24">
        <f>BB235/BB245</f>
        <v>0.56645053955426161</v>
      </c>
      <c r="BC259" s="206"/>
      <c r="BD259" s="207"/>
      <c r="BE259" s="207"/>
      <c r="BF259" s="208"/>
      <c r="BG259" s="24">
        <f>BG235/BG245</f>
        <v>0.56624030773115686</v>
      </c>
      <c r="BH259" s="206"/>
      <c r="BI259" s="207"/>
      <c r="BJ259" s="207"/>
      <c r="BK259" s="208"/>
      <c r="BL259" s="24">
        <f>BL235/BL245</f>
        <v>0.57102757306955532</v>
      </c>
      <c r="BM259" s="206"/>
      <c r="BN259" s="207"/>
      <c r="BO259" s="207"/>
      <c r="BP259" s="208"/>
      <c r="BQ259" s="24">
        <f>BQ235/BQ245</f>
        <v>0.56741019330199272</v>
      </c>
    </row>
    <row r="260" spans="1:69">
      <c r="A260" s="5"/>
      <c r="B260" s="5"/>
      <c r="C260" s="1174" t="s">
        <v>398</v>
      </c>
      <c r="D260" s="31"/>
      <c r="E260" s="206"/>
      <c r="F260" s="207"/>
      <c r="G260" s="207"/>
      <c r="H260" s="208"/>
      <c r="I260" s="24"/>
      <c r="J260" s="206"/>
      <c r="K260" s="207"/>
      <c r="L260" s="207"/>
      <c r="M260" s="208"/>
      <c r="N260" s="24">
        <f>N236/N245</f>
        <v>0.51329683538929294</v>
      </c>
      <c r="O260" s="206"/>
      <c r="P260" s="207"/>
      <c r="Q260" s="207"/>
      <c r="R260" s="208"/>
      <c r="S260" s="24">
        <f>S236/S245</f>
        <v>0.50783763965134243</v>
      </c>
      <c r="T260" s="206"/>
      <c r="U260" s="207"/>
      <c r="V260" s="207"/>
      <c r="W260" s="208"/>
      <c r="X260" s="24">
        <f>X236/X245</f>
        <v>0.52345701634719555</v>
      </c>
      <c r="Y260" s="206"/>
      <c r="Z260" s="207"/>
      <c r="AA260" s="207"/>
      <c r="AB260" s="208"/>
      <c r="AC260" s="24">
        <f>AC236/AC245</f>
        <v>0.51795794827230224</v>
      </c>
      <c r="AD260" s="206"/>
      <c r="AE260" s="207"/>
      <c r="AF260" s="207"/>
      <c r="AG260" s="208"/>
      <c r="AH260" s="24">
        <f>AH236/AH245</f>
        <v>0.53246326025138102</v>
      </c>
      <c r="AI260" s="206"/>
      <c r="AJ260" s="207"/>
      <c r="AK260" s="207"/>
      <c r="AL260" s="208"/>
      <c r="AM260" s="24">
        <f>AM236/AM245</f>
        <v>0.53151776563585174</v>
      </c>
      <c r="AN260" s="206"/>
      <c r="AO260" s="207"/>
      <c r="AP260" s="207"/>
      <c r="AQ260" s="208"/>
      <c r="AR260" s="24">
        <f>AR236/AR245</f>
        <v>0.52339790140090625</v>
      </c>
      <c r="AS260" s="206"/>
      <c r="AT260" s="207"/>
      <c r="AU260" s="207"/>
      <c r="AV260" s="208"/>
      <c r="AW260" s="24">
        <f>AW236/AW245</f>
        <v>0.52778247054773908</v>
      </c>
      <c r="AX260" s="206"/>
      <c r="AY260" s="207"/>
      <c r="AZ260" s="207"/>
      <c r="BA260" s="208"/>
      <c r="BB260" s="24">
        <f>BB236/BB245</f>
        <v>0.54540051414696278</v>
      </c>
      <c r="BC260" s="206"/>
      <c r="BD260" s="207"/>
      <c r="BE260" s="207"/>
      <c r="BF260" s="208"/>
      <c r="BG260" s="24">
        <f>BG236/BG245</f>
        <v>0.54669028468222647</v>
      </c>
      <c r="BH260" s="206"/>
      <c r="BI260" s="207"/>
      <c r="BJ260" s="207"/>
      <c r="BK260" s="208"/>
      <c r="BL260" s="24">
        <f>BL236/BL245</f>
        <v>0.5528710455640915</v>
      </c>
      <c r="BM260" s="206"/>
      <c r="BN260" s="207"/>
      <c r="BO260" s="207"/>
      <c r="BP260" s="208"/>
      <c r="BQ260" s="24">
        <f>BQ236/BQ245</f>
        <v>0.5504195822367639</v>
      </c>
    </row>
    <row r="261" spans="1:69">
      <c r="A261" s="5"/>
      <c r="B261" s="5"/>
      <c r="C261" s="1174" t="s">
        <v>399</v>
      </c>
      <c r="D261" s="31"/>
      <c r="E261" s="209"/>
      <c r="F261" s="210"/>
      <c r="G261" s="210"/>
      <c r="H261" s="211"/>
      <c r="I261" s="100"/>
      <c r="J261" s="209"/>
      <c r="K261" s="210"/>
      <c r="L261" s="210"/>
      <c r="M261" s="211"/>
      <c r="N261" s="100">
        <f>(N236-N232)/N254</f>
        <v>2.6533070231062963</v>
      </c>
      <c r="O261" s="209"/>
      <c r="P261" s="210"/>
      <c r="Q261" s="210"/>
      <c r="R261" s="211"/>
      <c r="S261" s="100">
        <f>(S236-S232)/S254</f>
        <v>3.1122235997986842</v>
      </c>
      <c r="T261" s="209"/>
      <c r="U261" s="210"/>
      <c r="V261" s="210"/>
      <c r="W261" s="211"/>
      <c r="X261" s="100">
        <f>(X236-X232)/X254</f>
        <v>3.6897574528797783</v>
      </c>
      <c r="Y261" s="209"/>
      <c r="Z261" s="210"/>
      <c r="AA261" s="210"/>
      <c r="AB261" s="211"/>
      <c r="AC261" s="100">
        <f>(AC236-AC232)/AC254</f>
        <v>3.3723250900686943</v>
      </c>
      <c r="AD261" s="209"/>
      <c r="AE261" s="210"/>
      <c r="AF261" s="210"/>
      <c r="AG261" s="211"/>
      <c r="AH261" s="100">
        <f>(AH236-AH232)/AH254</f>
        <v>3.2842158452404226</v>
      </c>
      <c r="AI261" s="209"/>
      <c r="AJ261" s="210"/>
      <c r="AK261" s="210"/>
      <c r="AL261" s="211"/>
      <c r="AM261" s="100">
        <f>(AM236-AM232)/AM254</f>
        <v>3.8184037015741215</v>
      </c>
      <c r="AN261" s="209"/>
      <c r="AO261" s="210"/>
      <c r="AP261" s="210"/>
      <c r="AQ261" s="211"/>
      <c r="AR261" s="100">
        <f>(AR236-AR232)/AR254</f>
        <v>3.3287330099382233</v>
      </c>
      <c r="AS261" s="209"/>
      <c r="AT261" s="210"/>
      <c r="AU261" s="210"/>
      <c r="AV261" s="211"/>
      <c r="AW261" s="100">
        <f>(AW236-AW232)/AW254</f>
        <v>3.6086989357884196</v>
      </c>
      <c r="AX261" s="209"/>
      <c r="AY261" s="210"/>
      <c r="AZ261" s="210"/>
      <c r="BA261" s="211"/>
      <c r="BB261" s="100">
        <f>(BB236-BB232)/BB254</f>
        <v>3.9027091620176591</v>
      </c>
      <c r="BC261" s="209"/>
      <c r="BD261" s="210"/>
      <c r="BE261" s="210"/>
      <c r="BF261" s="211"/>
      <c r="BG261" s="100">
        <f>(BG236-BG232)/BG254</f>
        <v>3.9435791606897133</v>
      </c>
      <c r="BH261" s="209"/>
      <c r="BI261" s="210"/>
      <c r="BJ261" s="210"/>
      <c r="BK261" s="211"/>
      <c r="BL261" s="100">
        <f>(BL236-BL232)/BL254</f>
        <v>3.941542743846985</v>
      </c>
      <c r="BM261" s="209"/>
      <c r="BN261" s="210"/>
      <c r="BO261" s="210"/>
      <c r="BP261" s="211"/>
      <c r="BQ261" s="100">
        <f>(BQ236-BQ232)/BQ254</f>
        <v>3.9646199752859776</v>
      </c>
    </row>
    <row r="262" spans="1:69">
      <c r="A262" s="5"/>
      <c r="B262" s="5"/>
      <c r="C262" s="1174" t="s">
        <v>400</v>
      </c>
      <c r="D262" s="31"/>
      <c r="E262" s="206"/>
      <c r="F262" s="207"/>
      <c r="G262" s="207"/>
      <c r="H262" s="208"/>
      <c r="I262" s="24"/>
      <c r="J262" s="206"/>
      <c r="K262" s="207"/>
      <c r="L262" s="207"/>
      <c r="M262" s="208"/>
      <c r="N262" s="24">
        <f>N252/N236</f>
        <v>0.21618901410670657</v>
      </c>
      <c r="O262" s="206"/>
      <c r="P262" s="207"/>
      <c r="Q262" s="207"/>
      <c r="R262" s="208"/>
      <c r="S262" s="24">
        <f>S252/S236</f>
        <v>0.24637477499180258</v>
      </c>
      <c r="T262" s="206"/>
      <c r="U262" s="207"/>
      <c r="V262" s="207"/>
      <c r="W262" s="208"/>
      <c r="X262" s="24">
        <f>X252/X236</f>
        <v>0.20637115100131623</v>
      </c>
      <c r="Y262" s="206"/>
      <c r="Z262" s="207"/>
      <c r="AA262" s="207"/>
      <c r="AB262" s="208"/>
      <c r="AC262" s="24">
        <f>AC252/AC236</f>
        <v>0.1924569197925308</v>
      </c>
      <c r="AD262" s="206"/>
      <c r="AE262" s="207"/>
      <c r="AF262" s="207"/>
      <c r="AG262" s="208"/>
      <c r="AH262" s="24">
        <f>AH252/AH236</f>
        <v>0.17927932913425773</v>
      </c>
      <c r="AI262" s="206"/>
      <c r="AJ262" s="207"/>
      <c r="AK262" s="207"/>
      <c r="AL262" s="208"/>
      <c r="AM262" s="24">
        <f>AM252/AM236</f>
        <v>0.19583621779140889</v>
      </c>
      <c r="AN262" s="206"/>
      <c r="AO262" s="207"/>
      <c r="AP262" s="207"/>
      <c r="AQ262" s="208"/>
      <c r="AR262" s="24">
        <f>AR252/AR236</f>
        <v>0.19551421322117152</v>
      </c>
      <c r="AS262" s="206"/>
      <c r="AT262" s="207"/>
      <c r="AU262" s="207"/>
      <c r="AV262" s="208"/>
      <c r="AW262" s="24">
        <f>AW252/AW236</f>
        <v>0.17113343029544509</v>
      </c>
      <c r="AX262" s="206"/>
      <c r="AY262" s="207"/>
      <c r="AZ262" s="207"/>
      <c r="BA262" s="208"/>
      <c r="BB262" s="24">
        <f>BB252/BB236</f>
        <v>0.16508844543060866</v>
      </c>
      <c r="BC262" s="206"/>
      <c r="BD262" s="207"/>
      <c r="BE262" s="207"/>
      <c r="BF262" s="208"/>
      <c r="BG262" s="24">
        <f>BG252/BG236</f>
        <v>0.1635418681545926</v>
      </c>
      <c r="BH262" s="206"/>
      <c r="BI262" s="207"/>
      <c r="BJ262" s="207"/>
      <c r="BK262" s="208"/>
      <c r="BL262" s="24">
        <f>BL252/BL236</f>
        <v>0.16006093054409387</v>
      </c>
      <c r="BM262" s="206"/>
      <c r="BN262" s="207"/>
      <c r="BO262" s="207"/>
      <c r="BP262" s="208"/>
      <c r="BQ262" s="24">
        <f>BQ252/BQ236</f>
        <v>0.15908688075969388</v>
      </c>
    </row>
    <row r="263" spans="1:69">
      <c r="A263" s="5"/>
      <c r="B263" s="5"/>
      <c r="C263" s="1174"/>
      <c r="D263" s="31"/>
      <c r="E263" s="136"/>
      <c r="F263" s="137"/>
      <c r="G263" s="137"/>
      <c r="H263" s="138"/>
      <c r="I263" s="21"/>
      <c r="J263" s="136"/>
      <c r="K263" s="137"/>
      <c r="L263" s="137"/>
      <c r="M263" s="138"/>
      <c r="N263" s="21"/>
      <c r="O263" s="136"/>
      <c r="P263" s="137"/>
      <c r="Q263" s="137"/>
      <c r="R263" s="138"/>
      <c r="S263" s="21"/>
      <c r="T263" s="136"/>
      <c r="U263" s="137"/>
      <c r="V263" s="137"/>
      <c r="W263" s="138"/>
      <c r="X263" s="21"/>
      <c r="Y263" s="136"/>
      <c r="Z263" s="137"/>
      <c r="AA263" s="137"/>
      <c r="AB263" s="138"/>
      <c r="AC263" s="21"/>
      <c r="AD263" s="136"/>
      <c r="AE263" s="137"/>
      <c r="AF263" s="137"/>
      <c r="AG263" s="138"/>
      <c r="AH263" s="21"/>
      <c r="AI263" s="136"/>
      <c r="AJ263" s="137"/>
      <c r="AK263" s="137"/>
      <c r="AL263" s="138"/>
      <c r="AM263" s="21"/>
      <c r="AN263" s="136"/>
      <c r="AO263" s="137"/>
      <c r="AP263" s="137"/>
      <c r="AQ263" s="138"/>
      <c r="AR263" s="21"/>
      <c r="AS263" s="136"/>
      <c r="AT263" s="137"/>
      <c r="AU263" s="137"/>
      <c r="AV263" s="138"/>
      <c r="AW263" s="21"/>
      <c r="AX263" s="136"/>
      <c r="AY263" s="137"/>
      <c r="AZ263" s="137"/>
      <c r="BA263" s="138"/>
      <c r="BB263" s="21"/>
      <c r="BC263" s="136"/>
      <c r="BD263" s="137"/>
      <c r="BE263" s="137"/>
      <c r="BF263" s="138"/>
      <c r="BG263" s="21"/>
      <c r="BH263" s="136"/>
      <c r="BI263" s="137"/>
      <c r="BJ263" s="137"/>
      <c r="BK263" s="138"/>
      <c r="BL263" s="21"/>
      <c r="BM263" s="136"/>
      <c r="BN263" s="137"/>
      <c r="BO263" s="137"/>
      <c r="BP263" s="138"/>
      <c r="BQ263" s="21"/>
    </row>
    <row r="264" spans="1:69">
      <c r="A264" s="5"/>
      <c r="B264" s="5"/>
      <c r="C264" s="1173" t="s">
        <v>401</v>
      </c>
      <c r="D264" s="31"/>
      <c r="E264" s="136"/>
      <c r="F264" s="137"/>
      <c r="G264" s="137"/>
      <c r="H264" s="138"/>
      <c r="I264" s="21"/>
      <c r="J264" s="136"/>
      <c r="K264" s="137"/>
      <c r="L264" s="137"/>
      <c r="M264" s="138"/>
      <c r="N264" s="21"/>
      <c r="O264" s="136"/>
      <c r="P264" s="137"/>
      <c r="Q264" s="137"/>
      <c r="R264" s="138"/>
      <c r="S264" s="21"/>
      <c r="T264" s="136"/>
      <c r="U264" s="137"/>
      <c r="V264" s="137"/>
      <c r="W264" s="138"/>
      <c r="X264" s="21"/>
      <c r="Y264" s="136"/>
      <c r="Z264" s="137"/>
      <c r="AA264" s="137"/>
      <c r="AB264" s="138"/>
      <c r="AC264" s="21"/>
      <c r="AD264" s="136"/>
      <c r="AE264" s="137"/>
      <c r="AF264" s="137"/>
      <c r="AG264" s="138"/>
      <c r="AH264" s="21"/>
      <c r="AI264" s="136"/>
      <c r="AJ264" s="137"/>
      <c r="AK264" s="137"/>
      <c r="AL264" s="138"/>
      <c r="AM264" s="21"/>
      <c r="AN264" s="136"/>
      <c r="AO264" s="137"/>
      <c r="AP264" s="137"/>
      <c r="AQ264" s="138"/>
      <c r="AR264" s="21"/>
      <c r="AS264" s="136"/>
      <c r="AT264" s="137"/>
      <c r="AU264" s="137"/>
      <c r="AV264" s="138"/>
      <c r="AW264" s="21"/>
      <c r="AX264" s="136"/>
      <c r="AY264" s="137"/>
      <c r="AZ264" s="137"/>
      <c r="BA264" s="138"/>
      <c r="BB264" s="21"/>
      <c r="BC264" s="136"/>
      <c r="BD264" s="137"/>
      <c r="BE264" s="137"/>
      <c r="BF264" s="138"/>
      <c r="BG264" s="21"/>
      <c r="BH264" s="136"/>
      <c r="BI264" s="137"/>
      <c r="BJ264" s="137"/>
      <c r="BK264" s="138"/>
      <c r="BL264" s="21"/>
      <c r="BM264" s="136"/>
      <c r="BN264" s="137"/>
      <c r="BO264" s="137"/>
      <c r="BP264" s="138"/>
      <c r="BQ264" s="21"/>
    </row>
    <row r="265" spans="1:69">
      <c r="A265" s="5"/>
      <c r="B265" s="5"/>
      <c r="C265" s="1193" t="s">
        <v>663</v>
      </c>
      <c r="D265" s="31"/>
      <c r="E265" s="209"/>
      <c r="F265" s="210"/>
      <c r="G265" s="210"/>
      <c r="H265" s="211"/>
      <c r="I265" s="100"/>
      <c r="J265" s="209"/>
      <c r="K265" s="210"/>
      <c r="L265" s="210"/>
      <c r="M265" s="211"/>
      <c r="N265" s="100">
        <f>(N252+N255)/N255</f>
        <v>4.2458331755707839</v>
      </c>
      <c r="O265" s="209"/>
      <c r="P265" s="210"/>
      <c r="Q265" s="210"/>
      <c r="R265" s="211"/>
      <c r="S265" s="100">
        <f>(S252+S255)/S255</f>
        <v>5.1022259496953186</v>
      </c>
      <c r="T265" s="209"/>
      <c r="U265" s="210"/>
      <c r="V265" s="210"/>
      <c r="W265" s="211"/>
      <c r="X265" s="100">
        <f>(X252+X255)/X255</f>
        <v>4.7841287512383284</v>
      </c>
      <c r="Y265" s="209"/>
      <c r="Z265" s="210"/>
      <c r="AA265" s="210"/>
      <c r="AB265" s="211"/>
      <c r="AC265" s="100">
        <f>(AC252+AC255)/AC255</f>
        <v>4.551548329539739</v>
      </c>
      <c r="AD265" s="209"/>
      <c r="AE265" s="210"/>
      <c r="AF265" s="210"/>
      <c r="AG265" s="211"/>
      <c r="AH265" s="100">
        <f>(AH252+AH255)/AH255</f>
        <v>4.3181379963028803</v>
      </c>
      <c r="AI265" s="209"/>
      <c r="AJ265" s="210"/>
      <c r="AK265" s="210"/>
      <c r="AL265" s="211"/>
      <c r="AM265" s="100">
        <f>(AM252+AM255)/AM255</f>
        <v>4.848930863751165</v>
      </c>
      <c r="AN265" s="209"/>
      <c r="AO265" s="210"/>
      <c r="AP265" s="210"/>
      <c r="AQ265" s="211"/>
      <c r="AR265" s="100">
        <f>(AR252+AR255)/AR255</f>
        <v>4.8529864581449704</v>
      </c>
      <c r="AS265" s="209"/>
      <c r="AT265" s="210"/>
      <c r="AU265" s="210"/>
      <c r="AV265" s="211"/>
      <c r="AW265" s="100">
        <f>(AW252+AW255)/AW255</f>
        <v>4.6095614435043979</v>
      </c>
      <c r="AX265" s="209"/>
      <c r="AY265" s="210"/>
      <c r="AZ265" s="210"/>
      <c r="BA265" s="211"/>
      <c r="BB265" s="100">
        <f>(BB252+BB255)/BB255</f>
        <v>4.420182163732485</v>
      </c>
      <c r="BC265" s="209"/>
      <c r="BD265" s="210"/>
      <c r="BE265" s="210"/>
      <c r="BF265" s="211"/>
      <c r="BG265" s="100">
        <f>(BG252+BG255)/BG255</f>
        <v>4.4318481290058971</v>
      </c>
      <c r="BH265" s="209"/>
      <c r="BI265" s="210"/>
      <c r="BJ265" s="210"/>
      <c r="BK265" s="211"/>
      <c r="BL265" s="100">
        <f>(BL252+BL255)/BL255</f>
        <v>4.2698848350527996</v>
      </c>
      <c r="BM265" s="209"/>
      <c r="BN265" s="210"/>
      <c r="BO265" s="210"/>
      <c r="BP265" s="211"/>
      <c r="BQ265" s="100">
        <f>(BQ252+BQ255)/BQ255</f>
        <v>4.1338483164220232</v>
      </c>
    </row>
    <row r="266" spans="1:69">
      <c r="A266" s="5"/>
      <c r="B266" s="5"/>
      <c r="C266" s="1193" t="s">
        <v>665</v>
      </c>
      <c r="D266" s="31"/>
      <c r="E266" s="209"/>
      <c r="F266" s="210"/>
      <c r="G266" s="210"/>
      <c r="H266" s="211"/>
      <c r="I266" s="100"/>
      <c r="J266" s="209"/>
      <c r="K266" s="210"/>
      <c r="L266" s="210"/>
      <c r="M266" s="211"/>
      <c r="N266" s="100">
        <f>N253/N255</f>
        <v>3.3644807087955768</v>
      </c>
      <c r="O266" s="209"/>
      <c r="P266" s="210"/>
      <c r="Q266" s="210"/>
      <c r="R266" s="211"/>
      <c r="S266" s="100">
        <f>S253/S255</f>
        <v>3.2552913911577841</v>
      </c>
      <c r="T266" s="209"/>
      <c r="U266" s="210"/>
      <c r="V266" s="210"/>
      <c r="W266" s="211"/>
      <c r="X266" s="100">
        <f>X253/X255</f>
        <v>2.8924789362335699</v>
      </c>
      <c r="Y266" s="209"/>
      <c r="Z266" s="210"/>
      <c r="AA266" s="210"/>
      <c r="AB266" s="211"/>
      <c r="AC266" s="100">
        <f>AC253/AC255</f>
        <v>3.2193602444858844</v>
      </c>
      <c r="AD266" s="209"/>
      <c r="AE266" s="210"/>
      <c r="AF266" s="210"/>
      <c r="AG266" s="211"/>
      <c r="AH266" s="100">
        <f>AH253/AH255</f>
        <v>3.2732294955820307</v>
      </c>
      <c r="AI266" s="209"/>
      <c r="AJ266" s="210"/>
      <c r="AK266" s="210"/>
      <c r="AL266" s="211"/>
      <c r="AM266" s="100">
        <f>AM253/AM255</f>
        <v>2.9388021953141599</v>
      </c>
      <c r="AN266" s="209"/>
      <c r="AO266" s="210"/>
      <c r="AP266" s="210"/>
      <c r="AQ266" s="211"/>
      <c r="AR266" s="100">
        <f>AR253/AR255</f>
        <v>3.6048526248012154</v>
      </c>
      <c r="AS266" s="209"/>
      <c r="AT266" s="210"/>
      <c r="AU266" s="210"/>
      <c r="AV266" s="211"/>
      <c r="AW266" s="100">
        <f>AW253/AW255</f>
        <v>3.5717192698042779</v>
      </c>
      <c r="AX266" s="209"/>
      <c r="AY266" s="210"/>
      <c r="AZ266" s="210"/>
      <c r="BA266" s="211"/>
      <c r="BB266" s="100">
        <f>BB253/BB255</f>
        <v>3.2233151446899573</v>
      </c>
      <c r="BC266" s="209"/>
      <c r="BD266" s="210"/>
      <c r="BE266" s="210"/>
      <c r="BF266" s="211"/>
      <c r="BG266" s="100">
        <f>BG253/BG255</f>
        <v>3.2626814531780286</v>
      </c>
      <c r="BH266" s="209"/>
      <c r="BI266" s="210"/>
      <c r="BJ266" s="210"/>
      <c r="BK266" s="211"/>
      <c r="BL266" s="100">
        <f>BL253/BL255</f>
        <v>3.1693597983741109</v>
      </c>
      <c r="BM266" s="209"/>
      <c r="BN266" s="210"/>
      <c r="BO266" s="210"/>
      <c r="BP266" s="211"/>
      <c r="BQ266" s="100">
        <f>BQ253/BQ255</f>
        <v>3.0744824271205466</v>
      </c>
    </row>
    <row r="267" spans="1:69">
      <c r="A267" s="5"/>
      <c r="B267" s="5"/>
      <c r="C267" s="1174"/>
      <c r="D267" s="31"/>
      <c r="E267" s="136"/>
      <c r="F267" s="137"/>
      <c r="G267" s="137"/>
      <c r="H267" s="138"/>
      <c r="I267" s="21"/>
      <c r="J267" s="136"/>
      <c r="K267" s="137"/>
      <c r="L267" s="137"/>
      <c r="M267" s="138"/>
      <c r="N267" s="21"/>
      <c r="O267" s="136"/>
      <c r="P267" s="137"/>
      <c r="Q267" s="137"/>
      <c r="R267" s="138"/>
      <c r="S267" s="21"/>
      <c r="T267" s="136"/>
      <c r="U267" s="137"/>
      <c r="V267" s="137"/>
      <c r="W267" s="138"/>
      <c r="X267" s="21"/>
      <c r="Y267" s="136"/>
      <c r="Z267" s="137"/>
      <c r="AA267" s="137"/>
      <c r="AB267" s="138"/>
      <c r="AC267" s="21"/>
      <c r="AD267" s="136"/>
      <c r="AE267" s="137"/>
      <c r="AF267" s="137"/>
      <c r="AG267" s="138"/>
      <c r="AH267" s="21"/>
      <c r="AI267" s="136"/>
      <c r="AJ267" s="137"/>
      <c r="AK267" s="137"/>
      <c r="AL267" s="138"/>
      <c r="AM267" s="21"/>
      <c r="AN267" s="136"/>
      <c r="AO267" s="137"/>
      <c r="AP267" s="137"/>
      <c r="AQ267" s="138"/>
      <c r="AR267" s="21"/>
      <c r="AS267" s="136"/>
      <c r="AT267" s="137"/>
      <c r="AU267" s="137"/>
      <c r="AV267" s="138"/>
      <c r="AW267" s="21"/>
      <c r="AX267" s="136"/>
      <c r="AY267" s="137"/>
      <c r="AZ267" s="137"/>
      <c r="BA267" s="138"/>
      <c r="BB267" s="21"/>
      <c r="BC267" s="136"/>
      <c r="BD267" s="137"/>
      <c r="BE267" s="137"/>
      <c r="BF267" s="138"/>
      <c r="BG267" s="21"/>
      <c r="BH267" s="136"/>
      <c r="BI267" s="137"/>
      <c r="BJ267" s="137"/>
      <c r="BK267" s="138"/>
      <c r="BL267" s="21"/>
      <c r="BM267" s="136"/>
      <c r="BN267" s="137"/>
      <c r="BO267" s="137"/>
      <c r="BP267" s="138"/>
      <c r="BQ267" s="21"/>
    </row>
    <row r="268" spans="1:69">
      <c r="A268" s="5"/>
      <c r="B268" s="5"/>
      <c r="C268" s="1174"/>
      <c r="D268" s="31"/>
      <c r="E268" s="136"/>
      <c r="F268" s="137"/>
      <c r="G268" s="137"/>
      <c r="H268" s="138"/>
      <c r="I268" s="21"/>
      <c r="J268" s="136"/>
      <c r="K268" s="137"/>
      <c r="L268" s="137"/>
      <c r="M268" s="138"/>
      <c r="N268" s="21"/>
      <c r="O268" s="136"/>
      <c r="P268" s="137"/>
      <c r="Q268" s="137"/>
      <c r="R268" s="138"/>
      <c r="S268" s="21"/>
      <c r="T268" s="136"/>
      <c r="U268" s="137"/>
      <c r="V268" s="137"/>
      <c r="W268" s="138"/>
      <c r="X268" s="21"/>
      <c r="Y268" s="136"/>
      <c r="Z268" s="137"/>
      <c r="AA268" s="137"/>
      <c r="AB268" s="138"/>
      <c r="AC268" s="21"/>
      <c r="AD268" s="136"/>
      <c r="AE268" s="137"/>
      <c r="AF268" s="137"/>
      <c r="AG268" s="138"/>
      <c r="AH268" s="21"/>
      <c r="AI268" s="136"/>
      <c r="AJ268" s="137"/>
      <c r="AK268" s="137"/>
      <c r="AL268" s="138"/>
      <c r="AM268" s="21"/>
      <c r="AN268" s="136"/>
      <c r="AO268" s="137"/>
      <c r="AP268" s="137"/>
      <c r="AQ268" s="138"/>
      <c r="AR268" s="21"/>
      <c r="AS268" s="136"/>
      <c r="AT268" s="137"/>
      <c r="AU268" s="137"/>
      <c r="AV268" s="138"/>
      <c r="AW268" s="21"/>
      <c r="AX268" s="136"/>
      <c r="AY268" s="137"/>
      <c r="AZ268" s="137"/>
      <c r="BA268" s="138"/>
      <c r="BB268" s="21"/>
      <c r="BC268" s="136"/>
      <c r="BD268" s="137"/>
      <c r="BE268" s="137"/>
      <c r="BF268" s="138"/>
      <c r="BG268" s="21"/>
      <c r="BH268" s="136"/>
      <c r="BI268" s="137"/>
      <c r="BJ268" s="137"/>
      <c r="BK268" s="138"/>
      <c r="BL268" s="21"/>
      <c r="BM268" s="136"/>
      <c r="BN268" s="137"/>
      <c r="BO268" s="137"/>
      <c r="BP268" s="138"/>
      <c r="BQ268" s="21"/>
    </row>
    <row r="269" spans="1:69" ht="12.75" customHeight="1">
      <c r="A269" s="5"/>
      <c r="B269" s="401" t="s">
        <v>655</v>
      </c>
      <c r="C269" s="1203"/>
      <c r="D269" s="1041"/>
      <c r="E269" s="136"/>
      <c r="F269" s="137"/>
      <c r="G269" s="137"/>
      <c r="H269" s="138"/>
      <c r="I269" s="31"/>
      <c r="J269" s="136"/>
      <c r="K269" s="137"/>
      <c r="L269" s="137"/>
      <c r="M269" s="138"/>
      <c r="N269" s="31"/>
      <c r="O269" s="136"/>
      <c r="P269" s="137"/>
      <c r="Q269" s="137"/>
      <c r="R269" s="138"/>
      <c r="S269" s="31"/>
      <c r="T269" s="136"/>
      <c r="U269" s="137"/>
      <c r="V269" s="137"/>
      <c r="W269" s="138"/>
      <c r="X269" s="31"/>
      <c r="Y269" s="136"/>
      <c r="Z269" s="137"/>
      <c r="AA269" s="137"/>
      <c r="AB269" s="138"/>
      <c r="AC269" s="31"/>
      <c r="AD269" s="136"/>
      <c r="AE269" s="137"/>
      <c r="AF269" s="137"/>
      <c r="AG269" s="138"/>
      <c r="AH269" s="31"/>
      <c r="AI269" s="136"/>
      <c r="AJ269" s="137"/>
      <c r="AK269" s="137"/>
      <c r="AL269" s="138"/>
      <c r="AM269" s="31"/>
      <c r="AN269" s="136"/>
      <c r="AO269" s="137"/>
      <c r="AP269" s="137"/>
      <c r="AQ269" s="138"/>
      <c r="AR269" s="31"/>
      <c r="AS269" s="136"/>
      <c r="AT269" s="137"/>
      <c r="AU269" s="137"/>
      <c r="AV269" s="138"/>
      <c r="AW269" s="31"/>
      <c r="AX269" s="136"/>
      <c r="AY269" s="137"/>
      <c r="AZ269" s="137"/>
      <c r="BA269" s="138"/>
      <c r="BB269" s="31"/>
      <c r="BC269" s="136"/>
      <c r="BD269" s="137"/>
      <c r="BE269" s="137"/>
      <c r="BF269" s="138"/>
      <c r="BG269" s="31"/>
      <c r="BH269" s="136"/>
      <c r="BI269" s="137"/>
      <c r="BJ269" s="137"/>
      <c r="BK269" s="138"/>
      <c r="BL269" s="31"/>
      <c r="BM269" s="136"/>
      <c r="BN269" s="137"/>
      <c r="BO269" s="137"/>
      <c r="BP269" s="138"/>
      <c r="BQ269" s="31"/>
    </row>
    <row r="270" spans="1:69" ht="12.75" customHeight="1">
      <c r="A270" s="5"/>
      <c r="B270" s="5"/>
      <c r="C270" s="1173" t="s">
        <v>621</v>
      </c>
      <c r="D270" s="31"/>
      <c r="E270" s="177"/>
      <c r="F270" s="178"/>
      <c r="G270" s="178"/>
      <c r="H270" s="179"/>
      <c r="I270" s="44"/>
      <c r="J270" s="177"/>
      <c r="K270" s="178"/>
      <c r="L270" s="178"/>
      <c r="M270" s="179"/>
      <c r="N270" s="44"/>
      <c r="O270" s="177"/>
      <c r="P270" s="178"/>
      <c r="Q270" s="178"/>
      <c r="R270" s="179"/>
      <c r="S270" s="44"/>
      <c r="T270" s="177">
        <f>R276</f>
        <v>14740</v>
      </c>
      <c r="U270" s="178">
        <f>T276</f>
        <v>14663.519</v>
      </c>
      <c r="V270" s="178">
        <f>U276</f>
        <v>15573.435999999998</v>
      </c>
      <c r="W270" s="179">
        <f>V276</f>
        <v>15361.576999999999</v>
      </c>
      <c r="X270" s="44">
        <f>T270</f>
        <v>14740</v>
      </c>
      <c r="Y270" s="177">
        <f>W276</f>
        <v>16769.149000000005</v>
      </c>
      <c r="Z270" s="178">
        <f>Y276</f>
        <v>16552.846000000001</v>
      </c>
      <c r="AA270" s="178">
        <f>Z276</f>
        <v>16492.35300000001</v>
      </c>
      <c r="AB270" s="179">
        <f>AA276</f>
        <v>16434.450000000004</v>
      </c>
      <c r="AC270" s="44">
        <f>Y270</f>
        <v>16769.149000000005</v>
      </c>
      <c r="AD270" s="177">
        <f>AB276</f>
        <v>16337.196000000004</v>
      </c>
      <c r="AE270" s="178">
        <f>AD276</f>
        <v>16210.175000000007</v>
      </c>
      <c r="AF270" s="178">
        <f>AE276</f>
        <v>16190.442000000006</v>
      </c>
      <c r="AG270" s="179">
        <f>AF276</f>
        <v>16075.392000000003</v>
      </c>
      <c r="AH270" s="44">
        <f>AD270</f>
        <v>16337.196000000004</v>
      </c>
      <c r="AI270" s="177">
        <f>AG276</f>
        <v>16828.043000000001</v>
      </c>
      <c r="AJ270" s="178">
        <f>AI276</f>
        <v>16800.13</v>
      </c>
      <c r="AK270" s="178">
        <f>AJ276</f>
        <v>16714.999000000007</v>
      </c>
      <c r="AL270" s="179">
        <f>AK276</f>
        <v>16654.839000000004</v>
      </c>
      <c r="AM270" s="44">
        <f>AI270</f>
        <v>16828.043000000001</v>
      </c>
      <c r="AN270" s="177">
        <f>AL276</f>
        <v>17475.167000000005</v>
      </c>
      <c r="AO270" s="178">
        <f>AN276</f>
        <v>18848.063999999998</v>
      </c>
      <c r="AP270" s="178">
        <f>AO276</f>
        <v>18975.771000000004</v>
      </c>
      <c r="AQ270" s="179">
        <f>AP276</f>
        <v>18948.866999999998</v>
      </c>
      <c r="AR270" s="44">
        <f>AN270</f>
        <v>17475.167000000005</v>
      </c>
      <c r="AS270" s="177">
        <f>AQ276</f>
        <v>19363.182000000001</v>
      </c>
      <c r="AT270" s="178">
        <f>AS276</f>
        <v>19665.908000000003</v>
      </c>
      <c r="AU270" s="178">
        <f t="shared" ref="AU270" si="600">AT276</f>
        <v>20001.744000000002</v>
      </c>
      <c r="AV270" s="179">
        <f>AU276</f>
        <v>19933.199000000004</v>
      </c>
      <c r="AW270" s="44">
        <f>AS270</f>
        <v>19363.182000000001</v>
      </c>
      <c r="AX270" s="177">
        <f>AV276</f>
        <v>21417.744000000006</v>
      </c>
      <c r="AY270" s="178">
        <f>AX276</f>
        <v>21731.95611526705</v>
      </c>
      <c r="AZ270" s="178">
        <f>AY276</f>
        <v>22259.863159473065</v>
      </c>
      <c r="BA270" s="179">
        <f>AZ276</f>
        <v>22779.992942856428</v>
      </c>
      <c r="BB270" s="44">
        <f>AX270</f>
        <v>21417.744000000006</v>
      </c>
      <c r="BC270" s="177">
        <f>BA276</f>
        <v>23092.436848231806</v>
      </c>
      <c r="BD270" s="178">
        <f>BC276</f>
        <v>23728.381221999585</v>
      </c>
      <c r="BE270" s="178">
        <f>BD276</f>
        <v>24202.605246015592</v>
      </c>
      <c r="BF270" s="179">
        <f>BE276</f>
        <v>24670.280370159922</v>
      </c>
      <c r="BG270" s="44">
        <f>BC270</f>
        <v>23092.436848231806</v>
      </c>
      <c r="BH270" s="177">
        <f>BF276</f>
        <v>24881.481906781104</v>
      </c>
      <c r="BI270" s="178">
        <f>BH276</f>
        <v>25569.133075608661</v>
      </c>
      <c r="BJ270" s="178">
        <f>BI276</f>
        <v>26063.106233066879</v>
      </c>
      <c r="BK270" s="179">
        <f>BJ276</f>
        <v>26551.792841971164</v>
      </c>
      <c r="BL270" s="44">
        <f>BH270</f>
        <v>24881.481906781104</v>
      </c>
      <c r="BM270" s="177">
        <f>BK276</f>
        <v>26385.253697629883</v>
      </c>
      <c r="BN270" s="178">
        <f>BM276</f>
        <v>26785.275348383395</v>
      </c>
      <c r="BO270" s="178">
        <f>BN276</f>
        <v>27327.133853170733</v>
      </c>
      <c r="BP270" s="179">
        <f>BO276</f>
        <v>27863.186977829595</v>
      </c>
      <c r="BQ270" s="44">
        <f>BM270</f>
        <v>26385.253697629883</v>
      </c>
    </row>
    <row r="271" spans="1:69" ht="12.75" customHeight="1">
      <c r="A271" s="5"/>
      <c r="B271" s="5"/>
      <c r="C271" s="1174" t="s">
        <v>678</v>
      </c>
      <c r="D271" s="31"/>
      <c r="E271" s="177"/>
      <c r="F271" s="178"/>
      <c r="G271" s="178"/>
      <c r="H271" s="179"/>
      <c r="I271" s="44"/>
      <c r="J271" s="177"/>
      <c r="K271" s="178"/>
      <c r="L271" s="178"/>
      <c r="M271" s="179"/>
      <c r="N271" s="44"/>
      <c r="O271" s="177"/>
      <c r="P271" s="178"/>
      <c r="Q271" s="178"/>
      <c r="R271" s="179"/>
      <c r="S271" s="44"/>
      <c r="T271" s="177">
        <f>-T213</f>
        <v>463.21199999999953</v>
      </c>
      <c r="U271" s="178">
        <f>-U213</f>
        <v>512.69499999999971</v>
      </c>
      <c r="V271" s="178">
        <f>-V213</f>
        <v>603.2410000000018</v>
      </c>
      <c r="W271" s="179">
        <f>-W213</f>
        <v>886.35900000000402</v>
      </c>
      <c r="X271" s="44">
        <f>SUM(T271:W271)</f>
        <v>2465.5070000000051</v>
      </c>
      <c r="Y271" s="177">
        <f>-Y213</f>
        <v>136.11599999999453</v>
      </c>
      <c r="Z271" s="178">
        <f>-Z213</f>
        <v>417.47100000000501</v>
      </c>
      <c r="AA271" s="178">
        <f>-AA213</f>
        <v>337.90999999999622</v>
      </c>
      <c r="AB271" s="179">
        <f>-AB213</f>
        <v>150.60399999999936</v>
      </c>
      <c r="AC271" s="44">
        <f>SUM(Y271:AB271)</f>
        <v>1042.1009999999951</v>
      </c>
      <c r="AD271" s="177">
        <f>-AD213</f>
        <v>308.08800000000338</v>
      </c>
      <c r="AE271" s="178">
        <f>-AE213</f>
        <v>347.12099999999919</v>
      </c>
      <c r="AF271" s="178">
        <f>-AF213</f>
        <v>342.78699999999662</v>
      </c>
      <c r="AG271" s="179">
        <f>-AG213</f>
        <v>573.02999999999884</v>
      </c>
      <c r="AH271" s="44">
        <f>SUM(AD271:AG271)</f>
        <v>1571.025999999998</v>
      </c>
      <c r="AI271" s="177">
        <f>-AI213</f>
        <v>261.82200000000012</v>
      </c>
      <c r="AJ271" s="178">
        <f>-AJ213</f>
        <v>346.4600000000064</v>
      </c>
      <c r="AK271" s="178">
        <f>-AK213</f>
        <v>495.50499999999738</v>
      </c>
      <c r="AL271" s="179">
        <f>-AL213</f>
        <v>833.75</v>
      </c>
      <c r="AM271" s="44">
        <f>SUM(AI271:AL271)</f>
        <v>1937.5370000000039</v>
      </c>
      <c r="AN271" s="177">
        <f>-AN213</f>
        <v>1675.2349999999933</v>
      </c>
      <c r="AO271" s="178">
        <f>-AO213</f>
        <v>241.4030000000057</v>
      </c>
      <c r="AP271" s="178">
        <f>-AP213</f>
        <v>670.9059999999954</v>
      </c>
      <c r="AQ271" s="179">
        <f>-AQ213</f>
        <v>876.25</v>
      </c>
      <c r="AR271" s="44">
        <f>SUM(AN271:AQ271)</f>
        <v>3463.7939999999944</v>
      </c>
      <c r="AS271" s="177">
        <f>-AS213</f>
        <v>880</v>
      </c>
      <c r="AT271" s="178">
        <f>-AT213</f>
        <v>880</v>
      </c>
      <c r="AU271" s="178">
        <f t="shared" ref="AU271" si="601">-AU213</f>
        <v>880</v>
      </c>
      <c r="AV271" s="179">
        <f>-AV213</f>
        <v>880</v>
      </c>
      <c r="AW271" s="44">
        <f>SUM(AS271:AV271)</f>
        <v>3520</v>
      </c>
      <c r="AX271" s="177">
        <f>-AX213</f>
        <v>980</v>
      </c>
      <c r="AY271" s="178">
        <f>-AY213</f>
        <v>980</v>
      </c>
      <c r="AZ271" s="178">
        <f>-AZ213</f>
        <v>980</v>
      </c>
      <c r="BA271" s="179">
        <f>-BA213</f>
        <v>980</v>
      </c>
      <c r="BB271" s="44">
        <f>SUM(AX271:BA271)</f>
        <v>3920</v>
      </c>
      <c r="BC271" s="177">
        <f>-BC213</f>
        <v>910</v>
      </c>
      <c r="BD271" s="178">
        <f>-BD213</f>
        <v>910</v>
      </c>
      <c r="BE271" s="178">
        <f>-BE213</f>
        <v>910</v>
      </c>
      <c r="BF271" s="179">
        <f>-BF213</f>
        <v>910</v>
      </c>
      <c r="BG271" s="44">
        <f>SUM(BC271:BF271)</f>
        <v>3640</v>
      </c>
      <c r="BH271" s="177">
        <f>-BH213</f>
        <v>825</v>
      </c>
      <c r="BI271" s="178">
        <f>-BI213</f>
        <v>825</v>
      </c>
      <c r="BJ271" s="178">
        <f>-BJ213</f>
        <v>825</v>
      </c>
      <c r="BK271" s="179">
        <f>-BK213</f>
        <v>825</v>
      </c>
      <c r="BL271" s="44">
        <f>SUM(BH271:BK271)</f>
        <v>3300</v>
      </c>
      <c r="BM271" s="177">
        <f>-BM213</f>
        <v>891.66666666666663</v>
      </c>
      <c r="BN271" s="178">
        <f>-BN213</f>
        <v>891.66666666666663</v>
      </c>
      <c r="BO271" s="178">
        <f>-BO213</f>
        <v>891.66666666666663</v>
      </c>
      <c r="BP271" s="179">
        <f>-BP213</f>
        <v>891.66666666666663</v>
      </c>
      <c r="BQ271" s="44">
        <f>SUM(BM271:BP271)</f>
        <v>3566.6666666666665</v>
      </c>
    </row>
    <row r="272" spans="1:69" ht="12.75" customHeight="1">
      <c r="A272" s="5"/>
      <c r="B272" s="5"/>
      <c r="C272" s="1197" t="s">
        <v>318</v>
      </c>
      <c r="D272" s="31"/>
      <c r="E272" s="177"/>
      <c r="F272" s="178"/>
      <c r="G272" s="178"/>
      <c r="H272" s="179"/>
      <c r="I272" s="44"/>
      <c r="J272" s="177"/>
      <c r="K272" s="178"/>
      <c r="L272" s="178"/>
      <c r="M272" s="179"/>
      <c r="N272" s="44"/>
      <c r="O272" s="177"/>
      <c r="P272" s="178"/>
      <c r="Q272" s="178"/>
      <c r="R272" s="179"/>
      <c r="S272" s="44"/>
      <c r="T272" s="177">
        <f>-T159</f>
        <v>-228.08600000000001</v>
      </c>
      <c r="U272" s="178">
        <f>-U159</f>
        <v>-225.55600000000001</v>
      </c>
      <c r="V272" s="178">
        <f>-V159</f>
        <v>-251.09899999999999</v>
      </c>
      <c r="W272" s="179">
        <f>-W159</f>
        <v>-259.44000000000005</v>
      </c>
      <c r="X272" s="44">
        <f>SUM(T272:W272)</f>
        <v>-964.18100000000004</v>
      </c>
      <c r="Y272" s="177">
        <f>-Y159</f>
        <v>-250.53100000000001</v>
      </c>
      <c r="Z272" s="178">
        <f>-Z159</f>
        <v>-246.19</v>
      </c>
      <c r="AA272" s="178">
        <f>-AA159</f>
        <v>-269.00599999999997</v>
      </c>
      <c r="AB272" s="179">
        <f>-AB159</f>
        <v>-275.30399999999997</v>
      </c>
      <c r="AC272" s="44">
        <f>SUM(Y272:AB272)</f>
        <v>-1041.0309999999999</v>
      </c>
      <c r="AD272" s="177">
        <f>-AD159</f>
        <v>-257.55599999999998</v>
      </c>
      <c r="AE272" s="178">
        <f>-AE159</f>
        <v>-259.74700000000001</v>
      </c>
      <c r="AF272" s="178">
        <f>-AF159</f>
        <v>-259.58999999999997</v>
      </c>
      <c r="AG272" s="179">
        <f>-AG159</f>
        <v>-262.11899999999991</v>
      </c>
      <c r="AH272" s="44">
        <f>SUM(AD272:AG272)</f>
        <v>-1039.0119999999999</v>
      </c>
      <c r="AI272" s="177">
        <f>-AI159</f>
        <v>-269.28899999999999</v>
      </c>
      <c r="AJ272" s="178">
        <f>-AJ159</f>
        <v>-275.91699999999997</v>
      </c>
      <c r="AK272" s="178">
        <f>-AK159</f>
        <v>-273.93700000000001</v>
      </c>
      <c r="AL272" s="179">
        <f>-AL159</f>
        <v>-276.94500000000005</v>
      </c>
      <c r="AM272" s="44">
        <f>SUM(AI272:AL272)</f>
        <v>-1096.088</v>
      </c>
      <c r="AN272" s="177">
        <f>-AN159</f>
        <v>-277.90800000000002</v>
      </c>
      <c r="AO272" s="178">
        <f>-AO159</f>
        <v>-289.12099999999998</v>
      </c>
      <c r="AP272" s="178">
        <f>-AP159</f>
        <v>-287.02100000000002</v>
      </c>
      <c r="AQ272" s="179">
        <f>-AQ159</f>
        <v>-291.63800000000015</v>
      </c>
      <c r="AR272" s="44">
        <f>SUM(AN272:AQ272)</f>
        <v>-1145.6880000000001</v>
      </c>
      <c r="AS272" s="177">
        <f>-AS159</f>
        <v>-294.358</v>
      </c>
      <c r="AT272" s="178">
        <f>-AT159</f>
        <v>-297.95400000000001</v>
      </c>
      <c r="AU272" s="178">
        <f t="shared" ref="AU272" si="602">-AU159</f>
        <v>-301.87</v>
      </c>
      <c r="AV272" s="179">
        <f>-AV159</f>
        <v>-300.99700000000007</v>
      </c>
      <c r="AW272" s="44">
        <f>SUM(AS272:AV272)</f>
        <v>-1195.1790000000001</v>
      </c>
      <c r="AX272" s="177">
        <f>-AX159</f>
        <v>-310.23573174999996</v>
      </c>
      <c r="AY272" s="178">
        <f>-AY159</f>
        <v>-318.10546190193747</v>
      </c>
      <c r="AZ272" s="178">
        <f>-AZ159</f>
        <v>-325.88272272458971</v>
      </c>
      <c r="BA272" s="179">
        <f>-BA159</f>
        <v>-333.56860073257576</v>
      </c>
      <c r="BB272" s="44">
        <f>SUM(AX272:BA272)</f>
        <v>-1287.7925171091028</v>
      </c>
      <c r="BC272" s="177">
        <f>-BC159</f>
        <v>-333.90535755324532</v>
      </c>
      <c r="BD272" s="178">
        <f>-BD159</f>
        <v>-340.53044594138299</v>
      </c>
      <c r="BE272" s="178">
        <f>-BE159</f>
        <v>-347.0793458130571</v>
      </c>
      <c r="BF272" s="179">
        <f>-BF159</f>
        <v>-353.55293333620693</v>
      </c>
      <c r="BG272" s="44">
        <f>SUM(BC272:BF272)</f>
        <v>-1375.0680826438925</v>
      </c>
      <c r="BH272" s="177">
        <f>-BH159</f>
        <v>-359.95207460284058</v>
      </c>
      <c r="BI272" s="178">
        <f>-BI159</f>
        <v>-365.30012574490792</v>
      </c>
      <c r="BJ272" s="178">
        <f>-BJ159</f>
        <v>-370.5866742988415</v>
      </c>
      <c r="BK272" s="179">
        <f>-BK159</f>
        <v>-375.81242754440484</v>
      </c>
      <c r="BL272" s="44">
        <f>SUM(BH272:BK272)</f>
        <v>-1471.651302190995</v>
      </c>
      <c r="BM272" s="177">
        <f>-BM159</f>
        <v>-380.97808462764408</v>
      </c>
      <c r="BN272" s="178">
        <f>-BN159</f>
        <v>-386.85100332109289</v>
      </c>
      <c r="BO272" s="178">
        <f>-BO159</f>
        <v>-392.65638344956693</v>
      </c>
      <c r="BP272" s="179">
        <f>-BP159</f>
        <v>-398.39500170656356</v>
      </c>
      <c r="BQ272" s="44">
        <f>SUM(BM272:BP272)</f>
        <v>-1558.8804731048674</v>
      </c>
    </row>
    <row r="273" spans="1:69" ht="12.75" customHeight="1">
      <c r="A273" s="5"/>
      <c r="B273" s="5"/>
      <c r="C273" s="1197" t="s">
        <v>923</v>
      </c>
      <c r="D273" s="31"/>
      <c r="E273" s="177"/>
      <c r="F273" s="178"/>
      <c r="G273" s="178"/>
      <c r="H273" s="179"/>
      <c r="I273" s="44"/>
      <c r="J273" s="177"/>
      <c r="K273" s="178"/>
      <c r="L273" s="178"/>
      <c r="M273" s="179"/>
      <c r="N273" s="44"/>
      <c r="O273" s="177"/>
      <c r="P273" s="178"/>
      <c r="Q273" s="178"/>
      <c r="R273" s="179"/>
      <c r="S273" s="44"/>
      <c r="T273" s="177">
        <f>-T209</f>
        <v>-99.706999999999994</v>
      </c>
      <c r="U273" s="178">
        <f>-U209</f>
        <v>124.461</v>
      </c>
      <c r="V273" s="178">
        <f>-V209</f>
        <v>-187.66800000000001</v>
      </c>
      <c r="W273" s="179">
        <f>-W209</f>
        <v>113.57399999999998</v>
      </c>
      <c r="X273" s="44">
        <f>SUM(T273:W273)</f>
        <v>-49.34</v>
      </c>
      <c r="Y273" s="177">
        <f>-Y209</f>
        <v>-71.075000000000003</v>
      </c>
      <c r="Z273" s="178">
        <f>-Z209</f>
        <v>-98.926000000000002</v>
      </c>
      <c r="AA273" s="178">
        <f>-AA209</f>
        <v>-85.408000000000001</v>
      </c>
      <c r="AB273" s="179">
        <f>-AB209</f>
        <v>-25.099999999999966</v>
      </c>
      <c r="AC273" s="44">
        <f>SUM(Y273:AB273)</f>
        <v>-280.50899999999996</v>
      </c>
      <c r="AD273" s="177">
        <f>-AD209</f>
        <v>-115.06399999999999</v>
      </c>
      <c r="AE273" s="178">
        <f>-AE209</f>
        <v>-122.884</v>
      </c>
      <c r="AF273" s="178">
        <f>-AF209</f>
        <v>-86.093999999999994</v>
      </c>
      <c r="AG273" s="179">
        <f>-AG209</f>
        <v>-62.012000000000057</v>
      </c>
      <c r="AH273" s="44">
        <f>SUM(AD273:AG273)</f>
        <v>-386.05400000000003</v>
      </c>
      <c r="AI273" s="177">
        <f>-AI209</f>
        <v>-91.251000000000005</v>
      </c>
      <c r="AJ273" s="178">
        <f>-AJ209</f>
        <v>-117.798</v>
      </c>
      <c r="AK273" s="178">
        <f>-AK209</f>
        <v>-198.94499999999999</v>
      </c>
      <c r="AL273" s="179">
        <f>-AL209</f>
        <v>391.233</v>
      </c>
      <c r="AM273" s="44">
        <f>SUM(AI273:AL273)</f>
        <v>-16.761000000000024</v>
      </c>
      <c r="AN273" s="177">
        <f>-AN209</f>
        <v>-107.836</v>
      </c>
      <c r="AO273" s="178">
        <f>-AO209</f>
        <v>3.7850000000000001</v>
      </c>
      <c r="AP273" s="178">
        <f>-AP209</f>
        <v>-255.60300000000001</v>
      </c>
      <c r="AQ273" s="179">
        <f>-AQ209</f>
        <v>-64.73399999999998</v>
      </c>
      <c r="AR273" s="44">
        <f>SUM(AN273:AQ273)</f>
        <v>-424.38799999999998</v>
      </c>
      <c r="AS273" s="177">
        <f>-AS209</f>
        <v>-98.492000000000004</v>
      </c>
      <c r="AT273" s="178">
        <f>-AT209</f>
        <v>-130.851</v>
      </c>
      <c r="AU273" s="178">
        <f t="shared" ref="AU273" si="603">-AU209</f>
        <v>-230.64699999999999</v>
      </c>
      <c r="AV273" s="179">
        <f>-AV209</f>
        <v>-334.62599999999998</v>
      </c>
      <c r="AW273" s="44">
        <f>SUM(AS273:AV273)</f>
        <v>-794.61599999999999</v>
      </c>
      <c r="AX273" s="177">
        <f>-AX209</f>
        <v>-137.19999999999999</v>
      </c>
      <c r="AY273" s="178">
        <f>-AY209</f>
        <v>-137.19999999999999</v>
      </c>
      <c r="AZ273" s="178">
        <f>-AZ209</f>
        <v>-137.19999999999999</v>
      </c>
      <c r="BA273" s="179">
        <f>-BA209</f>
        <v>-137.19999999999999</v>
      </c>
      <c r="BB273" s="44">
        <f>SUM(AX273:BA273)</f>
        <v>-548.79999999999995</v>
      </c>
      <c r="BC273" s="177">
        <f>-BC209</f>
        <v>-95.55</v>
      </c>
      <c r="BD273" s="178">
        <f>-BD209</f>
        <v>-95.55</v>
      </c>
      <c r="BE273" s="178">
        <f>-BE209</f>
        <v>-95.55</v>
      </c>
      <c r="BF273" s="179">
        <f>-BF209</f>
        <v>-95.550000000000011</v>
      </c>
      <c r="BG273" s="44">
        <f>SUM(BC273:BF273)</f>
        <v>-382.2</v>
      </c>
      <c r="BH273" s="177">
        <f>-BH209</f>
        <v>0</v>
      </c>
      <c r="BI273" s="178">
        <f>-BI209</f>
        <v>0</v>
      </c>
      <c r="BJ273" s="178">
        <f>-BJ209</f>
        <v>0</v>
      </c>
      <c r="BK273" s="179">
        <f>-BK209</f>
        <v>0</v>
      </c>
      <c r="BL273" s="44">
        <f>SUM(BH273:BK273)</f>
        <v>0</v>
      </c>
      <c r="BM273" s="177">
        <f>-BM209</f>
        <v>0</v>
      </c>
      <c r="BN273" s="178">
        <f>-BN209</f>
        <v>0</v>
      </c>
      <c r="BO273" s="178">
        <f>-BO209</f>
        <v>0</v>
      </c>
      <c r="BP273" s="179">
        <f>-BP209</f>
        <v>0</v>
      </c>
      <c r="BQ273" s="44">
        <f>SUM(BM273:BP273)</f>
        <v>0</v>
      </c>
    </row>
    <row r="274" spans="1:69" ht="12.75" customHeight="1">
      <c r="A274" s="5"/>
      <c r="B274" s="5"/>
      <c r="C274" s="1197" t="s">
        <v>973</v>
      </c>
      <c r="D274" s="31"/>
      <c r="E274" s="177"/>
      <c r="F274" s="178"/>
      <c r="G274" s="178"/>
      <c r="H274" s="179"/>
      <c r="I274" s="44"/>
      <c r="J274" s="177"/>
      <c r="K274" s="178"/>
      <c r="L274" s="178"/>
      <c r="M274" s="179"/>
      <c r="N274" s="44"/>
      <c r="O274" s="177"/>
      <c r="P274" s="178"/>
      <c r="Q274" s="178"/>
      <c r="R274" s="179"/>
      <c r="S274" s="44"/>
      <c r="T274" s="177">
        <v>0</v>
      </c>
      <c r="U274" s="178">
        <v>0</v>
      </c>
      <c r="V274" s="178">
        <v>0</v>
      </c>
      <c r="W274" s="179">
        <v>0</v>
      </c>
      <c r="X274" s="44">
        <v>0</v>
      </c>
      <c r="Y274" s="177">
        <v>0</v>
      </c>
      <c r="Z274" s="178">
        <v>0</v>
      </c>
      <c r="AA274" s="178">
        <v>0</v>
      </c>
      <c r="AB274" s="179">
        <v>0</v>
      </c>
      <c r="AC274" s="44">
        <v>0</v>
      </c>
      <c r="AD274" s="177">
        <v>0</v>
      </c>
      <c r="AE274" s="178">
        <v>0</v>
      </c>
      <c r="AF274" s="178">
        <v>0</v>
      </c>
      <c r="AG274" s="179">
        <v>0</v>
      </c>
      <c r="AH274" s="44">
        <v>0</v>
      </c>
      <c r="AI274" s="177">
        <v>0</v>
      </c>
      <c r="AJ274" s="178">
        <v>0</v>
      </c>
      <c r="AK274" s="178">
        <v>0</v>
      </c>
      <c r="AL274" s="179">
        <v>0</v>
      </c>
      <c r="AM274" s="44">
        <v>0</v>
      </c>
      <c r="AN274" s="177">
        <v>0</v>
      </c>
      <c r="AO274" s="178">
        <v>0</v>
      </c>
      <c r="AP274" s="178">
        <v>0</v>
      </c>
      <c r="AQ274" s="179">
        <v>0</v>
      </c>
      <c r="AR274" s="44">
        <v>0</v>
      </c>
      <c r="AS274" s="177">
        <v>0</v>
      </c>
      <c r="AT274" s="178">
        <v>0</v>
      </c>
      <c r="AU274" s="178">
        <v>0</v>
      </c>
      <c r="AV274" s="179">
        <v>0</v>
      </c>
      <c r="AW274" s="1949">
        <v>0</v>
      </c>
      <c r="AX274" s="177">
        <f>BB274/4</f>
        <v>-37.5</v>
      </c>
      <c r="AY274" s="178">
        <f>BB274/4</f>
        <v>-37.5</v>
      </c>
      <c r="AZ274" s="178">
        <f>BB274/4</f>
        <v>-37.5</v>
      </c>
      <c r="BA274" s="179">
        <f>BB274/4</f>
        <v>-37.5</v>
      </c>
      <c r="BB274" s="1949">
        <v>-150</v>
      </c>
      <c r="BC274" s="177">
        <f>BG274/4</f>
        <v>-37.5</v>
      </c>
      <c r="BD274" s="178">
        <f>BG274/4</f>
        <v>-37.5</v>
      </c>
      <c r="BE274" s="178">
        <f>BG274/4</f>
        <v>-37.5</v>
      </c>
      <c r="BF274" s="179">
        <f>BG274/4</f>
        <v>-37.5</v>
      </c>
      <c r="BG274" s="1949">
        <v>-150</v>
      </c>
      <c r="BH274" s="177">
        <v>0</v>
      </c>
      <c r="BI274" s="178">
        <v>0</v>
      </c>
      <c r="BJ274" s="178">
        <v>0</v>
      </c>
      <c r="BK274" s="179">
        <v>0</v>
      </c>
      <c r="BL274" s="44">
        <v>0</v>
      </c>
      <c r="BM274" s="177">
        <v>0</v>
      </c>
      <c r="BN274" s="178">
        <v>0</v>
      </c>
      <c r="BO274" s="178">
        <v>0</v>
      </c>
      <c r="BP274" s="179">
        <v>0</v>
      </c>
      <c r="BQ274" s="44">
        <v>0</v>
      </c>
    </row>
    <row r="275" spans="1:69" ht="12.75" customHeight="1">
      <c r="A275" s="5"/>
      <c r="B275" s="5"/>
      <c r="C275" s="1174" t="s">
        <v>840</v>
      </c>
      <c r="D275" s="31"/>
      <c r="E275" s="177"/>
      <c r="F275" s="178"/>
      <c r="G275" s="178"/>
      <c r="H275" s="179"/>
      <c r="I275" s="44"/>
      <c r="J275" s="177"/>
      <c r="K275" s="178"/>
      <c r="L275" s="178"/>
      <c r="M275" s="179"/>
      <c r="N275" s="44"/>
      <c r="O275" s="177"/>
      <c r="P275" s="178"/>
      <c r="Q275" s="178"/>
      <c r="R275" s="179"/>
      <c r="S275" s="44"/>
      <c r="T275" s="177">
        <f>T29-T38+S156-T156</f>
        <v>-211.89999999999986</v>
      </c>
      <c r="U275" s="178">
        <f>U29-U38+T156-U156</f>
        <v>498.31700000000001</v>
      </c>
      <c r="V275" s="178">
        <f>V29-V38+U156-V156</f>
        <v>-376.33299999999986</v>
      </c>
      <c r="W275" s="179">
        <f>W29-W38+V156-W156</f>
        <v>667.07900000000006</v>
      </c>
      <c r="X275" s="44">
        <f>SUM(T275:W275)</f>
        <v>577.16300000000035</v>
      </c>
      <c r="Y275" s="177">
        <f>Y29-Y38+X156-Y156</f>
        <v>-30.812999999999988</v>
      </c>
      <c r="Z275" s="178">
        <f>Z29-Z38+Y156-Z156</f>
        <v>-132.84799999999996</v>
      </c>
      <c r="AA275" s="178">
        <f>AA29-AA38+Z156-AA156</f>
        <v>-41.399000000000115</v>
      </c>
      <c r="AB275" s="179">
        <f>AB29-AB38+AA156-AB156</f>
        <v>52.546000000000049</v>
      </c>
      <c r="AC275" s="44">
        <f>SUM(Y275:AB275)</f>
        <v>-152.51400000000001</v>
      </c>
      <c r="AD275" s="177">
        <f>AD29-AD38+AC156-AD156</f>
        <v>-62.48900000000026</v>
      </c>
      <c r="AE275" s="178">
        <f>AE29-AE38+AD156-AE156</f>
        <v>15.777000000000044</v>
      </c>
      <c r="AF275" s="178">
        <f>AF29-AF38+AE156-AF156</f>
        <v>-112.15299999999979</v>
      </c>
      <c r="AG275" s="179">
        <f>AG29-AG38+AF156-AG156</f>
        <v>503.75200000000007</v>
      </c>
      <c r="AH275" s="44">
        <f>SUM(AD275:AG275)</f>
        <v>344.88700000000006</v>
      </c>
      <c r="AI275" s="177">
        <f>AI29-AI38+AH156-AI156</f>
        <v>70.805000000000064</v>
      </c>
      <c r="AJ275" s="178">
        <f>AJ29-AJ38+AI156-AJ156</f>
        <v>-37.875999999999976</v>
      </c>
      <c r="AK275" s="178">
        <f>AK29-AK38+AJ156-AK156</f>
        <v>-82.782999999999902</v>
      </c>
      <c r="AL275" s="179">
        <f>AL29-AL38+AK156-AL156+100</f>
        <v>-127.71000000000026</v>
      </c>
      <c r="AM275" s="44">
        <f>SUM(AI275:AL275)</f>
        <v>-177.56400000000008</v>
      </c>
      <c r="AN275" s="177">
        <f>AN29-AN38+AM156-AN156</f>
        <v>83.406000000000176</v>
      </c>
      <c r="AO275" s="178">
        <f>AO29-AO38+AN156-AO156</f>
        <v>171.63999999999987</v>
      </c>
      <c r="AP275" s="178">
        <f>AP29-AP38+AO156-AP156</f>
        <v>-155.18600000000015</v>
      </c>
      <c r="AQ275" s="1909">
        <f>AQ29-AQ38+AP156-AQ156-100</f>
        <v>-105.5630000000001</v>
      </c>
      <c r="AR275" s="44">
        <f>SUM(AN275:AQ275)</f>
        <v>-5.7030000000002019</v>
      </c>
      <c r="AS275" s="177">
        <f>AS29-AS38+AR156-AS156</f>
        <v>-184.42399999999998</v>
      </c>
      <c r="AT275" s="178">
        <f>AT29-AT38+AS156-AT156</f>
        <v>-115.35900000000015</v>
      </c>
      <c r="AU275" s="178">
        <f t="shared" ref="AU275" si="604">AU29-AU38+AT156-AU156</f>
        <v>-416.02800000000002</v>
      </c>
      <c r="AV275" s="1909">
        <f>AV29-AV38+AU156-AV156+1000</f>
        <v>1240.1679999999999</v>
      </c>
      <c r="AW275" s="44">
        <f>SUM(AS275:AV275)</f>
        <v>524.35699999999974</v>
      </c>
      <c r="AX275" s="177">
        <f>AX29-AX38+AW156-AX156</f>
        <v>-180.85215298295475</v>
      </c>
      <c r="AY275" s="178">
        <f>AY29-AY38+AX156-AY156</f>
        <v>40.712506107954596</v>
      </c>
      <c r="AZ275" s="178">
        <f>AZ29-AZ38+AY156-AZ156</f>
        <v>40.712506107954596</v>
      </c>
      <c r="BA275" s="1909">
        <f>BA29-BA38+AZ156-BA156-200</f>
        <v>-159.2874938920454</v>
      </c>
      <c r="BB275" s="44">
        <f>SUM(AX275:BA275)</f>
        <v>-258.71463465909096</v>
      </c>
      <c r="BC275" s="177">
        <f>BC29-BC38+BB156-BC156</f>
        <v>192.89973132102318</v>
      </c>
      <c r="BD275" s="178">
        <f>BD29-BD38+BC156-BD156</f>
        <v>37.804469957386345</v>
      </c>
      <c r="BE275" s="178">
        <f>BE29-BE38+BD156-BE156</f>
        <v>37.804469957386345</v>
      </c>
      <c r="BF275" s="1909">
        <f>BF29-BF38+BE156-BF156-250</f>
        <v>-212.19553004261365</v>
      </c>
      <c r="BG275" s="44">
        <f>SUM(BC275:BF275)</f>
        <v>56.313141193182219</v>
      </c>
      <c r="BH275" s="177">
        <f>BH29-BH38+BG156-BH156</f>
        <v>222.6032434303977</v>
      </c>
      <c r="BI275" s="178">
        <f>BI29-BI38+BH156-BI156</f>
        <v>34.273283203124947</v>
      </c>
      <c r="BJ275" s="178">
        <f>BJ29-BJ38+BI156-BJ156</f>
        <v>34.273283203124947</v>
      </c>
      <c r="BK275" s="1909">
        <f>BK29-BK38+BJ156-BK156-650</f>
        <v>-615.72671679687505</v>
      </c>
      <c r="BL275" s="44">
        <f>SUM(BH275:BK275)</f>
        <v>-324.57690696022746</v>
      </c>
      <c r="BM275" s="177">
        <f>BM29-BM38+BL156-BM156</f>
        <v>-110.66693128551151</v>
      </c>
      <c r="BN275" s="178">
        <f>BN29-BN38+BM156-BN156</f>
        <v>37.042841441761311</v>
      </c>
      <c r="BO275" s="178">
        <f>BO29-BO38+BN156-BO156</f>
        <v>37.042841441761311</v>
      </c>
      <c r="BP275" s="1909">
        <f>BP29-BP38+BO156-BP156-400</f>
        <v>-362.95715855823869</v>
      </c>
      <c r="BQ275" s="44">
        <f>SUM(BM275:BP275)</f>
        <v>-399.53840696022758</v>
      </c>
    </row>
    <row r="276" spans="1:69" ht="12.75" customHeight="1">
      <c r="A276" s="5"/>
      <c r="B276" s="5"/>
      <c r="C276" s="1173" t="s">
        <v>622</v>
      </c>
      <c r="D276" s="31"/>
      <c r="E276" s="180"/>
      <c r="F276" s="181"/>
      <c r="G276" s="181"/>
      <c r="H276" s="182"/>
      <c r="I276" s="110"/>
      <c r="J276" s="180"/>
      <c r="K276" s="181"/>
      <c r="L276" s="181"/>
      <c r="M276" s="182"/>
      <c r="N276" s="110"/>
      <c r="O276" s="180"/>
      <c r="P276" s="181"/>
      <c r="Q276" s="181"/>
      <c r="R276" s="182">
        <f>+S276</f>
        <v>14740</v>
      </c>
      <c r="S276" s="347">
        <f>+S289</f>
        <v>14740</v>
      </c>
      <c r="T276" s="180">
        <f t="shared" ref="T276:BL276" si="605">SUM(T270:T275)</f>
        <v>14663.519</v>
      </c>
      <c r="U276" s="181">
        <f t="shared" si="605"/>
        <v>15573.435999999998</v>
      </c>
      <c r="V276" s="181">
        <f t="shared" si="605"/>
        <v>15361.576999999999</v>
      </c>
      <c r="W276" s="182">
        <f t="shared" si="605"/>
        <v>16769.149000000005</v>
      </c>
      <c r="X276" s="110">
        <f t="shared" si="605"/>
        <v>16769.149000000005</v>
      </c>
      <c r="Y276" s="180">
        <f t="shared" si="605"/>
        <v>16552.846000000001</v>
      </c>
      <c r="Z276" s="181">
        <f t="shared" si="605"/>
        <v>16492.35300000001</v>
      </c>
      <c r="AA276" s="181">
        <f t="shared" si="605"/>
        <v>16434.450000000004</v>
      </c>
      <c r="AB276" s="182">
        <f t="shared" si="605"/>
        <v>16337.196000000004</v>
      </c>
      <c r="AC276" s="110">
        <f t="shared" si="605"/>
        <v>16337.196000000004</v>
      </c>
      <c r="AD276" s="180">
        <f t="shared" si="605"/>
        <v>16210.175000000007</v>
      </c>
      <c r="AE276" s="181">
        <f t="shared" si="605"/>
        <v>16190.442000000006</v>
      </c>
      <c r="AF276" s="181">
        <f t="shared" si="605"/>
        <v>16075.392000000003</v>
      </c>
      <c r="AG276" s="182">
        <f t="shared" si="605"/>
        <v>16828.043000000001</v>
      </c>
      <c r="AH276" s="110">
        <f t="shared" si="605"/>
        <v>16828.043000000001</v>
      </c>
      <c r="AI276" s="180">
        <f t="shared" si="605"/>
        <v>16800.13</v>
      </c>
      <c r="AJ276" s="181">
        <f t="shared" si="605"/>
        <v>16714.999000000007</v>
      </c>
      <c r="AK276" s="181">
        <f t="shared" si="605"/>
        <v>16654.839000000004</v>
      </c>
      <c r="AL276" s="182">
        <f t="shared" si="605"/>
        <v>17475.167000000005</v>
      </c>
      <c r="AM276" s="110">
        <f t="shared" si="605"/>
        <v>17475.167000000009</v>
      </c>
      <c r="AN276" s="180">
        <f>SUM(AN270:AN275)</f>
        <v>18848.063999999998</v>
      </c>
      <c r="AO276" s="181">
        <f>SUM(AO270:AO275)</f>
        <v>18975.771000000004</v>
      </c>
      <c r="AP276" s="181">
        <f>SUM(AP270:AP275)</f>
        <v>18948.866999999998</v>
      </c>
      <c r="AQ276" s="182">
        <f>SUM(AQ270:AQ275)</f>
        <v>19363.182000000001</v>
      </c>
      <c r="AR276" s="110">
        <f>SUM(AR270:AR275)</f>
        <v>19363.182000000001</v>
      </c>
      <c r="AS276" s="180">
        <f t="shared" si="605"/>
        <v>19665.908000000003</v>
      </c>
      <c r="AT276" s="181">
        <f>SUM(AT270:AT275)</f>
        <v>20001.744000000002</v>
      </c>
      <c r="AU276" s="181">
        <f>SUM(AU270:AU275)</f>
        <v>19933.199000000004</v>
      </c>
      <c r="AV276" s="182">
        <f t="shared" si="605"/>
        <v>21417.744000000006</v>
      </c>
      <c r="AW276" s="110">
        <f t="shared" si="605"/>
        <v>21417.744000000002</v>
      </c>
      <c r="AX276" s="180">
        <f t="shared" si="605"/>
        <v>21731.95611526705</v>
      </c>
      <c r="AY276" s="181">
        <f t="shared" si="605"/>
        <v>22259.863159473065</v>
      </c>
      <c r="AZ276" s="181">
        <f t="shared" si="605"/>
        <v>22779.992942856428</v>
      </c>
      <c r="BA276" s="182">
        <f t="shared" si="605"/>
        <v>23092.436848231806</v>
      </c>
      <c r="BB276" s="110">
        <f t="shared" si="605"/>
        <v>23092.43684823181</v>
      </c>
      <c r="BC276" s="180">
        <f t="shared" si="605"/>
        <v>23728.381221999585</v>
      </c>
      <c r="BD276" s="181">
        <f t="shared" si="605"/>
        <v>24202.605246015592</v>
      </c>
      <c r="BE276" s="181">
        <f t="shared" si="605"/>
        <v>24670.280370159922</v>
      </c>
      <c r="BF276" s="182">
        <f t="shared" si="605"/>
        <v>24881.481906781104</v>
      </c>
      <c r="BG276" s="110">
        <f t="shared" si="605"/>
        <v>24881.481906781097</v>
      </c>
      <c r="BH276" s="180">
        <f t="shared" si="605"/>
        <v>25569.133075608661</v>
      </c>
      <c r="BI276" s="181">
        <f t="shared" si="605"/>
        <v>26063.106233066879</v>
      </c>
      <c r="BJ276" s="181">
        <f t="shared" si="605"/>
        <v>26551.792841971164</v>
      </c>
      <c r="BK276" s="182">
        <f t="shared" si="605"/>
        <v>26385.253697629883</v>
      </c>
      <c r="BL276" s="110">
        <f t="shared" si="605"/>
        <v>26385.25369762988</v>
      </c>
      <c r="BM276" s="180">
        <f t="shared" ref="BM276:BQ276" si="606">SUM(BM270:BM275)</f>
        <v>26785.275348383395</v>
      </c>
      <c r="BN276" s="181">
        <f t="shared" si="606"/>
        <v>27327.133853170733</v>
      </c>
      <c r="BO276" s="181">
        <f t="shared" si="606"/>
        <v>27863.186977829595</v>
      </c>
      <c r="BP276" s="182">
        <f t="shared" si="606"/>
        <v>27993.501484231463</v>
      </c>
      <c r="BQ276" s="110">
        <f t="shared" si="606"/>
        <v>27993.501484231459</v>
      </c>
    </row>
    <row r="277" spans="1:69" ht="12.75" customHeight="1">
      <c r="A277" s="5"/>
      <c r="B277" s="5"/>
      <c r="C277" s="1173"/>
      <c r="D277" s="31"/>
      <c r="E277" s="180"/>
      <c r="F277" s="181"/>
      <c r="G277" s="181"/>
      <c r="H277" s="182"/>
      <c r="I277" s="110"/>
      <c r="J277" s="180"/>
      <c r="K277" s="181"/>
      <c r="L277" s="181"/>
      <c r="M277" s="182"/>
      <c r="N277" s="110"/>
      <c r="O277" s="180"/>
      <c r="P277" s="181"/>
      <c r="Q277" s="181"/>
      <c r="R277" s="182"/>
      <c r="S277" s="347"/>
      <c r="T277" s="180"/>
      <c r="U277" s="181"/>
      <c r="V277" s="181"/>
      <c r="W277" s="182"/>
      <c r="X277" s="110"/>
      <c r="Y277" s="180"/>
      <c r="Z277" s="181"/>
      <c r="AA277" s="181"/>
      <c r="AB277" s="182"/>
      <c r="AC277" s="110"/>
      <c r="AD277" s="180"/>
      <c r="AE277" s="181"/>
      <c r="AF277" s="181"/>
      <c r="AG277" s="182"/>
      <c r="AH277" s="110"/>
      <c r="AI277" s="180"/>
      <c r="AJ277" s="181"/>
      <c r="AK277" s="181"/>
      <c r="AL277" s="182"/>
      <c r="AM277" s="110"/>
      <c r="AN277" s="180"/>
      <c r="AO277" s="181"/>
      <c r="AP277" s="181"/>
      <c r="AQ277" s="182"/>
      <c r="AR277" s="110"/>
      <c r="AS277" s="180"/>
      <c r="AT277" s="181"/>
      <c r="AU277" s="181"/>
      <c r="AV277" s="182"/>
      <c r="AW277" s="110"/>
      <c r="AX277" s="180"/>
      <c r="AY277" s="181"/>
      <c r="AZ277" s="181"/>
      <c r="BA277" s="182"/>
      <c r="BB277" s="110"/>
      <c r="BC277" s="180"/>
      <c r="BD277" s="181"/>
      <c r="BE277" s="181"/>
      <c r="BF277" s="182"/>
      <c r="BG277" s="110"/>
      <c r="BH277" s="180"/>
      <c r="BI277" s="181"/>
      <c r="BJ277" s="181"/>
      <c r="BK277" s="182"/>
      <c r="BL277" s="110"/>
      <c r="BM277" s="180"/>
      <c r="BN277" s="181"/>
      <c r="BO277" s="181"/>
      <c r="BP277" s="182"/>
      <c r="BQ277" s="110"/>
    </row>
    <row r="278" spans="1:69" s="90" customFormat="1" ht="12.75" customHeight="1">
      <c r="A278" s="1249"/>
      <c r="B278" s="1249"/>
      <c r="C278" s="1189" t="s">
        <v>841</v>
      </c>
      <c r="D278" s="1249"/>
      <c r="E278" s="1103"/>
      <c r="F278" s="1104"/>
      <c r="G278" s="1104"/>
      <c r="H278" s="1105"/>
      <c r="I278" s="1225"/>
      <c r="J278" s="1103"/>
      <c r="K278" s="1104"/>
      <c r="L278" s="1104"/>
      <c r="M278" s="1105"/>
      <c r="N278" s="1225"/>
      <c r="O278" s="1103"/>
      <c r="P278" s="1104"/>
      <c r="Q278" s="1104"/>
      <c r="R278" s="1105"/>
      <c r="S278" s="1225">
        <f>AVERAGE(S276,S270)</f>
        <v>14740</v>
      </c>
      <c r="T278" s="1103"/>
      <c r="U278" s="1104"/>
      <c r="V278" s="1104"/>
      <c r="W278" s="1105"/>
      <c r="X278" s="1225">
        <f>AVERAGE(X276,X270)</f>
        <v>15754.574500000002</v>
      </c>
      <c r="Y278" s="1103"/>
      <c r="Z278" s="1104"/>
      <c r="AA278" s="1104"/>
      <c r="AB278" s="1105"/>
      <c r="AC278" s="1225">
        <f>AVERAGE(AC276,AC270)</f>
        <v>16553.172500000004</v>
      </c>
      <c r="AD278" s="1103"/>
      <c r="AE278" s="1104"/>
      <c r="AF278" s="1104"/>
      <c r="AG278" s="1105"/>
      <c r="AH278" s="1225">
        <f>AVERAGE(AH276,AH270)</f>
        <v>16582.619500000001</v>
      </c>
      <c r="AI278" s="1103"/>
      <c r="AJ278" s="1104"/>
      <c r="AK278" s="1104"/>
      <c r="AL278" s="1105"/>
      <c r="AM278" s="1225">
        <f>AVERAGE(AM276,AM270)</f>
        <v>17151.605000000003</v>
      </c>
      <c r="AN278" s="1103"/>
      <c r="AO278" s="1104"/>
      <c r="AP278" s="1104"/>
      <c r="AQ278" s="1105"/>
      <c r="AR278" s="1225">
        <f>AVERAGE(AR276,AR270)</f>
        <v>18419.174500000001</v>
      </c>
      <c r="AS278" s="1103"/>
      <c r="AT278" s="1104"/>
      <c r="AU278" s="1104"/>
      <c r="AV278" s="1105"/>
      <c r="AW278" s="1225">
        <f>AVERAGE(AW276,AW270)</f>
        <v>20390.463000000003</v>
      </c>
      <c r="AX278" s="1103"/>
      <c r="AY278" s="1104"/>
      <c r="AZ278" s="1104"/>
      <c r="BA278" s="1105"/>
      <c r="BB278" s="1225">
        <f>AVERAGE(BB276,BB270)</f>
        <v>22255.090424115908</v>
      </c>
      <c r="BC278" s="1103"/>
      <c r="BD278" s="1104"/>
      <c r="BE278" s="1104"/>
      <c r="BF278" s="1105"/>
      <c r="BG278" s="1225">
        <f>AVERAGE(BG276,BG270)</f>
        <v>23986.95937750645</v>
      </c>
      <c r="BH278" s="1103"/>
      <c r="BI278" s="1104"/>
      <c r="BJ278" s="1104"/>
      <c r="BK278" s="1105"/>
      <c r="BL278" s="1225">
        <f>AVERAGE(BL276,BL270)</f>
        <v>25633.367802205492</v>
      </c>
      <c r="BM278" s="1103"/>
      <c r="BN278" s="1104"/>
      <c r="BO278" s="1104"/>
      <c r="BP278" s="1105"/>
      <c r="BQ278" s="1225">
        <f>AVERAGE(BQ276,BQ270)</f>
        <v>27189.377590930671</v>
      </c>
    </row>
    <row r="279" spans="1:69" ht="12.75" customHeight="1">
      <c r="A279" s="5"/>
      <c r="B279" s="5"/>
      <c r="C279" s="1173"/>
      <c r="D279" s="5"/>
      <c r="E279" s="174"/>
      <c r="F279" s="175"/>
      <c r="G279" s="175"/>
      <c r="H279" s="176"/>
      <c r="I279" s="107"/>
      <c r="J279" s="174"/>
      <c r="K279" s="175"/>
      <c r="L279" s="175"/>
      <c r="M279" s="176"/>
      <c r="N279" s="107"/>
      <c r="O279" s="177"/>
      <c r="P279" s="178"/>
      <c r="Q279" s="178"/>
      <c r="R279" s="179"/>
      <c r="S279" s="107"/>
      <c r="T279" s="174"/>
      <c r="U279" s="175"/>
      <c r="V279" s="175"/>
      <c r="W279" s="176"/>
      <c r="X279" s="107"/>
      <c r="Y279" s="174"/>
      <c r="Z279" s="175"/>
      <c r="AA279" s="175"/>
      <c r="AB279" s="176"/>
      <c r="AC279" s="1102">
        <f>AC276/X276-1</f>
        <v>-2.575879074125953E-2</v>
      </c>
      <c r="AD279" s="1103"/>
      <c r="AE279" s="175"/>
      <c r="AF279" s="1104"/>
      <c r="AG279" s="1105"/>
      <c r="AH279" s="1102">
        <f>AH276/AC276-1</f>
        <v>3.0044751865619945E-2</v>
      </c>
      <c r="AI279" s="1103"/>
      <c r="AJ279" s="1104"/>
      <c r="AK279" s="1104"/>
      <c r="AL279" s="1105"/>
      <c r="AM279" s="1102">
        <f>AM276/AH276-1</f>
        <v>3.8455095461784161E-2</v>
      </c>
      <c r="AN279" s="1103"/>
      <c r="AO279" s="1104"/>
      <c r="AP279" s="1104"/>
      <c r="AQ279" s="1105"/>
      <c r="AR279" s="1102">
        <f>AR276/AM276-1</f>
        <v>0.10803988310955726</v>
      </c>
      <c r="AS279" s="1103"/>
      <c r="AT279" s="1104"/>
      <c r="AU279" s="1104"/>
      <c r="AV279" s="1105"/>
      <c r="AW279" s="1102">
        <f>AW276/AR276-1</f>
        <v>0.1061066306147409</v>
      </c>
      <c r="AX279" s="1103"/>
      <c r="AY279" s="1104"/>
      <c r="AZ279" s="1104"/>
      <c r="BA279" s="1105"/>
      <c r="BB279" s="1102">
        <f>BB276/AW276-1</f>
        <v>7.8191841691254149E-2</v>
      </c>
      <c r="BC279" s="1103"/>
      <c r="BD279" s="1104"/>
      <c r="BE279" s="1104"/>
      <c r="BF279" s="1105"/>
      <c r="BG279" s="1102">
        <f>BG276/BB276-1</f>
        <v>7.7473203469484719E-2</v>
      </c>
      <c r="BH279" s="1103"/>
      <c r="BI279" s="1104"/>
      <c r="BJ279" s="1104"/>
      <c r="BK279" s="1105"/>
      <c r="BL279" s="1102">
        <f>BL276/BG276-1</f>
        <v>6.0437388596173314E-2</v>
      </c>
      <c r="BM279" s="1103"/>
      <c r="BN279" s="1104"/>
      <c r="BO279" s="1104"/>
      <c r="BP279" s="1105"/>
      <c r="BQ279" s="1102">
        <f>BQ276/BL276-1</f>
        <v>6.0952523141592607E-2</v>
      </c>
    </row>
    <row r="280" spans="1:69" ht="12.75" customHeight="1">
      <c r="A280" s="5"/>
      <c r="B280" s="5"/>
      <c r="C280" s="1173" t="s">
        <v>804</v>
      </c>
      <c r="D280" s="5"/>
      <c r="E280" s="174"/>
      <c r="F280" s="175"/>
      <c r="G280" s="175"/>
      <c r="H280" s="176"/>
      <c r="I280" s="107"/>
      <c r="J280" s="174"/>
      <c r="K280" s="175"/>
      <c r="L280" s="175"/>
      <c r="M280" s="176"/>
      <c r="N280" s="107"/>
      <c r="O280" s="174"/>
      <c r="P280" s="175"/>
      <c r="Q280" s="175"/>
      <c r="R280" s="176"/>
      <c r="S280" s="107"/>
      <c r="T280" s="174"/>
      <c r="U280" s="175"/>
      <c r="V280" s="175"/>
      <c r="W280" s="176"/>
      <c r="X280" s="107"/>
      <c r="Y280" s="174"/>
      <c r="Z280" s="175"/>
      <c r="AA280" s="175"/>
      <c r="AB280" s="176"/>
      <c r="AC280" s="107"/>
      <c r="AD280" s="174"/>
      <c r="AE280" s="175"/>
      <c r="AF280" s="175"/>
      <c r="AG280" s="176"/>
      <c r="AH280" s="107"/>
      <c r="AI280" s="174"/>
      <c r="AJ280" s="175"/>
      <c r="AK280" s="175"/>
      <c r="AL280" s="176"/>
      <c r="AM280" s="107"/>
      <c r="AN280" s="174"/>
      <c r="AO280" s="175"/>
      <c r="AP280" s="175"/>
      <c r="AQ280" s="176"/>
      <c r="AR280" s="107"/>
      <c r="AS280" s="174"/>
      <c r="AT280" s="175"/>
      <c r="AU280" s="175"/>
      <c r="AV280" s="176"/>
      <c r="AW280" s="107"/>
      <c r="AX280" s="174"/>
      <c r="AY280" s="175"/>
      <c r="AZ280" s="175"/>
      <c r="BA280" s="176"/>
      <c r="BB280" s="107"/>
      <c r="BC280" s="174"/>
      <c r="BD280" s="175"/>
      <c r="BE280" s="175"/>
      <c r="BF280" s="176"/>
      <c r="BG280" s="107"/>
      <c r="BH280" s="174"/>
      <c r="BI280" s="175"/>
      <c r="BJ280" s="175"/>
      <c r="BK280" s="176"/>
      <c r="BL280" s="107"/>
      <c r="BM280" s="174"/>
      <c r="BN280" s="175"/>
      <c r="BO280" s="175"/>
      <c r="BP280" s="176"/>
      <c r="BQ280" s="107"/>
    </row>
    <row r="281" spans="1:69" ht="12.75" customHeight="1">
      <c r="A281" s="5"/>
      <c r="B281" s="5"/>
      <c r="C281" s="1196" t="s">
        <v>621</v>
      </c>
      <c r="D281" s="5"/>
      <c r="E281" s="174"/>
      <c r="F281" s="175"/>
      <c r="G281" s="175"/>
      <c r="H281" s="176"/>
      <c r="I281" s="107"/>
      <c r="J281" s="174"/>
      <c r="K281" s="175"/>
      <c r="L281" s="175"/>
      <c r="M281" s="176"/>
      <c r="N281" s="107"/>
      <c r="O281" s="174"/>
      <c r="P281" s="175"/>
      <c r="Q281" s="175"/>
      <c r="R281" s="176"/>
      <c r="S281" s="107"/>
      <c r="T281" s="174"/>
      <c r="U281" s="175"/>
      <c r="V281" s="175"/>
      <c r="W281" s="176"/>
      <c r="X281" s="107"/>
      <c r="Y281" s="174"/>
      <c r="Z281" s="175"/>
      <c r="AA281" s="175"/>
      <c r="AB281" s="176"/>
      <c r="AC281" s="107"/>
      <c r="AD281" s="174"/>
      <c r="AE281" s="175"/>
      <c r="AF281" s="175"/>
      <c r="AG281" s="176"/>
      <c r="AH281" s="107"/>
      <c r="AI281" s="174"/>
      <c r="AJ281" s="175"/>
      <c r="AK281" s="175"/>
      <c r="AL281" s="176"/>
      <c r="AM281" s="107"/>
      <c r="AN281" s="174"/>
      <c r="AO281" s="175"/>
      <c r="AP281" s="175"/>
      <c r="AQ281" s="176"/>
      <c r="AR281" s="107"/>
      <c r="AS281" s="174"/>
      <c r="AT281" s="175"/>
      <c r="AU281" s="175"/>
      <c r="AV281" s="176"/>
      <c r="AW281" s="107"/>
      <c r="AX281" s="174"/>
      <c r="AY281" s="175"/>
      <c r="AZ281" s="175"/>
      <c r="BA281" s="176"/>
      <c r="BB281" s="107"/>
      <c r="BC281" s="174"/>
      <c r="BD281" s="175"/>
      <c r="BE281" s="175"/>
      <c r="BF281" s="176"/>
      <c r="BG281" s="107"/>
      <c r="BH281" s="174"/>
      <c r="BI281" s="175"/>
      <c r="BJ281" s="175"/>
      <c r="BK281" s="176"/>
      <c r="BL281" s="107"/>
      <c r="BM281" s="174"/>
      <c r="BN281" s="175"/>
      <c r="BO281" s="175"/>
      <c r="BP281" s="176"/>
      <c r="BQ281" s="107"/>
    </row>
    <row r="282" spans="1:69" s="37" customFormat="1" ht="12.75" customHeight="1">
      <c r="A282" s="36"/>
      <c r="B282" s="36"/>
      <c r="C282" s="1195" t="s">
        <v>137</v>
      </c>
      <c r="D282" s="36"/>
      <c r="E282" s="180"/>
      <c r="F282" s="181"/>
      <c r="G282" s="181"/>
      <c r="H282" s="182"/>
      <c r="I282" s="107"/>
      <c r="J282" s="180"/>
      <c r="K282" s="181"/>
      <c r="L282" s="181"/>
      <c r="M282" s="182"/>
      <c r="N282" s="518"/>
      <c r="O282" s="180"/>
      <c r="P282" s="181"/>
      <c r="Q282" s="181"/>
      <c r="R282" s="182"/>
      <c r="S282" s="518">
        <v>4000</v>
      </c>
      <c r="T282" s="177"/>
      <c r="U282" s="178"/>
      <c r="V282" s="178"/>
      <c r="W282" s="179"/>
      <c r="X282" s="44">
        <f t="shared" ref="X282:X288" si="607">S282/S$289*X$276</f>
        <v>4550.6510176390784</v>
      </c>
      <c r="Y282" s="177"/>
      <c r="Z282" s="178"/>
      <c r="AA282" s="178"/>
      <c r="AB282" s="179"/>
      <c r="AC282" s="44">
        <f t="shared" ref="AC282:AC288" si="608">X282/X$289*AC$276</f>
        <v>4433.431750339214</v>
      </c>
      <c r="AD282" s="177"/>
      <c r="AE282" s="178"/>
      <c r="AF282" s="178"/>
      <c r="AG282" s="179"/>
      <c r="AH282" s="44">
        <f t="shared" ref="AH282:AH288" si="609">AC282/AC$289*AH$276</f>
        <v>4566.6331071913164</v>
      </c>
      <c r="AI282" s="177"/>
      <c r="AJ282" s="178"/>
      <c r="AK282" s="178"/>
      <c r="AL282" s="179"/>
      <c r="AM282" s="44">
        <f t="shared" ref="AM282:AM288" si="610">AH282/AH$289*AM$276</f>
        <v>4742.2434192673018</v>
      </c>
      <c r="AN282" s="177"/>
      <c r="AO282" s="1756">
        <v>5858</v>
      </c>
      <c r="AP282" s="178"/>
      <c r="AQ282" s="179"/>
      <c r="AR282" s="44">
        <f>AVERAGE(AO282,AS282)</f>
        <v>6241</v>
      </c>
      <c r="AS282" s="1757">
        <v>6624</v>
      </c>
      <c r="AT282" s="178"/>
      <c r="AU282" s="178"/>
      <c r="AV282" s="179"/>
      <c r="AW282" s="44">
        <f t="shared" ref="AW282:AW288" si="611">AR282/AR$289*AW$276</f>
        <v>6686.8186087325703</v>
      </c>
      <c r="AX282" s="177"/>
      <c r="AY282" s="178"/>
      <c r="AZ282" s="178"/>
      <c r="BA282" s="179"/>
      <c r="BB282" s="44">
        <f t="shared" ref="BB282:BB288" si="612">AW282/AW$289*BB$276</f>
        <v>7209.6732708047193</v>
      </c>
      <c r="BC282" s="177"/>
      <c r="BD282" s="178"/>
      <c r="BE282" s="178"/>
      <c r="BF282" s="179"/>
      <c r="BG282" s="44">
        <f t="shared" ref="BG282:BG288" si="613">BB282/BB$289*BG$276</f>
        <v>7768.2297550622789</v>
      </c>
      <c r="BH282" s="177"/>
      <c r="BI282" s="178"/>
      <c r="BJ282" s="178"/>
      <c r="BK282" s="179"/>
      <c r="BL282" s="44">
        <f t="shared" ref="BL282:BL288" si="614">BG282/BG$289*BL$276</f>
        <v>8237.7212754733318</v>
      </c>
      <c r="BM282" s="177"/>
      <c r="BN282" s="178"/>
      <c r="BO282" s="178"/>
      <c r="BP282" s="179"/>
      <c r="BQ282" s="44">
        <f t="shared" ref="BQ282:BQ288" si="615">BL282/BL$289*BQ$276</f>
        <v>8739.8311721506107</v>
      </c>
    </row>
    <row r="283" spans="1:69" s="37" customFormat="1" ht="12.75" customHeight="1">
      <c r="A283" s="36"/>
      <c r="B283" s="36"/>
      <c r="C283" s="1195" t="s">
        <v>805</v>
      </c>
      <c r="D283" s="36"/>
      <c r="E283" s="180"/>
      <c r="F283" s="181"/>
      <c r="G283" s="181"/>
      <c r="H283" s="182"/>
      <c r="I283" s="110"/>
      <c r="J283" s="180"/>
      <c r="K283" s="181"/>
      <c r="L283" s="181"/>
      <c r="M283" s="182"/>
      <c r="N283" s="518"/>
      <c r="O283" s="180"/>
      <c r="P283" s="181"/>
      <c r="Q283" s="181"/>
      <c r="R283" s="182"/>
      <c r="S283" s="518">
        <v>2450</v>
      </c>
      <c r="T283" s="177"/>
      <c r="U283" s="178"/>
      <c r="V283" s="178"/>
      <c r="W283" s="179"/>
      <c r="X283" s="44">
        <f t="shared" si="607"/>
        <v>2787.2737483039355</v>
      </c>
      <c r="Y283" s="177"/>
      <c r="Z283" s="178"/>
      <c r="AA283" s="178"/>
      <c r="AB283" s="179"/>
      <c r="AC283" s="44">
        <f t="shared" si="608"/>
        <v>2715.4769470827687</v>
      </c>
      <c r="AD283" s="177"/>
      <c r="AE283" s="178"/>
      <c r="AF283" s="178"/>
      <c r="AG283" s="179"/>
      <c r="AH283" s="44">
        <f t="shared" si="609"/>
        <v>2797.0627781546814</v>
      </c>
      <c r="AI283" s="177"/>
      <c r="AJ283" s="178"/>
      <c r="AK283" s="178"/>
      <c r="AL283" s="179"/>
      <c r="AM283" s="44">
        <f t="shared" si="610"/>
        <v>2904.6240943012226</v>
      </c>
      <c r="AN283" s="177"/>
      <c r="AO283" s="178"/>
      <c r="AP283" s="178"/>
      <c r="AQ283" s="179"/>
      <c r="AR283" s="44">
        <v>0</v>
      </c>
      <c r="AS283" s="177"/>
      <c r="AT283" s="178"/>
      <c r="AU283" s="178"/>
      <c r="AV283" s="179"/>
      <c r="AW283" s="44">
        <f t="shared" si="611"/>
        <v>0</v>
      </c>
      <c r="AX283" s="177"/>
      <c r="AY283" s="178"/>
      <c r="AZ283" s="178"/>
      <c r="BA283" s="179"/>
      <c r="BB283" s="44">
        <f t="shared" si="612"/>
        <v>0</v>
      </c>
      <c r="BC283" s="177"/>
      <c r="BD283" s="178"/>
      <c r="BE283" s="178"/>
      <c r="BF283" s="179"/>
      <c r="BG283" s="44">
        <f t="shared" si="613"/>
        <v>0</v>
      </c>
      <c r="BH283" s="177"/>
      <c r="BI283" s="178"/>
      <c r="BJ283" s="178"/>
      <c r="BK283" s="179"/>
      <c r="BL283" s="44">
        <f t="shared" si="614"/>
        <v>0</v>
      </c>
      <c r="BM283" s="177"/>
      <c r="BN283" s="178"/>
      <c r="BO283" s="178"/>
      <c r="BP283" s="179"/>
      <c r="BQ283" s="44">
        <f t="shared" si="615"/>
        <v>0</v>
      </c>
    </row>
    <row r="284" spans="1:69" s="37" customFormat="1" ht="12.75" customHeight="1">
      <c r="A284" s="36"/>
      <c r="B284" s="36"/>
      <c r="C284" s="1195" t="s">
        <v>806</v>
      </c>
      <c r="D284" s="36"/>
      <c r="E284" s="180"/>
      <c r="F284" s="181"/>
      <c r="G284" s="181"/>
      <c r="H284" s="182"/>
      <c r="I284" s="110"/>
      <c r="J284" s="180"/>
      <c r="K284" s="181"/>
      <c r="L284" s="181"/>
      <c r="M284" s="182"/>
      <c r="N284" s="518"/>
      <c r="O284" s="180"/>
      <c r="P284" s="181"/>
      <c r="Q284" s="181"/>
      <c r="R284" s="182"/>
      <c r="S284" s="518">
        <v>3600</v>
      </c>
      <c r="T284" s="177"/>
      <c r="U284" s="178"/>
      <c r="V284" s="178"/>
      <c r="W284" s="179"/>
      <c r="X284" s="44">
        <f t="shared" si="607"/>
        <v>4095.5859158751709</v>
      </c>
      <c r="Y284" s="177"/>
      <c r="Z284" s="178"/>
      <c r="AA284" s="178"/>
      <c r="AB284" s="179"/>
      <c r="AC284" s="44">
        <f t="shared" si="608"/>
        <v>3990.0885753052926</v>
      </c>
      <c r="AD284" s="177"/>
      <c r="AE284" s="178"/>
      <c r="AF284" s="178"/>
      <c r="AG284" s="179"/>
      <c r="AH284" s="44">
        <f t="shared" si="609"/>
        <v>4109.9697964721845</v>
      </c>
      <c r="AI284" s="177"/>
      <c r="AJ284" s="178"/>
      <c r="AK284" s="178"/>
      <c r="AL284" s="1909">
        <f>7400+55</f>
        <v>7455</v>
      </c>
      <c r="AM284" s="44">
        <f t="shared" si="610"/>
        <v>4268.0190773405711</v>
      </c>
      <c r="AN284" s="1757">
        <f>AL284+475</f>
        <v>7930</v>
      </c>
      <c r="AO284" s="178"/>
      <c r="AP284" s="178"/>
      <c r="AQ284" s="179"/>
      <c r="AR284" s="44">
        <f>AN284</f>
        <v>7930</v>
      </c>
      <c r="AS284" s="177"/>
      <c r="AT284" s="178"/>
      <c r="AU284" s="178"/>
      <c r="AV284" s="179"/>
      <c r="AW284" s="44">
        <f t="shared" si="611"/>
        <v>8496.4703680899329</v>
      </c>
      <c r="AX284" s="177"/>
      <c r="AY284" s="178"/>
      <c r="AZ284" s="178"/>
      <c r="BA284" s="179"/>
      <c r="BB284" s="44">
        <f t="shared" si="612"/>
        <v>9160.8250340460527</v>
      </c>
      <c r="BC284" s="177"/>
      <c r="BD284" s="178"/>
      <c r="BE284" s="178"/>
      <c r="BF284" s="179"/>
      <c r="BG284" s="44">
        <f t="shared" si="613"/>
        <v>9870.5434958570531</v>
      </c>
      <c r="BH284" s="177"/>
      <c r="BI284" s="178"/>
      <c r="BJ284" s="178"/>
      <c r="BK284" s="179"/>
      <c r="BL284" s="44">
        <f t="shared" si="614"/>
        <v>10467.093368771595</v>
      </c>
      <c r="BM284" s="177"/>
      <c r="BN284" s="178"/>
      <c r="BO284" s="178"/>
      <c r="BP284" s="179"/>
      <c r="BQ284" s="44">
        <f t="shared" si="615"/>
        <v>11105.089119556858</v>
      </c>
    </row>
    <row r="285" spans="1:69" s="37" customFormat="1" ht="12.75" customHeight="1">
      <c r="A285" s="36"/>
      <c r="B285" s="36"/>
      <c r="C285" s="1195" t="s">
        <v>807</v>
      </c>
      <c r="D285" s="36"/>
      <c r="E285" s="180"/>
      <c r="F285" s="181"/>
      <c r="G285" s="181"/>
      <c r="H285" s="182"/>
      <c r="I285" s="110"/>
      <c r="J285" s="180"/>
      <c r="K285" s="181"/>
      <c r="L285" s="181"/>
      <c r="M285" s="182"/>
      <c r="N285" s="518"/>
      <c r="O285" s="180"/>
      <c r="P285" s="181"/>
      <c r="Q285" s="181"/>
      <c r="R285" s="182"/>
      <c r="S285" s="518">
        <v>1500</v>
      </c>
      <c r="T285" s="177"/>
      <c r="U285" s="178"/>
      <c r="V285" s="178"/>
      <c r="W285" s="179"/>
      <c r="X285" s="44">
        <f t="shared" si="607"/>
        <v>1706.4941316146544</v>
      </c>
      <c r="Y285" s="177"/>
      <c r="Z285" s="178"/>
      <c r="AA285" s="178"/>
      <c r="AB285" s="179"/>
      <c r="AC285" s="44">
        <f t="shared" si="608"/>
        <v>1662.5369063772052</v>
      </c>
      <c r="AD285" s="177"/>
      <c r="AE285" s="178"/>
      <c r="AF285" s="178"/>
      <c r="AG285" s="179"/>
      <c r="AH285" s="44">
        <f t="shared" si="609"/>
        <v>1712.4874151967435</v>
      </c>
      <c r="AI285" s="177"/>
      <c r="AJ285" s="178"/>
      <c r="AK285" s="178"/>
      <c r="AL285" s="179"/>
      <c r="AM285" s="44">
        <f t="shared" si="610"/>
        <v>1778.3412822252383</v>
      </c>
      <c r="AN285" s="177"/>
      <c r="AO285" s="178"/>
      <c r="AP285" s="178"/>
      <c r="AQ285" s="1909">
        <v>1979</v>
      </c>
      <c r="AR285" s="44">
        <f>AQ285</f>
        <v>1979</v>
      </c>
      <c r="AS285" s="177"/>
      <c r="AT285" s="178"/>
      <c r="AU285" s="178"/>
      <c r="AV285" s="179"/>
      <c r="AW285" s="44">
        <f t="shared" si="611"/>
        <v>2120.3675735750289</v>
      </c>
      <c r="AX285" s="177"/>
      <c r="AY285" s="178"/>
      <c r="AZ285" s="178"/>
      <c r="BA285" s="179"/>
      <c r="BB285" s="44">
        <f t="shared" si="612"/>
        <v>2286.1630192152761</v>
      </c>
      <c r="BC285" s="177"/>
      <c r="BD285" s="178"/>
      <c r="BE285" s="178"/>
      <c r="BF285" s="179"/>
      <c r="BG285" s="44">
        <f t="shared" si="613"/>
        <v>2463.2793919673527</v>
      </c>
      <c r="BH285" s="177"/>
      <c r="BI285" s="178"/>
      <c r="BJ285" s="178"/>
      <c r="BK285" s="179"/>
      <c r="BL285" s="44">
        <f t="shared" si="614"/>
        <v>2612.1535658006287</v>
      </c>
      <c r="BM285" s="177"/>
      <c r="BN285" s="178"/>
      <c r="BO285" s="178"/>
      <c r="BP285" s="179"/>
      <c r="BQ285" s="44">
        <f t="shared" si="615"/>
        <v>2771.3709164694856</v>
      </c>
    </row>
    <row r="286" spans="1:69" s="37" customFormat="1" ht="12.75" customHeight="1">
      <c r="A286" s="36"/>
      <c r="B286" s="36"/>
      <c r="C286" s="1195" t="s">
        <v>808</v>
      </c>
      <c r="D286" s="36"/>
      <c r="E286" s="180"/>
      <c r="F286" s="181"/>
      <c r="G286" s="181"/>
      <c r="H286" s="182"/>
      <c r="I286" s="110"/>
      <c r="J286" s="180"/>
      <c r="K286" s="181"/>
      <c r="L286" s="181"/>
      <c r="M286" s="182"/>
      <c r="N286" s="518"/>
      <c r="O286" s="180"/>
      <c r="P286" s="181"/>
      <c r="Q286" s="181"/>
      <c r="R286" s="182"/>
      <c r="S286" s="518">
        <v>390</v>
      </c>
      <c r="T286" s="177"/>
      <c r="U286" s="178"/>
      <c r="V286" s="178"/>
      <c r="W286" s="179"/>
      <c r="X286" s="44">
        <f t="shared" si="607"/>
        <v>443.68847421981019</v>
      </c>
      <c r="Y286" s="177"/>
      <c r="Z286" s="178"/>
      <c r="AA286" s="178"/>
      <c r="AB286" s="179"/>
      <c r="AC286" s="44">
        <f t="shared" si="608"/>
        <v>432.25959565807341</v>
      </c>
      <c r="AD286" s="177"/>
      <c r="AE286" s="178"/>
      <c r="AF286" s="178"/>
      <c r="AG286" s="179"/>
      <c r="AH286" s="44">
        <f t="shared" si="609"/>
        <v>445.24672795115339</v>
      </c>
      <c r="AI286" s="177"/>
      <c r="AJ286" s="178"/>
      <c r="AK286" s="178"/>
      <c r="AL286" s="179"/>
      <c r="AM286" s="44">
        <f t="shared" si="610"/>
        <v>462.36873337856196</v>
      </c>
      <c r="AN286" s="177"/>
      <c r="AO286" s="178"/>
      <c r="AP286" s="178"/>
      <c r="AQ286" s="179"/>
      <c r="AR286" s="44">
        <f t="shared" ref="AR286:AR287" si="616">AM286/AM$289*AR$276</f>
        <v>512.32299728629584</v>
      </c>
      <c r="AS286" s="177"/>
      <c r="AT286" s="178"/>
      <c r="AU286" s="178"/>
      <c r="AV286" s="179"/>
      <c r="AW286" s="44">
        <f t="shared" si="611"/>
        <v>548.92019739395107</v>
      </c>
      <c r="AX286" s="177"/>
      <c r="AY286" s="178"/>
      <c r="AZ286" s="178"/>
      <c r="BA286" s="179"/>
      <c r="BB286" s="44">
        <f t="shared" si="612"/>
        <v>591.84127856971088</v>
      </c>
      <c r="BC286" s="177"/>
      <c r="BD286" s="178"/>
      <c r="BE286" s="178"/>
      <c r="BF286" s="179"/>
      <c r="BG286" s="44">
        <f t="shared" si="613"/>
        <v>637.69311836598217</v>
      </c>
      <c r="BH286" s="177"/>
      <c r="BI286" s="178"/>
      <c r="BJ286" s="178"/>
      <c r="BK286" s="179"/>
      <c r="BL286" s="44">
        <f t="shared" si="614"/>
        <v>676.23362516577242</v>
      </c>
      <c r="BM286" s="177"/>
      <c r="BN286" s="178"/>
      <c r="BO286" s="178"/>
      <c r="BP286" s="179"/>
      <c r="BQ286" s="44">
        <f t="shared" si="615"/>
        <v>717.45177085281227</v>
      </c>
    </row>
    <row r="287" spans="1:69" s="37" customFormat="1" ht="12.75" customHeight="1">
      <c r="A287" s="36"/>
      <c r="B287" s="36"/>
      <c r="C287" s="1195" t="s">
        <v>138</v>
      </c>
      <c r="D287" s="36"/>
      <c r="E287" s="180"/>
      <c r="F287" s="181"/>
      <c r="G287" s="181"/>
      <c r="H287" s="182"/>
      <c r="I287" s="110"/>
      <c r="J287" s="180"/>
      <c r="K287" s="181"/>
      <c r="L287" s="181"/>
      <c r="M287" s="182"/>
      <c r="N287" s="518"/>
      <c r="O287" s="180"/>
      <c r="P287" s="181"/>
      <c r="Q287" s="181"/>
      <c r="R287" s="182"/>
      <c r="S287" s="518">
        <v>1500</v>
      </c>
      <c r="T287" s="177"/>
      <c r="U287" s="178"/>
      <c r="V287" s="178"/>
      <c r="W287" s="179"/>
      <c r="X287" s="44">
        <f t="shared" si="607"/>
        <v>1706.4941316146544</v>
      </c>
      <c r="Y287" s="177"/>
      <c r="Z287" s="178"/>
      <c r="AA287" s="178"/>
      <c r="AB287" s="179"/>
      <c r="AC287" s="44">
        <f t="shared" si="608"/>
        <v>1662.5369063772052</v>
      </c>
      <c r="AD287" s="177"/>
      <c r="AE287" s="178"/>
      <c r="AF287" s="178"/>
      <c r="AG287" s="179"/>
      <c r="AH287" s="44">
        <f t="shared" si="609"/>
        <v>1712.4874151967435</v>
      </c>
      <c r="AI287" s="177"/>
      <c r="AJ287" s="178"/>
      <c r="AK287" s="178"/>
      <c r="AL287" s="179"/>
      <c r="AM287" s="44">
        <f t="shared" si="610"/>
        <v>1778.3412822252383</v>
      </c>
      <c r="AN287" s="177"/>
      <c r="AO287" s="178"/>
      <c r="AP287" s="178"/>
      <c r="AQ287" s="179"/>
      <c r="AR287" s="44">
        <f t="shared" si="616"/>
        <v>1970.473066485753</v>
      </c>
      <c r="AS287" s="177"/>
      <c r="AT287" s="178"/>
      <c r="AU287" s="178"/>
      <c r="AV287" s="179"/>
      <c r="AW287" s="44">
        <f t="shared" si="611"/>
        <v>2111.231528438273</v>
      </c>
      <c r="AX287" s="177"/>
      <c r="AY287" s="178"/>
      <c r="AZ287" s="178"/>
      <c r="BA287" s="179"/>
      <c r="BB287" s="44">
        <f t="shared" si="612"/>
        <v>2276.3126098835028</v>
      </c>
      <c r="BC287" s="177"/>
      <c r="BD287" s="178"/>
      <c r="BE287" s="178"/>
      <c r="BF287" s="179"/>
      <c r="BG287" s="44">
        <f t="shared" si="613"/>
        <v>2452.6658398691616</v>
      </c>
      <c r="BH287" s="177"/>
      <c r="BI287" s="178"/>
      <c r="BJ287" s="178"/>
      <c r="BK287" s="179"/>
      <c r="BL287" s="44">
        <f t="shared" si="614"/>
        <v>2600.8985583298931</v>
      </c>
      <c r="BM287" s="177"/>
      <c r="BN287" s="178"/>
      <c r="BO287" s="178"/>
      <c r="BP287" s="179"/>
      <c r="BQ287" s="44">
        <f t="shared" si="615"/>
        <v>2759.429887895431</v>
      </c>
    </row>
    <row r="288" spans="1:69" s="37" customFormat="1" ht="12.75" customHeight="1">
      <c r="A288" s="36"/>
      <c r="B288" s="36"/>
      <c r="C288" s="1195" t="s">
        <v>679</v>
      </c>
      <c r="D288" s="36"/>
      <c r="E288" s="180"/>
      <c r="F288" s="181"/>
      <c r="G288" s="181"/>
      <c r="H288" s="182"/>
      <c r="I288" s="110"/>
      <c r="J288" s="180"/>
      <c r="K288" s="181"/>
      <c r="L288" s="181"/>
      <c r="M288" s="182"/>
      <c r="N288" s="518"/>
      <c r="O288" s="180"/>
      <c r="P288" s="181"/>
      <c r="Q288" s="181"/>
      <c r="R288" s="182"/>
      <c r="S288" s="518">
        <v>1300</v>
      </c>
      <c r="T288" s="177"/>
      <c r="U288" s="178"/>
      <c r="V288" s="178"/>
      <c r="W288" s="179"/>
      <c r="X288" s="44">
        <f t="shared" si="607"/>
        <v>1478.9615807327007</v>
      </c>
      <c r="Y288" s="177"/>
      <c r="Z288" s="178"/>
      <c r="AA288" s="178"/>
      <c r="AB288" s="179"/>
      <c r="AC288" s="44">
        <f t="shared" si="608"/>
        <v>1440.8653188602445</v>
      </c>
      <c r="AD288" s="177"/>
      <c r="AE288" s="178"/>
      <c r="AF288" s="178"/>
      <c r="AG288" s="179"/>
      <c r="AH288" s="44">
        <f t="shared" si="609"/>
        <v>1484.1557598371778</v>
      </c>
      <c r="AI288" s="177"/>
      <c r="AJ288" s="178"/>
      <c r="AK288" s="178"/>
      <c r="AL288" s="179"/>
      <c r="AM288" s="44">
        <f t="shared" si="610"/>
        <v>1541.2291112618732</v>
      </c>
      <c r="AN288" s="177"/>
      <c r="AO288" s="1756">
        <v>1357</v>
      </c>
      <c r="AP288" s="178"/>
      <c r="AQ288" s="179"/>
      <c r="AR288" s="44">
        <f>AO288</f>
        <v>1357</v>
      </c>
      <c r="AS288" s="177"/>
      <c r="AT288" s="178"/>
      <c r="AU288" s="178"/>
      <c r="AV288" s="179"/>
      <c r="AW288" s="44">
        <f t="shared" si="611"/>
        <v>1453.9357237702447</v>
      </c>
      <c r="AX288" s="177"/>
      <c r="AY288" s="178"/>
      <c r="AZ288" s="178"/>
      <c r="BA288" s="179"/>
      <c r="BB288" s="44">
        <f t="shared" si="612"/>
        <v>1567.6216357125465</v>
      </c>
      <c r="BC288" s="177"/>
      <c r="BD288" s="178"/>
      <c r="BE288" s="178"/>
      <c r="BF288" s="179"/>
      <c r="BG288" s="44">
        <f t="shared" si="613"/>
        <v>1689.0703056592711</v>
      </c>
      <c r="BH288" s="177"/>
      <c r="BI288" s="178"/>
      <c r="BJ288" s="178"/>
      <c r="BK288" s="179"/>
      <c r="BL288" s="44">
        <f t="shared" si="614"/>
        <v>1791.1533040886573</v>
      </c>
      <c r="BM288" s="177"/>
      <c r="BN288" s="178"/>
      <c r="BO288" s="178"/>
      <c r="BP288" s="179"/>
      <c r="BQ288" s="44">
        <f t="shared" si="615"/>
        <v>1900.3286173062613</v>
      </c>
    </row>
    <row r="289" spans="1:69" s="37" customFormat="1">
      <c r="A289" s="36"/>
      <c r="B289" s="36"/>
      <c r="C289" s="1196" t="s">
        <v>664</v>
      </c>
      <c r="D289" s="36"/>
      <c r="E289" s="180"/>
      <c r="F289" s="181"/>
      <c r="G289" s="181"/>
      <c r="H289" s="125"/>
      <c r="I289" s="110"/>
      <c r="J289" s="180"/>
      <c r="K289" s="181"/>
      <c r="L289" s="181"/>
      <c r="M289" s="182"/>
      <c r="N289" s="110"/>
      <c r="O289" s="180"/>
      <c r="P289" s="181"/>
      <c r="Q289" s="181"/>
      <c r="R289" s="182"/>
      <c r="S289" s="110">
        <f>SUM(S282:S288)</f>
        <v>14740</v>
      </c>
      <c r="T289" s="177"/>
      <c r="U289" s="178"/>
      <c r="V289" s="178"/>
      <c r="W289" s="179"/>
      <c r="X289" s="110">
        <f>SUM(X282:X288)</f>
        <v>16769.149000000005</v>
      </c>
      <c r="Y289" s="177"/>
      <c r="Z289" s="178"/>
      <c r="AA289" s="178"/>
      <c r="AB289" s="179"/>
      <c r="AC289" s="110">
        <f>SUM(AC282:AC288)</f>
        <v>16337.196000000004</v>
      </c>
      <c r="AD289" s="177"/>
      <c r="AE289" s="178"/>
      <c r="AF289" s="178"/>
      <c r="AG289" s="179"/>
      <c r="AH289" s="110">
        <f>SUM(AH282:AH288)</f>
        <v>16828.043000000001</v>
      </c>
      <c r="AI289" s="180"/>
      <c r="AJ289" s="181"/>
      <c r="AK289" s="181"/>
      <c r="AL289" s="182"/>
      <c r="AM289" s="110">
        <f>SUM(AM282:AM288)</f>
        <v>17475.167000000009</v>
      </c>
      <c r="AN289" s="180"/>
      <c r="AO289" s="181"/>
      <c r="AP289" s="181"/>
      <c r="AQ289" s="182"/>
      <c r="AR289" s="110">
        <f>SUM(AR282:AR288)</f>
        <v>19989.79606377205</v>
      </c>
      <c r="AS289" s="180"/>
      <c r="AT289" s="181"/>
      <c r="AU289" s="181"/>
      <c r="AV289" s="182"/>
      <c r="AW289" s="110">
        <f>SUM(AW282:AW288)</f>
        <v>21417.744000000002</v>
      </c>
      <c r="AX289" s="180"/>
      <c r="AY289" s="181"/>
      <c r="AZ289" s="181"/>
      <c r="BA289" s="182"/>
      <c r="BB289" s="110">
        <f>SUM(BB282:BB288)</f>
        <v>23092.436848231806</v>
      </c>
      <c r="BC289" s="180"/>
      <c r="BD289" s="181"/>
      <c r="BE289" s="181"/>
      <c r="BF289" s="182"/>
      <c r="BG289" s="110">
        <f>SUM(BG282:BG288)</f>
        <v>24881.4819067811</v>
      </c>
      <c r="BH289" s="180"/>
      <c r="BI289" s="181"/>
      <c r="BJ289" s="181"/>
      <c r="BK289" s="182"/>
      <c r="BL289" s="110">
        <f>SUM(BL282:BL288)</f>
        <v>26385.25369762988</v>
      </c>
      <c r="BM289" s="180"/>
      <c r="BN289" s="181"/>
      <c r="BO289" s="181"/>
      <c r="BP289" s="182"/>
      <c r="BQ289" s="110">
        <f>SUM(BQ282:BQ288)</f>
        <v>27993.501484231459</v>
      </c>
    </row>
    <row r="290" spans="1:69">
      <c r="A290" s="5"/>
      <c r="B290" s="5"/>
      <c r="C290" s="1196"/>
      <c r="D290" s="5"/>
      <c r="E290" s="177"/>
      <c r="F290" s="178"/>
      <c r="G290" s="178"/>
      <c r="H290" s="125"/>
      <c r="I290" s="107"/>
      <c r="J290" s="177"/>
      <c r="K290" s="178"/>
      <c r="L290" s="178"/>
      <c r="M290" s="179"/>
      <c r="N290" s="110"/>
      <c r="O290" s="177"/>
      <c r="P290" s="178"/>
      <c r="Q290" s="178"/>
      <c r="R290" s="179"/>
      <c r="S290" s="110"/>
      <c r="T290" s="177"/>
      <c r="U290" s="178"/>
      <c r="V290" s="178"/>
      <c r="W290" s="179"/>
      <c r="X290" s="110"/>
      <c r="Y290" s="177"/>
      <c r="Z290" s="178"/>
      <c r="AA290" s="178"/>
      <c r="AB290" s="179"/>
      <c r="AC290" s="110"/>
      <c r="AD290" s="177"/>
      <c r="AE290" s="178"/>
      <c r="AF290" s="178"/>
      <c r="AG290" s="179"/>
      <c r="AH290" s="110"/>
      <c r="AI290" s="177"/>
      <c r="AJ290" s="178"/>
      <c r="AK290" s="178"/>
      <c r="AL290" s="179"/>
      <c r="AM290" s="110"/>
      <c r="AN290" s="177"/>
      <c r="AO290" s="178"/>
      <c r="AP290" s="178"/>
      <c r="AQ290" s="179"/>
      <c r="AR290" s="110"/>
      <c r="AS290" s="177"/>
      <c r="AT290" s="178"/>
      <c r="AU290" s="178"/>
      <c r="AV290" s="179"/>
      <c r="AW290" s="110"/>
      <c r="AX290" s="177"/>
      <c r="AY290" s="178"/>
      <c r="AZ290" s="178"/>
      <c r="BA290" s="179"/>
      <c r="BB290" s="110"/>
      <c r="BC290" s="177"/>
      <c r="BD290" s="178"/>
      <c r="BE290" s="178"/>
      <c r="BF290" s="179"/>
      <c r="BG290" s="110"/>
      <c r="BH290" s="177"/>
      <c r="BI290" s="178"/>
      <c r="BJ290" s="178"/>
      <c r="BK290" s="179"/>
      <c r="BL290" s="110"/>
      <c r="BM290" s="177"/>
      <c r="BN290" s="178"/>
      <c r="BO290" s="178"/>
      <c r="BP290" s="179"/>
      <c r="BQ290" s="110"/>
    </row>
    <row r="291" spans="1:69">
      <c r="A291" s="5"/>
      <c r="B291" s="5"/>
      <c r="C291" s="1173" t="s">
        <v>191</v>
      </c>
      <c r="D291" s="5"/>
      <c r="E291" s="177"/>
      <c r="F291" s="178"/>
      <c r="G291" s="178"/>
      <c r="H291" s="125"/>
      <c r="I291" s="107"/>
      <c r="J291" s="177"/>
      <c r="K291" s="178"/>
      <c r="L291" s="178"/>
      <c r="M291" s="179"/>
      <c r="N291" s="107"/>
      <c r="O291" s="177"/>
      <c r="P291" s="178"/>
      <c r="Q291" s="178"/>
      <c r="R291" s="179"/>
      <c r="S291" s="110"/>
      <c r="T291" s="177"/>
      <c r="U291" s="178"/>
      <c r="V291" s="178"/>
      <c r="W291" s="179"/>
      <c r="X291" s="110"/>
      <c r="Y291" s="177"/>
      <c r="Z291" s="178"/>
      <c r="AA291" s="178"/>
      <c r="AB291" s="179"/>
      <c r="AC291" s="110"/>
      <c r="AD291" s="177"/>
      <c r="AE291" s="178"/>
      <c r="AF291" s="178"/>
      <c r="AG291" s="179"/>
      <c r="AH291" s="110"/>
      <c r="AI291" s="177"/>
      <c r="AJ291" s="178"/>
      <c r="AK291" s="178"/>
      <c r="AL291" s="179"/>
      <c r="AM291" s="110"/>
      <c r="AN291" s="177"/>
      <c r="AO291" s="178"/>
      <c r="AP291" s="178"/>
      <c r="AQ291" s="179"/>
      <c r="AR291" s="110"/>
      <c r="AS291" s="177"/>
      <c r="AT291" s="178"/>
      <c r="AU291" s="178"/>
      <c r="AV291" s="179"/>
      <c r="AW291" s="110"/>
      <c r="AX291" s="177"/>
      <c r="AY291" s="178"/>
      <c r="AZ291" s="178"/>
      <c r="BA291" s="179"/>
      <c r="BB291" s="110"/>
      <c r="BC291" s="177"/>
      <c r="BD291" s="178"/>
      <c r="BE291" s="178"/>
      <c r="BF291" s="179"/>
      <c r="BG291" s="110"/>
      <c r="BH291" s="177"/>
      <c r="BI291" s="178"/>
      <c r="BJ291" s="178"/>
      <c r="BK291" s="179"/>
      <c r="BL291" s="110"/>
      <c r="BM291" s="177"/>
      <c r="BN291" s="178"/>
      <c r="BO291" s="178"/>
      <c r="BP291" s="179"/>
      <c r="BQ291" s="110"/>
    </row>
    <row r="292" spans="1:69">
      <c r="A292" s="5"/>
      <c r="B292" s="5"/>
      <c r="C292" s="1195" t="s">
        <v>137</v>
      </c>
      <c r="D292" s="5"/>
      <c r="E292" s="177"/>
      <c r="F292" s="178"/>
      <c r="G292" s="178"/>
      <c r="H292" s="125"/>
      <c r="I292" s="107"/>
      <c r="J292" s="177"/>
      <c r="K292" s="178"/>
      <c r="L292" s="178"/>
      <c r="M292" s="179"/>
      <c r="N292" s="107"/>
      <c r="O292" s="177"/>
      <c r="P292" s="178"/>
      <c r="Q292" s="178"/>
      <c r="R292" s="179"/>
      <c r="S292" s="956">
        <v>0.30270000000000002</v>
      </c>
      <c r="T292" s="177"/>
      <c r="U292" s="178"/>
      <c r="V292" s="178"/>
      <c r="W292" s="179"/>
      <c r="X292" s="1109">
        <f t="shared" ref="X292:X298" si="617">S292</f>
        <v>0.30270000000000002</v>
      </c>
      <c r="Y292" s="158"/>
      <c r="Z292" s="159"/>
      <c r="AA292" s="159"/>
      <c r="AB292" s="160"/>
      <c r="AC292" s="1109">
        <f t="shared" ref="AC292:AC298" si="618">X292</f>
        <v>0.30270000000000002</v>
      </c>
      <c r="AD292" s="158"/>
      <c r="AE292" s="159"/>
      <c r="AF292" s="159"/>
      <c r="AG292" s="160"/>
      <c r="AH292" s="1109">
        <f t="shared" ref="AH292:AH298" si="619">AC292</f>
        <v>0.30270000000000002</v>
      </c>
      <c r="AI292" s="158"/>
      <c r="AJ292" s="159"/>
      <c r="AK292" s="159"/>
      <c r="AL292" s="160"/>
      <c r="AM292" s="1109">
        <f t="shared" ref="AM292:AM298" si="620">AH292</f>
        <v>0.30270000000000002</v>
      </c>
      <c r="AN292" s="158"/>
      <c r="AO292" s="1926">
        <v>0.28599999999999998</v>
      </c>
      <c r="AP292" s="159"/>
      <c r="AQ292" s="160"/>
      <c r="AR292" s="1109">
        <f>AVERAGE(AS292,AO292)</f>
        <v>0.29694999999999999</v>
      </c>
      <c r="AS292" s="1934">
        <v>0.30790000000000001</v>
      </c>
      <c r="AT292" s="159"/>
      <c r="AU292" s="159"/>
      <c r="AV292" s="160"/>
      <c r="AW292" s="1109">
        <f t="shared" ref="AW292:AW298" si="621">AR292</f>
        <v>0.29694999999999999</v>
      </c>
      <c r="AX292" s="158"/>
      <c r="AY292" s="159"/>
      <c r="AZ292" s="159"/>
      <c r="BA292" s="160"/>
      <c r="BB292" s="1109">
        <f t="shared" ref="BB292:BB298" si="622">AW292</f>
        <v>0.29694999999999999</v>
      </c>
      <c r="BC292" s="158"/>
      <c r="BD292" s="159"/>
      <c r="BE292" s="159"/>
      <c r="BF292" s="160"/>
      <c r="BG292" s="1109">
        <f t="shared" ref="BG292:BG298" si="623">BB292</f>
        <v>0.29694999999999999</v>
      </c>
      <c r="BH292" s="158"/>
      <c r="BI292" s="159"/>
      <c r="BJ292" s="159"/>
      <c r="BK292" s="160"/>
      <c r="BL292" s="1109">
        <f t="shared" ref="BL292:BL298" si="624">BG292</f>
        <v>0.29694999999999999</v>
      </c>
      <c r="BM292" s="158"/>
      <c r="BN292" s="159"/>
      <c r="BO292" s="159"/>
      <c r="BP292" s="160"/>
      <c r="BQ292" s="1109">
        <f t="shared" ref="BQ292:BQ298" si="625">BL292</f>
        <v>0.29694999999999999</v>
      </c>
    </row>
    <row r="293" spans="1:69">
      <c r="A293" s="5"/>
      <c r="B293" s="5"/>
      <c r="C293" s="1195" t="s">
        <v>805</v>
      </c>
      <c r="D293" s="5"/>
      <c r="E293" s="177"/>
      <c r="F293" s="178"/>
      <c r="G293" s="178"/>
      <c r="H293" s="125"/>
      <c r="I293" s="107"/>
      <c r="J293" s="177"/>
      <c r="K293" s="178"/>
      <c r="L293" s="178"/>
      <c r="M293" s="179"/>
      <c r="N293" s="107"/>
      <c r="O293" s="177"/>
      <c r="P293" s="178"/>
      <c r="Q293" s="178"/>
      <c r="R293" s="179"/>
      <c r="S293" s="956">
        <v>0.51719999999999999</v>
      </c>
      <c r="T293" s="177"/>
      <c r="U293" s="178"/>
      <c r="V293" s="178"/>
      <c r="W293" s="179"/>
      <c r="X293" s="1109">
        <f t="shared" si="617"/>
        <v>0.51719999999999999</v>
      </c>
      <c r="Y293" s="158"/>
      <c r="Z293" s="159"/>
      <c r="AA293" s="159"/>
      <c r="AB293" s="160"/>
      <c r="AC293" s="1109">
        <f t="shared" si="618"/>
        <v>0.51719999999999999</v>
      </c>
      <c r="AD293" s="158"/>
      <c r="AE293" s="159"/>
      <c r="AF293" s="159"/>
      <c r="AG293" s="160"/>
      <c r="AH293" s="1109">
        <f t="shared" si="619"/>
        <v>0.51719999999999999</v>
      </c>
      <c r="AI293" s="158"/>
      <c r="AJ293" s="159"/>
      <c r="AK293" s="159"/>
      <c r="AL293" s="160">
        <v>0.53100000000000003</v>
      </c>
      <c r="AM293" s="1109">
        <f t="shared" si="620"/>
        <v>0.51719999999999999</v>
      </c>
      <c r="AN293" s="158"/>
      <c r="AO293" s="159"/>
      <c r="AP293" s="159"/>
      <c r="AQ293" s="160"/>
      <c r="AR293" s="1109">
        <f t="shared" ref="AR293" si="626">AM293</f>
        <v>0.51719999999999999</v>
      </c>
      <c r="AS293" s="158"/>
      <c r="AT293" s="159"/>
      <c r="AU293" s="159"/>
      <c r="AV293" s="160"/>
      <c r="AW293" s="1109">
        <f t="shared" si="621"/>
        <v>0.51719999999999999</v>
      </c>
      <c r="AX293" s="158"/>
      <c r="AY293" s="159"/>
      <c r="AZ293" s="159"/>
      <c r="BA293" s="160"/>
      <c r="BB293" s="1109">
        <f t="shared" si="622"/>
        <v>0.51719999999999999</v>
      </c>
      <c r="BC293" s="158"/>
      <c r="BD293" s="159"/>
      <c r="BE293" s="159"/>
      <c r="BF293" s="160"/>
      <c r="BG293" s="1109">
        <f t="shared" si="623"/>
        <v>0.51719999999999999</v>
      </c>
      <c r="BH293" s="158"/>
      <c r="BI293" s="159"/>
      <c r="BJ293" s="159"/>
      <c r="BK293" s="160"/>
      <c r="BL293" s="1109">
        <f t="shared" si="624"/>
        <v>0.51719999999999999</v>
      </c>
      <c r="BM293" s="158"/>
      <c r="BN293" s="159"/>
      <c r="BO293" s="159"/>
      <c r="BP293" s="160"/>
      <c r="BQ293" s="1109">
        <f t="shared" si="625"/>
        <v>0.51719999999999999</v>
      </c>
    </row>
    <row r="294" spans="1:69">
      <c r="A294" s="5"/>
      <c r="B294" s="5"/>
      <c r="C294" s="1195" t="s">
        <v>806</v>
      </c>
      <c r="D294" s="5"/>
      <c r="E294" s="177"/>
      <c r="F294" s="178"/>
      <c r="G294" s="178"/>
      <c r="H294" s="125"/>
      <c r="I294" s="107"/>
      <c r="J294" s="177"/>
      <c r="K294" s="178"/>
      <c r="L294" s="178"/>
      <c r="M294" s="179"/>
      <c r="N294" s="107"/>
      <c r="O294" s="177"/>
      <c r="P294" s="178"/>
      <c r="Q294" s="178"/>
      <c r="R294" s="179"/>
      <c r="S294" s="956">
        <v>0.52800000000000002</v>
      </c>
      <c r="T294" s="177"/>
      <c r="U294" s="178"/>
      <c r="V294" s="178"/>
      <c r="W294" s="179"/>
      <c r="X294" s="1109">
        <f t="shared" si="617"/>
        <v>0.52800000000000002</v>
      </c>
      <c r="Y294" s="158"/>
      <c r="Z294" s="159"/>
      <c r="AA294" s="159"/>
      <c r="AB294" s="160"/>
      <c r="AC294" s="1109">
        <f t="shared" si="618"/>
        <v>0.52800000000000002</v>
      </c>
      <c r="AD294" s="158"/>
      <c r="AE294" s="159"/>
      <c r="AF294" s="159"/>
      <c r="AG294" s="160"/>
      <c r="AH294" s="1109">
        <f t="shared" si="619"/>
        <v>0.52800000000000002</v>
      </c>
      <c r="AI294" s="158"/>
      <c r="AJ294" s="159"/>
      <c r="AK294" s="159"/>
      <c r="AL294" s="160"/>
      <c r="AM294" s="1109">
        <f t="shared" si="620"/>
        <v>0.52800000000000002</v>
      </c>
      <c r="AN294" s="158"/>
      <c r="AO294" s="159"/>
      <c r="AP294" s="159"/>
      <c r="AQ294" s="160"/>
      <c r="AR294" s="1933">
        <f>(7875*0.531+55*0.5253)/7930</f>
        <v>0.53096046658259766</v>
      </c>
      <c r="AS294" s="158"/>
      <c r="AT294" s="159"/>
      <c r="AU294" s="159"/>
      <c r="AV294" s="160"/>
      <c r="AW294" s="1109">
        <f t="shared" si="621"/>
        <v>0.53096046658259766</v>
      </c>
      <c r="AX294" s="158"/>
      <c r="AY294" s="159"/>
      <c r="AZ294" s="159"/>
      <c r="BA294" s="160"/>
      <c r="BB294" s="1109">
        <f t="shared" si="622"/>
        <v>0.53096046658259766</v>
      </c>
      <c r="BC294" s="158"/>
      <c r="BD294" s="159"/>
      <c r="BE294" s="159"/>
      <c r="BF294" s="160"/>
      <c r="BG294" s="1109">
        <f t="shared" si="623"/>
        <v>0.53096046658259766</v>
      </c>
      <c r="BH294" s="158"/>
      <c r="BI294" s="159"/>
      <c r="BJ294" s="159"/>
      <c r="BK294" s="160"/>
      <c r="BL294" s="1109">
        <f t="shared" si="624"/>
        <v>0.53096046658259766</v>
      </c>
      <c r="BM294" s="158"/>
      <c r="BN294" s="159"/>
      <c r="BO294" s="159"/>
      <c r="BP294" s="160"/>
      <c r="BQ294" s="1109">
        <f t="shared" si="625"/>
        <v>0.53096046658259766</v>
      </c>
    </row>
    <row r="295" spans="1:69">
      <c r="A295" s="5"/>
      <c r="B295" s="5"/>
      <c r="C295" s="1195" t="s">
        <v>807</v>
      </c>
      <c r="D295" s="5"/>
      <c r="E295" s="177"/>
      <c r="F295" s="178"/>
      <c r="G295" s="178"/>
      <c r="H295" s="125"/>
      <c r="I295" s="107"/>
      <c r="J295" s="177"/>
      <c r="K295" s="178"/>
      <c r="L295" s="178"/>
      <c r="M295" s="179"/>
      <c r="N295" s="107"/>
      <c r="O295" s="177"/>
      <c r="P295" s="178"/>
      <c r="Q295" s="178"/>
      <c r="R295" s="179"/>
      <c r="S295" s="956">
        <v>0.44990000000000002</v>
      </c>
      <c r="T295" s="177"/>
      <c r="U295" s="178"/>
      <c r="V295" s="178"/>
      <c r="W295" s="179"/>
      <c r="X295" s="1109">
        <f t="shared" si="617"/>
        <v>0.44990000000000002</v>
      </c>
      <c r="Y295" s="158"/>
      <c r="Z295" s="159"/>
      <c r="AA295" s="159"/>
      <c r="AB295" s="160"/>
      <c r="AC295" s="1109">
        <f t="shared" si="618"/>
        <v>0.44990000000000002</v>
      </c>
      <c r="AD295" s="158"/>
      <c r="AE295" s="159"/>
      <c r="AF295" s="159"/>
      <c r="AG295" s="160"/>
      <c r="AH295" s="1109">
        <f t="shared" si="619"/>
        <v>0.44990000000000002</v>
      </c>
      <c r="AI295" s="158"/>
      <c r="AJ295" s="159"/>
      <c r="AK295" s="159"/>
      <c r="AL295" s="160"/>
      <c r="AM295" s="1109">
        <f t="shared" si="620"/>
        <v>0.44990000000000002</v>
      </c>
      <c r="AN295" s="158"/>
      <c r="AO295" s="159"/>
      <c r="AP295" s="159"/>
      <c r="AQ295" s="160"/>
      <c r="AR295" s="1933">
        <v>0.48199999999999998</v>
      </c>
      <c r="AS295" s="158"/>
      <c r="AT295" s="159"/>
      <c r="AU295" s="159"/>
      <c r="AV295" s="160"/>
      <c r="AW295" s="1109">
        <f t="shared" si="621"/>
        <v>0.48199999999999998</v>
      </c>
      <c r="AX295" s="158"/>
      <c r="AY295" s="159"/>
      <c r="AZ295" s="159"/>
      <c r="BA295" s="160"/>
      <c r="BB295" s="1109">
        <f t="shared" si="622"/>
        <v>0.48199999999999998</v>
      </c>
      <c r="BC295" s="158"/>
      <c r="BD295" s="159"/>
      <c r="BE295" s="159"/>
      <c r="BF295" s="160"/>
      <c r="BG295" s="1109">
        <f t="shared" si="623"/>
        <v>0.48199999999999998</v>
      </c>
      <c r="BH295" s="158"/>
      <c r="BI295" s="159"/>
      <c r="BJ295" s="159"/>
      <c r="BK295" s="160"/>
      <c r="BL295" s="1109">
        <f t="shared" si="624"/>
        <v>0.48199999999999998</v>
      </c>
      <c r="BM295" s="158"/>
      <c r="BN295" s="159"/>
      <c r="BO295" s="159"/>
      <c r="BP295" s="160"/>
      <c r="BQ295" s="1109">
        <f t="shared" si="625"/>
        <v>0.48199999999999998</v>
      </c>
    </row>
    <row r="296" spans="1:69">
      <c r="A296" s="5"/>
      <c r="B296" s="5"/>
      <c r="C296" s="1195" t="s">
        <v>808</v>
      </c>
      <c r="D296" s="5"/>
      <c r="E296" s="177"/>
      <c r="F296" s="178"/>
      <c r="G296" s="178"/>
      <c r="H296" s="125"/>
      <c r="I296" s="107"/>
      <c r="J296" s="177"/>
      <c r="K296" s="178"/>
      <c r="L296" s="178"/>
      <c r="M296" s="179"/>
      <c r="N296" s="107"/>
      <c r="O296" s="177"/>
      <c r="P296" s="178"/>
      <c r="Q296" s="178"/>
      <c r="R296" s="179"/>
      <c r="S296" s="956">
        <v>0.48659999999999998</v>
      </c>
      <c r="T296" s="177"/>
      <c r="U296" s="178"/>
      <c r="V296" s="178"/>
      <c r="W296" s="179"/>
      <c r="X296" s="1109">
        <f t="shared" si="617"/>
        <v>0.48659999999999998</v>
      </c>
      <c r="Y296" s="158"/>
      <c r="Z296" s="159"/>
      <c r="AA296" s="159"/>
      <c r="AB296" s="160"/>
      <c r="AC296" s="1109">
        <f t="shared" si="618"/>
        <v>0.48659999999999998</v>
      </c>
      <c r="AD296" s="158"/>
      <c r="AE296" s="159"/>
      <c r="AF296" s="159"/>
      <c r="AG296" s="160"/>
      <c r="AH296" s="1109">
        <f t="shared" si="619"/>
        <v>0.48659999999999998</v>
      </c>
      <c r="AI296" s="158"/>
      <c r="AJ296" s="159"/>
      <c r="AK296" s="159"/>
      <c r="AL296" s="160"/>
      <c r="AM296" s="1109">
        <f t="shared" si="620"/>
        <v>0.48659999999999998</v>
      </c>
      <c r="AN296" s="158"/>
      <c r="AO296" s="159"/>
      <c r="AP296" s="159"/>
      <c r="AQ296" s="160"/>
      <c r="AR296" s="1933">
        <v>0.50080000000000002</v>
      </c>
      <c r="AS296" s="158"/>
      <c r="AT296" s="159"/>
      <c r="AU296" s="159"/>
      <c r="AV296" s="160"/>
      <c r="AW296" s="1109">
        <f t="shared" si="621"/>
        <v>0.50080000000000002</v>
      </c>
      <c r="AX296" s="158"/>
      <c r="AY296" s="159"/>
      <c r="AZ296" s="159"/>
      <c r="BA296" s="160"/>
      <c r="BB296" s="1109">
        <f t="shared" si="622"/>
        <v>0.50080000000000002</v>
      </c>
      <c r="BC296" s="158"/>
      <c r="BD296" s="159"/>
      <c r="BE296" s="159"/>
      <c r="BF296" s="160"/>
      <c r="BG296" s="1109">
        <f t="shared" si="623"/>
        <v>0.50080000000000002</v>
      </c>
      <c r="BH296" s="158"/>
      <c r="BI296" s="159"/>
      <c r="BJ296" s="159"/>
      <c r="BK296" s="160"/>
      <c r="BL296" s="1109">
        <f t="shared" si="624"/>
        <v>0.50080000000000002</v>
      </c>
      <c r="BM296" s="158"/>
      <c r="BN296" s="159"/>
      <c r="BO296" s="159"/>
      <c r="BP296" s="160"/>
      <c r="BQ296" s="1109">
        <f t="shared" si="625"/>
        <v>0.50080000000000002</v>
      </c>
    </row>
    <row r="297" spans="1:69">
      <c r="A297" s="5"/>
      <c r="B297" s="5"/>
      <c r="C297" s="1195" t="s">
        <v>138</v>
      </c>
      <c r="D297" s="5"/>
      <c r="E297" s="177"/>
      <c r="F297" s="178"/>
      <c r="G297" s="178"/>
      <c r="H297" s="125"/>
      <c r="I297" s="107"/>
      <c r="J297" s="177"/>
      <c r="K297" s="178"/>
      <c r="L297" s="178"/>
      <c r="M297" s="179"/>
      <c r="N297" s="107"/>
      <c r="O297" s="177"/>
      <c r="P297" s="178"/>
      <c r="Q297" s="178"/>
      <c r="R297" s="179"/>
      <c r="S297" s="956">
        <v>0.49919999999999998</v>
      </c>
      <c r="T297" s="177"/>
      <c r="U297" s="178"/>
      <c r="V297" s="178"/>
      <c r="W297" s="179"/>
      <c r="X297" s="1109">
        <f t="shared" si="617"/>
        <v>0.49919999999999998</v>
      </c>
      <c r="Y297" s="158"/>
      <c r="Z297" s="159"/>
      <c r="AA297" s="159"/>
      <c r="AB297" s="160"/>
      <c r="AC297" s="1109">
        <f t="shared" si="618"/>
        <v>0.49919999999999998</v>
      </c>
      <c r="AD297" s="158"/>
      <c r="AE297" s="159"/>
      <c r="AF297" s="159"/>
      <c r="AG297" s="160"/>
      <c r="AH297" s="1109">
        <f t="shared" si="619"/>
        <v>0.49919999999999998</v>
      </c>
      <c r="AI297" s="158"/>
      <c r="AJ297" s="159"/>
      <c r="AK297" s="159"/>
      <c r="AL297" s="160"/>
      <c r="AM297" s="1109">
        <f t="shared" si="620"/>
        <v>0.49919999999999998</v>
      </c>
      <c r="AN297" s="158"/>
      <c r="AO297" s="159"/>
      <c r="AP297" s="159"/>
      <c r="AQ297" s="160"/>
      <c r="AR297" s="1933">
        <v>0.48599999999999999</v>
      </c>
      <c r="AS297" s="158"/>
      <c r="AT297" s="159"/>
      <c r="AU297" s="159"/>
      <c r="AV297" s="160"/>
      <c r="AW297" s="1109">
        <f t="shared" si="621"/>
        <v>0.48599999999999999</v>
      </c>
      <c r="AX297" s="158"/>
      <c r="AY297" s="159"/>
      <c r="AZ297" s="159"/>
      <c r="BA297" s="160"/>
      <c r="BB297" s="1109">
        <f t="shared" si="622"/>
        <v>0.48599999999999999</v>
      </c>
      <c r="BC297" s="158"/>
      <c r="BD297" s="159"/>
      <c r="BE297" s="159"/>
      <c r="BF297" s="160"/>
      <c r="BG297" s="1109">
        <f t="shared" si="623"/>
        <v>0.48599999999999999</v>
      </c>
      <c r="BH297" s="158"/>
      <c r="BI297" s="159"/>
      <c r="BJ297" s="159"/>
      <c r="BK297" s="160"/>
      <c r="BL297" s="1109">
        <f t="shared" si="624"/>
        <v>0.48599999999999999</v>
      </c>
      <c r="BM297" s="158"/>
      <c r="BN297" s="159"/>
      <c r="BO297" s="159"/>
      <c r="BP297" s="160"/>
      <c r="BQ297" s="1109">
        <f t="shared" si="625"/>
        <v>0.48599999999999999</v>
      </c>
    </row>
    <row r="298" spans="1:69">
      <c r="A298" s="5"/>
      <c r="B298" s="5"/>
      <c r="C298" s="1195" t="s">
        <v>679</v>
      </c>
      <c r="D298" s="5"/>
      <c r="E298" s="177"/>
      <c r="F298" s="178"/>
      <c r="G298" s="178"/>
      <c r="H298" s="179"/>
      <c r="I298" s="107"/>
      <c r="J298" s="177"/>
      <c r="K298" s="178"/>
      <c r="L298" s="178"/>
      <c r="M298" s="179"/>
      <c r="N298" s="107"/>
      <c r="O298" s="177"/>
      <c r="P298" s="178"/>
      <c r="Q298" s="178"/>
      <c r="R298" s="179"/>
      <c r="S298" s="956">
        <f>800563/(800563+636885)</f>
        <v>0.5569335377697141</v>
      </c>
      <c r="T298" s="177"/>
      <c r="U298" s="178"/>
      <c r="V298" s="178"/>
      <c r="W298" s="179"/>
      <c r="X298" s="1109">
        <f t="shared" si="617"/>
        <v>0.5569335377697141</v>
      </c>
      <c r="Y298" s="158"/>
      <c r="Z298" s="159"/>
      <c r="AA298" s="159"/>
      <c r="AB298" s="160"/>
      <c r="AC298" s="1109">
        <f t="shared" si="618"/>
        <v>0.5569335377697141</v>
      </c>
      <c r="AD298" s="158"/>
      <c r="AE298" s="159"/>
      <c r="AF298" s="159"/>
      <c r="AG298" s="160"/>
      <c r="AH298" s="1109">
        <f t="shared" si="619"/>
        <v>0.5569335377697141</v>
      </c>
      <c r="AI298" s="158"/>
      <c r="AJ298" s="159"/>
      <c r="AK298" s="159"/>
      <c r="AL298" s="160"/>
      <c r="AM298" s="1109">
        <f t="shared" si="620"/>
        <v>0.5569335377697141</v>
      </c>
      <c r="AN298" s="158"/>
      <c r="AO298" s="159"/>
      <c r="AP298" s="159"/>
      <c r="AQ298" s="160"/>
      <c r="AR298" s="1933">
        <v>0.65</v>
      </c>
      <c r="AS298" s="158"/>
      <c r="AT298" s="159"/>
      <c r="AU298" s="159"/>
      <c r="AV298" s="160"/>
      <c r="AW298" s="1109">
        <f t="shared" si="621"/>
        <v>0.65</v>
      </c>
      <c r="AX298" s="158"/>
      <c r="AY298" s="159"/>
      <c r="AZ298" s="159"/>
      <c r="BA298" s="160"/>
      <c r="BB298" s="1109">
        <f t="shared" si="622"/>
        <v>0.65</v>
      </c>
      <c r="BC298" s="158"/>
      <c r="BD298" s="159"/>
      <c r="BE298" s="159"/>
      <c r="BF298" s="160"/>
      <c r="BG298" s="1109">
        <f t="shared" si="623"/>
        <v>0.65</v>
      </c>
      <c r="BH298" s="158"/>
      <c r="BI298" s="159"/>
      <c r="BJ298" s="159"/>
      <c r="BK298" s="160"/>
      <c r="BL298" s="1109">
        <f t="shared" si="624"/>
        <v>0.65</v>
      </c>
      <c r="BM298" s="158"/>
      <c r="BN298" s="159"/>
      <c r="BO298" s="159"/>
      <c r="BP298" s="160"/>
      <c r="BQ298" s="1109">
        <f t="shared" si="625"/>
        <v>0.65</v>
      </c>
    </row>
    <row r="299" spans="1:69" s="37" customFormat="1" ht="12.75" customHeight="1">
      <c r="A299" s="36"/>
      <c r="B299" s="36"/>
      <c r="C299" s="1173" t="s">
        <v>192</v>
      </c>
      <c r="D299" s="36"/>
      <c r="E299" s="1254"/>
      <c r="F299" s="1255"/>
      <c r="G299" s="1255"/>
      <c r="H299" s="1256"/>
      <c r="I299" s="1257"/>
      <c r="J299" s="1254"/>
      <c r="K299" s="1255"/>
      <c r="L299" s="1255"/>
      <c r="M299" s="1256"/>
      <c r="N299" s="1257"/>
      <c r="O299" s="1254"/>
      <c r="P299" s="1255"/>
      <c r="Q299" s="1255"/>
      <c r="R299" s="1256"/>
      <c r="S299" s="1257">
        <f>SUMPRODUCT(S292:S298,S282:S288)/S289</f>
        <v>0.45564298501361117</v>
      </c>
      <c r="T299" s="1254"/>
      <c r="U299" s="1255"/>
      <c r="V299" s="1255"/>
      <c r="W299" s="1256"/>
      <c r="X299" s="1257">
        <f>SUMPRODUCT(X292:X298,X282:X288)/X289</f>
        <v>0.45564298501361111</v>
      </c>
      <c r="Y299" s="1044"/>
      <c r="Z299" s="1045"/>
      <c r="AA299" s="1045"/>
      <c r="AB299" s="1043"/>
      <c r="AC299" s="1257">
        <f>SUMPRODUCT(AC292:AC298,AC282:AC288)/AC289</f>
        <v>0.45564298501361111</v>
      </c>
      <c r="AD299" s="1044"/>
      <c r="AE299" s="1045"/>
      <c r="AF299" s="1045"/>
      <c r="AG299" s="1043"/>
      <c r="AH299" s="1257">
        <f>SUMPRODUCT(AH292:AH298,AH282:AH288)/AH289</f>
        <v>0.45564298501361117</v>
      </c>
      <c r="AI299" s="1044"/>
      <c r="AJ299" s="1045"/>
      <c r="AK299" s="1045"/>
      <c r="AL299" s="1043"/>
      <c r="AM299" s="1257">
        <f>SUMPRODUCT(AM292:AM298,AM282:AM288)/AM289</f>
        <v>0.45564298501361111</v>
      </c>
      <c r="AN299" s="1044"/>
      <c r="AO299" s="1045"/>
      <c r="AP299" s="1045"/>
      <c r="AQ299" s="1043"/>
      <c r="AR299" s="1257">
        <f>SUMPRODUCT(AR292:AR298,AR282:AR288)/AR289</f>
        <v>0.45592914946593321</v>
      </c>
      <c r="AS299" s="1044"/>
      <c r="AT299" s="1045"/>
      <c r="AU299" s="1045"/>
      <c r="AV299" s="1043"/>
      <c r="AW299" s="1257">
        <f>SUMPRODUCT(AW292:AW298,AW282:AW288)/AW289</f>
        <v>0.45592914946593327</v>
      </c>
      <c r="AX299" s="1044"/>
      <c r="AY299" s="1045"/>
      <c r="AZ299" s="1045"/>
      <c r="BA299" s="1043"/>
      <c r="BB299" s="1257">
        <f>SUMPRODUCT(BB292:BB298,BB282:BB288)/BB289</f>
        <v>0.45592914946593344</v>
      </c>
      <c r="BC299" s="1044"/>
      <c r="BD299" s="1045"/>
      <c r="BE299" s="1045"/>
      <c r="BF299" s="1043"/>
      <c r="BG299" s="1257">
        <f>SUMPRODUCT(BG292:BG298,BG282:BG288)/BG289</f>
        <v>0.45592914946593338</v>
      </c>
      <c r="BH299" s="1044"/>
      <c r="BI299" s="1045"/>
      <c r="BJ299" s="1045"/>
      <c r="BK299" s="1043"/>
      <c r="BL299" s="1257">
        <f>SUMPRODUCT(BL292:BL298,BL282:BL288)/BL289</f>
        <v>0.45592914946593333</v>
      </c>
      <c r="BM299" s="1044"/>
      <c r="BN299" s="1045"/>
      <c r="BO299" s="1045"/>
      <c r="BP299" s="1043"/>
      <c r="BQ299" s="1257">
        <f>SUMPRODUCT(BQ292:BQ298,BQ282:BQ288)/BQ289</f>
        <v>0.45592914946593338</v>
      </c>
    </row>
    <row r="300" spans="1:69" s="103" customFormat="1" ht="12.75" customHeight="1">
      <c r="A300" s="31"/>
      <c r="B300" s="31"/>
      <c r="C300" s="1174"/>
      <c r="D300" s="31"/>
      <c r="E300" s="155"/>
      <c r="F300" s="156"/>
      <c r="G300" s="156"/>
      <c r="H300" s="157"/>
      <c r="I300" s="1042"/>
      <c r="J300" s="155"/>
      <c r="K300" s="156"/>
      <c r="L300" s="156"/>
      <c r="M300" s="157"/>
      <c r="N300" s="1042"/>
      <c r="O300" s="155"/>
      <c r="P300" s="156"/>
      <c r="Q300" s="156"/>
      <c r="R300" s="157"/>
      <c r="S300" s="82"/>
      <c r="T300" s="155"/>
      <c r="U300" s="156"/>
      <c r="V300" s="156"/>
      <c r="W300" s="157"/>
      <c r="X300" s="82"/>
      <c r="Y300" s="158"/>
      <c r="Z300" s="159"/>
      <c r="AA300" s="159"/>
      <c r="AB300" s="160"/>
      <c r="AC300" s="82"/>
      <c r="AD300" s="158"/>
      <c r="AE300" s="159"/>
      <c r="AF300" s="159"/>
      <c r="AG300" s="160"/>
      <c r="AH300" s="82"/>
      <c r="AI300" s="158"/>
      <c r="AJ300" s="159"/>
      <c r="AK300" s="159"/>
      <c r="AL300" s="160"/>
      <c r="AM300" s="82"/>
      <c r="AN300" s="158"/>
      <c r="AO300" s="159"/>
      <c r="AP300" s="159"/>
      <c r="AQ300" s="160"/>
      <c r="AR300" s="82"/>
      <c r="AS300" s="158"/>
      <c r="AT300" s="159"/>
      <c r="AU300" s="159"/>
      <c r="AV300" s="160"/>
      <c r="AW300" s="82"/>
      <c r="AX300" s="158"/>
      <c r="AY300" s="159"/>
      <c r="AZ300" s="159"/>
      <c r="BA300" s="160"/>
      <c r="BB300" s="82"/>
      <c r="BC300" s="158"/>
      <c r="BD300" s="159"/>
      <c r="BE300" s="159"/>
      <c r="BF300" s="160"/>
      <c r="BG300" s="82"/>
      <c r="BH300" s="158"/>
      <c r="BI300" s="159"/>
      <c r="BJ300" s="159"/>
      <c r="BK300" s="160"/>
      <c r="BL300" s="82"/>
      <c r="BM300" s="158"/>
      <c r="BN300" s="159"/>
      <c r="BO300" s="159"/>
      <c r="BP300" s="160"/>
      <c r="BQ300" s="82"/>
    </row>
    <row r="301" spans="1:69">
      <c r="C301" s="1174" t="s">
        <v>422</v>
      </c>
      <c r="D301" s="5"/>
      <c r="E301" s="139"/>
      <c r="F301" s="18"/>
      <c r="G301" s="18"/>
      <c r="H301" s="402"/>
      <c r="I301" s="16"/>
      <c r="J301" s="1027"/>
      <c r="K301" s="1028"/>
      <c r="L301" s="1028"/>
      <c r="M301" s="1029"/>
      <c r="N301" s="233"/>
      <c r="O301" s="241"/>
      <c r="P301" s="242"/>
      <c r="Q301" s="242"/>
      <c r="R301" s="243"/>
      <c r="S301" s="1047">
        <f>S243</f>
        <v>0.47483044367136346</v>
      </c>
      <c r="T301" s="1030"/>
      <c r="U301" s="1031"/>
      <c r="V301" s="1031"/>
      <c r="W301" s="1032"/>
      <c r="X301" s="1047">
        <f>X243</f>
        <v>0.46095742263933703</v>
      </c>
      <c r="Y301" s="1030"/>
      <c r="Z301" s="1031"/>
      <c r="AA301" s="1031"/>
      <c r="AB301" s="1032"/>
      <c r="AC301" s="1047">
        <f>AC243</f>
        <v>0.46731648742341753</v>
      </c>
      <c r="AD301" s="1030"/>
      <c r="AE301" s="1031"/>
      <c r="AF301" s="1031"/>
      <c r="AG301" s="1032"/>
      <c r="AH301" s="1047">
        <f>AH243</f>
        <v>0.4532612015195906</v>
      </c>
      <c r="AI301" s="1030"/>
      <c r="AJ301" s="1031"/>
      <c r="AK301" s="1031"/>
      <c r="AL301" s="1032"/>
      <c r="AM301" s="1047">
        <f>AM243</f>
        <v>0.45453036909674371</v>
      </c>
      <c r="AN301" s="1030"/>
      <c r="AO301" s="1031"/>
      <c r="AP301" s="1031"/>
      <c r="AQ301" s="1032"/>
      <c r="AR301" s="1047">
        <f>AR243</f>
        <v>0.46857065578955009</v>
      </c>
      <c r="AS301" s="1030"/>
      <c r="AT301" s="1031"/>
      <c r="AU301" s="1031"/>
      <c r="AV301" s="1032"/>
      <c r="AW301" s="28" t="s">
        <v>1043</v>
      </c>
      <c r="AX301" s="1030"/>
      <c r="AY301" s="1031"/>
      <c r="AZ301" s="1031"/>
      <c r="BA301" s="1032"/>
      <c r="BB301" s="1047">
        <f>BB243</f>
        <v>0.44789518172539605</v>
      </c>
      <c r="BC301" s="1030"/>
      <c r="BD301" s="1031"/>
      <c r="BE301" s="1031"/>
      <c r="BF301" s="1032"/>
      <c r="BG301" s="1047">
        <f>BG243</f>
        <v>0.44708315275139404</v>
      </c>
      <c r="BH301" s="1030"/>
      <c r="BI301" s="1031"/>
      <c r="BJ301" s="1031"/>
      <c r="BK301" s="1032"/>
      <c r="BL301" s="1047">
        <f>BL243</f>
        <v>0.44134621166276655</v>
      </c>
      <c r="BM301" s="1030"/>
      <c r="BN301" s="1031"/>
      <c r="BO301" s="1031"/>
      <c r="BP301" s="1032"/>
      <c r="BQ301" s="1047">
        <f>BQ243</f>
        <v>0.44416901223323318</v>
      </c>
    </row>
    <row r="302" spans="1:69">
      <c r="C302" s="1195"/>
      <c r="D302" s="5"/>
      <c r="E302" s="139"/>
      <c r="F302" s="18"/>
      <c r="G302" s="18"/>
      <c r="H302" s="402"/>
      <c r="I302" s="16"/>
      <c r="J302" s="1027"/>
      <c r="K302" s="1028"/>
      <c r="L302" s="1028"/>
      <c r="M302" s="1029"/>
      <c r="N302" s="233"/>
      <c r="O302" s="241"/>
      <c r="P302" s="242"/>
      <c r="Q302" s="242"/>
      <c r="R302" s="243"/>
      <c r="S302" s="233"/>
      <c r="T302" s="1030"/>
      <c r="U302" s="1031"/>
      <c r="V302" s="1031"/>
      <c r="W302" s="1032"/>
      <c r="X302" s="233"/>
      <c r="Y302" s="1030"/>
      <c r="Z302" s="1031"/>
      <c r="AA302" s="1031"/>
      <c r="AB302" s="1032"/>
      <c r="AC302" s="233"/>
      <c r="AD302" s="1030"/>
      <c r="AE302" s="1031"/>
      <c r="AF302" s="1031"/>
      <c r="AG302" s="1032"/>
      <c r="AH302" s="233"/>
      <c r="AI302" s="1030"/>
      <c r="AJ302" s="1031"/>
      <c r="AK302" s="1031"/>
      <c r="AL302" s="1032"/>
      <c r="AM302" s="233"/>
      <c r="AN302" s="1030"/>
      <c r="AO302" s="1031"/>
      <c r="AP302" s="1031"/>
      <c r="AQ302" s="1032"/>
      <c r="AR302" s="233"/>
      <c r="AS302" s="1030"/>
      <c r="AT302" s="1031"/>
      <c r="AU302" s="1031"/>
      <c r="AV302" s="1032"/>
      <c r="AW302" s="233"/>
      <c r="AX302" s="1030"/>
      <c r="AY302" s="1031"/>
      <c r="AZ302" s="1031"/>
      <c r="BA302" s="1032"/>
      <c r="BB302" s="233"/>
      <c r="BC302" s="1030"/>
      <c r="BD302" s="1031"/>
      <c r="BE302" s="1031"/>
      <c r="BF302" s="1032"/>
      <c r="BG302" s="233"/>
      <c r="BH302" s="1030"/>
      <c r="BI302" s="1031"/>
      <c r="BJ302" s="1031"/>
      <c r="BK302" s="1032"/>
      <c r="BL302" s="233"/>
      <c r="BM302" s="1030"/>
      <c r="BN302" s="1031"/>
      <c r="BO302" s="1031"/>
      <c r="BP302" s="1032"/>
      <c r="BQ302" s="233"/>
    </row>
    <row r="303" spans="1:69" ht="12.75" customHeight="1">
      <c r="A303" s="5"/>
      <c r="B303" s="5"/>
      <c r="C303" s="1173" t="s">
        <v>809</v>
      </c>
      <c r="D303" s="5"/>
      <c r="E303" s="139"/>
      <c r="F303" s="18"/>
      <c r="G303" s="18"/>
      <c r="H303" s="402"/>
      <c r="I303" s="16"/>
      <c r="J303" s="1027"/>
      <c r="K303" s="1028"/>
      <c r="L303" s="1028"/>
      <c r="M303" s="1029"/>
      <c r="N303" s="233"/>
      <c r="O303" s="241"/>
      <c r="P303" s="242"/>
      <c r="Q303" s="242"/>
      <c r="R303" s="243"/>
      <c r="S303" s="233"/>
      <c r="T303" s="1030"/>
      <c r="U303" s="1031"/>
      <c r="V303" s="1031"/>
      <c r="W303" s="1032"/>
      <c r="X303" s="233"/>
      <c r="Y303" s="1030"/>
      <c r="Z303" s="1031"/>
      <c r="AA303" s="1031"/>
      <c r="AB303" s="1032"/>
      <c r="AC303" s="233"/>
      <c r="AD303" s="1030"/>
      <c r="AE303" s="1031"/>
      <c r="AF303" s="1031"/>
      <c r="AG303" s="1032"/>
      <c r="AH303" s="233"/>
      <c r="AI303" s="1030"/>
      <c r="AJ303" s="1031"/>
      <c r="AK303" s="1031"/>
      <c r="AL303" s="1032"/>
      <c r="AM303" s="233"/>
      <c r="AN303" s="1030"/>
      <c r="AO303" s="1031"/>
      <c r="AP303" s="1031"/>
      <c r="AQ303" s="1032"/>
      <c r="AR303" s="233"/>
      <c r="AS303" s="1030"/>
      <c r="AT303" s="1031"/>
      <c r="AU303" s="1031"/>
      <c r="AV303" s="1032"/>
      <c r="AW303" s="233"/>
      <c r="AX303" s="1030"/>
      <c r="AY303" s="1031"/>
      <c r="AZ303" s="1031"/>
      <c r="BA303" s="1032"/>
      <c r="BB303" s="233"/>
      <c r="BC303" s="1030"/>
      <c r="BD303" s="1031"/>
      <c r="BE303" s="1031"/>
      <c r="BF303" s="1032"/>
      <c r="BG303" s="233"/>
      <c r="BH303" s="1030"/>
      <c r="BI303" s="1031"/>
      <c r="BJ303" s="1031"/>
      <c r="BK303" s="1032"/>
      <c r="BL303" s="233"/>
      <c r="BM303" s="1030"/>
      <c r="BN303" s="1031"/>
      <c r="BO303" s="1031"/>
      <c r="BP303" s="1032"/>
      <c r="BQ303" s="233"/>
    </row>
    <row r="304" spans="1:69" ht="12.75" customHeight="1">
      <c r="A304" s="5"/>
      <c r="B304" s="5"/>
      <c r="C304" s="1195" t="s">
        <v>137</v>
      </c>
      <c r="D304" s="5"/>
      <c r="E304" s="139"/>
      <c r="F304" s="18"/>
      <c r="G304" s="18"/>
      <c r="H304" s="402"/>
      <c r="I304" s="16"/>
      <c r="J304" s="1027"/>
      <c r="K304" s="1028"/>
      <c r="L304" s="1028"/>
      <c r="M304" s="1029"/>
      <c r="N304" s="233"/>
      <c r="O304" s="241"/>
      <c r="P304" s="242"/>
      <c r="Q304" s="242"/>
      <c r="R304" s="243"/>
      <c r="S304" s="43">
        <v>0.10199999999999999</v>
      </c>
      <c r="T304" s="1030"/>
      <c r="U304" s="1031"/>
      <c r="V304" s="1031"/>
      <c r="W304" s="1032"/>
      <c r="X304" s="43">
        <v>9.6000000000000002E-2</v>
      </c>
      <c r="Y304" s="158"/>
      <c r="Z304" s="159"/>
      <c r="AA304" s="159"/>
      <c r="AB304" s="160"/>
      <c r="AC304" s="1047">
        <f>X304</f>
        <v>9.6000000000000002E-2</v>
      </c>
      <c r="AD304" s="158"/>
      <c r="AE304" s="159"/>
      <c r="AF304" s="159"/>
      <c r="AG304" s="160"/>
      <c r="AH304" s="43">
        <v>9.5000000000000001E-2</v>
      </c>
      <c r="AI304" s="158"/>
      <c r="AJ304" s="159"/>
      <c r="AK304" s="159"/>
      <c r="AL304" s="160"/>
      <c r="AM304" s="1047">
        <f>AH304</f>
        <v>9.5000000000000001E-2</v>
      </c>
      <c r="AN304" s="158"/>
      <c r="AO304" s="159"/>
      <c r="AP304" s="159"/>
      <c r="AQ304" s="160"/>
      <c r="AR304" s="1681">
        <f>AVERAGE(0.0925,0.1025)</f>
        <v>9.7500000000000003E-2</v>
      </c>
      <c r="AS304" s="158"/>
      <c r="AT304" s="159"/>
      <c r="AU304" s="159"/>
      <c r="AV304" s="160"/>
      <c r="AW304" s="1047">
        <f>AR304</f>
        <v>9.7500000000000003E-2</v>
      </c>
      <c r="AX304" s="158"/>
      <c r="AY304" s="159"/>
      <c r="AZ304" s="159"/>
      <c r="BA304" s="160"/>
      <c r="BB304" s="1047">
        <f>AW304</f>
        <v>9.7500000000000003E-2</v>
      </c>
      <c r="BC304" s="158"/>
      <c r="BD304" s="159"/>
      <c r="BE304" s="159"/>
      <c r="BF304" s="160"/>
      <c r="BG304" s="1047">
        <f>BB304</f>
        <v>9.7500000000000003E-2</v>
      </c>
      <c r="BH304" s="158"/>
      <c r="BI304" s="159"/>
      <c r="BJ304" s="159"/>
      <c r="BK304" s="160"/>
      <c r="BL304" s="1047">
        <f>BG304</f>
        <v>9.7500000000000003E-2</v>
      </c>
      <c r="BM304" s="158"/>
      <c r="BN304" s="159"/>
      <c r="BO304" s="159"/>
      <c r="BP304" s="160"/>
      <c r="BQ304" s="1047">
        <f>BL304</f>
        <v>9.7500000000000003E-2</v>
      </c>
    </row>
    <row r="305" spans="1:69" ht="12.75" customHeight="1">
      <c r="A305" s="5"/>
      <c r="B305" s="5"/>
      <c r="C305" s="1195" t="s">
        <v>805</v>
      </c>
      <c r="D305" s="5"/>
      <c r="E305" s="139"/>
      <c r="F305" s="18"/>
      <c r="G305" s="18"/>
      <c r="H305" s="402"/>
      <c r="I305" s="16"/>
      <c r="J305" s="1027"/>
      <c r="K305" s="1028"/>
      <c r="L305" s="1028"/>
      <c r="M305" s="1029"/>
      <c r="N305" s="43"/>
      <c r="O305" s="241"/>
      <c r="P305" s="242"/>
      <c r="Q305" s="242"/>
      <c r="R305" s="243"/>
      <c r="S305" s="43">
        <f>(9.9%+11.4%)/2</f>
        <v>0.10650000000000001</v>
      </c>
      <c r="T305" s="1030"/>
      <c r="U305" s="1031"/>
      <c r="V305" s="1031"/>
      <c r="W305" s="1032"/>
      <c r="X305" s="1047">
        <f t="shared" ref="X305:X310" si="627">S305</f>
        <v>0.10650000000000001</v>
      </c>
      <c r="Y305" s="158"/>
      <c r="Z305" s="159"/>
      <c r="AA305" s="159"/>
      <c r="AB305" s="160"/>
      <c r="AC305" s="1047">
        <f t="shared" ref="AC305:AC310" si="628">X305</f>
        <v>0.10650000000000001</v>
      </c>
      <c r="AD305" s="158"/>
      <c r="AE305" s="159"/>
      <c r="AF305" s="159"/>
      <c r="AG305" s="160"/>
      <c r="AH305" s="43">
        <f>(2.666*AVERAGE(0.0915,0.1075)+0.055*AVERAGE(0.0945,0.1045))/(2.666+0.055)</f>
        <v>9.9500000000000005E-2</v>
      </c>
      <c r="AI305" s="158"/>
      <c r="AJ305" s="159"/>
      <c r="AK305" s="159"/>
      <c r="AL305" s="160"/>
      <c r="AM305" s="1047">
        <f t="shared" ref="AM305:AM310" si="629">AH305</f>
        <v>9.9500000000000005E-2</v>
      </c>
      <c r="AN305" s="158"/>
      <c r="AO305" s="159"/>
      <c r="AP305" s="159"/>
      <c r="AQ305" s="160"/>
      <c r="AR305" s="1047">
        <f t="shared" ref="AR305:AR310" si="630">AM305</f>
        <v>9.9500000000000005E-2</v>
      </c>
      <c r="AS305" s="158"/>
      <c r="AT305" s="159"/>
      <c r="AU305" s="159"/>
      <c r="AV305" s="160"/>
      <c r="AW305" s="1047">
        <f t="shared" ref="AW305:AW310" si="631">AR305</f>
        <v>9.9500000000000005E-2</v>
      </c>
      <c r="AX305" s="158"/>
      <c r="AY305" s="159"/>
      <c r="AZ305" s="159"/>
      <c r="BA305" s="160"/>
      <c r="BB305" s="1047">
        <f t="shared" ref="BB305:BB310" si="632">AW305</f>
        <v>9.9500000000000005E-2</v>
      </c>
      <c r="BC305" s="158"/>
      <c r="BD305" s="159"/>
      <c r="BE305" s="159"/>
      <c r="BF305" s="160"/>
      <c r="BG305" s="1047">
        <f t="shared" ref="BG305:BG310" si="633">BB305</f>
        <v>9.9500000000000005E-2</v>
      </c>
      <c r="BH305" s="158"/>
      <c r="BI305" s="159"/>
      <c r="BJ305" s="159"/>
      <c r="BK305" s="160"/>
      <c r="BL305" s="1047">
        <f t="shared" ref="BL305:BL310" si="634">BG305</f>
        <v>9.9500000000000005E-2</v>
      </c>
      <c r="BM305" s="158"/>
      <c r="BN305" s="159"/>
      <c r="BO305" s="159"/>
      <c r="BP305" s="160"/>
      <c r="BQ305" s="1047">
        <f t="shared" ref="BQ305:BQ310" si="635">BL305</f>
        <v>9.9500000000000005E-2</v>
      </c>
    </row>
    <row r="306" spans="1:69" ht="12.75" customHeight="1">
      <c r="A306" s="5"/>
      <c r="B306" s="5"/>
      <c r="C306" s="1195" t="s">
        <v>806</v>
      </c>
      <c r="D306" s="5"/>
      <c r="E306" s="139"/>
      <c r="F306" s="18"/>
      <c r="G306" s="18"/>
      <c r="H306" s="402"/>
      <c r="I306" s="16"/>
      <c r="J306" s="1027"/>
      <c r="K306" s="1028"/>
      <c r="L306" s="1028"/>
      <c r="M306" s="1029"/>
      <c r="N306" s="43"/>
      <c r="O306" s="241"/>
      <c r="P306" s="242"/>
      <c r="Q306" s="242"/>
      <c r="R306" s="243"/>
      <c r="S306" s="43">
        <f>(9.45%+11.05%)/2</f>
        <v>0.10249999999999999</v>
      </c>
      <c r="T306" s="1030"/>
      <c r="U306" s="1031"/>
      <c r="V306" s="1031"/>
      <c r="W306" s="1032"/>
      <c r="X306" s="1047">
        <f t="shared" si="627"/>
        <v>0.10249999999999999</v>
      </c>
      <c r="Y306" s="158"/>
      <c r="Z306" s="159"/>
      <c r="AA306" s="159"/>
      <c r="AB306" s="160"/>
      <c r="AC306" s="1047">
        <f t="shared" si="628"/>
        <v>0.10249999999999999</v>
      </c>
      <c r="AD306" s="158"/>
      <c r="AE306" s="159"/>
      <c r="AF306" s="159"/>
      <c r="AG306" s="160"/>
      <c r="AH306" s="43">
        <f>AVERAGE(0.0915,0.1075)</f>
        <v>9.9500000000000005E-2</v>
      </c>
      <c r="AI306" s="158"/>
      <c r="AJ306" s="159"/>
      <c r="AK306" s="159"/>
      <c r="AL306" s="160"/>
      <c r="AM306" s="1047">
        <f t="shared" si="629"/>
        <v>9.9500000000000005E-2</v>
      </c>
      <c r="AN306" s="158"/>
      <c r="AO306" s="159"/>
      <c r="AP306" s="159"/>
      <c r="AQ306" s="160"/>
      <c r="AR306" s="1047">
        <f t="shared" si="630"/>
        <v>9.9500000000000005E-2</v>
      </c>
      <c r="AS306" s="158"/>
      <c r="AT306" s="159"/>
      <c r="AU306" s="159"/>
      <c r="AV306" s="160"/>
      <c r="AW306" s="1047">
        <f t="shared" si="631"/>
        <v>9.9500000000000005E-2</v>
      </c>
      <c r="AX306" s="158"/>
      <c r="AY306" s="159"/>
      <c r="AZ306" s="159"/>
      <c r="BA306" s="160"/>
      <c r="BB306" s="1047">
        <f t="shared" si="632"/>
        <v>9.9500000000000005E-2</v>
      </c>
      <c r="BC306" s="158"/>
      <c r="BD306" s="159"/>
      <c r="BE306" s="159"/>
      <c r="BF306" s="160"/>
      <c r="BG306" s="1047">
        <f t="shared" si="633"/>
        <v>9.9500000000000005E-2</v>
      </c>
      <c r="BH306" s="158"/>
      <c r="BI306" s="159"/>
      <c r="BJ306" s="159"/>
      <c r="BK306" s="160"/>
      <c r="BL306" s="1047">
        <f t="shared" si="634"/>
        <v>9.9500000000000005E-2</v>
      </c>
      <c r="BM306" s="158"/>
      <c r="BN306" s="159"/>
      <c r="BO306" s="159"/>
      <c r="BP306" s="160"/>
      <c r="BQ306" s="1047">
        <f t="shared" si="635"/>
        <v>9.9500000000000005E-2</v>
      </c>
    </row>
    <row r="307" spans="1:69" ht="12.75" customHeight="1">
      <c r="A307" s="5"/>
      <c r="B307" s="5"/>
      <c r="C307" s="1195" t="s">
        <v>807</v>
      </c>
      <c r="D307" s="31"/>
      <c r="E307" s="136"/>
      <c r="F307" s="137"/>
      <c r="G307" s="137"/>
      <c r="H307" s="1043"/>
      <c r="I307" s="31"/>
      <c r="J307" s="1044"/>
      <c r="K307" s="1045"/>
      <c r="L307" s="1045"/>
      <c r="M307" s="1043"/>
      <c r="N307" s="26"/>
      <c r="O307" s="136"/>
      <c r="P307" s="137"/>
      <c r="Q307" s="137"/>
      <c r="R307" s="138"/>
      <c r="S307" s="1046">
        <f>(9.88%+12.01%)/2</f>
        <v>0.10945000000000001</v>
      </c>
      <c r="T307" s="1026"/>
      <c r="U307" s="564"/>
      <c r="V307" s="564"/>
      <c r="W307" s="565"/>
      <c r="X307" s="1047">
        <f t="shared" si="627"/>
        <v>0.10945000000000001</v>
      </c>
      <c r="Y307" s="158"/>
      <c r="Z307" s="159"/>
      <c r="AA307" s="159"/>
      <c r="AB307" s="160"/>
      <c r="AC307" s="1047">
        <f t="shared" si="628"/>
        <v>0.10945000000000001</v>
      </c>
      <c r="AD307" s="158"/>
      <c r="AE307" s="159"/>
      <c r="AF307" s="159"/>
      <c r="AG307" s="160"/>
      <c r="AH307" s="1681">
        <v>0.1007</v>
      </c>
      <c r="AI307" s="158"/>
      <c r="AJ307" s="159"/>
      <c r="AK307" s="159"/>
      <c r="AL307" s="160"/>
      <c r="AM307" s="1047">
        <f t="shared" si="629"/>
        <v>0.1007</v>
      </c>
      <c r="AN307" s="158"/>
      <c r="AO307" s="159"/>
      <c r="AP307" s="159"/>
      <c r="AQ307" s="160"/>
      <c r="AR307" s="1681">
        <f>AVERAGE(0.0989,0.1197)</f>
        <v>0.10930000000000001</v>
      </c>
      <c r="AS307" s="158"/>
      <c r="AT307" s="159"/>
      <c r="AU307" s="159"/>
      <c r="AV307" s="160"/>
      <c r="AW307" s="1047">
        <f t="shared" si="631"/>
        <v>0.10930000000000001</v>
      </c>
      <c r="AX307" s="158"/>
      <c r="AY307" s="159"/>
      <c r="AZ307" s="159"/>
      <c r="BA307" s="160"/>
      <c r="BB307" s="1047">
        <f t="shared" si="632"/>
        <v>0.10930000000000001</v>
      </c>
      <c r="BC307" s="158"/>
      <c r="BD307" s="159"/>
      <c r="BE307" s="159"/>
      <c r="BF307" s="160"/>
      <c r="BG307" s="1047">
        <f t="shared" si="633"/>
        <v>0.10930000000000001</v>
      </c>
      <c r="BH307" s="158"/>
      <c r="BI307" s="159"/>
      <c r="BJ307" s="159"/>
      <c r="BK307" s="160"/>
      <c r="BL307" s="1047">
        <f t="shared" si="634"/>
        <v>0.10930000000000001</v>
      </c>
      <c r="BM307" s="158"/>
      <c r="BN307" s="159"/>
      <c r="BO307" s="159"/>
      <c r="BP307" s="160"/>
      <c r="BQ307" s="1047">
        <f t="shared" si="635"/>
        <v>0.10930000000000001</v>
      </c>
    </row>
    <row r="308" spans="1:69" ht="12.75" customHeight="1">
      <c r="A308" s="5"/>
      <c r="B308" s="5"/>
      <c r="C308" s="1195" t="s">
        <v>808</v>
      </c>
      <c r="D308" s="31"/>
      <c r="E308" s="136"/>
      <c r="F308" s="137"/>
      <c r="G308" s="137"/>
      <c r="H308" s="1043"/>
      <c r="I308" s="31"/>
      <c r="J308" s="1044"/>
      <c r="K308" s="1045"/>
      <c r="L308" s="1045"/>
      <c r="M308" s="1043"/>
      <c r="N308" s="26"/>
      <c r="O308" s="136"/>
      <c r="P308" s="137"/>
      <c r="Q308" s="137"/>
      <c r="R308" s="138"/>
      <c r="S308" s="1046">
        <f>(10.25%+11.25%)/2</f>
        <v>0.1075</v>
      </c>
      <c r="T308" s="1026"/>
      <c r="U308" s="564"/>
      <c r="V308" s="564"/>
      <c r="W308" s="565"/>
      <c r="X308" s="1047">
        <f t="shared" si="627"/>
        <v>0.1075</v>
      </c>
      <c r="Y308" s="158"/>
      <c r="Z308" s="159"/>
      <c r="AA308" s="159"/>
      <c r="AB308" s="160"/>
      <c r="AC308" s="1047">
        <f t="shared" si="628"/>
        <v>0.1075</v>
      </c>
      <c r="AD308" s="158"/>
      <c r="AE308" s="159"/>
      <c r="AF308" s="159"/>
      <c r="AG308" s="160"/>
      <c r="AH308" s="1681">
        <f>(0.299*AVERAGE(0.107,0.115)+0.089*AVERAGE(0.1025,0.1125))/(0.299+0.089)</f>
        <v>0.11019716494845359</v>
      </c>
      <c r="AI308" s="158"/>
      <c r="AJ308" s="159"/>
      <c r="AK308" s="159"/>
      <c r="AL308" s="160"/>
      <c r="AM308" s="1047">
        <f t="shared" si="629"/>
        <v>0.11019716494845359</v>
      </c>
      <c r="AN308" s="158"/>
      <c r="AO308" s="159"/>
      <c r="AP308" s="159"/>
      <c r="AQ308" s="160"/>
      <c r="AR308" s="1047">
        <f t="shared" si="630"/>
        <v>0.11019716494845359</v>
      </c>
      <c r="AS308" s="158"/>
      <c r="AT308" s="159"/>
      <c r="AU308" s="159"/>
      <c r="AV308" s="160"/>
      <c r="AW308" s="1047">
        <f t="shared" si="631"/>
        <v>0.11019716494845359</v>
      </c>
      <c r="AX308" s="158"/>
      <c r="AY308" s="159"/>
      <c r="AZ308" s="159"/>
      <c r="BA308" s="160"/>
      <c r="BB308" s="1047">
        <f t="shared" si="632"/>
        <v>0.11019716494845359</v>
      </c>
      <c r="BC308" s="158"/>
      <c r="BD308" s="159"/>
      <c r="BE308" s="159"/>
      <c r="BF308" s="160"/>
      <c r="BG308" s="1047">
        <f t="shared" si="633"/>
        <v>0.11019716494845359</v>
      </c>
      <c r="BH308" s="158"/>
      <c r="BI308" s="159"/>
      <c r="BJ308" s="159"/>
      <c r="BK308" s="160"/>
      <c r="BL308" s="1047">
        <f t="shared" si="634"/>
        <v>0.11019716494845359</v>
      </c>
      <c r="BM308" s="158"/>
      <c r="BN308" s="159"/>
      <c r="BO308" s="159"/>
      <c r="BP308" s="160"/>
      <c r="BQ308" s="1047">
        <f t="shared" si="635"/>
        <v>0.11019716494845359</v>
      </c>
    </row>
    <row r="309" spans="1:69" ht="12.75" customHeight="1">
      <c r="A309" s="5"/>
      <c r="B309" s="5"/>
      <c r="C309" s="1195" t="s">
        <v>138</v>
      </c>
      <c r="D309" s="31"/>
      <c r="E309" s="136"/>
      <c r="F309" s="137"/>
      <c r="G309" s="137"/>
      <c r="H309" s="1043"/>
      <c r="I309" s="31"/>
      <c r="J309" s="1044"/>
      <c r="K309" s="1045"/>
      <c r="L309" s="1045"/>
      <c r="M309" s="1043"/>
      <c r="N309" s="26"/>
      <c r="O309" s="136"/>
      <c r="P309" s="137"/>
      <c r="Q309" s="137"/>
      <c r="R309" s="138"/>
      <c r="S309" s="1046">
        <v>9.8000000000000004E-2</v>
      </c>
      <c r="T309" s="1026"/>
      <c r="U309" s="564"/>
      <c r="V309" s="564"/>
      <c r="W309" s="565"/>
      <c r="X309" s="1047">
        <f t="shared" si="627"/>
        <v>9.8000000000000004E-2</v>
      </c>
      <c r="Y309" s="158"/>
      <c r="Z309" s="159"/>
      <c r="AA309" s="159"/>
      <c r="AB309" s="160"/>
      <c r="AC309" s="1047">
        <f t="shared" si="628"/>
        <v>9.8000000000000004E-2</v>
      </c>
      <c r="AD309" s="158"/>
      <c r="AE309" s="159"/>
      <c r="AF309" s="159"/>
      <c r="AG309" s="160"/>
      <c r="AH309" s="1047">
        <f>AC309</f>
        <v>9.8000000000000004E-2</v>
      </c>
      <c r="AI309" s="158"/>
      <c r="AJ309" s="159"/>
      <c r="AK309" s="159"/>
      <c r="AL309" s="160"/>
      <c r="AM309" s="1047">
        <f t="shared" si="629"/>
        <v>9.8000000000000004E-2</v>
      </c>
      <c r="AN309" s="158"/>
      <c r="AO309" s="159"/>
      <c r="AP309" s="159"/>
      <c r="AQ309" s="160"/>
      <c r="AR309" s="1047">
        <f t="shared" si="630"/>
        <v>9.8000000000000004E-2</v>
      </c>
      <c r="AS309" s="158"/>
      <c r="AT309" s="159"/>
      <c r="AU309" s="159"/>
      <c r="AV309" s="160"/>
      <c r="AW309" s="1047">
        <f t="shared" si="631"/>
        <v>9.8000000000000004E-2</v>
      </c>
      <c r="AX309" s="158"/>
      <c r="AY309" s="159"/>
      <c r="AZ309" s="159"/>
      <c r="BA309" s="160"/>
      <c r="BB309" s="1047">
        <f t="shared" si="632"/>
        <v>9.8000000000000004E-2</v>
      </c>
      <c r="BC309" s="158"/>
      <c r="BD309" s="159"/>
      <c r="BE309" s="159"/>
      <c r="BF309" s="160"/>
      <c r="BG309" s="1047">
        <f t="shared" si="633"/>
        <v>9.8000000000000004E-2</v>
      </c>
      <c r="BH309" s="158"/>
      <c r="BI309" s="159"/>
      <c r="BJ309" s="159"/>
      <c r="BK309" s="160"/>
      <c r="BL309" s="1047">
        <f t="shared" si="634"/>
        <v>9.8000000000000004E-2</v>
      </c>
      <c r="BM309" s="158"/>
      <c r="BN309" s="159"/>
      <c r="BO309" s="159"/>
      <c r="BP309" s="160"/>
      <c r="BQ309" s="1047">
        <f t="shared" si="635"/>
        <v>9.8000000000000004E-2</v>
      </c>
    </row>
    <row r="310" spans="1:69" ht="12.75" customHeight="1">
      <c r="A310" s="5"/>
      <c r="B310" s="5"/>
      <c r="C310" s="1195" t="s">
        <v>679</v>
      </c>
      <c r="D310" s="31"/>
      <c r="E310" s="136"/>
      <c r="F310" s="137"/>
      <c r="G310" s="137"/>
      <c r="H310" s="1043"/>
      <c r="I310" s="31"/>
      <c r="J310" s="1044"/>
      <c r="K310" s="1045"/>
      <c r="L310" s="1045"/>
      <c r="M310" s="1043"/>
      <c r="N310" s="26"/>
      <c r="O310" s="136"/>
      <c r="P310" s="137"/>
      <c r="Q310" s="137"/>
      <c r="R310" s="138"/>
      <c r="S310" s="1046">
        <v>0.1094</v>
      </c>
      <c r="T310" s="1026"/>
      <c r="U310" s="564"/>
      <c r="V310" s="564"/>
      <c r="W310" s="565"/>
      <c r="X310" s="1047">
        <f t="shared" si="627"/>
        <v>0.1094</v>
      </c>
      <c r="Y310" s="158"/>
      <c r="Z310" s="159"/>
      <c r="AA310" s="159"/>
      <c r="AB310" s="160"/>
      <c r="AC310" s="1047">
        <f t="shared" si="628"/>
        <v>0.1094</v>
      </c>
      <c r="AD310" s="158"/>
      <c r="AE310" s="159"/>
      <c r="AF310" s="159"/>
      <c r="AG310" s="160"/>
      <c r="AH310" s="1047">
        <f>AC310</f>
        <v>0.1094</v>
      </c>
      <c r="AI310" s="158"/>
      <c r="AJ310" s="159"/>
      <c r="AK310" s="159"/>
      <c r="AL310" s="160"/>
      <c r="AM310" s="1047">
        <f t="shared" si="629"/>
        <v>0.1094</v>
      </c>
      <c r="AN310" s="158"/>
      <c r="AO310" s="159"/>
      <c r="AP310" s="159"/>
      <c r="AQ310" s="160"/>
      <c r="AR310" s="1047">
        <f t="shared" si="630"/>
        <v>0.1094</v>
      </c>
      <c r="AS310" s="158"/>
      <c r="AT310" s="159"/>
      <c r="AU310" s="159"/>
      <c r="AV310" s="160"/>
      <c r="AW310" s="1047">
        <f t="shared" si="631"/>
        <v>0.1094</v>
      </c>
      <c r="AX310" s="158"/>
      <c r="AY310" s="159"/>
      <c r="AZ310" s="159"/>
      <c r="BA310" s="160"/>
      <c r="BB310" s="1047">
        <f t="shared" si="632"/>
        <v>0.1094</v>
      </c>
      <c r="BC310" s="158"/>
      <c r="BD310" s="159"/>
      <c r="BE310" s="159"/>
      <c r="BF310" s="160"/>
      <c r="BG310" s="1047">
        <f t="shared" si="633"/>
        <v>0.1094</v>
      </c>
      <c r="BH310" s="158"/>
      <c r="BI310" s="159"/>
      <c r="BJ310" s="159"/>
      <c r="BK310" s="160"/>
      <c r="BL310" s="1047">
        <f t="shared" si="634"/>
        <v>0.1094</v>
      </c>
      <c r="BM310" s="158"/>
      <c r="BN310" s="159"/>
      <c r="BO310" s="159"/>
      <c r="BP310" s="160"/>
      <c r="BQ310" s="1047">
        <f t="shared" si="635"/>
        <v>0.1094</v>
      </c>
    </row>
    <row r="311" spans="1:69" s="103" customFormat="1" ht="12.75" customHeight="1">
      <c r="A311" s="31"/>
      <c r="B311" s="31"/>
      <c r="C311" s="1174" t="s">
        <v>817</v>
      </c>
      <c r="D311" s="31"/>
      <c r="E311" s="136"/>
      <c r="F311" s="137"/>
      <c r="G311" s="137"/>
      <c r="H311" s="160"/>
      <c r="I311" s="31"/>
      <c r="J311" s="158"/>
      <c r="K311" s="159"/>
      <c r="L311" s="159"/>
      <c r="M311" s="160"/>
      <c r="N311" s="31"/>
      <c r="O311" s="136"/>
      <c r="P311" s="137"/>
      <c r="Q311" s="137"/>
      <c r="R311" s="138"/>
      <c r="S311" s="84">
        <f>SUMPRODUCT(S304:S310,S282:S288)/S289</f>
        <v>0.10401933514246946</v>
      </c>
      <c r="T311" s="1026"/>
      <c r="U311" s="564"/>
      <c r="V311" s="564"/>
      <c r="W311" s="565"/>
      <c r="X311" s="84">
        <f>SUM(X282*X304,X283*X305,X284*X306,X285*X307,X286*X308,X287*X309,X288*X310)/X289</f>
        <v>0.10239111261872458</v>
      </c>
      <c r="Y311" s="158"/>
      <c r="Z311" s="159"/>
      <c r="AA311" s="159"/>
      <c r="AB311" s="160"/>
      <c r="AC311" s="84">
        <f>SUM(AC282*AC304,AC283*AC305,AC284*AC306,AC285*AC307,AC286*AC308,AC287*AC309,AC288*AC310)/AC289</f>
        <v>0.10239111261872456</v>
      </c>
      <c r="AD311" s="158"/>
      <c r="AE311" s="159"/>
      <c r="AF311" s="159"/>
      <c r="AG311" s="160"/>
      <c r="AH311" s="84">
        <f>SUM(AH282*AH304,AH283*AH305,AH284*AH306,AH285*AH307,AH286*AH308,AH287*AH309,AH288*AH310)/AH289</f>
        <v>9.9404470443005197E-2</v>
      </c>
      <c r="AI311" s="158"/>
      <c r="AJ311" s="159"/>
      <c r="AK311" s="159"/>
      <c r="AL311" s="160"/>
      <c r="AM311" s="84">
        <f>SUM(AM282*AM304,AM283*AM305,AM284*AM306,AM285*AM307,AM286*AM308,AM287*AM309,AM288*AM310)/AM289</f>
        <v>9.9404470443005211E-2</v>
      </c>
      <c r="AN311" s="158"/>
      <c r="AO311" s="159"/>
      <c r="AP311" s="159"/>
      <c r="AQ311" s="160"/>
      <c r="AR311" s="84">
        <f>SUM(AR282*AR304,AR283*AR305,AR284*AR306,AR285*AR307,AR286*AR308,AR287*AR309,AR288*AR310)/AR289</f>
        <v>0.10064414343879072</v>
      </c>
      <c r="AS311" s="158"/>
      <c r="AT311" s="159"/>
      <c r="AU311" s="159"/>
      <c r="AV311" s="160"/>
      <c r="AW311" s="84">
        <f>SUM(AW282*AW304,AW283*AW305,AW284*AW306,AW285*AW307,AW286*AW308,AW287*AW309,AW288*AW310)/AW289</f>
        <v>0.10064414343879069</v>
      </c>
      <c r="AX311" s="158"/>
      <c r="AY311" s="159"/>
      <c r="AZ311" s="159"/>
      <c r="BA311" s="160"/>
      <c r="BB311" s="84">
        <f>SUM(BB282*BB304,BB283*BB305,BB284*BB306,BB285*BB307,BB286*BB308,BB287*BB309,BB288*BB310)/BB289</f>
        <v>0.1006441434387907</v>
      </c>
      <c r="BC311" s="158"/>
      <c r="BD311" s="159"/>
      <c r="BE311" s="159"/>
      <c r="BF311" s="160"/>
      <c r="BG311" s="84">
        <f>SUM(BG282*BG304,BG283*BG305,BG284*BG306,BG285*BG307,BG286*BG308,BG287*BG309,BG288*BG310)/BG289</f>
        <v>0.10064414343879072</v>
      </c>
      <c r="BH311" s="158"/>
      <c r="BI311" s="159"/>
      <c r="BJ311" s="159"/>
      <c r="BK311" s="160"/>
      <c r="BL311" s="84">
        <f>SUM(BL282*BL304,BL283*BL305,BL284*BL306,BL285*BL307,BL286*BL308,BL287*BL309,BL288*BL310)/BL289</f>
        <v>0.1006441434387907</v>
      </c>
      <c r="BM311" s="158"/>
      <c r="BN311" s="159"/>
      <c r="BO311" s="159"/>
      <c r="BP311" s="160"/>
      <c r="BQ311" s="84">
        <f>SUM(BQ282*BQ304,BQ283*BQ305,BQ284*BQ306,BQ285*BQ307,BQ286*BQ308,BQ287*BQ309,BQ288*BQ310)/BQ289</f>
        <v>0.10064414343879069</v>
      </c>
    </row>
    <row r="312" spans="1:69" s="103" customFormat="1" ht="12.75" customHeight="1">
      <c r="A312" s="31"/>
      <c r="B312" s="31"/>
      <c r="C312" s="1174"/>
      <c r="D312" s="31"/>
      <c r="E312" s="136"/>
      <c r="F312" s="137"/>
      <c r="G312" s="137"/>
      <c r="H312" s="160"/>
      <c r="I312" s="31"/>
      <c r="J312" s="136"/>
      <c r="K312" s="137"/>
      <c r="L312" s="137"/>
      <c r="M312" s="160"/>
      <c r="N312" s="31"/>
      <c r="O312" s="136"/>
      <c r="P312" s="137"/>
      <c r="Q312" s="137"/>
      <c r="R312" s="160"/>
      <c r="S312" s="84"/>
      <c r="T312" s="136"/>
      <c r="U312" s="137"/>
      <c r="V312" s="137"/>
      <c r="W312" s="160"/>
      <c r="X312" s="84"/>
      <c r="Y312" s="136"/>
      <c r="Z312" s="137"/>
      <c r="AA312" s="137"/>
      <c r="AB312" s="160"/>
      <c r="AC312" s="84"/>
      <c r="AD312" s="136"/>
      <c r="AE312" s="137"/>
      <c r="AF312" s="137"/>
      <c r="AG312" s="160"/>
      <c r="AH312" s="84"/>
      <c r="AI312" s="136"/>
      <c r="AJ312" s="137"/>
      <c r="AK312" s="137"/>
      <c r="AL312" s="160"/>
      <c r="AM312" s="84"/>
      <c r="AN312" s="136"/>
      <c r="AO312" s="137"/>
      <c r="AP312" s="137"/>
      <c r="AQ312" s="160"/>
      <c r="AR312" s="84"/>
      <c r="AS312" s="136"/>
      <c r="AT312" s="137"/>
      <c r="AU312" s="137"/>
      <c r="AV312" s="160"/>
      <c r="AW312" s="84"/>
      <c r="AX312" s="136"/>
      <c r="AY312" s="137"/>
      <c r="AZ312" s="137"/>
      <c r="BA312" s="160"/>
      <c r="BB312" s="84"/>
      <c r="BC312" s="136"/>
      <c r="BD312" s="137"/>
      <c r="BE312" s="137"/>
      <c r="BF312" s="160"/>
      <c r="BG312" s="84"/>
      <c r="BH312" s="136"/>
      <c r="BI312" s="137"/>
      <c r="BJ312" s="137"/>
      <c r="BK312" s="160"/>
      <c r="BL312" s="84"/>
      <c r="BM312" s="136"/>
      <c r="BN312" s="137"/>
      <c r="BO312" s="137"/>
      <c r="BP312" s="160"/>
      <c r="BQ312" s="84"/>
    </row>
    <row r="313" spans="1:69" ht="12.75" customHeight="1">
      <c r="A313" s="5"/>
      <c r="B313" s="5"/>
      <c r="C313" s="1375" t="s">
        <v>685</v>
      </c>
      <c r="D313" s="1376"/>
      <c r="E313" s="1383"/>
      <c r="F313" s="1384"/>
      <c r="G313" s="1384"/>
      <c r="H313" s="1070"/>
      <c r="I313" s="1377"/>
      <c r="J313" s="1383"/>
      <c r="K313" s="1384"/>
      <c r="L313" s="1384"/>
      <c r="M313" s="1070"/>
      <c r="N313" s="1377"/>
      <c r="O313" s="1383"/>
      <c r="P313" s="1384"/>
      <c r="Q313" s="1384"/>
      <c r="R313" s="1070"/>
      <c r="S313" s="1377"/>
      <c r="T313" s="1383"/>
      <c r="U313" s="1384"/>
      <c r="V313" s="1384"/>
      <c r="W313" s="1070"/>
      <c r="X313" s="1377">
        <f>X256/((X278+AVERAGE(S156,X156))*X299)</f>
        <v>0.12689437436562104</v>
      </c>
      <c r="Y313" s="1383"/>
      <c r="Z313" s="1384"/>
      <c r="AA313" s="1384"/>
      <c r="AB313" s="1070"/>
      <c r="AC313" s="1377">
        <f>AC256/((AC278+AVERAGE(X156,AC156))*AC299)</f>
        <v>0.10668480814538632</v>
      </c>
      <c r="AD313" s="1383"/>
      <c r="AE313" s="1384"/>
      <c r="AF313" s="1384"/>
      <c r="AG313" s="1070"/>
      <c r="AH313" s="1377">
        <f>AH256/((AH278+AVERAGE(AC156,AH156))*AH299)</f>
        <v>0.10388997537758536</v>
      </c>
      <c r="AI313" s="1383"/>
      <c r="AJ313" s="1384"/>
      <c r="AK313" s="1384"/>
      <c r="AL313" s="1070"/>
      <c r="AM313" s="1377">
        <f>AM256/((AM278+AVERAGE(AH156,AM156))*AM299)</f>
        <v>0.13154508687745181</v>
      </c>
      <c r="AN313" s="1383"/>
      <c r="AO313" s="1384"/>
      <c r="AP313" s="1384"/>
      <c r="AQ313" s="1070"/>
      <c r="AR313" s="1377">
        <f>AR256/((AR278+AVERAGE(AM156,AR156))*AR299)</f>
        <v>0.12596079363758603</v>
      </c>
      <c r="AS313" s="1383"/>
      <c r="AT313" s="1384"/>
      <c r="AU313" s="1384"/>
      <c r="AV313" s="1070"/>
      <c r="AW313" s="1377">
        <f>AW256/((AW278+AVERAGE(AR156,AW156))*AW299)</f>
        <v>9.3805237835172195E-2</v>
      </c>
      <c r="AX313" s="1383"/>
      <c r="AY313" s="1384"/>
      <c r="AZ313" s="1384"/>
      <c r="BA313" s="1070"/>
      <c r="BB313" s="1377">
        <f>BB256/((BB278+AVERAGE(AW156,BB156))*BB299)</f>
        <v>9.4085457544044682E-2</v>
      </c>
      <c r="BC313" s="1383"/>
      <c r="BD313" s="1384"/>
      <c r="BE313" s="1384"/>
      <c r="BF313" s="1070"/>
      <c r="BG313" s="1377">
        <f>BG256/((BG278+AVERAGE(BB156,BG156))*BG299)</f>
        <v>9.3935208592233435E-2</v>
      </c>
      <c r="BH313" s="1383"/>
      <c r="BI313" s="1384"/>
      <c r="BJ313" s="1384"/>
      <c r="BK313" s="1070"/>
      <c r="BL313" s="1378">
        <f>BL256/((BL278+AVERAGE(BG156,BL156))*BL299)</f>
        <v>9.4261465973529177E-2</v>
      </c>
      <c r="BM313" s="1383"/>
      <c r="BN313" s="1384"/>
      <c r="BO313" s="1384"/>
      <c r="BP313" s="1070"/>
      <c r="BQ313" s="1378">
        <f>BQ256/((BQ278+AVERAGE(BL156,BQ156))*BQ299)</f>
        <v>9.4204371255964994E-2</v>
      </c>
    </row>
    <row r="314" spans="1:69" ht="12.75" customHeight="1">
      <c r="A314" s="5"/>
      <c r="B314" s="5"/>
      <c r="C314" s="1379" t="s">
        <v>206</v>
      </c>
      <c r="D314" s="1380"/>
      <c r="E314" s="1385"/>
      <c r="F314" s="1386"/>
      <c r="G314" s="1386"/>
      <c r="H314" s="571"/>
      <c r="I314" s="1381"/>
      <c r="J314" s="1385"/>
      <c r="K314" s="1386"/>
      <c r="L314" s="1386"/>
      <c r="M314" s="571"/>
      <c r="N314" s="1381"/>
      <c r="O314" s="1385"/>
      <c r="P314" s="1386"/>
      <c r="Q314" s="1386"/>
      <c r="R314" s="571"/>
      <c r="S314" s="1381"/>
      <c r="T314" s="1385"/>
      <c r="U314" s="1386"/>
      <c r="V314" s="1386"/>
      <c r="W314" s="571"/>
      <c r="X314" s="1381">
        <f>(X256-X202)/(X278*X299)</f>
        <v>0.12176606615833312</v>
      </c>
      <c r="Y314" s="1385"/>
      <c r="Z314" s="1386"/>
      <c r="AA314" s="1386"/>
      <c r="AB314" s="571"/>
      <c r="AC314" s="1381">
        <f>(AC256-AC202)/(AC278*AC299)</f>
        <v>9.968873136316854E-2</v>
      </c>
      <c r="AD314" s="1385"/>
      <c r="AE314" s="1386"/>
      <c r="AF314" s="1386"/>
      <c r="AG314" s="571"/>
      <c r="AH314" s="1381">
        <f>(AH256-AH202)/(AH278*AH299)</f>
        <v>9.6714103712677538E-2</v>
      </c>
      <c r="AI314" s="1385"/>
      <c r="AJ314" s="1386"/>
      <c r="AK314" s="1386"/>
      <c r="AL314" s="571"/>
      <c r="AM314" s="1381">
        <f>(AM256-AM202)/(AM278*AM299)</f>
        <v>0.1267912888390651</v>
      </c>
      <c r="AN314" s="1385"/>
      <c r="AO314" s="1386"/>
      <c r="AP314" s="1386"/>
      <c r="AQ314" s="571"/>
      <c r="AR314" s="1381">
        <f>(AR256-AR202)/(AR278*AR299)</f>
        <v>0.12243686184331146</v>
      </c>
      <c r="AS314" s="1385"/>
      <c r="AT314" s="1386"/>
      <c r="AU314" s="1386"/>
      <c r="AV314" s="571"/>
      <c r="AW314" s="1381">
        <f>(AW256-AW202)/(AW278*AW299)</f>
        <v>8.9957018643886694E-2</v>
      </c>
      <c r="AX314" s="1385"/>
      <c r="AY314" s="1386"/>
      <c r="AZ314" s="1386"/>
      <c r="BA314" s="571"/>
      <c r="BB314" s="1381">
        <f>(BB256-BB202)/(BB278*BB299)</f>
        <v>9.2349928807497761E-2</v>
      </c>
      <c r="BC314" s="1385"/>
      <c r="BD314" s="1386"/>
      <c r="BE314" s="1386"/>
      <c r="BF314" s="571"/>
      <c r="BG314" s="1381">
        <f>(BG256-BG202)/(BG278*BG299)</f>
        <v>9.2442229190006775E-2</v>
      </c>
      <c r="BH314" s="1385"/>
      <c r="BI314" s="1386"/>
      <c r="BJ314" s="1386"/>
      <c r="BK314" s="571"/>
      <c r="BL314" s="1382">
        <f>(BL256-BL202)/(BL278*BL299)</f>
        <v>9.2259590685750972E-2</v>
      </c>
      <c r="BM314" s="1385"/>
      <c r="BN314" s="1386"/>
      <c r="BO314" s="1386"/>
      <c r="BP314" s="571"/>
      <c r="BQ314" s="1382">
        <f>(BQ256-BQ202)/(BQ278*BQ299)</f>
        <v>9.2242654948992961E-2</v>
      </c>
    </row>
    <row r="315" spans="1:69">
      <c r="A315" s="320"/>
      <c r="B315" s="320"/>
      <c r="C315" s="1167"/>
      <c r="D315" s="320"/>
      <c r="E315" s="569"/>
      <c r="F315" s="570"/>
      <c r="G315" s="570"/>
      <c r="H315" s="571"/>
      <c r="I315" s="5"/>
      <c r="J315" s="569"/>
      <c r="K315" s="570"/>
      <c r="L315" s="570"/>
      <c r="M315" s="571"/>
      <c r="N315" s="5"/>
      <c r="O315" s="569"/>
      <c r="P315" s="570"/>
      <c r="Q315" s="570"/>
      <c r="R315" s="571"/>
      <c r="S315" s="5"/>
      <c r="T315" s="569"/>
      <c r="U315" s="570"/>
      <c r="V315" s="570"/>
      <c r="W315" s="571"/>
      <c r="X315" s="5"/>
      <c r="Y315" s="569"/>
      <c r="Z315" s="570"/>
      <c r="AA315" s="570"/>
      <c r="AB315" s="571"/>
      <c r="AC315" s="5"/>
      <c r="AD315" s="569"/>
      <c r="AE315" s="570"/>
      <c r="AF315" s="570"/>
      <c r="AG315" s="571"/>
      <c r="AH315" s="5"/>
      <c r="AI315" s="569"/>
      <c r="AJ315" s="570"/>
      <c r="AK315" s="570"/>
      <c r="AL315" s="571"/>
      <c r="AM315" s="5"/>
      <c r="AN315" s="569"/>
      <c r="AO315" s="570"/>
      <c r="AP315" s="570"/>
      <c r="AQ315" s="571"/>
      <c r="AR315" s="107"/>
      <c r="AS315" s="569"/>
      <c r="AT315" s="570"/>
      <c r="AU315" s="570"/>
      <c r="AV315" s="571"/>
      <c r="AW315" s="107"/>
      <c r="AX315" s="569"/>
      <c r="AY315" s="570"/>
      <c r="AZ315" s="570"/>
      <c r="BA315" s="571"/>
      <c r="BB315" s="107"/>
      <c r="BC315" s="569"/>
      <c r="BD315" s="570"/>
      <c r="BE315" s="570"/>
      <c r="BF315" s="571"/>
      <c r="BG315" s="107"/>
      <c r="BH315" s="569"/>
      <c r="BI315" s="570"/>
      <c r="BJ315" s="570"/>
      <c r="BK315" s="571"/>
      <c r="BL315" s="107"/>
      <c r="BM315" s="569"/>
      <c r="BN315" s="570"/>
      <c r="BO315" s="570"/>
      <c r="BP315" s="571"/>
      <c r="BQ315" s="107"/>
    </row>
  </sheetData>
  <phoneticPr fontId="2" type="noConversion"/>
  <conditionalFormatting sqref="E289:H298 J289:M298 T298:W298 O298:R298 T67:W68 O67:R68 O279:R279 J67:M89 Y304:AB311 AI304:AL311 O78:R78 T78:W78 O80:R80 T80:W80 AO304:AQ311 Y292:AB300 AI292:AL300 AO297:AQ300 T85:W89 O85:R89 AX85:BA89 Y85:AB89 AI89:AL89 AO89:AQ89 E67:H89 AS89:AV89 AX292:BA300 AX304:BA311 AX67:BA68 AX77:BA80 Y67:AB68 Y78:AB78 Y80:AB80 AD304:AG311 AD292:AG300 AD88:AG89 AO292:AO296 AQ292:AQ296 AT88:AV88 AU86:AU87 AS292:AV300 AS304:AV311">
    <cfRule type="expression" dxfId="31" priority="59" stopIfTrue="1">
      <formula>E$5&gt;LastQtr</formula>
    </cfRule>
  </conditionalFormatting>
  <conditionalFormatting sqref="AD85:AG87 AD67:AG68 AD78:AG78 AD80:AG80">
    <cfRule type="expression" dxfId="30" priority="58" stopIfTrue="1">
      <formula>AD$5&gt;LastQtr</formula>
    </cfRule>
  </conditionalFormatting>
  <conditionalFormatting sqref="BC85:BF89 BC292:BF300 BC304:BF311 BC67:BF68 BC77:BF80">
    <cfRule type="expression" dxfId="29" priority="57" stopIfTrue="1">
      <formula>BC$5&gt;LastQtr</formula>
    </cfRule>
  </conditionalFormatting>
  <conditionalFormatting sqref="BH85:BK89 BH292:BK300 BH304:BK311 BH67:BK68 BH77:BK80">
    <cfRule type="expression" dxfId="28" priority="56" stopIfTrue="1">
      <formula>BH$5&gt;LastQtr</formula>
    </cfRule>
  </conditionalFormatting>
  <conditionalFormatting sqref="AI67:AL68">
    <cfRule type="expression" dxfId="27" priority="49" stopIfTrue="1">
      <formula>AI$5&gt;LastQtr</formula>
    </cfRule>
  </conditionalFormatting>
  <conditionalFormatting sqref="AI88:AL88">
    <cfRule type="expression" dxfId="26" priority="48" stopIfTrue="1">
      <formula>AI$5&gt;LastQtr</formula>
    </cfRule>
  </conditionalFormatting>
  <conditionalFormatting sqref="AI85:AL87 AI78:AL78 AI80:AL80">
    <cfRule type="expression" dxfId="25" priority="47" stopIfTrue="1">
      <formula>AI$5&gt;LastQtr</formula>
    </cfRule>
  </conditionalFormatting>
  <conditionalFormatting sqref="AN304:AN311 AN292:AN300 AN89">
    <cfRule type="expression" dxfId="24" priority="46" stopIfTrue="1">
      <formula>AN$5&gt;LastQtr</formula>
    </cfRule>
  </conditionalFormatting>
  <conditionalFormatting sqref="BM85:BP89 BM292:BP300 BM304:BP311 BM67:BP68 BM77:BP80">
    <cfRule type="expression" dxfId="23" priority="35" stopIfTrue="1">
      <formula>BM$5&gt;LastQtr</formula>
    </cfRule>
  </conditionalFormatting>
  <conditionalFormatting sqref="AN85:AP87 AN78:AP78 AN80:AP80">
    <cfRule type="expression" dxfId="22" priority="26" stopIfTrue="1">
      <formula>AN$5&gt;LastQtr</formula>
    </cfRule>
  </conditionalFormatting>
  <conditionalFormatting sqref="AQ88">
    <cfRule type="expression" dxfId="21" priority="25" stopIfTrue="1">
      <formula>AQ$5&gt;LastQtr</formula>
    </cfRule>
  </conditionalFormatting>
  <conditionalFormatting sqref="AQ85:AQ87 AQ78 AQ80">
    <cfRule type="expression" dxfId="20" priority="24" stopIfTrue="1">
      <formula>AQ$5&gt;LastQtr</formula>
    </cfRule>
  </conditionalFormatting>
  <conditionalFormatting sqref="AP292:AP296">
    <cfRule type="expression" dxfId="19" priority="29" stopIfTrue="1">
      <formula>AP$5&gt;LastQtr</formula>
    </cfRule>
  </conditionalFormatting>
  <conditionalFormatting sqref="AQ67">
    <cfRule type="expression" dxfId="18" priority="23" stopIfTrue="1">
      <formula>AQ$5&gt;LastQtr</formula>
    </cfRule>
  </conditionalFormatting>
  <conditionalFormatting sqref="AN68:AQ68 AN67:AP67">
    <cfRule type="expression" dxfId="17" priority="28" stopIfTrue="1">
      <formula>AN$5&gt;LastQtr</formula>
    </cfRule>
  </conditionalFormatting>
  <conditionalFormatting sqref="AN88:AP88">
    <cfRule type="expression" dxfId="16" priority="27" stopIfTrue="1">
      <formula>AN$5&gt;LastQtr</formula>
    </cfRule>
  </conditionalFormatting>
  <conditionalFormatting sqref="AS85:AS87 AS78 AS80">
    <cfRule type="expression" dxfId="15" priority="16" stopIfTrue="1">
      <formula>AS$5&gt;LastQtr</formula>
    </cfRule>
  </conditionalFormatting>
  <conditionalFormatting sqref="AS67:AS68">
    <cfRule type="expression" dxfId="14" priority="18" stopIfTrue="1">
      <formula>AS$5&gt;LastQtr</formula>
    </cfRule>
  </conditionalFormatting>
  <conditionalFormatting sqref="AS88">
    <cfRule type="expression" dxfId="13" priority="17" stopIfTrue="1">
      <formula>AS$5&gt;LastQtr</formula>
    </cfRule>
  </conditionalFormatting>
  <conditionalFormatting sqref="AT85:AT87 AT78 AT80">
    <cfRule type="expression" dxfId="12" priority="10" stopIfTrue="1">
      <formula>AT$5&gt;LastQtr</formula>
    </cfRule>
  </conditionalFormatting>
  <conditionalFormatting sqref="AT67:AT68">
    <cfRule type="expression" dxfId="11" priority="11" stopIfTrue="1">
      <formula>AT$5&gt;LastQtr</formula>
    </cfRule>
  </conditionalFormatting>
  <conditionalFormatting sqref="AU85 AU78 AU80">
    <cfRule type="expression" dxfId="10" priority="7" stopIfTrue="1">
      <formula>AU$5&gt;LastQtr</formula>
    </cfRule>
  </conditionalFormatting>
  <conditionalFormatting sqref="AU67:AU68">
    <cfRule type="expression" dxfId="9" priority="8" stopIfTrue="1">
      <formula>AU$5&gt;LastQtr</formula>
    </cfRule>
  </conditionalFormatting>
  <conditionalFormatting sqref="AV85:AV87 AV78 AV80">
    <cfRule type="expression" dxfId="8" priority="2" stopIfTrue="1">
      <formula>AV$5&gt;LastQtr</formula>
    </cfRule>
  </conditionalFormatting>
  <conditionalFormatting sqref="AV67">
    <cfRule type="expression" dxfId="7" priority="1" stopIfTrue="1">
      <formula>AV$5&gt;LastQtr</formula>
    </cfRule>
  </conditionalFormatting>
  <conditionalFormatting sqref="AV68">
    <cfRule type="expression" dxfId="6" priority="3" stopIfTrue="1">
      <formula>AV$5&gt;LastQtr</formula>
    </cfRule>
  </conditionalFormatting>
  <pageMargins left="0" right="0" top="0" bottom="0" header="0" footer="0"/>
  <pageSetup paperSize="5" scale="14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H513"/>
  <sheetViews>
    <sheetView zoomScale="85" zoomScaleNormal="85" zoomScaleSheetLayoutView="25" workbookViewId="0">
      <pane xSplit="4" ySplit="5" topLeftCell="I6" activePane="bottomRight" state="frozen"/>
      <selection activeCell="AC46" sqref="AC46"/>
      <selection pane="topRight" activeCell="AC46" sqref="AC46"/>
      <selection pane="bottomLeft" activeCell="AC46" sqref="AC46"/>
      <selection pane="bottomRight" activeCell="I6" sqref="I6"/>
    </sheetView>
  </sheetViews>
  <sheetFormatPr defaultRowHeight="12.75" outlineLevelCol="1"/>
  <cols>
    <col min="1" max="2" width="2.7109375" customWidth="1"/>
    <col min="3" max="3" width="44.7109375" customWidth="1"/>
    <col min="4" max="4" width="9.42578125" hidden="1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9" customWidth="1"/>
    <col min="71" max="72" width="9.140625" style="1339"/>
    <col min="73" max="73" width="16.7109375" style="1339" bestFit="1" customWidth="1"/>
    <col min="74" max="74" width="9.140625" style="1339"/>
    <col min="75" max="75" width="9.140625" style="1493"/>
  </cols>
  <sheetData>
    <row r="1" spans="1:268" ht="12" customHeight="1">
      <c r="A1" s="9"/>
      <c r="B1" s="9"/>
      <c r="C1" s="9"/>
      <c r="D1" s="11"/>
      <c r="E1" s="12"/>
      <c r="F1" s="12"/>
      <c r="G1" s="12"/>
      <c r="H1" s="12"/>
      <c r="I1" s="12"/>
      <c r="J1" s="12"/>
      <c r="K1" s="12"/>
      <c r="L1" s="12"/>
      <c r="M1" s="12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  <c r="Y1" s="553"/>
      <c r="Z1" s="553"/>
      <c r="AA1" s="553"/>
      <c r="AB1" s="553"/>
      <c r="AC1" s="553"/>
      <c r="AD1" s="553"/>
      <c r="AE1" s="553"/>
      <c r="AF1" s="553"/>
      <c r="AG1" s="553"/>
      <c r="AH1" s="553"/>
      <c r="AI1" s="553"/>
      <c r="AJ1" s="553"/>
      <c r="AK1" s="553"/>
      <c r="AL1" s="553"/>
      <c r="AM1" s="553"/>
      <c r="AN1" s="553"/>
      <c r="AO1" s="553"/>
      <c r="AP1" s="553"/>
      <c r="AQ1" s="553"/>
      <c r="AR1" s="553"/>
      <c r="AS1" s="553"/>
      <c r="AT1" s="553"/>
      <c r="AU1" s="553"/>
      <c r="AV1" s="553"/>
      <c r="AW1" s="553"/>
      <c r="AX1" s="553"/>
      <c r="AY1" s="553"/>
      <c r="AZ1" s="553"/>
      <c r="BA1" s="553"/>
      <c r="BB1" s="553"/>
      <c r="BC1" s="553"/>
      <c r="BD1" s="553"/>
      <c r="BE1" s="553"/>
      <c r="BF1" s="553"/>
      <c r="BG1" s="553"/>
      <c r="BH1" s="553"/>
      <c r="BI1" s="553"/>
      <c r="BJ1" s="553"/>
      <c r="BK1" s="553"/>
      <c r="BL1" s="553"/>
      <c r="BM1" s="553"/>
      <c r="BN1" s="553"/>
      <c r="BO1" s="553"/>
      <c r="BP1" s="553"/>
      <c r="BQ1" s="553"/>
      <c r="BR1" s="553"/>
      <c r="BS1" s="1500"/>
      <c r="BT1" s="1500"/>
      <c r="BU1" s="1500"/>
      <c r="BV1" s="1500"/>
      <c r="BW1" s="1500"/>
      <c r="BX1" s="553"/>
      <c r="BY1" s="553"/>
      <c r="BZ1" s="553"/>
      <c r="CA1" s="553"/>
      <c r="CB1" s="553"/>
      <c r="CC1" s="553"/>
      <c r="CD1" s="553"/>
      <c r="CE1" s="553"/>
      <c r="CF1" s="553"/>
      <c r="CG1" s="553"/>
      <c r="CH1" s="553"/>
      <c r="CI1" s="553"/>
      <c r="CJ1" s="553"/>
      <c r="CK1" s="553"/>
      <c r="CL1" s="553"/>
      <c r="CM1" s="553"/>
      <c r="CN1" s="553"/>
      <c r="CO1" s="553"/>
      <c r="CP1" s="553"/>
      <c r="CQ1" s="553"/>
      <c r="CR1" s="553"/>
      <c r="CS1" s="553"/>
      <c r="CT1" s="553"/>
      <c r="CU1" s="553"/>
      <c r="CV1" s="553"/>
      <c r="CW1" s="553"/>
      <c r="CX1" s="553"/>
      <c r="CY1" s="553"/>
      <c r="CZ1" s="553"/>
      <c r="DA1" s="553"/>
      <c r="DB1" s="553"/>
      <c r="DC1" s="553"/>
      <c r="DD1" s="553"/>
      <c r="DE1" s="553"/>
      <c r="DF1" s="553"/>
      <c r="DG1" s="553"/>
      <c r="DH1" s="553"/>
      <c r="DI1" s="553"/>
      <c r="DJ1" s="553"/>
      <c r="DK1" s="553"/>
      <c r="DL1" s="553"/>
      <c r="DM1" s="553"/>
      <c r="DN1" s="553"/>
      <c r="DO1" s="553"/>
      <c r="DP1" s="553"/>
      <c r="DQ1" s="553"/>
      <c r="DR1" s="553"/>
      <c r="DS1" s="553"/>
      <c r="DT1" s="553"/>
      <c r="DU1" s="553"/>
      <c r="DV1" s="553"/>
      <c r="DW1" s="553"/>
      <c r="DX1" s="553"/>
      <c r="DY1" s="553"/>
      <c r="DZ1" s="553"/>
      <c r="EA1" s="553"/>
      <c r="EB1" s="553"/>
      <c r="EC1" s="553"/>
      <c r="ED1" s="553"/>
      <c r="EE1" s="553"/>
      <c r="EF1" s="553"/>
      <c r="EG1" s="553"/>
      <c r="EH1" s="553"/>
      <c r="EI1" s="553"/>
      <c r="EJ1" s="553"/>
      <c r="EK1" s="553"/>
      <c r="EL1" s="553"/>
      <c r="EM1" s="553"/>
      <c r="EN1" s="553"/>
      <c r="EO1" s="553"/>
      <c r="EP1" s="553"/>
      <c r="EQ1" s="553"/>
      <c r="ER1" s="553"/>
      <c r="ES1" s="553"/>
      <c r="ET1" s="553"/>
      <c r="EU1" s="553"/>
      <c r="EV1" s="553"/>
      <c r="EW1" s="553"/>
      <c r="EX1" s="553"/>
      <c r="EY1" s="553"/>
      <c r="EZ1" s="553"/>
      <c r="FA1" s="553"/>
      <c r="FB1" s="553"/>
      <c r="FC1" s="553"/>
      <c r="FD1" s="553"/>
      <c r="FE1" s="553"/>
      <c r="FF1" s="553"/>
      <c r="FG1" s="553"/>
      <c r="FH1" s="553"/>
      <c r="FI1" s="553"/>
      <c r="FJ1" s="553"/>
      <c r="FK1" s="553"/>
      <c r="FL1" s="553"/>
      <c r="FM1" s="553"/>
      <c r="FN1" s="553"/>
      <c r="FO1" s="553"/>
      <c r="FP1" s="553"/>
      <c r="FQ1" s="553"/>
      <c r="FR1" s="553"/>
      <c r="FS1" s="553"/>
      <c r="FT1" s="553"/>
      <c r="FU1" s="553"/>
      <c r="FV1" s="553"/>
      <c r="FW1" s="553"/>
      <c r="FX1" s="553"/>
      <c r="FY1" s="553"/>
      <c r="FZ1" s="553"/>
      <c r="GA1" s="553"/>
      <c r="GB1" s="553"/>
      <c r="GC1" s="553"/>
      <c r="GD1" s="553"/>
      <c r="GE1" s="553"/>
      <c r="GF1" s="553"/>
      <c r="GG1" s="553"/>
      <c r="GH1" s="553"/>
      <c r="GI1" s="553"/>
      <c r="GJ1" s="553"/>
      <c r="GK1" s="553"/>
      <c r="GL1" s="553"/>
      <c r="GM1" s="553"/>
      <c r="GN1" s="553"/>
      <c r="GO1" s="553"/>
      <c r="GP1" s="553"/>
      <c r="GQ1" s="553"/>
      <c r="GR1" s="553"/>
      <c r="GS1" s="553"/>
      <c r="GT1" s="553"/>
      <c r="GU1" s="553"/>
      <c r="GV1" s="553"/>
      <c r="GW1" s="553"/>
      <c r="GX1" s="553"/>
      <c r="GY1" s="553"/>
      <c r="GZ1" s="553"/>
      <c r="HA1" s="553"/>
      <c r="HB1" s="553"/>
      <c r="HC1" s="553"/>
      <c r="HD1" s="553"/>
      <c r="HE1" s="553"/>
      <c r="HF1" s="553"/>
      <c r="HG1" s="553"/>
      <c r="HH1" s="553"/>
      <c r="HI1" s="553"/>
      <c r="HJ1" s="553"/>
      <c r="HK1" s="553"/>
      <c r="HL1" s="553"/>
      <c r="HM1" s="553"/>
      <c r="HN1" s="553"/>
      <c r="HO1" s="553"/>
      <c r="HP1" s="553"/>
      <c r="HQ1" s="553"/>
      <c r="HR1" s="553"/>
      <c r="HS1" s="553"/>
      <c r="HT1" s="553"/>
      <c r="HU1" s="553"/>
      <c r="HV1" s="553"/>
      <c r="HW1" s="553"/>
      <c r="HX1" s="553"/>
      <c r="HY1" s="553"/>
      <c r="HZ1" s="553"/>
      <c r="IA1" s="553"/>
      <c r="IB1" s="553"/>
      <c r="IC1" s="553"/>
      <c r="ID1" s="553"/>
      <c r="IE1" s="553"/>
      <c r="IF1" s="553"/>
      <c r="IG1" s="553"/>
      <c r="IH1" s="553"/>
      <c r="II1" s="553"/>
      <c r="IJ1" s="553"/>
      <c r="IK1" s="553"/>
      <c r="IL1" s="553"/>
      <c r="IM1" s="553"/>
      <c r="IN1" s="553"/>
      <c r="IO1" s="553"/>
      <c r="IP1" s="553"/>
      <c r="IQ1" s="553"/>
      <c r="IR1" s="553"/>
      <c r="IS1" s="553"/>
      <c r="IT1" s="553"/>
      <c r="IU1" s="553"/>
      <c r="IV1" s="553"/>
      <c r="IW1" s="553"/>
      <c r="IX1" s="553"/>
      <c r="IY1" s="553"/>
      <c r="IZ1" s="553"/>
      <c r="JA1" s="553"/>
      <c r="JB1" s="553"/>
      <c r="JC1" s="553"/>
      <c r="JD1" s="553"/>
      <c r="JE1" s="553"/>
      <c r="JF1" s="553"/>
      <c r="JG1" s="553"/>
      <c r="JH1" s="553"/>
    </row>
    <row r="2" spans="1:268" ht="18">
      <c r="A2" s="9"/>
      <c r="B2" s="733" t="str">
        <f>Cover!B2</f>
        <v>Entergy Corporation</v>
      </c>
      <c r="C2" s="9"/>
      <c r="D2" s="11"/>
      <c r="E2" s="12"/>
      <c r="F2" s="12"/>
      <c r="G2" s="12"/>
      <c r="H2" s="12"/>
      <c r="I2" s="12"/>
      <c r="J2" s="12"/>
      <c r="K2" s="12"/>
      <c r="L2" s="12"/>
      <c r="M2" s="12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1500"/>
      <c r="BT2" s="1500"/>
      <c r="BU2" s="1500"/>
      <c r="BV2" s="1500"/>
      <c r="BW2" s="1500"/>
      <c r="BX2" s="553"/>
      <c r="BY2" s="553"/>
      <c r="BZ2" s="553"/>
      <c r="CA2" s="553"/>
      <c r="CB2" s="553"/>
      <c r="CC2" s="553"/>
      <c r="CD2" s="553"/>
      <c r="CE2" s="553"/>
      <c r="CF2" s="553"/>
      <c r="CG2" s="553"/>
      <c r="CH2" s="553"/>
      <c r="CI2" s="553"/>
      <c r="CJ2" s="553"/>
      <c r="CK2" s="553"/>
      <c r="CL2" s="553"/>
      <c r="CM2" s="553"/>
      <c r="CN2" s="553"/>
      <c r="CO2" s="553"/>
      <c r="CP2" s="553"/>
      <c r="CQ2" s="553"/>
      <c r="CR2" s="553"/>
      <c r="CS2" s="553"/>
      <c r="CT2" s="553"/>
      <c r="CU2" s="553"/>
      <c r="CV2" s="553"/>
      <c r="CW2" s="553"/>
      <c r="CX2" s="553"/>
      <c r="CY2" s="553"/>
      <c r="CZ2" s="553"/>
      <c r="DA2" s="553"/>
      <c r="DB2" s="553"/>
      <c r="DC2" s="553"/>
      <c r="DD2" s="553"/>
      <c r="DE2" s="553"/>
      <c r="DF2" s="553"/>
      <c r="DG2" s="553"/>
      <c r="DH2" s="553"/>
      <c r="DI2" s="553"/>
      <c r="DJ2" s="553"/>
      <c r="DK2" s="553"/>
      <c r="DL2" s="553"/>
      <c r="DM2" s="553"/>
      <c r="DN2" s="553"/>
      <c r="DO2" s="553"/>
      <c r="DP2" s="553"/>
      <c r="DQ2" s="553"/>
      <c r="DR2" s="553"/>
      <c r="DS2" s="553"/>
      <c r="DT2" s="553"/>
      <c r="DU2" s="553"/>
      <c r="DV2" s="553"/>
      <c r="DW2" s="553"/>
      <c r="DX2" s="553"/>
      <c r="DY2" s="553"/>
      <c r="DZ2" s="553"/>
      <c r="EA2" s="553"/>
      <c r="EB2" s="553"/>
      <c r="EC2" s="553"/>
      <c r="ED2" s="553"/>
      <c r="EE2" s="553"/>
      <c r="EF2" s="553"/>
      <c r="EG2" s="553"/>
      <c r="EH2" s="553"/>
      <c r="EI2" s="553"/>
      <c r="EJ2" s="553"/>
      <c r="EK2" s="553"/>
      <c r="EL2" s="553"/>
      <c r="EM2" s="553"/>
      <c r="EN2" s="553"/>
      <c r="EO2" s="553"/>
      <c r="EP2" s="553"/>
      <c r="EQ2" s="553"/>
      <c r="ER2" s="553"/>
      <c r="ES2" s="553"/>
      <c r="ET2" s="553"/>
      <c r="EU2" s="553"/>
      <c r="EV2" s="553"/>
      <c r="EW2" s="553"/>
      <c r="EX2" s="553"/>
      <c r="EY2" s="553"/>
      <c r="EZ2" s="553"/>
      <c r="FA2" s="553"/>
      <c r="FB2" s="553"/>
      <c r="FC2" s="553"/>
      <c r="FD2" s="553"/>
      <c r="FE2" s="553"/>
      <c r="FF2" s="553"/>
      <c r="FG2" s="553"/>
      <c r="FH2" s="553"/>
      <c r="FI2" s="553"/>
      <c r="FJ2" s="553"/>
      <c r="FK2" s="553"/>
      <c r="FL2" s="553"/>
      <c r="FM2" s="553"/>
      <c r="FN2" s="553"/>
      <c r="FO2" s="553"/>
      <c r="FP2" s="553"/>
      <c r="FQ2" s="553"/>
      <c r="FR2" s="553"/>
      <c r="FS2" s="553"/>
      <c r="FT2" s="553"/>
      <c r="FU2" s="553"/>
      <c r="FV2" s="553"/>
      <c r="FW2" s="553"/>
      <c r="FX2" s="553"/>
      <c r="FY2" s="553"/>
      <c r="FZ2" s="553"/>
      <c r="GA2" s="553"/>
      <c r="GB2" s="553"/>
      <c r="GC2" s="553"/>
      <c r="GD2" s="553"/>
      <c r="GE2" s="553"/>
      <c r="GF2" s="553"/>
      <c r="GG2" s="553"/>
      <c r="GH2" s="553"/>
      <c r="GI2" s="553"/>
      <c r="GJ2" s="553"/>
      <c r="GK2" s="553"/>
      <c r="GL2" s="553"/>
      <c r="GM2" s="553"/>
      <c r="GN2" s="553"/>
      <c r="GO2" s="553"/>
      <c r="GP2" s="553"/>
      <c r="GQ2" s="553"/>
      <c r="GR2" s="553"/>
      <c r="GS2" s="553"/>
      <c r="GT2" s="553"/>
      <c r="GU2" s="553"/>
      <c r="GV2" s="553"/>
      <c r="GW2" s="553"/>
      <c r="GX2" s="553"/>
      <c r="GY2" s="553"/>
      <c r="GZ2" s="553"/>
      <c r="HA2" s="553"/>
      <c r="HB2" s="553"/>
      <c r="HC2" s="553"/>
      <c r="HD2" s="553"/>
      <c r="HE2" s="553"/>
      <c r="HF2" s="553"/>
      <c r="HG2" s="553"/>
      <c r="HH2" s="553"/>
      <c r="HI2" s="553"/>
      <c r="HJ2" s="553"/>
      <c r="HK2" s="553"/>
      <c r="HL2" s="553"/>
      <c r="HM2" s="553"/>
      <c r="HN2" s="553"/>
      <c r="HO2" s="553"/>
      <c r="HP2" s="553"/>
      <c r="HQ2" s="553"/>
      <c r="HR2" s="553"/>
      <c r="HS2" s="553"/>
      <c r="HT2" s="553"/>
      <c r="HU2" s="553"/>
      <c r="HV2" s="553"/>
      <c r="HW2" s="553"/>
      <c r="HX2" s="553"/>
      <c r="HY2" s="553"/>
      <c r="HZ2" s="553"/>
      <c r="IA2" s="553"/>
      <c r="IB2" s="553"/>
      <c r="IC2" s="553"/>
      <c r="ID2" s="553"/>
      <c r="IE2" s="553"/>
      <c r="IF2" s="553"/>
      <c r="IG2" s="553"/>
      <c r="IH2" s="553"/>
      <c r="II2" s="553"/>
      <c r="IJ2" s="553"/>
      <c r="IK2" s="553"/>
      <c r="IL2" s="553"/>
      <c r="IM2" s="553"/>
      <c r="IN2" s="553"/>
      <c r="IO2" s="553"/>
      <c r="IP2" s="553"/>
      <c r="IQ2" s="553"/>
      <c r="IR2" s="553"/>
      <c r="IS2" s="553"/>
      <c r="IT2" s="553"/>
      <c r="IU2" s="553"/>
      <c r="IV2" s="553"/>
      <c r="IW2" s="553"/>
      <c r="IX2" s="553"/>
      <c r="IY2" s="553"/>
      <c r="IZ2" s="553"/>
      <c r="JA2" s="553"/>
      <c r="JB2" s="553"/>
      <c r="JC2" s="553"/>
      <c r="JD2" s="553"/>
      <c r="JE2" s="553"/>
      <c r="JF2" s="553"/>
      <c r="JG2" s="553"/>
      <c r="JH2" s="553"/>
    </row>
    <row r="3" spans="1:268" ht="15.75">
      <c r="A3" s="46"/>
      <c r="B3" s="46" t="s">
        <v>824</v>
      </c>
      <c r="C3" s="10"/>
      <c r="D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340"/>
      <c r="BT3" s="1340"/>
      <c r="BU3" s="1340"/>
      <c r="BV3" s="1340"/>
      <c r="BW3" s="1340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</row>
    <row r="4" spans="1:268">
      <c r="A4" s="119"/>
      <c r="B4" s="119" t="s">
        <v>321</v>
      </c>
      <c r="C4" s="30"/>
      <c r="D4" s="30"/>
      <c r="E4" s="120"/>
      <c r="F4" s="120"/>
      <c r="G4" s="120"/>
      <c r="H4" s="120"/>
      <c r="I4" s="14"/>
      <c r="J4" s="120"/>
      <c r="K4" s="120"/>
      <c r="L4" s="120"/>
      <c r="M4" s="120"/>
      <c r="N4" s="14"/>
      <c r="O4" s="120"/>
      <c r="P4" s="120"/>
      <c r="Q4" s="120"/>
      <c r="R4" s="120"/>
      <c r="S4" s="14"/>
      <c r="T4" s="120"/>
      <c r="U4" s="120"/>
      <c r="V4" s="120"/>
      <c r="W4" s="120"/>
      <c r="X4" s="14"/>
      <c r="Y4" s="120"/>
      <c r="Z4" s="120"/>
      <c r="AA4" s="120"/>
      <c r="AB4" s="120"/>
      <c r="AC4" s="14"/>
      <c r="AD4" s="120"/>
      <c r="AE4" s="120"/>
      <c r="AF4" s="120"/>
      <c r="AG4" s="120"/>
      <c r="AH4" s="14"/>
      <c r="AI4" s="120"/>
      <c r="AJ4" s="120"/>
      <c r="AK4" s="120"/>
      <c r="AL4" s="120"/>
      <c r="AM4" s="14"/>
      <c r="AN4" s="120"/>
      <c r="AO4" s="120"/>
      <c r="AP4" s="120"/>
      <c r="AQ4" s="120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341"/>
      <c r="BT4" s="1341"/>
      <c r="BU4" s="1341"/>
      <c r="BV4" s="1341"/>
      <c r="BW4" s="1341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</row>
    <row r="5" spans="1:268">
      <c r="A5" s="130"/>
      <c r="B5" s="131" t="s">
        <v>121</v>
      </c>
      <c r="C5" s="132"/>
      <c r="D5" s="132"/>
      <c r="E5" s="395" t="s">
        <v>672</v>
      </c>
      <c r="F5" s="396" t="s">
        <v>673</v>
      </c>
      <c r="G5" s="396" t="s">
        <v>666</v>
      </c>
      <c r="H5" s="397" t="s">
        <v>667</v>
      </c>
      <c r="I5" s="398">
        <v>2009</v>
      </c>
      <c r="J5" s="395" t="s">
        <v>668</v>
      </c>
      <c r="K5" s="396" t="s">
        <v>669</v>
      </c>
      <c r="L5" s="396" t="s">
        <v>670</v>
      </c>
      <c r="M5" s="397" t="s">
        <v>671</v>
      </c>
      <c r="N5" s="398" t="s">
        <v>653</v>
      </c>
      <c r="O5" s="395" t="s">
        <v>656</v>
      </c>
      <c r="P5" s="396" t="s">
        <v>657</v>
      </c>
      <c r="Q5" s="396" t="s">
        <v>658</v>
      </c>
      <c r="R5" s="397" t="s">
        <v>659</v>
      </c>
      <c r="S5" s="399" t="s">
        <v>677</v>
      </c>
      <c r="T5" s="395" t="s">
        <v>150</v>
      </c>
      <c r="U5" s="396" t="s">
        <v>797</v>
      </c>
      <c r="V5" s="396" t="s">
        <v>108</v>
      </c>
      <c r="W5" s="397" t="s">
        <v>109</v>
      </c>
      <c r="X5" s="399" t="s">
        <v>110</v>
      </c>
      <c r="Y5" s="395" t="s">
        <v>723</v>
      </c>
      <c r="Z5" s="396" t="s">
        <v>428</v>
      </c>
      <c r="AA5" s="396" t="s">
        <v>426</v>
      </c>
      <c r="AB5" s="397" t="s">
        <v>800</v>
      </c>
      <c r="AC5" s="399" t="s">
        <v>799</v>
      </c>
      <c r="AD5" s="395" t="s">
        <v>801</v>
      </c>
      <c r="AE5" s="396" t="s">
        <v>278</v>
      </c>
      <c r="AF5" s="396" t="s">
        <v>891</v>
      </c>
      <c r="AG5" s="397" t="s">
        <v>892</v>
      </c>
      <c r="AH5" s="399" t="s">
        <v>893</v>
      </c>
      <c r="AI5" s="395" t="s">
        <v>928</v>
      </c>
      <c r="AJ5" s="396" t="s">
        <v>929</v>
      </c>
      <c r="AK5" s="396" t="s">
        <v>930</v>
      </c>
      <c r="AL5" s="397" t="s">
        <v>949</v>
      </c>
      <c r="AM5" s="399" t="s">
        <v>948</v>
      </c>
      <c r="AN5" s="395" t="s">
        <v>952</v>
      </c>
      <c r="AO5" s="396" t="s">
        <v>962</v>
      </c>
      <c r="AP5" s="396" t="s">
        <v>987</v>
      </c>
      <c r="AQ5" s="397" t="s">
        <v>1010</v>
      </c>
      <c r="AR5" s="399" t="s">
        <v>1009</v>
      </c>
      <c r="AS5" s="395" t="s">
        <v>1022</v>
      </c>
      <c r="AT5" s="396" t="s">
        <v>1023</v>
      </c>
      <c r="AU5" s="396" t="s">
        <v>1032</v>
      </c>
      <c r="AV5" s="397" t="s">
        <v>1037</v>
      </c>
      <c r="AW5" s="399" t="s">
        <v>1038</v>
      </c>
      <c r="AX5" s="395" t="s">
        <v>279</v>
      </c>
      <c r="AY5" s="396" t="s">
        <v>280</v>
      </c>
      <c r="AZ5" s="396" t="s">
        <v>281</v>
      </c>
      <c r="BA5" s="397" t="s">
        <v>282</v>
      </c>
      <c r="BB5" s="399" t="s">
        <v>136</v>
      </c>
      <c r="BC5" s="395" t="s">
        <v>909</v>
      </c>
      <c r="BD5" s="396" t="s">
        <v>910</v>
      </c>
      <c r="BE5" s="396" t="s">
        <v>911</v>
      </c>
      <c r="BF5" s="397" t="s">
        <v>912</v>
      </c>
      <c r="BG5" s="399" t="s">
        <v>913</v>
      </c>
      <c r="BH5" s="395" t="s">
        <v>904</v>
      </c>
      <c r="BI5" s="396" t="s">
        <v>905</v>
      </c>
      <c r="BJ5" s="396" t="s">
        <v>906</v>
      </c>
      <c r="BK5" s="397" t="s">
        <v>907</v>
      </c>
      <c r="BL5" s="399" t="s">
        <v>908</v>
      </c>
      <c r="BM5" s="395" t="s">
        <v>988</v>
      </c>
      <c r="BN5" s="396" t="s">
        <v>989</v>
      </c>
      <c r="BO5" s="396" t="s">
        <v>990</v>
      </c>
      <c r="BP5" s="397" t="s">
        <v>991</v>
      </c>
      <c r="BQ5" s="399" t="s">
        <v>992</v>
      </c>
      <c r="BR5" s="399"/>
      <c r="BS5" s="1495"/>
      <c r="BT5" s="1495"/>
      <c r="BU5" s="1495"/>
      <c r="BV5" s="1495"/>
      <c r="BW5" s="1495"/>
      <c r="BX5" s="399"/>
      <c r="BY5" s="399"/>
      <c r="BZ5" s="399"/>
      <c r="CA5" s="399"/>
      <c r="CB5" s="399"/>
      <c r="CC5" s="399"/>
      <c r="CD5" s="399"/>
      <c r="CE5" s="399"/>
      <c r="CF5" s="399"/>
      <c r="CG5" s="399"/>
      <c r="CH5" s="399"/>
      <c r="CI5" s="399"/>
      <c r="CJ5" s="399"/>
      <c r="CK5" s="399"/>
      <c r="CL5" s="399"/>
      <c r="CM5" s="399"/>
      <c r="CN5" s="399"/>
      <c r="CO5" s="399"/>
      <c r="CP5" s="399"/>
      <c r="CQ5" s="399"/>
      <c r="CR5" s="399"/>
      <c r="CS5" s="399"/>
      <c r="CT5" s="399"/>
      <c r="CU5" s="399"/>
      <c r="CV5" s="399"/>
      <c r="CW5" s="399"/>
      <c r="CX5" s="399"/>
      <c r="CY5" s="399"/>
      <c r="CZ5" s="399"/>
      <c r="DA5" s="399"/>
      <c r="DB5" s="399"/>
      <c r="DC5" s="399"/>
      <c r="DD5" s="399"/>
      <c r="DE5" s="399"/>
      <c r="DF5" s="399"/>
      <c r="DG5" s="399"/>
      <c r="DH5" s="399"/>
      <c r="DI5" s="399"/>
      <c r="DJ5" s="399"/>
      <c r="DK5" s="399"/>
      <c r="DL5" s="399"/>
      <c r="DM5" s="399"/>
      <c r="DN5" s="399"/>
      <c r="DO5" s="399"/>
      <c r="DP5" s="399"/>
      <c r="DQ5" s="399"/>
      <c r="DR5" s="399"/>
      <c r="DS5" s="399"/>
      <c r="DT5" s="399"/>
      <c r="DU5" s="399"/>
      <c r="DV5" s="399"/>
      <c r="DW5" s="399"/>
      <c r="DX5" s="399"/>
      <c r="DY5" s="399"/>
      <c r="DZ5" s="399"/>
      <c r="EA5" s="399"/>
      <c r="EB5" s="399"/>
      <c r="EC5" s="399"/>
      <c r="ED5" s="399"/>
      <c r="EE5" s="399"/>
      <c r="EF5" s="399"/>
      <c r="EG5" s="399"/>
      <c r="EH5" s="399"/>
      <c r="EI5" s="399"/>
      <c r="EJ5" s="399"/>
      <c r="EK5" s="399"/>
      <c r="EL5" s="399"/>
      <c r="EM5" s="399"/>
      <c r="EN5" s="399"/>
      <c r="EO5" s="399"/>
      <c r="EP5" s="399"/>
      <c r="EQ5" s="399"/>
      <c r="ER5" s="399"/>
      <c r="ES5" s="399"/>
      <c r="ET5" s="399"/>
      <c r="EU5" s="399"/>
      <c r="EV5" s="399"/>
      <c r="EW5" s="399"/>
      <c r="EX5" s="399"/>
      <c r="EY5" s="399"/>
      <c r="EZ5" s="399"/>
      <c r="FA5" s="399"/>
      <c r="FB5" s="399"/>
      <c r="FC5" s="399"/>
      <c r="FD5" s="399"/>
      <c r="FE5" s="399"/>
      <c r="FF5" s="399"/>
      <c r="FG5" s="399"/>
      <c r="FH5" s="399"/>
      <c r="FI5" s="399"/>
      <c r="FJ5" s="399"/>
      <c r="FK5" s="399"/>
      <c r="FL5" s="399"/>
      <c r="FM5" s="399"/>
      <c r="FN5" s="399"/>
      <c r="FO5" s="399"/>
      <c r="FP5" s="399"/>
      <c r="FQ5" s="399"/>
      <c r="FR5" s="399"/>
      <c r="FS5" s="399"/>
      <c r="FT5" s="399"/>
      <c r="FU5" s="399"/>
      <c r="FV5" s="399"/>
      <c r="FW5" s="399"/>
      <c r="FX5" s="399"/>
      <c r="FY5" s="399"/>
      <c r="FZ5" s="399"/>
      <c r="GA5" s="399"/>
      <c r="GB5" s="399"/>
      <c r="GC5" s="399"/>
      <c r="GD5" s="399"/>
      <c r="GE5" s="399"/>
      <c r="GF5" s="399"/>
      <c r="GG5" s="399"/>
      <c r="GH5" s="399"/>
      <c r="GI5" s="399"/>
      <c r="GJ5" s="399"/>
      <c r="GK5" s="399"/>
      <c r="GL5" s="399"/>
      <c r="GM5" s="399"/>
      <c r="GN5" s="399"/>
      <c r="GO5" s="399"/>
      <c r="GP5" s="399"/>
      <c r="GQ5" s="399"/>
      <c r="GR5" s="399"/>
      <c r="GS5" s="399"/>
      <c r="GT5" s="399"/>
      <c r="GU5" s="399"/>
      <c r="GV5" s="399"/>
      <c r="GW5" s="399"/>
      <c r="GX5" s="399"/>
      <c r="GY5" s="399"/>
      <c r="GZ5" s="399"/>
      <c r="HA5" s="399"/>
      <c r="HB5" s="399"/>
      <c r="HC5" s="399"/>
      <c r="HD5" s="399"/>
      <c r="HE5" s="399"/>
      <c r="HF5" s="399"/>
      <c r="HG5" s="399"/>
      <c r="HH5" s="399"/>
      <c r="HI5" s="399"/>
      <c r="HJ5" s="399"/>
      <c r="HK5" s="399"/>
      <c r="HL5" s="399"/>
      <c r="HM5" s="399"/>
      <c r="HN5" s="399"/>
      <c r="HO5" s="399"/>
      <c r="HP5" s="399"/>
      <c r="HQ5" s="399"/>
      <c r="HR5" s="399"/>
      <c r="HS5" s="399"/>
      <c r="HT5" s="399"/>
      <c r="HU5" s="399"/>
      <c r="HV5" s="399"/>
      <c r="HW5" s="399"/>
      <c r="HX5" s="399"/>
      <c r="HY5" s="399"/>
      <c r="HZ5" s="399"/>
      <c r="IA5" s="399"/>
      <c r="IB5" s="399"/>
      <c r="IC5" s="399"/>
      <c r="ID5" s="399"/>
      <c r="IE5" s="399"/>
      <c r="IF5" s="399"/>
      <c r="IG5" s="399"/>
      <c r="IH5" s="399"/>
      <c r="II5" s="399"/>
      <c r="IJ5" s="399"/>
      <c r="IK5" s="399"/>
      <c r="IL5" s="399"/>
      <c r="IM5" s="399"/>
      <c r="IN5" s="399"/>
      <c r="IO5" s="399"/>
      <c r="IP5" s="399"/>
      <c r="IQ5" s="399"/>
      <c r="IR5" s="399"/>
      <c r="IS5" s="399"/>
      <c r="IT5" s="399"/>
      <c r="IU5" s="399"/>
      <c r="IV5" s="399"/>
      <c r="IW5" s="399"/>
      <c r="IX5" s="399"/>
      <c r="IY5" s="399"/>
      <c r="IZ5" s="399"/>
      <c r="JA5" s="399"/>
      <c r="JB5" s="399"/>
      <c r="JC5" s="399"/>
      <c r="JD5" s="399"/>
      <c r="JE5" s="399"/>
      <c r="JF5" s="399"/>
      <c r="JG5" s="399"/>
      <c r="JH5" s="399"/>
    </row>
    <row r="6" spans="1:268">
      <c r="A6" s="5"/>
      <c r="B6" s="5"/>
      <c r="C6" s="1125"/>
      <c r="D6" s="5"/>
      <c r="E6" s="146"/>
      <c r="F6" s="7"/>
      <c r="G6" s="7"/>
      <c r="H6" s="147"/>
      <c r="I6" s="5"/>
      <c r="J6" s="146"/>
      <c r="K6" s="7"/>
      <c r="L6" s="7"/>
      <c r="M6" s="147"/>
      <c r="N6" s="5"/>
      <c r="O6" s="146"/>
      <c r="P6" s="7"/>
      <c r="Q6" s="7"/>
      <c r="R6" s="147"/>
      <c r="S6" s="5"/>
      <c r="T6" s="146"/>
      <c r="U6" s="7"/>
      <c r="V6" s="7"/>
      <c r="W6" s="147"/>
      <c r="X6" s="5"/>
      <c r="Y6" s="146"/>
      <c r="Z6" s="7"/>
      <c r="AA6" s="7"/>
      <c r="AB6" s="147"/>
      <c r="AC6" s="5"/>
      <c r="AD6" s="146"/>
      <c r="AE6" s="7"/>
      <c r="AF6" s="7"/>
      <c r="AG6" s="147"/>
      <c r="AH6" s="5"/>
      <c r="AI6" s="146"/>
      <c r="AJ6" s="7"/>
      <c r="AK6" s="7"/>
      <c r="AL6" s="147"/>
      <c r="AM6" s="5"/>
      <c r="AN6" s="146"/>
      <c r="AO6" s="7"/>
      <c r="AP6" s="7"/>
      <c r="AQ6" s="147"/>
      <c r="AR6" s="5"/>
      <c r="AS6" s="146"/>
      <c r="AT6" s="7"/>
      <c r="AU6" s="7"/>
      <c r="AV6" s="147"/>
      <c r="AW6" s="5"/>
      <c r="AX6" s="146"/>
      <c r="AY6" s="7"/>
      <c r="AZ6" s="7"/>
      <c r="BA6" s="147"/>
      <c r="BB6" s="5"/>
      <c r="BC6" s="146"/>
      <c r="BD6" s="7"/>
      <c r="BE6" s="7"/>
      <c r="BF6" s="147"/>
      <c r="BG6" s="5"/>
      <c r="BH6" s="146"/>
      <c r="BI6" s="7"/>
      <c r="BJ6" s="7"/>
      <c r="BK6" s="147"/>
      <c r="BL6" s="5"/>
      <c r="BM6" s="146"/>
      <c r="BN6" s="7"/>
      <c r="BO6" s="7"/>
      <c r="BP6" s="147"/>
      <c r="BQ6" s="5"/>
      <c r="BR6" s="5"/>
      <c r="BS6" s="1499"/>
      <c r="BT6" s="1499"/>
      <c r="BU6" s="1499"/>
      <c r="BV6" s="1499"/>
    </row>
    <row r="7" spans="1:268" ht="12.75" customHeight="1">
      <c r="A7" s="5"/>
      <c r="B7" s="439" t="s">
        <v>6</v>
      </c>
      <c r="C7" s="1126"/>
      <c r="D7" s="92"/>
      <c r="E7" s="133"/>
      <c r="F7" s="134"/>
      <c r="G7" s="134"/>
      <c r="H7" s="135"/>
      <c r="I7" s="5"/>
      <c r="J7" s="133"/>
      <c r="K7" s="134"/>
      <c r="L7" s="134"/>
      <c r="M7" s="135"/>
      <c r="N7" s="5"/>
      <c r="O7" s="133"/>
      <c r="P7" s="134"/>
      <c r="Q7" s="134"/>
      <c r="R7" s="135"/>
      <c r="S7" s="5"/>
      <c r="T7" s="133"/>
      <c r="U7" s="134"/>
      <c r="V7" s="134"/>
      <c r="W7" s="135"/>
      <c r="X7" s="5"/>
      <c r="Y7" s="133"/>
      <c r="Z7" s="134"/>
      <c r="AA7" s="134"/>
      <c r="AB7" s="135"/>
      <c r="AC7" s="5"/>
      <c r="AD7" s="133"/>
      <c r="AE7" s="134"/>
      <c r="AF7" s="134"/>
      <c r="AG7" s="135"/>
      <c r="AH7" s="5"/>
      <c r="AI7" s="133"/>
      <c r="AJ7" s="134"/>
      <c r="AK7" s="134"/>
      <c r="AL7" s="135"/>
      <c r="AM7" s="5"/>
      <c r="AN7" s="133"/>
      <c r="AO7" s="134"/>
      <c r="AP7" s="134"/>
      <c r="AQ7" s="135"/>
      <c r="AR7" s="5"/>
      <c r="AS7" s="133"/>
      <c r="AT7" s="134"/>
      <c r="AU7" s="134"/>
      <c r="AV7" s="135"/>
      <c r="AW7" s="5"/>
      <c r="AX7" s="133"/>
      <c r="AY7" s="134"/>
      <c r="AZ7" s="134"/>
      <c r="BA7" s="135"/>
      <c r="BB7" s="5"/>
      <c r="BC7" s="133"/>
      <c r="BD7" s="134"/>
      <c r="BE7" s="134"/>
      <c r="BF7" s="135"/>
      <c r="BG7" s="5"/>
      <c r="BH7" s="133"/>
      <c r="BI7" s="134"/>
      <c r="BJ7" s="134"/>
      <c r="BK7" s="135"/>
      <c r="BL7" s="5"/>
      <c r="BM7" s="133"/>
      <c r="BN7" s="134"/>
      <c r="BO7" s="134"/>
      <c r="BP7" s="135"/>
      <c r="BQ7" s="5"/>
      <c r="BR7" s="5"/>
      <c r="BS7" s="1499"/>
      <c r="BT7" s="1499"/>
      <c r="BU7" s="1499"/>
      <c r="BV7" s="1499"/>
      <c r="BW7" s="1499"/>
      <c r="BX7" s="1499"/>
      <c r="BY7" s="1499"/>
      <c r="BZ7" s="1499"/>
      <c r="CA7" s="1499"/>
      <c r="CB7" s="1499"/>
    </row>
    <row r="8" spans="1:268" ht="12.75" customHeight="1">
      <c r="A8" s="5"/>
      <c r="B8" s="5"/>
      <c r="C8" s="1125"/>
      <c r="D8" s="5"/>
      <c r="E8" s="139"/>
      <c r="F8" s="18"/>
      <c r="G8" s="18"/>
      <c r="H8" s="140"/>
      <c r="I8" s="5"/>
      <c r="J8" s="139"/>
      <c r="K8" s="18"/>
      <c r="L8" s="18"/>
      <c r="M8" s="140"/>
      <c r="N8" s="5"/>
      <c r="O8" s="433"/>
      <c r="P8" s="434"/>
      <c r="Q8" s="434"/>
      <c r="R8" s="140"/>
      <c r="S8" s="5"/>
      <c r="T8" s="139"/>
      <c r="U8" s="18"/>
      <c r="V8" s="18"/>
      <c r="W8" s="140"/>
      <c r="X8" s="5"/>
      <c r="Y8" s="139"/>
      <c r="Z8" s="18"/>
      <c r="AA8" s="18"/>
      <c r="AB8" s="140"/>
      <c r="AC8" s="5"/>
      <c r="AD8" s="139"/>
      <c r="AE8" s="18"/>
      <c r="AF8" s="18"/>
      <c r="AG8" s="140"/>
      <c r="AH8" s="5"/>
      <c r="AI8" s="139"/>
      <c r="AJ8" s="18"/>
      <c r="AK8" s="18"/>
      <c r="AL8" s="140"/>
      <c r="AM8" s="5"/>
      <c r="AN8" s="139"/>
      <c r="AO8" s="18"/>
      <c r="AP8" s="18"/>
      <c r="AQ8" s="140"/>
      <c r="AR8" s="5"/>
      <c r="AS8" s="139"/>
      <c r="AT8" s="18"/>
      <c r="AU8" s="18"/>
      <c r="AV8" s="140"/>
      <c r="AW8" s="5"/>
      <c r="AX8" s="139"/>
      <c r="AY8" s="18"/>
      <c r="AZ8" s="18"/>
      <c r="BA8" s="140"/>
      <c r="BB8" s="5"/>
      <c r="BC8" s="139"/>
      <c r="BD8" s="18"/>
      <c r="BE8" s="18"/>
      <c r="BF8" s="140"/>
      <c r="BG8" s="5"/>
      <c r="BH8" s="139"/>
      <c r="BI8" s="18"/>
      <c r="BJ8" s="18"/>
      <c r="BK8" s="140"/>
      <c r="BL8" s="5"/>
      <c r="BM8" s="139"/>
      <c r="BN8" s="18"/>
      <c r="BO8" s="18"/>
      <c r="BP8" s="140"/>
      <c r="BQ8" s="5"/>
      <c r="BR8" s="5"/>
      <c r="BS8" s="1499"/>
      <c r="BT8" s="1499"/>
      <c r="BU8" s="1499"/>
      <c r="BV8" s="1499"/>
      <c r="BW8" s="1499"/>
      <c r="BX8" s="1499"/>
      <c r="BY8" s="1499"/>
      <c r="BZ8" s="1499"/>
      <c r="CA8" s="1499"/>
      <c r="CB8" s="1499"/>
    </row>
    <row r="9" spans="1:268" s="103" customFormat="1">
      <c r="A9" s="331"/>
      <c r="B9" s="331"/>
      <c r="C9" s="1127" t="s">
        <v>166</v>
      </c>
      <c r="D9" s="331"/>
      <c r="E9" s="1120">
        <v>656.18700000000001</v>
      </c>
      <c r="F9" s="1121">
        <v>544.92899999999997</v>
      </c>
      <c r="G9" s="1121">
        <v>684.21400000000006</v>
      </c>
      <c r="H9" s="179">
        <f>I9-SUM(E9:G9)</f>
        <v>825.74800000000005</v>
      </c>
      <c r="I9" s="495">
        <v>2711.078</v>
      </c>
      <c r="J9" s="427">
        <v>660.399</v>
      </c>
      <c r="K9" s="428">
        <v>622.06700000000001</v>
      </c>
      <c r="L9" s="428">
        <v>671.92700000000002</v>
      </c>
      <c r="M9" s="179">
        <f>N9-SUM(J9:L9)</f>
        <v>611.76299999999992</v>
      </c>
      <c r="N9" s="495">
        <v>2566.1559999999999</v>
      </c>
      <c r="O9" s="427">
        <v>610.14599999999996</v>
      </c>
      <c r="P9" s="428">
        <v>568.07600000000002</v>
      </c>
      <c r="Q9" s="428">
        <v>641.21600000000001</v>
      </c>
      <c r="R9" s="179">
        <f>S9-SUM(O9:Q9)</f>
        <v>594.33500000000004</v>
      </c>
      <c r="S9" s="495">
        <v>2413.7730000000001</v>
      </c>
      <c r="T9" s="427">
        <v>560.25099999999998</v>
      </c>
      <c r="U9" s="428">
        <v>567.67399999999998</v>
      </c>
      <c r="V9" s="428">
        <v>626.84900000000005</v>
      </c>
      <c r="W9" s="179">
        <f>X9-SUM(T9:V9)</f>
        <v>571.53500000000031</v>
      </c>
      <c r="X9" s="495">
        <v>2326.3090000000002</v>
      </c>
      <c r="Y9" s="427">
        <v>613.73299999999995</v>
      </c>
      <c r="Z9" s="428">
        <v>533.52300000000002</v>
      </c>
      <c r="AA9" s="428">
        <v>623.32100000000003</v>
      </c>
      <c r="AB9" s="179">
        <f>AC9-SUM(Y9:AA9)</f>
        <v>542.18100000000004</v>
      </c>
      <c r="AC9" s="495">
        <v>2312.7579999999998</v>
      </c>
      <c r="AD9" s="427">
        <v>912.12199999999996</v>
      </c>
      <c r="AE9" s="428">
        <v>577.89099999999996</v>
      </c>
      <c r="AF9" s="428">
        <v>605.74</v>
      </c>
      <c r="AG9" s="179">
        <f>AH9-SUM(AD9:AF9)</f>
        <v>623.65100000000029</v>
      </c>
      <c r="AH9" s="495">
        <v>2719.404</v>
      </c>
      <c r="AI9" s="427">
        <v>642.59</v>
      </c>
      <c r="AJ9" s="428">
        <v>439.30599999999998</v>
      </c>
      <c r="AK9" s="428">
        <v>521.74599999999998</v>
      </c>
      <c r="AL9" s="179">
        <f>AM9-SUM(AI9:AK9)</f>
        <v>458.1850000000004</v>
      </c>
      <c r="AM9" s="495">
        <v>2061.8270000000002</v>
      </c>
      <c r="AN9" s="427">
        <v>522.07899999999995</v>
      </c>
      <c r="AO9" s="428">
        <v>344.11</v>
      </c>
      <c r="AP9" s="428">
        <v>475.34500000000003</v>
      </c>
      <c r="AQ9" s="179">
        <f>AR9-SUM(AN9:AP9)</f>
        <v>508.10399999999981</v>
      </c>
      <c r="AR9" s="495">
        <v>1849.6379999999999</v>
      </c>
      <c r="AS9" s="427">
        <v>553.36699999999996</v>
      </c>
      <c r="AT9" s="428">
        <v>317.255</v>
      </c>
      <c r="AU9" s="428">
        <v>423.245</v>
      </c>
      <c r="AV9" s="179">
        <f>AW9-SUM(AS9:AU9)</f>
        <v>362.86300000000006</v>
      </c>
      <c r="AW9" s="495">
        <v>1656.73</v>
      </c>
      <c r="AX9" s="177">
        <f>AX10+AX123</f>
        <v>331.11912469283192</v>
      </c>
      <c r="AY9" s="178">
        <f>AY10+AY123</f>
        <v>351.68975538059175</v>
      </c>
      <c r="AZ9" s="178">
        <f>AZ10+AZ123</f>
        <v>361.32692150793395</v>
      </c>
      <c r="BA9" s="179">
        <f>BA10+BA123</f>
        <v>346.01332438975032</v>
      </c>
      <c r="BB9" s="107">
        <f>SUM(AX9:BA9)</f>
        <v>1390.1491259711079</v>
      </c>
      <c r="BC9" s="177">
        <f>BC10+BC123</f>
        <v>373.88199598593081</v>
      </c>
      <c r="BD9" s="178">
        <f>BD10+BD123</f>
        <v>326.70224903413981</v>
      </c>
      <c r="BE9" s="178">
        <f>BE10+BE123</f>
        <v>294.08303830188424</v>
      </c>
      <c r="BF9" s="179">
        <f>BF10+BF123</f>
        <v>266.02233209900652</v>
      </c>
      <c r="BG9" s="107">
        <f>SUM(BC9:BF9)</f>
        <v>1260.6896154209614</v>
      </c>
      <c r="BH9" s="177">
        <f>BH10+BH123</f>
        <v>394.12286674493095</v>
      </c>
      <c r="BI9" s="178">
        <f>BI10+BI123</f>
        <v>233.59201092439343</v>
      </c>
      <c r="BJ9" s="178">
        <f>BJ10+BJ123</f>
        <v>196.60295563814131</v>
      </c>
      <c r="BK9" s="179">
        <f>BK10+BK123</f>
        <v>177.32872375758157</v>
      </c>
      <c r="BL9" s="107">
        <f>SUM(BH9:BK9)</f>
        <v>1001.6465570650472</v>
      </c>
      <c r="BM9" s="177">
        <f>BM10+BM123</f>
        <v>201.05099088277922</v>
      </c>
      <c r="BN9" s="178">
        <f>BN10+BN123</f>
        <v>181.34182999648161</v>
      </c>
      <c r="BO9" s="178">
        <f>BO10+BO123</f>
        <v>131.25868160046579</v>
      </c>
      <c r="BP9" s="179">
        <f>BP10+BP123</f>
        <v>131.30704144443061</v>
      </c>
      <c r="BQ9" s="107">
        <f>SUM(BM9:BP9)</f>
        <v>644.95854392415731</v>
      </c>
      <c r="BR9" s="523"/>
      <c r="BS9" s="1499"/>
      <c r="BT9" s="1499"/>
      <c r="BU9" s="1499"/>
      <c r="BV9" s="1499"/>
      <c r="BW9" s="1499"/>
      <c r="BX9" s="1499"/>
      <c r="BY9" s="1499"/>
      <c r="BZ9" s="1499"/>
      <c r="CA9" s="1499"/>
      <c r="CB9" s="1499"/>
    </row>
    <row r="10" spans="1:268">
      <c r="A10" s="320"/>
      <c r="B10" s="320"/>
      <c r="C10" s="1125" t="s">
        <v>167</v>
      </c>
      <c r="D10" s="320"/>
      <c r="E10" s="405">
        <v>53.301000000000002</v>
      </c>
      <c r="F10" s="406">
        <v>53.073</v>
      </c>
      <c r="G10" s="406">
        <v>62.667999999999999</v>
      </c>
      <c r="H10" s="251">
        <f>I10-SUM(E10:G10)</f>
        <v>177.73499999999999</v>
      </c>
      <c r="I10" s="348">
        <v>346.77699999999999</v>
      </c>
      <c r="J10" s="393">
        <v>95.602000000000004</v>
      </c>
      <c r="K10" s="190">
        <v>92.35</v>
      </c>
      <c r="L10" s="190">
        <v>97.506</v>
      </c>
      <c r="M10" s="251">
        <f>N10-SUM(J10:L10)</f>
        <v>79.91500000000002</v>
      </c>
      <c r="N10" s="348">
        <v>365.37299999999999</v>
      </c>
      <c r="O10" s="393">
        <v>85.49</v>
      </c>
      <c r="P10" s="190">
        <v>94.018000000000001</v>
      </c>
      <c r="Q10" s="190">
        <v>99.418000000000006</v>
      </c>
      <c r="R10" s="251">
        <f>S10-SUM(O10:Q10)</f>
        <v>89.961999999999989</v>
      </c>
      <c r="S10" s="348">
        <v>368.88799999999998</v>
      </c>
      <c r="T10" s="393">
        <v>108.57599999999999</v>
      </c>
      <c r="U10" s="190">
        <v>123.855</v>
      </c>
      <c r="V10" s="190">
        <v>131.77199999999999</v>
      </c>
      <c r="W10" s="251">
        <f>X10-SUM(T10:V10)</f>
        <v>108.53100000000006</v>
      </c>
      <c r="X10" s="348">
        <v>472.73400000000004</v>
      </c>
      <c r="Y10" s="393">
        <f>99.411+21.221</f>
        <v>120.63200000000001</v>
      </c>
      <c r="Z10" s="190">
        <f>105.397+45.499</f>
        <v>150.89600000000002</v>
      </c>
      <c r="AA10" s="190">
        <f>105.753+23.098</f>
        <v>128.851</v>
      </c>
      <c r="AB10" s="251">
        <f>AC10-SUM(Y10:AA10)</f>
        <v>110.31399999999996</v>
      </c>
      <c r="AC10" s="348">
        <f>411.233+99.46</f>
        <v>510.69299999999998</v>
      </c>
      <c r="AD10" s="393">
        <f>128.163+35.835</f>
        <v>163.99800000000002</v>
      </c>
      <c r="AE10" s="190">
        <f>97.655+9.238</f>
        <v>106.893</v>
      </c>
      <c r="AF10" s="190">
        <f>97.022+24.154</f>
        <v>121.176</v>
      </c>
      <c r="AG10" s="251">
        <f>AH10-SUM(AD10:AF10)</f>
        <v>103.125</v>
      </c>
      <c r="AH10" s="348">
        <f>413.087+82.105</f>
        <v>495.19200000000001</v>
      </c>
      <c r="AI10" s="393">
        <f>101.156+14.749</f>
        <v>115.905</v>
      </c>
      <c r="AJ10" s="190">
        <f>75.389+13.541</f>
        <v>88.929999999999993</v>
      </c>
      <c r="AK10" s="190">
        <f>84.891+27.066</f>
        <v>111.95700000000001</v>
      </c>
      <c r="AL10" s="251">
        <f>AM10-SUM(AI10:AK10)</f>
        <v>78.882999999999981</v>
      </c>
      <c r="AM10" s="348">
        <f>315.111+80.564</f>
        <v>395.67499999999995</v>
      </c>
      <c r="AN10" s="393">
        <f>44.018+11.694</f>
        <v>55.712000000000003</v>
      </c>
      <c r="AO10" s="190">
        <f>36.829+14.338</f>
        <v>51.167000000000002</v>
      </c>
      <c r="AP10" s="190">
        <f>56.816+22.067</f>
        <v>78.88300000000001</v>
      </c>
      <c r="AQ10" s="251">
        <f>AR10-SUM(AN10:AP10)</f>
        <v>121.51500000000004</v>
      </c>
      <c r="AR10" s="348">
        <f>245.348+61.929</f>
        <v>307.27700000000004</v>
      </c>
      <c r="AS10" s="393">
        <f>21.642+37.452</f>
        <v>59.093999999999994</v>
      </c>
      <c r="AT10" s="190">
        <f>28.561+38.544</f>
        <v>67.10499999999999</v>
      </c>
      <c r="AU10" s="190">
        <f>13.683+17.737</f>
        <v>31.419999999999998</v>
      </c>
      <c r="AV10" s="251">
        <f>AW10-SUM(AS10:AU10)</f>
        <v>30.18300000000005</v>
      </c>
      <c r="AW10" s="348">
        <f>83.128+104.674</f>
        <v>187.80200000000002</v>
      </c>
      <c r="AX10" s="197">
        <f>AX191+AX256</f>
        <v>20.923130894062297</v>
      </c>
      <c r="AY10" s="198">
        <f>AY191+AY256</f>
        <v>18.936386904599999</v>
      </c>
      <c r="AZ10" s="198">
        <f>AZ191+AZ256</f>
        <v>19.560023773000001</v>
      </c>
      <c r="BA10" s="193">
        <f>BA191+BA256</f>
        <v>19.959397137000003</v>
      </c>
      <c r="BB10" s="107">
        <f>SUM(AX10:BA10)</f>
        <v>79.378938708662304</v>
      </c>
      <c r="BC10" s="197">
        <f>BC191+BC256</f>
        <v>25.18971382616764</v>
      </c>
      <c r="BD10" s="198">
        <f>BD191+BD256</f>
        <v>23.537619559150905</v>
      </c>
      <c r="BE10" s="198">
        <f>BE191+BE256</f>
        <v>22.692503396683726</v>
      </c>
      <c r="BF10" s="193">
        <f>BF191+BF256</f>
        <v>16.80163977744234</v>
      </c>
      <c r="BG10" s="107">
        <f>SUM(BC10:BF10)</f>
        <v>88.221476559444625</v>
      </c>
      <c r="BH10" s="197">
        <f>BH191+BH256</f>
        <v>24.389664037466577</v>
      </c>
      <c r="BI10" s="198">
        <f>BI191+BI256</f>
        <v>20.145244670245294</v>
      </c>
      <c r="BJ10" s="198">
        <f>BJ191+BJ256</f>
        <v>19.01862926717229</v>
      </c>
      <c r="BK10" s="193">
        <f>BK191+BK256</f>
        <v>13.039706896601425</v>
      </c>
      <c r="BL10" s="107">
        <f>SUM(BH10:BK10)</f>
        <v>76.593244871485595</v>
      </c>
      <c r="BM10" s="197">
        <f>BM191+BM256</f>
        <v>26.718090307387499</v>
      </c>
      <c r="BN10" s="198">
        <f>BN191+BN256</f>
        <v>24.150461307387502</v>
      </c>
      <c r="BO10" s="198">
        <f>BO191+BO256</f>
        <v>19.015203307387502</v>
      </c>
      <c r="BP10" s="193">
        <f>BP191+BP256</f>
        <v>19.015203307387502</v>
      </c>
      <c r="BQ10" s="107">
        <f>SUM(BM10:BP10)</f>
        <v>88.898958229550004</v>
      </c>
      <c r="BR10" s="19"/>
      <c r="BS10" s="1499"/>
      <c r="BT10" s="1499"/>
      <c r="BU10" s="1499"/>
      <c r="BV10" s="1499"/>
      <c r="BW10" s="1499"/>
      <c r="BX10" s="1499"/>
      <c r="BY10" s="1499"/>
      <c r="BZ10" s="1499"/>
      <c r="CA10" s="1499"/>
      <c r="CB10" s="1499"/>
    </row>
    <row r="11" spans="1:268">
      <c r="A11" s="327"/>
      <c r="B11" s="327"/>
      <c r="C11" s="1128" t="s">
        <v>314</v>
      </c>
      <c r="D11" s="327"/>
      <c r="E11" s="335">
        <f>+E9-E10</f>
        <v>602.88599999999997</v>
      </c>
      <c r="F11" s="336">
        <f t="shared" ref="F11:AP11" si="0">+F9-F10</f>
        <v>491.85599999999999</v>
      </c>
      <c r="G11" s="336">
        <f t="shared" si="0"/>
        <v>621.54600000000005</v>
      </c>
      <c r="H11" s="247">
        <f t="shared" si="0"/>
        <v>648.01300000000003</v>
      </c>
      <c r="I11" s="110">
        <f t="shared" si="0"/>
        <v>2364.3009999999999</v>
      </c>
      <c r="J11" s="180">
        <f t="shared" si="0"/>
        <v>564.79700000000003</v>
      </c>
      <c r="K11" s="181">
        <f t="shared" si="0"/>
        <v>529.71699999999998</v>
      </c>
      <c r="L11" s="181">
        <f t="shared" si="0"/>
        <v>574.42100000000005</v>
      </c>
      <c r="M11" s="247">
        <f t="shared" si="0"/>
        <v>531.84799999999996</v>
      </c>
      <c r="N11" s="110">
        <f t="shared" si="0"/>
        <v>2200.7829999999999</v>
      </c>
      <c r="O11" s="180">
        <f t="shared" si="0"/>
        <v>524.65599999999995</v>
      </c>
      <c r="P11" s="181">
        <f t="shared" si="0"/>
        <v>474.05799999999999</v>
      </c>
      <c r="Q11" s="181">
        <f t="shared" si="0"/>
        <v>541.798</v>
      </c>
      <c r="R11" s="247">
        <f t="shared" si="0"/>
        <v>504.37300000000005</v>
      </c>
      <c r="S11" s="110">
        <f t="shared" si="0"/>
        <v>2044.8850000000002</v>
      </c>
      <c r="T11" s="180">
        <f t="shared" si="0"/>
        <v>451.67499999999995</v>
      </c>
      <c r="U11" s="181">
        <f t="shared" si="0"/>
        <v>443.81899999999996</v>
      </c>
      <c r="V11" s="181">
        <f t="shared" si="0"/>
        <v>495.07700000000006</v>
      </c>
      <c r="W11" s="247">
        <f t="shared" si="0"/>
        <v>463.00400000000025</v>
      </c>
      <c r="X11" s="110">
        <f t="shared" si="0"/>
        <v>1853.5750000000003</v>
      </c>
      <c r="Y11" s="180">
        <f t="shared" si="0"/>
        <v>493.10099999999994</v>
      </c>
      <c r="Z11" s="181">
        <f t="shared" si="0"/>
        <v>382.62700000000001</v>
      </c>
      <c r="AA11" s="181">
        <f t="shared" si="0"/>
        <v>494.47</v>
      </c>
      <c r="AB11" s="247">
        <f>+AB9-AB10</f>
        <v>431.86700000000008</v>
      </c>
      <c r="AC11" s="110">
        <f>+AC9-AC10</f>
        <v>1802.0649999999998</v>
      </c>
      <c r="AD11" s="180">
        <f t="shared" si="0"/>
        <v>748.12399999999991</v>
      </c>
      <c r="AE11" s="181">
        <f t="shared" si="0"/>
        <v>470.99799999999993</v>
      </c>
      <c r="AF11" s="181">
        <f t="shared" ref="AF11" si="1">+AF9-AF10</f>
        <v>484.56400000000002</v>
      </c>
      <c r="AG11" s="247">
        <f>+AG9-AG10</f>
        <v>520.52600000000029</v>
      </c>
      <c r="AH11" s="110">
        <f>+AH9-AH10</f>
        <v>2224.212</v>
      </c>
      <c r="AI11" s="180">
        <f t="shared" ref="AI11:AK11" si="2">+AI9-AI10</f>
        <v>526.68500000000006</v>
      </c>
      <c r="AJ11" s="181">
        <f t="shared" si="2"/>
        <v>350.37599999999998</v>
      </c>
      <c r="AK11" s="181">
        <f t="shared" si="2"/>
        <v>409.78899999999999</v>
      </c>
      <c r="AL11" s="247">
        <f>+AL9-AL10</f>
        <v>379.30200000000042</v>
      </c>
      <c r="AM11" s="110">
        <f>+AM9-AM10</f>
        <v>1666.1520000000003</v>
      </c>
      <c r="AN11" s="180">
        <f t="shared" ref="AN11:AO11" si="3">+AN9-AN10</f>
        <v>466.36699999999996</v>
      </c>
      <c r="AO11" s="181">
        <f t="shared" si="3"/>
        <v>292.94299999999998</v>
      </c>
      <c r="AP11" s="181">
        <f t="shared" si="0"/>
        <v>396.46199999999999</v>
      </c>
      <c r="AQ11" s="247">
        <f>+AQ9-AQ10</f>
        <v>386.58899999999977</v>
      </c>
      <c r="AR11" s="110">
        <f>+AR9-AR10</f>
        <v>1542.3609999999999</v>
      </c>
      <c r="AS11" s="180">
        <f t="shared" ref="AS11:AT11" si="4">+AS9-AS10</f>
        <v>494.27299999999997</v>
      </c>
      <c r="AT11" s="181">
        <f t="shared" si="4"/>
        <v>250.15</v>
      </c>
      <c r="AU11" s="181">
        <f t="shared" ref="AU11:BB11" si="5">+AU9-AU10</f>
        <v>391.82499999999999</v>
      </c>
      <c r="AV11" s="247">
        <f>+AV9-AV10</f>
        <v>332.68</v>
      </c>
      <c r="AW11" s="110">
        <f>+AW9-AW10</f>
        <v>1468.9279999999999</v>
      </c>
      <c r="AX11" s="180">
        <f t="shared" si="5"/>
        <v>310.19599379876962</v>
      </c>
      <c r="AY11" s="181">
        <f t="shared" si="5"/>
        <v>332.75336847599175</v>
      </c>
      <c r="AZ11" s="181">
        <f t="shared" si="5"/>
        <v>341.76689773493393</v>
      </c>
      <c r="BA11" s="182">
        <f t="shared" si="5"/>
        <v>326.05392725275033</v>
      </c>
      <c r="BB11" s="110">
        <f t="shared" si="5"/>
        <v>1310.7701872624457</v>
      </c>
      <c r="BC11" s="180">
        <f t="shared" ref="BC11:BL11" si="6">+BC9-BC10</f>
        <v>348.69228215976318</v>
      </c>
      <c r="BD11" s="181">
        <f t="shared" si="6"/>
        <v>303.16462947498889</v>
      </c>
      <c r="BE11" s="181">
        <f t="shared" si="6"/>
        <v>271.39053490520052</v>
      </c>
      <c r="BF11" s="182">
        <f t="shared" si="6"/>
        <v>249.22069232156417</v>
      </c>
      <c r="BG11" s="110">
        <f t="shared" si="6"/>
        <v>1172.4681388615168</v>
      </c>
      <c r="BH11" s="180">
        <f t="shared" si="6"/>
        <v>369.73320270746439</v>
      </c>
      <c r="BI11" s="181">
        <f t="shared" si="6"/>
        <v>213.44676625414814</v>
      </c>
      <c r="BJ11" s="181">
        <f t="shared" si="6"/>
        <v>177.58432637096902</v>
      </c>
      <c r="BK11" s="182">
        <f t="shared" si="6"/>
        <v>164.28901686098015</v>
      </c>
      <c r="BL11" s="110">
        <f t="shared" si="6"/>
        <v>925.05331219356162</v>
      </c>
      <c r="BM11" s="180">
        <f t="shared" ref="BM11:BQ11" si="7">+BM9-BM10</f>
        <v>174.3329005753917</v>
      </c>
      <c r="BN11" s="181">
        <f t="shared" si="7"/>
        <v>157.19136868909411</v>
      </c>
      <c r="BO11" s="181">
        <f t="shared" si="7"/>
        <v>112.24347829307828</v>
      </c>
      <c r="BP11" s="182">
        <f t="shared" si="7"/>
        <v>112.2918381370431</v>
      </c>
      <c r="BQ11" s="110">
        <f t="shared" si="7"/>
        <v>556.05958569460734</v>
      </c>
      <c r="BR11" s="19"/>
      <c r="BS11" s="1499"/>
      <c r="BT11" s="1499"/>
      <c r="BU11" s="1499"/>
      <c r="BV11" s="1499"/>
      <c r="BW11" s="1499"/>
      <c r="BX11" s="1499"/>
      <c r="BY11" s="1499"/>
      <c r="BZ11" s="1499"/>
      <c r="CA11" s="1499"/>
      <c r="CB11" s="1499"/>
    </row>
    <row r="12" spans="1:268">
      <c r="A12" s="320"/>
      <c r="B12" s="320"/>
      <c r="C12" s="1125"/>
      <c r="D12" s="320"/>
      <c r="E12" s="324"/>
      <c r="F12" s="325"/>
      <c r="G12" s="325"/>
      <c r="H12" s="251"/>
      <c r="I12" s="107"/>
      <c r="J12" s="174"/>
      <c r="K12" s="175"/>
      <c r="L12" s="175"/>
      <c r="M12" s="251"/>
      <c r="N12" s="107"/>
      <c r="O12" s="174"/>
      <c r="P12" s="175"/>
      <c r="Q12" s="175"/>
      <c r="R12" s="251"/>
      <c r="S12" s="107"/>
      <c r="T12" s="174"/>
      <c r="U12" s="175"/>
      <c r="V12" s="175"/>
      <c r="W12" s="251"/>
      <c r="X12" s="107"/>
      <c r="Y12" s="174"/>
      <c r="Z12" s="175"/>
      <c r="AA12" s="175"/>
      <c r="AB12" s="251"/>
      <c r="AC12" s="107"/>
      <c r="AD12" s="174"/>
      <c r="AE12" s="175"/>
      <c r="AF12" s="175"/>
      <c r="AG12" s="251"/>
      <c r="AH12" s="107"/>
      <c r="AI12" s="174"/>
      <c r="AJ12" s="175"/>
      <c r="AK12" s="175"/>
      <c r="AL12" s="251"/>
      <c r="AM12" s="107"/>
      <c r="AN12" s="174"/>
      <c r="AO12" s="175"/>
      <c r="AP12" s="175"/>
      <c r="AQ12" s="251"/>
      <c r="AR12" s="107"/>
      <c r="AS12" s="174"/>
      <c r="AT12" s="175"/>
      <c r="AU12" s="175"/>
      <c r="AV12" s="251"/>
      <c r="AW12" s="107"/>
      <c r="AX12" s="174"/>
      <c r="AY12" s="175"/>
      <c r="AZ12" s="175"/>
      <c r="BA12" s="176"/>
      <c r="BB12" s="107"/>
      <c r="BC12" s="174"/>
      <c r="BD12" s="175"/>
      <c r="BE12" s="175"/>
      <c r="BF12" s="176"/>
      <c r="BG12" s="107"/>
      <c r="BH12" s="174"/>
      <c r="BI12" s="175"/>
      <c r="BJ12" s="175"/>
      <c r="BK12" s="176"/>
      <c r="BL12" s="107"/>
      <c r="BM12" s="174"/>
      <c r="BN12" s="175"/>
      <c r="BO12" s="175"/>
      <c r="BP12" s="176"/>
      <c r="BQ12" s="107"/>
      <c r="BR12" s="19"/>
      <c r="BS12" s="1530"/>
      <c r="BT12" s="1499"/>
      <c r="BU12" s="1499"/>
      <c r="BV12" s="1499"/>
      <c r="BW12" s="1499"/>
      <c r="BX12" s="1499"/>
      <c r="BY12" s="1499"/>
      <c r="BZ12" s="1499"/>
      <c r="CA12" s="1499"/>
      <c r="CB12" s="1499"/>
    </row>
    <row r="13" spans="1:268">
      <c r="A13" s="320"/>
      <c r="B13" s="320"/>
      <c r="C13" s="1125" t="s">
        <v>139</v>
      </c>
      <c r="D13" s="320"/>
      <c r="E13" s="405">
        <v>31.689</v>
      </c>
      <c r="F13" s="406">
        <v>34.177999999999997</v>
      </c>
      <c r="G13" s="406">
        <v>35.223999999999997</v>
      </c>
      <c r="H13" s="251">
        <f>I13-SUM(E13:G13)</f>
        <v>35.202000000000027</v>
      </c>
      <c r="I13" s="348">
        <v>136.29300000000001</v>
      </c>
      <c r="J13" s="393">
        <v>34.689</v>
      </c>
      <c r="K13" s="190">
        <v>37.151000000000003</v>
      </c>
      <c r="L13" s="190">
        <v>38.066000000000003</v>
      </c>
      <c r="M13" s="251">
        <f>N13-SUM(J13:L13)</f>
        <v>38.018000000000001</v>
      </c>
      <c r="N13" s="348">
        <v>147.92400000000001</v>
      </c>
      <c r="O13" s="393">
        <v>37.509</v>
      </c>
      <c r="P13" s="190">
        <v>37.612000000000002</v>
      </c>
      <c r="Q13" s="190">
        <v>37.965000000000003</v>
      </c>
      <c r="R13" s="251">
        <f>S13-SUM(O13:Q13)</f>
        <v>37.530999999999977</v>
      </c>
      <c r="S13" s="348">
        <v>150.61699999999999</v>
      </c>
      <c r="T13" s="393">
        <v>37.180999999999997</v>
      </c>
      <c r="U13" s="190">
        <v>32.725000000000001</v>
      </c>
      <c r="V13" s="190">
        <v>32.868000000000002</v>
      </c>
      <c r="W13" s="251">
        <f>X13-SUM(T13:V13)</f>
        <v>31.989000000000004</v>
      </c>
      <c r="X13" s="348">
        <v>134.76300000000001</v>
      </c>
      <c r="Y13" s="393">
        <v>30.643000000000001</v>
      </c>
      <c r="Z13" s="190">
        <v>36.729999999999997</v>
      </c>
      <c r="AA13" s="190">
        <v>33.201000000000001</v>
      </c>
      <c r="AB13" s="251">
        <f>AC13-SUM(Y13:AA13)</f>
        <v>31.267000000000024</v>
      </c>
      <c r="AC13" s="348">
        <v>131.84100000000001</v>
      </c>
      <c r="AD13" s="393">
        <v>30.533999999999999</v>
      </c>
      <c r="AE13" s="190">
        <v>38.392000000000003</v>
      </c>
      <c r="AF13" s="190">
        <v>40.887999999999998</v>
      </c>
      <c r="AG13" s="251">
        <f>AH13-SUM(AD13:AF13)</f>
        <v>39.507000000000005</v>
      </c>
      <c r="AH13" s="348">
        <v>149.321</v>
      </c>
      <c r="AI13" s="393">
        <v>35.996000000000002</v>
      </c>
      <c r="AJ13" s="190">
        <v>36.456000000000003</v>
      </c>
      <c r="AK13" s="190">
        <v>38.482999999999997</v>
      </c>
      <c r="AL13" s="251">
        <f>AM13-SUM(AI13:AK13)</f>
        <v>22.835999999999984</v>
      </c>
      <c r="AM13" s="348">
        <v>133.77099999999999</v>
      </c>
      <c r="AN13" s="393">
        <v>18.797999999999998</v>
      </c>
      <c r="AO13" s="190">
        <v>14.183999999999999</v>
      </c>
      <c r="AP13" s="190">
        <f>24.269</f>
        <v>24.268999999999998</v>
      </c>
      <c r="AQ13" s="251">
        <f>AR13-SUM(AN13:AP13)</f>
        <v>23.904000000000003</v>
      </c>
      <c r="AR13" s="348">
        <v>81.155000000000001</v>
      </c>
      <c r="AS13" s="393">
        <v>5.9870000000000001</v>
      </c>
      <c r="AT13" s="190">
        <v>3.802</v>
      </c>
      <c r="AU13" s="190">
        <v>2.2349999999999999</v>
      </c>
      <c r="AV13" s="251">
        <f>AW13-SUM(AS13:AU13)</f>
        <v>2.1170000000000009</v>
      </c>
      <c r="AW13" s="348">
        <v>14.141</v>
      </c>
      <c r="AX13" s="174">
        <f>AX382</f>
        <v>4.8933810266332802</v>
      </c>
      <c r="AY13" s="175">
        <f>AY382</f>
        <v>3.84002</v>
      </c>
      <c r="AZ13" s="175">
        <f>AZ382</f>
        <v>2.2573499999999997</v>
      </c>
      <c r="BA13" s="176">
        <f>BA382</f>
        <v>2.138170000000001</v>
      </c>
      <c r="BB13" s="107">
        <f>SUM(AX13:BA13)</f>
        <v>13.128921026633281</v>
      </c>
      <c r="BC13" s="174">
        <f>BC382</f>
        <v>4.9538497266332806</v>
      </c>
      <c r="BD13" s="175">
        <f>BD382</f>
        <v>3.6282230037880918</v>
      </c>
      <c r="BE13" s="175">
        <f>BE382</f>
        <v>1.8386893599156116</v>
      </c>
      <c r="BF13" s="176">
        <f>BF382</f>
        <v>1.7416131431504931</v>
      </c>
      <c r="BG13" s="107">
        <f>SUM(BC13:BF13)</f>
        <v>12.162375233487479</v>
      </c>
      <c r="BH13" s="174">
        <f>BH382</f>
        <v>3.8211488475697082</v>
      </c>
      <c r="BI13" s="175">
        <f>BI382</f>
        <v>2.3144193372013415</v>
      </c>
      <c r="BJ13" s="175">
        <f>BJ382</f>
        <v>1.0305968372045897</v>
      </c>
      <c r="BK13" s="176">
        <f>BK382</f>
        <v>0.97618501313741302</v>
      </c>
      <c r="BL13" s="107">
        <f>SUM(BH13:BK13)</f>
        <v>8.1423500351130507</v>
      </c>
      <c r="BM13" s="174">
        <f>BM382</f>
        <v>1.6348265062696639</v>
      </c>
      <c r="BN13" s="175">
        <f>BN382</f>
        <v>1.1004158045502792</v>
      </c>
      <c r="BO13" s="175">
        <f>BO382</f>
        <v>0</v>
      </c>
      <c r="BP13" s="176">
        <f>BP382</f>
        <v>0</v>
      </c>
      <c r="BQ13" s="107">
        <f>SUM(BM13:BP13)</f>
        <v>2.7352423108199431</v>
      </c>
      <c r="BR13" s="19"/>
      <c r="BS13" s="1912"/>
      <c r="BT13" s="1499"/>
      <c r="BU13" s="1499"/>
      <c r="BV13" s="1499"/>
      <c r="BW13" s="1499"/>
      <c r="BX13" s="1499"/>
      <c r="BY13" s="1499"/>
      <c r="BZ13" s="1499"/>
      <c r="CA13" s="1499"/>
      <c r="CB13" s="1499"/>
    </row>
    <row r="14" spans="1:268">
      <c r="A14" s="320"/>
      <c r="B14" s="320"/>
      <c r="C14" s="1125" t="s">
        <v>315</v>
      </c>
      <c r="D14" s="320"/>
      <c r="E14" s="405">
        <v>199.96</v>
      </c>
      <c r="F14" s="406">
        <v>203.60400000000001</v>
      </c>
      <c r="G14" s="406">
        <v>211.68299999999999</v>
      </c>
      <c r="H14" s="251">
        <f>I14-SUM(E14:G14)</f>
        <v>307.03599999999994</v>
      </c>
      <c r="I14" s="348">
        <v>922.28300000000002</v>
      </c>
      <c r="J14" s="393">
        <v>259.697</v>
      </c>
      <c r="K14" s="190">
        <v>250.648</v>
      </c>
      <c r="L14" s="190">
        <v>299.399</v>
      </c>
      <c r="M14" s="251">
        <f>N14-SUM(J14:L14)</f>
        <v>237.29699999999991</v>
      </c>
      <c r="N14" s="348">
        <v>1047.0409999999999</v>
      </c>
      <c r="O14" s="393">
        <v>209.143</v>
      </c>
      <c r="P14" s="190">
        <v>231.351</v>
      </c>
      <c r="Q14" s="190">
        <v>228.88800000000001</v>
      </c>
      <c r="R14" s="251">
        <f>S14-SUM(O14:Q14)</f>
        <v>236.07099999999991</v>
      </c>
      <c r="S14" s="348">
        <v>905.45299999999997</v>
      </c>
      <c r="T14" s="393">
        <v>232.74100000000001</v>
      </c>
      <c r="U14" s="190">
        <v>248.18299999999999</v>
      </c>
      <c r="V14" s="190">
        <v>244.947</v>
      </c>
      <c r="W14" s="251">
        <f>X14-SUM(T14:V14)</f>
        <v>231.96800000000007</v>
      </c>
      <c r="X14" s="348">
        <v>957.83900000000006</v>
      </c>
      <c r="Y14" s="393">
        <v>231.35900000000001</v>
      </c>
      <c r="Z14" s="190">
        <v>252.101</v>
      </c>
      <c r="AA14" s="190">
        <v>264.13799999999998</v>
      </c>
      <c r="AB14" s="251">
        <f>AC14-SUM(Y14:AA14)</f>
        <v>300.46299999999997</v>
      </c>
      <c r="AC14" s="348">
        <v>1048.0609999999999</v>
      </c>
      <c r="AD14" s="393">
        <v>234.89599999999999</v>
      </c>
      <c r="AE14" s="190">
        <v>261.13799999999998</v>
      </c>
      <c r="AF14" s="190">
        <v>254.48699999999999</v>
      </c>
      <c r="AG14" s="251">
        <f>AH14-SUM(AD14:AF14)</f>
        <v>272.49700000000007</v>
      </c>
      <c r="AH14" s="348">
        <v>1023.018</v>
      </c>
      <c r="AI14" s="393">
        <v>212.33</v>
      </c>
      <c r="AJ14" s="190">
        <v>212.28200000000001</v>
      </c>
      <c r="AK14" s="190">
        <v>217.173</v>
      </c>
      <c r="AL14" s="251">
        <f>AM14-SUM(AI14:AK14)</f>
        <v>257.58799999999997</v>
      </c>
      <c r="AM14" s="348">
        <v>899.37300000000005</v>
      </c>
      <c r="AN14" s="393">
        <v>213.66499999999999</v>
      </c>
      <c r="AO14" s="190">
        <v>170.636</v>
      </c>
      <c r="AP14" s="190">
        <v>236.05</v>
      </c>
      <c r="AQ14" s="251">
        <f>AR14-SUM(AN14:AP14)</f>
        <v>294.29100000000005</v>
      </c>
      <c r="AR14" s="348">
        <v>914.64200000000005</v>
      </c>
      <c r="AS14" s="393">
        <v>295.10199999999998</v>
      </c>
      <c r="AT14" s="190">
        <v>204.404</v>
      </c>
      <c r="AU14" s="190">
        <v>198.96100000000001</v>
      </c>
      <c r="AV14" s="251">
        <f>AW14-SUM(AS14:AU14)</f>
        <v>230.09699999999998</v>
      </c>
      <c r="AW14" s="348">
        <v>928.56399999999996</v>
      </c>
      <c r="AX14" s="174">
        <f>AX388</f>
        <v>182.96776974334168</v>
      </c>
      <c r="AY14" s="175">
        <f>AY388</f>
        <v>182.96776974334168</v>
      </c>
      <c r="AZ14" s="175">
        <f>AZ388</f>
        <v>182.96776974334168</v>
      </c>
      <c r="BA14" s="176">
        <f>BA388</f>
        <v>182.96776974334168</v>
      </c>
      <c r="BB14" s="107">
        <f>SUM(AX14:BA14)</f>
        <v>731.87107897336671</v>
      </c>
      <c r="BC14" s="174">
        <f>BC388</f>
        <v>164.45940619162812</v>
      </c>
      <c r="BD14" s="175">
        <f>BD388</f>
        <v>164.45940619162812</v>
      </c>
      <c r="BE14" s="175">
        <f>BE388</f>
        <v>164.45940619162812</v>
      </c>
      <c r="BF14" s="176">
        <f>BF388</f>
        <v>164.45940619162812</v>
      </c>
      <c r="BG14" s="107">
        <f>SUM(BC14:BF14)</f>
        <v>657.83762476651248</v>
      </c>
      <c r="BH14" s="174">
        <f>BH388</f>
        <v>125.46441249122174</v>
      </c>
      <c r="BI14" s="175">
        <f>BI388</f>
        <v>125.46441249122174</v>
      </c>
      <c r="BJ14" s="175">
        <f>BJ388</f>
        <v>125.46441249122174</v>
      </c>
      <c r="BK14" s="176">
        <f>BK388</f>
        <v>125.46441249122174</v>
      </c>
      <c r="BL14" s="107">
        <f>SUM(BH14:BK14)</f>
        <v>501.85764996488695</v>
      </c>
      <c r="BM14" s="174">
        <f>BM388</f>
        <v>86.816189422295011</v>
      </c>
      <c r="BN14" s="175">
        <f>BN388</f>
        <v>86.816189422295011</v>
      </c>
      <c r="BO14" s="175">
        <f>BO388</f>
        <v>86.816189422295011</v>
      </c>
      <c r="BP14" s="176">
        <f>BP388</f>
        <v>86.816189422295011</v>
      </c>
      <c r="BQ14" s="107">
        <f>SUM(BM14:BP14)</f>
        <v>347.26475768918004</v>
      </c>
      <c r="BR14" s="19"/>
      <c r="BS14" s="1912"/>
      <c r="BT14" s="1499"/>
      <c r="BU14" s="1499"/>
      <c r="BV14" s="1499"/>
      <c r="BW14" s="1499"/>
      <c r="BX14" s="1499"/>
      <c r="BY14" s="1499"/>
      <c r="BZ14" s="1499"/>
      <c r="CA14" s="1499"/>
      <c r="CB14" s="1499"/>
    </row>
    <row r="15" spans="1:268">
      <c r="A15" s="320"/>
      <c r="B15" s="320"/>
      <c r="C15" s="1125" t="s">
        <v>374</v>
      </c>
      <c r="D15" s="320"/>
      <c r="E15" s="405">
        <v>23.686</v>
      </c>
      <c r="F15" s="406">
        <v>24.75</v>
      </c>
      <c r="G15" s="406">
        <v>25.210999999999999</v>
      </c>
      <c r="H15" s="251">
        <f>I15-SUM(E15:G15)</f>
        <v>25.733000000000004</v>
      </c>
      <c r="I15" s="348">
        <v>99.38</v>
      </c>
      <c r="J15" s="393">
        <v>26.155000000000001</v>
      </c>
      <c r="K15" s="190">
        <v>26.623000000000001</v>
      </c>
      <c r="L15" s="190">
        <v>27.103000000000002</v>
      </c>
      <c r="M15" s="251">
        <f>N15-SUM(J15:L15)</f>
        <v>27.596999999999994</v>
      </c>
      <c r="N15" s="348">
        <v>107.47799999999999</v>
      </c>
      <c r="O15" s="393">
        <v>28.103000000000002</v>
      </c>
      <c r="P15" s="190">
        <v>28.617999999999999</v>
      </c>
      <c r="Q15" s="190">
        <v>29.14</v>
      </c>
      <c r="R15" s="251">
        <f>S15-SUM(O15:Q15)</f>
        <v>-4.4110000000000014</v>
      </c>
      <c r="S15" s="348">
        <v>81.45</v>
      </c>
      <c r="T15" s="393">
        <v>29.672000000000001</v>
      </c>
      <c r="U15" s="190">
        <v>-16.745999999999999</v>
      </c>
      <c r="V15" s="190">
        <v>29.138999999999999</v>
      </c>
      <c r="W15" s="251">
        <f>X15-SUM(T15:V15)</f>
        <v>30.031000000000006</v>
      </c>
      <c r="X15" s="348">
        <v>72.096000000000004</v>
      </c>
      <c r="Y15" s="393">
        <v>30.577000000000002</v>
      </c>
      <c r="Z15" s="190">
        <v>30.416</v>
      </c>
      <c r="AA15" s="190">
        <v>31.422000000000001</v>
      </c>
      <c r="AB15" s="251">
        <f>AC15-SUM(Y15:AA15)</f>
        <v>32.876999999999995</v>
      </c>
      <c r="AC15" s="348">
        <v>125.292</v>
      </c>
      <c r="AD15" s="393">
        <v>34.055999999999997</v>
      </c>
      <c r="AE15" s="190">
        <v>34.649000000000001</v>
      </c>
      <c r="AF15" s="190">
        <v>35.24</v>
      </c>
      <c r="AG15" s="251">
        <f>AH15-SUM(AD15:AF15)</f>
        <v>37.566000000000003</v>
      </c>
      <c r="AH15" s="348">
        <v>141.511</v>
      </c>
      <c r="AI15" s="393">
        <v>35.037999999999997</v>
      </c>
      <c r="AJ15" s="190">
        <v>33.444000000000003</v>
      </c>
      <c r="AK15" s="190">
        <v>32.909999999999997</v>
      </c>
      <c r="AL15" s="251">
        <f>AM15-SUM(AI15:AK15)</f>
        <v>36.135999999999996</v>
      </c>
      <c r="AM15" s="348">
        <v>137.52799999999999</v>
      </c>
      <c r="AN15" s="393">
        <v>31.385000000000002</v>
      </c>
      <c r="AO15" s="190">
        <v>38.823</v>
      </c>
      <c r="AP15" s="190">
        <v>46.896000000000001</v>
      </c>
      <c r="AQ15" s="251">
        <f>AR15-SUM(AN15:AP15)</f>
        <v>57.965999999999994</v>
      </c>
      <c r="AR15" s="348">
        <v>175.07</v>
      </c>
      <c r="AS15" s="393">
        <v>74.864000000000004</v>
      </c>
      <c r="AT15" s="190">
        <v>60.191000000000003</v>
      </c>
      <c r="AU15" s="190">
        <v>60.07</v>
      </c>
      <c r="AV15" s="251">
        <f>AW15-SUM(AS15:AU15)</f>
        <v>59.832999999999998</v>
      </c>
      <c r="AW15" s="348">
        <v>254.958</v>
      </c>
      <c r="AX15" s="174">
        <f>AX394</f>
        <v>69.157357499999932</v>
      </c>
      <c r="AY15" s="198">
        <f>AY394</f>
        <v>69.157357499999932</v>
      </c>
      <c r="AZ15" s="198">
        <f>AZ394</f>
        <v>69.157357499999932</v>
      </c>
      <c r="BA15" s="193">
        <f>BA394</f>
        <v>69.157357499999932</v>
      </c>
      <c r="BB15" s="107">
        <f>SUM(AX15:BA15)</f>
        <v>276.62942999999973</v>
      </c>
      <c r="BC15" s="174">
        <f>BC394</f>
        <v>75.035732887499989</v>
      </c>
      <c r="BD15" s="198">
        <f>BD394</f>
        <v>75.035732887499989</v>
      </c>
      <c r="BE15" s="198">
        <f>BE394</f>
        <v>75.035732887499989</v>
      </c>
      <c r="BF15" s="193">
        <f>BF394</f>
        <v>75.035732887499989</v>
      </c>
      <c r="BG15" s="107">
        <f>SUM(BC15:BF15)</f>
        <v>300.14293154999996</v>
      </c>
      <c r="BH15" s="174">
        <f>BH394</f>
        <v>81.41377018293754</v>
      </c>
      <c r="BI15" s="198">
        <f>BI394</f>
        <v>81.41377018293754</v>
      </c>
      <c r="BJ15" s="198">
        <f>BJ394</f>
        <v>81.41377018293754</v>
      </c>
      <c r="BK15" s="193">
        <f>BK394</f>
        <v>81.41377018293754</v>
      </c>
      <c r="BL15" s="107">
        <f>SUM(BH15:BK15)</f>
        <v>325.65508073175016</v>
      </c>
      <c r="BM15" s="174">
        <f>BM394</f>
        <v>88.33394064848703</v>
      </c>
      <c r="BN15" s="198">
        <f>BN394</f>
        <v>88.33394064848703</v>
      </c>
      <c r="BO15" s="198">
        <f>BO394</f>
        <v>88.33394064848703</v>
      </c>
      <c r="BP15" s="193">
        <f>BP394</f>
        <v>88.33394064848703</v>
      </c>
      <c r="BQ15" s="107">
        <f>SUM(BM15:BP15)</f>
        <v>353.33576259394812</v>
      </c>
      <c r="BR15" s="19"/>
      <c r="BS15" s="1912"/>
      <c r="BT15" s="1530"/>
      <c r="BU15" s="1499"/>
      <c r="BV15" s="1499"/>
      <c r="BW15" s="1499"/>
      <c r="BX15" s="1499"/>
      <c r="BY15" s="1499"/>
      <c r="BZ15" s="1499"/>
      <c r="CA15" s="1499"/>
      <c r="CB15" s="1499"/>
    </row>
    <row r="16" spans="1:268">
      <c r="A16" s="320"/>
      <c r="B16" s="320"/>
      <c r="C16" s="1125" t="s">
        <v>316</v>
      </c>
      <c r="D16" s="320"/>
      <c r="E16" s="405">
        <v>26.259</v>
      </c>
      <c r="F16" s="406">
        <v>23.611000000000001</v>
      </c>
      <c r="G16" s="406">
        <v>22.411999999999999</v>
      </c>
      <c r="H16" s="251">
        <f>I16-SUM(E16:G16)</f>
        <v>26.878999999999991</v>
      </c>
      <c r="I16" s="348">
        <v>99.161000000000001</v>
      </c>
      <c r="J16" s="393">
        <v>24.866</v>
      </c>
      <c r="K16" s="190">
        <v>26.542000000000002</v>
      </c>
      <c r="L16" s="190">
        <v>24.922000000000001</v>
      </c>
      <c r="M16" s="251">
        <f>N16-SUM(J16:L16)</f>
        <v>25.548000000000002</v>
      </c>
      <c r="N16" s="348">
        <v>101.878</v>
      </c>
      <c r="O16" s="393">
        <v>21.411999999999999</v>
      </c>
      <c r="P16" s="190">
        <v>24.088000000000001</v>
      </c>
      <c r="Q16" s="190">
        <v>29.713000000000001</v>
      </c>
      <c r="R16" s="251">
        <f>S16-SUM(O16:Q16)</f>
        <v>27.748000000000005</v>
      </c>
      <c r="S16" s="348">
        <v>102.961</v>
      </c>
      <c r="T16" s="393">
        <v>29.768999999999998</v>
      </c>
      <c r="U16" s="190">
        <v>30.646000000000001</v>
      </c>
      <c r="V16" s="190">
        <v>29.096</v>
      </c>
      <c r="W16" s="251">
        <f>X16-SUM(T16:V16)</f>
        <v>34.129000000000005</v>
      </c>
      <c r="X16" s="348">
        <v>123.64</v>
      </c>
      <c r="Y16" s="393">
        <v>32.747999999999998</v>
      </c>
      <c r="Z16" s="190">
        <v>30.34</v>
      </c>
      <c r="AA16" s="190">
        <v>33.625999999999998</v>
      </c>
      <c r="AB16" s="251">
        <f>AC16-SUM(Y16:AA16)</f>
        <v>32.306000000000012</v>
      </c>
      <c r="AC16" s="348">
        <v>129.02000000000001</v>
      </c>
      <c r="AD16" s="393">
        <v>32.835999999999999</v>
      </c>
      <c r="AE16" s="190">
        <v>33.241</v>
      </c>
      <c r="AF16" s="190">
        <v>32.579000000000001</v>
      </c>
      <c r="AG16" s="251">
        <f>AH16-SUM(AD16:AF16)</f>
        <v>32.073000000000008</v>
      </c>
      <c r="AH16" s="348">
        <v>130.72900000000001</v>
      </c>
      <c r="AI16" s="393">
        <v>25.213999999999999</v>
      </c>
      <c r="AJ16" s="190">
        <v>34.917000000000002</v>
      </c>
      <c r="AK16" s="190">
        <v>22.89</v>
      </c>
      <c r="AL16" s="251">
        <f>AM16-SUM(AI16:AK16)</f>
        <v>27.512</v>
      </c>
      <c r="AM16" s="348">
        <v>110.533</v>
      </c>
      <c r="AN16" s="393">
        <v>24.241</v>
      </c>
      <c r="AO16" s="190">
        <v>25.542000000000002</v>
      </c>
      <c r="AP16" s="190">
        <v>23.893000000000001</v>
      </c>
      <c r="AQ16" s="251">
        <f>AR16-SUM(AN16:AP16)</f>
        <v>20.597999999999999</v>
      </c>
      <c r="AR16" s="348">
        <v>94.274000000000001</v>
      </c>
      <c r="AS16" s="393">
        <v>22.920999999999999</v>
      </c>
      <c r="AT16" s="190">
        <v>18.855</v>
      </c>
      <c r="AU16" s="190">
        <v>18.199000000000002</v>
      </c>
      <c r="AV16" s="251">
        <f>AW16-SUM(AS16:AU16)</f>
        <v>19.64200000000001</v>
      </c>
      <c r="AW16" s="348">
        <v>79.617000000000004</v>
      </c>
      <c r="AX16" s="174">
        <f>+AX408</f>
        <v>31.25</v>
      </c>
      <c r="AY16" s="175">
        <f>+AY408</f>
        <v>31.25</v>
      </c>
      <c r="AZ16" s="175">
        <f>+AZ408</f>
        <v>31.25</v>
      </c>
      <c r="BA16" s="176">
        <f>+BA408</f>
        <v>31.25</v>
      </c>
      <c r="BB16" s="107">
        <f>SUM(AX16:BA16)</f>
        <v>125</v>
      </c>
      <c r="BC16" s="174">
        <f>+BC408</f>
        <v>25</v>
      </c>
      <c r="BD16" s="175">
        <f>+BD408</f>
        <v>25</v>
      </c>
      <c r="BE16" s="175">
        <f>+BE408</f>
        <v>25</v>
      </c>
      <c r="BF16" s="176">
        <f>+BF408</f>
        <v>25</v>
      </c>
      <c r="BG16" s="107">
        <f>SUM(BC16:BF16)</f>
        <v>100</v>
      </c>
      <c r="BH16" s="174">
        <f>+BH408</f>
        <v>18.75</v>
      </c>
      <c r="BI16" s="175">
        <f>+BI408</f>
        <v>18.75</v>
      </c>
      <c r="BJ16" s="175">
        <f>+BJ408</f>
        <v>18.75</v>
      </c>
      <c r="BK16" s="176">
        <f>+BK408</f>
        <v>18.75</v>
      </c>
      <c r="BL16" s="107">
        <f>SUM(BH16:BK16)</f>
        <v>75</v>
      </c>
      <c r="BM16" s="174">
        <f>+BM408</f>
        <v>10</v>
      </c>
      <c r="BN16" s="175">
        <f>+BN408</f>
        <v>10</v>
      </c>
      <c r="BO16" s="175">
        <f>+BO408</f>
        <v>10</v>
      </c>
      <c r="BP16" s="176">
        <f>+BP408</f>
        <v>10</v>
      </c>
      <c r="BQ16" s="107">
        <f>SUM(BM16:BP16)</f>
        <v>40</v>
      </c>
      <c r="BR16" s="19"/>
      <c r="BS16" s="1912"/>
      <c r="BT16" s="1499"/>
      <c r="BU16" s="1499"/>
      <c r="BV16" s="1499"/>
      <c r="BW16" s="1499"/>
      <c r="BX16" s="1499"/>
      <c r="BY16" s="1499"/>
      <c r="BZ16" s="1499"/>
      <c r="CA16" s="1499"/>
      <c r="CB16" s="1499"/>
    </row>
    <row r="17" spans="1:80">
      <c r="A17" s="320"/>
      <c r="B17" s="320"/>
      <c r="C17" s="1125" t="s">
        <v>318</v>
      </c>
      <c r="D17" s="320"/>
      <c r="E17" s="405">
        <v>33.639000000000003</v>
      </c>
      <c r="F17" s="406">
        <v>35.024999999999999</v>
      </c>
      <c r="G17" s="406">
        <v>36.048999999999999</v>
      </c>
      <c r="H17" s="251">
        <f>I17-SUM(E17:G17)</f>
        <v>47.054000000000002</v>
      </c>
      <c r="I17" s="348">
        <v>151.767</v>
      </c>
      <c r="J17" s="393">
        <v>40.512999999999998</v>
      </c>
      <c r="K17" s="190">
        <v>38.194000000000003</v>
      </c>
      <c r="L17" s="190">
        <v>41.798999999999999</v>
      </c>
      <c r="M17" s="251">
        <f>N17-SUM(J17:L17)</f>
        <v>42.674000000000007</v>
      </c>
      <c r="N17" s="348">
        <v>163.18</v>
      </c>
      <c r="O17" s="393">
        <v>43.231000000000002</v>
      </c>
      <c r="P17" s="190">
        <v>44.177</v>
      </c>
      <c r="Q17" s="190">
        <v>45.247</v>
      </c>
      <c r="R17" s="251">
        <f>S17-SUM(O17:Q17)</f>
        <v>46.532999999999987</v>
      </c>
      <c r="S17" s="348">
        <v>179.18799999999999</v>
      </c>
      <c r="T17" s="393">
        <v>51.070999999999998</v>
      </c>
      <c r="U17" s="190">
        <v>48.07</v>
      </c>
      <c r="V17" s="190">
        <v>29.582999999999998</v>
      </c>
      <c r="W17" s="251">
        <f>X17-SUM(T17:V17)</f>
        <v>47.323000000000008</v>
      </c>
      <c r="X17" s="348">
        <v>176.047</v>
      </c>
      <c r="Y17" s="393">
        <v>49.243000000000002</v>
      </c>
      <c r="Z17" s="190">
        <v>50.304000000000002</v>
      </c>
      <c r="AA17" s="190">
        <v>55.125</v>
      </c>
      <c r="AB17" s="251">
        <f>AC17-SUM(Y17:AA17)</f>
        <v>61.199000000000012</v>
      </c>
      <c r="AC17" s="348">
        <v>215.87100000000001</v>
      </c>
      <c r="AD17" s="393">
        <v>70.147000000000006</v>
      </c>
      <c r="AE17" s="190">
        <v>70.935000000000002</v>
      </c>
      <c r="AF17" s="190">
        <v>71.623000000000005</v>
      </c>
      <c r="AG17" s="251">
        <f>AH17-SUM(AD17:AF17)</f>
        <v>63.218999999999994</v>
      </c>
      <c r="AH17" s="348">
        <v>275.92399999999998</v>
      </c>
      <c r="AI17" s="393">
        <v>62.262999999999998</v>
      </c>
      <c r="AJ17" s="190">
        <v>63.835000000000001</v>
      </c>
      <c r="AK17" s="190">
        <v>60.414999999999999</v>
      </c>
      <c r="AL17" s="251">
        <f>AM17-SUM(AI17:AK17)</f>
        <v>52.519000000000005</v>
      </c>
      <c r="AM17" s="348">
        <v>239.03200000000001</v>
      </c>
      <c r="AN17" s="393">
        <v>56.106999999999999</v>
      </c>
      <c r="AO17" s="190">
        <v>45.831000000000003</v>
      </c>
      <c r="AP17" s="190">
        <v>53.115000000000002</v>
      </c>
      <c r="AQ17" s="251">
        <f>AR17-SUM(AN17:AP17)</f>
        <v>44.799000000000007</v>
      </c>
      <c r="AR17" s="348">
        <v>199.852</v>
      </c>
      <c r="AS17" s="393">
        <v>52.593000000000004</v>
      </c>
      <c r="AT17" s="190">
        <v>51.930999999999997</v>
      </c>
      <c r="AU17" s="190">
        <v>52.363999999999997</v>
      </c>
      <c r="AV17" s="251">
        <f>AW17-SUM(AS17:AU17)</f>
        <v>36.233000000000004</v>
      </c>
      <c r="AW17" s="348">
        <v>193.12100000000001</v>
      </c>
      <c r="AX17" s="174">
        <f>+AX426</f>
        <v>40</v>
      </c>
      <c r="AY17" s="175">
        <f>+AY426</f>
        <v>40</v>
      </c>
      <c r="AZ17" s="175">
        <f>+AZ426</f>
        <v>40</v>
      </c>
      <c r="BA17" s="176">
        <f>+BA426</f>
        <v>40</v>
      </c>
      <c r="BB17" s="107">
        <f>SUM(AX17:BA17)</f>
        <v>160</v>
      </c>
      <c r="BC17" s="174">
        <f>+BC426</f>
        <v>40</v>
      </c>
      <c r="BD17" s="175">
        <f>+BD426</f>
        <v>40</v>
      </c>
      <c r="BE17" s="175">
        <f>+BE426</f>
        <v>40</v>
      </c>
      <c r="BF17" s="176">
        <f>+BF426</f>
        <v>40</v>
      </c>
      <c r="BG17" s="107">
        <f>SUM(BC17:BF17)</f>
        <v>160</v>
      </c>
      <c r="BH17" s="174">
        <f>+BH426</f>
        <v>30</v>
      </c>
      <c r="BI17" s="175">
        <f>+BI426</f>
        <v>30</v>
      </c>
      <c r="BJ17" s="175">
        <f>+BJ426</f>
        <v>30</v>
      </c>
      <c r="BK17" s="176">
        <f>+BK426</f>
        <v>30</v>
      </c>
      <c r="BL17" s="107">
        <f>SUM(BH17:BK17)</f>
        <v>120</v>
      </c>
      <c r="BM17" s="174">
        <f>+BM426</f>
        <v>20</v>
      </c>
      <c r="BN17" s="175">
        <f>+BN426</f>
        <v>20</v>
      </c>
      <c r="BO17" s="175">
        <f>+BO426</f>
        <v>20</v>
      </c>
      <c r="BP17" s="176">
        <f>+BP426</f>
        <v>20</v>
      </c>
      <c r="BQ17" s="107">
        <f>SUM(BM17:BP17)</f>
        <v>80</v>
      </c>
      <c r="BR17" s="19"/>
      <c r="BS17" s="1499"/>
      <c r="BT17" s="1499"/>
      <c r="BU17" s="1499"/>
      <c r="BV17" s="1499"/>
      <c r="BW17" s="1499"/>
      <c r="BX17" s="1499"/>
      <c r="BY17" s="1499"/>
      <c r="BZ17" s="1499"/>
      <c r="CA17" s="1499"/>
      <c r="CB17" s="1499"/>
    </row>
    <row r="18" spans="1:80">
      <c r="A18" s="320"/>
      <c r="B18" s="320"/>
      <c r="C18" s="1128" t="s">
        <v>652</v>
      </c>
      <c r="D18" s="320"/>
      <c r="E18" s="335">
        <f t="shared" ref="E18:AE18" si="8">SUM(E10:E10,E13:E17)</f>
        <v>368.53400000000005</v>
      </c>
      <c r="F18" s="336">
        <f t="shared" si="8"/>
        <v>374.24099999999999</v>
      </c>
      <c r="G18" s="336">
        <f t="shared" si="8"/>
        <v>393.24699999999996</v>
      </c>
      <c r="H18" s="247">
        <f t="shared" si="8"/>
        <v>619.6389999999999</v>
      </c>
      <c r="I18" s="110">
        <f t="shared" si="8"/>
        <v>1755.6610000000003</v>
      </c>
      <c r="J18" s="180">
        <f t="shared" si="8"/>
        <v>481.52199999999999</v>
      </c>
      <c r="K18" s="181">
        <f t="shared" si="8"/>
        <v>471.50799999999998</v>
      </c>
      <c r="L18" s="181">
        <f t="shared" si="8"/>
        <v>528.79500000000007</v>
      </c>
      <c r="M18" s="247">
        <f t="shared" si="8"/>
        <v>451.04899999999986</v>
      </c>
      <c r="N18" s="110">
        <f t="shared" si="8"/>
        <v>1932.874</v>
      </c>
      <c r="O18" s="180">
        <f t="shared" si="8"/>
        <v>424.88799999999998</v>
      </c>
      <c r="P18" s="181">
        <f t="shared" si="8"/>
        <v>459.86400000000003</v>
      </c>
      <c r="Q18" s="181">
        <f t="shared" si="8"/>
        <v>470.37100000000004</v>
      </c>
      <c r="R18" s="247">
        <f t="shared" si="8"/>
        <v>433.43399999999986</v>
      </c>
      <c r="S18" s="110">
        <f t="shared" si="8"/>
        <v>1788.5570000000002</v>
      </c>
      <c r="T18" s="180">
        <f t="shared" si="8"/>
        <v>489.0100000000001</v>
      </c>
      <c r="U18" s="181">
        <f t="shared" si="8"/>
        <v>466.73300000000006</v>
      </c>
      <c r="V18" s="181">
        <f t="shared" si="8"/>
        <v>497.40499999999997</v>
      </c>
      <c r="W18" s="247">
        <f t="shared" si="8"/>
        <v>483.97100000000023</v>
      </c>
      <c r="X18" s="110">
        <f t="shared" si="8"/>
        <v>1937.1190000000004</v>
      </c>
      <c r="Y18" s="180">
        <f t="shared" si="8"/>
        <v>495.202</v>
      </c>
      <c r="Z18" s="181">
        <f t="shared" si="8"/>
        <v>550.78699999999992</v>
      </c>
      <c r="AA18" s="181">
        <f t="shared" si="8"/>
        <v>546.36299999999994</v>
      </c>
      <c r="AB18" s="247">
        <f>SUM(AB10:AB10,AB13:AB17)</f>
        <v>568.42599999999993</v>
      </c>
      <c r="AC18" s="110">
        <f>SUM(AC10:AC10,AC13:AC17)</f>
        <v>2160.7779999999998</v>
      </c>
      <c r="AD18" s="180">
        <f t="shared" si="8"/>
        <v>566.46699999999998</v>
      </c>
      <c r="AE18" s="181">
        <f t="shared" si="8"/>
        <v>545.24800000000005</v>
      </c>
      <c r="AF18" s="181">
        <f t="shared" ref="AF18" si="9">SUM(AF10:AF10,AF13:AF17)</f>
        <v>555.99300000000005</v>
      </c>
      <c r="AG18" s="247">
        <f>SUM(AG10:AG10,AG13:AG17)</f>
        <v>547.98700000000008</v>
      </c>
      <c r="AH18" s="110">
        <f>SUM(AH10:AH10,AH13:AH17)</f>
        <v>2215.6949999999997</v>
      </c>
      <c r="AI18" s="180">
        <f t="shared" ref="AI18:AK18" si="10">SUM(AI10:AI10,AI13:AI17)</f>
        <v>486.74599999999998</v>
      </c>
      <c r="AJ18" s="181">
        <f t="shared" si="10"/>
        <v>469.86399999999998</v>
      </c>
      <c r="AK18" s="181">
        <f t="shared" si="10"/>
        <v>483.82800000000003</v>
      </c>
      <c r="AL18" s="247">
        <f>SUM(AL10:AL10,AL13:AL17)</f>
        <v>475.47399999999988</v>
      </c>
      <c r="AM18" s="110">
        <f>SUM(AM10:AM10,AM13:AM17)</f>
        <v>1915.9119999999998</v>
      </c>
      <c r="AN18" s="180">
        <f t="shared" ref="AN18:AP18" si="11">SUM(AN10:AN10,AN13:AN17)</f>
        <v>399.90800000000002</v>
      </c>
      <c r="AO18" s="181">
        <f t="shared" si="11"/>
        <v>346.18299999999999</v>
      </c>
      <c r="AP18" s="181">
        <f t="shared" si="11"/>
        <v>463.10599999999999</v>
      </c>
      <c r="AQ18" s="247">
        <f>SUM(AQ10:AQ10,AQ13:AQ17)</f>
        <v>563.07300000000009</v>
      </c>
      <c r="AR18" s="110">
        <f>SUM(AR10:AR10,AR13:AR17)</f>
        <v>1772.2700000000002</v>
      </c>
      <c r="AS18" s="180">
        <f t="shared" ref="AS18:AT18" si="12">SUM(AS10:AS10,AS13:AS17)</f>
        <v>510.56100000000004</v>
      </c>
      <c r="AT18" s="181">
        <f t="shared" si="12"/>
        <v>406.28799999999995</v>
      </c>
      <c r="AU18" s="181">
        <f t="shared" ref="AU18:BB18" si="13">SUM(AU10:AU10,AU13:AU17)</f>
        <v>363.24900000000002</v>
      </c>
      <c r="AV18" s="247">
        <f>SUM(AV10:AV10,AV13:AV17)</f>
        <v>378.10500000000002</v>
      </c>
      <c r="AW18" s="110">
        <f>SUM(AW10:AW10,AW13:AW17)</f>
        <v>1658.2030000000002</v>
      </c>
      <c r="AX18" s="180">
        <f t="shared" si="13"/>
        <v>349.19163916403716</v>
      </c>
      <c r="AY18" s="181">
        <f t="shared" si="13"/>
        <v>346.15153414794162</v>
      </c>
      <c r="AZ18" s="181">
        <f t="shared" si="13"/>
        <v>345.19250101634162</v>
      </c>
      <c r="BA18" s="182">
        <f t="shared" si="13"/>
        <v>345.47269438034164</v>
      </c>
      <c r="BB18" s="110">
        <f t="shared" si="13"/>
        <v>1386.0083687086621</v>
      </c>
      <c r="BC18" s="180">
        <f t="shared" ref="BC18:BL18" si="14">SUM(BC10:BC10,BC13:BC17)</f>
        <v>334.63870263192905</v>
      </c>
      <c r="BD18" s="181">
        <f t="shared" si="14"/>
        <v>331.6609816420671</v>
      </c>
      <c r="BE18" s="181">
        <f t="shared" si="14"/>
        <v>329.02633183572743</v>
      </c>
      <c r="BF18" s="182">
        <f t="shared" si="14"/>
        <v>323.03839199972094</v>
      </c>
      <c r="BG18" s="110">
        <f t="shared" si="14"/>
        <v>1318.3644081094444</v>
      </c>
      <c r="BH18" s="180">
        <f t="shared" si="14"/>
        <v>283.83899555919555</v>
      </c>
      <c r="BI18" s="181">
        <f t="shared" si="14"/>
        <v>278.08784668160592</v>
      </c>
      <c r="BJ18" s="181">
        <f t="shared" si="14"/>
        <v>275.67740877853618</v>
      </c>
      <c r="BK18" s="182">
        <f t="shared" si="14"/>
        <v>269.64407458389809</v>
      </c>
      <c r="BL18" s="110">
        <f t="shared" si="14"/>
        <v>1107.2483256032358</v>
      </c>
      <c r="BM18" s="180">
        <f t="shared" ref="BM18:BQ18" si="15">SUM(BM10:BM10,BM13:BM17)</f>
        <v>233.50304688443919</v>
      </c>
      <c r="BN18" s="181">
        <f t="shared" si="15"/>
        <v>230.40100718271981</v>
      </c>
      <c r="BO18" s="181">
        <f t="shared" si="15"/>
        <v>224.16533337816952</v>
      </c>
      <c r="BP18" s="182">
        <f t="shared" si="15"/>
        <v>224.16533337816952</v>
      </c>
      <c r="BQ18" s="110">
        <f t="shared" si="15"/>
        <v>912.23472082349804</v>
      </c>
      <c r="BR18" s="19"/>
      <c r="BS18" s="1499"/>
      <c r="BT18" s="1499"/>
      <c r="BU18" s="1499"/>
      <c r="BV18" s="1499"/>
      <c r="BW18" s="1499"/>
      <c r="BX18" s="1499"/>
      <c r="BY18" s="1499"/>
      <c r="BZ18" s="1499"/>
      <c r="CA18" s="1499"/>
      <c r="CB18" s="1499"/>
    </row>
    <row r="19" spans="1:80">
      <c r="A19" s="320"/>
      <c r="B19" s="320"/>
      <c r="C19" s="1128"/>
      <c r="D19" s="320"/>
      <c r="E19" s="335"/>
      <c r="F19" s="336"/>
      <c r="G19" s="336"/>
      <c r="H19" s="247"/>
      <c r="I19" s="110"/>
      <c r="J19" s="180"/>
      <c r="K19" s="181"/>
      <c r="L19" s="181"/>
      <c r="M19" s="247"/>
      <c r="N19" s="110"/>
      <c r="O19" s="180"/>
      <c r="P19" s="181"/>
      <c r="Q19" s="181"/>
      <c r="R19" s="247"/>
      <c r="S19" s="110"/>
      <c r="T19" s="180"/>
      <c r="U19" s="181"/>
      <c r="V19" s="181"/>
      <c r="W19" s="247"/>
      <c r="X19" s="110"/>
      <c r="Y19" s="180"/>
      <c r="Z19" s="181"/>
      <c r="AA19" s="181"/>
      <c r="AB19" s="247"/>
      <c r="AC19" s="110"/>
      <c r="AD19" s="180"/>
      <c r="AE19" s="181"/>
      <c r="AF19" s="181"/>
      <c r="AG19" s="247"/>
      <c r="AH19" s="110"/>
      <c r="AI19" s="180"/>
      <c r="AJ19" s="181"/>
      <c r="AK19" s="181"/>
      <c r="AL19" s="247"/>
      <c r="AM19" s="110"/>
      <c r="AN19" s="180"/>
      <c r="AO19" s="181"/>
      <c r="AP19" s="181"/>
      <c r="AQ19" s="247"/>
      <c r="AR19" s="110"/>
      <c r="AS19" s="180"/>
      <c r="AT19" s="181"/>
      <c r="AU19" s="181"/>
      <c r="AV19" s="247"/>
      <c r="AW19" s="110"/>
      <c r="AX19" s="180"/>
      <c r="AY19" s="181"/>
      <c r="AZ19" s="181"/>
      <c r="BA19" s="182"/>
      <c r="BB19" s="110"/>
      <c r="BC19" s="180"/>
      <c r="BD19" s="181"/>
      <c r="BE19" s="181"/>
      <c r="BF19" s="182"/>
      <c r="BG19" s="110"/>
      <c r="BH19" s="180"/>
      <c r="BI19" s="181"/>
      <c r="BJ19" s="181"/>
      <c r="BK19" s="182"/>
      <c r="BL19" s="110"/>
      <c r="BM19" s="180"/>
      <c r="BN19" s="181"/>
      <c r="BO19" s="181"/>
      <c r="BP19" s="182"/>
      <c r="BQ19" s="110"/>
      <c r="BR19" s="19"/>
      <c r="BS19" s="1499"/>
      <c r="BT19" s="1499"/>
      <c r="BU19" s="1499"/>
      <c r="BV19" s="1499"/>
      <c r="BW19" s="1499"/>
      <c r="BX19" s="1499"/>
      <c r="BY19" s="1499"/>
      <c r="BZ19" s="1499"/>
      <c r="CA19" s="1499"/>
      <c r="CB19" s="1499"/>
    </row>
    <row r="20" spans="1:80">
      <c r="A20" s="320"/>
      <c r="B20" s="320"/>
      <c r="C20" s="1128" t="s">
        <v>322</v>
      </c>
      <c r="D20" s="320"/>
      <c r="E20" s="335">
        <f t="shared" ref="E20:AA20" si="16">E9-E18</f>
        <v>287.65299999999996</v>
      </c>
      <c r="F20" s="336">
        <f t="shared" si="16"/>
        <v>170.68799999999999</v>
      </c>
      <c r="G20" s="336">
        <f t="shared" si="16"/>
        <v>290.9670000000001</v>
      </c>
      <c r="H20" s="247">
        <f t="shared" si="16"/>
        <v>206.10900000000015</v>
      </c>
      <c r="I20" s="110">
        <f t="shared" si="16"/>
        <v>955.41699999999969</v>
      </c>
      <c r="J20" s="180">
        <f t="shared" si="16"/>
        <v>178.87700000000001</v>
      </c>
      <c r="K20" s="181">
        <f t="shared" si="16"/>
        <v>150.55900000000003</v>
      </c>
      <c r="L20" s="181">
        <f t="shared" si="16"/>
        <v>143.13199999999995</v>
      </c>
      <c r="M20" s="247">
        <f t="shared" si="16"/>
        <v>160.71400000000006</v>
      </c>
      <c r="N20" s="110">
        <f t="shared" si="16"/>
        <v>633.28199999999993</v>
      </c>
      <c r="O20" s="180">
        <f t="shared" si="16"/>
        <v>185.25799999999998</v>
      </c>
      <c r="P20" s="181">
        <f t="shared" si="16"/>
        <v>108.21199999999999</v>
      </c>
      <c r="Q20" s="181">
        <f t="shared" si="16"/>
        <v>170.84499999999997</v>
      </c>
      <c r="R20" s="247">
        <f t="shared" si="16"/>
        <v>160.90100000000018</v>
      </c>
      <c r="S20" s="110">
        <f t="shared" si="16"/>
        <v>625.21599999999989</v>
      </c>
      <c r="T20" s="180">
        <f t="shared" si="16"/>
        <v>71.240999999999872</v>
      </c>
      <c r="U20" s="181">
        <f t="shared" si="16"/>
        <v>100.94099999999992</v>
      </c>
      <c r="V20" s="181">
        <f t="shared" si="16"/>
        <v>129.44400000000007</v>
      </c>
      <c r="W20" s="247">
        <f t="shared" si="16"/>
        <v>87.564000000000078</v>
      </c>
      <c r="X20" s="110">
        <f t="shared" si="16"/>
        <v>389.18999999999983</v>
      </c>
      <c r="Y20" s="180">
        <f t="shared" si="16"/>
        <v>118.53099999999995</v>
      </c>
      <c r="Z20" s="181">
        <f>Z9-Z18</f>
        <v>-17.263999999999896</v>
      </c>
      <c r="AA20" s="181">
        <f t="shared" si="16"/>
        <v>76.958000000000084</v>
      </c>
      <c r="AB20" s="247">
        <f>AB9-AB18</f>
        <v>-26.244999999999891</v>
      </c>
      <c r="AC20" s="110">
        <f>AC9-AC18</f>
        <v>151.98000000000002</v>
      </c>
      <c r="AD20" s="180">
        <f>AD9-AD18</f>
        <v>345.65499999999997</v>
      </c>
      <c r="AE20" s="181">
        <f>AE9-AE18</f>
        <v>32.642999999999915</v>
      </c>
      <c r="AF20" s="181">
        <f t="shared" ref="AF20" si="17">AF9-AF18</f>
        <v>49.746999999999957</v>
      </c>
      <c r="AG20" s="247">
        <f>AG9-AG18</f>
        <v>75.664000000000215</v>
      </c>
      <c r="AH20" s="110">
        <f>AH9-AH18</f>
        <v>503.70900000000029</v>
      </c>
      <c r="AI20" s="180">
        <f>AI9-AI18</f>
        <v>155.84400000000005</v>
      </c>
      <c r="AJ20" s="181">
        <f>AJ9-AJ18</f>
        <v>-30.557999999999993</v>
      </c>
      <c r="AK20" s="181">
        <f t="shared" ref="AK20" si="18">AK9-AK18</f>
        <v>37.91799999999995</v>
      </c>
      <c r="AL20" s="247">
        <f t="shared" ref="AL20:AR20" si="19">AL9-AL18</f>
        <v>-17.288999999999476</v>
      </c>
      <c r="AM20" s="110">
        <f t="shared" si="19"/>
        <v>145.91500000000042</v>
      </c>
      <c r="AN20" s="180">
        <f t="shared" si="19"/>
        <v>122.17099999999994</v>
      </c>
      <c r="AO20" s="181">
        <f t="shared" si="19"/>
        <v>-2.0729999999999791</v>
      </c>
      <c r="AP20" s="181">
        <f t="shared" si="19"/>
        <v>12.239000000000033</v>
      </c>
      <c r="AQ20" s="247">
        <f t="shared" si="19"/>
        <v>-54.969000000000278</v>
      </c>
      <c r="AR20" s="110">
        <f t="shared" si="19"/>
        <v>77.367999999999711</v>
      </c>
      <c r="AS20" s="180">
        <f t="shared" ref="AS20:AT20" si="20">AS9-AS18</f>
        <v>42.805999999999926</v>
      </c>
      <c r="AT20" s="181">
        <f t="shared" si="20"/>
        <v>-89.032999999999959</v>
      </c>
      <c r="AU20" s="181">
        <f t="shared" ref="AU20:BB20" si="21">AU9-AU18</f>
        <v>59.995999999999981</v>
      </c>
      <c r="AV20" s="247">
        <f t="shared" si="21"/>
        <v>-15.241999999999962</v>
      </c>
      <c r="AW20" s="110">
        <f t="shared" si="21"/>
        <v>-1.4730000000001837</v>
      </c>
      <c r="AX20" s="180">
        <f t="shared" si="21"/>
        <v>-18.072514471205238</v>
      </c>
      <c r="AY20" s="181">
        <f t="shared" si="21"/>
        <v>5.5382212326501303</v>
      </c>
      <c r="AZ20" s="181">
        <f t="shared" si="21"/>
        <v>16.134420491592323</v>
      </c>
      <c r="BA20" s="182">
        <f t="shared" si="21"/>
        <v>0.54063000940868733</v>
      </c>
      <c r="BB20" s="110">
        <f t="shared" si="21"/>
        <v>4.1407572624457316</v>
      </c>
      <c r="BC20" s="180">
        <f t="shared" ref="BC20:BL20" si="22">BC9-BC18</f>
        <v>39.243293354001764</v>
      </c>
      <c r="BD20" s="181">
        <f t="shared" si="22"/>
        <v>-4.9587326079272884</v>
      </c>
      <c r="BE20" s="181">
        <f t="shared" si="22"/>
        <v>-34.943293533843189</v>
      </c>
      <c r="BF20" s="182">
        <f t="shared" si="22"/>
        <v>-57.016059900714424</v>
      </c>
      <c r="BG20" s="110">
        <f t="shared" si="22"/>
        <v>-57.674792688482967</v>
      </c>
      <c r="BH20" s="180">
        <f t="shared" si="22"/>
        <v>110.28387118573539</v>
      </c>
      <c r="BI20" s="181">
        <f t="shared" si="22"/>
        <v>-44.49583575721249</v>
      </c>
      <c r="BJ20" s="181">
        <f t="shared" si="22"/>
        <v>-79.074453140394866</v>
      </c>
      <c r="BK20" s="182">
        <f t="shared" si="22"/>
        <v>-92.315350826316518</v>
      </c>
      <c r="BL20" s="110">
        <f t="shared" si="22"/>
        <v>-105.60176853818859</v>
      </c>
      <c r="BM20" s="180">
        <f t="shared" ref="BM20:BQ20" si="23">BM9-BM18</f>
        <v>-32.452056001659969</v>
      </c>
      <c r="BN20" s="181">
        <f t="shared" si="23"/>
        <v>-49.059177186238202</v>
      </c>
      <c r="BO20" s="181">
        <f t="shared" si="23"/>
        <v>-92.906651777703729</v>
      </c>
      <c r="BP20" s="182">
        <f t="shared" si="23"/>
        <v>-92.858291933738911</v>
      </c>
      <c r="BQ20" s="110">
        <f t="shared" si="23"/>
        <v>-267.27617689934073</v>
      </c>
      <c r="BR20" s="19"/>
      <c r="BS20" s="1499"/>
      <c r="BT20" s="1499"/>
      <c r="BU20" s="1499"/>
      <c r="BV20" s="1499"/>
      <c r="BW20" s="1499"/>
      <c r="BX20" s="1499"/>
      <c r="BY20" s="1499"/>
      <c r="BZ20" s="1499"/>
      <c r="CA20" s="1499"/>
      <c r="CB20" s="1499"/>
    </row>
    <row r="21" spans="1:80">
      <c r="A21" s="320"/>
      <c r="B21" s="320"/>
      <c r="C21" s="1128"/>
      <c r="D21" s="320"/>
      <c r="E21" s="335"/>
      <c r="F21" s="336"/>
      <c r="G21" s="336"/>
      <c r="H21" s="247"/>
      <c r="I21" s="110"/>
      <c r="J21" s="180"/>
      <c r="K21" s="181"/>
      <c r="L21" s="181"/>
      <c r="M21" s="247"/>
      <c r="N21" s="110"/>
      <c r="O21" s="180"/>
      <c r="P21" s="181"/>
      <c r="Q21" s="181"/>
      <c r="R21" s="247"/>
      <c r="S21" s="110"/>
      <c r="T21" s="180"/>
      <c r="U21" s="181"/>
      <c r="V21" s="181"/>
      <c r="W21" s="247"/>
      <c r="X21" s="110"/>
      <c r="Y21" s="180"/>
      <c r="Z21" s="181"/>
      <c r="AA21" s="181"/>
      <c r="AB21" s="247"/>
      <c r="AC21" s="110"/>
      <c r="AD21" s="180"/>
      <c r="AE21" s="181"/>
      <c r="AF21" s="181"/>
      <c r="AG21" s="247"/>
      <c r="AH21" s="110"/>
      <c r="AI21" s="180"/>
      <c r="AJ21" s="181"/>
      <c r="AK21" s="181"/>
      <c r="AL21" s="247"/>
      <c r="AM21" s="110"/>
      <c r="AN21" s="180"/>
      <c r="AO21" s="181"/>
      <c r="AP21" s="181"/>
      <c r="AQ21" s="247"/>
      <c r="AR21" s="110"/>
      <c r="AS21" s="180"/>
      <c r="AT21" s="181"/>
      <c r="AU21" s="181"/>
      <c r="AV21" s="247"/>
      <c r="AW21" s="110"/>
      <c r="AX21" s="180"/>
      <c r="AY21" s="181"/>
      <c r="AZ21" s="181"/>
      <c r="BA21" s="182"/>
      <c r="BB21" s="110"/>
      <c r="BC21" s="180"/>
      <c r="BD21" s="181"/>
      <c r="BE21" s="181"/>
      <c r="BF21" s="182"/>
      <c r="BG21" s="110"/>
      <c r="BH21" s="180"/>
      <c r="BI21" s="181"/>
      <c r="BJ21" s="181"/>
      <c r="BK21" s="182"/>
      <c r="BL21" s="110"/>
      <c r="BM21" s="180"/>
      <c r="BN21" s="181"/>
      <c r="BO21" s="181"/>
      <c r="BP21" s="182"/>
      <c r="BQ21" s="110"/>
      <c r="BR21" s="19"/>
      <c r="BS21" s="1499"/>
      <c r="BT21" s="1499"/>
      <c r="BU21" s="1499"/>
      <c r="BV21" s="1499"/>
      <c r="BW21" s="1499"/>
      <c r="BX21" s="1499"/>
      <c r="BY21" s="1499"/>
      <c r="BZ21" s="1499"/>
      <c r="CA21" s="1499"/>
      <c r="CB21" s="1499"/>
    </row>
    <row r="22" spans="1:80">
      <c r="A22" s="320"/>
      <c r="B22" s="320"/>
      <c r="C22" s="1213" t="s">
        <v>604</v>
      </c>
      <c r="D22" s="320"/>
      <c r="E22" s="405">
        <v>29.308</v>
      </c>
      <c r="F22" s="406">
        <v>35.750999999999998</v>
      </c>
      <c r="G22" s="406">
        <v>43.878</v>
      </c>
      <c r="H22" s="251">
        <f>I22-SUM(E22:G22)</f>
        <v>87.554999999999993</v>
      </c>
      <c r="I22" s="348">
        <v>196.49199999999999</v>
      </c>
      <c r="J22" s="393">
        <v>49.485999999999997</v>
      </c>
      <c r="K22" s="190">
        <v>39.034999999999997</v>
      </c>
      <c r="L22" s="190">
        <v>43.042999999999999</v>
      </c>
      <c r="M22" s="251">
        <f>N22-SUM(J22:L22)</f>
        <v>39.593999999999994</v>
      </c>
      <c r="N22" s="348">
        <v>171.15799999999999</v>
      </c>
      <c r="O22" s="393">
        <v>30.898</v>
      </c>
      <c r="P22" s="190">
        <v>32.985999999999997</v>
      </c>
      <c r="Q22" s="190">
        <v>33.610999999999997</v>
      </c>
      <c r="R22" s="251">
        <f>S22-SUM(O22:Q22)</f>
        <v>38.996999999999986</v>
      </c>
      <c r="S22" s="348">
        <v>136.49199999999999</v>
      </c>
      <c r="T22" s="393">
        <v>40.292999999999999</v>
      </c>
      <c r="U22" s="190">
        <v>37.140999999999998</v>
      </c>
      <c r="V22" s="190">
        <v>29.606000000000002</v>
      </c>
      <c r="W22" s="251">
        <f>X22-SUM(T22:V22)</f>
        <v>-1.9779999999999944</v>
      </c>
      <c r="X22" s="348">
        <v>105.062</v>
      </c>
      <c r="Y22" s="393">
        <v>28.199000000000002</v>
      </c>
      <c r="Z22" s="190">
        <v>22.408999999999999</v>
      </c>
      <c r="AA22" s="190">
        <v>20.946000000000002</v>
      </c>
      <c r="AB22" s="251">
        <f>AC22-SUM(Y22:AA22)</f>
        <v>66.173000000000002</v>
      </c>
      <c r="AC22" s="348">
        <v>137.727</v>
      </c>
      <c r="AD22" s="393">
        <v>26.359000000000002</v>
      </c>
      <c r="AE22" s="190">
        <v>21.722000000000001</v>
      </c>
      <c r="AF22" s="190">
        <v>28.655999999999999</v>
      </c>
      <c r="AG22" s="251">
        <f>AH22-SUM(AD22:AF22)</f>
        <v>37.222000000000008</v>
      </c>
      <c r="AH22" s="348">
        <v>113.959</v>
      </c>
      <c r="AI22" s="393">
        <v>50.162999999999997</v>
      </c>
      <c r="AJ22" s="190">
        <v>36.274000000000001</v>
      </c>
      <c r="AK22" s="190">
        <v>29.413</v>
      </c>
      <c r="AL22" s="251">
        <f>AM22-SUM(AI22:AK22)</f>
        <v>32.804000000000002</v>
      </c>
      <c r="AM22" s="348">
        <v>148.654</v>
      </c>
      <c r="AN22" s="393">
        <v>26.809000000000001</v>
      </c>
      <c r="AO22" s="190">
        <v>33.521000000000001</v>
      </c>
      <c r="AP22" s="190">
        <v>27.048999999999999</v>
      </c>
      <c r="AQ22" s="251">
        <f>AR22-SUM(AN22:AP22)</f>
        <v>21.087000000000003</v>
      </c>
      <c r="AR22" s="348">
        <v>108.46599999999999</v>
      </c>
      <c r="AS22" s="393">
        <v>43.137999999999998</v>
      </c>
      <c r="AT22" s="190">
        <v>58.904000000000003</v>
      </c>
      <c r="AU22" s="190">
        <v>41.146000000000001</v>
      </c>
      <c r="AV22" s="251">
        <f>AW22-SUM(AS22:AU22)</f>
        <v>80.933000000000021</v>
      </c>
      <c r="AW22" s="348">
        <v>224.12100000000001</v>
      </c>
      <c r="AX22" s="197">
        <f>AX403</f>
        <v>63.265625</v>
      </c>
      <c r="AY22" s="198">
        <f t="shared" ref="AY22:BA22" si="24">AY403</f>
        <v>63.265625</v>
      </c>
      <c r="AZ22" s="198">
        <f t="shared" si="24"/>
        <v>63.265625</v>
      </c>
      <c r="BA22" s="193">
        <f t="shared" si="24"/>
        <v>63.265625</v>
      </c>
      <c r="BB22" s="107">
        <f>SUM(AX22:BA22)</f>
        <v>253.0625</v>
      </c>
      <c r="BC22" s="197">
        <f>BC403</f>
        <v>67.2197265625</v>
      </c>
      <c r="BD22" s="198">
        <f t="shared" ref="BD22:BF22" si="25">BD403</f>
        <v>67.2197265625</v>
      </c>
      <c r="BE22" s="198">
        <f t="shared" si="25"/>
        <v>67.2197265625</v>
      </c>
      <c r="BF22" s="193">
        <f t="shared" si="25"/>
        <v>67.2197265625</v>
      </c>
      <c r="BG22" s="107">
        <f>SUM(BC22:BF22)</f>
        <v>268.87890625</v>
      </c>
      <c r="BH22" s="197">
        <f>BH403</f>
        <v>71.42095947265625</v>
      </c>
      <c r="BI22" s="198">
        <f t="shared" ref="BI22:BK22" si="26">BI403</f>
        <v>71.42095947265625</v>
      </c>
      <c r="BJ22" s="198">
        <f t="shared" si="26"/>
        <v>71.42095947265625</v>
      </c>
      <c r="BK22" s="193">
        <f t="shared" si="26"/>
        <v>71.42095947265625</v>
      </c>
      <c r="BL22" s="107">
        <f>SUM(BH22:BK22)</f>
        <v>285.683837890625</v>
      </c>
      <c r="BM22" s="197">
        <f>BM403</f>
        <v>75.884769439697266</v>
      </c>
      <c r="BN22" s="198">
        <f t="shared" ref="BN22:BP22" si="27">BN403</f>
        <v>75.884769439697266</v>
      </c>
      <c r="BO22" s="198">
        <f t="shared" si="27"/>
        <v>75.884769439697266</v>
      </c>
      <c r="BP22" s="193">
        <f t="shared" si="27"/>
        <v>75.884769439697266</v>
      </c>
      <c r="BQ22" s="107">
        <f>SUM(BM22:BP22)</f>
        <v>303.53907775878906</v>
      </c>
      <c r="BR22" s="19"/>
      <c r="BS22" s="1499"/>
      <c r="BT22" s="1499"/>
      <c r="BU22" s="1499"/>
      <c r="BV22" s="1499"/>
      <c r="BW22" s="1499"/>
      <c r="BX22" s="1499"/>
      <c r="BY22" s="1499"/>
      <c r="BZ22" s="1499"/>
      <c r="CA22" s="1499"/>
      <c r="CB22" s="1499"/>
    </row>
    <row r="23" spans="1:80">
      <c r="A23" s="320"/>
      <c r="B23" s="320"/>
      <c r="C23" s="1125" t="s">
        <v>327</v>
      </c>
      <c r="D23" s="320"/>
      <c r="E23" s="405">
        <f>-15.737-5.058</f>
        <v>-20.795000000000002</v>
      </c>
      <c r="F23" s="406">
        <f>-69.203-3.149-15.684</f>
        <v>-88.036000000000001</v>
      </c>
      <c r="G23" s="406">
        <f>-4.859-0.457</f>
        <v>-5.3159999999999998</v>
      </c>
      <c r="H23" s="251">
        <f>I23-SUM(E23:G23)</f>
        <v>3.8649999999999949</v>
      </c>
      <c r="I23" s="348">
        <f>-86.069-24.213</f>
        <v>-110.28200000000001</v>
      </c>
      <c r="J23" s="393">
        <f>-0.212+1.874</f>
        <v>1.6620000000000001</v>
      </c>
      <c r="K23" s="190">
        <v>-8.4589999999999996</v>
      </c>
      <c r="L23" s="190">
        <v>-5.77</v>
      </c>
      <c r="M23" s="251">
        <f>N23-SUM(J23:L23)</f>
        <v>38.015000000000001</v>
      </c>
      <c r="N23" s="348">
        <f>-17.347-1.378+44.173</f>
        <v>25.448</v>
      </c>
      <c r="O23" s="393">
        <v>-3.2370000000000001</v>
      </c>
      <c r="P23" s="190">
        <v>-6.6820000000000004</v>
      </c>
      <c r="Q23" s="190">
        <v>-4.1959999999999997</v>
      </c>
      <c r="R23" s="251">
        <f>S23-SUM(O23:Q23)</f>
        <v>-9.6620000000000008</v>
      </c>
      <c r="S23" s="348">
        <f>-23.637-0.14</f>
        <v>-23.777000000000001</v>
      </c>
      <c r="T23" s="393">
        <f>-7.781-355.524</f>
        <v>-363.30500000000001</v>
      </c>
      <c r="U23" s="190">
        <v>-4.7409999999999997</v>
      </c>
      <c r="V23" s="190">
        <v>-3.0379999999999998</v>
      </c>
      <c r="W23" s="251">
        <f>X23-SUM(T23:V23)</f>
        <v>-3.5110000000000241</v>
      </c>
      <c r="X23" s="348">
        <f>-355.524-19.071</f>
        <v>-374.59500000000003</v>
      </c>
      <c r="Y23" s="393">
        <v>-4.6120000000000001</v>
      </c>
      <c r="Z23" s="190">
        <v>-4.2809999999999997</v>
      </c>
      <c r="AA23" s="190">
        <f>-2.296-291.505</f>
        <v>-293.80099999999999</v>
      </c>
      <c r="AB23" s="251">
        <f>AC23-SUM(Y23:AA23)</f>
        <v>-5.1850000000000591</v>
      </c>
      <c r="AC23" s="348">
        <f>-22.112-329.336+43.569</f>
        <v>-307.87900000000002</v>
      </c>
      <c r="AD23" s="393">
        <v>-5.6059999999999999</v>
      </c>
      <c r="AE23" s="190">
        <v>-5.0599999999999996</v>
      </c>
      <c r="AF23" s="190">
        <f>-102.978-2.013</f>
        <v>-104.991</v>
      </c>
      <c r="AG23" s="251">
        <f>AH23-SUM(AD23:AF23)</f>
        <v>-13.856000000000009</v>
      </c>
      <c r="AH23" s="348">
        <f>-107.527-21.986</f>
        <v>-129.51300000000001</v>
      </c>
      <c r="AI23" s="393">
        <v>-6.47</v>
      </c>
      <c r="AJ23" s="190">
        <v>-6.7560000000000002</v>
      </c>
      <c r="AK23" s="190">
        <f>-3.819-1642.204</f>
        <v>-1646.0229999999999</v>
      </c>
      <c r="AL23" s="251">
        <f>AM23-SUM(AI23:AK23)</f>
        <v>-284.52800000000002</v>
      </c>
      <c r="AM23" s="348">
        <f>-61.58-2036.234+154.037</f>
        <v>-1943.7769999999998</v>
      </c>
      <c r="AN23" s="393">
        <f>-3.646-7.361</f>
        <v>-11.007</v>
      </c>
      <c r="AO23" s="190">
        <f>-2.225-6.969</f>
        <v>-9.1940000000000008</v>
      </c>
      <c r="AP23" s="190">
        <f>-0.741-18.841</f>
        <v>-19.582000000000001</v>
      </c>
      <c r="AQ23" s="251">
        <f>AR23-SUM(AN23:AP23)</f>
        <v>-2808.5800000000004</v>
      </c>
      <c r="AR23" s="348">
        <f>-12.726-2835.637</f>
        <v>-2848.3630000000003</v>
      </c>
      <c r="AS23" s="393">
        <f>10.484-211.791+16.27</f>
        <v>-185.03699999999998</v>
      </c>
      <c r="AT23" s="190">
        <f>-1.302-193.571</f>
        <v>-194.87299999999999</v>
      </c>
      <c r="AU23" s="190">
        <f>1.736-16.221</f>
        <v>-14.484999999999999</v>
      </c>
      <c r="AV23" s="251">
        <f>AW23-SUM(AS23:AU23)</f>
        <v>-123.35400000000004</v>
      </c>
      <c r="AW23" s="348">
        <f>4.353-538.372+16.27</f>
        <v>-517.74900000000002</v>
      </c>
      <c r="AX23" s="183">
        <f>AX28</f>
        <v>8.4181299999999997</v>
      </c>
      <c r="AY23" s="184">
        <f t="shared" ref="AY23:BA23" si="28">AY28</f>
        <v>5.9740206684136155</v>
      </c>
      <c r="AZ23" s="184">
        <f t="shared" si="28"/>
        <v>5.1765141297156649</v>
      </c>
      <c r="BA23" s="185">
        <f t="shared" si="28"/>
        <v>5.6565589932408864</v>
      </c>
      <c r="BB23" s="107">
        <f>SUM(AX23:BA23)</f>
        <v>25.225223791370166</v>
      </c>
      <c r="BC23" s="183">
        <f>BC28</f>
        <v>8.1308495597990458</v>
      </c>
      <c r="BD23" s="184">
        <f t="shared" ref="BD23:BF23" si="29">BD28</f>
        <v>5.4987627071611076</v>
      </c>
      <c r="BE23" s="184">
        <f t="shared" si="29"/>
        <v>4.6776733230742149</v>
      </c>
      <c r="BF23" s="185">
        <f t="shared" si="29"/>
        <v>5.1773076525416926</v>
      </c>
      <c r="BG23" s="107">
        <f>SUM(BC23:BF23)</f>
        <v>23.484593242576061</v>
      </c>
      <c r="BH23" s="183">
        <f>BH28</f>
        <v>7.9403762788640009</v>
      </c>
      <c r="BI23" s="184">
        <f t="shared" ref="BI23:BK23" si="30">BI28</f>
        <v>4.9499579161146059</v>
      </c>
      <c r="BJ23" s="184">
        <f t="shared" si="30"/>
        <v>4.1449224599673524</v>
      </c>
      <c r="BK23" s="185">
        <f t="shared" si="30"/>
        <v>4.6981282704234024</v>
      </c>
      <c r="BL23" s="107">
        <f>SUM(BH23:BK23)</f>
        <v>21.733384925369364</v>
      </c>
      <c r="BM23" s="183">
        <f>BM28</f>
        <v>8.0689945627818673</v>
      </c>
      <c r="BN23" s="184">
        <f t="shared" ref="BN23:BP23" si="31">BN28</f>
        <v>5.0665534308646905</v>
      </c>
      <c r="BO23" s="184">
        <f t="shared" si="31"/>
        <v>4.1955807169538444</v>
      </c>
      <c r="BP23" s="185">
        <f t="shared" si="31"/>
        <v>4.7746690003629331</v>
      </c>
      <c r="BQ23" s="107">
        <f>SUM(BM23:BP23)</f>
        <v>22.105797710963337</v>
      </c>
      <c r="BR23" s="19"/>
      <c r="BS23" s="1499"/>
      <c r="BT23" s="1499"/>
      <c r="BU23" s="1499"/>
      <c r="BV23" s="1499"/>
      <c r="BW23" s="1499"/>
      <c r="BX23" s="1499"/>
      <c r="BY23" s="1499"/>
      <c r="BZ23" s="1499"/>
      <c r="CA23" s="1499"/>
      <c r="CB23" s="1499"/>
    </row>
    <row r="24" spans="1:80">
      <c r="A24" s="320"/>
      <c r="B24" s="320"/>
      <c r="C24" s="1125"/>
      <c r="D24" s="320"/>
      <c r="E24" s="405"/>
      <c r="F24" s="406"/>
      <c r="G24" s="406"/>
      <c r="H24" s="251"/>
      <c r="I24" s="348"/>
      <c r="J24" s="393"/>
      <c r="K24" s="190"/>
      <c r="L24" s="190"/>
      <c r="M24" s="251"/>
      <c r="N24" s="348"/>
      <c r="O24" s="393"/>
      <c r="P24" s="190"/>
      <c r="Q24" s="190"/>
      <c r="R24" s="251"/>
      <c r="S24" s="348"/>
      <c r="T24" s="393"/>
      <c r="U24" s="190"/>
      <c r="V24" s="190"/>
      <c r="W24" s="251"/>
      <c r="X24" s="348"/>
      <c r="Y24" s="393"/>
      <c r="Z24" s="190"/>
      <c r="AA24" s="190"/>
      <c r="AB24" s="251"/>
      <c r="AC24" s="348"/>
      <c r="AD24" s="393"/>
      <c r="AE24" s="190"/>
      <c r="AF24" s="190"/>
      <c r="AG24" s="251"/>
      <c r="AH24" s="348"/>
      <c r="AI24" s="393"/>
      <c r="AJ24" s="190"/>
      <c r="AK24" s="190"/>
      <c r="AL24" s="251"/>
      <c r="AM24" s="348"/>
      <c r="AN24" s="393"/>
      <c r="AO24" s="190"/>
      <c r="AP24" s="190"/>
      <c r="AQ24" s="251"/>
      <c r="AR24" s="348"/>
      <c r="AS24" s="393"/>
      <c r="AT24" s="184"/>
      <c r="AU24" s="184"/>
      <c r="AV24" s="251"/>
      <c r="AW24" s="348"/>
      <c r="AX24" s="183"/>
      <c r="AY24" s="184"/>
      <c r="AZ24" s="184"/>
      <c r="BA24" s="185"/>
      <c r="BB24" s="107"/>
      <c r="BC24" s="183"/>
      <c r="BD24" s="184"/>
      <c r="BE24" s="184"/>
      <c r="BF24" s="185"/>
      <c r="BG24" s="107"/>
      <c r="BH24" s="183"/>
      <c r="BI24" s="184"/>
      <c r="BJ24" s="184"/>
      <c r="BK24" s="185"/>
      <c r="BL24" s="107"/>
      <c r="BM24" s="183"/>
      <c r="BN24" s="184"/>
      <c r="BO24" s="184"/>
      <c r="BP24" s="185"/>
      <c r="BQ24" s="107"/>
      <c r="BR24" s="19"/>
      <c r="BS24" s="1499"/>
      <c r="BT24" s="1499"/>
      <c r="BU24" s="1499"/>
      <c r="BV24" s="1499"/>
      <c r="BW24" s="1499"/>
      <c r="BX24" s="1499"/>
      <c r="BY24" s="1499"/>
      <c r="BZ24" s="1499"/>
      <c r="CA24" s="1499"/>
      <c r="CB24" s="1499"/>
    </row>
    <row r="25" spans="1:80" ht="12" customHeight="1">
      <c r="A25" s="320"/>
      <c r="B25" s="320"/>
      <c r="C25" s="1128" t="s">
        <v>34</v>
      </c>
      <c r="D25" s="320"/>
      <c r="E25" s="335">
        <f t="shared" ref="E25:Y25" si="32">E20+SUM(E22:E23)</f>
        <v>296.16599999999994</v>
      </c>
      <c r="F25" s="336">
        <f t="shared" si="32"/>
        <v>118.40299999999999</v>
      </c>
      <c r="G25" s="336">
        <f t="shared" si="32"/>
        <v>329.52900000000011</v>
      </c>
      <c r="H25" s="247">
        <f t="shared" si="32"/>
        <v>297.52900000000011</v>
      </c>
      <c r="I25" s="110">
        <f t="shared" si="32"/>
        <v>1041.6269999999997</v>
      </c>
      <c r="J25" s="180">
        <f t="shared" si="32"/>
        <v>230.02500000000001</v>
      </c>
      <c r="K25" s="181">
        <f t="shared" si="32"/>
        <v>181.13500000000002</v>
      </c>
      <c r="L25" s="181">
        <f t="shared" si="32"/>
        <v>180.40499999999994</v>
      </c>
      <c r="M25" s="247">
        <f t="shared" si="32"/>
        <v>238.32300000000004</v>
      </c>
      <c r="N25" s="110">
        <f t="shared" si="32"/>
        <v>829.88799999999992</v>
      </c>
      <c r="O25" s="180">
        <f t="shared" si="32"/>
        <v>212.91899999999998</v>
      </c>
      <c r="P25" s="181">
        <f t="shared" si="32"/>
        <v>134.51599999999999</v>
      </c>
      <c r="Q25" s="181">
        <f t="shared" si="32"/>
        <v>200.25999999999996</v>
      </c>
      <c r="R25" s="247">
        <f t="shared" si="32"/>
        <v>190.23600000000016</v>
      </c>
      <c r="S25" s="110">
        <f t="shared" si="32"/>
        <v>737.93099999999993</v>
      </c>
      <c r="T25" s="180">
        <f t="shared" si="32"/>
        <v>-251.77100000000013</v>
      </c>
      <c r="U25" s="181">
        <f t="shared" si="32"/>
        <v>133.34099999999992</v>
      </c>
      <c r="V25" s="181">
        <f>V20+SUM(V22:V23)</f>
        <v>156.01200000000009</v>
      </c>
      <c r="W25" s="247">
        <f>W20+SUM(W22:W23)</f>
        <v>82.07500000000006</v>
      </c>
      <c r="X25" s="110">
        <f>X20+SUM(X22:X23)</f>
        <v>119.65699999999981</v>
      </c>
      <c r="Y25" s="180">
        <f t="shared" si="32"/>
        <v>142.11799999999994</v>
      </c>
      <c r="Z25" s="181">
        <f t="shared" ref="Z25:AE25" si="33">Z20+SUM(Z22:Z23)</f>
        <v>0.8640000000001038</v>
      </c>
      <c r="AA25" s="181">
        <f t="shared" si="33"/>
        <v>-195.89699999999988</v>
      </c>
      <c r="AB25" s="247">
        <f t="shared" si="33"/>
        <v>34.743000000000052</v>
      </c>
      <c r="AC25" s="110">
        <f t="shared" si="33"/>
        <v>-18.171999999999997</v>
      </c>
      <c r="AD25" s="180">
        <f t="shared" si="33"/>
        <v>366.40799999999996</v>
      </c>
      <c r="AE25" s="181">
        <f t="shared" si="33"/>
        <v>49.304999999999922</v>
      </c>
      <c r="AF25" s="181">
        <f t="shared" ref="AF25:AJ25" si="34">AF20+SUM(AF22:AF23)</f>
        <v>-26.588000000000051</v>
      </c>
      <c r="AG25" s="247">
        <f t="shared" si="34"/>
        <v>99.030000000000214</v>
      </c>
      <c r="AH25" s="110">
        <f t="shared" si="34"/>
        <v>488.15500000000031</v>
      </c>
      <c r="AI25" s="180">
        <f t="shared" si="34"/>
        <v>199.53700000000003</v>
      </c>
      <c r="AJ25" s="181">
        <f t="shared" si="34"/>
        <v>-1.039999999999992</v>
      </c>
      <c r="AK25" s="181">
        <f t="shared" ref="AK25:AO25" si="35">AK20+SUM(AK22:AK23)</f>
        <v>-1578.692</v>
      </c>
      <c r="AL25" s="247">
        <f t="shared" si="35"/>
        <v>-269.01299999999947</v>
      </c>
      <c r="AM25" s="110">
        <f t="shared" si="35"/>
        <v>-1649.2079999999994</v>
      </c>
      <c r="AN25" s="180">
        <f t="shared" si="35"/>
        <v>137.97299999999993</v>
      </c>
      <c r="AO25" s="181">
        <f t="shared" si="35"/>
        <v>22.254000000000019</v>
      </c>
      <c r="AP25" s="181">
        <f t="shared" ref="AP25:AT25" si="36">AP20+SUM(AP22:AP23)</f>
        <v>19.706000000000031</v>
      </c>
      <c r="AQ25" s="247">
        <f t="shared" si="36"/>
        <v>-2842.4620000000004</v>
      </c>
      <c r="AR25" s="110">
        <f t="shared" si="36"/>
        <v>-2662.5290000000005</v>
      </c>
      <c r="AS25" s="180">
        <f t="shared" si="36"/>
        <v>-99.093000000000046</v>
      </c>
      <c r="AT25" s="181">
        <f t="shared" si="36"/>
        <v>-225.00199999999995</v>
      </c>
      <c r="AU25" s="181">
        <f t="shared" ref="AU25:AW25" si="37">AU20+SUM(AU22:AU23)</f>
        <v>86.656999999999982</v>
      </c>
      <c r="AV25" s="247">
        <f t="shared" si="37"/>
        <v>-57.662999999999982</v>
      </c>
      <c r="AW25" s="110">
        <f t="shared" si="37"/>
        <v>-295.10100000000023</v>
      </c>
      <c r="AX25" s="180">
        <f t="shared" ref="AX25:BB25" si="38">AX20+SUM(AX22:AX23)</f>
        <v>53.611240528794767</v>
      </c>
      <c r="AY25" s="181">
        <f t="shared" si="38"/>
        <v>74.777866901063746</v>
      </c>
      <c r="AZ25" s="181">
        <f t="shared" si="38"/>
        <v>84.576559621307993</v>
      </c>
      <c r="BA25" s="182">
        <f t="shared" si="38"/>
        <v>69.46281400264958</v>
      </c>
      <c r="BB25" s="110">
        <f t="shared" si="38"/>
        <v>282.42848105381591</v>
      </c>
      <c r="BC25" s="180">
        <f t="shared" ref="BC25:BL25" si="39">BC20+SUM(BC22:BC23)</f>
        <v>114.59386947630081</v>
      </c>
      <c r="BD25" s="181">
        <f t="shared" si="39"/>
        <v>67.759756661733817</v>
      </c>
      <c r="BE25" s="181">
        <f t="shared" si="39"/>
        <v>36.954106351731028</v>
      </c>
      <c r="BF25" s="182">
        <f t="shared" si="39"/>
        <v>15.380974314327261</v>
      </c>
      <c r="BG25" s="110">
        <f t="shared" si="39"/>
        <v>234.6887068040931</v>
      </c>
      <c r="BH25" s="180">
        <f t="shared" si="39"/>
        <v>189.64520693725564</v>
      </c>
      <c r="BI25" s="181">
        <f t="shared" si="39"/>
        <v>31.875081631558373</v>
      </c>
      <c r="BJ25" s="181">
        <f t="shared" si="39"/>
        <v>-3.5085712077712685</v>
      </c>
      <c r="BK25" s="182">
        <f t="shared" si="39"/>
        <v>-16.196263083236872</v>
      </c>
      <c r="BL25" s="110">
        <f t="shared" si="39"/>
        <v>201.81545427780577</v>
      </c>
      <c r="BM25" s="180">
        <f t="shared" ref="BM25:BQ25" si="40">BM20+SUM(BM22:BM23)</f>
        <v>51.501708000819164</v>
      </c>
      <c r="BN25" s="181">
        <f t="shared" si="40"/>
        <v>31.892145684323751</v>
      </c>
      <c r="BO25" s="181">
        <f t="shared" si="40"/>
        <v>-12.826301621052622</v>
      </c>
      <c r="BP25" s="182">
        <f t="shared" si="40"/>
        <v>-12.198853493678712</v>
      </c>
      <c r="BQ25" s="110">
        <f t="shared" si="40"/>
        <v>58.368698570411652</v>
      </c>
      <c r="BR25" s="19"/>
      <c r="BS25" s="1499"/>
      <c r="BT25" s="1499"/>
      <c r="BU25" s="1499"/>
      <c r="BV25" s="1499"/>
      <c r="BW25" s="1499"/>
      <c r="BX25" s="1499"/>
      <c r="BY25" s="1499"/>
      <c r="BZ25" s="1499"/>
      <c r="CA25" s="1499"/>
      <c r="CB25" s="1499"/>
    </row>
    <row r="26" spans="1:80" ht="12" customHeight="1">
      <c r="A26" s="320"/>
      <c r="B26" s="320"/>
      <c r="C26" s="1128" t="s">
        <v>317</v>
      </c>
      <c r="D26" s="320"/>
      <c r="E26" s="335">
        <f t="shared" ref="E26:AE26" si="41">E25+E17</f>
        <v>329.80499999999995</v>
      </c>
      <c r="F26" s="336">
        <f t="shared" si="41"/>
        <v>153.428</v>
      </c>
      <c r="G26" s="336">
        <f t="shared" si="41"/>
        <v>365.57800000000009</v>
      </c>
      <c r="H26" s="247">
        <f t="shared" si="41"/>
        <v>344.58300000000008</v>
      </c>
      <c r="I26" s="110">
        <f t="shared" si="41"/>
        <v>1193.3939999999998</v>
      </c>
      <c r="J26" s="180">
        <f t="shared" si="41"/>
        <v>270.53800000000001</v>
      </c>
      <c r="K26" s="181">
        <f t="shared" si="41"/>
        <v>219.32900000000001</v>
      </c>
      <c r="L26" s="181">
        <f t="shared" si="41"/>
        <v>222.20399999999995</v>
      </c>
      <c r="M26" s="247">
        <f t="shared" si="41"/>
        <v>280.99700000000007</v>
      </c>
      <c r="N26" s="110">
        <f t="shared" si="41"/>
        <v>993.06799999999998</v>
      </c>
      <c r="O26" s="180">
        <f t="shared" si="41"/>
        <v>256.14999999999998</v>
      </c>
      <c r="P26" s="181">
        <f t="shared" si="41"/>
        <v>178.69299999999998</v>
      </c>
      <c r="Q26" s="181">
        <f t="shared" si="41"/>
        <v>245.50699999999995</v>
      </c>
      <c r="R26" s="247">
        <f t="shared" si="41"/>
        <v>236.76900000000015</v>
      </c>
      <c r="S26" s="110">
        <f t="shared" si="41"/>
        <v>917.11899999999991</v>
      </c>
      <c r="T26" s="180">
        <f t="shared" si="41"/>
        <v>-200.70000000000013</v>
      </c>
      <c r="U26" s="181">
        <f t="shared" si="41"/>
        <v>181.41099999999992</v>
      </c>
      <c r="V26" s="181">
        <f>V25+V17</f>
        <v>185.59500000000008</v>
      </c>
      <c r="W26" s="247">
        <f>W25+W17</f>
        <v>129.39800000000008</v>
      </c>
      <c r="X26" s="110">
        <f>X25+X17</f>
        <v>295.70399999999984</v>
      </c>
      <c r="Y26" s="180">
        <f t="shared" si="41"/>
        <v>191.36099999999993</v>
      </c>
      <c r="Z26" s="181">
        <f t="shared" si="41"/>
        <v>51.168000000000106</v>
      </c>
      <c r="AA26" s="181">
        <f t="shared" si="41"/>
        <v>-140.77199999999988</v>
      </c>
      <c r="AB26" s="247">
        <f>AB25+AB17</f>
        <v>95.942000000000064</v>
      </c>
      <c r="AC26" s="110">
        <f>AC25+AC17</f>
        <v>197.69900000000001</v>
      </c>
      <c r="AD26" s="180">
        <f t="shared" si="41"/>
        <v>436.55499999999995</v>
      </c>
      <c r="AE26" s="181">
        <f t="shared" si="41"/>
        <v>120.23999999999992</v>
      </c>
      <c r="AF26" s="181">
        <f t="shared" ref="AF26" si="42">AF25+AF17</f>
        <v>45.034999999999954</v>
      </c>
      <c r="AG26" s="247">
        <f>AG25+AG17</f>
        <v>162.24900000000019</v>
      </c>
      <c r="AH26" s="110">
        <f>AH25+AH17</f>
        <v>764.07900000000029</v>
      </c>
      <c r="AI26" s="180">
        <f t="shared" ref="AI26:AK26" si="43">AI25+AI17</f>
        <v>261.8</v>
      </c>
      <c r="AJ26" s="181">
        <f t="shared" si="43"/>
        <v>62.795000000000009</v>
      </c>
      <c r="AK26" s="181">
        <f t="shared" si="43"/>
        <v>-1518.277</v>
      </c>
      <c r="AL26" s="247">
        <f>AL25+AL17</f>
        <v>-216.49399999999946</v>
      </c>
      <c r="AM26" s="110">
        <f>AM25+AM17</f>
        <v>-1410.1759999999995</v>
      </c>
      <c r="AN26" s="180">
        <f t="shared" ref="AN26:AO26" si="44">AN25+AN17</f>
        <v>194.07999999999993</v>
      </c>
      <c r="AO26" s="181">
        <f t="shared" si="44"/>
        <v>68.085000000000022</v>
      </c>
      <c r="AP26" s="181">
        <f t="shared" ref="AP26" si="45">AP25+AP17</f>
        <v>72.821000000000026</v>
      </c>
      <c r="AQ26" s="247">
        <f>AQ25+AQ17</f>
        <v>-2797.6630000000005</v>
      </c>
      <c r="AR26" s="110">
        <f>AR25+AR17</f>
        <v>-2462.6770000000006</v>
      </c>
      <c r="AS26" s="180">
        <f t="shared" ref="AS26:AT26" si="46">AS25+AS17</f>
        <v>-46.500000000000043</v>
      </c>
      <c r="AT26" s="181">
        <f t="shared" si="46"/>
        <v>-173.07099999999997</v>
      </c>
      <c r="AU26" s="181">
        <f t="shared" ref="AU26" si="47">AU25+AU17</f>
        <v>139.02099999999999</v>
      </c>
      <c r="AV26" s="247">
        <f>AV25+AV17</f>
        <v>-21.429999999999978</v>
      </c>
      <c r="AW26" s="110">
        <f>AW25+AW17</f>
        <v>-101.98000000000022</v>
      </c>
      <c r="AX26" s="180">
        <f t="shared" ref="AX26:BL26" si="48">AX25+AX17</f>
        <v>93.611240528794767</v>
      </c>
      <c r="AY26" s="181">
        <f t="shared" si="48"/>
        <v>114.77786690106375</v>
      </c>
      <c r="AZ26" s="181">
        <f t="shared" si="48"/>
        <v>124.57655962130799</v>
      </c>
      <c r="BA26" s="182">
        <f t="shared" si="48"/>
        <v>109.46281400264958</v>
      </c>
      <c r="BB26" s="110">
        <f t="shared" si="48"/>
        <v>442.42848105381591</v>
      </c>
      <c r="BC26" s="180">
        <f t="shared" si="48"/>
        <v>154.59386947630082</v>
      </c>
      <c r="BD26" s="181">
        <f t="shared" si="48"/>
        <v>107.75975666173382</v>
      </c>
      <c r="BE26" s="181">
        <f t="shared" si="48"/>
        <v>76.954106351731028</v>
      </c>
      <c r="BF26" s="182">
        <f t="shared" si="48"/>
        <v>55.380974314327261</v>
      </c>
      <c r="BG26" s="110">
        <f t="shared" si="48"/>
        <v>394.6887068040931</v>
      </c>
      <c r="BH26" s="180">
        <f t="shared" si="48"/>
        <v>219.64520693725564</v>
      </c>
      <c r="BI26" s="181">
        <f t="shared" si="48"/>
        <v>61.875081631558373</v>
      </c>
      <c r="BJ26" s="181">
        <f t="shared" si="48"/>
        <v>26.491428792228731</v>
      </c>
      <c r="BK26" s="182">
        <f t="shared" si="48"/>
        <v>13.803736916763128</v>
      </c>
      <c r="BL26" s="110">
        <f t="shared" si="48"/>
        <v>321.81545427780577</v>
      </c>
      <c r="BM26" s="180">
        <f t="shared" ref="BM26:BQ26" si="49">BM25+BM17</f>
        <v>71.501708000819164</v>
      </c>
      <c r="BN26" s="181">
        <f t="shared" si="49"/>
        <v>51.892145684323751</v>
      </c>
      <c r="BO26" s="181">
        <f t="shared" si="49"/>
        <v>7.1736983789473783</v>
      </c>
      <c r="BP26" s="182">
        <f t="shared" si="49"/>
        <v>7.8011465063212881</v>
      </c>
      <c r="BQ26" s="110">
        <f t="shared" si="49"/>
        <v>138.36869857041165</v>
      </c>
      <c r="BR26" s="19"/>
      <c r="BS26" s="1499"/>
      <c r="BT26" s="1499"/>
      <c r="BU26" s="1499"/>
      <c r="BV26" s="1499"/>
      <c r="BW26" s="1499"/>
      <c r="BX26" s="1499"/>
      <c r="BY26" s="1499"/>
      <c r="BZ26" s="1499"/>
      <c r="CA26" s="1499"/>
      <c r="CB26" s="1499"/>
    </row>
    <row r="27" spans="1:80" ht="12" customHeight="1">
      <c r="A27" s="320"/>
      <c r="B27" s="320"/>
      <c r="C27" s="1128"/>
      <c r="D27" s="320"/>
      <c r="E27" s="335"/>
      <c r="F27" s="336"/>
      <c r="G27" s="336"/>
      <c r="H27" s="247"/>
      <c r="I27" s="110"/>
      <c r="J27" s="180"/>
      <c r="K27" s="181"/>
      <c r="L27" s="181"/>
      <c r="M27" s="247"/>
      <c r="N27" s="110"/>
      <c r="O27" s="180"/>
      <c r="P27" s="181"/>
      <c r="Q27" s="181"/>
      <c r="R27" s="247"/>
      <c r="S27" s="110"/>
      <c r="T27" s="180"/>
      <c r="U27" s="181"/>
      <c r="V27" s="181"/>
      <c r="W27" s="247"/>
      <c r="X27" s="110"/>
      <c r="Y27" s="180"/>
      <c r="Z27" s="181"/>
      <c r="AA27" s="181"/>
      <c r="AB27" s="247"/>
      <c r="AC27" s="110"/>
      <c r="AD27" s="180"/>
      <c r="AE27" s="181"/>
      <c r="AF27" s="181"/>
      <c r="AG27" s="247"/>
      <c r="AH27" s="110"/>
      <c r="AI27" s="180"/>
      <c r="AJ27" s="181"/>
      <c r="AK27" s="181"/>
      <c r="AL27" s="247"/>
      <c r="AM27" s="110"/>
      <c r="AN27" s="180"/>
      <c r="AO27" s="181"/>
      <c r="AP27" s="181"/>
      <c r="AQ27" s="247"/>
      <c r="AR27" s="110"/>
      <c r="AS27" s="180"/>
      <c r="AT27" s="181"/>
      <c r="AU27" s="181"/>
      <c r="AV27" s="247"/>
      <c r="AW27" s="110"/>
      <c r="AX27" s="180"/>
      <c r="AY27" s="181"/>
      <c r="AZ27" s="181"/>
      <c r="BA27" s="182"/>
      <c r="BB27" s="110"/>
      <c r="BC27" s="180"/>
      <c r="BD27" s="181"/>
      <c r="BE27" s="181"/>
      <c r="BF27" s="182"/>
      <c r="BG27" s="110"/>
      <c r="BH27" s="180"/>
      <c r="BI27" s="181"/>
      <c r="BJ27" s="181"/>
      <c r="BK27" s="182"/>
      <c r="BL27" s="110"/>
      <c r="BM27" s="180"/>
      <c r="BN27" s="181"/>
      <c r="BO27" s="181"/>
      <c r="BP27" s="182"/>
      <c r="BQ27" s="110"/>
      <c r="BR27" s="19"/>
      <c r="BS27" s="1499"/>
      <c r="BT27" s="1499"/>
      <c r="BU27" s="1499"/>
      <c r="BV27" s="1499"/>
      <c r="BW27" s="1499"/>
      <c r="BX27" s="1499"/>
      <c r="BY27" s="1499"/>
      <c r="BZ27" s="1499"/>
      <c r="CA27" s="1499"/>
      <c r="CB27" s="1499"/>
    </row>
    <row r="28" spans="1:80">
      <c r="A28" s="320"/>
      <c r="B28" s="320"/>
      <c r="C28" s="1127" t="s">
        <v>324</v>
      </c>
      <c r="D28" s="320">
        <v>0</v>
      </c>
      <c r="E28" s="405">
        <f>(-2.125-11.082)*-1</f>
        <v>13.207000000000001</v>
      </c>
      <c r="F28" s="406">
        <v>2.2330000000000001</v>
      </c>
      <c r="G28" s="406">
        <v>15.052</v>
      </c>
      <c r="H28" s="251">
        <f>(I28-SUM(E28:G28))</f>
        <v>47.786000000000001</v>
      </c>
      <c r="I28" s="348">
        <v>78.278000000000006</v>
      </c>
      <c r="J28" s="393">
        <v>51.942999999999998</v>
      </c>
      <c r="K28" s="190">
        <v>9.23</v>
      </c>
      <c r="L28" s="190">
        <v>5.9560000000000004</v>
      </c>
      <c r="M28" s="251">
        <f>(N28-SUM(J28:L28))</f>
        <v>4.6879999999999882</v>
      </c>
      <c r="N28" s="348">
        <v>71.816999999999993</v>
      </c>
      <c r="O28" s="393">
        <v>4.7450000000000001</v>
      </c>
      <c r="P28" s="190">
        <v>4.6360000000000001</v>
      </c>
      <c r="Q28" s="190">
        <v>5.319</v>
      </c>
      <c r="R28" s="251">
        <f>(S28-SUM(O28:Q28))</f>
        <v>5.9340000000000011</v>
      </c>
      <c r="S28" s="348">
        <v>20.634</v>
      </c>
      <c r="T28" s="393">
        <v>7.1479999999999997</v>
      </c>
      <c r="U28" s="190">
        <v>5.806</v>
      </c>
      <c r="V28" s="190">
        <v>3.093</v>
      </c>
      <c r="W28" s="251">
        <f>(X28-SUM(T28:V28))</f>
        <v>1.852999999999998</v>
      </c>
      <c r="X28" s="348">
        <v>17.899999999999999</v>
      </c>
      <c r="Y28" s="393">
        <v>3.0680000000000001</v>
      </c>
      <c r="Z28" s="190">
        <v>3.9</v>
      </c>
      <c r="AA28" s="190">
        <v>4.2679999999999998</v>
      </c>
      <c r="AB28" s="251">
        <f>(AC28-SUM(Y28:AA28))</f>
        <v>5.0869999999999997</v>
      </c>
      <c r="AC28" s="348">
        <v>16.323</v>
      </c>
      <c r="AD28" s="393">
        <v>5.0609999999999999</v>
      </c>
      <c r="AE28" s="190">
        <v>3.2450000000000001</v>
      </c>
      <c r="AF28" s="190">
        <v>3.7869999999999999</v>
      </c>
      <c r="AG28" s="251">
        <f>(AH28-SUM(AD28:AF28))</f>
        <v>4.5530000000000008</v>
      </c>
      <c r="AH28" s="348">
        <v>16.646000000000001</v>
      </c>
      <c r="AI28" s="393">
        <v>5.915</v>
      </c>
      <c r="AJ28" s="190">
        <v>5.8049999999999997</v>
      </c>
      <c r="AK28" s="190">
        <v>7.2309999999999999</v>
      </c>
      <c r="AL28" s="251">
        <f>(AM28-SUM(AI28:AK28))</f>
        <v>7.8369999999999997</v>
      </c>
      <c r="AM28" s="348">
        <v>26.788</v>
      </c>
      <c r="AN28" s="393">
        <v>6.1029999999999998</v>
      </c>
      <c r="AO28" s="190">
        <v>6.4349999999999996</v>
      </c>
      <c r="AP28" s="190">
        <v>5.37</v>
      </c>
      <c r="AQ28" s="251">
        <f>(AR28-SUM(AN28:AP28))</f>
        <v>4.9499999999999993</v>
      </c>
      <c r="AR28" s="348">
        <v>22.858000000000001</v>
      </c>
      <c r="AS28" s="393">
        <v>6.4409999999999998</v>
      </c>
      <c r="AT28" s="190">
        <v>6.056</v>
      </c>
      <c r="AU28" s="190">
        <v>5.3289999999999997</v>
      </c>
      <c r="AV28" s="251">
        <f>(AW28-SUM(AS28:AU28))</f>
        <v>5.8879999999999981</v>
      </c>
      <c r="AW28" s="348">
        <v>23.713999999999999</v>
      </c>
      <c r="AX28" s="174">
        <f>AS28+AX448</f>
        <v>8.4181299999999997</v>
      </c>
      <c r="AY28" s="175">
        <f>AT28+AY448</f>
        <v>5.9740206684136155</v>
      </c>
      <c r="AZ28" s="175">
        <f>AU28+AZ448</f>
        <v>5.1765141297156649</v>
      </c>
      <c r="BA28" s="176">
        <f>AV28+BA448</f>
        <v>5.6565589932408864</v>
      </c>
      <c r="BB28" s="107">
        <f>SUM(AX28:BA28)</f>
        <v>25.225223791370166</v>
      </c>
      <c r="BC28" s="174">
        <f>AX28+BC448</f>
        <v>8.1308495597990458</v>
      </c>
      <c r="BD28" s="175">
        <f>AY28+BD448</f>
        <v>5.4987627071611076</v>
      </c>
      <c r="BE28" s="175">
        <f>AZ28+BE448</f>
        <v>4.6776733230742149</v>
      </c>
      <c r="BF28" s="176">
        <f>BA28+BF448</f>
        <v>5.1773076525416926</v>
      </c>
      <c r="BG28" s="107">
        <f>SUM(BC28:BF28)</f>
        <v>23.484593242576061</v>
      </c>
      <c r="BH28" s="174">
        <f>BC28+BH448</f>
        <v>7.9403762788640009</v>
      </c>
      <c r="BI28" s="175">
        <f>BD28+BI448</f>
        <v>4.9499579161146059</v>
      </c>
      <c r="BJ28" s="175">
        <f>BE28+BJ448</f>
        <v>4.1449224599673524</v>
      </c>
      <c r="BK28" s="176">
        <f>BF28+BK448</f>
        <v>4.6981282704234024</v>
      </c>
      <c r="BL28" s="107">
        <f>SUM(BH28:BK28)</f>
        <v>21.733384925369364</v>
      </c>
      <c r="BM28" s="174">
        <f>BH28+BM448</f>
        <v>8.0689945627818673</v>
      </c>
      <c r="BN28" s="175">
        <f>BI28+BN448</f>
        <v>5.0665534308646905</v>
      </c>
      <c r="BO28" s="175">
        <f>BJ28+BO448</f>
        <v>4.1955807169538444</v>
      </c>
      <c r="BP28" s="176">
        <f>BK28+BP448</f>
        <v>4.7746690003629331</v>
      </c>
      <c r="BQ28" s="107">
        <f>SUM(BM28:BP28)</f>
        <v>22.105797710963337</v>
      </c>
      <c r="BR28" s="19"/>
      <c r="BS28" s="1499"/>
      <c r="BT28" s="1499"/>
      <c r="BU28" s="1499"/>
      <c r="BV28" s="1499"/>
      <c r="BW28" s="1499"/>
      <c r="BX28" s="1499"/>
      <c r="BY28" s="1499"/>
      <c r="BZ28" s="1499"/>
      <c r="CA28" s="1499"/>
      <c r="CB28" s="1499"/>
    </row>
    <row r="29" spans="1:80">
      <c r="A29" s="320"/>
      <c r="B29" s="320"/>
      <c r="C29" s="1127"/>
      <c r="D29" s="320"/>
      <c r="E29" s="405"/>
      <c r="F29" s="406"/>
      <c r="G29" s="406"/>
      <c r="H29" s="251"/>
      <c r="I29" s="348"/>
      <c r="J29" s="393"/>
      <c r="K29" s="190"/>
      <c r="L29" s="190"/>
      <c r="M29" s="251"/>
      <c r="N29" s="348"/>
      <c r="O29" s="393"/>
      <c r="P29" s="190"/>
      <c r="Q29" s="190"/>
      <c r="R29" s="251"/>
      <c r="S29" s="348"/>
      <c r="T29" s="393"/>
      <c r="U29" s="190"/>
      <c r="V29" s="190"/>
      <c r="W29" s="251"/>
      <c r="X29" s="348"/>
      <c r="Y29" s="393"/>
      <c r="Z29" s="175"/>
      <c r="AA29" s="175"/>
      <c r="AB29" s="251"/>
      <c r="AC29" s="348"/>
      <c r="AD29" s="393"/>
      <c r="AE29" s="175"/>
      <c r="AF29" s="175"/>
      <c r="AG29" s="251"/>
      <c r="AH29" s="348"/>
      <c r="AI29" s="393"/>
      <c r="AJ29" s="175"/>
      <c r="AK29" s="175"/>
      <c r="AL29" s="251"/>
      <c r="AM29" s="348"/>
      <c r="AN29" s="393"/>
      <c r="AO29" s="175"/>
      <c r="AP29" s="175"/>
      <c r="AQ29" s="251"/>
      <c r="AR29" s="348"/>
      <c r="AS29" s="393"/>
      <c r="AT29" s="175"/>
      <c r="AU29" s="175"/>
      <c r="AV29" s="251"/>
      <c r="AW29" s="348"/>
      <c r="AX29" s="174"/>
      <c r="AY29" s="175"/>
      <c r="AZ29" s="175"/>
      <c r="BA29" s="176"/>
      <c r="BB29" s="107"/>
      <c r="BC29" s="174"/>
      <c r="BD29" s="175"/>
      <c r="BE29" s="175"/>
      <c r="BF29" s="176"/>
      <c r="BG29" s="107"/>
      <c r="BH29" s="174"/>
      <c r="BI29" s="175"/>
      <c r="BJ29" s="175"/>
      <c r="BK29" s="176"/>
      <c r="BL29" s="107"/>
      <c r="BM29" s="174"/>
      <c r="BN29" s="175"/>
      <c r="BO29" s="175"/>
      <c r="BP29" s="176"/>
      <c r="BQ29" s="107"/>
      <c r="BR29" s="19"/>
      <c r="BS29" s="1499"/>
      <c r="BT29" s="1499"/>
      <c r="BU29" s="1499"/>
      <c r="BV29" s="1499"/>
      <c r="BW29" s="1499"/>
      <c r="BX29" s="1499"/>
      <c r="BY29" s="1499"/>
      <c r="BZ29" s="1499"/>
      <c r="CA29" s="1499"/>
      <c r="CB29" s="1499"/>
    </row>
    <row r="30" spans="1:80">
      <c r="A30" s="327"/>
      <c r="B30" s="327"/>
      <c r="C30" s="1128" t="s">
        <v>232</v>
      </c>
      <c r="D30" s="327"/>
      <c r="E30" s="335">
        <f>E25-E28</f>
        <v>282.95899999999995</v>
      </c>
      <c r="F30" s="336">
        <f t="shared" ref="F30:AP30" si="50">F25-F28</f>
        <v>116.16999999999999</v>
      </c>
      <c r="G30" s="336">
        <f t="shared" si="50"/>
        <v>314.47700000000009</v>
      </c>
      <c r="H30" s="247">
        <f t="shared" si="50"/>
        <v>249.74300000000011</v>
      </c>
      <c r="I30" s="110">
        <f t="shared" si="50"/>
        <v>963.34899999999971</v>
      </c>
      <c r="J30" s="180">
        <f t="shared" si="50"/>
        <v>178.08199999999999</v>
      </c>
      <c r="K30" s="181">
        <f t="shared" si="50"/>
        <v>171.90500000000003</v>
      </c>
      <c r="L30" s="181">
        <f t="shared" si="50"/>
        <v>174.44899999999996</v>
      </c>
      <c r="M30" s="247">
        <f t="shared" si="50"/>
        <v>233.63500000000005</v>
      </c>
      <c r="N30" s="110">
        <f t="shared" si="50"/>
        <v>758.07099999999991</v>
      </c>
      <c r="O30" s="180">
        <f t="shared" si="50"/>
        <v>208.17399999999998</v>
      </c>
      <c r="P30" s="181">
        <f t="shared" si="50"/>
        <v>129.88</v>
      </c>
      <c r="Q30" s="181">
        <f t="shared" si="50"/>
        <v>194.94099999999997</v>
      </c>
      <c r="R30" s="247">
        <f t="shared" si="50"/>
        <v>184.30200000000016</v>
      </c>
      <c r="S30" s="110">
        <f t="shared" si="50"/>
        <v>717.29699999999991</v>
      </c>
      <c r="T30" s="180">
        <f t="shared" si="50"/>
        <v>-258.91900000000015</v>
      </c>
      <c r="U30" s="181">
        <f t="shared" si="50"/>
        <v>127.53499999999993</v>
      </c>
      <c r="V30" s="181">
        <f t="shared" si="50"/>
        <v>152.9190000000001</v>
      </c>
      <c r="W30" s="247">
        <f t="shared" si="50"/>
        <v>80.222000000000065</v>
      </c>
      <c r="X30" s="110">
        <f t="shared" si="50"/>
        <v>101.75699999999981</v>
      </c>
      <c r="Y30" s="180">
        <f t="shared" si="50"/>
        <v>139.04999999999993</v>
      </c>
      <c r="Z30" s="181">
        <f t="shared" si="50"/>
        <v>-3.0359999999998961</v>
      </c>
      <c r="AA30" s="181">
        <f t="shared" si="50"/>
        <v>-200.16499999999988</v>
      </c>
      <c r="AB30" s="247">
        <f>AB25-AB28</f>
        <v>29.656000000000052</v>
      </c>
      <c r="AC30" s="110">
        <f>AC25-AC28</f>
        <v>-34.494999999999997</v>
      </c>
      <c r="AD30" s="180">
        <f>AD25-AD28</f>
        <v>361.34699999999998</v>
      </c>
      <c r="AE30" s="181">
        <f t="shared" si="50"/>
        <v>46.059999999999924</v>
      </c>
      <c r="AF30" s="181">
        <f t="shared" ref="AF30" si="51">AF25-AF28</f>
        <v>-30.37500000000005</v>
      </c>
      <c r="AG30" s="247">
        <f>AG25-AG28</f>
        <v>94.477000000000217</v>
      </c>
      <c r="AH30" s="110">
        <f>AH25-AH28</f>
        <v>471.5090000000003</v>
      </c>
      <c r="AI30" s="180">
        <f>AI25-AI28</f>
        <v>193.62200000000004</v>
      </c>
      <c r="AJ30" s="181">
        <f t="shared" ref="AJ30:AK30" si="52">AJ25-AJ28</f>
        <v>-6.8449999999999918</v>
      </c>
      <c r="AK30" s="181">
        <f t="shared" si="52"/>
        <v>-1585.923</v>
      </c>
      <c r="AL30" s="247">
        <f>AL25-AL28</f>
        <v>-276.84999999999945</v>
      </c>
      <c r="AM30" s="110">
        <f>AM25-AM28</f>
        <v>-1675.9959999999994</v>
      </c>
      <c r="AN30" s="180">
        <f>AN25-AN28</f>
        <v>131.86999999999992</v>
      </c>
      <c r="AO30" s="181">
        <f t="shared" ref="AO30" si="53">AO25-AO28</f>
        <v>15.81900000000002</v>
      </c>
      <c r="AP30" s="181">
        <f t="shared" si="50"/>
        <v>14.33600000000003</v>
      </c>
      <c r="AQ30" s="247">
        <f>AQ25-AQ28</f>
        <v>-2847.4120000000003</v>
      </c>
      <c r="AR30" s="110">
        <f>AR25-AR28</f>
        <v>-2685.3870000000006</v>
      </c>
      <c r="AS30" s="180">
        <f>AS25-AS28</f>
        <v>-105.53400000000005</v>
      </c>
      <c r="AT30" s="181">
        <f t="shared" ref="AT30" si="54">AT25-AT28</f>
        <v>-231.05799999999996</v>
      </c>
      <c r="AU30" s="181">
        <f t="shared" ref="AU30:BB30" si="55">AU25-AU28</f>
        <v>81.327999999999989</v>
      </c>
      <c r="AV30" s="247">
        <f>AV25-AV28</f>
        <v>-63.550999999999981</v>
      </c>
      <c r="AW30" s="110">
        <f>AW25-AW28</f>
        <v>-318.81500000000023</v>
      </c>
      <c r="AX30" s="180">
        <f t="shared" si="55"/>
        <v>45.193110528794769</v>
      </c>
      <c r="AY30" s="181">
        <f t="shared" si="55"/>
        <v>68.80384623265013</v>
      </c>
      <c r="AZ30" s="181">
        <f t="shared" si="55"/>
        <v>79.400045491592323</v>
      </c>
      <c r="BA30" s="182">
        <f t="shared" si="55"/>
        <v>63.806255009408694</v>
      </c>
      <c r="BB30" s="110">
        <f t="shared" si="55"/>
        <v>257.20325726244573</v>
      </c>
      <c r="BC30" s="180">
        <f t="shared" ref="BC30:BL30" si="56">BC25-BC28</f>
        <v>106.46301991650176</v>
      </c>
      <c r="BD30" s="181">
        <f t="shared" si="56"/>
        <v>62.260993954572712</v>
      </c>
      <c r="BE30" s="181">
        <f t="shared" si="56"/>
        <v>32.276433028656811</v>
      </c>
      <c r="BF30" s="182">
        <f t="shared" si="56"/>
        <v>10.203666661785569</v>
      </c>
      <c r="BG30" s="110">
        <f t="shared" si="56"/>
        <v>211.20411356151703</v>
      </c>
      <c r="BH30" s="180">
        <f t="shared" si="56"/>
        <v>181.70483065839164</v>
      </c>
      <c r="BI30" s="181">
        <f t="shared" si="56"/>
        <v>26.925123715443767</v>
      </c>
      <c r="BJ30" s="181">
        <f t="shared" si="56"/>
        <v>-7.6534936677386209</v>
      </c>
      <c r="BK30" s="182">
        <f t="shared" si="56"/>
        <v>-20.894391353660275</v>
      </c>
      <c r="BL30" s="110">
        <f t="shared" si="56"/>
        <v>180.08206935243641</v>
      </c>
      <c r="BM30" s="180">
        <f t="shared" ref="BM30:BQ30" si="57">BM25-BM28</f>
        <v>43.432713438037297</v>
      </c>
      <c r="BN30" s="181">
        <f t="shared" si="57"/>
        <v>26.82559225345906</v>
      </c>
      <c r="BO30" s="181">
        <f t="shared" si="57"/>
        <v>-17.021882338006467</v>
      </c>
      <c r="BP30" s="182">
        <f t="shared" si="57"/>
        <v>-16.973522494041646</v>
      </c>
      <c r="BQ30" s="110">
        <f t="shared" si="57"/>
        <v>36.262900859448315</v>
      </c>
      <c r="BR30" s="19"/>
      <c r="BS30" s="1499"/>
      <c r="BT30" s="1499"/>
      <c r="BU30" s="1499"/>
      <c r="BV30" s="1499"/>
      <c r="BW30" s="1499"/>
      <c r="BX30" s="1499"/>
      <c r="BY30" s="1499"/>
      <c r="BZ30" s="1499"/>
      <c r="CA30" s="1499"/>
      <c r="CB30" s="1499"/>
    </row>
    <row r="31" spans="1:80">
      <c r="A31" s="320"/>
      <c r="B31" s="320"/>
      <c r="C31" s="1125"/>
      <c r="D31" s="320"/>
      <c r="E31" s="324"/>
      <c r="F31" s="325"/>
      <c r="G31" s="325"/>
      <c r="H31" s="251"/>
      <c r="I31" s="107"/>
      <c r="J31" s="174"/>
      <c r="K31" s="175"/>
      <c r="L31" s="175"/>
      <c r="M31" s="251"/>
      <c r="N31" s="107"/>
      <c r="O31" s="174"/>
      <c r="P31" s="175"/>
      <c r="Q31" s="175"/>
      <c r="R31" s="251"/>
      <c r="S31" s="107"/>
      <c r="T31" s="174"/>
      <c r="U31" s="175"/>
      <c r="V31" s="175"/>
      <c r="W31" s="251"/>
      <c r="X31" s="107"/>
      <c r="Y31" s="174"/>
      <c r="Z31" s="175"/>
      <c r="AA31" s="175"/>
      <c r="AB31" s="251"/>
      <c r="AC31" s="107"/>
      <c r="AD31" s="174"/>
      <c r="AE31" s="175"/>
      <c r="AF31" s="175"/>
      <c r="AG31" s="251"/>
      <c r="AH31" s="107"/>
      <c r="AI31" s="174"/>
      <c r="AJ31" s="175"/>
      <c r="AK31" s="175"/>
      <c r="AL31" s="251"/>
      <c r="AM31" s="107"/>
      <c r="AN31" s="174"/>
      <c r="AO31" s="175"/>
      <c r="AP31" s="175"/>
      <c r="AQ31" s="251"/>
      <c r="AR31" s="107"/>
      <c r="AS31" s="174"/>
      <c r="AT31" s="175"/>
      <c r="AU31" s="175"/>
      <c r="AV31" s="251"/>
      <c r="AW31" s="107"/>
      <c r="AX31" s="174"/>
      <c r="AY31" s="175"/>
      <c r="AZ31" s="175"/>
      <c r="BA31" s="176"/>
      <c r="BB31" s="107"/>
      <c r="BC31" s="174"/>
      <c r="BD31" s="175"/>
      <c r="BE31" s="175"/>
      <c r="BF31" s="176"/>
      <c r="BG31" s="107"/>
      <c r="BH31" s="174"/>
      <c r="BI31" s="175"/>
      <c r="BJ31" s="175"/>
      <c r="BK31" s="176"/>
      <c r="BL31" s="107"/>
      <c r="BM31" s="174"/>
      <c r="BN31" s="175"/>
      <c r="BO31" s="175"/>
      <c r="BP31" s="176"/>
      <c r="BQ31" s="107"/>
      <c r="BR31" s="19"/>
      <c r="BS31" s="1499"/>
      <c r="BT31" s="1499"/>
      <c r="BU31" s="1499"/>
      <c r="BV31" s="1499"/>
      <c r="BW31" s="1499"/>
      <c r="BX31" s="1499"/>
      <c r="BY31" s="1499"/>
      <c r="BZ31" s="1499"/>
      <c r="CA31" s="1499"/>
      <c r="CB31" s="1499"/>
    </row>
    <row r="32" spans="1:80">
      <c r="A32" s="320"/>
      <c r="B32" s="320"/>
      <c r="C32" s="1125" t="s">
        <v>328</v>
      </c>
      <c r="D32" s="320"/>
      <c r="E32" s="405">
        <v>102.077</v>
      </c>
      <c r="F32" s="406">
        <v>35.959000000000003</v>
      </c>
      <c r="G32" s="406">
        <v>114.045</v>
      </c>
      <c r="H32" s="251">
        <f>I32-SUM(E32:G32)</f>
        <v>70.173999999999978</v>
      </c>
      <c r="I32" s="348">
        <v>322.255</v>
      </c>
      <c r="J32" s="393">
        <v>87.54</v>
      </c>
      <c r="K32" s="190">
        <v>67.347999999999999</v>
      </c>
      <c r="L32" s="190">
        <v>30.728000000000002</v>
      </c>
      <c r="M32" s="251">
        <f>N32-SUM(J32:L32)</f>
        <v>83.032999999999987</v>
      </c>
      <c r="N32" s="348">
        <v>268.649</v>
      </c>
      <c r="O32" s="393">
        <v>84.941000000000003</v>
      </c>
      <c r="P32" s="190">
        <v>64.323999999999998</v>
      </c>
      <c r="Q32" s="190">
        <v>64.078999999999994</v>
      </c>
      <c r="R32" s="251">
        <f>S32-SUM(O32:Q32)</f>
        <v>12.111999999999995</v>
      </c>
      <c r="S32" s="348">
        <v>225.45599999999999</v>
      </c>
      <c r="T32" s="393">
        <v>-90.406999999999996</v>
      </c>
      <c r="U32" s="190">
        <v>46.218000000000004</v>
      </c>
      <c r="V32" s="190">
        <v>34.152999999999999</v>
      </c>
      <c r="W32" s="251">
        <f>X32-SUM(T32:V32)</f>
        <v>71.365999999999985</v>
      </c>
      <c r="X32" s="348">
        <v>61.33</v>
      </c>
      <c r="Y32" s="393">
        <v>56.936</v>
      </c>
      <c r="Z32" s="190">
        <v>-14.567</v>
      </c>
      <c r="AA32" s="190">
        <v>-107.337</v>
      </c>
      <c r="AB32" s="251">
        <f>AC32-SUM(Y32:AA32)</f>
        <v>-12.503</v>
      </c>
      <c r="AC32" s="348">
        <v>-77.471000000000004</v>
      </c>
      <c r="AD32" s="393">
        <v>118.877</v>
      </c>
      <c r="AE32" s="190">
        <v>19.597000000000001</v>
      </c>
      <c r="AF32" s="190">
        <v>2.3029999999999999</v>
      </c>
      <c r="AG32" s="251">
        <f>AH32-SUM(AD32:AF32)</f>
        <v>36.211000000000013</v>
      </c>
      <c r="AH32" s="348">
        <v>176.988</v>
      </c>
      <c r="AI32" s="393">
        <v>70.19</v>
      </c>
      <c r="AJ32" s="190">
        <v>-3.3</v>
      </c>
      <c r="AK32" s="190">
        <v>-554.51300000000003</v>
      </c>
      <c r="AL32" s="251">
        <f>AM32-SUM(AI32:AK32)</f>
        <v>-122.71600000000001</v>
      </c>
      <c r="AM32" s="348">
        <v>-610.33900000000006</v>
      </c>
      <c r="AN32" s="393">
        <v>52.314</v>
      </c>
      <c r="AO32" s="190">
        <v>-235.05500000000001</v>
      </c>
      <c r="AP32" s="190">
        <v>6.1150000000000002</v>
      </c>
      <c r="AQ32" s="251">
        <f>AR32-SUM(AN32:AP32)</f>
        <v>-1015.6369999999999</v>
      </c>
      <c r="AR32" s="348">
        <v>-1192.2629999999999</v>
      </c>
      <c r="AS32" s="393">
        <v>-78.337000000000003</v>
      </c>
      <c r="AT32" s="190">
        <v>-454.94400000000002</v>
      </c>
      <c r="AU32" s="190">
        <v>25.562999999999999</v>
      </c>
      <c r="AV32" s="251">
        <f>AW32-SUM(AS32:AU32)</f>
        <v>361.23800000000006</v>
      </c>
      <c r="AW32" s="348">
        <v>-146.47999999999999</v>
      </c>
      <c r="AX32" s="174">
        <f>AX30*AX435-25</f>
        <v>-6.9227557884820925</v>
      </c>
      <c r="AY32" s="175">
        <f>AY30*AY435-25</f>
        <v>2.5215384930600528</v>
      </c>
      <c r="AZ32" s="175">
        <f>AZ30*AZ435-25</f>
        <v>6.7600181966369313</v>
      </c>
      <c r="BA32" s="176">
        <f>BA30*BA435-25</f>
        <v>0.52250200376347777</v>
      </c>
      <c r="BB32" s="107">
        <f>SUM(AX32:BA32)</f>
        <v>2.8813029049783694</v>
      </c>
      <c r="BC32" s="174">
        <f>BC30*BC435</f>
        <v>42.585207966600706</v>
      </c>
      <c r="BD32" s="175">
        <f>BD30*BD435</f>
        <v>24.904397581829087</v>
      </c>
      <c r="BE32" s="175">
        <f>BE30*BE435</f>
        <v>12.910573211462726</v>
      </c>
      <c r="BF32" s="176">
        <f>BF30*BF435</f>
        <v>4.0814666647142275</v>
      </c>
      <c r="BG32" s="107">
        <f>SUM(BC32:BF32)</f>
        <v>84.481645424606754</v>
      </c>
      <c r="BH32" s="174">
        <f>BH30*BH435</f>
        <v>72.681932263356657</v>
      </c>
      <c r="BI32" s="175">
        <f>BI30*BI435</f>
        <v>10.770049486177507</v>
      </c>
      <c r="BJ32" s="175">
        <f>BJ30*BJ435</f>
        <v>-3.0613974670954485</v>
      </c>
      <c r="BK32" s="176">
        <f>BK30*BK435</f>
        <v>-8.3577565414641111</v>
      </c>
      <c r="BL32" s="107">
        <f>SUM(BH32:BK32)</f>
        <v>72.032827740974611</v>
      </c>
      <c r="BM32" s="174">
        <f>BM30*BM435</f>
        <v>17.37308537521492</v>
      </c>
      <c r="BN32" s="175">
        <f>BN30*BN435</f>
        <v>10.730236901383625</v>
      </c>
      <c r="BO32" s="175">
        <f>BO30*BO435</f>
        <v>-6.8087529352025875</v>
      </c>
      <c r="BP32" s="176">
        <f>BP30*BP435</f>
        <v>-6.7894089976166585</v>
      </c>
      <c r="BQ32" s="107">
        <f>SUM(BM32:BP32)</f>
        <v>14.505160343779302</v>
      </c>
      <c r="BR32" s="19"/>
      <c r="BS32" s="1499"/>
      <c r="BT32" s="1499"/>
      <c r="BU32" s="1499"/>
      <c r="BV32" s="1499"/>
      <c r="BW32" s="1499"/>
      <c r="BX32" s="1499"/>
      <c r="BY32" s="1499"/>
      <c r="BZ32" s="1499"/>
      <c r="CA32" s="1499"/>
      <c r="CB32" s="1499"/>
    </row>
    <row r="33" spans="1:80">
      <c r="A33" s="327"/>
      <c r="B33" s="327"/>
      <c r="C33" s="1128" t="s">
        <v>233</v>
      </c>
      <c r="D33" s="327"/>
      <c r="E33" s="335">
        <f t="shared" ref="E33:P33" si="58">E30-E32</f>
        <v>180.88199999999995</v>
      </c>
      <c r="F33" s="336">
        <f t="shared" si="58"/>
        <v>80.210999999999984</v>
      </c>
      <c r="G33" s="336">
        <f t="shared" si="58"/>
        <v>200.43200000000007</v>
      </c>
      <c r="H33" s="247">
        <f t="shared" si="58"/>
        <v>179.56900000000013</v>
      </c>
      <c r="I33" s="110">
        <f t="shared" si="58"/>
        <v>641.09399999999971</v>
      </c>
      <c r="J33" s="180">
        <f t="shared" si="58"/>
        <v>90.541999999999987</v>
      </c>
      <c r="K33" s="181">
        <f t="shared" si="58"/>
        <v>104.55700000000003</v>
      </c>
      <c r="L33" s="181">
        <f t="shared" si="58"/>
        <v>143.72099999999995</v>
      </c>
      <c r="M33" s="247">
        <f t="shared" si="58"/>
        <v>150.60200000000006</v>
      </c>
      <c r="N33" s="110">
        <f t="shared" si="58"/>
        <v>489.42199999999991</v>
      </c>
      <c r="O33" s="180">
        <f t="shared" si="58"/>
        <v>123.23299999999998</v>
      </c>
      <c r="P33" s="181">
        <f t="shared" si="58"/>
        <v>65.555999999999997</v>
      </c>
      <c r="Q33" s="181">
        <f>Q30-Q32</f>
        <v>130.86199999999997</v>
      </c>
      <c r="R33" s="247">
        <f t="shared" ref="R33:AP33" si="59">R30-R32</f>
        <v>172.19000000000017</v>
      </c>
      <c r="S33" s="110">
        <f t="shared" si="59"/>
        <v>491.84099999999989</v>
      </c>
      <c r="T33" s="180">
        <f t="shared" si="59"/>
        <v>-168.51200000000017</v>
      </c>
      <c r="U33" s="181">
        <f t="shared" si="59"/>
        <v>81.316999999999922</v>
      </c>
      <c r="V33" s="181">
        <f>V30-V32</f>
        <v>118.7660000000001</v>
      </c>
      <c r="W33" s="247">
        <f>W30-W32</f>
        <v>8.8560000000000798</v>
      </c>
      <c r="X33" s="110">
        <f>X30-X32</f>
        <v>40.426999999999808</v>
      </c>
      <c r="Y33" s="180">
        <f t="shared" si="59"/>
        <v>82.113999999999919</v>
      </c>
      <c r="Z33" s="181">
        <f t="shared" si="59"/>
        <v>11.531000000000104</v>
      </c>
      <c r="AA33" s="181">
        <f t="shared" si="59"/>
        <v>-92.827999999999875</v>
      </c>
      <c r="AB33" s="247">
        <f>AB30-AB32</f>
        <v>42.159000000000049</v>
      </c>
      <c r="AC33" s="110">
        <f>AC30-AC32</f>
        <v>42.976000000000006</v>
      </c>
      <c r="AD33" s="180">
        <f t="shared" si="59"/>
        <v>242.46999999999997</v>
      </c>
      <c r="AE33" s="181">
        <f t="shared" si="59"/>
        <v>26.462999999999923</v>
      </c>
      <c r="AF33" s="181">
        <f t="shared" ref="AF33" si="60">AF30-AF32</f>
        <v>-32.678000000000047</v>
      </c>
      <c r="AG33" s="247">
        <f>AG30-AG32</f>
        <v>58.266000000000204</v>
      </c>
      <c r="AH33" s="110">
        <f>AH30-AH32</f>
        <v>294.5210000000003</v>
      </c>
      <c r="AI33" s="180">
        <f t="shared" ref="AI33:AK33" si="61">AI30-AI32</f>
        <v>123.43200000000004</v>
      </c>
      <c r="AJ33" s="181">
        <f t="shared" si="61"/>
        <v>-3.5449999999999919</v>
      </c>
      <c r="AK33" s="181">
        <f t="shared" si="61"/>
        <v>-1031.4099999999999</v>
      </c>
      <c r="AL33" s="247">
        <f>AL30-AL32</f>
        <v>-154.13399999999945</v>
      </c>
      <c r="AM33" s="110">
        <f>AM30-AM32</f>
        <v>-1065.6569999999992</v>
      </c>
      <c r="AN33" s="180">
        <f t="shared" ref="AN33:AO33" si="62">AN30-AN32</f>
        <v>79.555999999999926</v>
      </c>
      <c r="AO33" s="181">
        <f t="shared" si="62"/>
        <v>250.87400000000002</v>
      </c>
      <c r="AP33" s="181">
        <f t="shared" si="59"/>
        <v>8.2210000000000303</v>
      </c>
      <c r="AQ33" s="247">
        <f>AQ30-AQ32</f>
        <v>-1831.7750000000003</v>
      </c>
      <c r="AR33" s="110">
        <f>AR30-AR32</f>
        <v>-1493.1240000000007</v>
      </c>
      <c r="AS33" s="180">
        <f t="shared" ref="AS33" si="63">AS30-AS32</f>
        <v>-27.197000000000045</v>
      </c>
      <c r="AT33" s="181">
        <f t="shared" ref="AT33:BB33" si="64">AT30-AT32</f>
        <v>223.88600000000005</v>
      </c>
      <c r="AU33" s="181">
        <f t="shared" si="64"/>
        <v>55.764999999999986</v>
      </c>
      <c r="AV33" s="247">
        <f>AV30-AV32</f>
        <v>-424.78900000000004</v>
      </c>
      <c r="AW33" s="110">
        <f>AW30-AW32</f>
        <v>-172.33500000000024</v>
      </c>
      <c r="AX33" s="180">
        <f t="shared" si="64"/>
        <v>52.115866317276861</v>
      </c>
      <c r="AY33" s="181">
        <f t="shared" si="64"/>
        <v>66.282307739590081</v>
      </c>
      <c r="AZ33" s="181">
        <f t="shared" si="64"/>
        <v>72.640027294955388</v>
      </c>
      <c r="BA33" s="182">
        <f t="shared" si="64"/>
        <v>63.283753005645217</v>
      </c>
      <c r="BB33" s="110">
        <f t="shared" si="64"/>
        <v>254.32195435746735</v>
      </c>
      <c r="BC33" s="180">
        <f t="shared" ref="BC33:BL33" si="65">BC30-BC32</f>
        <v>63.877811949901059</v>
      </c>
      <c r="BD33" s="181">
        <f t="shared" si="65"/>
        <v>37.356596372743624</v>
      </c>
      <c r="BE33" s="181">
        <f t="shared" si="65"/>
        <v>19.365859817194085</v>
      </c>
      <c r="BF33" s="182">
        <f t="shared" si="65"/>
        <v>6.1221999970713412</v>
      </c>
      <c r="BG33" s="110">
        <f t="shared" si="65"/>
        <v>126.72246813691028</v>
      </c>
      <c r="BH33" s="180">
        <f t="shared" si="65"/>
        <v>109.02289839503499</v>
      </c>
      <c r="BI33" s="181">
        <f t="shared" si="65"/>
        <v>16.155074229266262</v>
      </c>
      <c r="BJ33" s="181">
        <f t="shared" si="65"/>
        <v>-4.5920962006431729</v>
      </c>
      <c r="BK33" s="182">
        <f t="shared" si="65"/>
        <v>-12.536634812196164</v>
      </c>
      <c r="BL33" s="110">
        <f t="shared" si="65"/>
        <v>108.0492416114618</v>
      </c>
      <c r="BM33" s="180">
        <f t="shared" ref="BM33:BQ33" si="66">BM30-BM32</f>
        <v>26.059628062822377</v>
      </c>
      <c r="BN33" s="181">
        <f t="shared" si="66"/>
        <v>16.095355352075437</v>
      </c>
      <c r="BO33" s="181">
        <f t="shared" si="66"/>
        <v>-10.213129402803879</v>
      </c>
      <c r="BP33" s="182">
        <f t="shared" si="66"/>
        <v>-10.184113496424988</v>
      </c>
      <c r="BQ33" s="110">
        <f t="shared" si="66"/>
        <v>21.757740515669013</v>
      </c>
      <c r="BR33" s="1224"/>
      <c r="BS33" s="1499"/>
      <c r="BT33" s="1499"/>
      <c r="BU33" s="1499"/>
      <c r="BV33" s="1499"/>
      <c r="BW33" s="1499"/>
      <c r="BX33" s="1499"/>
      <c r="BY33" s="1499"/>
      <c r="BZ33" s="1499"/>
      <c r="CA33" s="1499"/>
      <c r="CB33" s="1499"/>
    </row>
    <row r="34" spans="1:80">
      <c r="A34" s="320"/>
      <c r="B34" s="320"/>
      <c r="C34" s="1125"/>
      <c r="D34" s="320"/>
      <c r="E34" s="324"/>
      <c r="F34" s="325"/>
      <c r="G34" s="325"/>
      <c r="H34" s="251"/>
      <c r="I34" s="107"/>
      <c r="J34" s="174"/>
      <c r="K34" s="175"/>
      <c r="L34" s="175"/>
      <c r="M34" s="251"/>
      <c r="N34" s="107"/>
      <c r="O34" s="174"/>
      <c r="P34" s="175"/>
      <c r="Q34" s="175"/>
      <c r="R34" s="251"/>
      <c r="S34" s="107"/>
      <c r="T34" s="174"/>
      <c r="U34" s="175"/>
      <c r="V34" s="175"/>
      <c r="W34" s="251"/>
      <c r="X34" s="107"/>
      <c r="Y34" s="174"/>
      <c r="Z34" s="175"/>
      <c r="AA34" s="175"/>
      <c r="AB34" s="251"/>
      <c r="AC34" s="107"/>
      <c r="AD34" s="174"/>
      <c r="AE34" s="175"/>
      <c r="AF34" s="175"/>
      <c r="AG34" s="251"/>
      <c r="AH34" s="107"/>
      <c r="AI34" s="174"/>
      <c r="AJ34" s="175"/>
      <c r="AK34" s="175"/>
      <c r="AL34" s="251"/>
      <c r="AM34" s="107"/>
      <c r="AN34" s="174"/>
      <c r="AO34" s="175"/>
      <c r="AP34" s="175"/>
      <c r="AQ34" s="251"/>
      <c r="AR34" s="107"/>
      <c r="AS34" s="174"/>
      <c r="AT34" s="175"/>
      <c r="AU34" s="175"/>
      <c r="AV34" s="251"/>
      <c r="AW34" s="107"/>
      <c r="AX34" s="174"/>
      <c r="AY34" s="175"/>
      <c r="AZ34" s="175"/>
      <c r="BA34" s="176"/>
      <c r="BB34" s="107"/>
      <c r="BC34" s="174"/>
      <c r="BD34" s="175"/>
      <c r="BE34" s="175"/>
      <c r="BF34" s="176"/>
      <c r="BG34" s="107"/>
      <c r="BH34" s="174"/>
      <c r="BI34" s="175"/>
      <c r="BJ34" s="175"/>
      <c r="BK34" s="176"/>
      <c r="BL34" s="107"/>
      <c r="BM34" s="174"/>
      <c r="BN34" s="175"/>
      <c r="BO34" s="175"/>
      <c r="BP34" s="176"/>
      <c r="BQ34" s="107"/>
      <c r="BR34" s="107"/>
      <c r="BS34" s="1499"/>
      <c r="BT34" s="1499"/>
      <c r="BU34" s="1499"/>
      <c r="BV34" s="1499"/>
      <c r="BW34" s="1499"/>
      <c r="BX34" s="1499"/>
      <c r="BY34" s="1499"/>
      <c r="BZ34" s="1499"/>
      <c r="CA34" s="1499"/>
      <c r="CB34" s="1499"/>
    </row>
    <row r="35" spans="1:80">
      <c r="A35" s="320"/>
      <c r="B35" s="320"/>
      <c r="C35" s="1125" t="s">
        <v>355</v>
      </c>
      <c r="D35" s="320"/>
      <c r="E35" s="405">
        <v>0</v>
      </c>
      <c r="F35" s="406">
        <v>0</v>
      </c>
      <c r="G35" s="406">
        <v>0</v>
      </c>
      <c r="H35" s="251">
        <f>I35-SUM(E35:G35)</f>
        <v>-2.629</v>
      </c>
      <c r="I35" s="348">
        <v>-2.629</v>
      </c>
      <c r="J35" s="393">
        <v>-0.68300000000000005</v>
      </c>
      <c r="K35" s="190">
        <v>-0.68300000000000005</v>
      </c>
      <c r="L35" s="190">
        <v>-0.68300000000000005</v>
      </c>
      <c r="M35" s="251">
        <f>N35-SUM(J35:L35)</f>
        <v>-0.68299999999999983</v>
      </c>
      <c r="N35" s="348">
        <v>-2.7320000000000002</v>
      </c>
      <c r="O35" s="393">
        <v>-0.68300000000000005</v>
      </c>
      <c r="P35" s="190">
        <v>-0.68300000000000005</v>
      </c>
      <c r="Q35" s="190">
        <v>-0.68300000000000005</v>
      </c>
      <c r="R35" s="251">
        <f>S35-SUM(O35:Q35)</f>
        <v>-1.1959999999999997</v>
      </c>
      <c r="S35" s="348">
        <v>-3.2450000000000001</v>
      </c>
      <c r="T35" s="393">
        <v>0</v>
      </c>
      <c r="U35" s="190">
        <v>0</v>
      </c>
      <c r="V35" s="190">
        <v>0</v>
      </c>
      <c r="W35" s="251">
        <f>X35-SUM(T35:V35)</f>
        <v>0</v>
      </c>
      <c r="X35" s="348">
        <v>0</v>
      </c>
      <c r="Y35" s="393">
        <v>0</v>
      </c>
      <c r="Z35" s="190">
        <v>0</v>
      </c>
      <c r="AA35" s="190">
        <v>0</v>
      </c>
      <c r="AB35" s="251">
        <f>AC35-SUM(Y35:AA35)</f>
        <v>-9.0999999999999998E-2</v>
      </c>
      <c r="AC35" s="348">
        <v>-9.0999999999999998E-2</v>
      </c>
      <c r="AD35" s="393">
        <v>-0.54700000000000004</v>
      </c>
      <c r="AE35" s="190">
        <v>-0.54700000000000004</v>
      </c>
      <c r="AF35" s="190">
        <v>-0.54700000000000004</v>
      </c>
      <c r="AG35" s="251">
        <f>AH35-SUM(AD35:AF35)</f>
        <v>-0.54700000000000015</v>
      </c>
      <c r="AH35" s="348">
        <v>-2.1880000000000002</v>
      </c>
      <c r="AI35" s="393">
        <v>-0.54700000000000004</v>
      </c>
      <c r="AJ35" s="190">
        <v>-0.54700000000000004</v>
      </c>
      <c r="AK35" s="190">
        <v>-0.54700000000000004</v>
      </c>
      <c r="AL35" s="251">
        <f>AM35-SUM(AI35:AK35)</f>
        <v>-0.54599999999999982</v>
      </c>
      <c r="AM35" s="348">
        <v>-2.1869999999999998</v>
      </c>
      <c r="AN35" s="393">
        <v>-0.54700000000000004</v>
      </c>
      <c r="AO35" s="190">
        <v>-0.54700000000000004</v>
      </c>
      <c r="AP35" s="190">
        <v>-0.54700000000000004</v>
      </c>
      <c r="AQ35" s="251">
        <f>AR35-SUM(AN35:AP35)</f>
        <v>-0.54700000000000015</v>
      </c>
      <c r="AR35" s="348">
        <v>-2.1880000000000002</v>
      </c>
      <c r="AS35" s="393">
        <v>-0.54700000000000004</v>
      </c>
      <c r="AT35" s="190">
        <v>-0.54700000000000004</v>
      </c>
      <c r="AU35" s="190">
        <v>-0.54700000000000004</v>
      </c>
      <c r="AV35" s="251">
        <f>AW35-SUM(AS35:AU35)</f>
        <v>-0.54700000000000015</v>
      </c>
      <c r="AW35" s="348">
        <v>-2.1880000000000002</v>
      </c>
      <c r="AX35" s="183">
        <v>0</v>
      </c>
      <c r="AY35" s="184">
        <v>0</v>
      </c>
      <c r="AZ35" s="184">
        <v>0</v>
      </c>
      <c r="BA35" s="185">
        <v>0</v>
      </c>
      <c r="BB35" s="107">
        <f>SUM(AX35:BA35)</f>
        <v>0</v>
      </c>
      <c r="BC35" s="183">
        <v>0</v>
      </c>
      <c r="BD35" s="184">
        <v>0</v>
      </c>
      <c r="BE35" s="184">
        <v>0</v>
      </c>
      <c r="BF35" s="185">
        <v>0</v>
      </c>
      <c r="BG35" s="107">
        <f>SUM(BC35:BF35)</f>
        <v>0</v>
      </c>
      <c r="BH35" s="183">
        <v>0</v>
      </c>
      <c r="BI35" s="184">
        <v>0</v>
      </c>
      <c r="BJ35" s="184">
        <v>0</v>
      </c>
      <c r="BK35" s="185">
        <v>0</v>
      </c>
      <c r="BL35" s="107">
        <f>SUM(BH35:BK35)</f>
        <v>0</v>
      </c>
      <c r="BM35" s="183">
        <v>0</v>
      </c>
      <c r="BN35" s="184">
        <v>0</v>
      </c>
      <c r="BO35" s="184">
        <v>0</v>
      </c>
      <c r="BP35" s="185">
        <v>0</v>
      </c>
      <c r="BQ35" s="107">
        <f>SUM(BM35:BP35)</f>
        <v>0</v>
      </c>
      <c r="BR35" s="107"/>
      <c r="BS35" s="1499"/>
      <c r="BT35" s="1499"/>
      <c r="BU35" s="1499"/>
      <c r="BV35" s="1499"/>
      <c r="BW35" s="1499"/>
      <c r="BX35" s="1499"/>
      <c r="BY35" s="1499"/>
      <c r="BZ35" s="1499"/>
      <c r="CA35" s="1499"/>
      <c r="CB35" s="1499"/>
    </row>
    <row r="36" spans="1:80">
      <c r="A36" s="320"/>
      <c r="B36" s="320"/>
      <c r="C36" s="1125"/>
      <c r="D36" s="320"/>
      <c r="E36" s="405"/>
      <c r="F36" s="406"/>
      <c r="G36" s="406"/>
      <c r="H36" s="251"/>
      <c r="I36" s="107"/>
      <c r="J36" s="393"/>
      <c r="K36" s="190"/>
      <c r="L36" s="190"/>
      <c r="M36" s="251"/>
      <c r="N36" s="107"/>
      <c r="O36" s="393"/>
      <c r="P36" s="190"/>
      <c r="Q36" s="190"/>
      <c r="R36" s="251"/>
      <c r="S36" s="107"/>
      <c r="T36" s="393"/>
      <c r="U36" s="190"/>
      <c r="V36" s="184"/>
      <c r="W36" s="185"/>
      <c r="X36" s="107"/>
      <c r="Y36" s="393"/>
      <c r="Z36" s="184"/>
      <c r="AA36" s="184"/>
      <c r="AB36" s="185"/>
      <c r="AC36" s="107"/>
      <c r="AD36" s="393"/>
      <c r="AE36" s="184"/>
      <c r="AF36" s="184"/>
      <c r="AG36" s="185"/>
      <c r="AH36" s="107"/>
      <c r="AI36" s="393"/>
      <c r="AJ36" s="184"/>
      <c r="AK36" s="184"/>
      <c r="AL36" s="185"/>
      <c r="AM36" s="107"/>
      <c r="AN36" s="393"/>
      <c r="AO36" s="184"/>
      <c r="AP36" s="184"/>
      <c r="AQ36" s="185"/>
      <c r="AR36" s="107"/>
      <c r="AS36" s="393"/>
      <c r="AT36" s="184"/>
      <c r="AU36" s="184"/>
      <c r="AV36" s="185"/>
      <c r="AW36" s="107"/>
      <c r="AX36" s="183"/>
      <c r="AY36" s="184"/>
      <c r="AZ36" s="184"/>
      <c r="BA36" s="185"/>
      <c r="BB36" s="107"/>
      <c r="BC36" s="183"/>
      <c r="BD36" s="184"/>
      <c r="BE36" s="184"/>
      <c r="BF36" s="185"/>
      <c r="BG36" s="107"/>
      <c r="BH36" s="183"/>
      <c r="BI36" s="184"/>
      <c r="BJ36" s="184"/>
      <c r="BK36" s="185"/>
      <c r="BL36" s="107"/>
      <c r="BM36" s="183"/>
      <c r="BN36" s="184"/>
      <c r="BO36" s="184"/>
      <c r="BP36" s="185"/>
      <c r="BQ36" s="107"/>
      <c r="BR36" s="107"/>
      <c r="BS36" s="1570"/>
      <c r="BT36" s="1502"/>
      <c r="BU36" s="1504"/>
      <c r="BV36" s="1496"/>
    </row>
    <row r="37" spans="1:80">
      <c r="A37" s="327"/>
      <c r="B37" s="327"/>
      <c r="C37" s="1128" t="s">
        <v>852</v>
      </c>
      <c r="D37" s="327"/>
      <c r="E37" s="335">
        <f>E33+E35</f>
        <v>180.88199999999995</v>
      </c>
      <c r="F37" s="336">
        <f t="shared" ref="F37:AP37" si="67">F33+F35</f>
        <v>80.210999999999984</v>
      </c>
      <c r="G37" s="336">
        <f t="shared" si="67"/>
        <v>200.43200000000007</v>
      </c>
      <c r="H37" s="247">
        <f t="shared" si="67"/>
        <v>176.94000000000014</v>
      </c>
      <c r="I37" s="110">
        <f t="shared" si="67"/>
        <v>638.46499999999969</v>
      </c>
      <c r="J37" s="180">
        <f t="shared" si="67"/>
        <v>89.85899999999998</v>
      </c>
      <c r="K37" s="181">
        <f t="shared" si="67"/>
        <v>103.87400000000002</v>
      </c>
      <c r="L37" s="181">
        <f t="shared" si="67"/>
        <v>143.03799999999995</v>
      </c>
      <c r="M37" s="247">
        <f t="shared" si="67"/>
        <v>149.91900000000007</v>
      </c>
      <c r="N37" s="110">
        <f t="shared" si="67"/>
        <v>486.68999999999988</v>
      </c>
      <c r="O37" s="180">
        <f t="shared" si="67"/>
        <v>122.54999999999997</v>
      </c>
      <c r="P37" s="181">
        <f t="shared" si="67"/>
        <v>64.87299999999999</v>
      </c>
      <c r="Q37" s="181">
        <f t="shared" si="67"/>
        <v>130.17899999999997</v>
      </c>
      <c r="R37" s="247">
        <f t="shared" si="67"/>
        <v>170.99400000000017</v>
      </c>
      <c r="S37" s="110">
        <f t="shared" si="67"/>
        <v>488.59599999999989</v>
      </c>
      <c r="T37" s="180">
        <f t="shared" si="67"/>
        <v>-168.51200000000017</v>
      </c>
      <c r="U37" s="181">
        <f>U33+U35</f>
        <v>81.316999999999922</v>
      </c>
      <c r="V37" s="181">
        <f t="shared" si="67"/>
        <v>118.7660000000001</v>
      </c>
      <c r="W37" s="182">
        <f t="shared" si="67"/>
        <v>8.8560000000000798</v>
      </c>
      <c r="X37" s="110">
        <f t="shared" si="67"/>
        <v>40.426999999999808</v>
      </c>
      <c r="Y37" s="180">
        <f t="shared" si="67"/>
        <v>82.113999999999919</v>
      </c>
      <c r="Z37" s="181">
        <f t="shared" si="67"/>
        <v>11.531000000000104</v>
      </c>
      <c r="AA37" s="181">
        <f t="shared" si="67"/>
        <v>-92.827999999999875</v>
      </c>
      <c r="AB37" s="182">
        <f>AB33+AB35</f>
        <v>42.068000000000048</v>
      </c>
      <c r="AC37" s="110">
        <f>AC33+AC35</f>
        <v>42.885000000000005</v>
      </c>
      <c r="AD37" s="180">
        <f>AD33+AD35</f>
        <v>241.92299999999997</v>
      </c>
      <c r="AE37" s="181">
        <f>AE33+AE35</f>
        <v>25.915999999999922</v>
      </c>
      <c r="AF37" s="181">
        <f t="shared" ref="AF37" si="68">AF33+AF35</f>
        <v>-33.225000000000044</v>
      </c>
      <c r="AG37" s="182">
        <f>AG33+AG35</f>
        <v>57.719000000000207</v>
      </c>
      <c r="AH37" s="110">
        <f>AH33+AH35</f>
        <v>292.33300000000031</v>
      </c>
      <c r="AI37" s="180">
        <f>AI33+AI35</f>
        <v>122.88500000000005</v>
      </c>
      <c r="AJ37" s="181">
        <f>AJ33+AJ35</f>
        <v>-4.0919999999999916</v>
      </c>
      <c r="AK37" s="181">
        <f t="shared" ref="AK37" si="69">AK33+AK35</f>
        <v>-1031.9569999999999</v>
      </c>
      <c r="AL37" s="182">
        <f>AL33+AL35</f>
        <v>-154.67999999999944</v>
      </c>
      <c r="AM37" s="110">
        <f>AM33+AM35</f>
        <v>-1067.8439999999991</v>
      </c>
      <c r="AN37" s="180">
        <f>AN33+AN35</f>
        <v>79.008999999999929</v>
      </c>
      <c r="AO37" s="181">
        <f>AO33+AO35</f>
        <v>250.32700000000003</v>
      </c>
      <c r="AP37" s="181">
        <f t="shared" si="67"/>
        <v>7.6740000000000306</v>
      </c>
      <c r="AQ37" s="182">
        <f>AQ33+AQ35</f>
        <v>-1832.3220000000003</v>
      </c>
      <c r="AR37" s="110">
        <f>AR33+AR35</f>
        <v>-1495.3120000000008</v>
      </c>
      <c r="AS37" s="180">
        <f>AS33+AS35</f>
        <v>-27.744000000000046</v>
      </c>
      <c r="AT37" s="181">
        <f t="shared" ref="AT37:BB37" si="70">AT33+AT35</f>
        <v>223.33900000000006</v>
      </c>
      <c r="AU37" s="181">
        <f t="shared" si="70"/>
        <v>55.217999999999989</v>
      </c>
      <c r="AV37" s="182">
        <f>AV33+AV35</f>
        <v>-425.33600000000007</v>
      </c>
      <c r="AW37" s="110">
        <f>AW33+AW35</f>
        <v>-174.52300000000022</v>
      </c>
      <c r="AX37" s="180">
        <f t="shared" si="70"/>
        <v>52.115866317276861</v>
      </c>
      <c r="AY37" s="181">
        <f t="shared" si="70"/>
        <v>66.282307739590081</v>
      </c>
      <c r="AZ37" s="181">
        <f t="shared" si="70"/>
        <v>72.640027294955388</v>
      </c>
      <c r="BA37" s="182">
        <f t="shared" si="70"/>
        <v>63.283753005645217</v>
      </c>
      <c r="BB37" s="110">
        <f t="shared" si="70"/>
        <v>254.32195435746735</v>
      </c>
      <c r="BC37" s="180">
        <f t="shared" ref="BC37:BL37" si="71">BC33+BC35</f>
        <v>63.877811949901059</v>
      </c>
      <c r="BD37" s="181">
        <f t="shared" si="71"/>
        <v>37.356596372743624</v>
      </c>
      <c r="BE37" s="181">
        <f t="shared" si="71"/>
        <v>19.365859817194085</v>
      </c>
      <c r="BF37" s="182">
        <f t="shared" si="71"/>
        <v>6.1221999970713412</v>
      </c>
      <c r="BG37" s="110">
        <f t="shared" si="71"/>
        <v>126.72246813691028</v>
      </c>
      <c r="BH37" s="180">
        <f t="shared" si="71"/>
        <v>109.02289839503499</v>
      </c>
      <c r="BI37" s="181">
        <f t="shared" si="71"/>
        <v>16.155074229266262</v>
      </c>
      <c r="BJ37" s="181">
        <f t="shared" si="71"/>
        <v>-4.5920962006431729</v>
      </c>
      <c r="BK37" s="182">
        <f t="shared" si="71"/>
        <v>-12.536634812196164</v>
      </c>
      <c r="BL37" s="110">
        <f t="shared" si="71"/>
        <v>108.0492416114618</v>
      </c>
      <c r="BM37" s="180">
        <f t="shared" ref="BM37:BQ37" si="72">BM33+BM35</f>
        <v>26.059628062822377</v>
      </c>
      <c r="BN37" s="181">
        <f t="shared" si="72"/>
        <v>16.095355352075437</v>
      </c>
      <c r="BO37" s="181">
        <f t="shared" si="72"/>
        <v>-10.213129402803879</v>
      </c>
      <c r="BP37" s="182">
        <f t="shared" si="72"/>
        <v>-10.184113496424988</v>
      </c>
      <c r="BQ37" s="110">
        <f t="shared" si="72"/>
        <v>21.757740515669013</v>
      </c>
      <c r="BR37" s="110"/>
      <c r="BS37" s="939"/>
      <c r="BT37" s="1503"/>
      <c r="BU37" s="1504"/>
      <c r="BV37" s="939"/>
    </row>
    <row r="38" spans="1:80">
      <c r="A38" s="320"/>
      <c r="B38" s="320"/>
      <c r="C38" s="1129" t="s">
        <v>235</v>
      </c>
      <c r="D38" s="320"/>
      <c r="E38" s="190">
        <f>6.6</f>
        <v>6.6</v>
      </c>
      <c r="F38" s="190">
        <f>15.1</f>
        <v>15.1</v>
      </c>
      <c r="G38" s="190">
        <f>10.3</f>
        <v>10.3</v>
      </c>
      <c r="H38" s="251">
        <f>I38-SUM(E38:G38)</f>
        <v>12</v>
      </c>
      <c r="I38" s="377">
        <f>44</f>
        <v>44</v>
      </c>
      <c r="J38" s="393">
        <v>54.3</v>
      </c>
      <c r="K38" s="190">
        <v>14.5</v>
      </c>
      <c r="L38" s="190">
        <v>25.2</v>
      </c>
      <c r="M38" s="251">
        <f>N38-SUM(J38:L38)</f>
        <v>6.7000000000000028</v>
      </c>
      <c r="N38" s="348">
        <v>100.7</v>
      </c>
      <c r="O38" s="393">
        <v>0</v>
      </c>
      <c r="P38" s="190">
        <v>0</v>
      </c>
      <c r="Q38" s="190">
        <v>0</v>
      </c>
      <c r="R38" s="251">
        <f>S38-SUM(O38:Q38)</f>
        <v>0</v>
      </c>
      <c r="S38" s="348">
        <v>0</v>
      </c>
      <c r="T38" s="393">
        <v>223.5</v>
      </c>
      <c r="U38" s="190">
        <v>0</v>
      </c>
      <c r="V38" s="190">
        <v>0</v>
      </c>
      <c r="W38" s="251">
        <f>X38-SUM(T38:V38)</f>
        <v>0</v>
      </c>
      <c r="X38" s="348">
        <v>223.5</v>
      </c>
      <c r="Y38" s="393">
        <v>0</v>
      </c>
      <c r="Z38" s="428">
        <v>1.1000000000000001</v>
      </c>
      <c r="AA38" s="428">
        <f>173.1+2.1</f>
        <v>175.2</v>
      </c>
      <c r="AB38" s="251">
        <f>AC38-SUM(Y38:AA38)</f>
        <v>43.500000000000028</v>
      </c>
      <c r="AC38" s="348">
        <f>204.8+15</f>
        <v>219.8</v>
      </c>
      <c r="AD38" s="393">
        <v>6.6</v>
      </c>
      <c r="AE38" s="428">
        <v>7.5</v>
      </c>
      <c r="AF38" s="428">
        <f>73.7+0.3</f>
        <v>74</v>
      </c>
      <c r="AG38" s="251">
        <f>AH38-SUM(AD38:AF38)</f>
        <v>13.700000000000003</v>
      </c>
      <c r="AH38" s="348">
        <f>99.7+2.1</f>
        <v>101.8</v>
      </c>
      <c r="AI38" s="393">
        <v>4.5999999999999996</v>
      </c>
      <c r="AJ38" s="190">
        <v>1.1000000000000001</v>
      </c>
      <c r="AK38" s="190">
        <f>1.2+1062.5</f>
        <v>1063.7</v>
      </c>
      <c r="AL38" s="251">
        <f>AM38-SUM(AI38:AK38)</f>
        <v>183.09999999999991</v>
      </c>
      <c r="AM38" s="348">
        <f>17+0.3+2036.2-154+36.8-683.8</f>
        <v>1252.5</v>
      </c>
      <c r="AN38" s="393">
        <v>12.9</v>
      </c>
      <c r="AO38" s="190">
        <v>-9.6</v>
      </c>
      <c r="AP38" s="428">
        <v>27.5</v>
      </c>
      <c r="AQ38" s="251">
        <f>AR38-SUM(AN38:AP38)</f>
        <v>1824.5</v>
      </c>
      <c r="AR38" s="348">
        <f>-40.7+75.6+5.5+2835.6-1020.7</f>
        <v>1855.3</v>
      </c>
      <c r="AS38" s="393">
        <v>95.1</v>
      </c>
      <c r="AT38" s="190">
        <v>151.30000000000001</v>
      </c>
      <c r="AU38" s="190">
        <v>25.5</v>
      </c>
      <c r="AV38" s="251">
        <f>AW38-SUM(AS38:AU38)</f>
        <v>488.20000000000016</v>
      </c>
      <c r="AW38" s="348">
        <f>-91+201.3+538.4+9.6-16.3-14.6+132.7</f>
        <v>760.10000000000014</v>
      </c>
      <c r="AX38" s="427">
        <v>0</v>
      </c>
      <c r="AY38" s="428">
        <v>0</v>
      </c>
      <c r="AZ38" s="428">
        <v>0</v>
      </c>
      <c r="BA38" s="429">
        <v>0</v>
      </c>
      <c r="BB38" s="107">
        <f>SUM(AX38:BA38)</f>
        <v>0</v>
      </c>
      <c r="BC38" s="427">
        <v>0</v>
      </c>
      <c r="BD38" s="428">
        <v>0</v>
      </c>
      <c r="BE38" s="428">
        <v>0</v>
      </c>
      <c r="BF38" s="429">
        <v>0</v>
      </c>
      <c r="BG38" s="107">
        <f>SUM(BC38:BF38)</f>
        <v>0</v>
      </c>
      <c r="BH38" s="427">
        <v>0</v>
      </c>
      <c r="BI38" s="428">
        <v>0</v>
      </c>
      <c r="BJ38" s="428">
        <v>0</v>
      </c>
      <c r="BK38" s="429">
        <v>0</v>
      </c>
      <c r="BL38" s="107">
        <f>SUM(BH38:BK38)</f>
        <v>0</v>
      </c>
      <c r="BM38" s="427">
        <v>0</v>
      </c>
      <c r="BN38" s="428">
        <v>0</v>
      </c>
      <c r="BO38" s="428">
        <v>0</v>
      </c>
      <c r="BP38" s="429">
        <v>0</v>
      </c>
      <c r="BQ38" s="107">
        <f>SUM(BM38:BP38)</f>
        <v>0</v>
      </c>
      <c r="BR38" s="107"/>
      <c r="BS38" s="1496"/>
      <c r="BT38" s="1502"/>
      <c r="BU38" s="1504"/>
      <c r="BV38" s="1496"/>
    </row>
    <row r="39" spans="1:80">
      <c r="A39" s="356"/>
      <c r="B39" s="356"/>
      <c r="C39" s="1130" t="s">
        <v>863</v>
      </c>
      <c r="D39" s="312"/>
      <c r="E39" s="413">
        <f t="shared" ref="E39:P39" si="73">E37+E38</f>
        <v>187.48199999999994</v>
      </c>
      <c r="F39" s="414">
        <f t="shared" si="73"/>
        <v>95.310999999999979</v>
      </c>
      <c r="G39" s="414">
        <f t="shared" si="73"/>
        <v>210.73200000000008</v>
      </c>
      <c r="H39" s="415">
        <f t="shared" si="73"/>
        <v>188.94000000000014</v>
      </c>
      <c r="I39" s="245">
        <f t="shared" si="73"/>
        <v>682.46499999999969</v>
      </c>
      <c r="J39" s="248">
        <f t="shared" si="73"/>
        <v>144.15899999999999</v>
      </c>
      <c r="K39" s="246">
        <f t="shared" si="73"/>
        <v>118.37400000000002</v>
      </c>
      <c r="L39" s="246">
        <f t="shared" si="73"/>
        <v>168.23799999999994</v>
      </c>
      <c r="M39" s="247">
        <f t="shared" si="73"/>
        <v>156.61900000000009</v>
      </c>
      <c r="N39" s="245">
        <f t="shared" si="73"/>
        <v>587.38999999999987</v>
      </c>
      <c r="O39" s="248">
        <f t="shared" si="73"/>
        <v>122.54999999999997</v>
      </c>
      <c r="P39" s="246">
        <f t="shared" si="73"/>
        <v>64.87299999999999</v>
      </c>
      <c r="Q39" s="246">
        <f>Q37+Q38</f>
        <v>130.17899999999997</v>
      </c>
      <c r="R39" s="247">
        <f t="shared" ref="R39:AP39" si="74">R37+R38</f>
        <v>170.99400000000017</v>
      </c>
      <c r="S39" s="245">
        <f t="shared" si="74"/>
        <v>488.59599999999989</v>
      </c>
      <c r="T39" s="248">
        <f t="shared" si="74"/>
        <v>54.987999999999829</v>
      </c>
      <c r="U39" s="246">
        <f t="shared" si="74"/>
        <v>81.316999999999922</v>
      </c>
      <c r="V39" s="246">
        <f t="shared" si="74"/>
        <v>118.7660000000001</v>
      </c>
      <c r="W39" s="247">
        <f t="shared" si="74"/>
        <v>8.8560000000000798</v>
      </c>
      <c r="X39" s="245">
        <f t="shared" si="74"/>
        <v>263.92699999999979</v>
      </c>
      <c r="Y39" s="248">
        <f t="shared" si="74"/>
        <v>82.113999999999919</v>
      </c>
      <c r="Z39" s="246">
        <f t="shared" si="74"/>
        <v>12.631000000000103</v>
      </c>
      <c r="AA39" s="246">
        <f t="shared" si="74"/>
        <v>82.372000000000114</v>
      </c>
      <c r="AB39" s="247">
        <f>AB37+AB38</f>
        <v>85.568000000000069</v>
      </c>
      <c r="AC39" s="245">
        <f t="shared" si="74"/>
        <v>262.685</v>
      </c>
      <c r="AD39" s="248">
        <f t="shared" si="74"/>
        <v>248.52299999999997</v>
      </c>
      <c r="AE39" s="246">
        <f t="shared" si="74"/>
        <v>33.415999999999926</v>
      </c>
      <c r="AF39" s="246">
        <f t="shared" ref="AF39" si="75">AF37+AF38</f>
        <v>40.774999999999956</v>
      </c>
      <c r="AG39" s="247">
        <f>AG37+AG38</f>
        <v>71.41900000000021</v>
      </c>
      <c r="AH39" s="245">
        <f t="shared" ref="AH39:AK39" si="76">AH37+AH38</f>
        <v>394.13300000000032</v>
      </c>
      <c r="AI39" s="248">
        <f t="shared" si="76"/>
        <v>127.48500000000004</v>
      </c>
      <c r="AJ39" s="246">
        <f t="shared" si="76"/>
        <v>-2.9919999999999916</v>
      </c>
      <c r="AK39" s="246">
        <f t="shared" si="76"/>
        <v>31.743000000000166</v>
      </c>
      <c r="AL39" s="247">
        <f>AL37+AL38</f>
        <v>28.420000000000471</v>
      </c>
      <c r="AM39" s="245">
        <f t="shared" ref="AM39:AO39" si="77">AM37+AM38</f>
        <v>184.65600000000086</v>
      </c>
      <c r="AN39" s="248">
        <f t="shared" si="77"/>
        <v>91.908999999999935</v>
      </c>
      <c r="AO39" s="246">
        <f t="shared" si="77"/>
        <v>240.72700000000003</v>
      </c>
      <c r="AP39" s="246">
        <f t="shared" si="74"/>
        <v>35.174000000000028</v>
      </c>
      <c r="AQ39" s="247">
        <f>AQ37+AQ38</f>
        <v>-7.8220000000003438</v>
      </c>
      <c r="AR39" s="245">
        <f t="shared" ref="AR39:AS39" si="78">AR37+AR38</f>
        <v>359.98799999999915</v>
      </c>
      <c r="AS39" s="248">
        <f t="shared" si="78"/>
        <v>67.355999999999952</v>
      </c>
      <c r="AT39" s="246">
        <f t="shared" ref="AT39:BB39" si="79">AT37+AT38</f>
        <v>374.63900000000007</v>
      </c>
      <c r="AU39" s="246">
        <f t="shared" si="79"/>
        <v>80.717999999999989</v>
      </c>
      <c r="AV39" s="247">
        <f>AV37+AV38</f>
        <v>62.86400000000009</v>
      </c>
      <c r="AW39" s="245">
        <f t="shared" ref="AW39" si="80">AW37+AW38</f>
        <v>585.57699999999988</v>
      </c>
      <c r="AX39" s="248">
        <f t="shared" si="79"/>
        <v>52.115866317276861</v>
      </c>
      <c r="AY39" s="246">
        <f t="shared" si="79"/>
        <v>66.282307739590081</v>
      </c>
      <c r="AZ39" s="246">
        <f t="shared" si="79"/>
        <v>72.640027294955388</v>
      </c>
      <c r="BA39" s="247">
        <f t="shared" si="79"/>
        <v>63.283753005645217</v>
      </c>
      <c r="BB39" s="245">
        <f t="shared" si="79"/>
        <v>254.32195435746735</v>
      </c>
      <c r="BC39" s="248">
        <f t="shared" ref="BC39:BL39" si="81">BC37+BC38</f>
        <v>63.877811949901059</v>
      </c>
      <c r="BD39" s="246">
        <f t="shared" si="81"/>
        <v>37.356596372743624</v>
      </c>
      <c r="BE39" s="246">
        <f t="shared" si="81"/>
        <v>19.365859817194085</v>
      </c>
      <c r="BF39" s="247">
        <f t="shared" si="81"/>
        <v>6.1221999970713412</v>
      </c>
      <c r="BG39" s="245">
        <f t="shared" si="81"/>
        <v>126.72246813691028</v>
      </c>
      <c r="BH39" s="248">
        <f t="shared" si="81"/>
        <v>109.02289839503499</v>
      </c>
      <c r="BI39" s="246">
        <f t="shared" si="81"/>
        <v>16.155074229266262</v>
      </c>
      <c r="BJ39" s="246">
        <f t="shared" si="81"/>
        <v>-4.5920962006431729</v>
      </c>
      <c r="BK39" s="247">
        <f t="shared" si="81"/>
        <v>-12.536634812196164</v>
      </c>
      <c r="BL39" s="245">
        <f t="shared" si="81"/>
        <v>108.0492416114618</v>
      </c>
      <c r="BM39" s="248">
        <f t="shared" ref="BM39:BQ39" si="82">BM37+BM38</f>
        <v>26.059628062822377</v>
      </c>
      <c r="BN39" s="246">
        <f t="shared" si="82"/>
        <v>16.095355352075437</v>
      </c>
      <c r="BO39" s="246">
        <f t="shared" si="82"/>
        <v>-10.213129402803879</v>
      </c>
      <c r="BP39" s="247">
        <f t="shared" si="82"/>
        <v>-10.184113496424988</v>
      </c>
      <c r="BQ39" s="245">
        <f t="shared" si="82"/>
        <v>21.757740515669013</v>
      </c>
      <c r="BR39" s="245"/>
      <c r="BS39" s="1506"/>
      <c r="BT39" s="1503"/>
      <c r="BU39" s="1507"/>
      <c r="BV39" s="1506"/>
    </row>
    <row r="40" spans="1:80" ht="12.75" customHeight="1">
      <c r="A40" s="320"/>
      <c r="B40" s="320"/>
      <c r="C40" s="1128"/>
      <c r="D40" s="320"/>
      <c r="E40" s="324"/>
      <c r="F40" s="325"/>
      <c r="G40" s="325"/>
      <c r="H40" s="326"/>
      <c r="I40" s="107"/>
      <c r="J40" s="174"/>
      <c r="K40" s="175"/>
      <c r="L40" s="175"/>
      <c r="M40" s="176"/>
      <c r="N40" s="107"/>
      <c r="O40" s="174"/>
      <c r="P40" s="175"/>
      <c r="Q40" s="175"/>
      <c r="R40" s="176"/>
      <c r="S40" s="107"/>
      <c r="T40" s="174"/>
      <c r="U40" s="175"/>
      <c r="V40" s="175"/>
      <c r="W40" s="176"/>
      <c r="X40" s="107"/>
      <c r="Y40" s="174"/>
      <c r="Z40" s="175"/>
      <c r="AA40" s="175"/>
      <c r="AB40" s="176"/>
      <c r="AC40" s="107"/>
      <c r="AD40" s="174"/>
      <c r="AE40" s="175"/>
      <c r="AF40" s="175"/>
      <c r="AG40" s="176"/>
      <c r="AH40" s="107"/>
      <c r="AI40" s="174"/>
      <c r="AJ40" s="175"/>
      <c r="AK40" s="175"/>
      <c r="AL40" s="176"/>
      <c r="AM40" s="107"/>
      <c r="AN40" s="174"/>
      <c r="AO40" s="175"/>
      <c r="AP40" s="175"/>
      <c r="AQ40" s="176"/>
      <c r="AR40" s="107"/>
      <c r="AS40" s="174"/>
      <c r="AT40" s="175"/>
      <c r="AU40" s="175"/>
      <c r="AV40" s="176"/>
      <c r="AW40" s="107"/>
      <c r="AX40" s="174"/>
      <c r="AY40" s="175"/>
      <c r="AZ40" s="175"/>
      <c r="BA40" s="176"/>
      <c r="BB40" s="107"/>
      <c r="BC40" s="174"/>
      <c r="BD40" s="175"/>
      <c r="BE40" s="175"/>
      <c r="BF40" s="176"/>
      <c r="BG40" s="107"/>
      <c r="BH40" s="174"/>
      <c r="BI40" s="175"/>
      <c r="BJ40" s="175"/>
      <c r="BK40" s="176"/>
      <c r="BL40" s="107"/>
      <c r="BM40" s="174"/>
      <c r="BN40" s="175"/>
      <c r="BO40" s="175"/>
      <c r="BP40" s="176"/>
      <c r="BQ40" s="107"/>
      <c r="BR40" s="107"/>
      <c r="BS40" s="1496"/>
      <c r="BT40" s="1502"/>
      <c r="BU40" s="1507"/>
      <c r="BV40" s="1496"/>
    </row>
    <row r="41" spans="1:80" ht="12.75" customHeight="1">
      <c r="A41" s="320"/>
      <c r="B41" s="320"/>
      <c r="C41" s="1127" t="s">
        <v>356</v>
      </c>
      <c r="D41" s="320"/>
      <c r="E41" s="332">
        <f>ETR!E46</f>
        <v>192.59360100000001</v>
      </c>
      <c r="F41" s="333">
        <f>ETR!F46</f>
        <v>196.10500200000001</v>
      </c>
      <c r="G41" s="333">
        <f>ETR!G46</f>
        <v>193.424904</v>
      </c>
      <c r="H41" s="334">
        <f>ETR!H46</f>
        <v>176.16176899999999</v>
      </c>
      <c r="I41" s="44">
        <f>ETR!I46</f>
        <v>192.31474549999999</v>
      </c>
      <c r="J41" s="177">
        <f>ETR!J46</f>
        <v>189.202</v>
      </c>
      <c r="K41" s="178">
        <f>ETR!K46</f>
        <v>188.77624</v>
      </c>
      <c r="L41" s="178">
        <f>ETR!L46</f>
        <v>185.96243000000001</v>
      </c>
      <c r="M41" s="179">
        <f>ETR!M46</f>
        <v>176.16176899999999</v>
      </c>
      <c r="N41" s="44">
        <f>ETR!N46</f>
        <v>186.71517499999999</v>
      </c>
      <c r="O41" s="177">
        <f>ETR!O46</f>
        <v>178.83434249999999</v>
      </c>
      <c r="P41" s="178">
        <f>ETR!P46</f>
        <v>177.80799999999999</v>
      </c>
      <c r="Q41" s="178">
        <f>ETR!Q46</f>
        <v>176.950469</v>
      </c>
      <c r="R41" s="179">
        <f>ETR!R46</f>
        <v>176.16176899999999</v>
      </c>
      <c r="S41" s="44">
        <f>ETR!S46</f>
        <v>177.43020799999999</v>
      </c>
      <c r="T41" s="177">
        <f>ETR!T46</f>
        <v>176.865363</v>
      </c>
      <c r="U41" s="178">
        <f>ETR!U46</f>
        <v>177.16651899999999</v>
      </c>
      <c r="V41" s="178">
        <f>ETR!V46</f>
        <v>177.51784599999999</v>
      </c>
      <c r="W41" s="179">
        <f>ETR!W46</f>
        <v>177.67249100000001</v>
      </c>
      <c r="X41" s="44">
        <f>ETR!X46</f>
        <v>177.32481300000001</v>
      </c>
      <c r="Y41" s="177">
        <f>ETR!Y46</f>
        <v>178.027961</v>
      </c>
      <c r="Z41" s="178">
        <f>ETR!Z46</f>
        <v>178.19652500000001</v>
      </c>
      <c r="AA41" s="178">
        <f>ETR!AA46</f>
        <v>178.28372100000001</v>
      </c>
      <c r="AB41" s="179">
        <f>ETR!AB46</f>
        <v>178.30597499999999</v>
      </c>
      <c r="AC41" s="44">
        <f>ETR!AC46</f>
        <v>178.21119200000001</v>
      </c>
      <c r="AD41" s="177">
        <f>ETR!AD46</f>
        <v>178.79782900000001</v>
      </c>
      <c r="AE41" s="178">
        <f>ETR!AE46</f>
        <v>179.35410300000001</v>
      </c>
      <c r="AF41" s="178">
        <f>ETR!AF46</f>
        <v>179.61006699999999</v>
      </c>
      <c r="AG41" s="179">
        <f>ETR!AG46</f>
        <v>180.245555</v>
      </c>
      <c r="AH41" s="44">
        <f>ETR!AH46</f>
        <v>179.50615099999999</v>
      </c>
      <c r="AI41" s="177">
        <f>ETR!AI46</f>
        <v>179.65898100000001</v>
      </c>
      <c r="AJ41" s="178">
        <f>ETR!AJ46</f>
        <v>179.521276</v>
      </c>
      <c r="AK41" s="178">
        <f>ETR!AK46</f>
        <v>179.15183200000001</v>
      </c>
      <c r="AL41" s="179">
        <f>ETR!AL46</f>
        <v>178.387574</v>
      </c>
      <c r="AM41" s="44">
        <f>ETR!AM46</f>
        <v>179.176356</v>
      </c>
      <c r="AN41" s="177">
        <f>ETR!AN46</f>
        <v>178.57853600000001</v>
      </c>
      <c r="AO41" s="178">
        <f>ETR!AO46</f>
        <v>178.80814899999999</v>
      </c>
      <c r="AP41" s="178">
        <f>ETR!AP46</f>
        <v>179.02335099999999</v>
      </c>
      <c r="AQ41" s="179">
        <f>ETR!AQ46</f>
        <v>179.12842499999999</v>
      </c>
      <c r="AR41" s="44">
        <f>ETR!AR46</f>
        <v>178.88566</v>
      </c>
      <c r="AS41" s="177">
        <f>ETR!AS46</f>
        <v>179.33506299999999</v>
      </c>
      <c r="AT41" s="178">
        <f>ETR!AT46</f>
        <v>179.475346</v>
      </c>
      <c r="AU41" s="178">
        <f>ETR!AU46</f>
        <v>179.563819</v>
      </c>
      <c r="AV41" s="179">
        <f>ETR!AV46</f>
        <v>180.303505</v>
      </c>
      <c r="AW41" s="44">
        <f>ETR!AW46</f>
        <v>179.671797</v>
      </c>
      <c r="AX41" s="177">
        <f>ETR!AX46</f>
        <v>180.517653</v>
      </c>
      <c r="AY41" s="178">
        <f>ETR!AY46</f>
        <v>180.517653</v>
      </c>
      <c r="AZ41" s="178">
        <f>ETR!AZ46</f>
        <v>180.517653</v>
      </c>
      <c r="BA41" s="179">
        <f>ETR!BA46</f>
        <v>180.517653</v>
      </c>
      <c r="BB41" s="44">
        <f>ETR!BB46</f>
        <v>180.517653</v>
      </c>
      <c r="BC41" s="177">
        <f>ETR!BC46</f>
        <v>180.517653</v>
      </c>
      <c r="BD41" s="178">
        <f>ETR!BD46</f>
        <v>180.517653</v>
      </c>
      <c r="BE41" s="178">
        <f>ETR!BE46</f>
        <v>180.517653</v>
      </c>
      <c r="BF41" s="179">
        <f>ETR!BF46</f>
        <v>180.517653</v>
      </c>
      <c r="BG41" s="44">
        <f>ETR!BG46</f>
        <v>180.517653</v>
      </c>
      <c r="BH41" s="177">
        <f>ETR!BH46</f>
        <v>180.517653</v>
      </c>
      <c r="BI41" s="178">
        <f>ETR!BI46</f>
        <v>180.517653</v>
      </c>
      <c r="BJ41" s="178">
        <f>ETR!BJ46</f>
        <v>180.517653</v>
      </c>
      <c r="BK41" s="179">
        <f>ETR!BK46</f>
        <v>180.517653</v>
      </c>
      <c r="BL41" s="44">
        <f>ETR!BL46</f>
        <v>180.517653</v>
      </c>
      <c r="BM41" s="177">
        <f>ETR!BM46</f>
        <v>180.517653</v>
      </c>
      <c r="BN41" s="178">
        <f>ETR!BN46</f>
        <v>180.517653</v>
      </c>
      <c r="BO41" s="178">
        <f>ETR!BO46</f>
        <v>180.517653</v>
      </c>
      <c r="BP41" s="179">
        <f>ETR!BP46</f>
        <v>180.517653</v>
      </c>
      <c r="BQ41" s="44">
        <f>ETR!BQ46</f>
        <v>180.517653</v>
      </c>
      <c r="BR41" s="44"/>
      <c r="BS41" s="938"/>
      <c r="BT41" s="1502"/>
      <c r="BU41" s="1507"/>
      <c r="BV41" s="938"/>
    </row>
    <row r="42" spans="1:80" ht="12.75" customHeight="1">
      <c r="A42" s="320"/>
      <c r="B42" s="320"/>
      <c r="C42" s="1127" t="s">
        <v>357</v>
      </c>
      <c r="D42" s="320"/>
      <c r="E42" s="332">
        <f>ETR!E47</f>
        <v>198.05800199999999</v>
      </c>
      <c r="F42" s="333">
        <f>ETR!F47</f>
        <v>198.24316899999999</v>
      </c>
      <c r="G42" s="333">
        <f>ETR!G47</f>
        <v>195.87524099999999</v>
      </c>
      <c r="H42" s="334">
        <f>ETR!H47</f>
        <v>177.08257</v>
      </c>
      <c r="I42" s="44">
        <f>ETR!I47</f>
        <v>192.31474549999999</v>
      </c>
      <c r="J42" s="177">
        <f>ETR!J47</f>
        <v>191.28299999999999</v>
      </c>
      <c r="K42" s="178">
        <f>ETR!K47</f>
        <v>190.71795800000001</v>
      </c>
      <c r="L42" s="178">
        <f>ETR!L47</f>
        <v>187.77717200000001</v>
      </c>
      <c r="M42" s="179">
        <f>ETR!M47</f>
        <v>177.08257</v>
      </c>
      <c r="N42" s="44">
        <f>ETR!N47</f>
        <v>186.71517499999999</v>
      </c>
      <c r="O42" s="177">
        <f>ETR!O47</f>
        <v>180.08383000000001</v>
      </c>
      <c r="P42" s="178">
        <f>ETR!P47</f>
        <v>178.92500000000001</v>
      </c>
      <c r="Q42" s="178">
        <f>ETR!Q47</f>
        <v>177.72301999999999</v>
      </c>
      <c r="R42" s="179">
        <f>ETR!R47</f>
        <v>177.08257</v>
      </c>
      <c r="S42" s="44">
        <f>ETR!S47</f>
        <v>178.37069500000001</v>
      </c>
      <c r="T42" s="177">
        <f>ETR!T47</f>
        <v>177.38804500000001</v>
      </c>
      <c r="U42" s="178">
        <f>ETR!U47</f>
        <v>177.56535099999999</v>
      </c>
      <c r="V42" s="178">
        <f>ETR!V47</f>
        <v>177.975075</v>
      </c>
      <c r="W42" s="179">
        <f>ETR!W47</f>
        <v>177.975075</v>
      </c>
      <c r="X42" s="44">
        <f>ETR!X47</f>
        <v>177.73756499999999</v>
      </c>
      <c r="Y42" s="177">
        <f>ETR!Y47</f>
        <v>178.413287</v>
      </c>
      <c r="Z42" s="178">
        <f>ETR!Z47</f>
        <v>178.614383</v>
      </c>
      <c r="AA42" s="178">
        <f>ETR!AA47</f>
        <v>178.65221</v>
      </c>
      <c r="AB42" s="179">
        <f>ETR!AB47</f>
        <v>178.65221</v>
      </c>
      <c r="AC42" s="44">
        <f>ETR!AC47</f>
        <v>178.57040000000001</v>
      </c>
      <c r="AD42" s="177">
        <f>ETR!AD47</f>
        <v>179.05596700000001</v>
      </c>
      <c r="AE42" s="178">
        <f>ETR!AE47</f>
        <v>180.04543200000001</v>
      </c>
      <c r="AF42" s="178">
        <f>ETR!AF47</f>
        <v>180.52711600000001</v>
      </c>
      <c r="AG42" s="179">
        <f>ETR!AG47</f>
        <v>181.603441</v>
      </c>
      <c r="AH42" s="44">
        <f>ETR!AH47</f>
        <v>180.296885</v>
      </c>
      <c r="AI42" s="177">
        <f>ETR!AI47</f>
        <v>180.48052300000001</v>
      </c>
      <c r="AJ42" s="178">
        <f>ETR!AJ47</f>
        <v>180.11983699999999</v>
      </c>
      <c r="AK42" s="178">
        <f>ETR!AK47</f>
        <v>179.15183200000001</v>
      </c>
      <c r="AL42" s="179">
        <f>ETR!AL47</f>
        <v>179.06994800000001</v>
      </c>
      <c r="AM42" s="44">
        <f>ETR!AM47</f>
        <v>179.176356</v>
      </c>
      <c r="AN42" s="177">
        <f>ETR!AN47</f>
        <v>178.97638000000001</v>
      </c>
      <c r="AO42" s="178">
        <f>ETR!AO47</f>
        <v>179.50358199999999</v>
      </c>
      <c r="AP42" s="178">
        <f>ETR!AP47</f>
        <v>179.99088800000001</v>
      </c>
      <c r="AQ42" s="179">
        <f>ETR!AQ47</f>
        <v>179.12842499999999</v>
      </c>
      <c r="AR42" s="44">
        <f>ETR!AR47</f>
        <v>178.88566</v>
      </c>
      <c r="AS42" s="177">
        <f>ETR!AS47</f>
        <v>179.84205299999999</v>
      </c>
      <c r="AT42" s="178">
        <f>ETR!AT47</f>
        <v>180.23469399999999</v>
      </c>
      <c r="AU42" s="178">
        <f>ETR!AU47</f>
        <v>180.46406899999999</v>
      </c>
      <c r="AV42" s="179">
        <f>ETR!AV47</f>
        <v>180.303505</v>
      </c>
      <c r="AW42" s="44">
        <f>ETR!AW47</f>
        <v>180.53589299999999</v>
      </c>
      <c r="AX42" s="177">
        <f>ETR!AX47</f>
        <v>180.517653</v>
      </c>
      <c r="AY42" s="178">
        <f>ETR!AY47</f>
        <v>180.517653</v>
      </c>
      <c r="AZ42" s="178">
        <f>ETR!AZ47</f>
        <v>180.517653</v>
      </c>
      <c r="BA42" s="179">
        <f>ETR!BA47</f>
        <v>180.517653</v>
      </c>
      <c r="BB42" s="44">
        <f>ETR!BB47</f>
        <v>180.517653</v>
      </c>
      <c r="BC42" s="177">
        <f>ETR!BC47</f>
        <v>180.517653</v>
      </c>
      <c r="BD42" s="178">
        <f>ETR!BD47</f>
        <v>180.517653</v>
      </c>
      <c r="BE42" s="178">
        <f>ETR!BE47</f>
        <v>180.517653</v>
      </c>
      <c r="BF42" s="179">
        <f>ETR!BF47</f>
        <v>180.517653</v>
      </c>
      <c r="BG42" s="44">
        <f>ETR!BG47</f>
        <v>180.517653</v>
      </c>
      <c r="BH42" s="177">
        <f>ETR!BH47</f>
        <v>180.517653</v>
      </c>
      <c r="BI42" s="178">
        <f>ETR!BI47</f>
        <v>180.517653</v>
      </c>
      <c r="BJ42" s="178">
        <f>ETR!BJ47</f>
        <v>180.517653</v>
      </c>
      <c r="BK42" s="179">
        <f>ETR!BK47</f>
        <v>180.517653</v>
      </c>
      <c r="BL42" s="44">
        <f>ETR!BL47</f>
        <v>180.517653</v>
      </c>
      <c r="BM42" s="177">
        <f>ETR!BM47</f>
        <v>180.517653</v>
      </c>
      <c r="BN42" s="178">
        <f>ETR!BN47</f>
        <v>180.517653</v>
      </c>
      <c r="BO42" s="178">
        <f>ETR!BO47</f>
        <v>180.517653</v>
      </c>
      <c r="BP42" s="179">
        <f>ETR!BP47</f>
        <v>180.517653</v>
      </c>
      <c r="BQ42" s="44">
        <f>ETR!BQ47</f>
        <v>180.517653</v>
      </c>
      <c r="BR42" s="44"/>
      <c r="BS42" s="938"/>
      <c r="BT42" s="1502"/>
      <c r="BU42" s="1507"/>
      <c r="BV42" s="938"/>
    </row>
    <row r="43" spans="1:80" ht="12.75" customHeight="1">
      <c r="A43" s="5"/>
      <c r="B43" s="5"/>
      <c r="C43" s="1127"/>
      <c r="D43" s="5"/>
      <c r="E43" s="136"/>
      <c r="F43" s="137"/>
      <c r="G43" s="137"/>
      <c r="H43" s="138"/>
      <c r="I43" s="107"/>
      <c r="J43" s="177"/>
      <c r="K43" s="178"/>
      <c r="L43" s="178"/>
      <c r="M43" s="179"/>
      <c r="N43" s="107"/>
      <c r="O43" s="177"/>
      <c r="P43" s="178"/>
      <c r="Q43" s="178"/>
      <c r="R43" s="179"/>
      <c r="S43" s="107"/>
      <c r="T43" s="177"/>
      <c r="U43" s="178"/>
      <c r="V43" s="178"/>
      <c r="W43" s="179"/>
      <c r="X43" s="107"/>
      <c r="Y43" s="177"/>
      <c r="Z43" s="178"/>
      <c r="AA43" s="178"/>
      <c r="AB43" s="179"/>
      <c r="AC43" s="107"/>
      <c r="AD43" s="177"/>
      <c r="AE43" s="178"/>
      <c r="AF43" s="178"/>
      <c r="AG43" s="179"/>
      <c r="AH43" s="107"/>
      <c r="AI43" s="177"/>
      <c r="AJ43" s="178"/>
      <c r="AK43" s="178"/>
      <c r="AL43" s="179"/>
      <c r="AM43" s="107"/>
      <c r="AN43" s="177"/>
      <c r="AO43" s="178"/>
      <c r="AP43" s="178"/>
      <c r="AQ43" s="179"/>
      <c r="AR43" s="107"/>
      <c r="AS43" s="177"/>
      <c r="AT43" s="178"/>
      <c r="AU43" s="178"/>
      <c r="AV43" s="179"/>
      <c r="AW43" s="107"/>
      <c r="AX43" s="177"/>
      <c r="AY43" s="178"/>
      <c r="AZ43" s="178"/>
      <c r="BA43" s="179"/>
      <c r="BB43" s="107"/>
      <c r="BC43" s="177"/>
      <c r="BD43" s="178"/>
      <c r="BE43" s="178"/>
      <c r="BF43" s="179"/>
      <c r="BG43" s="107"/>
      <c r="BH43" s="177"/>
      <c r="BI43" s="178"/>
      <c r="BJ43" s="178"/>
      <c r="BK43" s="179"/>
      <c r="BL43" s="107"/>
      <c r="BM43" s="177"/>
      <c r="BN43" s="178"/>
      <c r="BO43" s="178"/>
      <c r="BP43" s="179"/>
      <c r="BQ43" s="107"/>
      <c r="BR43" s="107"/>
      <c r="BS43" s="1496"/>
      <c r="BT43" s="1502"/>
      <c r="BU43" s="1507"/>
      <c r="BV43" s="1496"/>
    </row>
    <row r="44" spans="1:80" s="34" customFormat="1">
      <c r="A44" s="358"/>
      <c r="B44" s="358"/>
      <c r="C44" s="1131" t="s">
        <v>865</v>
      </c>
      <c r="D44" s="358"/>
      <c r="E44" s="359">
        <f t="shared" ref="E44:AP44" si="83">E37/E42</f>
        <v>0.91327791946522796</v>
      </c>
      <c r="F44" s="360">
        <f t="shared" si="83"/>
        <v>0.40460914948348098</v>
      </c>
      <c r="G44" s="360">
        <f t="shared" si="83"/>
        <v>1.0232635782691906</v>
      </c>
      <c r="H44" s="361">
        <f t="shared" si="83"/>
        <v>0.99919489535305561</v>
      </c>
      <c r="I44" s="358">
        <f t="shared" si="83"/>
        <v>3.3198962374936545</v>
      </c>
      <c r="J44" s="359">
        <f t="shared" si="83"/>
        <v>0.46976992205266538</v>
      </c>
      <c r="K44" s="360">
        <f t="shared" si="83"/>
        <v>0.5446471904863831</v>
      </c>
      <c r="L44" s="360">
        <f t="shared" si="83"/>
        <v>0.76174328581325079</v>
      </c>
      <c r="M44" s="361">
        <f t="shared" si="83"/>
        <v>0.8466050611305227</v>
      </c>
      <c r="N44" s="358">
        <f t="shared" si="83"/>
        <v>2.6065904927116925</v>
      </c>
      <c r="O44" s="359">
        <f t="shared" si="83"/>
        <v>0.6805164017224643</v>
      </c>
      <c r="P44" s="360">
        <f t="shared" si="83"/>
        <v>0.36257090959899391</v>
      </c>
      <c r="Q44" s="360">
        <f t="shared" si="83"/>
        <v>0.73248248876256983</v>
      </c>
      <c r="R44" s="361">
        <f t="shared" si="83"/>
        <v>0.96561733884932976</v>
      </c>
      <c r="S44" s="358">
        <f t="shared" si="83"/>
        <v>2.7392167754910628</v>
      </c>
      <c r="T44" s="359">
        <f t="shared" si="83"/>
        <v>-0.94996255243694783</v>
      </c>
      <c r="U44" s="360">
        <f t="shared" si="83"/>
        <v>0.45795533611734829</v>
      </c>
      <c r="V44" s="360">
        <f t="shared" si="83"/>
        <v>0.66731816238875075</v>
      </c>
      <c r="W44" s="361">
        <f t="shared" si="83"/>
        <v>4.9759776755256765E-2</v>
      </c>
      <c r="X44" s="358">
        <f t="shared" si="83"/>
        <v>0.22745332423114839</v>
      </c>
      <c r="Y44" s="359">
        <f t="shared" si="83"/>
        <v>0.46024599053544663</v>
      </c>
      <c r="Z44" s="360">
        <f t="shared" si="83"/>
        <v>6.4558070891749531E-2</v>
      </c>
      <c r="AA44" s="360">
        <f t="shared" si="83"/>
        <v>-0.51960174464116549</v>
      </c>
      <c r="AB44" s="361">
        <f>AB37/AB42</f>
        <v>0.23547427708842811</v>
      </c>
      <c r="AC44" s="358">
        <f>AC37/AC42</f>
        <v>0.24015738330652786</v>
      </c>
      <c r="AD44" s="359">
        <f>AD37/AD42</f>
        <v>1.3511026974041025</v>
      </c>
      <c r="AE44" s="360">
        <f>AE37/AE42</f>
        <v>0.14394144695656549</v>
      </c>
      <c r="AF44" s="360">
        <f t="shared" ref="AF44" si="84">AF37/AF42</f>
        <v>-0.18404437369951693</v>
      </c>
      <c r="AG44" s="361">
        <f>AG37/AG42</f>
        <v>0.31782988076751367</v>
      </c>
      <c r="AH44" s="358">
        <f>AH37/AH42</f>
        <v>1.6213979514953922</v>
      </c>
      <c r="AI44" s="359">
        <f>AI37/AI42</f>
        <v>0.68087679466664686</v>
      </c>
      <c r="AJ44" s="360">
        <f>AJ37/AJ42</f>
        <v>-2.2718208433644051E-2</v>
      </c>
      <c r="AK44" s="360">
        <f t="shared" ref="AK44" si="85">AK37/AK42</f>
        <v>-5.7602369369016548</v>
      </c>
      <c r="AL44" s="361">
        <f>AL37/AL42</f>
        <v>-0.86379653162126024</v>
      </c>
      <c r="AM44" s="358">
        <f>AM37/AM42</f>
        <v>-5.9597372322941942</v>
      </c>
      <c r="AN44" s="359">
        <f>AN37/AN42</f>
        <v>0.4414493130322556</v>
      </c>
      <c r="AO44" s="360">
        <f>AO37/AO42</f>
        <v>1.3945515583081793</v>
      </c>
      <c r="AP44" s="360">
        <f t="shared" si="83"/>
        <v>4.2635491636665683E-2</v>
      </c>
      <c r="AQ44" s="361">
        <f>AQ37/AQ42</f>
        <v>-10.229096805825208</v>
      </c>
      <c r="AR44" s="358">
        <f>AR37/AR42</f>
        <v>-8.3590378345586824</v>
      </c>
      <c r="AS44" s="359">
        <f>AS37/AS42</f>
        <v>-0.15426870154779676</v>
      </c>
      <c r="AT44" s="360">
        <f t="shared" ref="AT44:BB44" si="86">AT37/AT42</f>
        <v>1.2391565410819299</v>
      </c>
      <c r="AU44" s="360">
        <f t="shared" ref="AU44" si="87">AU37/AU42</f>
        <v>0.30597780658486645</v>
      </c>
      <c r="AV44" s="361">
        <f>AV37/AV42</f>
        <v>-2.3590001758423944</v>
      </c>
      <c r="AW44" s="358">
        <f>AW37/AW42</f>
        <v>-0.96669419637235365</v>
      </c>
      <c r="AX44" s="359">
        <f t="shared" si="86"/>
        <v>0.28870232606711799</v>
      </c>
      <c r="AY44" s="360">
        <f t="shared" si="86"/>
        <v>0.36717909100884488</v>
      </c>
      <c r="AZ44" s="360">
        <f t="shared" si="86"/>
        <v>0.40239846955552533</v>
      </c>
      <c r="BA44" s="361">
        <f t="shared" si="86"/>
        <v>0.35056822396004239</v>
      </c>
      <c r="BB44" s="358">
        <f t="shared" si="86"/>
        <v>1.4088481105915296</v>
      </c>
      <c r="BC44" s="359">
        <f t="shared" ref="BC44:BL44" si="88">BC37/BC42</f>
        <v>0.35385908739851091</v>
      </c>
      <c r="BD44" s="360">
        <f t="shared" si="88"/>
        <v>0.20694151376288736</v>
      </c>
      <c r="BE44" s="360">
        <f t="shared" si="88"/>
        <v>0.10727959008637281</v>
      </c>
      <c r="BF44" s="361">
        <f t="shared" si="88"/>
        <v>3.3914688648601816E-2</v>
      </c>
      <c r="BG44" s="358">
        <f t="shared" si="88"/>
        <v>0.70199487989637377</v>
      </c>
      <c r="BH44" s="359">
        <f t="shared" si="88"/>
        <v>0.60394591101311845</v>
      </c>
      <c r="BI44" s="360">
        <f t="shared" si="88"/>
        <v>8.9493043814757894E-2</v>
      </c>
      <c r="BJ44" s="360">
        <f t="shared" si="88"/>
        <v>-2.5438488282601219E-2</v>
      </c>
      <c r="BK44" s="361">
        <f t="shared" si="88"/>
        <v>-6.9448248433609777E-2</v>
      </c>
      <c r="BL44" s="358">
        <f t="shared" si="88"/>
        <v>0.5985522181116647</v>
      </c>
      <c r="BM44" s="359">
        <f t="shared" ref="BM44:BQ44" si="89">BM37/BM42</f>
        <v>0.14436055216617721</v>
      </c>
      <c r="BN44" s="360">
        <f t="shared" si="89"/>
        <v>8.9162223663939597E-2</v>
      </c>
      <c r="BO44" s="360">
        <f t="shared" si="89"/>
        <v>-5.6576901112291106E-2</v>
      </c>
      <c r="BP44" s="361">
        <f t="shared" si="89"/>
        <v>-5.6416163888553264E-2</v>
      </c>
      <c r="BQ44" s="358">
        <f t="shared" si="89"/>
        <v>0.12052971082927283</v>
      </c>
      <c r="BR44" s="358"/>
      <c r="BS44" s="1508"/>
      <c r="BT44" s="1509"/>
      <c r="BU44" s="1510"/>
      <c r="BV44" s="1508"/>
      <c r="BW44" s="1511"/>
    </row>
    <row r="45" spans="1:80">
      <c r="A45" s="358"/>
      <c r="B45" s="358"/>
      <c r="C45" s="1132" t="s">
        <v>864</v>
      </c>
      <c r="D45" s="442"/>
      <c r="E45" s="443">
        <f t="shared" ref="E45:AP45" si="90">E39/E42</f>
        <v>0.94660149101170854</v>
      </c>
      <c r="F45" s="444">
        <f t="shared" si="90"/>
        <v>0.48077823049731405</v>
      </c>
      <c r="G45" s="444">
        <f t="shared" si="90"/>
        <v>1.0758480700478121</v>
      </c>
      <c r="H45" s="445">
        <f t="shared" si="90"/>
        <v>1.0669598933424116</v>
      </c>
      <c r="I45" s="446">
        <f t="shared" si="90"/>
        <v>3.5486878461953388</v>
      </c>
      <c r="J45" s="443">
        <f t="shared" si="90"/>
        <v>0.7536425087435894</v>
      </c>
      <c r="K45" s="444">
        <f t="shared" si="90"/>
        <v>0.620675689071713</v>
      </c>
      <c r="L45" s="444">
        <f t="shared" si="90"/>
        <v>0.89594490218438227</v>
      </c>
      <c r="M45" s="445">
        <f t="shared" si="90"/>
        <v>0.8844405183412466</v>
      </c>
      <c r="N45" s="446">
        <f t="shared" si="90"/>
        <v>3.1459146263821349</v>
      </c>
      <c r="O45" s="443">
        <f t="shared" si="90"/>
        <v>0.6805164017224643</v>
      </c>
      <c r="P45" s="444">
        <f t="shared" si="90"/>
        <v>0.36257090959899391</v>
      </c>
      <c r="Q45" s="444">
        <f t="shared" si="90"/>
        <v>0.73248248876256983</v>
      </c>
      <c r="R45" s="445">
        <f t="shared" si="90"/>
        <v>0.96561733884932976</v>
      </c>
      <c r="S45" s="446">
        <f t="shared" si="90"/>
        <v>2.7392167754910628</v>
      </c>
      <c r="T45" s="443">
        <f t="shared" si="90"/>
        <v>0.30998706818151034</v>
      </c>
      <c r="U45" s="444">
        <f t="shared" si="90"/>
        <v>0.45795533611734829</v>
      </c>
      <c r="V45" s="444">
        <f t="shared" si="90"/>
        <v>0.66731816238875075</v>
      </c>
      <c r="W45" s="445">
        <f t="shared" si="90"/>
        <v>4.9759776755256765E-2</v>
      </c>
      <c r="X45" s="446">
        <f t="shared" si="90"/>
        <v>1.4849252604535221</v>
      </c>
      <c r="Y45" s="443">
        <f t="shared" si="90"/>
        <v>0.46024599053544663</v>
      </c>
      <c r="Z45" s="444">
        <f t="shared" si="90"/>
        <v>7.0716589492124518E-2</v>
      </c>
      <c r="AA45" s="444">
        <f t="shared" si="90"/>
        <v>0.46107462090729306</v>
      </c>
      <c r="AB45" s="445">
        <f>AB39/AB42</f>
        <v>0.47896412812357636</v>
      </c>
      <c r="AC45" s="446">
        <f>AC39/AC42</f>
        <v>1.4710444732161656</v>
      </c>
      <c r="AD45" s="443">
        <f>AD39/AD42</f>
        <v>1.3879626809644381</v>
      </c>
      <c r="AE45" s="444">
        <f>AE39/AE42</f>
        <v>0.18559759961030239</v>
      </c>
      <c r="AF45" s="444">
        <f t="shared" ref="AF45" si="91">AF39/AF42</f>
        <v>0.22586634575162634</v>
      </c>
      <c r="AG45" s="445">
        <f>AG39/AG42</f>
        <v>0.3932689799638775</v>
      </c>
      <c r="AH45" s="446">
        <f>AH39/AH42</f>
        <v>2.1860222377108753</v>
      </c>
      <c r="AI45" s="443">
        <f>AI39/AI42</f>
        <v>0.70636430946069473</v>
      </c>
      <c r="AJ45" s="444">
        <f>AJ39/AJ42</f>
        <v>-1.6611163155782736E-2</v>
      </c>
      <c r="AK45" s="444">
        <f t="shared" ref="AK45" si="92">AK39/AK42</f>
        <v>0.17718490313847399</v>
      </c>
      <c r="AL45" s="445">
        <f>AL39/AL42</f>
        <v>0.15870893088102347</v>
      </c>
      <c r="AM45" s="446">
        <f>AM39/AM42</f>
        <v>1.0305824056383917</v>
      </c>
      <c r="AN45" s="443">
        <f>AN39/AN42</f>
        <v>0.51352586302170111</v>
      </c>
      <c r="AO45" s="444">
        <f>AO39/AO42</f>
        <v>1.3410707313907533</v>
      </c>
      <c r="AP45" s="444">
        <f t="shared" si="90"/>
        <v>0.1954210037565903</v>
      </c>
      <c r="AQ45" s="445">
        <f>AQ39/AQ42</f>
        <v>-4.3666994783214022E-2</v>
      </c>
      <c r="AR45" s="446">
        <f>AR39/AR42</f>
        <v>2.0123916025465602</v>
      </c>
      <c r="AS45" s="443">
        <f>AS39/AS42</f>
        <v>0.37452864264177388</v>
      </c>
      <c r="AT45" s="444">
        <f t="shared" ref="AT45:BB45" si="93">AT39/AT42</f>
        <v>2.0786175607233539</v>
      </c>
      <c r="AU45" s="444">
        <f t="shared" ref="AU45" si="94">AU39/AU42</f>
        <v>0.44728017298557082</v>
      </c>
      <c r="AV45" s="445">
        <f>AV39/AV42</f>
        <v>0.34865656105797882</v>
      </c>
      <c r="AW45" s="446">
        <f>AW39/AW42</f>
        <v>3.2435489157826356</v>
      </c>
      <c r="AX45" s="443">
        <f t="shared" si="93"/>
        <v>0.28870232606711799</v>
      </c>
      <c r="AY45" s="444">
        <f t="shared" si="93"/>
        <v>0.36717909100884488</v>
      </c>
      <c r="AZ45" s="444">
        <f t="shared" si="93"/>
        <v>0.40239846955552533</v>
      </c>
      <c r="BA45" s="445">
        <f t="shared" si="93"/>
        <v>0.35056822396004239</v>
      </c>
      <c r="BB45" s="446">
        <f t="shared" si="93"/>
        <v>1.4088481105915296</v>
      </c>
      <c r="BC45" s="443">
        <f t="shared" ref="BC45:BL45" si="95">BC39/BC42</f>
        <v>0.35385908739851091</v>
      </c>
      <c r="BD45" s="444">
        <f t="shared" si="95"/>
        <v>0.20694151376288736</v>
      </c>
      <c r="BE45" s="444">
        <f t="shared" si="95"/>
        <v>0.10727959008637281</v>
      </c>
      <c r="BF45" s="445">
        <f t="shared" si="95"/>
        <v>3.3914688648601816E-2</v>
      </c>
      <c r="BG45" s="446">
        <f t="shared" si="95"/>
        <v>0.70199487989637377</v>
      </c>
      <c r="BH45" s="443">
        <f t="shared" si="95"/>
        <v>0.60394591101311845</v>
      </c>
      <c r="BI45" s="444">
        <f t="shared" si="95"/>
        <v>8.9493043814757894E-2</v>
      </c>
      <c r="BJ45" s="444">
        <f t="shared" si="95"/>
        <v>-2.5438488282601219E-2</v>
      </c>
      <c r="BK45" s="445">
        <f t="shared" si="95"/>
        <v>-6.9448248433609777E-2</v>
      </c>
      <c r="BL45" s="446">
        <f t="shared" si="95"/>
        <v>0.5985522181116647</v>
      </c>
      <c r="BM45" s="443">
        <f t="shared" ref="BM45:BQ45" si="96">BM39/BM42</f>
        <v>0.14436055216617721</v>
      </c>
      <c r="BN45" s="444">
        <f t="shared" si="96"/>
        <v>8.9162223663939597E-2</v>
      </c>
      <c r="BO45" s="444">
        <f t="shared" si="96"/>
        <v>-5.6576901112291106E-2</v>
      </c>
      <c r="BP45" s="445">
        <f t="shared" si="96"/>
        <v>-5.6416163888553264E-2</v>
      </c>
      <c r="BQ45" s="447">
        <f t="shared" si="96"/>
        <v>0.12052971082927283</v>
      </c>
      <c r="BR45" s="516"/>
      <c r="BS45" s="1512"/>
      <c r="BT45" s="1513"/>
      <c r="BU45" s="1510"/>
      <c r="BV45" s="1512"/>
    </row>
    <row r="46" spans="1:80">
      <c r="A46" s="5"/>
      <c r="B46" s="5"/>
      <c r="C46" s="1133" t="s">
        <v>12</v>
      </c>
      <c r="D46" s="5"/>
      <c r="E46" s="139"/>
      <c r="F46" s="18"/>
      <c r="G46" s="18"/>
      <c r="H46" s="140"/>
      <c r="I46" s="27"/>
      <c r="J46" s="519">
        <f>J45/E45-1</f>
        <v>-0.20384394499726433</v>
      </c>
      <c r="K46" s="520">
        <f t="shared" ref="K46:AP46" si="97">K45/F45-1</f>
        <v>0.2909812668300098</v>
      </c>
      <c r="L46" s="520">
        <f t="shared" si="97"/>
        <v>-0.16721986391204358</v>
      </c>
      <c r="M46" s="521">
        <f t="shared" si="97"/>
        <v>-0.17106488832433586</v>
      </c>
      <c r="N46" s="522">
        <f t="shared" si="97"/>
        <v>-0.11349919668055053</v>
      </c>
      <c r="O46" s="519">
        <f t="shared" si="97"/>
        <v>-9.7030231406446177E-2</v>
      </c>
      <c r="P46" s="520">
        <f t="shared" si="97"/>
        <v>-0.41584483493906854</v>
      </c>
      <c r="Q46" s="520">
        <f t="shared" si="97"/>
        <v>-0.18244694849346044</v>
      </c>
      <c r="R46" s="521">
        <f t="shared" si="97"/>
        <v>9.1783244689342069E-2</v>
      </c>
      <c r="S46" s="522">
        <f t="shared" si="97"/>
        <v>-0.12927809530507917</v>
      </c>
      <c r="T46" s="519">
        <f t="shared" si="97"/>
        <v>-0.54448259087231721</v>
      </c>
      <c r="U46" s="520">
        <f t="shared" si="97"/>
        <v>0.26307799107173335</v>
      </c>
      <c r="V46" s="520">
        <f t="shared" si="97"/>
        <v>-8.8963664488287519E-2</v>
      </c>
      <c r="W46" s="521">
        <f t="shared" si="97"/>
        <v>-0.94846843076103771</v>
      </c>
      <c r="X46" s="522">
        <f t="shared" si="97"/>
        <v>-0.45790151632401643</v>
      </c>
      <c r="Y46" s="519">
        <f t="shared" si="97"/>
        <v>0.48472642176787017</v>
      </c>
      <c r="Z46" s="520">
        <f t="shared" si="97"/>
        <v>-0.84558190741552175</v>
      </c>
      <c r="AA46" s="520">
        <f t="shared" si="97"/>
        <v>-0.30906328211296175</v>
      </c>
      <c r="AB46" s="521">
        <f>AB45/W45-1</f>
        <v>8.6255280741985487</v>
      </c>
      <c r="AC46" s="522">
        <f>AC45/X45-1</f>
        <v>-9.3478019446696647E-3</v>
      </c>
      <c r="AD46" s="519">
        <f t="shared" si="97"/>
        <v>2.0156974954843019</v>
      </c>
      <c r="AE46" s="520">
        <f t="shared" si="97"/>
        <v>1.6245270161250045</v>
      </c>
      <c r="AF46" s="520">
        <f t="shared" ref="AF46" si="98">AF45/AA45-1</f>
        <v>-0.51013060465750382</v>
      </c>
      <c r="AG46" s="521">
        <f>AG45/AB45-1</f>
        <v>-0.17891767489023491</v>
      </c>
      <c r="AH46" s="522">
        <f>AH45/AC45-1</f>
        <v>0.48603409177123225</v>
      </c>
      <c r="AI46" s="519">
        <f t="shared" si="97"/>
        <v>-0.49107831273253599</v>
      </c>
      <c r="AJ46" s="520">
        <f t="shared" si="97"/>
        <v>-1.0895009590138076</v>
      </c>
      <c r="AK46" s="520">
        <f t="shared" si="97"/>
        <v>-0.21553207695087451</v>
      </c>
      <c r="AL46" s="521">
        <f>AL45/AG45-1</f>
        <v>-0.59643669100064489</v>
      </c>
      <c r="AM46" s="522">
        <f>AM45/AH45-1</f>
        <v>-0.52855813273080843</v>
      </c>
      <c r="AN46" s="519">
        <f t="shared" si="97"/>
        <v>-0.27300140148109231</v>
      </c>
      <c r="AO46" s="520">
        <f t="shared" si="97"/>
        <v>-81.733102120178444</v>
      </c>
      <c r="AP46" s="520">
        <f t="shared" si="97"/>
        <v>0.10292130026373858</v>
      </c>
      <c r="AQ46" s="521">
        <f>AQ45/AL45-1</f>
        <v>-1.2751388629537748</v>
      </c>
      <c r="AR46" s="522">
        <f>AR45/AM45-1</f>
        <v>0.95267413021668013</v>
      </c>
      <c r="AS46" s="519">
        <f t="shared" ref="AS46" si="99">AS45/AN45-1</f>
        <v>-0.27067228817266664</v>
      </c>
      <c r="AT46" s="520">
        <f t="shared" ref="AT46:BB46" si="100">AT45/AO45-1</f>
        <v>0.54996862735773067</v>
      </c>
      <c r="AU46" s="520">
        <f t="shared" ref="AU46" si="101">AU45/AP45-1</f>
        <v>1.2888029658402926</v>
      </c>
      <c r="AV46" s="521">
        <f>AV45/AQ45-1</f>
        <v>-8.9844414022282457</v>
      </c>
      <c r="AW46" s="522">
        <f>AW45/AR45-1</f>
        <v>0.61178813888813699</v>
      </c>
      <c r="AX46" s="519">
        <f t="shared" si="100"/>
        <v>-0.22915821863255026</v>
      </c>
      <c r="AY46" s="520">
        <f t="shared" si="100"/>
        <v>-0.8233541859999165</v>
      </c>
      <c r="AZ46" s="520">
        <f t="shared" si="100"/>
        <v>-0.10034360148464117</v>
      </c>
      <c r="BA46" s="521">
        <f t="shared" si="100"/>
        <v>5.4829397050861761E-3</v>
      </c>
      <c r="BB46" s="522">
        <f t="shared" si="100"/>
        <v>-0.56564610333567644</v>
      </c>
      <c r="BC46" s="519">
        <f t="shared" ref="BC46" si="102">BC45/AX45-1</f>
        <v>0.22568838366839206</v>
      </c>
      <c r="BD46" s="520">
        <f t="shared" ref="BD46" si="103">BD45/AY45-1</f>
        <v>-0.436401693804775</v>
      </c>
      <c r="BE46" s="520">
        <f t="shared" ref="BE46" si="104">BE45/AZ45-1</f>
        <v>-0.73339960709872998</v>
      </c>
      <c r="BF46" s="521">
        <f t="shared" ref="BF46" si="105">BF45/BA45-1</f>
        <v>-0.90325795000613807</v>
      </c>
      <c r="BG46" s="522">
        <f t="shared" ref="BG46" si="106">BG45/BB45-1</f>
        <v>-0.50172422802793915</v>
      </c>
      <c r="BH46" s="519">
        <f t="shared" ref="BH46" si="107">BH45/BC45-1</f>
        <v>0.70674127787189889</v>
      </c>
      <c r="BI46" s="520">
        <f t="shared" ref="BI46" si="108">BI45/BD45-1</f>
        <v>-0.56754426800367075</v>
      </c>
      <c r="BJ46" s="520">
        <f t="shared" ref="BJ46" si="109">BJ45/BE45-1</f>
        <v>-1.237123280039756</v>
      </c>
      <c r="BK46" s="521">
        <f t="shared" ref="BK46" si="110">BK45/BF45-1</f>
        <v>-3.0477336281391127</v>
      </c>
      <c r="BL46" s="1084">
        <f t="shared" ref="BL46" si="111">BL45/BG45-1</f>
        <v>-0.14735529381635792</v>
      </c>
      <c r="BM46" s="519">
        <f t="shared" ref="BM46" si="112">BM45/BH45-1</f>
        <v>-0.76097105794786724</v>
      </c>
      <c r="BN46" s="520">
        <f t="shared" ref="BN46" si="113">BN45/BI45-1</f>
        <v>-3.6966018443072013E-3</v>
      </c>
      <c r="BO46" s="520">
        <f t="shared" ref="BO46" si="114">BO45/BJ45-1</f>
        <v>1.2240669525550052</v>
      </c>
      <c r="BP46" s="521">
        <f t="shared" ref="BP46" si="115">BP45/BK45-1</f>
        <v>-0.18765173836622751</v>
      </c>
      <c r="BQ46" s="1084">
        <f t="shared" ref="BQ46" si="116">BQ45/BL45-1</f>
        <v>-0.79863125190726958</v>
      </c>
      <c r="BR46" s="522"/>
      <c r="BS46" s="1514"/>
      <c r="BT46" s="1515"/>
      <c r="BU46" s="1514"/>
      <c r="BV46" s="1514"/>
    </row>
    <row r="47" spans="1:80">
      <c r="A47" s="5"/>
      <c r="B47" s="5"/>
      <c r="C47" s="1133"/>
      <c r="D47" s="5"/>
      <c r="E47" s="139"/>
      <c r="F47" s="18"/>
      <c r="G47" s="18"/>
      <c r="H47" s="140"/>
      <c r="I47" s="27"/>
      <c r="J47" s="139"/>
      <c r="K47" s="18"/>
      <c r="L47" s="18"/>
      <c r="M47" s="140"/>
      <c r="N47" s="27"/>
      <c r="O47" s="139"/>
      <c r="P47" s="18"/>
      <c r="Q47" s="18"/>
      <c r="R47" s="140"/>
      <c r="S47" s="27"/>
      <c r="T47" s="139"/>
      <c r="U47" s="18"/>
      <c r="V47" s="18"/>
      <c r="W47" s="140"/>
      <c r="X47" s="27"/>
      <c r="Y47" s="139"/>
      <c r="Z47" s="18"/>
      <c r="AA47" s="18"/>
      <c r="AB47" s="140"/>
      <c r="AC47" s="27"/>
      <c r="AD47" s="139"/>
      <c r="AE47" s="18"/>
      <c r="AF47" s="18"/>
      <c r="AG47" s="140"/>
      <c r="AH47" s="27"/>
      <c r="AI47" s="139"/>
      <c r="AJ47" s="18"/>
      <c r="AK47" s="18"/>
      <c r="AL47" s="140"/>
      <c r="AM47" s="27"/>
      <c r="AN47" s="139"/>
      <c r="AO47" s="18"/>
      <c r="AP47" s="18"/>
      <c r="AQ47" s="140"/>
      <c r="AR47" s="27"/>
      <c r="AS47" s="139"/>
      <c r="AT47" s="18"/>
      <c r="AU47" s="18"/>
      <c r="AV47" s="140"/>
      <c r="AW47" s="27"/>
      <c r="AX47" s="139"/>
      <c r="AY47" s="18"/>
      <c r="AZ47" s="18"/>
      <c r="BA47" s="140"/>
      <c r="BB47" s="27"/>
      <c r="BC47" s="139"/>
      <c r="BD47" s="18"/>
      <c r="BE47" s="18"/>
      <c r="BF47" s="140"/>
      <c r="BG47" s="27"/>
      <c r="BH47" s="139"/>
      <c r="BI47" s="18"/>
      <c r="BJ47" s="18"/>
      <c r="BK47" s="140"/>
      <c r="BL47" s="27"/>
      <c r="BM47" s="139"/>
      <c r="BN47" s="18"/>
      <c r="BO47" s="18"/>
      <c r="BP47" s="140"/>
      <c r="BQ47" s="27"/>
      <c r="BR47" s="27"/>
      <c r="BS47" s="1516"/>
      <c r="BT47" s="1517"/>
      <c r="BU47" s="1516"/>
      <c r="BV47" s="1516"/>
    </row>
    <row r="48" spans="1:80">
      <c r="A48" s="5"/>
      <c r="B48" s="5"/>
      <c r="C48" s="1134" t="s">
        <v>168</v>
      </c>
      <c r="D48" s="495"/>
      <c r="E48" s="427"/>
      <c r="F48" s="428"/>
      <c r="G48" s="428"/>
      <c r="H48" s="429"/>
      <c r="I48" s="495"/>
      <c r="J48" s="427"/>
      <c r="K48" s="428"/>
      <c r="L48" s="428"/>
      <c r="M48" s="429"/>
      <c r="N48" s="495"/>
      <c r="O48" s="427"/>
      <c r="P48" s="428"/>
      <c r="Q48" s="428"/>
      <c r="R48" s="429"/>
      <c r="S48" s="495"/>
      <c r="T48" s="427"/>
      <c r="U48" s="428"/>
      <c r="V48" s="428"/>
      <c r="W48" s="429"/>
      <c r="X48" s="495"/>
      <c r="Y48" s="427"/>
      <c r="Z48" s="428"/>
      <c r="AA48" s="428"/>
      <c r="AB48" s="429"/>
      <c r="AC48" s="1083"/>
      <c r="AD48" s="139"/>
      <c r="AE48" s="428"/>
      <c r="AF48" s="18"/>
      <c r="AG48" s="140"/>
      <c r="AH48" s="1083"/>
      <c r="AI48" s="139"/>
      <c r="AJ48" s="18"/>
      <c r="AK48" s="18"/>
      <c r="AL48" s="140"/>
      <c r="AM48" s="27"/>
      <c r="AN48" s="139"/>
      <c r="AO48" s="18"/>
      <c r="AP48" s="18"/>
      <c r="AQ48" s="140"/>
      <c r="AR48" s="1905"/>
      <c r="AS48" s="139"/>
      <c r="AT48" s="18"/>
      <c r="AU48" s="18"/>
      <c r="AV48" s="140"/>
      <c r="AW48" s="27"/>
      <c r="AX48" s="139"/>
      <c r="AY48" s="18"/>
      <c r="AZ48" s="18"/>
      <c r="BA48" s="140"/>
      <c r="BB48" s="27"/>
      <c r="BC48" s="139"/>
      <c r="BD48" s="18"/>
      <c r="BE48" s="18"/>
      <c r="BF48" s="140"/>
      <c r="BG48" s="27"/>
      <c r="BH48" s="139"/>
      <c r="BI48" s="18"/>
      <c r="BJ48" s="18"/>
      <c r="BK48" s="140"/>
      <c r="BL48" s="27"/>
      <c r="BM48" s="139"/>
      <c r="BN48" s="18"/>
      <c r="BO48" s="18"/>
      <c r="BP48" s="140"/>
      <c r="BQ48" s="27"/>
      <c r="BR48" s="27"/>
      <c r="BS48" s="1516"/>
      <c r="BT48" s="1517"/>
      <c r="BU48" s="1516"/>
      <c r="BV48" s="1516"/>
    </row>
    <row r="49" spans="1:75">
      <c r="A49" s="5"/>
      <c r="B49" s="5"/>
      <c r="C49" s="1134"/>
      <c r="D49" s="495"/>
      <c r="E49" s="427"/>
      <c r="F49" s="428"/>
      <c r="G49" s="428"/>
      <c r="H49" s="429"/>
      <c r="I49" s="495"/>
      <c r="J49" s="427"/>
      <c r="K49" s="428"/>
      <c r="L49" s="428"/>
      <c r="M49" s="429"/>
      <c r="N49" s="495"/>
      <c r="O49" s="427"/>
      <c r="P49" s="428"/>
      <c r="Q49" s="428"/>
      <c r="R49" s="429"/>
      <c r="S49" s="495"/>
      <c r="T49" s="427"/>
      <c r="U49" s="428"/>
      <c r="V49" s="428"/>
      <c r="W49" s="429"/>
      <c r="X49" s="495"/>
      <c r="Y49" s="427"/>
      <c r="Z49" s="428"/>
      <c r="AA49" s="428"/>
      <c r="AB49" s="429"/>
      <c r="AC49" s="1083"/>
      <c r="AD49" s="139"/>
      <c r="AE49" s="428"/>
      <c r="AF49" s="18"/>
      <c r="AG49" s="140"/>
      <c r="AH49" s="27"/>
      <c r="AI49" s="139"/>
      <c r="AJ49" s="18"/>
      <c r="AK49" s="18"/>
      <c r="AL49" s="140"/>
      <c r="AM49" s="27"/>
      <c r="AN49" s="139"/>
      <c r="AO49" s="18"/>
      <c r="AP49" s="18"/>
      <c r="AQ49" s="140"/>
      <c r="AR49" s="27"/>
      <c r="AS49" s="139"/>
      <c r="AT49" s="18"/>
      <c r="AU49" s="18"/>
      <c r="AV49" s="140"/>
      <c r="AW49" s="27"/>
      <c r="AX49" s="139"/>
      <c r="AY49" s="18"/>
      <c r="AZ49" s="18"/>
      <c r="BA49" s="140"/>
      <c r="BB49" s="27"/>
      <c r="BC49" s="139"/>
      <c r="BD49" s="18"/>
      <c r="BE49" s="18"/>
      <c r="BF49" s="140"/>
      <c r="BG49" s="27"/>
      <c r="BH49" s="139"/>
      <c r="BI49" s="18"/>
      <c r="BJ49" s="18"/>
      <c r="BK49" s="140"/>
      <c r="BL49" s="27"/>
      <c r="BM49" s="139"/>
      <c r="BN49" s="18"/>
      <c r="BO49" s="18"/>
      <c r="BP49" s="140"/>
      <c r="BQ49" s="27"/>
      <c r="BR49" s="27"/>
      <c r="BS49" s="1516"/>
      <c r="BT49" s="1517"/>
      <c r="BU49" s="1516"/>
      <c r="BV49" s="1516"/>
    </row>
    <row r="50" spans="1:75">
      <c r="A50" s="5"/>
      <c r="B50" s="1208" t="s">
        <v>600</v>
      </c>
      <c r="C50" s="1209"/>
      <c r="D50" s="495"/>
      <c r="E50" s="427"/>
      <c r="F50" s="428"/>
      <c r="G50" s="428"/>
      <c r="H50" s="429"/>
      <c r="I50" s="495"/>
      <c r="J50" s="427"/>
      <c r="K50" s="428"/>
      <c r="L50" s="428"/>
      <c r="M50" s="429"/>
      <c r="N50" s="495"/>
      <c r="O50" s="427"/>
      <c r="P50" s="428"/>
      <c r="Q50" s="428"/>
      <c r="R50" s="429"/>
      <c r="S50" s="495"/>
      <c r="T50" s="427"/>
      <c r="U50" s="428"/>
      <c r="V50" s="428"/>
      <c r="W50" s="429"/>
      <c r="X50" s="495"/>
      <c r="Y50" s="427"/>
      <c r="Z50" s="428"/>
      <c r="AA50" s="428"/>
      <c r="AB50" s="429"/>
      <c r="AC50" s="1083"/>
      <c r="AD50" s="139"/>
      <c r="AE50" s="428"/>
      <c r="AF50" s="18"/>
      <c r="AG50" s="140"/>
      <c r="AH50" s="27"/>
      <c r="AI50" s="139"/>
      <c r="AJ50" s="18"/>
      <c r="AK50" s="18"/>
      <c r="AL50" s="140"/>
      <c r="AM50" s="27"/>
      <c r="AN50" s="139"/>
      <c r="AO50" s="18"/>
      <c r="AP50" s="18"/>
      <c r="AQ50" s="140"/>
      <c r="AR50" s="27"/>
      <c r="AS50" s="139"/>
      <c r="AT50" s="18"/>
      <c r="AU50" s="18"/>
      <c r="AV50" s="140"/>
      <c r="AW50" s="27"/>
      <c r="AX50" s="139"/>
      <c r="AY50" s="18"/>
      <c r="AZ50" s="18"/>
      <c r="BA50" s="140"/>
      <c r="BB50" s="27"/>
      <c r="BC50" s="139"/>
      <c r="BD50" s="18"/>
      <c r="BE50" s="18"/>
      <c r="BF50" s="140"/>
      <c r="BG50" s="27"/>
      <c r="BH50" s="139"/>
      <c r="BI50" s="18"/>
      <c r="BJ50" s="18"/>
      <c r="BK50" s="140"/>
      <c r="BL50" s="27"/>
      <c r="BM50" s="139"/>
      <c r="BN50" s="18"/>
      <c r="BO50" s="18"/>
      <c r="BP50" s="140"/>
      <c r="BQ50" s="27"/>
      <c r="BR50" s="27"/>
      <c r="BS50" s="1516"/>
      <c r="BT50" s="1517"/>
      <c r="BU50" s="1516"/>
      <c r="BV50" s="1516"/>
    </row>
    <row r="51" spans="1:75">
      <c r="A51" s="5"/>
      <c r="B51" s="542"/>
      <c r="C51" s="1210" t="s">
        <v>354</v>
      </c>
      <c r="D51" s="495"/>
      <c r="E51" s="427"/>
      <c r="F51" s="428"/>
      <c r="G51" s="428"/>
      <c r="H51" s="429"/>
      <c r="I51" s="110">
        <f>I39</f>
        <v>682.46499999999969</v>
      </c>
      <c r="J51" s="427"/>
      <c r="K51" s="428"/>
      <c r="L51" s="428"/>
      <c r="M51" s="429"/>
      <c r="N51" s="110">
        <f>N39</f>
        <v>587.38999999999987</v>
      </c>
      <c r="O51" s="427"/>
      <c r="P51" s="428"/>
      <c r="Q51" s="428"/>
      <c r="R51" s="429"/>
      <c r="S51" s="110">
        <f>S39</f>
        <v>488.59599999999989</v>
      </c>
      <c r="T51" s="427"/>
      <c r="U51" s="428"/>
      <c r="V51" s="428"/>
      <c r="W51" s="429"/>
      <c r="X51" s="110">
        <f>X39</f>
        <v>263.92699999999979</v>
      </c>
      <c r="Y51" s="180"/>
      <c r="Z51" s="181"/>
      <c r="AA51" s="181"/>
      <c r="AB51" s="182"/>
      <c r="AC51" s="110">
        <f>AC39</f>
        <v>262.685</v>
      </c>
      <c r="AD51" s="141">
        <f t="shared" ref="AD51:AG51" si="117">AD39</f>
        <v>248.52299999999997</v>
      </c>
      <c r="AE51" s="181">
        <f t="shared" si="117"/>
        <v>33.415999999999926</v>
      </c>
      <c r="AF51" s="142">
        <f t="shared" si="117"/>
        <v>40.774999999999956</v>
      </c>
      <c r="AG51" s="143">
        <f t="shared" si="117"/>
        <v>71.41900000000021</v>
      </c>
      <c r="AH51" s="110">
        <f>AH39</f>
        <v>394.13300000000032</v>
      </c>
      <c r="AI51" s="141">
        <f>AI37</f>
        <v>122.88500000000005</v>
      </c>
      <c r="AJ51" s="142">
        <f>AJ37</f>
        <v>-4.0919999999999916</v>
      </c>
      <c r="AK51" s="142">
        <f>AK37</f>
        <v>-1031.9569999999999</v>
      </c>
      <c r="AL51" s="143">
        <f t="shared" ref="AL51:AM51" si="118">AL37</f>
        <v>-154.67999999999944</v>
      </c>
      <c r="AM51" s="110">
        <f t="shared" si="118"/>
        <v>-1067.8439999999991</v>
      </c>
      <c r="AN51" s="141">
        <f>+AN37</f>
        <v>79.008999999999929</v>
      </c>
      <c r="AO51" s="142">
        <f t="shared" ref="AO51:AR51" si="119">AO37</f>
        <v>250.32700000000003</v>
      </c>
      <c r="AP51" s="142">
        <f t="shared" ref="AP51" si="120">AP37</f>
        <v>7.6740000000000306</v>
      </c>
      <c r="AQ51" s="143">
        <f t="shared" si="119"/>
        <v>-1832.3220000000003</v>
      </c>
      <c r="AR51" s="110">
        <f t="shared" si="119"/>
        <v>-1495.3120000000008</v>
      </c>
      <c r="AS51" s="141">
        <f>+AS37</f>
        <v>-27.744000000000046</v>
      </c>
      <c r="AT51" s="142">
        <f t="shared" ref="AT51:AW51" si="121">AT37</f>
        <v>223.33900000000006</v>
      </c>
      <c r="AU51" s="142">
        <f t="shared" si="121"/>
        <v>55.217999999999989</v>
      </c>
      <c r="AV51" s="143">
        <f t="shared" si="121"/>
        <v>-425.33600000000007</v>
      </c>
      <c r="AW51" s="110">
        <f t="shared" si="121"/>
        <v>-174.52300000000022</v>
      </c>
      <c r="AX51" s="141">
        <f t="shared" ref="AX51:BB51" si="122">AX39</f>
        <v>52.115866317276861</v>
      </c>
      <c r="AY51" s="142">
        <f t="shared" si="122"/>
        <v>66.282307739590081</v>
      </c>
      <c r="AZ51" s="142">
        <f t="shared" si="122"/>
        <v>72.640027294955388</v>
      </c>
      <c r="BA51" s="143">
        <f t="shared" si="122"/>
        <v>63.283753005645217</v>
      </c>
      <c r="BB51" s="110">
        <f t="shared" si="122"/>
        <v>254.32195435746735</v>
      </c>
      <c r="BC51" s="141">
        <f t="shared" ref="BC51:BL51" si="123">BC39</f>
        <v>63.877811949901059</v>
      </c>
      <c r="BD51" s="142">
        <f t="shared" si="123"/>
        <v>37.356596372743624</v>
      </c>
      <c r="BE51" s="142">
        <f t="shared" si="123"/>
        <v>19.365859817194085</v>
      </c>
      <c r="BF51" s="143">
        <f t="shared" si="123"/>
        <v>6.1221999970713412</v>
      </c>
      <c r="BG51" s="110">
        <f>BG39</f>
        <v>126.72246813691028</v>
      </c>
      <c r="BH51" s="141">
        <f t="shared" si="123"/>
        <v>109.02289839503499</v>
      </c>
      <c r="BI51" s="142">
        <f t="shared" si="123"/>
        <v>16.155074229266262</v>
      </c>
      <c r="BJ51" s="142">
        <f t="shared" si="123"/>
        <v>-4.5920962006431729</v>
      </c>
      <c r="BK51" s="143">
        <f t="shared" si="123"/>
        <v>-12.536634812196164</v>
      </c>
      <c r="BL51" s="110">
        <f t="shared" si="123"/>
        <v>108.0492416114618</v>
      </c>
      <c r="BM51" s="141">
        <f t="shared" ref="BM51:BQ51" si="124">BM39</f>
        <v>26.059628062822377</v>
      </c>
      <c r="BN51" s="142">
        <f t="shared" si="124"/>
        <v>16.095355352075437</v>
      </c>
      <c r="BO51" s="142">
        <f t="shared" si="124"/>
        <v>-10.213129402803879</v>
      </c>
      <c r="BP51" s="143">
        <f t="shared" si="124"/>
        <v>-10.184113496424988</v>
      </c>
      <c r="BQ51" s="110">
        <f t="shared" si="124"/>
        <v>21.757740515669013</v>
      </c>
      <c r="BR51" s="110"/>
      <c r="BS51" s="1516"/>
      <c r="BT51" s="1517"/>
      <c r="BU51" s="1516"/>
      <c r="BV51" s="1516"/>
    </row>
    <row r="52" spans="1:75">
      <c r="A52" s="5"/>
      <c r="B52" s="542"/>
      <c r="C52" s="1213" t="s">
        <v>324</v>
      </c>
      <c r="D52" s="495"/>
      <c r="E52" s="427"/>
      <c r="F52" s="428"/>
      <c r="G52" s="428"/>
      <c r="H52" s="429"/>
      <c r="I52" s="495">
        <f>I28</f>
        <v>78.278000000000006</v>
      </c>
      <c r="J52" s="427"/>
      <c r="K52" s="428"/>
      <c r="L52" s="428"/>
      <c r="M52" s="429"/>
      <c r="N52" s="495">
        <f>N28</f>
        <v>71.816999999999993</v>
      </c>
      <c r="O52" s="427"/>
      <c r="P52" s="428"/>
      <c r="Q52" s="428"/>
      <c r="R52" s="429"/>
      <c r="S52" s="495">
        <f>S28</f>
        <v>20.634</v>
      </c>
      <c r="T52" s="427"/>
      <c r="U52" s="428"/>
      <c r="V52" s="428"/>
      <c r="W52" s="429"/>
      <c r="X52" s="44">
        <f t="shared" ref="X52:AS52" si="125">X28</f>
        <v>17.899999999999999</v>
      </c>
      <c r="Y52" s="177"/>
      <c r="Z52" s="178"/>
      <c r="AA52" s="178"/>
      <c r="AB52" s="179"/>
      <c r="AC52" s="44">
        <f>AC28</f>
        <v>16.323</v>
      </c>
      <c r="AD52" s="136">
        <f t="shared" si="125"/>
        <v>5.0609999999999999</v>
      </c>
      <c r="AE52" s="178">
        <f t="shared" si="125"/>
        <v>3.2450000000000001</v>
      </c>
      <c r="AF52" s="137">
        <f t="shared" si="125"/>
        <v>3.7869999999999999</v>
      </c>
      <c r="AG52" s="138">
        <f t="shared" si="125"/>
        <v>4.5530000000000008</v>
      </c>
      <c r="AH52" s="44">
        <f>AH28</f>
        <v>16.646000000000001</v>
      </c>
      <c r="AI52" s="136">
        <f t="shared" ref="AI52" si="126">AI28</f>
        <v>5.915</v>
      </c>
      <c r="AJ52" s="137">
        <f t="shared" si="125"/>
        <v>5.8049999999999997</v>
      </c>
      <c r="AK52" s="137">
        <f t="shared" si="125"/>
        <v>7.2309999999999999</v>
      </c>
      <c r="AL52" s="138">
        <f t="shared" ref="AL52" si="127">AL28</f>
        <v>7.8369999999999997</v>
      </c>
      <c r="AM52" s="44">
        <f>AM28</f>
        <v>26.788</v>
      </c>
      <c r="AN52" s="136">
        <f t="shared" ref="AN52" si="128">AN28</f>
        <v>6.1029999999999998</v>
      </c>
      <c r="AO52" s="137">
        <f t="shared" si="125"/>
        <v>6.4349999999999996</v>
      </c>
      <c r="AP52" s="137">
        <f t="shared" ref="AP52" si="129">AP28</f>
        <v>5.37</v>
      </c>
      <c r="AQ52" s="138">
        <f t="shared" si="125"/>
        <v>4.9499999999999993</v>
      </c>
      <c r="AR52" s="44">
        <f t="shared" si="125"/>
        <v>22.858000000000001</v>
      </c>
      <c r="AS52" s="136">
        <f t="shared" si="125"/>
        <v>6.4409999999999998</v>
      </c>
      <c r="AT52" s="137">
        <f t="shared" ref="AT52:AW52" si="130">AT28</f>
        <v>6.056</v>
      </c>
      <c r="AU52" s="137">
        <f t="shared" si="130"/>
        <v>5.3289999999999997</v>
      </c>
      <c r="AV52" s="138">
        <f t="shared" si="130"/>
        <v>5.8879999999999981</v>
      </c>
      <c r="AW52" s="44">
        <f t="shared" si="130"/>
        <v>23.713999999999999</v>
      </c>
      <c r="AX52" s="136">
        <f t="shared" ref="AX52:BB52" si="131">AX28</f>
        <v>8.4181299999999997</v>
      </c>
      <c r="AY52" s="137">
        <f t="shared" si="131"/>
        <v>5.9740206684136155</v>
      </c>
      <c r="AZ52" s="137">
        <f t="shared" si="131"/>
        <v>5.1765141297156649</v>
      </c>
      <c r="BA52" s="138">
        <f t="shared" si="131"/>
        <v>5.6565589932408864</v>
      </c>
      <c r="BB52" s="44">
        <f t="shared" si="131"/>
        <v>25.225223791370166</v>
      </c>
      <c r="BC52" s="136">
        <f t="shared" ref="BC52:BL52" si="132">BC28</f>
        <v>8.1308495597990458</v>
      </c>
      <c r="BD52" s="137">
        <f t="shared" si="132"/>
        <v>5.4987627071611076</v>
      </c>
      <c r="BE52" s="137">
        <f t="shared" si="132"/>
        <v>4.6776733230742149</v>
      </c>
      <c r="BF52" s="138">
        <f t="shared" si="132"/>
        <v>5.1773076525416926</v>
      </c>
      <c r="BG52" s="44">
        <f t="shared" si="132"/>
        <v>23.484593242576061</v>
      </c>
      <c r="BH52" s="136">
        <f t="shared" si="132"/>
        <v>7.9403762788640009</v>
      </c>
      <c r="BI52" s="137">
        <f t="shared" si="132"/>
        <v>4.9499579161146059</v>
      </c>
      <c r="BJ52" s="137">
        <f t="shared" si="132"/>
        <v>4.1449224599673524</v>
      </c>
      <c r="BK52" s="138">
        <f t="shared" si="132"/>
        <v>4.6981282704234024</v>
      </c>
      <c r="BL52" s="44">
        <f t="shared" si="132"/>
        <v>21.733384925369364</v>
      </c>
      <c r="BM52" s="136">
        <f t="shared" ref="BM52:BQ52" si="133">BM28</f>
        <v>8.0689945627818673</v>
      </c>
      <c r="BN52" s="137">
        <f t="shared" si="133"/>
        <v>5.0665534308646905</v>
      </c>
      <c r="BO52" s="137">
        <f t="shared" si="133"/>
        <v>4.1955807169538444</v>
      </c>
      <c r="BP52" s="138">
        <f t="shared" si="133"/>
        <v>4.7746690003629331</v>
      </c>
      <c r="BQ52" s="44">
        <f t="shared" si="133"/>
        <v>22.105797710963337</v>
      </c>
      <c r="BR52" s="44"/>
      <c r="BS52" s="1516"/>
      <c r="BT52" s="1517"/>
      <c r="BU52" s="1516"/>
      <c r="BV52" s="1516"/>
    </row>
    <row r="53" spans="1:75">
      <c r="A53" s="5"/>
      <c r="B53" s="542"/>
      <c r="C53" s="1213" t="s">
        <v>328</v>
      </c>
      <c r="D53" s="495"/>
      <c r="E53" s="427"/>
      <c r="F53" s="428"/>
      <c r="G53" s="428"/>
      <c r="H53" s="429"/>
      <c r="I53" s="495">
        <f>I32</f>
        <v>322.255</v>
      </c>
      <c r="J53" s="427"/>
      <c r="K53" s="428"/>
      <c r="L53" s="428"/>
      <c r="M53" s="429"/>
      <c r="N53" s="495">
        <f>N32</f>
        <v>268.649</v>
      </c>
      <c r="O53" s="427"/>
      <c r="P53" s="428"/>
      <c r="Q53" s="428"/>
      <c r="R53" s="429"/>
      <c r="S53" s="495">
        <f>S32</f>
        <v>225.45599999999999</v>
      </c>
      <c r="T53" s="427"/>
      <c r="U53" s="428"/>
      <c r="V53" s="428"/>
      <c r="W53" s="429"/>
      <c r="X53" s="44">
        <f t="shared" ref="X53:AS53" si="134">X32</f>
        <v>61.33</v>
      </c>
      <c r="Y53" s="177"/>
      <c r="Z53" s="178"/>
      <c r="AA53" s="178"/>
      <c r="AB53" s="179"/>
      <c r="AC53" s="44">
        <f>AC32</f>
        <v>-77.471000000000004</v>
      </c>
      <c r="AD53" s="136">
        <f t="shared" si="134"/>
        <v>118.877</v>
      </c>
      <c r="AE53" s="178">
        <f t="shared" si="134"/>
        <v>19.597000000000001</v>
      </c>
      <c r="AF53" s="137">
        <f t="shared" si="134"/>
        <v>2.3029999999999999</v>
      </c>
      <c r="AG53" s="138">
        <f t="shared" si="134"/>
        <v>36.211000000000013</v>
      </c>
      <c r="AH53" s="44">
        <f>AH32</f>
        <v>176.988</v>
      </c>
      <c r="AI53" s="136">
        <f t="shared" ref="AI53" si="135">AI32</f>
        <v>70.19</v>
      </c>
      <c r="AJ53" s="137">
        <f t="shared" si="134"/>
        <v>-3.3</v>
      </c>
      <c r="AK53" s="137">
        <f t="shared" si="134"/>
        <v>-554.51300000000003</v>
      </c>
      <c r="AL53" s="138">
        <f t="shared" ref="AL53" si="136">AL32</f>
        <v>-122.71600000000001</v>
      </c>
      <c r="AM53" s="44">
        <f>AM32</f>
        <v>-610.33900000000006</v>
      </c>
      <c r="AN53" s="136">
        <f t="shared" ref="AN53" si="137">AN32</f>
        <v>52.314</v>
      </c>
      <c r="AO53" s="137">
        <f t="shared" si="134"/>
        <v>-235.05500000000001</v>
      </c>
      <c r="AP53" s="137">
        <f t="shared" ref="AP53" si="138">AP32</f>
        <v>6.1150000000000002</v>
      </c>
      <c r="AQ53" s="138">
        <f t="shared" si="134"/>
        <v>-1015.6369999999999</v>
      </c>
      <c r="AR53" s="44">
        <f t="shared" si="134"/>
        <v>-1192.2629999999999</v>
      </c>
      <c r="AS53" s="136">
        <f t="shared" si="134"/>
        <v>-78.337000000000003</v>
      </c>
      <c r="AT53" s="137">
        <f t="shared" ref="AT53:AW53" si="139">AT32</f>
        <v>-454.94400000000002</v>
      </c>
      <c r="AU53" s="137">
        <f t="shared" si="139"/>
        <v>25.562999999999999</v>
      </c>
      <c r="AV53" s="138">
        <f t="shared" si="139"/>
        <v>361.23800000000006</v>
      </c>
      <c r="AW53" s="44">
        <f t="shared" si="139"/>
        <v>-146.47999999999999</v>
      </c>
      <c r="AX53" s="136">
        <f t="shared" ref="AX53:BB53" si="140">AX32</f>
        <v>-6.9227557884820925</v>
      </c>
      <c r="AY53" s="137">
        <f t="shared" si="140"/>
        <v>2.5215384930600528</v>
      </c>
      <c r="AZ53" s="137">
        <f t="shared" si="140"/>
        <v>6.7600181966369313</v>
      </c>
      <c r="BA53" s="138">
        <f t="shared" si="140"/>
        <v>0.52250200376347777</v>
      </c>
      <c r="BB53" s="44">
        <f t="shared" si="140"/>
        <v>2.8813029049783694</v>
      </c>
      <c r="BC53" s="136">
        <f t="shared" ref="BC53:BL53" si="141">BC32</f>
        <v>42.585207966600706</v>
      </c>
      <c r="BD53" s="137">
        <f t="shared" si="141"/>
        <v>24.904397581829087</v>
      </c>
      <c r="BE53" s="137">
        <f t="shared" si="141"/>
        <v>12.910573211462726</v>
      </c>
      <c r="BF53" s="138">
        <f t="shared" si="141"/>
        <v>4.0814666647142275</v>
      </c>
      <c r="BG53" s="44">
        <f t="shared" si="141"/>
        <v>84.481645424606754</v>
      </c>
      <c r="BH53" s="136">
        <f t="shared" si="141"/>
        <v>72.681932263356657</v>
      </c>
      <c r="BI53" s="137">
        <f t="shared" si="141"/>
        <v>10.770049486177507</v>
      </c>
      <c r="BJ53" s="137">
        <f t="shared" si="141"/>
        <v>-3.0613974670954485</v>
      </c>
      <c r="BK53" s="138">
        <f t="shared" si="141"/>
        <v>-8.3577565414641111</v>
      </c>
      <c r="BL53" s="44">
        <f t="shared" si="141"/>
        <v>72.032827740974611</v>
      </c>
      <c r="BM53" s="136">
        <f t="shared" ref="BM53:BQ53" si="142">BM32</f>
        <v>17.37308537521492</v>
      </c>
      <c r="BN53" s="137">
        <f t="shared" si="142"/>
        <v>10.730236901383625</v>
      </c>
      <c r="BO53" s="137">
        <f t="shared" si="142"/>
        <v>-6.8087529352025875</v>
      </c>
      <c r="BP53" s="138">
        <f t="shared" si="142"/>
        <v>-6.7894089976166585</v>
      </c>
      <c r="BQ53" s="44">
        <f t="shared" si="142"/>
        <v>14.505160343779302</v>
      </c>
      <c r="BR53" s="44"/>
      <c r="BS53" s="1516"/>
      <c r="BT53" s="1517"/>
      <c r="BU53" s="1516"/>
      <c r="BV53" s="1516"/>
    </row>
    <row r="54" spans="1:75">
      <c r="A54" s="5"/>
      <c r="B54" s="542"/>
      <c r="C54" s="1213" t="s">
        <v>603</v>
      </c>
      <c r="D54" s="495"/>
      <c r="E54" s="427"/>
      <c r="F54" s="428"/>
      <c r="G54" s="428"/>
      <c r="H54" s="429"/>
      <c r="I54" s="495">
        <f>I17</f>
        <v>151.767</v>
      </c>
      <c r="J54" s="427"/>
      <c r="K54" s="428"/>
      <c r="L54" s="428"/>
      <c r="M54" s="429"/>
      <c r="N54" s="495">
        <f>N17</f>
        <v>163.18</v>
      </c>
      <c r="O54" s="427"/>
      <c r="P54" s="428"/>
      <c r="Q54" s="428"/>
      <c r="R54" s="429"/>
      <c r="S54" s="495">
        <f>S17</f>
        <v>179.18799999999999</v>
      </c>
      <c r="T54" s="427"/>
      <c r="U54" s="428"/>
      <c r="V54" s="428"/>
      <c r="W54" s="429"/>
      <c r="X54" s="44">
        <f t="shared" ref="X54:AS54" si="143">X17</f>
        <v>176.047</v>
      </c>
      <c r="Y54" s="177"/>
      <c r="Z54" s="178"/>
      <c r="AA54" s="178"/>
      <c r="AB54" s="179"/>
      <c r="AC54" s="44">
        <f>AC17</f>
        <v>215.87100000000001</v>
      </c>
      <c r="AD54" s="136">
        <f t="shared" si="143"/>
        <v>70.147000000000006</v>
      </c>
      <c r="AE54" s="178">
        <f t="shared" si="143"/>
        <v>70.935000000000002</v>
      </c>
      <c r="AF54" s="137">
        <f t="shared" si="143"/>
        <v>71.623000000000005</v>
      </c>
      <c r="AG54" s="138">
        <f t="shared" si="143"/>
        <v>63.218999999999994</v>
      </c>
      <c r="AH54" s="44">
        <f>AH17</f>
        <v>275.92399999999998</v>
      </c>
      <c r="AI54" s="136">
        <f t="shared" ref="AI54" si="144">AI17</f>
        <v>62.262999999999998</v>
      </c>
      <c r="AJ54" s="137">
        <f t="shared" si="143"/>
        <v>63.835000000000001</v>
      </c>
      <c r="AK54" s="137">
        <f t="shared" si="143"/>
        <v>60.414999999999999</v>
      </c>
      <c r="AL54" s="138">
        <f t="shared" ref="AL54" si="145">AL17</f>
        <v>52.519000000000005</v>
      </c>
      <c r="AM54" s="44">
        <f>AM17</f>
        <v>239.03200000000001</v>
      </c>
      <c r="AN54" s="136">
        <f t="shared" ref="AN54" si="146">AN17</f>
        <v>56.106999999999999</v>
      </c>
      <c r="AO54" s="137">
        <f t="shared" si="143"/>
        <v>45.831000000000003</v>
      </c>
      <c r="AP54" s="137">
        <f t="shared" ref="AP54" si="147">AP17</f>
        <v>53.115000000000002</v>
      </c>
      <c r="AQ54" s="138">
        <f t="shared" si="143"/>
        <v>44.799000000000007</v>
      </c>
      <c r="AR54" s="44">
        <f t="shared" si="143"/>
        <v>199.852</v>
      </c>
      <c r="AS54" s="136">
        <f t="shared" si="143"/>
        <v>52.593000000000004</v>
      </c>
      <c r="AT54" s="137">
        <f t="shared" ref="AT54:AW54" si="148">AT17</f>
        <v>51.930999999999997</v>
      </c>
      <c r="AU54" s="137">
        <f t="shared" si="148"/>
        <v>52.363999999999997</v>
      </c>
      <c r="AV54" s="138">
        <f t="shared" si="148"/>
        <v>36.233000000000004</v>
      </c>
      <c r="AW54" s="44">
        <f t="shared" si="148"/>
        <v>193.12100000000001</v>
      </c>
      <c r="AX54" s="136">
        <f t="shared" ref="AX54:BB54" si="149">AX17</f>
        <v>40</v>
      </c>
      <c r="AY54" s="137">
        <f t="shared" si="149"/>
        <v>40</v>
      </c>
      <c r="AZ54" s="137">
        <f t="shared" si="149"/>
        <v>40</v>
      </c>
      <c r="BA54" s="138">
        <f t="shared" si="149"/>
        <v>40</v>
      </c>
      <c r="BB54" s="44">
        <f t="shared" si="149"/>
        <v>160</v>
      </c>
      <c r="BC54" s="136">
        <f t="shared" ref="BC54:BL54" si="150">BC17</f>
        <v>40</v>
      </c>
      <c r="BD54" s="137">
        <f t="shared" si="150"/>
        <v>40</v>
      </c>
      <c r="BE54" s="137">
        <f t="shared" si="150"/>
        <v>40</v>
      </c>
      <c r="BF54" s="138">
        <f t="shared" si="150"/>
        <v>40</v>
      </c>
      <c r="BG54" s="44">
        <f t="shared" si="150"/>
        <v>160</v>
      </c>
      <c r="BH54" s="136">
        <f t="shared" si="150"/>
        <v>30</v>
      </c>
      <c r="BI54" s="137">
        <f t="shared" si="150"/>
        <v>30</v>
      </c>
      <c r="BJ54" s="137">
        <f t="shared" si="150"/>
        <v>30</v>
      </c>
      <c r="BK54" s="138">
        <f t="shared" si="150"/>
        <v>30</v>
      </c>
      <c r="BL54" s="44">
        <f t="shared" si="150"/>
        <v>120</v>
      </c>
      <c r="BM54" s="136">
        <f t="shared" ref="BM54:BQ54" si="151">BM17</f>
        <v>20</v>
      </c>
      <c r="BN54" s="137">
        <f t="shared" si="151"/>
        <v>20</v>
      </c>
      <c r="BO54" s="137">
        <f t="shared" si="151"/>
        <v>20</v>
      </c>
      <c r="BP54" s="138">
        <f t="shared" si="151"/>
        <v>20</v>
      </c>
      <c r="BQ54" s="44">
        <f t="shared" si="151"/>
        <v>80</v>
      </c>
      <c r="BR54" s="44"/>
      <c r="BS54" s="1516"/>
      <c r="BT54" s="1517"/>
      <c r="BU54" s="1516"/>
      <c r="BV54" s="1516"/>
    </row>
    <row r="55" spans="1:75">
      <c r="A55" s="5"/>
      <c r="B55" s="542"/>
      <c r="C55" s="1213" t="s">
        <v>604</v>
      </c>
      <c r="D55" s="495"/>
      <c r="E55" s="427"/>
      <c r="F55" s="428"/>
      <c r="G55" s="428"/>
      <c r="H55" s="429"/>
      <c r="I55" s="495">
        <f>-I22</f>
        <v>-196.49199999999999</v>
      </c>
      <c r="J55" s="427"/>
      <c r="K55" s="428"/>
      <c r="L55" s="428"/>
      <c r="M55" s="429"/>
      <c r="N55" s="495">
        <f>-N22</f>
        <v>-171.15799999999999</v>
      </c>
      <c r="O55" s="427"/>
      <c r="P55" s="428"/>
      <c r="Q55" s="428"/>
      <c r="R55" s="429"/>
      <c r="S55" s="495">
        <f>-S22</f>
        <v>-136.49199999999999</v>
      </c>
      <c r="T55" s="427"/>
      <c r="U55" s="428"/>
      <c r="V55" s="428"/>
      <c r="W55" s="429"/>
      <c r="X55" s="44">
        <f t="shared" ref="X55:AS55" si="152">-X22</f>
        <v>-105.062</v>
      </c>
      <c r="Y55" s="177"/>
      <c r="Z55" s="178"/>
      <c r="AA55" s="178"/>
      <c r="AB55" s="179"/>
      <c r="AC55" s="44">
        <f>-AC22</f>
        <v>-137.727</v>
      </c>
      <c r="AD55" s="136">
        <f t="shared" si="152"/>
        <v>-26.359000000000002</v>
      </c>
      <c r="AE55" s="178">
        <f t="shared" si="152"/>
        <v>-21.722000000000001</v>
      </c>
      <c r="AF55" s="137">
        <f t="shared" si="152"/>
        <v>-28.655999999999999</v>
      </c>
      <c r="AG55" s="138">
        <f t="shared" si="152"/>
        <v>-37.222000000000008</v>
      </c>
      <c r="AH55" s="44">
        <f t="shared" si="152"/>
        <v>-113.959</v>
      </c>
      <c r="AI55" s="136">
        <f t="shared" ref="AI55" si="153">-AI22</f>
        <v>-50.162999999999997</v>
      </c>
      <c r="AJ55" s="137">
        <f t="shared" si="152"/>
        <v>-36.274000000000001</v>
      </c>
      <c r="AK55" s="137">
        <f t="shared" si="152"/>
        <v>-29.413</v>
      </c>
      <c r="AL55" s="138">
        <f t="shared" ref="AL55:AN55" si="154">-AL22</f>
        <v>-32.804000000000002</v>
      </c>
      <c r="AM55" s="44">
        <f t="shared" si="154"/>
        <v>-148.654</v>
      </c>
      <c r="AN55" s="136">
        <f t="shared" si="154"/>
        <v>-26.809000000000001</v>
      </c>
      <c r="AO55" s="137">
        <f t="shared" si="152"/>
        <v>-33.521000000000001</v>
      </c>
      <c r="AP55" s="137">
        <f t="shared" ref="AP55" si="155">-AP22</f>
        <v>-27.048999999999999</v>
      </c>
      <c r="AQ55" s="138">
        <f t="shared" si="152"/>
        <v>-21.087000000000003</v>
      </c>
      <c r="AR55" s="44">
        <f t="shared" si="152"/>
        <v>-108.46599999999999</v>
      </c>
      <c r="AS55" s="136">
        <f t="shared" si="152"/>
        <v>-43.137999999999998</v>
      </c>
      <c r="AT55" s="137">
        <f t="shared" ref="AT55:AW55" si="156">-AT22</f>
        <v>-58.904000000000003</v>
      </c>
      <c r="AU55" s="137">
        <f t="shared" si="156"/>
        <v>-41.146000000000001</v>
      </c>
      <c r="AV55" s="138">
        <f t="shared" si="156"/>
        <v>-80.933000000000021</v>
      </c>
      <c r="AW55" s="44">
        <f t="shared" si="156"/>
        <v>-224.12100000000001</v>
      </c>
      <c r="AX55" s="136">
        <f t="shared" ref="AX55:BQ55" si="157">-AX22-AX23</f>
        <v>-71.683755000000005</v>
      </c>
      <c r="AY55" s="137">
        <f t="shared" si="157"/>
        <v>-69.239645668413615</v>
      </c>
      <c r="AZ55" s="137">
        <f t="shared" si="157"/>
        <v>-68.44213912971567</v>
      </c>
      <c r="BA55" s="138">
        <f t="shared" si="157"/>
        <v>-68.922183993240893</v>
      </c>
      <c r="BB55" s="44">
        <f t="shared" si="157"/>
        <v>-278.28772379137018</v>
      </c>
      <c r="BC55" s="136">
        <f t="shared" si="157"/>
        <v>-75.350576122299046</v>
      </c>
      <c r="BD55" s="137">
        <f t="shared" si="157"/>
        <v>-72.718489269661106</v>
      </c>
      <c r="BE55" s="137">
        <f t="shared" si="157"/>
        <v>-71.897399885574217</v>
      </c>
      <c r="BF55" s="138">
        <f t="shared" si="157"/>
        <v>-72.397034215041685</v>
      </c>
      <c r="BG55" s="44">
        <f t="shared" si="157"/>
        <v>-292.36349949257607</v>
      </c>
      <c r="BH55" s="136">
        <f t="shared" si="157"/>
        <v>-79.361335751520244</v>
      </c>
      <c r="BI55" s="137">
        <f t="shared" si="157"/>
        <v>-76.370917388770863</v>
      </c>
      <c r="BJ55" s="137">
        <f t="shared" si="157"/>
        <v>-75.565881932623597</v>
      </c>
      <c r="BK55" s="138">
        <f t="shared" si="157"/>
        <v>-76.119087743079646</v>
      </c>
      <c r="BL55" s="44">
        <f t="shared" si="157"/>
        <v>-307.41722281599436</v>
      </c>
      <c r="BM55" s="136">
        <f t="shared" si="157"/>
        <v>-83.953764002479133</v>
      </c>
      <c r="BN55" s="137">
        <f t="shared" si="157"/>
        <v>-80.951322870561953</v>
      </c>
      <c r="BO55" s="137">
        <f t="shared" si="157"/>
        <v>-80.080350156651107</v>
      </c>
      <c r="BP55" s="138">
        <f t="shared" si="157"/>
        <v>-80.6594384400602</v>
      </c>
      <c r="BQ55" s="44">
        <f t="shared" si="157"/>
        <v>-325.64487546975238</v>
      </c>
      <c r="BR55" s="44"/>
      <c r="BS55" s="1516"/>
      <c r="BT55" s="1517"/>
      <c r="BU55" s="1516"/>
      <c r="BV55" s="1516"/>
    </row>
    <row r="56" spans="1:75">
      <c r="A56" s="5"/>
      <c r="B56" s="542"/>
      <c r="C56" s="1213" t="s">
        <v>160</v>
      </c>
      <c r="D56" s="495"/>
      <c r="E56" s="427"/>
      <c r="F56" s="428"/>
      <c r="G56" s="428"/>
      <c r="H56" s="429"/>
      <c r="I56" s="495">
        <f>I15</f>
        <v>99.38</v>
      </c>
      <c r="J56" s="427"/>
      <c r="K56" s="428"/>
      <c r="L56" s="428"/>
      <c r="M56" s="429"/>
      <c r="N56" s="495">
        <f>N15</f>
        <v>107.47799999999999</v>
      </c>
      <c r="O56" s="427"/>
      <c r="P56" s="428"/>
      <c r="Q56" s="428"/>
      <c r="R56" s="429"/>
      <c r="S56" s="495">
        <f>S15</f>
        <v>81.45</v>
      </c>
      <c r="T56" s="427"/>
      <c r="U56" s="428"/>
      <c r="V56" s="428"/>
      <c r="W56" s="429"/>
      <c r="X56" s="44">
        <f t="shared" ref="X56:AQ56" si="158">X15</f>
        <v>72.096000000000004</v>
      </c>
      <c r="Y56" s="177"/>
      <c r="Z56" s="178"/>
      <c r="AA56" s="178"/>
      <c r="AB56" s="179"/>
      <c r="AC56" s="44">
        <f>AC15</f>
        <v>125.292</v>
      </c>
      <c r="AD56" s="136">
        <f t="shared" si="158"/>
        <v>34.055999999999997</v>
      </c>
      <c r="AE56" s="178">
        <f t="shared" si="158"/>
        <v>34.649000000000001</v>
      </c>
      <c r="AF56" s="137">
        <f t="shared" si="158"/>
        <v>35.24</v>
      </c>
      <c r="AG56" s="138">
        <f t="shared" si="158"/>
        <v>37.566000000000003</v>
      </c>
      <c r="AH56" s="44">
        <f t="shared" si="158"/>
        <v>141.511</v>
      </c>
      <c r="AI56" s="136">
        <f t="shared" ref="AI56" si="159">AI15</f>
        <v>35.037999999999997</v>
      </c>
      <c r="AJ56" s="137">
        <f t="shared" si="158"/>
        <v>33.444000000000003</v>
      </c>
      <c r="AK56" s="137">
        <f t="shared" si="158"/>
        <v>32.909999999999997</v>
      </c>
      <c r="AL56" s="138">
        <f t="shared" ref="AL56:AN56" si="160">AL15</f>
        <v>36.135999999999996</v>
      </c>
      <c r="AM56" s="44">
        <f t="shared" si="160"/>
        <v>137.52799999999999</v>
      </c>
      <c r="AN56" s="136">
        <f t="shared" si="160"/>
        <v>31.385000000000002</v>
      </c>
      <c r="AO56" s="137">
        <f t="shared" si="158"/>
        <v>38.823</v>
      </c>
      <c r="AP56" s="137">
        <f t="shared" ref="AP56" si="161">AP15</f>
        <v>46.896000000000001</v>
      </c>
      <c r="AQ56" s="138">
        <f t="shared" si="158"/>
        <v>57.965999999999994</v>
      </c>
      <c r="AR56" s="44">
        <f t="shared" ref="AR56:AV56" si="162">AR15</f>
        <v>175.07</v>
      </c>
      <c r="AS56" s="136">
        <f t="shared" si="162"/>
        <v>74.864000000000004</v>
      </c>
      <c r="AT56" s="137">
        <f t="shared" si="162"/>
        <v>60.191000000000003</v>
      </c>
      <c r="AU56" s="137">
        <f t="shared" si="162"/>
        <v>60.07</v>
      </c>
      <c r="AV56" s="138">
        <f t="shared" si="162"/>
        <v>59.832999999999998</v>
      </c>
      <c r="AW56" s="44">
        <f t="shared" ref="AW56" si="163">AW15</f>
        <v>254.958</v>
      </c>
      <c r="AX56" s="136">
        <f t="shared" ref="AX56:BL56" si="164">AX15</f>
        <v>69.157357499999932</v>
      </c>
      <c r="AY56" s="137">
        <f t="shared" si="164"/>
        <v>69.157357499999932</v>
      </c>
      <c r="AZ56" s="137">
        <f t="shared" si="164"/>
        <v>69.157357499999932</v>
      </c>
      <c r="BA56" s="138">
        <f t="shared" si="164"/>
        <v>69.157357499999932</v>
      </c>
      <c r="BB56" s="44">
        <f t="shared" si="164"/>
        <v>276.62942999999973</v>
      </c>
      <c r="BC56" s="136">
        <f t="shared" si="164"/>
        <v>75.035732887499989</v>
      </c>
      <c r="BD56" s="137">
        <f t="shared" si="164"/>
        <v>75.035732887499989</v>
      </c>
      <c r="BE56" s="137">
        <f t="shared" si="164"/>
        <v>75.035732887499989</v>
      </c>
      <c r="BF56" s="138">
        <f t="shared" si="164"/>
        <v>75.035732887499989</v>
      </c>
      <c r="BG56" s="44">
        <f>BG15</f>
        <v>300.14293154999996</v>
      </c>
      <c r="BH56" s="136">
        <f t="shared" si="164"/>
        <v>81.41377018293754</v>
      </c>
      <c r="BI56" s="137">
        <f t="shared" si="164"/>
        <v>81.41377018293754</v>
      </c>
      <c r="BJ56" s="137">
        <f t="shared" si="164"/>
        <v>81.41377018293754</v>
      </c>
      <c r="BK56" s="138">
        <f t="shared" si="164"/>
        <v>81.41377018293754</v>
      </c>
      <c r="BL56" s="44">
        <f t="shared" si="164"/>
        <v>325.65508073175016</v>
      </c>
      <c r="BM56" s="136">
        <f t="shared" ref="BM56:BQ56" si="165">BM15</f>
        <v>88.33394064848703</v>
      </c>
      <c r="BN56" s="137">
        <f t="shared" si="165"/>
        <v>88.33394064848703</v>
      </c>
      <c r="BO56" s="137">
        <f t="shared" si="165"/>
        <v>88.33394064848703</v>
      </c>
      <c r="BP56" s="138">
        <f t="shared" si="165"/>
        <v>88.33394064848703</v>
      </c>
      <c r="BQ56" s="44">
        <f t="shared" si="165"/>
        <v>353.33576259394812</v>
      </c>
      <c r="BR56" s="44"/>
      <c r="BS56" s="1516"/>
      <c r="BT56" s="1517"/>
      <c r="BU56" s="1516"/>
      <c r="BV56" s="1516"/>
    </row>
    <row r="57" spans="1:75" s="37" customFormat="1">
      <c r="A57" s="36"/>
      <c r="B57" s="1210"/>
      <c r="C57" s="1210" t="s">
        <v>601</v>
      </c>
      <c r="D57" s="496"/>
      <c r="E57" s="430"/>
      <c r="F57" s="431"/>
      <c r="G57" s="431"/>
      <c r="H57" s="432"/>
      <c r="I57" s="110">
        <f>SUM(I51:I56)</f>
        <v>1137.6529999999998</v>
      </c>
      <c r="J57" s="430"/>
      <c r="K57" s="431"/>
      <c r="L57" s="431"/>
      <c r="M57" s="432"/>
      <c r="N57" s="110">
        <f>SUM(N51:N56)</f>
        <v>1027.3559999999998</v>
      </c>
      <c r="O57" s="430"/>
      <c r="P57" s="431"/>
      <c r="Q57" s="431"/>
      <c r="R57" s="432"/>
      <c r="S57" s="110">
        <f>SUM(S51:S56)</f>
        <v>858.83199999999999</v>
      </c>
      <c r="T57" s="430"/>
      <c r="U57" s="431"/>
      <c r="V57" s="431"/>
      <c r="W57" s="432"/>
      <c r="X57" s="110">
        <f t="shared" ref="X57:AQ57" si="166">SUM(X51:X56)</f>
        <v>486.23799999999972</v>
      </c>
      <c r="Y57" s="180"/>
      <c r="Z57" s="181"/>
      <c r="AA57" s="181"/>
      <c r="AB57" s="182"/>
      <c r="AC57" s="110">
        <f t="shared" si="166"/>
        <v>404.97300000000007</v>
      </c>
      <c r="AD57" s="141">
        <f t="shared" si="166"/>
        <v>450.30499999999995</v>
      </c>
      <c r="AE57" s="181">
        <f t="shared" si="166"/>
        <v>140.11999999999992</v>
      </c>
      <c r="AF57" s="142">
        <f t="shared" si="166"/>
        <v>125.07199999999997</v>
      </c>
      <c r="AG57" s="143">
        <f t="shared" si="166"/>
        <v>175.74600000000021</v>
      </c>
      <c r="AH57" s="110">
        <f>SUM(AH51:AH56)</f>
        <v>891.24300000000017</v>
      </c>
      <c r="AI57" s="141">
        <f t="shared" ref="AI57" si="167">SUM(AI51:AI56)</f>
        <v>246.12800000000004</v>
      </c>
      <c r="AJ57" s="142">
        <f t="shared" si="166"/>
        <v>59.418000000000013</v>
      </c>
      <c r="AK57" s="142">
        <f t="shared" si="166"/>
        <v>-1515.327</v>
      </c>
      <c r="AL57" s="143">
        <f t="shared" ref="AL57" si="168">SUM(AL51:AL56)</f>
        <v>-213.70799999999946</v>
      </c>
      <c r="AM57" s="110">
        <f>SUM(AM51:AM56)</f>
        <v>-1423.4889999999991</v>
      </c>
      <c r="AN57" s="141">
        <f t="shared" ref="AN57" si="169">SUM(AN51:AN56)</f>
        <v>198.10899999999992</v>
      </c>
      <c r="AO57" s="142">
        <f t="shared" si="166"/>
        <v>72.84</v>
      </c>
      <c r="AP57" s="142">
        <f t="shared" ref="AP57" si="170">SUM(AP51:AP56)</f>
        <v>92.121000000000038</v>
      </c>
      <c r="AQ57" s="143">
        <f t="shared" si="166"/>
        <v>-2761.3310000000001</v>
      </c>
      <c r="AR57" s="110">
        <f t="shared" ref="AR57:AV57" si="171">SUM(AR51:AR56)</f>
        <v>-2398.2610000000004</v>
      </c>
      <c r="AS57" s="141">
        <f t="shared" si="171"/>
        <v>-15.321000000000026</v>
      </c>
      <c r="AT57" s="142">
        <f t="shared" si="171"/>
        <v>-172.33099999999993</v>
      </c>
      <c r="AU57" s="142">
        <f t="shared" si="171"/>
        <v>157.398</v>
      </c>
      <c r="AV57" s="143">
        <f t="shared" si="171"/>
        <v>-43.077000000000055</v>
      </c>
      <c r="AW57" s="110">
        <f t="shared" ref="AW57" si="172">SUM(AW51:AW56)</f>
        <v>-73.331000000000216</v>
      </c>
      <c r="AX57" s="141">
        <f t="shared" ref="AX57:BL57" si="173">SUM(AX51:AX56)</f>
        <v>91.084843028794694</v>
      </c>
      <c r="AY57" s="142">
        <f t="shared" si="173"/>
        <v>114.69557873265006</v>
      </c>
      <c r="AZ57" s="142">
        <f t="shared" si="173"/>
        <v>125.29177799159226</v>
      </c>
      <c r="BA57" s="143">
        <f t="shared" si="173"/>
        <v>109.69798750940862</v>
      </c>
      <c r="BB57" s="110">
        <f t="shared" si="173"/>
        <v>440.77018726244546</v>
      </c>
      <c r="BC57" s="141">
        <f t="shared" si="173"/>
        <v>154.27902624150175</v>
      </c>
      <c r="BD57" s="142">
        <f t="shared" si="173"/>
        <v>110.0770002795727</v>
      </c>
      <c r="BE57" s="142">
        <f t="shared" si="173"/>
        <v>80.0924393536568</v>
      </c>
      <c r="BF57" s="143">
        <f t="shared" si="173"/>
        <v>58.019672986785565</v>
      </c>
      <c r="BG57" s="110">
        <f t="shared" si="173"/>
        <v>402.46813886151699</v>
      </c>
      <c r="BH57" s="141">
        <f t="shared" si="173"/>
        <v>221.69764136867292</v>
      </c>
      <c r="BI57" s="142">
        <f t="shared" si="173"/>
        <v>66.917934425725051</v>
      </c>
      <c r="BJ57" s="142">
        <f t="shared" si="173"/>
        <v>32.339317042542675</v>
      </c>
      <c r="BK57" s="143">
        <f t="shared" si="173"/>
        <v>19.098419356621022</v>
      </c>
      <c r="BL57" s="110">
        <f t="shared" si="173"/>
        <v>340.05331219356157</v>
      </c>
      <c r="BM57" s="141">
        <f t="shared" ref="BM57:BQ57" si="174">SUM(BM51:BM56)</f>
        <v>75.881884646827061</v>
      </c>
      <c r="BN57" s="142">
        <f t="shared" si="174"/>
        <v>59.274763462248828</v>
      </c>
      <c r="BO57" s="142">
        <f t="shared" si="174"/>
        <v>15.4272888707833</v>
      </c>
      <c r="BP57" s="143">
        <f t="shared" si="174"/>
        <v>15.475648714748118</v>
      </c>
      <c r="BQ57" s="110">
        <f t="shared" si="174"/>
        <v>166.05958569460739</v>
      </c>
      <c r="BR57" s="110"/>
      <c r="BS57" s="1516"/>
      <c r="BT57" s="1517"/>
      <c r="BU57" s="1516"/>
      <c r="BV57" s="1516"/>
      <c r="BW57" s="940"/>
    </row>
    <row r="58" spans="1:75">
      <c r="A58" s="5"/>
      <c r="B58" s="542"/>
      <c r="C58" s="542" t="s">
        <v>602</v>
      </c>
      <c r="D58" s="495"/>
      <c r="E58" s="427"/>
      <c r="F58" s="428"/>
      <c r="G58" s="428"/>
      <c r="H58" s="429"/>
      <c r="I58" s="44">
        <f>I38/(1-38%)</f>
        <v>70.967741935483872</v>
      </c>
      <c r="J58" s="427"/>
      <c r="K58" s="428"/>
      <c r="L58" s="428"/>
      <c r="M58" s="429"/>
      <c r="N58" s="44">
        <f>N38/(1-38%)</f>
        <v>162.41935483870969</v>
      </c>
      <c r="O58" s="427"/>
      <c r="P58" s="428"/>
      <c r="Q58" s="428"/>
      <c r="R58" s="429"/>
      <c r="S58" s="44">
        <f>S38/(1-38%)</f>
        <v>0</v>
      </c>
      <c r="T58" s="427"/>
      <c r="U58" s="428"/>
      <c r="V58" s="428"/>
      <c r="W58" s="429"/>
      <c r="X58" s="44">
        <f>X38/(1-38%)</f>
        <v>360.48387096774195</v>
      </c>
      <c r="Y58" s="177"/>
      <c r="Z58" s="178"/>
      <c r="AA58" s="178"/>
      <c r="AB58" s="179"/>
      <c r="AC58" s="44">
        <f>AC38/(1-38%)</f>
        <v>354.51612903225811</v>
      </c>
      <c r="AD58" s="139">
        <f t="shared" ref="AD58:AH58" si="175">AD38/(1-38%)</f>
        <v>10.64516129032258</v>
      </c>
      <c r="AE58" s="178">
        <f t="shared" si="175"/>
        <v>12.096774193548388</v>
      </c>
      <c r="AF58" s="18">
        <f t="shared" si="175"/>
        <v>119.35483870967742</v>
      </c>
      <c r="AG58" s="140">
        <f t="shared" si="175"/>
        <v>22.096774193548391</v>
      </c>
      <c r="AH58" s="44">
        <f t="shared" si="175"/>
        <v>164.19354838709677</v>
      </c>
      <c r="AI58" s="139">
        <f t="shared" ref="AI58" si="176">AI38/(1-38%)</f>
        <v>7.419354838709677</v>
      </c>
      <c r="AJ58" s="1755">
        <f>AJ38/(1-50%)</f>
        <v>2.2000000000000002</v>
      </c>
      <c r="AK58" s="1755">
        <f>AK38/(1-35.3%)</f>
        <v>1644.0494590417311</v>
      </c>
      <c r="AL58" s="1913">
        <f>5+396+37-154</f>
        <v>284</v>
      </c>
      <c r="AM58" s="44">
        <f>SUM(AI58:AL58)</f>
        <v>1937.6688138804407</v>
      </c>
      <c r="AN58" s="1976">
        <f t="shared" ref="AN58" si="177">AN38/(1-38%)</f>
        <v>20.806451612903228</v>
      </c>
      <c r="AO58" s="18">
        <f>AO38/(1-36%)</f>
        <v>-15</v>
      </c>
      <c r="AP58" s="18">
        <f>AP38/(1-36%)</f>
        <v>42.96875</v>
      </c>
      <c r="AQ58" s="140">
        <f t="shared" ref="AQ58" si="178">AQ38/(1-36%)</f>
        <v>2850.78125</v>
      </c>
      <c r="AR58" s="44">
        <f>SUM(AN58:AQ58)</f>
        <v>2899.5564516129034</v>
      </c>
      <c r="AS58" s="1976">
        <f>231-16</f>
        <v>215</v>
      </c>
      <c r="AT58" s="18">
        <v>233</v>
      </c>
      <c r="AU58" s="18">
        <f>AU38/(1-36%)</f>
        <v>39.84375</v>
      </c>
      <c r="AV58" s="140">
        <f t="shared" ref="AV58" si="179">AV38/(1-36%)</f>
        <v>762.81250000000023</v>
      </c>
      <c r="AW58" s="44">
        <f>SUM(AS58:AV58)</f>
        <v>1250.6562500000002</v>
      </c>
      <c r="AX58" s="139">
        <f t="shared" ref="AX58:BB58" si="180">AX38/(1-38%)</f>
        <v>0</v>
      </c>
      <c r="AY58" s="18">
        <f t="shared" si="180"/>
        <v>0</v>
      </c>
      <c r="AZ58" s="18">
        <f t="shared" si="180"/>
        <v>0</v>
      </c>
      <c r="BA58" s="140">
        <f t="shared" si="180"/>
        <v>0</v>
      </c>
      <c r="BB58" s="44">
        <f t="shared" si="180"/>
        <v>0</v>
      </c>
      <c r="BC58" s="139">
        <f t="shared" ref="BC58:BL58" si="181">BC38/(1-38%)</f>
        <v>0</v>
      </c>
      <c r="BD58" s="18">
        <f t="shared" si="181"/>
        <v>0</v>
      </c>
      <c r="BE58" s="18">
        <f t="shared" si="181"/>
        <v>0</v>
      </c>
      <c r="BF58" s="140">
        <f t="shared" si="181"/>
        <v>0</v>
      </c>
      <c r="BG58" s="44">
        <f t="shared" si="181"/>
        <v>0</v>
      </c>
      <c r="BH58" s="139">
        <f t="shared" si="181"/>
        <v>0</v>
      </c>
      <c r="BI58" s="18">
        <f t="shared" si="181"/>
        <v>0</v>
      </c>
      <c r="BJ58" s="18">
        <f t="shared" si="181"/>
        <v>0</v>
      </c>
      <c r="BK58" s="140">
        <f t="shared" si="181"/>
        <v>0</v>
      </c>
      <c r="BL58" s="44">
        <f t="shared" si="181"/>
        <v>0</v>
      </c>
      <c r="BM58" s="139">
        <f t="shared" ref="BM58:BQ58" si="182">BM38/(1-38%)</f>
        <v>0</v>
      </c>
      <c r="BN58" s="18">
        <f t="shared" si="182"/>
        <v>0</v>
      </c>
      <c r="BO58" s="18">
        <f t="shared" si="182"/>
        <v>0</v>
      </c>
      <c r="BP58" s="140">
        <f t="shared" si="182"/>
        <v>0</v>
      </c>
      <c r="BQ58" s="44">
        <f t="shared" si="182"/>
        <v>0</v>
      </c>
      <c r="BR58" s="44"/>
      <c r="BS58" s="1516"/>
      <c r="BT58" s="1517"/>
      <c r="BU58" s="1516"/>
      <c r="BV58" s="1516"/>
    </row>
    <row r="59" spans="1:75">
      <c r="A59" s="5"/>
      <c r="B59" s="1211"/>
      <c r="C59" s="1212" t="s">
        <v>601</v>
      </c>
      <c r="D59" s="495"/>
      <c r="E59" s="427"/>
      <c r="F59" s="428"/>
      <c r="G59" s="428"/>
      <c r="H59" s="429"/>
      <c r="I59" s="110">
        <f>SUM(I57:I58)</f>
        <v>1208.6207419354837</v>
      </c>
      <c r="J59" s="180"/>
      <c r="K59" s="181"/>
      <c r="L59" s="181"/>
      <c r="M59" s="182"/>
      <c r="N59" s="110">
        <f>SUM(N57:N58)</f>
        <v>1189.7753548387095</v>
      </c>
      <c r="O59" s="180"/>
      <c r="P59" s="181"/>
      <c r="Q59" s="181"/>
      <c r="R59" s="182"/>
      <c r="S59" s="110">
        <f>SUM(S57:S58)</f>
        <v>858.83199999999999</v>
      </c>
      <c r="T59" s="180"/>
      <c r="U59" s="181"/>
      <c r="V59" s="181"/>
      <c r="W59" s="182"/>
      <c r="X59" s="110">
        <f>SUM(X57:X58)</f>
        <v>846.72187096774167</v>
      </c>
      <c r="Y59" s="180"/>
      <c r="Z59" s="181"/>
      <c r="AA59" s="181"/>
      <c r="AB59" s="182"/>
      <c r="AC59" s="110">
        <f>SUM(AC57:AC58)</f>
        <v>759.48912903225823</v>
      </c>
      <c r="AD59" s="141">
        <f t="shared" ref="AD59:AQ59" si="183">SUM(AD57:AD58)</f>
        <v>460.95016129032251</v>
      </c>
      <c r="AE59" s="181">
        <f t="shared" si="183"/>
        <v>152.2167741935483</v>
      </c>
      <c r="AF59" s="142">
        <f t="shared" si="183"/>
        <v>244.42683870967738</v>
      </c>
      <c r="AG59" s="143">
        <f t="shared" si="183"/>
        <v>197.84277419354859</v>
      </c>
      <c r="AH59" s="110">
        <f>SUM(AH57:AH58)</f>
        <v>1055.436548387097</v>
      </c>
      <c r="AI59" s="141">
        <f t="shared" ref="AI59" si="184">SUM(AI57:AI58)</f>
        <v>253.54735483870971</v>
      </c>
      <c r="AJ59" s="142">
        <f t="shared" si="183"/>
        <v>61.618000000000016</v>
      </c>
      <c r="AK59" s="142">
        <f>SUM(AK57:AK58)</f>
        <v>128.7224590417311</v>
      </c>
      <c r="AL59" s="143">
        <f t="shared" ref="AL59" si="185">SUM(AL57:AL58)</f>
        <v>70.292000000000542</v>
      </c>
      <c r="AM59" s="110">
        <f>SUM(AM57:AM58)</f>
        <v>514.17981388044154</v>
      </c>
      <c r="AN59" s="141">
        <f t="shared" ref="AN59" si="186">SUM(AN57:AN58)</f>
        <v>218.91545161290315</v>
      </c>
      <c r="AO59" s="142">
        <f t="shared" si="183"/>
        <v>57.84</v>
      </c>
      <c r="AP59" s="142">
        <f t="shared" ref="AP59" si="187">SUM(AP57:AP58)</f>
        <v>135.08975000000004</v>
      </c>
      <c r="AQ59" s="143">
        <f t="shared" si="183"/>
        <v>89.450249999999869</v>
      </c>
      <c r="AR59" s="110">
        <f>SUM(AR57:AR58)</f>
        <v>501.29545161290298</v>
      </c>
      <c r="AS59" s="141">
        <f t="shared" ref="AS59:AV59" si="188">SUM(AS57:AS58)</f>
        <v>199.67899999999997</v>
      </c>
      <c r="AT59" s="142">
        <f t="shared" si="188"/>
        <v>60.669000000000068</v>
      </c>
      <c r="AU59" s="142">
        <f t="shared" si="188"/>
        <v>197.24175</v>
      </c>
      <c r="AV59" s="143">
        <f t="shared" si="188"/>
        <v>719.73550000000023</v>
      </c>
      <c r="AW59" s="110">
        <f>SUM(AW57:AW58)</f>
        <v>1177.3252500000001</v>
      </c>
      <c r="AX59" s="141">
        <f t="shared" ref="AX59:BB59" si="189">SUM(AX57:AX58)</f>
        <v>91.084843028794694</v>
      </c>
      <c r="AY59" s="142">
        <f t="shared" si="189"/>
        <v>114.69557873265006</v>
      </c>
      <c r="AZ59" s="142">
        <f t="shared" si="189"/>
        <v>125.29177799159226</v>
      </c>
      <c r="BA59" s="143">
        <f t="shared" si="189"/>
        <v>109.69798750940862</v>
      </c>
      <c r="BB59" s="110">
        <f t="shared" si="189"/>
        <v>440.77018726244546</v>
      </c>
      <c r="BC59" s="141">
        <f t="shared" ref="BC59:BK59" si="190">SUM(BC57:BC58)</f>
        <v>154.27902624150175</v>
      </c>
      <c r="BD59" s="142">
        <f t="shared" si="190"/>
        <v>110.0770002795727</v>
      </c>
      <c r="BE59" s="142">
        <f t="shared" si="190"/>
        <v>80.0924393536568</v>
      </c>
      <c r="BF59" s="143">
        <f t="shared" si="190"/>
        <v>58.019672986785565</v>
      </c>
      <c r="BG59" s="110">
        <f t="shared" si="190"/>
        <v>402.46813886151699</v>
      </c>
      <c r="BH59" s="141">
        <f t="shared" si="190"/>
        <v>221.69764136867292</v>
      </c>
      <c r="BI59" s="142">
        <f t="shared" si="190"/>
        <v>66.917934425725051</v>
      </c>
      <c r="BJ59" s="142">
        <f t="shared" si="190"/>
        <v>32.339317042542675</v>
      </c>
      <c r="BK59" s="143">
        <f t="shared" si="190"/>
        <v>19.098419356621022</v>
      </c>
      <c r="BL59" s="110">
        <f>SUM(BL57:BL58)</f>
        <v>340.05331219356157</v>
      </c>
      <c r="BM59" s="141">
        <f t="shared" ref="BM59:BP59" si="191">SUM(BM57:BM58)</f>
        <v>75.881884646827061</v>
      </c>
      <c r="BN59" s="142">
        <f t="shared" si="191"/>
        <v>59.274763462248828</v>
      </c>
      <c r="BO59" s="142">
        <f t="shared" si="191"/>
        <v>15.4272888707833</v>
      </c>
      <c r="BP59" s="143">
        <f t="shared" si="191"/>
        <v>15.475648714748118</v>
      </c>
      <c r="BQ59" s="110">
        <f>SUM(BQ57:BQ58)</f>
        <v>166.05958569460739</v>
      </c>
      <c r="BR59" s="110"/>
      <c r="BS59" s="1516"/>
      <c r="BT59" s="1517"/>
      <c r="BU59" s="1516"/>
      <c r="BV59" s="1516"/>
    </row>
    <row r="60" spans="1:75">
      <c r="A60" s="5"/>
      <c r="B60" s="1211"/>
      <c r="C60" s="1212"/>
      <c r="D60" s="495"/>
      <c r="E60" s="427"/>
      <c r="F60" s="428"/>
      <c r="G60" s="428"/>
      <c r="H60" s="429"/>
      <c r="I60" s="110"/>
      <c r="J60" s="180"/>
      <c r="K60" s="181"/>
      <c r="L60" s="181"/>
      <c r="M60" s="182"/>
      <c r="N60" s="110"/>
      <c r="O60" s="180"/>
      <c r="P60" s="181"/>
      <c r="Q60" s="181"/>
      <c r="R60" s="182"/>
      <c r="S60" s="110"/>
      <c r="T60" s="180"/>
      <c r="U60" s="181"/>
      <c r="V60" s="181"/>
      <c r="W60" s="182"/>
      <c r="X60" s="110"/>
      <c r="Y60" s="180"/>
      <c r="Z60" s="181"/>
      <c r="AA60" s="181"/>
      <c r="AB60" s="182"/>
      <c r="AC60" s="110"/>
      <c r="AD60" s="141"/>
      <c r="AE60" s="181"/>
      <c r="AF60" s="142"/>
      <c r="AG60" s="143"/>
      <c r="AH60" s="110"/>
      <c r="AI60" s="141"/>
      <c r="AJ60" s="142"/>
      <c r="AK60" s="142"/>
      <c r="AL60" s="143"/>
      <c r="AM60" s="481"/>
      <c r="AN60" s="141"/>
      <c r="AO60" s="142"/>
      <c r="AP60" s="142"/>
      <c r="AQ60" s="143"/>
      <c r="AR60" s="110"/>
      <c r="AS60" s="141"/>
      <c r="AT60" s="142"/>
      <c r="AU60" s="142"/>
      <c r="AV60" s="143"/>
      <c r="AW60" s="1785"/>
      <c r="AX60" s="141"/>
      <c r="AY60" s="142"/>
      <c r="AZ60" s="142"/>
      <c r="BA60" s="143"/>
      <c r="BB60" s="110"/>
      <c r="BC60" s="141"/>
      <c r="BD60" s="142"/>
      <c r="BE60" s="142"/>
      <c r="BF60" s="143"/>
      <c r="BG60" s="110"/>
      <c r="BH60" s="141"/>
      <c r="BI60" s="142"/>
      <c r="BJ60" s="142"/>
      <c r="BK60" s="143"/>
      <c r="BL60" s="110"/>
      <c r="BM60" s="141"/>
      <c r="BN60" s="142"/>
      <c r="BO60" s="142"/>
      <c r="BP60" s="143"/>
      <c r="BQ60" s="110"/>
      <c r="BR60" s="110"/>
      <c r="BS60" s="1516"/>
      <c r="BT60" s="1517"/>
      <c r="BU60" s="1516"/>
      <c r="BV60" s="1516"/>
    </row>
    <row r="61" spans="1:75">
      <c r="A61" s="5"/>
      <c r="B61" s="542"/>
      <c r="C61" s="1938" t="s">
        <v>971</v>
      </c>
      <c r="D61" s="1939"/>
      <c r="E61" s="1940"/>
      <c r="F61" s="1941"/>
      <c r="G61" s="1941"/>
      <c r="H61" s="1942"/>
      <c r="I61" s="1939"/>
      <c r="J61" s="1940"/>
      <c r="K61" s="1941"/>
      <c r="L61" s="1941"/>
      <c r="M61" s="1942"/>
      <c r="N61" s="1939"/>
      <c r="O61" s="1940"/>
      <c r="P61" s="1941"/>
      <c r="Q61" s="1941"/>
      <c r="R61" s="1942"/>
      <c r="S61" s="1939"/>
      <c r="T61" s="1940"/>
      <c r="U61" s="1941"/>
      <c r="V61" s="1941"/>
      <c r="W61" s="1942"/>
      <c r="X61" s="1939"/>
      <c r="Y61" s="1940"/>
      <c r="Z61" s="1941"/>
      <c r="AA61" s="1941"/>
      <c r="AB61" s="1942"/>
      <c r="AC61" s="1943"/>
      <c r="AD61" s="1944"/>
      <c r="AE61" s="1941"/>
      <c r="AF61" s="1945"/>
      <c r="AG61" s="1946"/>
      <c r="AH61" s="1947"/>
      <c r="AI61" s="1944"/>
      <c r="AJ61" s="1945"/>
      <c r="AK61" s="1945"/>
      <c r="AL61" s="1946"/>
      <c r="AM61" s="1947"/>
      <c r="AN61" s="1944"/>
      <c r="AO61" s="1945"/>
      <c r="AP61" s="1945"/>
      <c r="AQ61" s="1946"/>
      <c r="AR61" s="1947"/>
      <c r="AS61" s="1944"/>
      <c r="AT61" s="1945"/>
      <c r="AU61" s="1945"/>
      <c r="AV61" s="1946"/>
      <c r="AW61" s="1948"/>
      <c r="AX61" s="1944"/>
      <c r="AY61" s="1945"/>
      <c r="AZ61" s="1945"/>
      <c r="BA61" s="1946"/>
      <c r="BB61" s="1948">
        <v>460</v>
      </c>
      <c r="BC61" s="1944"/>
      <c r="BD61" s="1945"/>
      <c r="BE61" s="1945"/>
      <c r="BF61" s="1946"/>
      <c r="BG61" s="1948">
        <v>420</v>
      </c>
      <c r="BH61" s="139"/>
      <c r="BI61" s="18"/>
      <c r="BJ61" s="18"/>
      <c r="BK61" s="140"/>
      <c r="BL61" s="1948">
        <v>295</v>
      </c>
      <c r="BM61" s="139"/>
      <c r="BN61" s="18"/>
      <c r="BO61" s="18"/>
      <c r="BP61" s="140"/>
      <c r="BQ61" s="1948">
        <v>160</v>
      </c>
      <c r="BR61" s="27"/>
      <c r="BS61" s="1516"/>
      <c r="BT61" s="1517"/>
      <c r="BU61" s="1516"/>
      <c r="BV61" s="1516"/>
    </row>
    <row r="62" spans="1:75">
      <c r="A62" s="108"/>
      <c r="B62" s="108"/>
      <c r="C62" s="1135"/>
      <c r="D62" s="108"/>
      <c r="E62" s="171"/>
      <c r="F62" s="172"/>
      <c r="G62" s="172"/>
      <c r="H62" s="173"/>
      <c r="I62" s="408"/>
      <c r="J62" s="171"/>
      <c r="K62" s="172"/>
      <c r="L62" s="172"/>
      <c r="M62" s="173"/>
      <c r="N62" s="408"/>
      <c r="O62" s="171"/>
      <c r="P62" s="172"/>
      <c r="Q62" s="172"/>
      <c r="R62" s="173"/>
      <c r="S62" s="408"/>
      <c r="T62" s="171"/>
      <c r="U62" s="172"/>
      <c r="V62" s="172"/>
      <c r="W62" s="173"/>
      <c r="X62" s="408"/>
      <c r="Y62" s="171"/>
      <c r="Z62" s="172"/>
      <c r="AA62" s="172"/>
      <c r="AB62" s="173"/>
      <c r="AC62" s="408"/>
      <c r="AD62" s="171"/>
      <c r="AE62" s="172"/>
      <c r="AF62" s="172"/>
      <c r="AG62" s="173"/>
      <c r="AH62" s="408"/>
      <c r="AI62" s="171"/>
      <c r="AJ62" s="172"/>
      <c r="AK62" s="172"/>
      <c r="AL62" s="173"/>
      <c r="AM62" s="408"/>
      <c r="AN62" s="171"/>
      <c r="AO62" s="172"/>
      <c r="AP62" s="172"/>
      <c r="AQ62" s="173"/>
      <c r="AR62" s="408"/>
      <c r="AS62" s="171"/>
      <c r="AT62" s="172"/>
      <c r="AU62" s="172"/>
      <c r="AV62" s="173"/>
      <c r="AW62" s="408"/>
      <c r="AX62" s="171"/>
      <c r="AY62" s="172"/>
      <c r="AZ62" s="172"/>
      <c r="BA62" s="173"/>
      <c r="BB62" s="408"/>
      <c r="BC62" s="171"/>
      <c r="BD62" s="172"/>
      <c r="BE62" s="172"/>
      <c r="BF62" s="173"/>
      <c r="BG62" s="408"/>
      <c r="BH62" s="171"/>
      <c r="BI62" s="172"/>
      <c r="BJ62" s="172"/>
      <c r="BK62" s="173"/>
      <c r="BL62" s="408"/>
      <c r="BM62" s="171"/>
      <c r="BN62" s="172"/>
      <c r="BO62" s="172"/>
      <c r="BP62" s="173"/>
      <c r="BQ62" s="408"/>
      <c r="BR62" s="408"/>
      <c r="BS62" s="1503"/>
      <c r="BT62" s="1503"/>
      <c r="BU62" s="1503"/>
      <c r="BV62" s="1503"/>
    </row>
    <row r="63" spans="1:75">
      <c r="A63" s="108"/>
      <c r="B63" s="70" t="s">
        <v>510</v>
      </c>
      <c r="C63" s="1126"/>
      <c r="D63" s="92"/>
      <c r="E63" s="139"/>
      <c r="F63" s="18"/>
      <c r="G63" s="18"/>
      <c r="H63" s="140"/>
      <c r="I63" s="27"/>
      <c r="J63" s="139"/>
      <c r="K63" s="18"/>
      <c r="L63" s="18"/>
      <c r="M63" s="140"/>
      <c r="N63" s="27"/>
      <c r="O63" s="139"/>
      <c r="P63" s="18"/>
      <c r="Q63" s="18"/>
      <c r="R63" s="140"/>
      <c r="S63" s="27"/>
      <c r="T63" s="139"/>
      <c r="U63" s="18"/>
      <c r="V63" s="18"/>
      <c r="W63" s="140"/>
      <c r="X63" s="27"/>
      <c r="Y63" s="139"/>
      <c r="Z63" s="18"/>
      <c r="AA63" s="18"/>
      <c r="AB63" s="140"/>
      <c r="AC63" s="27"/>
      <c r="AD63" s="139"/>
      <c r="AE63" s="18"/>
      <c r="AF63" s="18"/>
      <c r="AG63" s="140"/>
      <c r="AH63" s="27"/>
      <c r="AI63" s="139"/>
      <c r="AJ63" s="18"/>
      <c r="AK63" s="18"/>
      <c r="AL63" s="140"/>
      <c r="AM63" s="27"/>
      <c r="AN63" s="139"/>
      <c r="AO63" s="18"/>
      <c r="AP63" s="18"/>
      <c r="AQ63" s="140"/>
      <c r="AR63" s="27"/>
      <c r="AS63" s="139"/>
      <c r="AT63" s="18"/>
      <c r="AU63" s="18"/>
      <c r="AV63" s="140"/>
      <c r="AW63" s="27"/>
      <c r="AX63" s="139"/>
      <c r="AY63" s="18"/>
      <c r="AZ63" s="18"/>
      <c r="BA63" s="140"/>
      <c r="BB63" s="27"/>
      <c r="BC63" s="139"/>
      <c r="BD63" s="18"/>
      <c r="BE63" s="18"/>
      <c r="BF63" s="140"/>
      <c r="BG63" s="27"/>
      <c r="BH63" s="139"/>
      <c r="BI63" s="18"/>
      <c r="BJ63" s="18"/>
      <c r="BK63" s="140"/>
      <c r="BL63" s="27"/>
      <c r="BM63" s="139"/>
      <c r="BN63" s="18"/>
      <c r="BO63" s="18"/>
      <c r="BP63" s="140"/>
      <c r="BQ63" s="27"/>
      <c r="BR63" s="27"/>
      <c r="BS63" s="1518"/>
      <c r="BT63" s="1519"/>
      <c r="BU63" s="1520"/>
    </row>
    <row r="64" spans="1:75">
      <c r="A64" s="108"/>
      <c r="B64" s="5"/>
      <c r="C64" s="1136"/>
      <c r="D64" s="231"/>
      <c r="E64" s="417"/>
      <c r="F64" s="418"/>
      <c r="G64" s="418"/>
      <c r="H64" s="419"/>
      <c r="I64" s="231"/>
      <c r="J64" s="417"/>
      <c r="K64" s="418"/>
      <c r="L64" s="418"/>
      <c r="M64" s="419"/>
      <c r="N64" s="231"/>
      <c r="O64" s="417"/>
      <c r="P64" s="418"/>
      <c r="Q64" s="418"/>
      <c r="R64" s="419"/>
      <c r="S64" s="231"/>
      <c r="T64" s="417"/>
      <c r="U64" s="418"/>
      <c r="V64" s="418"/>
      <c r="W64" s="419"/>
      <c r="X64" s="231"/>
      <c r="Y64" s="417"/>
      <c r="Z64" s="418"/>
      <c r="AA64" s="418"/>
      <c r="AB64" s="419"/>
      <c r="AC64" s="231"/>
      <c r="AD64" s="417"/>
      <c r="AE64" s="418"/>
      <c r="AF64" s="418"/>
      <c r="AG64" s="419"/>
      <c r="AH64" s="231"/>
      <c r="AI64" s="417"/>
      <c r="AJ64" s="418"/>
      <c r="AK64" s="418"/>
      <c r="AL64" s="419"/>
      <c r="AM64" s="231"/>
      <c r="AN64" s="417"/>
      <c r="AO64" s="418"/>
      <c r="AP64" s="418"/>
      <c r="AQ64" s="419"/>
      <c r="AR64" s="231"/>
      <c r="AS64" s="417"/>
      <c r="AT64" s="418"/>
      <c r="AU64" s="418"/>
      <c r="AV64" s="419"/>
      <c r="AW64" s="231"/>
      <c r="AX64" s="417"/>
      <c r="AY64" s="418"/>
      <c r="AZ64" s="418"/>
      <c r="BA64" s="419"/>
      <c r="BB64" s="231"/>
      <c r="BC64" s="417"/>
      <c r="BD64" s="418"/>
      <c r="BE64" s="418"/>
      <c r="BF64" s="419"/>
      <c r="BG64" s="231"/>
      <c r="BH64" s="417"/>
      <c r="BI64" s="418"/>
      <c r="BJ64" s="418"/>
      <c r="BK64" s="419"/>
      <c r="BL64" s="231"/>
      <c r="BM64" s="417"/>
      <c r="BN64" s="418"/>
      <c r="BO64" s="418"/>
      <c r="BP64" s="419"/>
      <c r="BQ64" s="865"/>
      <c r="BR64" s="5"/>
      <c r="BS64" s="1518"/>
      <c r="BT64" s="1519"/>
      <c r="BU64" s="1520"/>
    </row>
    <row r="65" spans="1:75">
      <c r="A65" s="108"/>
      <c r="B65" s="5"/>
      <c r="C65" s="1137" t="s">
        <v>511</v>
      </c>
      <c r="D65" s="5"/>
      <c r="E65" s="146"/>
      <c r="F65" s="7"/>
      <c r="G65" s="7"/>
      <c r="H65" s="147"/>
      <c r="I65" s="5"/>
      <c r="J65" s="146"/>
      <c r="K65" s="7"/>
      <c r="L65" s="7"/>
      <c r="M65" s="147"/>
      <c r="N65" s="128"/>
      <c r="O65" s="866"/>
      <c r="P65" s="867"/>
      <c r="Q65" s="867"/>
      <c r="R65" s="868"/>
      <c r="S65" s="5"/>
      <c r="T65" s="869">
        <f>'Market Prices'!O8+T67</f>
        <v>2.4596984126984123</v>
      </c>
      <c r="U65" s="870">
        <f>'Market Prices'!P8+U67</f>
        <v>2.2776984126984123</v>
      </c>
      <c r="V65" s="870">
        <f>'Market Prices'!Q8+V67</f>
        <v>2.8780317460317462</v>
      </c>
      <c r="W65" s="871">
        <f>'Market Prices'!R8+W67</f>
        <v>3.3929375000000004</v>
      </c>
      <c r="X65" s="872">
        <f>AVERAGE(T65:W65)</f>
        <v>2.752091517857143</v>
      </c>
      <c r="Y65" s="869">
        <f>'Market Prices'!S8+Y67</f>
        <v>3.4791000000000003</v>
      </c>
      <c r="Z65" s="870">
        <f>'Market Prices'!T8+Z67</f>
        <v>4.0243281250000011</v>
      </c>
      <c r="AA65" s="870">
        <f>'Market Prices'!U8+AA67</f>
        <v>3.5578281250000003</v>
      </c>
      <c r="AB65" s="871">
        <f>'Market Prices'!V8+AB67</f>
        <v>3.8364218749999996</v>
      </c>
      <c r="AC65" s="872">
        <f>AVERAGE(Y65:AB65)</f>
        <v>3.7244195312500001</v>
      </c>
      <c r="AD65" s="869">
        <f>'Market Prices'!W8+AD67</f>
        <v>5.1762950819672131</v>
      </c>
      <c r="AE65" s="870">
        <f>'Market Prices'!X8+AE67</f>
        <v>4.6069687499999992</v>
      </c>
      <c r="AF65" s="870">
        <f>'Market Prices'!Y8+AF67</f>
        <v>3.9690625000000006</v>
      </c>
      <c r="AG65" s="871">
        <f>'Market Prices'!Z8+AG67</f>
        <v>3.7758906249999988</v>
      </c>
      <c r="AH65" s="872">
        <f>AVERAGE(AD65:AG65)</f>
        <v>4.3820542392418025</v>
      </c>
      <c r="AI65" s="869">
        <f>'Market Prices'!AA8+AI67</f>
        <v>2.8932580645161292</v>
      </c>
      <c r="AJ65" s="870">
        <f>'Market Prices'!AB8+AJ67</f>
        <v>2.7407301587301576</v>
      </c>
      <c r="AK65" s="870">
        <f>'Market Prices'!AC8+AK67</f>
        <v>2.7644218749999996</v>
      </c>
      <c r="AL65" s="871">
        <f>'Market Prices'!AD8+AL67</f>
        <v>2.1331111111111114</v>
      </c>
      <c r="AM65" s="872">
        <f>AVERAGE(AI65:AL65)</f>
        <v>2.6328803023393492</v>
      </c>
      <c r="AN65" s="869">
        <f>'Market Prices'!AF8+AN67</f>
        <v>2.135984375</v>
      </c>
      <c r="AO65" s="870">
        <f>'Market Prices'!AF8+AO67</f>
        <v>2.135984375</v>
      </c>
      <c r="AP65" s="870">
        <f>'Market Prices'!AH8+AP67</f>
        <v>3.0312419354838709</v>
      </c>
      <c r="AQ65" s="871">
        <f>'Market Prices'!AH8+AQ67</f>
        <v>3.0312419354838709</v>
      </c>
      <c r="AR65" s="872">
        <f>AVERAGE(AN65:AQ65)</f>
        <v>2.5836131552419355</v>
      </c>
      <c r="AS65" s="869">
        <f>'Market Prices'!AI8+AS67</f>
        <v>3.0098387096774188</v>
      </c>
      <c r="AT65" s="870">
        <f>'Market Prices'!AJ8+AT67</f>
        <v>3.076171875</v>
      </c>
      <c r="AU65" s="870">
        <f>'Market Prices'!AK8+AU67</f>
        <v>2.9540158730158725</v>
      </c>
      <c r="AV65" s="871">
        <f>'Market Prices'!AL8+AV67</f>
        <v>2.8899677419354837</v>
      </c>
      <c r="AW65" s="872">
        <f>AVERAGE(AS65:AV65)</f>
        <v>2.9824985499071941</v>
      </c>
      <c r="AX65" s="869">
        <f>'Market Prices'!AM8+AX67</f>
        <v>3.1108032786885249</v>
      </c>
      <c r="AY65" s="870">
        <f>'Market Prices'!AN8+AY67</f>
        <v>2.6796666666666664</v>
      </c>
      <c r="AZ65" s="870">
        <f>'Market Prices'!AO8+AZ67</f>
        <v>2.8149999999999999</v>
      </c>
      <c r="BA65" s="871">
        <f>'Market Prices'!AP8+BA67</f>
        <v>2.9016666666666668</v>
      </c>
      <c r="BB65" s="872">
        <f>AVERAGE(AX65:BA65)</f>
        <v>2.8767841530054645</v>
      </c>
      <c r="BC65" s="869">
        <f>'Market Prices'!AQ8</f>
        <v>2.9026943643004919</v>
      </c>
      <c r="BD65" s="870">
        <f>'Market Prices'!AR8</f>
        <v>2.5441789597993276</v>
      </c>
      <c r="BE65" s="870">
        <f>'Market Prices'!AS8</f>
        <v>2.5777897789713125</v>
      </c>
      <c r="BF65" s="871">
        <f>'Market Prices'!AT8</f>
        <v>3.0133368969288674</v>
      </c>
      <c r="BG65" s="872">
        <f>AVERAGE(BC65:BF65)</f>
        <v>2.7594999999999996</v>
      </c>
      <c r="BH65" s="869">
        <f>'Market Prices'!AU8</f>
        <v>2.9460848852381236</v>
      </c>
      <c r="BI65" s="870">
        <f>'Market Prices'!AV8</f>
        <v>2.5822102633295767</v>
      </c>
      <c r="BJ65" s="870">
        <f>'Market Prices'!AW8</f>
        <v>2.6163235091335033</v>
      </c>
      <c r="BK65" s="871">
        <f>'Market Prices'!AX8</f>
        <v>3.0583813422987949</v>
      </c>
      <c r="BL65" s="872">
        <f>AVERAGE(BH65:BK65)</f>
        <v>2.8007499999999994</v>
      </c>
      <c r="BM65" s="869">
        <f>+BN65</f>
        <v>2.7763125</v>
      </c>
      <c r="BN65" s="870">
        <f>+BO65</f>
        <v>2.7763125</v>
      </c>
      <c r="BO65" s="870">
        <f>+BP65</f>
        <v>2.7763125</v>
      </c>
      <c r="BP65" s="871">
        <f>+BQ65</f>
        <v>2.7763125</v>
      </c>
      <c r="BQ65" s="1405">
        <f>($BU$66-$BU$65)*75%+$BU$65</f>
        <v>2.7763125</v>
      </c>
      <c r="BR65" s="1498"/>
      <c r="BS65" s="1548" t="s">
        <v>993</v>
      </c>
      <c r="BT65" s="1547"/>
      <c r="BU65" s="1550">
        <f>'Market Prices'!BP8</f>
        <v>2.8552499999999994</v>
      </c>
    </row>
    <row r="66" spans="1:75">
      <c r="A66" s="108"/>
      <c r="B66" s="5"/>
      <c r="C66" s="1138"/>
      <c r="D66" s="31"/>
      <c r="E66" s="146"/>
      <c r="F66" s="7"/>
      <c r="G66" s="7"/>
      <c r="H66" s="147"/>
      <c r="I66" s="5"/>
      <c r="J66" s="146"/>
      <c r="K66" s="7"/>
      <c r="L66" s="7"/>
      <c r="M66" s="147"/>
      <c r="N66" s="26"/>
      <c r="O66" s="146"/>
      <c r="P66" s="7"/>
      <c r="Q66" s="7"/>
      <c r="R66" s="147"/>
      <c r="S66" s="5"/>
      <c r="T66" s="146"/>
      <c r="U66" s="7"/>
      <c r="V66" s="7"/>
      <c r="W66" s="147"/>
      <c r="X66" s="5"/>
      <c r="Y66" s="146"/>
      <c r="Z66" s="7"/>
      <c r="AA66" s="7"/>
      <c r="AB66" s="147"/>
      <c r="AC66" s="5"/>
      <c r="AD66" s="146"/>
      <c r="AE66" s="7"/>
      <c r="AF66" s="7"/>
      <c r="AG66" s="147"/>
      <c r="AH66" s="5"/>
      <c r="AI66" s="146"/>
      <c r="AJ66" s="7"/>
      <c r="AK66" s="7"/>
      <c r="AL66" s="147"/>
      <c r="AM66" s="5"/>
      <c r="AN66" s="146"/>
      <c r="AO66" s="7"/>
      <c r="AP66" s="7"/>
      <c r="AQ66" s="147"/>
      <c r="AR66" s="5"/>
      <c r="AS66" s="146"/>
      <c r="AT66" s="7"/>
      <c r="AU66" s="7"/>
      <c r="AV66" s="147"/>
      <c r="AW66" s="5"/>
      <c r="AX66" s="146"/>
      <c r="AY66" s="7"/>
      <c r="AZ66" s="7"/>
      <c r="BA66" s="147"/>
      <c r="BB66" s="5"/>
      <c r="BC66" s="146"/>
      <c r="BD66" s="7"/>
      <c r="BE66" s="7"/>
      <c r="BF66" s="147"/>
      <c r="BG66" s="5"/>
      <c r="BH66" s="146"/>
      <c r="BI66" s="7"/>
      <c r="BJ66" s="7"/>
      <c r="BK66" s="147"/>
      <c r="BL66" s="5"/>
      <c r="BM66" s="146"/>
      <c r="BN66" s="7"/>
      <c r="BO66" s="7"/>
      <c r="BP66" s="147"/>
      <c r="BQ66" s="873"/>
      <c r="BR66" s="5"/>
      <c r="BS66" s="1549" t="s">
        <v>742</v>
      </c>
      <c r="BT66" s="1505"/>
      <c r="BU66" s="1551">
        <f>Valuation!CG36</f>
        <v>2.75</v>
      </c>
    </row>
    <row r="67" spans="1:75">
      <c r="A67" s="108"/>
      <c r="B67" s="5"/>
      <c r="C67" s="1139" t="s">
        <v>512</v>
      </c>
      <c r="D67" s="31"/>
      <c r="E67" s="146"/>
      <c r="F67" s="7"/>
      <c r="G67" s="7"/>
      <c r="H67" s="147"/>
      <c r="I67" s="5"/>
      <c r="J67" s="146"/>
      <c r="K67" s="7"/>
      <c r="L67" s="7"/>
      <c r="M67" s="147"/>
      <c r="N67" s="874"/>
      <c r="O67" s="875"/>
      <c r="P67" s="876"/>
      <c r="Q67" s="876"/>
      <c r="R67" s="877"/>
      <c r="S67" s="874"/>
      <c r="T67" s="875">
        <f>X67</f>
        <v>0</v>
      </c>
      <c r="U67" s="876">
        <f>Y67</f>
        <v>0</v>
      </c>
      <c r="V67" s="876">
        <f>U67</f>
        <v>0</v>
      </c>
      <c r="W67" s="877">
        <f>V67</f>
        <v>0</v>
      </c>
      <c r="X67" s="872">
        <f>Valuation!X28</f>
        <v>0</v>
      </c>
      <c r="Y67" s="878">
        <f>AC67</f>
        <v>0</v>
      </c>
      <c r="Z67" s="879">
        <f t="shared" ref="Z67:AB68" si="192">Y67</f>
        <v>0</v>
      </c>
      <c r="AA67" s="879">
        <f>Z67</f>
        <v>0</v>
      </c>
      <c r="AB67" s="880">
        <f t="shared" si="192"/>
        <v>0</v>
      </c>
      <c r="AC67" s="872">
        <f>Valuation!AC28</f>
        <v>0</v>
      </c>
      <c r="AD67" s="878">
        <f>AH67</f>
        <v>0</v>
      </c>
      <c r="AE67" s="879">
        <f t="shared" ref="AE67:AG68" si="193">AD67</f>
        <v>0</v>
      </c>
      <c r="AF67" s="879">
        <f t="shared" si="193"/>
        <v>0</v>
      </c>
      <c r="AG67" s="880">
        <f t="shared" si="193"/>
        <v>0</v>
      </c>
      <c r="AH67" s="872">
        <f>Valuation!AH28</f>
        <v>0</v>
      </c>
      <c r="AI67" s="878">
        <f>AM67</f>
        <v>0</v>
      </c>
      <c r="AJ67" s="879">
        <f t="shared" ref="AJ67:AL68" si="194">AI67</f>
        <v>0</v>
      </c>
      <c r="AK67" s="879">
        <f t="shared" si="194"/>
        <v>0</v>
      </c>
      <c r="AL67" s="880">
        <f t="shared" si="194"/>
        <v>0</v>
      </c>
      <c r="AM67" s="872">
        <f>Valuation!AM28</f>
        <v>0</v>
      </c>
      <c r="AN67" s="878">
        <f>AR67</f>
        <v>0</v>
      </c>
      <c r="AO67" s="879">
        <f>AN67</f>
        <v>0</v>
      </c>
      <c r="AP67" s="879">
        <f t="shared" ref="AP67:AP68" si="195">AO67</f>
        <v>0</v>
      </c>
      <c r="AQ67" s="880">
        <f>AP67</f>
        <v>0</v>
      </c>
      <c r="AR67" s="403">
        <f>Valuation!AR28</f>
        <v>0</v>
      </c>
      <c r="AS67" s="878">
        <f>AW67</f>
        <v>0</v>
      </c>
      <c r="AT67" s="879">
        <f>AS67</f>
        <v>0</v>
      </c>
      <c r="AU67" s="879">
        <f t="shared" ref="AU67" si="196">AT67</f>
        <v>0</v>
      </c>
      <c r="AV67" s="880">
        <f>AU67</f>
        <v>0</v>
      </c>
      <c r="AW67" s="403">
        <f>Valuation!AW28</f>
        <v>0</v>
      </c>
      <c r="AX67" s="878">
        <f>BB67</f>
        <v>0</v>
      </c>
      <c r="AY67" s="879">
        <f>AX67</f>
        <v>0</v>
      </c>
      <c r="AZ67" s="879">
        <f>AY67</f>
        <v>0</v>
      </c>
      <c r="BA67" s="880">
        <f>AZ67</f>
        <v>0</v>
      </c>
      <c r="BB67" s="358">
        <f>Valuation!AW28</f>
        <v>0</v>
      </c>
      <c r="BC67" s="878">
        <f>BG67</f>
        <v>0</v>
      </c>
      <c r="BD67" s="879">
        <f>BC67</f>
        <v>0</v>
      </c>
      <c r="BE67" s="879">
        <f>BD67</f>
        <v>0</v>
      </c>
      <c r="BF67" s="880">
        <f>BE67</f>
        <v>0</v>
      </c>
      <c r="BG67" s="1682">
        <v>0</v>
      </c>
      <c r="BH67" s="878">
        <f>BL67</f>
        <v>0</v>
      </c>
      <c r="BI67" s="879">
        <f>BH67</f>
        <v>0</v>
      </c>
      <c r="BJ67" s="879">
        <f>BI67</f>
        <v>0</v>
      </c>
      <c r="BK67" s="880">
        <f>BJ67</f>
        <v>0</v>
      </c>
      <c r="BL67" s="1682">
        <v>0</v>
      </c>
      <c r="BM67" s="878">
        <f>BQ67</f>
        <v>0</v>
      </c>
      <c r="BN67" s="879">
        <f>BM67</f>
        <v>0</v>
      </c>
      <c r="BO67" s="879">
        <f>BN67</f>
        <v>0</v>
      </c>
      <c r="BP67" s="880">
        <f>BO67</f>
        <v>0</v>
      </c>
      <c r="BQ67" s="1590">
        <v>0</v>
      </c>
      <c r="BR67" s="403"/>
      <c r="BS67" s="1518"/>
      <c r="BT67" s="1519"/>
      <c r="BU67" s="1520"/>
      <c r="BV67" s="1494"/>
      <c r="BW67" s="1520"/>
    </row>
    <row r="68" spans="1:75">
      <c r="A68" s="108"/>
      <c r="B68" s="5"/>
      <c r="C68" s="1139" t="s">
        <v>513</v>
      </c>
      <c r="D68" s="494"/>
      <c r="E68" s="146"/>
      <c r="F68" s="7"/>
      <c r="G68" s="7"/>
      <c r="H68" s="147"/>
      <c r="I68" s="5"/>
      <c r="J68" s="146"/>
      <c r="K68" s="7"/>
      <c r="L68" s="7"/>
      <c r="M68" s="147"/>
      <c r="N68" s="26"/>
      <c r="O68" s="146"/>
      <c r="P68" s="7"/>
      <c r="Q68" s="7"/>
      <c r="R68" s="147"/>
      <c r="S68" s="5"/>
      <c r="T68" s="881">
        <f>+X68</f>
        <v>0</v>
      </c>
      <c r="U68" s="882">
        <f>+Y68</f>
        <v>0</v>
      </c>
      <c r="V68" s="882">
        <f>+U68</f>
        <v>0</v>
      </c>
      <c r="W68" s="883">
        <f>+V68</f>
        <v>0</v>
      </c>
      <c r="X68" s="872">
        <f>Valuation!X29</f>
        <v>0</v>
      </c>
      <c r="Y68" s="878">
        <f>AC68</f>
        <v>0</v>
      </c>
      <c r="Z68" s="879">
        <f t="shared" si="192"/>
        <v>0</v>
      </c>
      <c r="AA68" s="879">
        <f>Z68</f>
        <v>0</v>
      </c>
      <c r="AB68" s="880">
        <f t="shared" si="192"/>
        <v>0</v>
      </c>
      <c r="AC68" s="872">
        <f>Valuation!AC29</f>
        <v>0</v>
      </c>
      <c r="AD68" s="878">
        <f>AH68</f>
        <v>0</v>
      </c>
      <c r="AE68" s="879">
        <f t="shared" si="193"/>
        <v>0</v>
      </c>
      <c r="AF68" s="879">
        <f t="shared" si="193"/>
        <v>0</v>
      </c>
      <c r="AG68" s="880">
        <f t="shared" si="193"/>
        <v>0</v>
      </c>
      <c r="AH68" s="872">
        <f>Valuation!AH29</f>
        <v>0</v>
      </c>
      <c r="AI68" s="878">
        <f>AM68</f>
        <v>0</v>
      </c>
      <c r="AJ68" s="879">
        <f t="shared" si="194"/>
        <v>0</v>
      </c>
      <c r="AK68" s="879">
        <f t="shared" si="194"/>
        <v>0</v>
      </c>
      <c r="AL68" s="880">
        <f t="shared" si="194"/>
        <v>0</v>
      </c>
      <c r="AM68" s="872">
        <f>Valuation!AM29</f>
        <v>0</v>
      </c>
      <c r="AN68" s="878">
        <f>AR68</f>
        <v>0</v>
      </c>
      <c r="AO68" s="879">
        <f>+AN68</f>
        <v>0</v>
      </c>
      <c r="AP68" s="879">
        <f t="shared" si="195"/>
        <v>0</v>
      </c>
      <c r="AQ68" s="880">
        <f>+AP68</f>
        <v>0</v>
      </c>
      <c r="AR68" s="403">
        <f>Valuation!AR29</f>
        <v>0</v>
      </c>
      <c r="AS68" s="878">
        <f>+AW68</f>
        <v>0</v>
      </c>
      <c r="AT68" s="879">
        <f>+AS68</f>
        <v>0</v>
      </c>
      <c r="AU68" s="879">
        <f t="shared" ref="AU68" si="197">+AT68</f>
        <v>0</v>
      </c>
      <c r="AV68" s="880">
        <f>+AU68</f>
        <v>0</v>
      </c>
      <c r="AW68" s="403">
        <f>Valuation!AW29</f>
        <v>0</v>
      </c>
      <c r="AX68" s="878">
        <f>+BB68</f>
        <v>0</v>
      </c>
      <c r="AY68" s="879">
        <f>+AX68</f>
        <v>0</v>
      </c>
      <c r="AZ68" s="879">
        <f>+AY68</f>
        <v>0</v>
      </c>
      <c r="BA68" s="880">
        <f>+AZ68</f>
        <v>0</v>
      </c>
      <c r="BB68" s="358">
        <f>Valuation!AW29</f>
        <v>0</v>
      </c>
      <c r="BC68" s="878">
        <f>+BG68</f>
        <v>0</v>
      </c>
      <c r="BD68" s="879">
        <f>+BC68</f>
        <v>0</v>
      </c>
      <c r="BE68" s="879">
        <f>+BD68</f>
        <v>0</v>
      </c>
      <c r="BF68" s="880">
        <f>+BE68</f>
        <v>0</v>
      </c>
      <c r="BG68" s="1682">
        <v>0</v>
      </c>
      <c r="BH68" s="878">
        <f>+BL68</f>
        <v>0</v>
      </c>
      <c r="BI68" s="879">
        <f>+BH68</f>
        <v>0</v>
      </c>
      <c r="BJ68" s="879">
        <f>+BI68</f>
        <v>0</v>
      </c>
      <c r="BK68" s="880">
        <f>+BJ68</f>
        <v>0</v>
      </c>
      <c r="BL68" s="1682">
        <v>0</v>
      </c>
      <c r="BM68" s="878">
        <f>+BQ68</f>
        <v>0</v>
      </c>
      <c r="BN68" s="879">
        <f>+BM68</f>
        <v>0</v>
      </c>
      <c r="BO68" s="879">
        <f>+BN68</f>
        <v>0</v>
      </c>
      <c r="BP68" s="880">
        <f>+BO68</f>
        <v>0</v>
      </c>
      <c r="BQ68" s="1590">
        <v>0</v>
      </c>
      <c r="BR68" s="403"/>
      <c r="BS68" s="1518"/>
      <c r="BT68" s="1519"/>
      <c r="BU68" s="1937"/>
      <c r="BV68" s="1494"/>
      <c r="BW68" s="1520"/>
    </row>
    <row r="69" spans="1:75">
      <c r="A69" s="108"/>
      <c r="B69" s="5"/>
      <c r="C69" s="1138"/>
      <c r="D69" s="31"/>
      <c r="E69" s="146"/>
      <c r="F69" s="7"/>
      <c r="G69" s="7"/>
      <c r="H69" s="147"/>
      <c r="I69" s="5"/>
      <c r="J69" s="146"/>
      <c r="K69" s="7"/>
      <c r="L69" s="7"/>
      <c r="M69" s="147"/>
      <c r="N69" s="5"/>
      <c r="O69" s="146"/>
      <c r="P69" s="7"/>
      <c r="Q69" s="7"/>
      <c r="R69" s="147"/>
      <c r="S69" s="5"/>
      <c r="T69" s="146"/>
      <c r="U69" s="7"/>
      <c r="V69" s="7"/>
      <c r="W69" s="147"/>
      <c r="X69" s="5"/>
      <c r="Y69" s="146"/>
      <c r="Z69" s="7"/>
      <c r="AA69" s="7"/>
      <c r="AB69" s="147"/>
      <c r="AC69" s="5"/>
      <c r="AD69" s="146"/>
      <c r="AE69" s="7"/>
      <c r="AF69" s="7"/>
      <c r="AG69" s="147"/>
      <c r="AH69" s="5"/>
      <c r="AI69" s="146"/>
      <c r="AJ69" s="7"/>
      <c r="AK69" s="7"/>
      <c r="AL69" s="147"/>
      <c r="AM69" s="5"/>
      <c r="AN69" s="146"/>
      <c r="AO69" s="7"/>
      <c r="AP69" s="7"/>
      <c r="AQ69" s="147"/>
      <c r="AR69" s="5"/>
      <c r="AS69" s="146"/>
      <c r="AT69" s="7"/>
      <c r="AU69" s="7"/>
      <c r="AV69" s="147"/>
      <c r="AW69" s="5"/>
      <c r="AX69" s="146"/>
      <c r="AY69" s="7"/>
      <c r="AZ69" s="7"/>
      <c r="BA69" s="147"/>
      <c r="BB69" s="403"/>
      <c r="BC69" s="146"/>
      <c r="BD69" s="7"/>
      <c r="BE69" s="7"/>
      <c r="BF69" s="147"/>
      <c r="BG69" s="403"/>
      <c r="BH69" s="146"/>
      <c r="BI69" s="7"/>
      <c r="BJ69" s="7"/>
      <c r="BK69" s="147"/>
      <c r="BL69" s="403"/>
      <c r="BM69" s="146"/>
      <c r="BN69" s="7"/>
      <c r="BO69" s="7"/>
      <c r="BP69" s="147"/>
      <c r="BQ69" s="884"/>
      <c r="BR69" s="5"/>
      <c r="BS69" s="1518"/>
      <c r="BT69" s="1519"/>
      <c r="BU69" s="1520"/>
      <c r="BV69" s="1494"/>
      <c r="BW69" s="1520"/>
    </row>
    <row r="70" spans="1:75">
      <c r="A70" s="108"/>
      <c r="B70" s="5"/>
      <c r="C70" s="1140" t="s">
        <v>514</v>
      </c>
      <c r="D70" s="31"/>
      <c r="E70" s="146"/>
      <c r="F70" s="7"/>
      <c r="G70" s="7"/>
      <c r="H70" s="147"/>
      <c r="I70" s="5"/>
      <c r="J70" s="146"/>
      <c r="K70" s="7"/>
      <c r="L70" s="7"/>
      <c r="M70" s="147"/>
      <c r="N70" s="26"/>
      <c r="O70" s="146"/>
      <c r="P70" s="7"/>
      <c r="Q70" s="7"/>
      <c r="R70" s="147"/>
      <c r="S70" s="5"/>
      <c r="T70" s="146"/>
      <c r="U70" s="7"/>
      <c r="V70" s="7"/>
      <c r="W70" s="147"/>
      <c r="X70" s="5"/>
      <c r="Y70" s="146"/>
      <c r="Z70" s="7"/>
      <c r="AA70" s="7"/>
      <c r="AB70" s="147"/>
      <c r="AC70" s="5"/>
      <c r="AD70" s="146"/>
      <c r="AE70" s="7"/>
      <c r="AF70" s="7"/>
      <c r="AG70" s="147"/>
      <c r="AH70" s="5"/>
      <c r="AI70" s="146"/>
      <c r="AJ70" s="7"/>
      <c r="AK70" s="7"/>
      <c r="AL70" s="147"/>
      <c r="AM70" s="5"/>
      <c r="AN70" s="146"/>
      <c r="AO70" s="7"/>
      <c r="AP70" s="7"/>
      <c r="AQ70" s="147"/>
      <c r="AR70" s="5"/>
      <c r="AS70" s="146"/>
      <c r="AT70" s="7"/>
      <c r="AU70" s="7"/>
      <c r="AV70" s="147"/>
      <c r="AW70" s="5"/>
      <c r="AX70" s="146"/>
      <c r="AY70" s="7"/>
      <c r="AZ70" s="7"/>
      <c r="BA70" s="147"/>
      <c r="BB70" s="5"/>
      <c r="BC70" s="146"/>
      <c r="BD70" s="7"/>
      <c r="BE70" s="7"/>
      <c r="BF70" s="147"/>
      <c r="BG70" s="5"/>
      <c r="BH70" s="146"/>
      <c r="BI70" s="7"/>
      <c r="BJ70" s="7"/>
      <c r="BK70" s="147"/>
      <c r="BL70" s="5"/>
      <c r="BM70" s="146"/>
      <c r="BN70" s="7"/>
      <c r="BO70" s="7"/>
      <c r="BP70" s="147"/>
      <c r="BQ70" s="873"/>
      <c r="BR70" s="5"/>
      <c r="BS70" s="1518"/>
      <c r="BT70" s="1519"/>
      <c r="BU70" s="1520"/>
      <c r="BV70" s="1494"/>
      <c r="BW70" s="1520"/>
    </row>
    <row r="71" spans="1:75">
      <c r="A71" s="108"/>
      <c r="B71" s="5"/>
      <c r="C71" s="1721" t="s">
        <v>1008</v>
      </c>
      <c r="D71" s="31"/>
      <c r="E71" s="146"/>
      <c r="F71" s="7"/>
      <c r="G71" s="7"/>
      <c r="H71" s="147"/>
      <c r="I71" s="5"/>
      <c r="J71" s="146"/>
      <c r="K71" s="7"/>
      <c r="L71" s="7"/>
      <c r="M71" s="147"/>
      <c r="N71" s="26"/>
      <c r="O71" s="881"/>
      <c r="P71" s="882"/>
      <c r="Q71" s="882"/>
      <c r="R71" s="883"/>
      <c r="S71" s="403"/>
      <c r="T71" s="881">
        <f>'Market Prices'!O57</f>
        <v>0.31452380952380965</v>
      </c>
      <c r="U71" s="882">
        <f>'Market Prices'!P57</f>
        <v>0.1599206349206348</v>
      </c>
      <c r="V71" s="882">
        <f>'Market Prices'!Q57</f>
        <v>0.16882539682539655</v>
      </c>
      <c r="W71" s="883">
        <f>'Market Prices'!R57</f>
        <v>0.26892187499999887</v>
      </c>
      <c r="X71" s="403">
        <f>AVERAGE(T71:W71)</f>
        <v>0.22804792906745996</v>
      </c>
      <c r="Y71" s="881">
        <f>'Market Prices'!S57</f>
        <v>0.819599999999999</v>
      </c>
      <c r="Z71" s="882">
        <f>'Market Prices'!T57</f>
        <v>0.11882812499999851</v>
      </c>
      <c r="AA71" s="882">
        <f>'Market Prices'!U57</f>
        <v>-1.3265625000001169E-2</v>
      </c>
      <c r="AB71" s="883">
        <f>'Market Prices'!V57</f>
        <v>0.14118750000000091</v>
      </c>
      <c r="AC71" s="403">
        <f>AVERAGE(Y71:AB71)</f>
        <v>0.26658749999999931</v>
      </c>
      <c r="AD71" s="881">
        <f>'Market Prices'!W57</f>
        <v>7.5181639344262283</v>
      </c>
      <c r="AE71" s="882">
        <f>'Market Prices'!X57</f>
        <v>-0.89420312500000065</v>
      </c>
      <c r="AF71" s="882">
        <f>'Market Prices'!Y57</f>
        <v>-1.4395156250000012</v>
      </c>
      <c r="AG71" s="883">
        <f>'Market Prices'!Z57</f>
        <v>-1.017578125</v>
      </c>
      <c r="AH71" s="403">
        <f>AVERAGE(AD71:AG71)</f>
        <v>1.0417167648565566</v>
      </c>
      <c r="AI71" s="881">
        <f>'Market Prices'!AA57</f>
        <v>3.554258064516127</v>
      </c>
      <c r="AJ71" s="882">
        <f>'Market Prices'!AB57</f>
        <v>-1.1179206349206339</v>
      </c>
      <c r="AK71" s="882">
        <f>'Market Prices'!AC57</f>
        <v>-1.3916093749999998</v>
      </c>
      <c r="AL71" s="883">
        <f>'Market Prices'!AD57</f>
        <v>-0.84366666666666723</v>
      </c>
      <c r="AM71" s="403">
        <f>AVERAGE(AI71:AL71)</f>
        <v>5.0265346982206582E-2</v>
      </c>
      <c r="AN71" s="881">
        <f>'Market Prices'!AF57</f>
        <v>-0.55339062499999958</v>
      </c>
      <c r="AO71" s="882">
        <f>'Market Prices'!AF57</f>
        <v>-0.55339062499999958</v>
      </c>
      <c r="AP71" s="882">
        <f>'Market Prices'!AH57</f>
        <v>-0.79788709677419334</v>
      </c>
      <c r="AQ71" s="883">
        <f>'Market Prices'!AH57</f>
        <v>-0.79788709677419334</v>
      </c>
      <c r="AR71" s="403">
        <f>AVERAGE(AN71:AQ71)</f>
        <v>-0.67563886088709646</v>
      </c>
      <c r="AS71" s="881">
        <f>'Market Prices'!AI57</f>
        <v>-1.6838709677418517E-2</v>
      </c>
      <c r="AT71" s="882">
        <f>'Market Prices'!AJ57</f>
        <v>-0.56160937500000019</v>
      </c>
      <c r="AU71" s="882">
        <f>'Market Prices'!AK57</f>
        <v>-1.2109841269841268</v>
      </c>
      <c r="AV71" s="883">
        <f>'Market Prices'!AL57</f>
        <v>-0.13975806451612982</v>
      </c>
      <c r="AW71" s="403">
        <f>AVERAGE(AS71:AV71)</f>
        <v>-0.48229756904441884</v>
      </c>
      <c r="AX71" s="881">
        <f>'Market Prices'!AM57</f>
        <v>3.4441967213114757</v>
      </c>
      <c r="AY71" s="882">
        <f>'Market Prices'!AN57</f>
        <v>-0.46333333333333293</v>
      </c>
      <c r="AZ71" s="882">
        <f>'Market Prices'!AO57</f>
        <v>-0.59499999999999975</v>
      </c>
      <c r="BA71" s="883">
        <f>'Market Prices'!AP57</f>
        <v>-0.21666666666666679</v>
      </c>
      <c r="BB71" s="403">
        <f>AVERAGE(AX71:BA71)</f>
        <v>0.54229918032786906</v>
      </c>
      <c r="BC71" s="881">
        <f>'Market Prices'!AQ57</f>
        <v>0.74457975965344758</v>
      </c>
      <c r="BD71" s="882">
        <f>'Market Prices'!AR57</f>
        <v>-0.76430483819771866</v>
      </c>
      <c r="BE71" s="882">
        <f>'Market Prices'!AS57</f>
        <v>-0.78296558457066712</v>
      </c>
      <c r="BF71" s="883">
        <f>'Market Prices'!AT57</f>
        <v>0.8235214539149398</v>
      </c>
      <c r="BG71" s="403">
        <f>AVERAGE(BC71:BF71)</f>
        <v>5.2076977000004021E-3</v>
      </c>
      <c r="BH71" s="881">
        <f>'Market Prices'!AU57</f>
        <v>0.64485745238273218</v>
      </c>
      <c r="BI71" s="882">
        <f>'Market Prices'!AV57</f>
        <v>-0.82982612063011629</v>
      </c>
      <c r="BJ71" s="882">
        <f>'Market Prices'!AW57</f>
        <v>-0.84922019602346377</v>
      </c>
      <c r="BK71" s="883">
        <f>'Market Prices'!AX57</f>
        <v>0.71921711267084909</v>
      </c>
      <c r="BL71" s="403">
        <f>AVERAGE(BH71:BK71)</f>
        <v>-7.8742937899999699E-2</v>
      </c>
      <c r="BM71" s="881">
        <f>BN71</f>
        <v>0</v>
      </c>
      <c r="BN71" s="882">
        <f t="shared" ref="BN71:BN72" si="198">BO71</f>
        <v>0</v>
      </c>
      <c r="BO71" s="882">
        <f t="shared" ref="BO71:BO72" si="199">BP71</f>
        <v>0</v>
      </c>
      <c r="BP71" s="883">
        <f t="shared" ref="BP71:BP72" si="200">BQ71</f>
        <v>0</v>
      </c>
      <c r="BQ71" s="884">
        <f>'Market Prices'!BP54</f>
        <v>0</v>
      </c>
      <c r="BR71" s="403"/>
      <c r="BS71" s="1518"/>
      <c r="BT71" s="1519"/>
      <c r="BU71" s="1520"/>
      <c r="BV71" s="1494"/>
      <c r="BW71" s="1520"/>
    </row>
    <row r="72" spans="1:75">
      <c r="A72" s="108"/>
      <c r="B72" s="5"/>
      <c r="C72" s="1721" t="s">
        <v>926</v>
      </c>
      <c r="D72" s="31"/>
      <c r="E72" s="146"/>
      <c r="F72" s="7"/>
      <c r="G72" s="7"/>
      <c r="H72" s="147"/>
      <c r="I72" s="5"/>
      <c r="J72" s="146"/>
      <c r="K72" s="7"/>
      <c r="L72" s="7"/>
      <c r="M72" s="147"/>
      <c r="N72" s="26"/>
      <c r="O72" s="881"/>
      <c r="P72" s="882"/>
      <c r="Q72" s="882"/>
      <c r="R72" s="883"/>
      <c r="S72" s="403"/>
      <c r="T72" s="881">
        <f>'Market Prices'!O55</f>
        <v>0.80777777777777793</v>
      </c>
      <c r="U72" s="882">
        <f>'Market Prices'!P55</f>
        <v>0.20609523809523767</v>
      </c>
      <c r="V72" s="882">
        <f>'Market Prices'!Q55</f>
        <v>0.18090476190476101</v>
      </c>
      <c r="W72" s="883">
        <f>'Market Prices'!R55</f>
        <v>0.52926562499999807</v>
      </c>
      <c r="X72" s="403">
        <f>AVERAGE(T72:W72)</f>
        <v>0.43101085069444367</v>
      </c>
      <c r="Y72" s="881">
        <f>'Market Prices'!S55</f>
        <v>4.3436166666666658</v>
      </c>
      <c r="Z72" s="882">
        <f>'Market Prices'!T55</f>
        <v>0.30776562499999827</v>
      </c>
      <c r="AA72" s="882">
        <f>'Market Prices'!U55</f>
        <v>0.20923437499999897</v>
      </c>
      <c r="AB72" s="883">
        <f>'Market Prices'!V55</f>
        <v>0.48042187499999889</v>
      </c>
      <c r="AC72" s="403">
        <f>AVERAGE(Y72:AB72)</f>
        <v>1.3352596354166657</v>
      </c>
      <c r="AD72" s="881">
        <f>'Market Prices'!W55</f>
        <v>11.865918032786885</v>
      </c>
      <c r="AE72" s="882">
        <f>'Market Prices'!X55</f>
        <v>-0.87728124999999935</v>
      </c>
      <c r="AF72" s="882">
        <f>'Market Prices'!Y55</f>
        <v>-1.3732187500000017</v>
      </c>
      <c r="AG72" s="883">
        <f>'Market Prices'!Z55</f>
        <v>-0.57965624999999754</v>
      </c>
      <c r="AH72" s="403">
        <f>AVERAGE(AD72:AG72)</f>
        <v>2.2589404456967217</v>
      </c>
      <c r="AI72" s="881">
        <f>'Market Prices'!AA55</f>
        <v>6.0189193548387117</v>
      </c>
      <c r="AJ72" s="882">
        <f>'Market Prices'!AB55</f>
        <v>-0.25368253968253818</v>
      </c>
      <c r="AK72" s="882">
        <f>'Market Prices'!AC55</f>
        <v>-0.4931562499999993</v>
      </c>
      <c r="AL72" s="883">
        <f>'Market Prices'!AD55</f>
        <v>-0.2235238095238099</v>
      </c>
      <c r="AM72" s="403">
        <f>AVERAGE(AI72:AL72)</f>
        <v>1.2621391889080911</v>
      </c>
      <c r="AN72" s="881">
        <f>'Market Prices'!AF55</f>
        <v>-0.43893749999999998</v>
      </c>
      <c r="AO72" s="882">
        <f>'Market Prices'!AF55</f>
        <v>-0.43893749999999998</v>
      </c>
      <c r="AP72" s="882">
        <f>'Market Prices'!AH55</f>
        <v>-0.3514999999999997</v>
      </c>
      <c r="AQ72" s="883">
        <f>'Market Prices'!AH55</f>
        <v>-0.3514999999999997</v>
      </c>
      <c r="AR72" s="403">
        <f>AVERAGE(AN72:AQ72)</f>
        <v>-0.39521874999999984</v>
      </c>
      <c r="AS72" s="881">
        <f>'Market Prices'!AI55</f>
        <v>0.30054838709677556</v>
      </c>
      <c r="AT72" s="882">
        <f>'Market Prices'!AJ55</f>
        <v>-0.38845312499999896</v>
      </c>
      <c r="AU72" s="882">
        <f>'Market Prices'!AK55</f>
        <v>-0.54298412698412557</v>
      </c>
      <c r="AV72" s="883">
        <f>'Market Prices'!AL55</f>
        <v>0.63106451612903358</v>
      </c>
      <c r="AW72" s="403">
        <f>AVERAGE(AS72:AV72)</f>
        <v>4.3912810421153914E-5</v>
      </c>
      <c r="AX72" s="881">
        <f>'Market Prices'!AM55</f>
        <v>4.698950819672131</v>
      </c>
      <c r="AY72" s="882">
        <f>'Market Prices'!AN55</f>
        <v>-0.19166666666666643</v>
      </c>
      <c r="AZ72" s="882">
        <f>'Market Prices'!AO55</f>
        <v>-0.30999999999999961</v>
      </c>
      <c r="BA72" s="883">
        <f>'Market Prices'!AP55</f>
        <v>0.25666666666666638</v>
      </c>
      <c r="BB72" s="403">
        <f>AVERAGE(AX72:BA72)</f>
        <v>1.113487704918033</v>
      </c>
      <c r="BC72" s="881">
        <f>'Market Prices'!AQ55</f>
        <v>1.637734667576852</v>
      </c>
      <c r="BD72" s="882">
        <f>'Market Prices'!AR55</f>
        <v>-0.69677150590554215</v>
      </c>
      <c r="BE72" s="882">
        <f>'Market Prices'!AS55</f>
        <v>-0.82532002718121711</v>
      </c>
      <c r="BF72" s="883">
        <f>'Market Prices'!AT55</f>
        <v>1.5445568651099078</v>
      </c>
      <c r="BG72" s="403">
        <f>AVERAGE(BC72:BF72)</f>
        <v>0.41504999990000013</v>
      </c>
      <c r="BH72" s="881">
        <f>'Market Prices'!AU55</f>
        <v>1.6691288195742207</v>
      </c>
      <c r="BI72" s="882">
        <f>'Market Prices'!AV55</f>
        <v>-0.704374459769459</v>
      </c>
      <c r="BJ72" s="882">
        <f>'Market Prices'!AW55</f>
        <v>-0.83498911122825525</v>
      </c>
      <c r="BK72" s="883">
        <f>'Market Prices'!AX55</f>
        <v>1.5745847514234943</v>
      </c>
      <c r="BL72" s="403">
        <f>AVERAGE(BH72:BK72)</f>
        <v>0.42608750000000017</v>
      </c>
      <c r="BM72" s="881">
        <f t="shared" ref="BM72" si="201">BN72</f>
        <v>0</v>
      </c>
      <c r="BN72" s="882">
        <f t="shared" si="198"/>
        <v>0</v>
      </c>
      <c r="BO72" s="882">
        <f t="shared" si="199"/>
        <v>0</v>
      </c>
      <c r="BP72" s="883">
        <f t="shared" si="200"/>
        <v>0</v>
      </c>
      <c r="BQ72" s="884">
        <f>'Market Prices'!BP55</f>
        <v>0</v>
      </c>
      <c r="BR72" s="403"/>
      <c r="BS72" s="1518"/>
      <c r="BT72" s="1519"/>
      <c r="BU72" s="1520"/>
      <c r="BV72" s="1494"/>
      <c r="BW72" s="1520"/>
    </row>
    <row r="73" spans="1:75">
      <c r="A73" s="108"/>
      <c r="B73" s="5"/>
      <c r="C73" s="1721" t="s">
        <v>925</v>
      </c>
      <c r="D73" s="31"/>
      <c r="E73" s="146"/>
      <c r="F73" s="7"/>
      <c r="G73" s="7"/>
      <c r="H73" s="147"/>
      <c r="I73" s="5"/>
      <c r="J73" s="146"/>
      <c r="K73" s="7"/>
      <c r="L73" s="7"/>
      <c r="M73" s="147"/>
      <c r="N73" s="26"/>
      <c r="O73" s="881"/>
      <c r="P73" s="882"/>
      <c r="Q73" s="882"/>
      <c r="R73" s="883"/>
      <c r="S73" s="403"/>
      <c r="T73" s="881">
        <f>'Market Prices'!O53</f>
        <v>0.80777777777777793</v>
      </c>
      <c r="U73" s="882">
        <f>'Market Prices'!P53</f>
        <v>0.20609523809523767</v>
      </c>
      <c r="V73" s="882">
        <f>'Market Prices'!Q53</f>
        <v>0.18090476190476101</v>
      </c>
      <c r="W73" s="883">
        <f>'Market Prices'!R53</f>
        <v>0.52926562499999807</v>
      </c>
      <c r="X73" s="403">
        <f>AVERAGE(T73:W73)</f>
        <v>0.43101085069444367</v>
      </c>
      <c r="Y73" s="881">
        <f>'Market Prices'!S53</f>
        <v>4.3436166666666658</v>
      </c>
      <c r="Z73" s="882">
        <f>'Market Prices'!T53</f>
        <v>0.30776562499999827</v>
      </c>
      <c r="AA73" s="882">
        <f>'Market Prices'!U53</f>
        <v>0.20923437499999897</v>
      </c>
      <c r="AB73" s="883">
        <f>'Market Prices'!V53</f>
        <v>0.48042187499999889</v>
      </c>
      <c r="AC73" s="403">
        <f>AVERAGE(Y73:AB73)</f>
        <v>1.3352596354166657</v>
      </c>
      <c r="AD73" s="881">
        <f>'Market Prices'!W53</f>
        <v>11.865918032786885</v>
      </c>
      <c r="AE73" s="882">
        <f>'Market Prices'!X53</f>
        <v>-0.87728124999999935</v>
      </c>
      <c r="AF73" s="882">
        <f>'Market Prices'!Y53</f>
        <v>-1.3732187500000017</v>
      </c>
      <c r="AG73" s="883">
        <f>'Market Prices'!Z53</f>
        <v>-0.57965624999999754</v>
      </c>
      <c r="AH73" s="403">
        <f>AVERAGE(AD73:AG73)</f>
        <v>2.2589404456967217</v>
      </c>
      <c r="AI73" s="881">
        <f>'Market Prices'!AA53</f>
        <v>6.0189193548387117</v>
      </c>
      <c r="AJ73" s="882">
        <f>'Market Prices'!AB53</f>
        <v>-0.25368253968253818</v>
      </c>
      <c r="AK73" s="882">
        <f>'Market Prices'!AC53</f>
        <v>-0.4931562499999993</v>
      </c>
      <c r="AL73" s="883">
        <f>'Market Prices'!AD53</f>
        <v>-0.2235238095238099</v>
      </c>
      <c r="AM73" s="403">
        <f>AVERAGE(AI73:AL73)</f>
        <v>1.2621391889080911</v>
      </c>
      <c r="AN73" s="881">
        <f>'Market Prices'!AF53</f>
        <v>-0.43893749999999998</v>
      </c>
      <c r="AO73" s="882">
        <f>'Market Prices'!AF53</f>
        <v>-0.43893749999999998</v>
      </c>
      <c r="AP73" s="882">
        <f>'Market Prices'!AH53</f>
        <v>-0.3514999999999997</v>
      </c>
      <c r="AQ73" s="883">
        <f>'Market Prices'!AH53</f>
        <v>-0.3514999999999997</v>
      </c>
      <c r="AR73" s="403">
        <f>AVERAGE(AN73:AQ73)</f>
        <v>-0.39521874999999984</v>
      </c>
      <c r="AS73" s="881">
        <f>'Market Prices'!AI53</f>
        <v>0.30054838709677556</v>
      </c>
      <c r="AT73" s="882">
        <f>'Market Prices'!AJ53</f>
        <v>-0.38845312499999896</v>
      </c>
      <c r="AU73" s="882">
        <f>'Market Prices'!AK53</f>
        <v>-0.54298412698412557</v>
      </c>
      <c r="AV73" s="883">
        <f>'Market Prices'!AL53</f>
        <v>0.63106451612903358</v>
      </c>
      <c r="AW73" s="403">
        <f>AVERAGE(AS73:AV73)</f>
        <v>4.3912810421153914E-5</v>
      </c>
      <c r="AX73" s="881">
        <f>'Market Prices'!AM53</f>
        <v>4.698950819672131</v>
      </c>
      <c r="AY73" s="882">
        <f>'Market Prices'!AN53</f>
        <v>-0.19166666666666643</v>
      </c>
      <c r="AZ73" s="882">
        <f>'Market Prices'!AO53</f>
        <v>-0.30999999999999961</v>
      </c>
      <c r="BA73" s="883">
        <f>'Market Prices'!AP53</f>
        <v>0.25666666666666638</v>
      </c>
      <c r="BB73" s="403">
        <f>AVERAGE(AX73:BA73)</f>
        <v>1.113487704918033</v>
      </c>
      <c r="BC73" s="881">
        <f>'Market Prices'!AQ53</f>
        <v>1.637734667576852</v>
      </c>
      <c r="BD73" s="882">
        <f>'Market Prices'!AR53</f>
        <v>-0.69677150590554215</v>
      </c>
      <c r="BE73" s="882">
        <f>'Market Prices'!AS53</f>
        <v>-0.82532002718121711</v>
      </c>
      <c r="BF73" s="883">
        <f>'Market Prices'!AT53</f>
        <v>1.5445568651099078</v>
      </c>
      <c r="BG73" s="403">
        <f>AVERAGE(BC73:BF73)</f>
        <v>0.41504999990000013</v>
      </c>
      <c r="BH73" s="881">
        <f>'Market Prices'!AU53</f>
        <v>1.6691288195742207</v>
      </c>
      <c r="BI73" s="882">
        <f>'Market Prices'!AV53</f>
        <v>-0.704374459769459</v>
      </c>
      <c r="BJ73" s="882">
        <f>'Market Prices'!AW53</f>
        <v>-0.83498911122825525</v>
      </c>
      <c r="BK73" s="883">
        <f>'Market Prices'!AX53</f>
        <v>1.5745847514234943</v>
      </c>
      <c r="BL73" s="403">
        <f>AVERAGE(BH73:BK73)</f>
        <v>0.42608750000000017</v>
      </c>
      <c r="BM73" s="881">
        <f>'Market Prices'!AY53</f>
        <v>1.7632770950378909</v>
      </c>
      <c r="BN73" s="882">
        <f>'Market Prices'!AZ53</f>
        <v>-0.69298925565485447</v>
      </c>
      <c r="BO73" s="882">
        <f>'Market Prices'!BA53</f>
        <v>-0.82743500086795607</v>
      </c>
      <c r="BP73" s="883">
        <f>'Market Prices'!BB53</f>
        <v>1.6671304946849221</v>
      </c>
      <c r="BQ73" s="884">
        <f>AVERAGE(BM73:BP73)</f>
        <v>0.47749583330000062</v>
      </c>
      <c r="BR73" s="403"/>
      <c r="BS73" s="1518"/>
      <c r="BT73" s="1519"/>
      <c r="BU73" s="1520"/>
      <c r="BV73" s="1494"/>
      <c r="BW73" s="1520"/>
    </row>
    <row r="74" spans="1:75">
      <c r="A74" s="108"/>
      <c r="B74" s="5"/>
      <c r="C74" s="1138"/>
      <c r="D74" s="31"/>
      <c r="E74" s="146"/>
      <c r="F74" s="7"/>
      <c r="G74" s="7"/>
      <c r="H74" s="147"/>
      <c r="I74" s="5"/>
      <c r="J74" s="146"/>
      <c r="K74" s="7"/>
      <c r="L74" s="7"/>
      <c r="M74" s="147"/>
      <c r="N74" s="26"/>
      <c r="O74" s="881"/>
      <c r="P74" s="882"/>
      <c r="Q74" s="882"/>
      <c r="R74" s="883"/>
      <c r="S74" s="403"/>
      <c r="T74" s="881"/>
      <c r="U74" s="882"/>
      <c r="V74" s="882"/>
      <c r="W74" s="883"/>
      <c r="X74" s="403"/>
      <c r="Y74" s="881"/>
      <c r="Z74" s="882"/>
      <c r="AA74" s="882"/>
      <c r="AB74" s="883"/>
      <c r="AC74" s="403"/>
      <c r="AD74" s="881"/>
      <c r="AE74" s="882"/>
      <c r="AF74" s="882"/>
      <c r="AG74" s="883"/>
      <c r="AH74" s="403"/>
      <c r="AI74" s="881"/>
      <c r="AJ74" s="882"/>
      <c r="AK74" s="882"/>
      <c r="AL74" s="883"/>
      <c r="AM74" s="403"/>
      <c r="AN74" s="881"/>
      <c r="AO74" s="882"/>
      <c r="AP74" s="882"/>
      <c r="AQ74" s="883"/>
      <c r="AR74" s="403"/>
      <c r="AS74" s="881"/>
      <c r="AT74" s="882"/>
      <c r="AU74" s="882"/>
      <c r="AV74" s="883"/>
      <c r="AW74" s="403"/>
      <c r="AX74" s="881"/>
      <c r="AY74" s="882"/>
      <c r="AZ74" s="882"/>
      <c r="BA74" s="883"/>
      <c r="BB74" s="403"/>
      <c r="BC74" s="881"/>
      <c r="BD74" s="882"/>
      <c r="BE74" s="882"/>
      <c r="BF74" s="883"/>
      <c r="BG74" s="403"/>
      <c r="BH74" s="881"/>
      <c r="BI74" s="882"/>
      <c r="BJ74" s="882"/>
      <c r="BK74" s="883"/>
      <c r="BL74" s="403"/>
      <c r="BM74" s="881"/>
      <c r="BN74" s="882"/>
      <c r="BO74" s="882"/>
      <c r="BP74" s="883"/>
      <c r="BQ74" s="884"/>
      <c r="BR74" s="403"/>
      <c r="BS74" s="1518"/>
      <c r="BT74" s="1519"/>
      <c r="BU74" s="1520"/>
      <c r="BV74" s="1494"/>
      <c r="BW74" s="1520"/>
    </row>
    <row r="75" spans="1:75">
      <c r="A75" s="108"/>
      <c r="B75" s="5"/>
      <c r="C75" s="1140" t="s">
        <v>682</v>
      </c>
      <c r="D75" s="5"/>
      <c r="E75" s="146"/>
      <c r="F75" s="7"/>
      <c r="G75" s="7"/>
      <c r="H75" s="147"/>
      <c r="I75" s="31"/>
      <c r="J75" s="146"/>
      <c r="K75" s="7"/>
      <c r="L75" s="7"/>
      <c r="M75" s="147"/>
      <c r="N75" s="5"/>
      <c r="O75" s="146"/>
      <c r="P75" s="7"/>
      <c r="Q75" s="7"/>
      <c r="R75" s="147"/>
      <c r="S75" s="5"/>
      <c r="T75" s="146"/>
      <c r="U75" s="7"/>
      <c r="V75" s="7"/>
      <c r="W75" s="147"/>
      <c r="X75" s="5"/>
      <c r="Y75" s="146"/>
      <c r="Z75" s="7"/>
      <c r="AA75" s="7"/>
      <c r="AB75" s="147"/>
      <c r="AC75" s="5"/>
      <c r="AD75" s="146"/>
      <c r="AE75" s="7"/>
      <c r="AF75" s="7"/>
      <c r="AG75" s="147"/>
      <c r="AH75" s="5"/>
      <c r="AI75" s="146"/>
      <c r="AJ75" s="7"/>
      <c r="AK75" s="7"/>
      <c r="AL75" s="147"/>
      <c r="AM75" s="5"/>
      <c r="AN75" s="146"/>
      <c r="AO75" s="7"/>
      <c r="AP75" s="7"/>
      <c r="AQ75" s="147"/>
      <c r="AR75" s="5"/>
      <c r="AS75" s="146"/>
      <c r="AT75" s="7"/>
      <c r="AU75" s="7"/>
      <c r="AV75" s="147"/>
      <c r="AW75" s="5"/>
      <c r="AX75" s="146"/>
      <c r="AY75" s="7"/>
      <c r="AZ75" s="7"/>
      <c r="BA75" s="147"/>
      <c r="BB75" s="5"/>
      <c r="BC75" s="146"/>
      <c r="BD75" s="7"/>
      <c r="BE75" s="7"/>
      <c r="BF75" s="147"/>
      <c r="BG75" s="5"/>
      <c r="BH75" s="146"/>
      <c r="BI75" s="7"/>
      <c r="BJ75" s="7"/>
      <c r="BK75" s="147"/>
      <c r="BL75" s="5"/>
      <c r="BM75" s="146"/>
      <c r="BN75" s="7"/>
      <c r="BO75" s="7"/>
      <c r="BP75" s="147"/>
      <c r="BQ75" s="873"/>
      <c r="BR75" s="5"/>
      <c r="BS75" s="1518"/>
      <c r="BT75" s="1519"/>
      <c r="BU75" s="1520"/>
      <c r="BV75" s="1494"/>
      <c r="BW75" s="1520"/>
    </row>
    <row r="76" spans="1:75">
      <c r="A76" s="108"/>
      <c r="B76" s="5"/>
      <c r="C76" s="1138" t="s">
        <v>515</v>
      </c>
      <c r="D76" s="5"/>
      <c r="E76" s="146"/>
      <c r="F76" s="7"/>
      <c r="G76" s="7"/>
      <c r="H76" s="147"/>
      <c r="I76" s="31"/>
      <c r="J76" s="146"/>
      <c r="K76" s="7"/>
      <c r="L76" s="7"/>
      <c r="M76" s="147"/>
      <c r="N76" s="5"/>
      <c r="O76" s="146"/>
      <c r="P76" s="7"/>
      <c r="Q76" s="7"/>
      <c r="R76" s="147"/>
      <c r="S76" s="5"/>
      <c r="T76" s="875">
        <f t="shared" ref="T76:W77" si="202">(T$65+T$73)*T89/1000+T$68</f>
        <v>33.353476562500013</v>
      </c>
      <c r="U76" s="876">
        <f t="shared" si="202"/>
        <v>34.616933593750005</v>
      </c>
      <c r="V76" s="876">
        <f t="shared" si="202"/>
        <v>46.289513888888905</v>
      </c>
      <c r="W76" s="877">
        <f t="shared" si="202"/>
        <v>50.846972656250003</v>
      </c>
      <c r="X76" s="83">
        <f>AVERAGE(T76:W76)</f>
        <v>41.276724175347226</v>
      </c>
      <c r="Y76" s="875">
        <f t="shared" ref="Y76:AB77" si="203">(Y$65+Y$73)*Y89/1000+Y$68</f>
        <v>89.765515873015843</v>
      </c>
      <c r="Z76" s="876">
        <f t="shared" si="203"/>
        <v>45.06300781249999</v>
      </c>
      <c r="AA76" s="876">
        <f t="shared" si="203"/>
        <v>54.984013671875005</v>
      </c>
      <c r="AB76" s="877">
        <f t="shared" si="203"/>
        <v>67.341074218749995</v>
      </c>
      <c r="AC76" s="83">
        <f>AVERAGE(Y76:AB76)</f>
        <v>64.288402894035215</v>
      </c>
      <c r="AD76" s="875">
        <f t="shared" ref="AD76:AG77" si="204">(AD$65+AD$73)*AD89/1000+AD$68</f>
        <v>167.3350595238096</v>
      </c>
      <c r="AE76" s="876">
        <f t="shared" si="204"/>
        <v>44.335244140625001</v>
      </c>
      <c r="AF76" s="876">
        <f t="shared" si="204"/>
        <v>41.33302734374999</v>
      </c>
      <c r="AG76" s="877">
        <f t="shared" si="204"/>
        <v>48.027636718750003</v>
      </c>
      <c r="AH76" s="83">
        <f>AVERAGE(AD76:AG76)</f>
        <v>75.257741931733648</v>
      </c>
      <c r="AI76" s="875">
        <f t="shared" ref="AI76:AL77" si="205">(AI$65+AI$73)*AI89/1000+AI$68</f>
        <v>87.659980158730164</v>
      </c>
      <c r="AJ76" s="876">
        <f t="shared" si="205"/>
        <v>28.370332031249998</v>
      </c>
      <c r="AK76" s="876">
        <f t="shared" si="205"/>
        <v>42.395605769230762</v>
      </c>
      <c r="AL76" s="877">
        <f t="shared" si="205"/>
        <v>33.06513671874999</v>
      </c>
      <c r="AM76" s="83">
        <f>AVERAGE(AI76:AL76)</f>
        <v>47.872763669490226</v>
      </c>
      <c r="AN76" s="875">
        <f t="shared" ref="AN76" si="206">(AN$65+AN$73)*AN89/1000+AN$68</f>
        <v>28.207148437500003</v>
      </c>
      <c r="AO76" s="876">
        <f t="shared" ref="AO76:AQ77" si="207">(AO$65+AO$73)*AO89/1000+AO$68</f>
        <v>28.207148437500003</v>
      </c>
      <c r="AP76" s="876">
        <f t="shared" si="207"/>
        <v>38.680972222222231</v>
      </c>
      <c r="AQ76" s="877">
        <f t="shared" si="207"/>
        <v>38.680972222222231</v>
      </c>
      <c r="AR76" s="83">
        <f>AVERAGE(AN76:AQ76)</f>
        <v>33.444060329861117</v>
      </c>
      <c r="AS76" s="875">
        <f t="shared" ref="AS76:AV77" si="208">(AS$65+AS$73)*AS89/1000+AS$68</f>
        <v>33.978535156249976</v>
      </c>
      <c r="AT76" s="876">
        <f t="shared" si="208"/>
        <v>33.298916015625025</v>
      </c>
      <c r="AU76" s="876">
        <f t="shared" ref="AU76" si="209">(AU$65+AU$73)*AU89/1000+AU$68</f>
        <v>31.712827380952373</v>
      </c>
      <c r="AV76" s="877">
        <f t="shared" si="208"/>
        <v>52.552301587301585</v>
      </c>
      <c r="AW76" s="83">
        <f>AVERAGE(AS76:AV76)</f>
        <v>37.88564503503224</v>
      </c>
      <c r="AX76" s="875">
        <f t="shared" ref="AX76:BA77" si="210">(AX$65+AX$73)*AX89/1000+AX$68</f>
        <v>62.437333984375016</v>
      </c>
      <c r="AY76" s="876">
        <f t="shared" si="210"/>
        <v>32.65</v>
      </c>
      <c r="AZ76" s="876">
        <f t="shared" si="210"/>
        <v>35.383333333333326</v>
      </c>
      <c r="BA76" s="877">
        <f t="shared" si="210"/>
        <v>42.35</v>
      </c>
      <c r="BB76" s="83">
        <f>AVERAGE(AX76:BA76)</f>
        <v>43.205166829427085</v>
      </c>
      <c r="BC76" s="875">
        <f>(BC$65+BC$73)*BC89/1000+BC$68</f>
        <v>73.199444871908241</v>
      </c>
      <c r="BD76" s="876">
        <f>(BD$65+BD$73)*BD89/1000+BD$68</f>
        <v>31.598138616301913</v>
      </c>
      <c r="BE76" s="876">
        <f>(BE$65+BE$73)*BE89/1000+BE$68</f>
        <v>36.852856695587477</v>
      </c>
      <c r="BF76" s="877">
        <f>(BF$65+BF$73)*BF89/1000+BF$68</f>
        <v>38.566226482602353</v>
      </c>
      <c r="BG76" s="83">
        <f>AVERAGE(BC76:BF76)</f>
        <v>45.054166666599997</v>
      </c>
      <c r="BH76" s="875">
        <f>(BH$65+BH$73)*BH89/1000+BH$68</f>
        <v>73.199444871908241</v>
      </c>
      <c r="BI76" s="876">
        <f>(BI$65+BI$73)*BI89/1000+BI$68</f>
        <v>31.598138616301917</v>
      </c>
      <c r="BJ76" s="876">
        <f t="shared" ref="BJ76:BK76" si="211">(BJ$65+BJ$73)*BJ89/1000+BJ$68</f>
        <v>36.852856695587484</v>
      </c>
      <c r="BK76" s="877">
        <f t="shared" si="211"/>
        <v>38.566226482602353</v>
      </c>
      <c r="BL76" s="83">
        <f>AVERAGE(BH76:BK76)</f>
        <v>45.054166666600004</v>
      </c>
      <c r="BM76" s="875">
        <f>(BM$65+BM$73)*BM89/1000+BM$68</f>
        <v>61.505255853650482</v>
      </c>
      <c r="BN76" s="876">
        <f>(BN$65+BN$73)*BN89/1000+BN$68</f>
        <v>28.226192365355416</v>
      </c>
      <c r="BO76" s="876">
        <f t="shared" ref="BO76:BP76" si="212">(BO$65+BO$73)*BO89/1000+BO$68</f>
        <v>26.404635639874044</v>
      </c>
      <c r="BP76" s="877">
        <f t="shared" si="212"/>
        <v>60.202600375579976</v>
      </c>
      <c r="BQ76" s="1569">
        <f>AVERAGE(BM76:BP76)</f>
        <v>44.08467105861498</v>
      </c>
      <c r="BR76" s="403"/>
      <c r="BS76" s="1518"/>
      <c r="BT76" s="1519"/>
      <c r="BU76" s="1521"/>
      <c r="BV76" s="1494"/>
      <c r="BW76" s="1522"/>
    </row>
    <row r="77" spans="1:75">
      <c r="A77" s="108"/>
      <c r="B77" s="5"/>
      <c r="C77" s="1138" t="s">
        <v>516</v>
      </c>
      <c r="D77" s="5"/>
      <c r="E77" s="146"/>
      <c r="F77" s="7"/>
      <c r="G77" s="7"/>
      <c r="H77" s="147"/>
      <c r="I77" s="31"/>
      <c r="J77" s="146"/>
      <c r="K77" s="7"/>
      <c r="L77" s="7"/>
      <c r="M77" s="147"/>
      <c r="N77" s="5"/>
      <c r="O77" s="146"/>
      <c r="P77" s="7"/>
      <c r="Q77" s="7"/>
      <c r="R77" s="147"/>
      <c r="S77" s="5"/>
      <c r="T77" s="875">
        <f t="shared" si="202"/>
        <v>27.601070632266282</v>
      </c>
      <c r="U77" s="876">
        <f t="shared" si="202"/>
        <v>22.926753663003662</v>
      </c>
      <c r="V77" s="876">
        <f t="shared" si="202"/>
        <v>30.926911231884059</v>
      </c>
      <c r="W77" s="877">
        <f t="shared" si="202"/>
        <v>38.427999456521725</v>
      </c>
      <c r="X77" s="83">
        <f>AVERAGE(T77:W77)</f>
        <v>29.970683745918933</v>
      </c>
      <c r="Y77" s="875">
        <f t="shared" si="203"/>
        <v>72.617844806763287</v>
      </c>
      <c r="Z77" s="876">
        <f t="shared" si="203"/>
        <v>34.133154761904763</v>
      </c>
      <c r="AA77" s="876">
        <f t="shared" si="203"/>
        <v>30.454148550724629</v>
      </c>
      <c r="AB77" s="877">
        <f t="shared" si="203"/>
        <v>51.12213387681161</v>
      </c>
      <c r="AC77" s="83">
        <f>AVERAGE(Y77:AB77)</f>
        <v>47.081820499051069</v>
      </c>
      <c r="AD77" s="875">
        <f t="shared" si="204"/>
        <v>125.17613546698867</v>
      </c>
      <c r="AE77" s="876">
        <f t="shared" si="204"/>
        <v>32.324491758241756</v>
      </c>
      <c r="AF77" s="876">
        <f t="shared" si="204"/>
        <v>26.776259057971</v>
      </c>
      <c r="AG77" s="877">
        <f t="shared" si="204"/>
        <v>31.050057065217374</v>
      </c>
      <c r="AH77" s="83">
        <f>AVERAGE(AD77:AG77)</f>
        <v>53.831735837104702</v>
      </c>
      <c r="AI77" s="875">
        <f t="shared" si="205"/>
        <v>74.709404790660244</v>
      </c>
      <c r="AJ77" s="876">
        <f t="shared" si="205"/>
        <v>18.747051282051284</v>
      </c>
      <c r="AK77" s="876">
        <f t="shared" si="205"/>
        <v>22.344044384057977</v>
      </c>
      <c r="AL77" s="877">
        <f t="shared" si="205"/>
        <v>20.198206884057964</v>
      </c>
      <c r="AM77" s="83">
        <f>AVERAGE(AI77:AL77)</f>
        <v>33.99967683520687</v>
      </c>
      <c r="AN77" s="875">
        <f t="shared" ref="AN77" si="213">(AN$65+AN$73)*AN90/1000+AN$68</f>
        <v>18.611707875457874</v>
      </c>
      <c r="AO77" s="876">
        <f t="shared" si="207"/>
        <v>18.611707875457874</v>
      </c>
      <c r="AP77" s="876">
        <f t="shared" si="207"/>
        <v>28.745413949275392</v>
      </c>
      <c r="AQ77" s="877">
        <f t="shared" si="207"/>
        <v>28.745413949275392</v>
      </c>
      <c r="AR77" s="83">
        <f>AVERAGE(AN77:AQ77)</f>
        <v>23.678560912366631</v>
      </c>
      <c r="AS77" s="875">
        <f t="shared" si="208"/>
        <v>30.265937600644126</v>
      </c>
      <c r="AT77" s="876">
        <f t="shared" si="208"/>
        <v>22.968333333333337</v>
      </c>
      <c r="AU77" s="876">
        <f t="shared" ref="AU77" si="214">(AU$65+AU$73)*AU90/1000+AU$68</f>
        <v>19.421938405797103</v>
      </c>
      <c r="AV77" s="877">
        <f t="shared" si="208"/>
        <v>41.756125543478234</v>
      </c>
      <c r="AW77" s="83">
        <f>AVERAGE(AS77:AV77)</f>
        <v>28.603083720813199</v>
      </c>
      <c r="AX77" s="875">
        <f t="shared" si="210"/>
        <v>55.496529991948492</v>
      </c>
      <c r="AY77" s="876">
        <f t="shared" si="210"/>
        <v>24.166666666666671</v>
      </c>
      <c r="AZ77" s="876">
        <f t="shared" si="210"/>
        <v>23.300000000000004</v>
      </c>
      <c r="BA77" s="877">
        <f t="shared" si="210"/>
        <v>33.700000000000003</v>
      </c>
      <c r="BB77" s="83">
        <f>AVERAGE(AX77:BA77)</f>
        <v>34.165799164653791</v>
      </c>
      <c r="BC77" s="875">
        <f t="shared" ref="BC77:BF77" si="215">(BC$65+BC$73)*BC90/1000+BC$68</f>
        <v>56.863680246618706</v>
      </c>
      <c r="BD77" s="876">
        <f t="shared" si="215"/>
        <v>22.402357917897522</v>
      </c>
      <c r="BE77" s="876">
        <f t="shared" si="215"/>
        <v>23.701528116853666</v>
      </c>
      <c r="BF77" s="877">
        <f t="shared" si="215"/>
        <v>32.932400385030085</v>
      </c>
      <c r="BG77" s="83">
        <f>AVERAGE(BC77:BF77)</f>
        <v>33.974991666599998</v>
      </c>
      <c r="BH77" s="875">
        <f t="shared" ref="BH77:BK77" si="216">(BH$65+BH$73)*BH90/1000+BH$68</f>
        <v>56.696324969164479</v>
      </c>
      <c r="BI77" s="876">
        <f t="shared" si="216"/>
        <v>22.336425624934453</v>
      </c>
      <c r="BJ77" s="876">
        <f t="shared" si="216"/>
        <v>23.631772241101654</v>
      </c>
      <c r="BK77" s="877">
        <f t="shared" si="216"/>
        <v>32.8354771647994</v>
      </c>
      <c r="BL77" s="83">
        <f>AVERAGE(BH77:BK77)</f>
        <v>33.875</v>
      </c>
      <c r="BM77" s="875">
        <f t="shared" ref="BM77:BP77" si="217">(BM$65+BM$73)*BM90/1000+BM$68</f>
        <v>46.414055670142126</v>
      </c>
      <c r="BN77" s="876">
        <f t="shared" si="217"/>
        <v>21.300489618628092</v>
      </c>
      <c r="BO77" s="876">
        <f t="shared" si="217"/>
        <v>19.925878065690437</v>
      </c>
      <c r="BP77" s="877">
        <f t="shared" si="217"/>
        <v>45.431025471518993</v>
      </c>
      <c r="BQ77" s="1569">
        <f>AVERAGE(BM77:BP77)</f>
        <v>33.267862206494911</v>
      </c>
      <c r="BR77" s="403"/>
      <c r="BS77" s="1518"/>
      <c r="BT77" s="1519"/>
      <c r="BU77" s="1521"/>
      <c r="BV77" s="1494"/>
      <c r="BW77" s="1520"/>
    </row>
    <row r="78" spans="1:75">
      <c r="A78" s="108"/>
      <c r="B78" s="5"/>
      <c r="C78" s="1138" t="s">
        <v>517</v>
      </c>
      <c r="D78" s="5"/>
      <c r="E78" s="146"/>
      <c r="F78" s="7"/>
      <c r="G78" s="7"/>
      <c r="H78" s="147"/>
      <c r="I78" s="31"/>
      <c r="J78" s="146"/>
      <c r="K78" s="7"/>
      <c r="L78" s="7"/>
      <c r="M78" s="147"/>
      <c r="N78" s="5"/>
      <c r="O78" s="146"/>
      <c r="P78" s="7"/>
      <c r="Q78" s="7"/>
      <c r="R78" s="147"/>
      <c r="S78" s="5"/>
      <c r="T78" s="881">
        <f>T76*47.5%+T77*52.5%</f>
        <v>30.333463449127301</v>
      </c>
      <c r="U78" s="882">
        <f t="shared" ref="U78:AR78" si="218">U76*47.5%+U77*52.5%</f>
        <v>28.479589130108174</v>
      </c>
      <c r="V78" s="882">
        <f t="shared" si="218"/>
        <v>38.224147493961361</v>
      </c>
      <c r="W78" s="883">
        <f t="shared" si="218"/>
        <v>44.327011726392655</v>
      </c>
      <c r="X78" s="403">
        <f t="shared" si="218"/>
        <v>35.341052949897374</v>
      </c>
      <c r="Y78" s="881">
        <f>Y76*47.5%+Y77*52.5%</f>
        <v>80.76298856323325</v>
      </c>
      <c r="Z78" s="882">
        <f t="shared" si="218"/>
        <v>39.324834960937494</v>
      </c>
      <c r="AA78" s="882">
        <f>AA76*47.5%+AA77*52.5%</f>
        <v>42.105834483271053</v>
      </c>
      <c r="AB78" s="883">
        <f>AB76*47.5%+AB77*52.5%</f>
        <v>58.826130539232338</v>
      </c>
      <c r="AC78" s="403">
        <f t="shared" si="218"/>
        <v>55.254947136668534</v>
      </c>
      <c r="AD78" s="881">
        <f t="shared" si="218"/>
        <v>145.20162439397859</v>
      </c>
      <c r="AE78" s="882">
        <f t="shared" si="218"/>
        <v>38.029599139873795</v>
      </c>
      <c r="AF78" s="882">
        <f t="shared" si="218"/>
        <v>33.69072399371602</v>
      </c>
      <c r="AG78" s="883">
        <f t="shared" si="218"/>
        <v>39.114407400645376</v>
      </c>
      <c r="AH78" s="403">
        <f t="shared" si="218"/>
        <v>64.009088732053456</v>
      </c>
      <c r="AI78" s="881">
        <f t="shared" si="218"/>
        <v>80.860928090493445</v>
      </c>
      <c r="AJ78" s="882">
        <f t="shared" si="218"/>
        <v>23.318109637920671</v>
      </c>
      <c r="AK78" s="882">
        <f t="shared" si="218"/>
        <v>31.868536042015048</v>
      </c>
      <c r="AL78" s="883">
        <f t="shared" si="218"/>
        <v>26.309998555536676</v>
      </c>
      <c r="AM78" s="403">
        <f t="shared" si="218"/>
        <v>40.589393081491465</v>
      </c>
      <c r="AN78" s="881">
        <f t="shared" ref="AN78" si="219">AN76*47.5%+AN77*52.5%</f>
        <v>23.169542142427886</v>
      </c>
      <c r="AO78" s="882">
        <f t="shared" si="218"/>
        <v>23.169542142427886</v>
      </c>
      <c r="AP78" s="882">
        <f t="shared" ref="AP78" si="220">AP76*47.5%+AP77*52.5%</f>
        <v>33.464804128925138</v>
      </c>
      <c r="AQ78" s="883">
        <f t="shared" si="218"/>
        <v>33.464804128925138</v>
      </c>
      <c r="AR78" s="403">
        <f t="shared" si="218"/>
        <v>28.317173135676512</v>
      </c>
      <c r="AS78" s="881">
        <f t="shared" ref="AS78:BB78" si="221">AS76*47.5%+AS77*52.5%</f>
        <v>32.029421439556906</v>
      </c>
      <c r="AT78" s="882">
        <f t="shared" si="221"/>
        <v>27.875360107421891</v>
      </c>
      <c r="AU78" s="882">
        <f t="shared" ref="AU78" si="222">AU76*47.5%+AU77*52.5%</f>
        <v>25.260110668995857</v>
      </c>
      <c r="AV78" s="883">
        <f t="shared" si="221"/>
        <v>46.884309164294322</v>
      </c>
      <c r="AW78" s="403">
        <f t="shared" si="221"/>
        <v>33.012300345067246</v>
      </c>
      <c r="AX78" s="881">
        <f t="shared" si="221"/>
        <v>58.793411888351088</v>
      </c>
      <c r="AY78" s="882">
        <f t="shared" si="221"/>
        <v>28.196250000000003</v>
      </c>
      <c r="AZ78" s="882">
        <f t="shared" si="221"/>
        <v>29.039583333333333</v>
      </c>
      <c r="BA78" s="883">
        <f t="shared" si="221"/>
        <v>37.808750000000003</v>
      </c>
      <c r="BB78" s="403">
        <f t="shared" si="221"/>
        <v>38.459498805421106</v>
      </c>
      <c r="BC78" s="881">
        <f t="shared" ref="BC78:BL78" si="223">BC76*47.5%+BC77*52.5%</f>
        <v>64.623168443631229</v>
      </c>
      <c r="BD78" s="882">
        <f t="shared" si="223"/>
        <v>26.770353749639611</v>
      </c>
      <c r="BE78" s="882">
        <f t="shared" si="223"/>
        <v>29.948409191752226</v>
      </c>
      <c r="BF78" s="883">
        <f t="shared" si="223"/>
        <v>35.608467781376916</v>
      </c>
      <c r="BG78" s="403">
        <f t="shared" si="223"/>
        <v>39.237599791599997</v>
      </c>
      <c r="BH78" s="881">
        <f t="shared" si="223"/>
        <v>64.535306922967763</v>
      </c>
      <c r="BI78" s="882">
        <f t="shared" si="223"/>
        <v>26.735739295834001</v>
      </c>
      <c r="BJ78" s="882">
        <f t="shared" si="223"/>
        <v>29.911787356982423</v>
      </c>
      <c r="BK78" s="883">
        <f t="shared" si="223"/>
        <v>35.557583090755799</v>
      </c>
      <c r="BL78" s="403">
        <f t="shared" si="223"/>
        <v>39.185104166635</v>
      </c>
      <c r="BM78" s="881">
        <f t="shared" ref="BM78:BQ78" si="224">BM76*47.5%+BM77*52.5%</f>
        <v>53.582375757308597</v>
      </c>
      <c r="BN78" s="882">
        <f t="shared" si="224"/>
        <v>24.590198423323571</v>
      </c>
      <c r="BO78" s="882">
        <f t="shared" si="224"/>
        <v>23.003287913427648</v>
      </c>
      <c r="BP78" s="883">
        <f t="shared" si="224"/>
        <v>52.447523550947963</v>
      </c>
      <c r="BQ78" s="884">
        <f t="shared" si="224"/>
        <v>38.405846411251943</v>
      </c>
      <c r="BR78" s="403"/>
      <c r="BS78" s="1518"/>
      <c r="BT78" s="1519"/>
      <c r="BU78" s="1521"/>
      <c r="BV78" s="1494"/>
      <c r="BW78" s="1520"/>
    </row>
    <row r="79" spans="1:75">
      <c r="A79" s="108"/>
      <c r="B79" s="5"/>
      <c r="C79" s="1138"/>
      <c r="D79" s="5"/>
      <c r="E79" s="146"/>
      <c r="F79" s="7"/>
      <c r="G79" s="7"/>
      <c r="H79" s="147"/>
      <c r="I79" s="31"/>
      <c r="J79" s="146"/>
      <c r="K79" s="7"/>
      <c r="L79" s="7"/>
      <c r="M79" s="147"/>
      <c r="N79" s="5"/>
      <c r="O79" s="146"/>
      <c r="P79" s="7"/>
      <c r="Q79" s="7"/>
      <c r="R79" s="147"/>
      <c r="S79" s="5"/>
      <c r="T79" s="881"/>
      <c r="U79" s="882"/>
      <c r="V79" s="882"/>
      <c r="W79" s="883"/>
      <c r="X79" s="403"/>
      <c r="Y79" s="881"/>
      <c r="Z79" s="882"/>
      <c r="AA79" s="882"/>
      <c r="AB79" s="883"/>
      <c r="AC79" s="403"/>
      <c r="AD79" s="881"/>
      <c r="AE79" s="882"/>
      <c r="AF79" s="882"/>
      <c r="AG79" s="883"/>
      <c r="AH79" s="403"/>
      <c r="AI79" s="881"/>
      <c r="AJ79" s="882"/>
      <c r="AK79" s="882"/>
      <c r="AL79" s="883"/>
      <c r="AM79" s="403"/>
      <c r="AN79" s="881"/>
      <c r="AO79" s="882"/>
      <c r="AP79" s="882"/>
      <c r="AQ79" s="883"/>
      <c r="AR79" s="403"/>
      <c r="AS79" s="881"/>
      <c r="AT79" s="882"/>
      <c r="AU79" s="882"/>
      <c r="AV79" s="883"/>
      <c r="AW79" s="403"/>
      <c r="AX79" s="881"/>
      <c r="AY79" s="882"/>
      <c r="AZ79" s="882"/>
      <c r="BA79" s="883"/>
      <c r="BB79" s="403"/>
      <c r="BC79" s="881"/>
      <c r="BD79" s="882"/>
      <c r="BE79" s="882"/>
      <c r="BF79" s="883"/>
      <c r="BG79" s="403"/>
      <c r="BH79" s="881"/>
      <c r="BI79" s="882"/>
      <c r="BJ79" s="882"/>
      <c r="BK79" s="883"/>
      <c r="BL79" s="403"/>
      <c r="BM79" s="881"/>
      <c r="BN79" s="882"/>
      <c r="BO79" s="882"/>
      <c r="BP79" s="883"/>
      <c r="BQ79" s="884"/>
      <c r="BR79" s="403"/>
      <c r="BS79" s="1518"/>
      <c r="BT79" s="1519"/>
      <c r="BU79" s="1521"/>
      <c r="BV79" s="1494"/>
      <c r="BW79" s="1520"/>
    </row>
    <row r="80" spans="1:75">
      <c r="A80" s="108"/>
      <c r="B80" s="5"/>
      <c r="C80" s="1138" t="s">
        <v>518</v>
      </c>
      <c r="D80" s="5"/>
      <c r="E80" s="146"/>
      <c r="F80" s="7"/>
      <c r="G80" s="7"/>
      <c r="H80" s="147"/>
      <c r="I80" s="31"/>
      <c r="J80" s="146"/>
      <c r="K80" s="7"/>
      <c r="L80" s="7"/>
      <c r="M80" s="147"/>
      <c r="N80" s="5"/>
      <c r="O80" s="146"/>
      <c r="P80" s="7"/>
      <c r="Q80" s="7"/>
      <c r="R80" s="147"/>
      <c r="S80" s="5"/>
      <c r="T80" s="881">
        <f>(T$65+T$71)*T92/1000+T$68</f>
        <v>30.628144531250005</v>
      </c>
      <c r="U80" s="882">
        <f t="shared" ref="T80:W81" si="225">(U$65+U$71)*U92/1000+U$68</f>
        <v>34.255439453125</v>
      </c>
      <c r="V80" s="882">
        <f t="shared" si="225"/>
        <v>41.418353174603176</v>
      </c>
      <c r="W80" s="883">
        <f t="shared" si="225"/>
        <v>39.001152343749993</v>
      </c>
      <c r="X80" s="403">
        <f>AVERAGE(T80:W80)</f>
        <v>36.325772375682043</v>
      </c>
      <c r="Y80" s="881">
        <f>(Y$65+Y$71)*Y92/1000+Y$68</f>
        <v>45.623531746031752</v>
      </c>
      <c r="Z80" s="882">
        <f t="shared" ref="Z80:AB81" si="226">(Z$65+Z$71)*Z92/1000+Z$68</f>
        <v>40.663671874999991</v>
      </c>
      <c r="AA80" s="882">
        <f t="shared" si="226"/>
        <v>53.937705078124999</v>
      </c>
      <c r="AB80" s="883">
        <f t="shared" si="226"/>
        <v>46.228017578124991</v>
      </c>
      <c r="AC80" s="403">
        <f>AVERAGE(Y80:AB80)</f>
        <v>46.613231569320433</v>
      </c>
      <c r="AD80" s="881">
        <f t="shared" ref="AD80:AG81" si="227">(AD$65+AD$71)*AD92/1000+AD$68</f>
        <v>105.87010912698418</v>
      </c>
      <c r="AE80" s="882">
        <f t="shared" si="227"/>
        <v>44.886210937500003</v>
      </c>
      <c r="AF80" s="882">
        <f t="shared" si="227"/>
        <v>43.024843750000009</v>
      </c>
      <c r="AG80" s="883">
        <f t="shared" si="227"/>
        <v>39.284560546874999</v>
      </c>
      <c r="AH80" s="403">
        <f>AVERAGE(AD80:AG80)</f>
        <v>58.266431090339793</v>
      </c>
      <c r="AI80" s="881">
        <f t="shared" ref="AI80:AL81" si="228">(AI$65+AI$71)*AI92/1000+AI$68</f>
        <v>53.16058531746031</v>
      </c>
      <c r="AJ80" s="882">
        <f t="shared" si="228"/>
        <v>38.357529296875022</v>
      </c>
      <c r="AK80" s="882">
        <f t="shared" si="228"/>
        <v>40.580288461538458</v>
      </c>
      <c r="AL80" s="883">
        <f t="shared" si="228"/>
        <v>34.609042968750003</v>
      </c>
      <c r="AM80" s="403">
        <f>AVERAGE(AI80:AL80)</f>
        <v>41.676861511155948</v>
      </c>
      <c r="AN80" s="881">
        <f t="shared" ref="AN80" si="229">(AN$65+AN$71)*AN92/1000+AN$68</f>
        <v>35.76955078124999</v>
      </c>
      <c r="AO80" s="882">
        <f t="shared" ref="AO80:AQ81" si="230">(AO$65+AO$71)*AO92/1000+AO$68</f>
        <v>35.76955078124999</v>
      </c>
      <c r="AP80" s="882">
        <f t="shared" si="230"/>
        <v>27.32274801587301</v>
      </c>
      <c r="AQ80" s="883">
        <f t="shared" si="230"/>
        <v>27.32274801587301</v>
      </c>
      <c r="AR80" s="403">
        <f>AVERAGE(AN80:AQ80)</f>
        <v>31.546149398561496</v>
      </c>
      <c r="AS80" s="881">
        <f t="shared" ref="AS80:AV81" si="231">(AS$65+AS$71)*AS92/1000+AS$68</f>
        <v>27.648046875000006</v>
      </c>
      <c r="AT80" s="882">
        <f t="shared" si="231"/>
        <v>33.630214843749989</v>
      </c>
      <c r="AU80" s="882">
        <f t="shared" ref="AU80" si="232">(AU$65+AU$71)*AU92/1000+AU$68</f>
        <v>34.760575396825409</v>
      </c>
      <c r="AV80" s="883">
        <f t="shared" si="231"/>
        <v>35.233521825396821</v>
      </c>
      <c r="AW80" s="403">
        <f>AVERAGE(AS80:AV80)</f>
        <v>32.818089735243056</v>
      </c>
      <c r="AX80" s="881">
        <f t="shared" ref="AX80:BA81" si="233">(AX$65+AX$71)*AX92/1000+AX$68</f>
        <v>36.453183593749984</v>
      </c>
      <c r="AY80" s="882">
        <f t="shared" si="233"/>
        <v>37.466666666666654</v>
      </c>
      <c r="AZ80" s="882">
        <f t="shared" si="233"/>
        <v>33.733333333333327</v>
      </c>
      <c r="BA80" s="883">
        <f t="shared" si="233"/>
        <v>37.766666666666666</v>
      </c>
      <c r="BB80" s="403">
        <f>AVERAGE(AX80:BA80)</f>
        <v>36.354962565104159</v>
      </c>
      <c r="BC80" s="881">
        <f t="shared" ref="BC80:BF80" si="234">(BC$65+BC$71)*BC92/1000+BC$68</f>
        <v>52.984877086683944</v>
      </c>
      <c r="BD80" s="882">
        <f t="shared" si="234"/>
        <v>34.892480032694301</v>
      </c>
      <c r="BE80" s="882">
        <f t="shared" si="234"/>
        <v>31.661694844481875</v>
      </c>
      <c r="BF80" s="883">
        <f t="shared" si="234"/>
        <v>28.460948036139868</v>
      </c>
      <c r="BG80" s="403">
        <f>AVERAGE(BC80:BF80)</f>
        <v>37</v>
      </c>
      <c r="BH80" s="881">
        <f t="shared" ref="BH80:BK80" si="235">(BH$65+BH$71)*BH92/1000+BH$68</f>
        <v>52.579137036825585</v>
      </c>
      <c r="BI80" s="882">
        <f t="shared" si="235"/>
        <v>34.625285365714404</v>
      </c>
      <c r="BJ80" s="882">
        <f t="shared" si="235"/>
        <v>31.41924042444456</v>
      </c>
      <c r="BK80" s="883">
        <f t="shared" si="235"/>
        <v>28.243003839415444</v>
      </c>
      <c r="BL80" s="403">
        <f>AVERAGE(BH80:BK80)</f>
        <v>36.716666666599998</v>
      </c>
      <c r="BM80" s="881">
        <f t="shared" ref="BM80:BP80" si="236">(BM$65+BM$71)*BM92/1000+BM$68</f>
        <v>37.120146633691817</v>
      </c>
      <c r="BN80" s="882">
        <f t="shared" si="236"/>
        <v>37.120146633691817</v>
      </c>
      <c r="BO80" s="882">
        <f t="shared" si="236"/>
        <v>37.120146633691817</v>
      </c>
      <c r="BP80" s="883">
        <f t="shared" si="236"/>
        <v>37.120146633691817</v>
      </c>
      <c r="BQ80" s="884">
        <f>AVERAGE(BM80:BP80)</f>
        <v>37.120146633691817</v>
      </c>
      <c r="BR80" s="403"/>
      <c r="BS80" s="1518"/>
      <c r="BT80" s="1519"/>
      <c r="BU80" s="1521"/>
      <c r="BV80" s="1494"/>
      <c r="BW80" s="1523"/>
    </row>
    <row r="81" spans="1:75">
      <c r="A81" s="108"/>
      <c r="B81" s="5"/>
      <c r="C81" s="1138" t="s">
        <v>519</v>
      </c>
      <c r="D81" s="5"/>
      <c r="E81" s="146"/>
      <c r="F81" s="7"/>
      <c r="G81" s="7"/>
      <c r="H81" s="147"/>
      <c r="I81" s="31"/>
      <c r="J81" s="146"/>
      <c r="K81" s="7"/>
      <c r="L81" s="7"/>
      <c r="M81" s="147"/>
      <c r="N81" s="5"/>
      <c r="O81" s="146"/>
      <c r="P81" s="7"/>
      <c r="Q81" s="7"/>
      <c r="R81" s="147"/>
      <c r="S81" s="5"/>
      <c r="T81" s="881">
        <f t="shared" si="225"/>
        <v>23.968829033285562</v>
      </c>
      <c r="U81" s="882">
        <f t="shared" si="225"/>
        <v>20.569913003663</v>
      </c>
      <c r="V81" s="882">
        <f t="shared" si="225"/>
        <v>27.271308876811592</v>
      </c>
      <c r="W81" s="883">
        <f t="shared" si="225"/>
        <v>30.615165036231904</v>
      </c>
      <c r="X81" s="403">
        <f>AVERAGE(T81:W81)</f>
        <v>25.606303987498013</v>
      </c>
      <c r="Y81" s="881">
        <f>(Y$65+Y$71)*Y93/1000+Y$68</f>
        <v>35.609952294685982</v>
      </c>
      <c r="Z81" s="882">
        <f t="shared" si="226"/>
        <v>28.352330586080591</v>
      </c>
      <c r="AA81" s="882">
        <f t="shared" si="226"/>
        <v>26.087404891304349</v>
      </c>
      <c r="AB81" s="883">
        <f t="shared" si="226"/>
        <v>29.252230615942018</v>
      </c>
      <c r="AC81" s="403">
        <f>AVERAGE(Y81:AB81)</f>
        <v>29.825479597003238</v>
      </c>
      <c r="AD81" s="881">
        <f t="shared" si="227"/>
        <v>74.738565619967801</v>
      </c>
      <c r="AE81" s="882">
        <f t="shared" si="227"/>
        <v>27.261304945054935</v>
      </c>
      <c r="AF81" s="882">
        <f t="shared" si="227"/>
        <v>23.849180253623189</v>
      </c>
      <c r="AG81" s="883">
        <f t="shared" si="227"/>
        <v>21.799227355072475</v>
      </c>
      <c r="AH81" s="403">
        <f>AVERAGE(AD81:AG81)</f>
        <v>36.912069543429595</v>
      </c>
      <c r="AI81" s="881">
        <f t="shared" si="228"/>
        <v>37.643325281803563</v>
      </c>
      <c r="AJ81" s="882">
        <f t="shared" si="228"/>
        <v>18.227133699633701</v>
      </c>
      <c r="AK81" s="882">
        <f t="shared" si="228"/>
        <v>20.449230072463756</v>
      </c>
      <c r="AL81" s="883">
        <f t="shared" si="228"/>
        <v>14.298236956521746</v>
      </c>
      <c r="AM81" s="403">
        <f>AVERAGE(AI81:AL81)</f>
        <v>22.654481502605691</v>
      </c>
      <c r="AN81" s="881">
        <f t="shared" ref="AN81" si="237">(AN$65+AN$71)*AN93/1000+AN$68</f>
        <v>15.5952152014652</v>
      </c>
      <c r="AO81" s="882">
        <f t="shared" si="230"/>
        <v>15.5952152014652</v>
      </c>
      <c r="AP81" s="882">
        <f t="shared" si="230"/>
        <v>17.24411086956523</v>
      </c>
      <c r="AQ81" s="883">
        <f t="shared" si="230"/>
        <v>17.24411086956523</v>
      </c>
      <c r="AR81" s="403">
        <f>AVERAGE(AN81:AQ81)</f>
        <v>16.419663035515214</v>
      </c>
      <c r="AS81" s="881">
        <f t="shared" si="231"/>
        <v>19.385393719806771</v>
      </c>
      <c r="AT81" s="882">
        <f t="shared" si="231"/>
        <v>14.500613553113544</v>
      </c>
      <c r="AU81" s="882">
        <f t="shared" ref="AU81" si="238">(AU$65+AU$71)*AU93/1000+AU$68</f>
        <v>17.318980978260868</v>
      </c>
      <c r="AV81" s="883">
        <f t="shared" si="231"/>
        <v>19.652653804347828</v>
      </c>
      <c r="AW81" s="403">
        <f>AVERAGE(AS81:AV81)</f>
        <v>17.714410513882253</v>
      </c>
      <c r="AX81" s="881">
        <f t="shared" si="233"/>
        <v>32.735488727858289</v>
      </c>
      <c r="AY81" s="882">
        <f t="shared" si="233"/>
        <v>32.93333333333333</v>
      </c>
      <c r="AZ81" s="882">
        <f t="shared" si="233"/>
        <v>29.3</v>
      </c>
      <c r="BA81" s="883">
        <f t="shared" si="233"/>
        <v>33.083333333333336</v>
      </c>
      <c r="BB81" s="403">
        <f>AVERAGE(AX81:BA81)</f>
        <v>32.01303884863124</v>
      </c>
      <c r="BC81" s="881">
        <f t="shared" ref="BC81:BF81" si="239">(BC$65+BC$71)*BC93/1000+BC$68</f>
        <v>50.208915257706195</v>
      </c>
      <c r="BD81" s="882">
        <f t="shared" si="239"/>
        <v>32.014743875122768</v>
      </c>
      <c r="BE81" s="882">
        <f t="shared" si="239"/>
        <v>27.396223447236203</v>
      </c>
      <c r="BF81" s="883">
        <f t="shared" si="239"/>
        <v>24.304750753134822</v>
      </c>
      <c r="BG81" s="403">
        <f>AVERAGE(BC81:BF81)</f>
        <v>33.481158333299994</v>
      </c>
      <c r="BH81" s="881">
        <f t="shared" ref="BH81:BK81" si="240">(BH$65+BH$71)*BH93/1000+BH$68</f>
        <v>49.68362440537765</v>
      </c>
      <c r="BI81" s="882">
        <f t="shared" si="240"/>
        <v>31.679802321198984</v>
      </c>
      <c r="BJ81" s="882">
        <f t="shared" si="240"/>
        <v>27.109601330599784</v>
      </c>
      <c r="BK81" s="883">
        <f t="shared" si="240"/>
        <v>24.050471942823588</v>
      </c>
      <c r="BL81" s="403">
        <f>AVERAGE(BH81:BK81)</f>
        <v>33.130875000000003</v>
      </c>
      <c r="BM81" s="881">
        <f t="shared" ref="BM81:BP81" si="241">(BM$65+BM$71)*BM93/1000+BM$68</f>
        <v>33.31857836137219</v>
      </c>
      <c r="BN81" s="882">
        <f t="shared" si="241"/>
        <v>33.31857836137219</v>
      </c>
      <c r="BO81" s="882">
        <f t="shared" si="241"/>
        <v>33.31857836137219</v>
      </c>
      <c r="BP81" s="883">
        <f t="shared" si="241"/>
        <v>33.31857836137219</v>
      </c>
      <c r="BQ81" s="884">
        <f>AVERAGE(BM81:BP81)</f>
        <v>33.31857836137219</v>
      </c>
      <c r="BR81" s="403"/>
      <c r="BS81" s="1518"/>
      <c r="BT81" s="1519"/>
      <c r="BU81" s="1521"/>
      <c r="BV81" s="1494"/>
      <c r="BW81" s="1520"/>
    </row>
    <row r="82" spans="1:75">
      <c r="A82" s="108"/>
      <c r="B82" s="5"/>
      <c r="C82" s="1138" t="s">
        <v>520</v>
      </c>
      <c r="D82" s="5"/>
      <c r="E82" s="146"/>
      <c r="F82" s="7"/>
      <c r="G82" s="7"/>
      <c r="H82" s="147"/>
      <c r="I82" s="31"/>
      <c r="J82" s="146"/>
      <c r="K82" s="7"/>
      <c r="L82" s="7"/>
      <c r="M82" s="147"/>
      <c r="N82" s="5"/>
      <c r="O82" s="146"/>
      <c r="P82" s="7"/>
      <c r="Q82" s="7"/>
      <c r="R82" s="147"/>
      <c r="S82" s="5"/>
      <c r="T82" s="881">
        <f>T80*47.5%+T81*52.5%</f>
        <v>27.132003894818673</v>
      </c>
      <c r="U82" s="882">
        <f t="shared" ref="U82:AR82" si="242">U80*47.5%+U81*52.5%</f>
        <v>27.07053806715745</v>
      </c>
      <c r="V82" s="882">
        <f t="shared" si="242"/>
        <v>33.991154918262595</v>
      </c>
      <c r="W82" s="883">
        <f t="shared" si="242"/>
        <v>34.598509007302994</v>
      </c>
      <c r="X82" s="403">
        <f t="shared" si="242"/>
        <v>30.698051471885424</v>
      </c>
      <c r="Y82" s="881">
        <f>Y80*47.5%+Y81*52.5%</f>
        <v>40.36640253407522</v>
      </c>
      <c r="Z82" s="882">
        <f t="shared" si="242"/>
        <v>34.200217698317303</v>
      </c>
      <c r="AA82" s="882">
        <f t="shared" si="242"/>
        <v>39.316297480044156</v>
      </c>
      <c r="AB82" s="883">
        <f t="shared" si="242"/>
        <v>37.315729422978933</v>
      </c>
      <c r="AC82" s="403">
        <f t="shared" si="242"/>
        <v>37.799661783853907</v>
      </c>
      <c r="AD82" s="881">
        <f t="shared" si="242"/>
        <v>89.526048785800583</v>
      </c>
      <c r="AE82" s="882">
        <f t="shared" si="242"/>
        <v>35.633135291466346</v>
      </c>
      <c r="AF82" s="882">
        <f t="shared" si="242"/>
        <v>32.957620414402179</v>
      </c>
      <c r="AG82" s="883">
        <f t="shared" si="242"/>
        <v>30.104760621178674</v>
      </c>
      <c r="AH82" s="403">
        <f t="shared" si="242"/>
        <v>47.055391278211943</v>
      </c>
      <c r="AI82" s="881">
        <f t="shared" si="242"/>
        <v>45.014023798740517</v>
      </c>
      <c r="AJ82" s="882">
        <f t="shared" si="242"/>
        <v>27.789071608323329</v>
      </c>
      <c r="AK82" s="882">
        <f t="shared" si="242"/>
        <v>30.011482807274241</v>
      </c>
      <c r="AL82" s="883">
        <f t="shared" si="242"/>
        <v>23.945869812330169</v>
      </c>
      <c r="AM82" s="403">
        <f t="shared" si="242"/>
        <v>31.690112006667061</v>
      </c>
      <c r="AN82" s="881">
        <f t="shared" ref="AN82" si="243">AN80*47.5%+AN81*52.5%</f>
        <v>25.178024601862976</v>
      </c>
      <c r="AO82" s="882">
        <f t="shared" si="242"/>
        <v>25.178024601862976</v>
      </c>
      <c r="AP82" s="882">
        <f t="shared" ref="AP82" si="244">AP80*47.5%+AP81*52.5%</f>
        <v>22.031463514061425</v>
      </c>
      <c r="AQ82" s="883">
        <f t="shared" si="242"/>
        <v>22.031463514061425</v>
      </c>
      <c r="AR82" s="403">
        <f t="shared" si="242"/>
        <v>23.604744057962197</v>
      </c>
      <c r="AS82" s="881">
        <f t="shared" ref="AS82:AW82" si="245">AS80*47.5%+AS81*52.5%</f>
        <v>23.310153968523558</v>
      </c>
      <c r="AT82" s="882">
        <f t="shared" si="245"/>
        <v>23.587174166165855</v>
      </c>
      <c r="AU82" s="882">
        <f t="shared" ref="AU82" si="246">AU80*47.5%+AU81*52.5%</f>
        <v>25.603738327079025</v>
      </c>
      <c r="AV82" s="883">
        <f t="shared" si="245"/>
        <v>27.053566114346101</v>
      </c>
      <c r="AW82" s="403">
        <f t="shared" si="245"/>
        <v>24.888658144028636</v>
      </c>
      <c r="AX82" s="881">
        <f t="shared" ref="AX82:BL82" si="247">AX80*47.5%+AX81*52.5%</f>
        <v>34.50139378915685</v>
      </c>
      <c r="AY82" s="882">
        <f t="shared" si="247"/>
        <v>35.086666666666659</v>
      </c>
      <c r="AZ82" s="882">
        <f t="shared" si="247"/>
        <v>31.40583333333333</v>
      </c>
      <c r="BA82" s="883">
        <f t="shared" si="247"/>
        <v>35.307916666666671</v>
      </c>
      <c r="BB82" s="403">
        <f t="shared" si="247"/>
        <v>34.075452613955875</v>
      </c>
      <c r="BC82" s="881">
        <f t="shared" si="247"/>
        <v>51.527497126470621</v>
      </c>
      <c r="BD82" s="882">
        <f t="shared" si="247"/>
        <v>33.381668549969248</v>
      </c>
      <c r="BE82" s="882">
        <f t="shared" si="247"/>
        <v>29.422322360927897</v>
      </c>
      <c r="BF82" s="883">
        <f t="shared" si="247"/>
        <v>26.278944462562219</v>
      </c>
      <c r="BG82" s="403">
        <f t="shared" si="247"/>
        <v>35.152608124982493</v>
      </c>
      <c r="BH82" s="881">
        <f t="shared" si="247"/>
        <v>51.058992905315421</v>
      </c>
      <c r="BI82" s="882">
        <f t="shared" si="247"/>
        <v>33.07890676734381</v>
      </c>
      <c r="BJ82" s="882">
        <f t="shared" si="247"/>
        <v>29.156679900176051</v>
      </c>
      <c r="BK82" s="883">
        <f t="shared" si="247"/>
        <v>26.041924593704721</v>
      </c>
      <c r="BL82" s="403">
        <f t="shared" si="247"/>
        <v>34.834126041635002</v>
      </c>
      <c r="BM82" s="881">
        <f t="shared" ref="BM82:BQ82" si="248">BM80*47.5%+BM81*52.5%</f>
        <v>35.124323290724007</v>
      </c>
      <c r="BN82" s="882">
        <f t="shared" si="248"/>
        <v>35.124323290724007</v>
      </c>
      <c r="BO82" s="882">
        <f t="shared" si="248"/>
        <v>35.124323290724007</v>
      </c>
      <c r="BP82" s="883">
        <f t="shared" si="248"/>
        <v>35.124323290724007</v>
      </c>
      <c r="BQ82" s="884">
        <f t="shared" si="248"/>
        <v>35.124323290724007</v>
      </c>
      <c r="BR82" s="403"/>
      <c r="BS82" s="1518"/>
      <c r="BT82" s="1519"/>
      <c r="BU82" s="1521"/>
      <c r="BV82" s="1494"/>
      <c r="BW82" s="1520"/>
    </row>
    <row r="83" spans="1:75">
      <c r="A83" s="108"/>
      <c r="B83" s="5"/>
      <c r="C83" s="1138"/>
      <c r="D83" s="5"/>
      <c r="E83" s="146"/>
      <c r="F83" s="7"/>
      <c r="G83" s="7"/>
      <c r="H83" s="147"/>
      <c r="I83" s="31"/>
      <c r="J83" s="146"/>
      <c r="K83" s="7"/>
      <c r="L83" s="7"/>
      <c r="M83" s="147"/>
      <c r="N83" s="5"/>
      <c r="O83" s="146"/>
      <c r="P83" s="7"/>
      <c r="Q83" s="7"/>
      <c r="R83" s="147"/>
      <c r="S83" s="5"/>
      <c r="T83" s="881"/>
      <c r="U83" s="882"/>
      <c r="V83" s="882"/>
      <c r="W83" s="883"/>
      <c r="X83" s="403"/>
      <c r="Y83" s="881"/>
      <c r="Z83" s="882"/>
      <c r="AA83" s="882"/>
      <c r="AB83" s="883"/>
      <c r="AC83" s="403"/>
      <c r="AD83" s="881"/>
      <c r="AE83" s="882"/>
      <c r="AF83" s="882"/>
      <c r="AG83" s="883"/>
      <c r="AH83" s="403"/>
      <c r="AI83" s="881"/>
      <c r="AJ83" s="882"/>
      <c r="AK83" s="882"/>
      <c r="AL83" s="883"/>
      <c r="AM83" s="403"/>
      <c r="AN83" s="881"/>
      <c r="AO83" s="882"/>
      <c r="AP83" s="882"/>
      <c r="AQ83" s="883"/>
      <c r="AR83" s="403"/>
      <c r="AS83" s="881"/>
      <c r="AT83" s="882"/>
      <c r="AU83" s="882"/>
      <c r="AV83" s="883"/>
      <c r="AW83" s="403"/>
      <c r="AX83" s="881"/>
      <c r="AY83" s="882"/>
      <c r="AZ83" s="882"/>
      <c r="BA83" s="883"/>
      <c r="BB83" s="403"/>
      <c r="BC83" s="881"/>
      <c r="BD83" s="882"/>
      <c r="BE83" s="882"/>
      <c r="BF83" s="883"/>
      <c r="BG83" s="403"/>
      <c r="BH83" s="881"/>
      <c r="BI83" s="882"/>
      <c r="BJ83" s="882"/>
      <c r="BK83" s="883"/>
      <c r="BL83" s="403"/>
      <c r="BM83" s="881"/>
      <c r="BN83" s="882"/>
      <c r="BO83" s="882"/>
      <c r="BP83" s="883"/>
      <c r="BQ83" s="884"/>
      <c r="BR83" s="403"/>
      <c r="BS83" s="1518"/>
      <c r="BT83" s="1519"/>
      <c r="BU83" s="1521"/>
      <c r="BV83" s="1494"/>
      <c r="BW83" s="1520"/>
    </row>
    <row r="84" spans="1:75">
      <c r="A84" s="108"/>
      <c r="B84" s="5"/>
      <c r="C84" s="1138" t="s">
        <v>524</v>
      </c>
      <c r="D84" s="5"/>
      <c r="E84" s="146"/>
      <c r="F84" s="7"/>
      <c r="G84" s="7"/>
      <c r="H84" s="147"/>
      <c r="I84" s="31"/>
      <c r="J84" s="146"/>
      <c r="K84" s="7"/>
      <c r="L84" s="7"/>
      <c r="M84" s="147"/>
      <c r="N84" s="5"/>
      <c r="O84" s="146"/>
      <c r="P84" s="7"/>
      <c r="Q84" s="7"/>
      <c r="R84" s="147"/>
      <c r="S84" s="5"/>
      <c r="T84" s="881">
        <f t="shared" ref="T84:W85" si="249">(T$65+T$73)*T95/1000+T$68</f>
        <v>35.479599609374993</v>
      </c>
      <c r="U84" s="882">
        <f t="shared" si="249"/>
        <v>42.463749999999997</v>
      </c>
      <c r="V84" s="882">
        <f t="shared" si="249"/>
        <v>49.926091269841251</v>
      </c>
      <c r="W84" s="883">
        <f t="shared" si="249"/>
        <v>46.815820312500001</v>
      </c>
      <c r="X84" s="403">
        <f>AVERAGE(T84:W84)</f>
        <v>43.671315297929063</v>
      </c>
      <c r="Y84" s="881">
        <f>(Y$65+Y$73)*Y95/1000+Y$68</f>
        <v>71.969464285714295</v>
      </c>
      <c r="Z84" s="882">
        <f t="shared" ref="Z84:AQ84" si="250">(Z$65+Z$73)*Z95/1000+Z$68</f>
        <v>47.407421874999983</v>
      </c>
      <c r="AA84" s="882">
        <f t="shared" si="250"/>
        <v>63.43471679687498</v>
      </c>
      <c r="AB84" s="883">
        <f t="shared" si="250"/>
        <v>49.675136718749997</v>
      </c>
      <c r="AC84" s="403">
        <f>AVERAGE(Y84:AB84)</f>
        <v>58.121684919084814</v>
      </c>
      <c r="AD84" s="881">
        <f t="shared" si="250"/>
        <v>145.08544642857149</v>
      </c>
      <c r="AE84" s="882">
        <f t="shared" si="250"/>
        <v>45.55554687499999</v>
      </c>
      <c r="AF84" s="882">
        <f t="shared" si="250"/>
        <v>40.321435546875001</v>
      </c>
      <c r="AG84" s="883">
        <f t="shared" si="250"/>
        <v>42.091767578125001</v>
      </c>
      <c r="AH84" s="403">
        <f>AVERAGE(AD84:AG84)</f>
        <v>68.263549107142865</v>
      </c>
      <c r="AI84" s="881">
        <f t="shared" si="250"/>
        <v>77.999513888888885</v>
      </c>
      <c r="AJ84" s="882">
        <f t="shared" si="250"/>
        <v>32.442470703124982</v>
      </c>
      <c r="AK84" s="882">
        <f t="shared" si="250"/>
        <v>38.379144230769242</v>
      </c>
      <c r="AL84" s="883">
        <f t="shared" si="250"/>
        <v>27.262890625000001</v>
      </c>
      <c r="AM84" s="403">
        <f>AVERAGE(AI84:AL84)</f>
        <v>44.021004861945784</v>
      </c>
      <c r="AN84" s="881">
        <f t="shared" ref="AN84" si="251">(AN$65+AN$73)*AN95/1000+AN$68</f>
        <v>28.172070312500015</v>
      </c>
      <c r="AO84" s="882">
        <f t="shared" si="250"/>
        <v>28.172070312500015</v>
      </c>
      <c r="AP84" s="882">
        <f t="shared" ref="AP84" si="252">(AP$65+AP$73)*AP95/1000+AP$68</f>
        <v>34.996567460317451</v>
      </c>
      <c r="AQ84" s="883">
        <f t="shared" si="250"/>
        <v>34.996567460317451</v>
      </c>
      <c r="AR84" s="403">
        <f>AVERAGE(AN84:AQ84)</f>
        <v>31.584318886408735</v>
      </c>
      <c r="AS84" s="881">
        <f t="shared" ref="AS84:AV85" si="253">(AS$65+AS$73)*AS95/1000+AS$68</f>
        <v>34.973046874999994</v>
      </c>
      <c r="AT84" s="882">
        <f t="shared" si="253"/>
        <v>33.375703125000008</v>
      </c>
      <c r="AU84" s="882">
        <f t="shared" ref="AU84" si="254">(AU$65+AU$73)*AU95/1000+AU$68</f>
        <v>32.778422619047618</v>
      </c>
      <c r="AV84" s="883">
        <f t="shared" si="253"/>
        <v>41.835218253968264</v>
      </c>
      <c r="AW84" s="403">
        <f>AVERAGE(AS84:AV84)</f>
        <v>35.740597718253966</v>
      </c>
      <c r="AX84" s="881">
        <f t="shared" ref="AX84:BA85" si="255">(AX$65+AX$73)*AX95/1000+AX$68</f>
        <v>50.315361328125007</v>
      </c>
      <c r="AY84" s="882">
        <f t="shared" si="255"/>
        <v>37.133333333333333</v>
      </c>
      <c r="AZ84" s="882">
        <f t="shared" si="255"/>
        <v>29.216666666666669</v>
      </c>
      <c r="BA84" s="883">
        <f t="shared" si="255"/>
        <v>41.81666666666667</v>
      </c>
      <c r="BB84" s="403">
        <f>AVERAGE(AX84:BA84)</f>
        <v>39.62050699869792</v>
      </c>
      <c r="BC84" s="881">
        <f>(BC$65+BC$72)*BC95/1000+BC$68</f>
        <v>72.206176601284838</v>
      </c>
      <c r="BD84" s="882">
        <f t="shared" ref="BD84:BF84" si="256">(BD$65+BD$72)*BD95/1000+BD$68</f>
        <v>35.335679660435538</v>
      </c>
      <c r="BE84" s="882">
        <f t="shared" si="256"/>
        <v>28.167385316684783</v>
      </c>
      <c r="BF84" s="883">
        <f t="shared" si="256"/>
        <v>29.507425087994822</v>
      </c>
      <c r="BG84" s="403">
        <f>AVERAGE(BC84:BF84)</f>
        <v>41.30416666659999</v>
      </c>
      <c r="BH84" s="881">
        <f>(BH$65+BH$72)*BH95/1000+BH$68</f>
        <v>73.276922890037582</v>
      </c>
      <c r="BI84" s="882">
        <f t="shared" ref="BI84:BK84" si="257">(BI$65+BI$72)*BI95/1000+BI$68</f>
        <v>35.859672892564305</v>
      </c>
      <c r="BJ84" s="882">
        <f t="shared" si="257"/>
        <v>28.585079823046065</v>
      </c>
      <c r="BK84" s="883">
        <f t="shared" si="257"/>
        <v>29.944991060752034</v>
      </c>
      <c r="BL84" s="403">
        <f>AVERAGE(BH84:BK84)</f>
        <v>41.916666666600001</v>
      </c>
      <c r="BM84" s="881">
        <f>(BM$65+BM$72)*BM95/1000+BM$68</f>
        <v>35.209848236048174</v>
      </c>
      <c r="BN84" s="882">
        <f t="shared" ref="BN84:BP84" si="258">(BN$65+BN$72)*BN95/1000+BN$68</f>
        <v>35.209848236048174</v>
      </c>
      <c r="BO84" s="882">
        <f t="shared" si="258"/>
        <v>35.209848236048174</v>
      </c>
      <c r="BP84" s="883">
        <f t="shared" si="258"/>
        <v>35.209848236048174</v>
      </c>
      <c r="BQ84" s="884">
        <f>AVERAGE(BM84:BP84)</f>
        <v>35.209848236048174</v>
      </c>
      <c r="BR84" s="403"/>
      <c r="BS84" s="1518"/>
      <c r="BT84" s="1519"/>
      <c r="BU84" s="1521"/>
      <c r="BV84" s="1494"/>
      <c r="BW84" s="1523"/>
    </row>
    <row r="85" spans="1:75">
      <c r="A85" s="108"/>
      <c r="B85" s="5"/>
      <c r="C85" s="1138" t="s">
        <v>525</v>
      </c>
      <c r="D85" s="5"/>
      <c r="E85" s="146"/>
      <c r="F85" s="7"/>
      <c r="G85" s="7"/>
      <c r="H85" s="147"/>
      <c r="I85" s="31"/>
      <c r="J85" s="146"/>
      <c r="K85" s="7"/>
      <c r="L85" s="7"/>
      <c r="M85" s="147"/>
      <c r="N85" s="5"/>
      <c r="O85" s="146"/>
      <c r="P85" s="7"/>
      <c r="Q85" s="7"/>
      <c r="R85" s="147"/>
      <c r="S85" s="5"/>
      <c r="T85" s="881">
        <f t="shared" si="249"/>
        <v>27.569314580347193</v>
      </c>
      <c r="U85" s="882">
        <f t="shared" si="249"/>
        <v>22.281291208791203</v>
      </c>
      <c r="V85" s="882">
        <f t="shared" si="249"/>
        <v>30.822210144927528</v>
      </c>
      <c r="W85" s="883">
        <f t="shared" si="249"/>
        <v>36.205649818840577</v>
      </c>
      <c r="X85" s="403">
        <f>AVERAGE(T85:W85)</f>
        <v>29.219616438226623</v>
      </c>
      <c r="Y85" s="881">
        <f>(Y$65+Y$73)*Y96/1000+Y$68</f>
        <v>56.707361111111105</v>
      </c>
      <c r="Z85" s="882">
        <f t="shared" ref="Z85:AQ85" si="259">(Z$65+Z$73)*Z96/1000+Z$68</f>
        <v>33.444134615384613</v>
      </c>
      <c r="AA85" s="882">
        <f t="shared" si="259"/>
        <v>31.241820652173899</v>
      </c>
      <c r="AB85" s="883">
        <f t="shared" si="259"/>
        <v>36.510255434782614</v>
      </c>
      <c r="AC85" s="403">
        <f>AVERAGE(Y85:AB85)</f>
        <v>39.475892953363058</v>
      </c>
      <c r="AD85" s="881">
        <f t="shared" si="259"/>
        <v>104.25991747181963</v>
      </c>
      <c r="AE85" s="882">
        <f t="shared" si="259"/>
        <v>30.387303113553116</v>
      </c>
      <c r="AF85" s="882">
        <f t="shared" si="259"/>
        <v>25.834510869565232</v>
      </c>
      <c r="AG85" s="883">
        <f t="shared" si="259"/>
        <v>26.259342210144926</v>
      </c>
      <c r="AH85" s="403">
        <f>AVERAGE(AD85:AG85)</f>
        <v>46.685268416270723</v>
      </c>
      <c r="AI85" s="881">
        <f t="shared" si="259"/>
        <v>58.731627415458931</v>
      </c>
      <c r="AJ85" s="882">
        <f t="shared" si="259"/>
        <v>19.32760989010988</v>
      </c>
      <c r="AK85" s="882">
        <f t="shared" si="259"/>
        <v>22.11728713768116</v>
      </c>
      <c r="AL85" s="883">
        <f t="shared" si="259"/>
        <v>17.28061014492754</v>
      </c>
      <c r="AM85" s="403">
        <f>AVERAGE(AI85:AL85)</f>
        <v>29.364283647044378</v>
      </c>
      <c r="AN85" s="881">
        <f t="shared" ref="AN85" si="260">(AN$65+AN$73)*AN96/1000+AN$68</f>
        <v>19.320544871794876</v>
      </c>
      <c r="AO85" s="882">
        <f t="shared" si="259"/>
        <v>19.320544871794876</v>
      </c>
      <c r="AP85" s="882">
        <f t="shared" ref="AP85" si="261">(AP$65+AP$73)*AP96/1000+AP$68</f>
        <v>25.744134963768118</v>
      </c>
      <c r="AQ85" s="883">
        <f t="shared" si="259"/>
        <v>25.744134963768118</v>
      </c>
      <c r="AR85" s="403">
        <f>AVERAGE(AN85:AQ85)</f>
        <v>22.532339917781499</v>
      </c>
      <c r="AS85" s="881">
        <f t="shared" si="253"/>
        <v>29.326884259259259</v>
      </c>
      <c r="AT85" s="882">
        <f t="shared" si="253"/>
        <v>21.279184981684974</v>
      </c>
      <c r="AU85" s="882">
        <f t="shared" ref="AU85" si="262">(AU$65+AU$73)*AU96/1000+AU$68</f>
        <v>19.207495471014489</v>
      </c>
      <c r="AV85" s="883">
        <f t="shared" si="253"/>
        <v>28.660226630434785</v>
      </c>
      <c r="AW85" s="403">
        <f>AVERAGE(AS85:AV85)</f>
        <v>24.618447835598374</v>
      </c>
      <c r="AX85" s="881">
        <f t="shared" si="255"/>
        <v>44.676771739130423</v>
      </c>
      <c r="AY85" s="882">
        <f t="shared" si="255"/>
        <v>38.200000000000003</v>
      </c>
      <c r="AZ85" s="882">
        <f t="shared" si="255"/>
        <v>32.6</v>
      </c>
      <c r="BA85" s="883">
        <f t="shared" si="255"/>
        <v>41.8</v>
      </c>
      <c r="BB85" s="403">
        <f>AVERAGE(AX85:BA85)</f>
        <v>39.319192934782606</v>
      </c>
      <c r="BC85" s="881">
        <f>(BC$65+BC$72)*BC96/1000+BC$68</f>
        <v>67.7166668198211</v>
      </c>
      <c r="BD85" s="882">
        <f t="shared" ref="BD85:BF85" si="263">(BD$65+BD$72)*BD96/1000+BD$68</f>
        <v>38.04207950904965</v>
      </c>
      <c r="BE85" s="882">
        <f t="shared" si="263"/>
        <v>31.175086966580828</v>
      </c>
      <c r="BF85" s="883">
        <f t="shared" si="263"/>
        <v>28.982800037748429</v>
      </c>
      <c r="BG85" s="403">
        <f>AVERAGE(BC85:BF85)</f>
        <v>41.479158333300006</v>
      </c>
      <c r="BH85" s="881">
        <f>(BH$65+BH$72)*BH96/1000+BH$68</f>
        <v>68.226851296430993</v>
      </c>
      <c r="BI85" s="882">
        <f t="shared" ref="BI85:BK85" si="264">(BI$65+BI$72)*BI96/1000+BI$68</f>
        <v>38.328692529668608</v>
      </c>
      <c r="BJ85" s="882">
        <f t="shared" si="264"/>
        <v>31.409963344498728</v>
      </c>
      <c r="BK85" s="883">
        <f t="shared" si="264"/>
        <v>29.201159495801665</v>
      </c>
      <c r="BL85" s="403">
        <f>AVERAGE(BH85:BK85)</f>
        <v>41.791666666600001</v>
      </c>
      <c r="BM85" s="881">
        <f>(BM$65+BM$72)*BM96/1000+BM$68</f>
        <v>35.064017541695854</v>
      </c>
      <c r="BN85" s="882">
        <f t="shared" ref="BN85:BP85" si="265">(BN$65+BN$72)*BN96/1000+BN$68</f>
        <v>35.064017541695854</v>
      </c>
      <c r="BO85" s="882">
        <f t="shared" si="265"/>
        <v>35.064017541695854</v>
      </c>
      <c r="BP85" s="883">
        <f t="shared" si="265"/>
        <v>35.064017541695854</v>
      </c>
      <c r="BQ85" s="884">
        <f>AVERAGE(BM85:BP85)</f>
        <v>35.064017541695854</v>
      </c>
      <c r="BR85" s="403"/>
      <c r="BS85" s="1518"/>
      <c r="BT85" s="1519"/>
      <c r="BU85" s="1521"/>
      <c r="BV85" s="1494"/>
      <c r="BW85" s="1520"/>
    </row>
    <row r="86" spans="1:75">
      <c r="A86" s="108"/>
      <c r="B86" s="5"/>
      <c r="C86" s="1138" t="s">
        <v>526</v>
      </c>
      <c r="D86" s="5"/>
      <c r="E86" s="146"/>
      <c r="F86" s="7"/>
      <c r="G86" s="7"/>
      <c r="H86" s="147"/>
      <c r="I86" s="31"/>
      <c r="J86" s="146"/>
      <c r="K86" s="7"/>
      <c r="L86" s="7"/>
      <c r="M86" s="147"/>
      <c r="N86" s="5"/>
      <c r="O86" s="146"/>
      <c r="P86" s="7"/>
      <c r="Q86" s="7"/>
      <c r="R86" s="147"/>
      <c r="S86" s="5"/>
      <c r="T86" s="881">
        <f>T84*47.5%+T85*52.5%</f>
        <v>31.326699969135397</v>
      </c>
      <c r="U86" s="882">
        <f t="shared" ref="U86:AR86" si="266">U84*47.5%+U85*52.5%</f>
        <v>31.867959134615383</v>
      </c>
      <c r="V86" s="882">
        <f t="shared" si="266"/>
        <v>39.896553679261544</v>
      </c>
      <c r="W86" s="883">
        <f t="shared" si="266"/>
        <v>41.245480803328803</v>
      </c>
      <c r="X86" s="403">
        <f t="shared" si="266"/>
        <v>36.084173396585278</v>
      </c>
      <c r="Y86" s="881">
        <f>Y84*47.5%+Y85*52.5%</f>
        <v>63.956860119047619</v>
      </c>
      <c r="Z86" s="882">
        <f t="shared" si="266"/>
        <v>40.076696063701917</v>
      </c>
      <c r="AA86" s="882">
        <f t="shared" si="266"/>
        <v>46.533446320906918</v>
      </c>
      <c r="AB86" s="883">
        <f t="shared" si="266"/>
        <v>42.763574044667124</v>
      </c>
      <c r="AC86" s="403">
        <f t="shared" si="266"/>
        <v>48.332644137080891</v>
      </c>
      <c r="AD86" s="881">
        <f t="shared" si="266"/>
        <v>123.65204372627676</v>
      </c>
      <c r="AE86" s="882">
        <f t="shared" si="266"/>
        <v>37.592218900240383</v>
      </c>
      <c r="AF86" s="882">
        <f t="shared" si="266"/>
        <v>32.71580009128737</v>
      </c>
      <c r="AG86" s="883">
        <f t="shared" si="266"/>
        <v>33.779744259935462</v>
      </c>
      <c r="AH86" s="403">
        <f>AH84*47.5%+AH85*52.5%</f>
        <v>56.93495174443499</v>
      </c>
      <c r="AI86" s="881">
        <f t="shared" si="266"/>
        <v>67.883873490338161</v>
      </c>
      <c r="AJ86" s="882">
        <f t="shared" si="266"/>
        <v>25.557168776292052</v>
      </c>
      <c r="AK86" s="882">
        <f t="shared" si="266"/>
        <v>29.841669256898001</v>
      </c>
      <c r="AL86" s="883">
        <f t="shared" si="266"/>
        <v>22.022193372961958</v>
      </c>
      <c r="AM86" s="403">
        <f>AM84*47.5%+AM85*52.5%</f>
        <v>36.326226224122543</v>
      </c>
      <c r="AN86" s="881">
        <f t="shared" ref="AN86" si="267">AN84*47.5%+AN85*52.5%</f>
        <v>23.525019456129819</v>
      </c>
      <c r="AO86" s="882">
        <f t="shared" si="266"/>
        <v>23.525019456129819</v>
      </c>
      <c r="AP86" s="882">
        <f t="shared" ref="AP86" si="268">AP84*47.5%+AP85*52.5%</f>
        <v>30.139040399629053</v>
      </c>
      <c r="AQ86" s="883">
        <f t="shared" si="266"/>
        <v>30.139040399629053</v>
      </c>
      <c r="AR86" s="403">
        <f t="shared" si="266"/>
        <v>26.832029927879436</v>
      </c>
      <c r="AS86" s="881">
        <f t="shared" ref="AS86:BB86" si="269">AS84*47.5%+AS85*52.5%</f>
        <v>32.008811501736105</v>
      </c>
      <c r="AT86" s="882">
        <f t="shared" si="269"/>
        <v>27.025031099759616</v>
      </c>
      <c r="AU86" s="882">
        <f t="shared" ref="AU86" si="270">AU84*47.5%+AU85*52.5%</f>
        <v>25.653685866330225</v>
      </c>
      <c r="AV86" s="883">
        <f t="shared" si="269"/>
        <v>34.918347651613189</v>
      </c>
      <c r="AW86" s="403">
        <f t="shared" si="269"/>
        <v>29.901469029859779</v>
      </c>
      <c r="AX86" s="881">
        <f t="shared" si="269"/>
        <v>47.355101793902847</v>
      </c>
      <c r="AY86" s="882">
        <f t="shared" si="269"/>
        <v>37.693333333333335</v>
      </c>
      <c r="AZ86" s="882">
        <f t="shared" si="269"/>
        <v>30.99291666666667</v>
      </c>
      <c r="BA86" s="883">
        <f>BA84*47.5%+BA85*52.5%</f>
        <v>41.807916666666671</v>
      </c>
      <c r="BB86" s="403">
        <f t="shared" si="269"/>
        <v>39.462317115142383</v>
      </c>
      <c r="BC86" s="881">
        <f t="shared" ref="BC86:BE86" si="271">BC84*47.5%+BC85*52.5%</f>
        <v>69.849183966016369</v>
      </c>
      <c r="BD86" s="882">
        <f t="shared" si="271"/>
        <v>36.756539580957948</v>
      </c>
      <c r="BE86" s="882">
        <f t="shared" si="271"/>
        <v>29.746428682880207</v>
      </c>
      <c r="BF86" s="883">
        <f>BF84*47.5%+BF85*52.5%</f>
        <v>29.231996936615467</v>
      </c>
      <c r="BG86" s="403">
        <f t="shared" ref="BG86:BJ86" si="272">BG84*47.5%+BG85*52.5%</f>
        <v>41.396037291617503</v>
      </c>
      <c r="BH86" s="881">
        <f t="shared" si="272"/>
        <v>70.62563530339412</v>
      </c>
      <c r="BI86" s="882">
        <f t="shared" si="272"/>
        <v>37.15590820204406</v>
      </c>
      <c r="BJ86" s="882">
        <f t="shared" si="272"/>
        <v>30.068143671808713</v>
      </c>
      <c r="BK86" s="883">
        <f>BK84*47.5%+BK85*52.5%</f>
        <v>29.554479489153092</v>
      </c>
      <c r="BL86" s="403">
        <f t="shared" ref="BL86:BO86" si="273">BL84*47.5%+BL85*52.5%</f>
        <v>41.851041666600004</v>
      </c>
      <c r="BM86" s="881">
        <f t="shared" si="273"/>
        <v>35.133287121513206</v>
      </c>
      <c r="BN86" s="882">
        <f t="shared" si="273"/>
        <v>35.133287121513206</v>
      </c>
      <c r="BO86" s="882">
        <f t="shared" si="273"/>
        <v>35.133287121513206</v>
      </c>
      <c r="BP86" s="883">
        <f>BP84*47.5%+BP85*52.5%</f>
        <v>35.133287121513206</v>
      </c>
      <c r="BQ86" s="884">
        <f t="shared" ref="BQ86" si="274">BQ84*47.5%+BQ85*52.5%</f>
        <v>35.133287121513206</v>
      </c>
      <c r="BR86" s="403"/>
      <c r="BS86" s="1518"/>
      <c r="BT86" s="1519"/>
      <c r="BU86" s="1521"/>
      <c r="BV86" s="1494"/>
      <c r="BW86" s="1520"/>
    </row>
    <row r="87" spans="1:75">
      <c r="A87" s="108"/>
      <c r="B87" s="5"/>
      <c r="C87" s="1138"/>
      <c r="D87" s="5"/>
      <c r="E87" s="146"/>
      <c r="F87" s="7"/>
      <c r="G87" s="7"/>
      <c r="H87" s="147"/>
      <c r="I87" s="31"/>
      <c r="J87" s="146"/>
      <c r="K87" s="7"/>
      <c r="L87" s="7"/>
      <c r="M87" s="147"/>
      <c r="N87" s="5"/>
      <c r="O87" s="146"/>
      <c r="P87" s="7"/>
      <c r="Q87" s="7"/>
      <c r="R87" s="147"/>
      <c r="S87" s="5"/>
      <c r="T87" s="881"/>
      <c r="U87" s="882"/>
      <c r="V87" s="882"/>
      <c r="W87" s="883"/>
      <c r="X87" s="403"/>
      <c r="Y87" s="881"/>
      <c r="Z87" s="882"/>
      <c r="AA87" s="882"/>
      <c r="AB87" s="883"/>
      <c r="AC87" s="403"/>
      <c r="AD87" s="881"/>
      <c r="AE87" s="882"/>
      <c r="AF87" s="882"/>
      <c r="AG87" s="883"/>
      <c r="AH87" s="403"/>
      <c r="AI87" s="881"/>
      <c r="AJ87" s="882"/>
      <c r="AK87" s="882"/>
      <c r="AL87" s="883"/>
      <c r="AM87" s="403"/>
      <c r="AN87" s="881"/>
      <c r="AO87" s="882"/>
      <c r="AP87" s="882"/>
      <c r="AQ87" s="883"/>
      <c r="AR87" s="403"/>
      <c r="AS87" s="881"/>
      <c r="AT87" s="882"/>
      <c r="AU87" s="882"/>
      <c r="AV87" s="883"/>
      <c r="AW87" s="403"/>
      <c r="AX87" s="881"/>
      <c r="AY87" s="882"/>
      <c r="AZ87" s="882"/>
      <c r="BA87" s="883"/>
      <c r="BB87" s="403"/>
      <c r="BC87" s="881"/>
      <c r="BD87" s="882"/>
      <c r="BE87" s="882"/>
      <c r="BF87" s="883"/>
      <c r="BG87" s="403"/>
      <c r="BH87" s="881"/>
      <c r="BI87" s="882"/>
      <c r="BJ87" s="882"/>
      <c r="BK87" s="883"/>
      <c r="BL87" s="403"/>
      <c r="BM87" s="881"/>
      <c r="BN87" s="882"/>
      <c r="BO87" s="882"/>
      <c r="BP87" s="883"/>
      <c r="BQ87" s="884"/>
      <c r="BR87" s="403"/>
      <c r="BS87" s="1518"/>
      <c r="BT87" s="1519"/>
      <c r="BU87" s="1521"/>
      <c r="BV87" s="1494"/>
      <c r="BW87" s="1520"/>
    </row>
    <row r="88" spans="1:75">
      <c r="A88" s="108"/>
      <c r="B88" s="5"/>
      <c r="C88" s="1140" t="s">
        <v>521</v>
      </c>
      <c r="D88" s="5"/>
      <c r="E88" s="146"/>
      <c r="F88" s="7"/>
      <c r="G88" s="7"/>
      <c r="H88" s="147"/>
      <c r="I88" s="31"/>
      <c r="J88" s="146"/>
      <c r="K88" s="7"/>
      <c r="L88" s="7"/>
      <c r="M88" s="147"/>
      <c r="N88" s="5"/>
      <c r="O88" s="146"/>
      <c r="P88" s="7"/>
      <c r="Q88" s="7"/>
      <c r="R88" s="147"/>
      <c r="S88" s="5"/>
      <c r="T88" s="146"/>
      <c r="U88" s="7"/>
      <c r="V88" s="7"/>
      <c r="W88" s="147"/>
      <c r="X88" s="5"/>
      <c r="Y88" s="146"/>
      <c r="Z88" s="7"/>
      <c r="AA88" s="7"/>
      <c r="AB88" s="147"/>
      <c r="AC88" s="5"/>
      <c r="AD88" s="146"/>
      <c r="AE88" s="7"/>
      <c r="AF88" s="7"/>
      <c r="AG88" s="147"/>
      <c r="AH88" s="5"/>
      <c r="AI88" s="146"/>
      <c r="AJ88" s="7"/>
      <c r="AK88" s="7"/>
      <c r="AL88" s="147"/>
      <c r="AM88" s="5"/>
      <c r="AN88" s="146"/>
      <c r="AO88" s="7"/>
      <c r="AP88" s="7"/>
      <c r="AQ88" s="147"/>
      <c r="AR88" s="5"/>
      <c r="AS88" s="146"/>
      <c r="AT88" s="7"/>
      <c r="AU88" s="7"/>
      <c r="AV88" s="147"/>
      <c r="AW88" s="5"/>
      <c r="AX88" s="146"/>
      <c r="AY88" s="7"/>
      <c r="AZ88" s="7"/>
      <c r="BA88" s="147"/>
      <c r="BB88" s="5"/>
      <c r="BC88" s="146"/>
      <c r="BD88" s="7"/>
      <c r="BE88" s="7"/>
      <c r="BF88" s="147"/>
      <c r="BG88" s="5"/>
      <c r="BH88" s="146"/>
      <c r="BI88" s="7"/>
      <c r="BJ88" s="7"/>
      <c r="BK88" s="147"/>
      <c r="BL88" s="5"/>
      <c r="BM88" s="146"/>
      <c r="BN88" s="7"/>
      <c r="BO88" s="7"/>
      <c r="BP88" s="147"/>
      <c r="BQ88" s="873"/>
      <c r="BR88" s="5"/>
      <c r="BS88" s="1518"/>
      <c r="BT88" s="1519"/>
      <c r="BU88" s="1499"/>
      <c r="BV88" s="1494"/>
      <c r="BW88" s="1520"/>
    </row>
    <row r="89" spans="1:75">
      <c r="A89" s="108"/>
      <c r="B89" s="5"/>
      <c r="C89" s="1138" t="s">
        <v>515</v>
      </c>
      <c r="D89" s="5"/>
      <c r="E89" s="146"/>
      <c r="F89" s="7"/>
      <c r="G89" s="7"/>
      <c r="H89" s="147"/>
      <c r="I89" s="31"/>
      <c r="J89" s="146"/>
      <c r="K89" s="7"/>
      <c r="L89" s="7"/>
      <c r="M89" s="147"/>
      <c r="N89" s="5"/>
      <c r="O89" s="146"/>
      <c r="P89" s="7"/>
      <c r="Q89" s="7"/>
      <c r="R89" s="147"/>
      <c r="S89" s="5"/>
      <c r="T89" s="885">
        <f>'Market Prices'!O78</f>
        <v>10207.718317800258</v>
      </c>
      <c r="U89" s="886">
        <f>'Market Prices'!P78</f>
        <v>13937.121379905617</v>
      </c>
      <c r="V89" s="886">
        <f>'Market Prices'!Q78</f>
        <v>15132.551384701612</v>
      </c>
      <c r="W89" s="887">
        <f>'Market Prices'!R78</f>
        <v>12963.880511989042</v>
      </c>
      <c r="X89" s="832">
        <f>AVERAGE(T89:W89)</f>
        <v>13060.317898599133</v>
      </c>
      <c r="Y89" s="885">
        <f>'Market Prices'!S78</f>
        <v>11474.979818138521</v>
      </c>
      <c r="Z89" s="886">
        <f>'Market Prices'!T78</f>
        <v>10402.131258701407</v>
      </c>
      <c r="AA89" s="886">
        <f>'Market Prices'!U78</f>
        <v>14595.99188276675</v>
      </c>
      <c r="AB89" s="887">
        <f>'Market Prices'!V78</f>
        <v>15599.608908418337</v>
      </c>
      <c r="AC89" s="832">
        <f>AVERAGE(Y89:AB89)</f>
        <v>13018.177967006253</v>
      </c>
      <c r="AD89" s="885">
        <f>'Market Prices'!W78</f>
        <v>9818.857351275652</v>
      </c>
      <c r="AE89" s="886">
        <f>'Market Prices'!X78</f>
        <v>11887.120339338082</v>
      </c>
      <c r="AF89" s="886">
        <f>'Market Prices'!Y78</f>
        <v>15922.771678283798</v>
      </c>
      <c r="AG89" s="887">
        <f>'Market Prices'!Z78</f>
        <v>15026.318812665288</v>
      </c>
      <c r="AH89" s="832">
        <f>AVERAGE(AD89:AG89)</f>
        <v>13163.767045390705</v>
      </c>
      <c r="AI89" s="885">
        <f>'Market Prices'!AA78</f>
        <v>9835.9779023649571</v>
      </c>
      <c r="AJ89" s="886">
        <f>'Market Prices'!AB78</f>
        <v>11407.233144218615</v>
      </c>
      <c r="AK89" s="886">
        <f>'Market Prices'!AC78</f>
        <v>18666.071155473397</v>
      </c>
      <c r="AL89" s="887">
        <f>'Market Prices'!AD78</f>
        <v>17315.33127145606</v>
      </c>
      <c r="AM89" s="832">
        <f>AVERAGE(AI89:AL89)</f>
        <v>14306.153368378258</v>
      </c>
      <c r="AN89" s="885">
        <f>'Market Prices'!AF78</f>
        <v>16621.31367909328</v>
      </c>
      <c r="AO89" s="886">
        <f>'Market Prices'!AF78</f>
        <v>16621.31367909328</v>
      </c>
      <c r="AP89" s="886">
        <f>'Market Prices'!AH78</f>
        <v>14434.588536316558</v>
      </c>
      <c r="AQ89" s="887">
        <f>'Market Prices'!AH78</f>
        <v>14434.588536316558</v>
      </c>
      <c r="AR89" s="832">
        <f>AVERAGE(AN89:AQ89)</f>
        <v>15527.951107704919</v>
      </c>
      <c r="AS89" s="885">
        <f>'Market Prices'!AI78</f>
        <v>10264.218099859183</v>
      </c>
      <c r="AT89" s="886">
        <f>'Market Prices'!AJ78</f>
        <v>12389.285901147583</v>
      </c>
      <c r="AU89" s="886">
        <f>'Market Prices'!AK78</f>
        <v>13153.218506204936</v>
      </c>
      <c r="AV89" s="887">
        <f>'Market Prices'!AL78</f>
        <v>14925.254225358662</v>
      </c>
      <c r="AW89" s="832">
        <f>AVERAGE(AS89:AV89)</f>
        <v>12682.994183142589</v>
      </c>
      <c r="AX89" s="885">
        <f>'Market Prices'!AM78</f>
        <v>7994.7887216424933</v>
      </c>
      <c r="AY89" s="886">
        <f>'Market Prices'!AN78</f>
        <v>13122.990353697749</v>
      </c>
      <c r="AZ89" s="886">
        <f>'Market Prices'!AO78</f>
        <v>14125.083166999331</v>
      </c>
      <c r="BA89" s="887">
        <f>'Market Prices'!AP78</f>
        <v>13408.970976253298</v>
      </c>
      <c r="BB89" s="832">
        <f>AVERAGE(AX89:BA89)</f>
        <v>12162.958304648218</v>
      </c>
      <c r="BC89" s="885">
        <f>'Market Prices'!AQ78</f>
        <v>16121.702235183328</v>
      </c>
      <c r="BD89" s="886">
        <f>'Market Prices'!AR78</f>
        <v>17104.044129356756</v>
      </c>
      <c r="BE89" s="886">
        <f>'Market Prices'!AS78</f>
        <v>21029.097168692006</v>
      </c>
      <c r="BF89" s="887">
        <f>'Market Prices'!AT78</f>
        <v>8461.414086437906</v>
      </c>
      <c r="BG89" s="832">
        <f>AVERAGE(BC89:BF89)</f>
        <v>15679.064404917501</v>
      </c>
      <c r="BH89" s="885">
        <f>'Market Prices'!AU78</f>
        <v>15860.467045238278</v>
      </c>
      <c r="BI89" s="886">
        <f>'Market Prices'!AV78</f>
        <v>16826.891124557431</v>
      </c>
      <c r="BJ89" s="886">
        <f>'Market Prices'!AW78</f>
        <v>20688.34281700529</v>
      </c>
      <c r="BK89" s="887">
        <f>'Market Prices'!AX78</f>
        <v>8324.3057908107585</v>
      </c>
      <c r="BL89" s="832">
        <f>AVERAGE(BH89:BK89)</f>
        <v>15425.001694402939</v>
      </c>
      <c r="BM89" s="885">
        <f>BQ89</f>
        <v>13548.637947553741</v>
      </c>
      <c r="BN89" s="886">
        <f>BQ89</f>
        <v>13548.637947553741</v>
      </c>
      <c r="BO89" s="886">
        <f>BQ89</f>
        <v>13548.637947553741</v>
      </c>
      <c r="BP89" s="887">
        <f>BQ89</f>
        <v>13548.637947553741</v>
      </c>
      <c r="BQ89" s="888">
        <f>'Market Prices'!$BP$16/('Market Prices'!$BP$8+'Market Prices'!$BP$53)*1000</f>
        <v>13548.637947553741</v>
      </c>
      <c r="BR89" s="832"/>
      <c r="BS89" s="1518"/>
      <c r="BT89" s="1519"/>
      <c r="BU89" s="1524"/>
      <c r="BV89" s="1494"/>
      <c r="BW89" s="1520"/>
    </row>
    <row r="90" spans="1:75">
      <c r="A90" s="108"/>
      <c r="B90" s="5"/>
      <c r="C90" s="1138" t="s">
        <v>516</v>
      </c>
      <c r="D90" s="5"/>
      <c r="E90" s="146"/>
      <c r="F90" s="7"/>
      <c r="G90" s="7"/>
      <c r="H90" s="147"/>
      <c r="I90" s="31"/>
      <c r="J90" s="146"/>
      <c r="K90" s="7"/>
      <c r="L90" s="7"/>
      <c r="M90" s="147"/>
      <c r="N90" s="5"/>
      <c r="O90" s="146"/>
      <c r="P90" s="7"/>
      <c r="Q90" s="7"/>
      <c r="R90" s="147"/>
      <c r="S90" s="5"/>
      <c r="T90" s="885">
        <f>+'Market Prices'!O96</f>
        <v>8447.2140034917284</v>
      </c>
      <c r="U90" s="886">
        <f>+'Market Prices'!P96</f>
        <v>9230.5387992588858</v>
      </c>
      <c r="V90" s="886">
        <f>+'Market Prices'!Q96</f>
        <v>10110.347551066592</v>
      </c>
      <c r="W90" s="887">
        <f>+'Market Prices'!R96</f>
        <v>9797.5546476884065</v>
      </c>
      <c r="X90" s="832">
        <f>AVERAGE(T90:W90)</f>
        <v>9396.4137503764032</v>
      </c>
      <c r="Y90" s="885">
        <f>+'Market Prices'!S96</f>
        <v>9282.9445192863459</v>
      </c>
      <c r="Z90" s="886">
        <f>+'Market Prices'!T96</f>
        <v>7879.1357555234736</v>
      </c>
      <c r="AA90" s="886">
        <f>+'Market Prices'!U96</f>
        <v>8084.3226123072382</v>
      </c>
      <c r="AB90" s="887">
        <f>+'Market Prices'!V96</f>
        <v>11842.479560862408</v>
      </c>
      <c r="AC90" s="832">
        <f>AVERAGE(Y90:AB90)</f>
        <v>9272.2206119948678</v>
      </c>
      <c r="AD90" s="885">
        <f>+'Market Prices'!W96</f>
        <v>7345.0633802143266</v>
      </c>
      <c r="AE90" s="886">
        <f>+'Market Prices'!X96</f>
        <v>8666.8096880078447</v>
      </c>
      <c r="AF90" s="886">
        <f>+'Market Prices'!Y96</f>
        <v>10315.050379273025</v>
      </c>
      <c r="AG90" s="887">
        <f>+'Market Prices'!Z96</f>
        <v>9714.574534358846</v>
      </c>
      <c r="AH90" s="832">
        <f>AVERAGE(AD90:AG90)</f>
        <v>9010.3744954635113</v>
      </c>
      <c r="AI90" s="885">
        <f>+'Market Prices'!AA96</f>
        <v>8382.8453222230091</v>
      </c>
      <c r="AJ90" s="886">
        <f>+'Market Prices'!AB96</f>
        <v>7537.8738784383268</v>
      </c>
      <c r="AK90" s="886">
        <f>+'Market Prices'!AC96</f>
        <v>9837.7064039165271</v>
      </c>
      <c r="AL90" s="887">
        <f>+'Market Prices'!AD96</f>
        <v>10577.262881497305</v>
      </c>
      <c r="AM90" s="832">
        <f>AVERAGE(AI90:AL90)</f>
        <v>9083.9221215187918</v>
      </c>
      <c r="AN90" s="885">
        <f>+'Market Prices'!AF96</f>
        <v>10967.114786064982</v>
      </c>
      <c r="AO90" s="886">
        <f>+'Market Prices'!AF96</f>
        <v>10967.114786064982</v>
      </c>
      <c r="AP90" s="886">
        <f>+'Market Prices'!AH96</f>
        <v>10726.933653066462</v>
      </c>
      <c r="AQ90" s="887">
        <f>+'Market Prices'!AH96</f>
        <v>10726.933653066462</v>
      </c>
      <c r="AR90" s="832">
        <f>AVERAGE(AN90:AQ90)</f>
        <v>10847.024219565723</v>
      </c>
      <c r="AS90" s="885">
        <f>+'Market Prices'!AI96</f>
        <v>9142.7185751590077</v>
      </c>
      <c r="AT90" s="886">
        <f>+'Market Prices'!AJ96</f>
        <v>8545.6610120881614</v>
      </c>
      <c r="AU90" s="886">
        <f>+'Market Prices'!AK96</f>
        <v>8055.4469835426908</v>
      </c>
      <c r="AV90" s="887">
        <f>+'Market Prices'!AL96</f>
        <v>11859.057936160812</v>
      </c>
      <c r="AW90" s="832">
        <f>AVERAGE(AS90:AV90)</f>
        <v>9400.7211267376679</v>
      </c>
      <c r="AX90" s="885">
        <f>+'Market Prices'!AM96</f>
        <v>7106.0534420152553</v>
      </c>
      <c r="AY90" s="886">
        <f>+'Market Prices'!AN96</f>
        <v>9713.2904608788867</v>
      </c>
      <c r="AZ90" s="886">
        <f>+'Market Prices'!AO96</f>
        <v>9301.3972055888225</v>
      </c>
      <c r="BA90" s="887">
        <f>+'Market Prices'!AP96</f>
        <v>10670.184696569921</v>
      </c>
      <c r="BB90" s="832">
        <f>AVERAGE(AX90:BA90)</f>
        <v>9197.731451263222</v>
      </c>
      <c r="BC90" s="885">
        <f>+'Market Prices'!AQ96</f>
        <v>12523.856192309457</v>
      </c>
      <c r="BD90" s="886">
        <f>+'Market Prices'!AR96</f>
        <v>12126.37627431892</v>
      </c>
      <c r="BE90" s="886">
        <f>+'Market Prices'!AS96</f>
        <v>13524.643202910216</v>
      </c>
      <c r="BF90" s="887">
        <f>+'Market Prices'!AT96</f>
        <v>7225.3549785020023</v>
      </c>
      <c r="BG90" s="832">
        <f>AVERAGE(BC90:BF90)</f>
        <v>11350.057662010147</v>
      </c>
      <c r="BH90" s="885">
        <f>+'Market Prices'!AU96</f>
        <v>12284.65865189438</v>
      </c>
      <c r="BI90" s="886">
        <f>+'Market Prices'!AV96</f>
        <v>11894.770342853019</v>
      </c>
      <c r="BJ90" s="886">
        <f>+'Market Prices'!AW96</f>
        <v>13266.331278894815</v>
      </c>
      <c r="BK90" s="887">
        <f>+'Market Prices'!AX96</f>
        <v>7087.3553789421785</v>
      </c>
      <c r="BL90" s="832">
        <f>AVERAGE(BH90:BK90)</f>
        <v>11133.278913146098</v>
      </c>
      <c r="BM90" s="885">
        <f>BN90</f>
        <v>10224.284530230694</v>
      </c>
      <c r="BN90" s="886">
        <f>BO90</f>
        <v>10224.284530230694</v>
      </c>
      <c r="BO90" s="886">
        <f>BP90</f>
        <v>10224.284530230694</v>
      </c>
      <c r="BP90" s="887">
        <f>BQ90</f>
        <v>10224.284530230694</v>
      </c>
      <c r="BQ90" s="888">
        <f>'Market Prices'!$BP$34/('Market Prices'!$BP$8+'Market Prices'!$BP$53)*1000</f>
        <v>10224.284530230694</v>
      </c>
      <c r="BR90" s="832"/>
      <c r="BS90" s="1518"/>
      <c r="BT90" s="1519"/>
      <c r="BU90" s="1524"/>
      <c r="BV90" s="1494"/>
      <c r="BW90" s="1520"/>
    </row>
    <row r="91" spans="1:75">
      <c r="A91" s="108"/>
      <c r="B91" s="5"/>
      <c r="C91" s="1138"/>
      <c r="D91" s="5"/>
      <c r="E91" s="146"/>
      <c r="F91" s="7"/>
      <c r="G91" s="7"/>
      <c r="H91" s="147"/>
      <c r="I91" s="31"/>
      <c r="J91" s="146"/>
      <c r="K91" s="7"/>
      <c r="L91" s="7"/>
      <c r="M91" s="147"/>
      <c r="N91" s="5"/>
      <c r="O91" s="146"/>
      <c r="P91" s="7"/>
      <c r="Q91" s="7"/>
      <c r="R91" s="147"/>
      <c r="S91" s="5"/>
      <c r="T91" s="146"/>
      <c r="U91" s="7"/>
      <c r="V91" s="7"/>
      <c r="W91" s="147"/>
      <c r="X91" s="5"/>
      <c r="Y91" s="146"/>
      <c r="Z91" s="7"/>
      <c r="AA91" s="7"/>
      <c r="AB91" s="147"/>
      <c r="AC91" s="5"/>
      <c r="AD91" s="146"/>
      <c r="AE91" s="7"/>
      <c r="AF91" s="7"/>
      <c r="AG91" s="147"/>
      <c r="AH91" s="5"/>
      <c r="AI91" s="146"/>
      <c r="AJ91" s="7"/>
      <c r="AK91" s="7"/>
      <c r="AL91" s="147"/>
      <c r="AM91" s="5"/>
      <c r="AN91" s="146"/>
      <c r="AO91" s="7"/>
      <c r="AP91" s="7"/>
      <c r="AQ91" s="147"/>
      <c r="AR91" s="5"/>
      <c r="AS91" s="146"/>
      <c r="AT91" s="7"/>
      <c r="AU91" s="7"/>
      <c r="AV91" s="147"/>
      <c r="AW91" s="5"/>
      <c r="AX91" s="146"/>
      <c r="AY91" s="7"/>
      <c r="AZ91" s="7"/>
      <c r="BA91" s="147"/>
      <c r="BB91" s="5"/>
      <c r="BC91" s="146"/>
      <c r="BD91" s="7"/>
      <c r="BE91" s="7"/>
      <c r="BF91" s="147"/>
      <c r="BG91" s="5"/>
      <c r="BH91" s="146"/>
      <c r="BI91" s="7"/>
      <c r="BJ91" s="7"/>
      <c r="BK91" s="147"/>
      <c r="BL91" s="5"/>
      <c r="BM91" s="146"/>
      <c r="BN91" s="7"/>
      <c r="BO91" s="7"/>
      <c r="BP91" s="147"/>
      <c r="BQ91" s="873"/>
      <c r="BR91" s="5"/>
      <c r="BS91" s="1518"/>
      <c r="BT91" s="1519"/>
      <c r="BU91" s="1499"/>
      <c r="BV91" s="1494"/>
      <c r="BW91" s="1520"/>
    </row>
    <row r="92" spans="1:75">
      <c r="A92" s="108"/>
      <c r="B92" s="5"/>
      <c r="C92" s="1138" t="s">
        <v>518</v>
      </c>
      <c r="D92" s="5"/>
      <c r="E92" s="146"/>
      <c r="F92" s="7"/>
      <c r="G92" s="7"/>
      <c r="H92" s="147"/>
      <c r="I92" s="31"/>
      <c r="J92" s="146"/>
      <c r="K92" s="7"/>
      <c r="L92" s="7"/>
      <c r="M92" s="147"/>
      <c r="N92" s="5"/>
      <c r="O92" s="146"/>
      <c r="P92" s="7"/>
      <c r="Q92" s="7"/>
      <c r="R92" s="147"/>
      <c r="S92" s="5"/>
      <c r="T92" s="885">
        <f>'Market Prices'!O79</f>
        <v>11040.263568617833</v>
      </c>
      <c r="U92" s="886">
        <f>'Market Prices'!P79</f>
        <v>14052.827281024129</v>
      </c>
      <c r="V92" s="886">
        <f>'Market Prices'!Q79</f>
        <v>13593.795584312746</v>
      </c>
      <c r="W92" s="887">
        <f>'Market Prices'!R79</f>
        <v>10650.641750476832</v>
      </c>
      <c r="X92" s="832">
        <f>AVERAGE(T92:W92)</f>
        <v>12334.382046107885</v>
      </c>
      <c r="Y92" s="885">
        <f>'Market Prices'!S79</f>
        <v>10613.332343739214</v>
      </c>
      <c r="Z92" s="886">
        <f>'Market Prices'!T79</f>
        <v>9814.6604717116315</v>
      </c>
      <c r="AA92" s="886">
        <f>'Market Prices'!U79</f>
        <v>15217.027511328975</v>
      </c>
      <c r="AB92" s="887">
        <f>'Market Prices'!V79</f>
        <v>11622.060695219723</v>
      </c>
      <c r="AC92" s="832">
        <f>AVERAGE(Y92:AB92)</f>
        <v>11816.770255499887</v>
      </c>
      <c r="AD92" s="885">
        <f>'Market Prices'!W79</f>
        <v>8339.8677320762581</v>
      </c>
      <c r="AE92" s="886">
        <f>'Market Prices'!X79</f>
        <v>12089.696865123291</v>
      </c>
      <c r="AF92" s="886">
        <f>'Market Prices'!Y79</f>
        <v>17008.913404698229</v>
      </c>
      <c r="AG92" s="887">
        <f>'Market Prices'!Z79</f>
        <v>14242.244323975263</v>
      </c>
      <c r="AH92" s="832">
        <f>AVERAGE(AD92:AG92)</f>
        <v>12920.180581468259</v>
      </c>
      <c r="AI92" s="885">
        <f>'Market Prices'!AA79</f>
        <v>8245.126379457306</v>
      </c>
      <c r="AJ92" s="886">
        <f>'Market Prices'!AB79</f>
        <v>23636.495062483507</v>
      </c>
      <c r="AK92" s="886">
        <f>'Market Prices'!AC79</f>
        <v>29559.964278835214</v>
      </c>
      <c r="AL92" s="887">
        <f>'Market Prices'!AD79</f>
        <v>26840.274598772085</v>
      </c>
      <c r="AM92" s="832">
        <f>AVERAGE(AI92:AL92)</f>
        <v>22070.465079887028</v>
      </c>
      <c r="AN92" s="885">
        <f>'Market Prices'!AF79</f>
        <v>22601.852674604575</v>
      </c>
      <c r="AO92" s="886">
        <f>'Market Prices'!AF79</f>
        <v>22601.852674604575</v>
      </c>
      <c r="AP92" s="886">
        <f>'Market Prices'!AH79</f>
        <v>12233.948471734455</v>
      </c>
      <c r="AQ92" s="887">
        <f>'Market Prices'!AH79</f>
        <v>12233.948471734455</v>
      </c>
      <c r="AR92" s="832">
        <f>AVERAGE(AN92:AQ92)</f>
        <v>17417.900573169514</v>
      </c>
      <c r="AS92" s="885">
        <f>'Market Prices'!AI79</f>
        <v>9237.5699548947559</v>
      </c>
      <c r="AT92" s="886">
        <f>'Market Prices'!AJ79</f>
        <v>13374.181331245492</v>
      </c>
      <c r="AU92" s="886">
        <f>'Market Prices'!AK79</f>
        <v>19942.594548815701</v>
      </c>
      <c r="AV92" s="887">
        <f>'Market Prices'!AL79</f>
        <v>12811.212946664498</v>
      </c>
      <c r="AW92" s="832">
        <f>AVERAGE(AS92:AV92)</f>
        <v>13841.389695405112</v>
      </c>
      <c r="AX92" s="885">
        <f>'Market Prices'!AM79</f>
        <v>5561.1264063691815</v>
      </c>
      <c r="AY92" s="886">
        <f>'Market Prices'!AN79</f>
        <v>16904.797713941942</v>
      </c>
      <c r="AZ92" s="886">
        <f>'Market Prices'!AO79</f>
        <v>15195.195195195192</v>
      </c>
      <c r="BA92" s="887">
        <f>'Market Prices'!AP79</f>
        <v>14065.797641216635</v>
      </c>
      <c r="BB92" s="832">
        <f>AVERAGE(AX92:BA92)</f>
        <v>12931.729239180739</v>
      </c>
      <c r="BC92" s="885">
        <f>'Market Prices'!AQ79</f>
        <v>14527.253857531297</v>
      </c>
      <c r="BD92" s="886">
        <f>'Market Prices'!AR79</f>
        <v>19603.903225075555</v>
      </c>
      <c r="BE92" s="886">
        <f>'Market Prices'!AS79</f>
        <v>17640.554959788038</v>
      </c>
      <c r="BF92" s="887">
        <f>'Market Prices'!AT79</f>
        <v>7417.7739790369633</v>
      </c>
      <c r="BG92" s="832">
        <f>AVERAGE(BC92:BF92)</f>
        <v>14797.371505357962</v>
      </c>
      <c r="BH92" s="885">
        <f>'Market Prices'!AU79</f>
        <v>14642.155761170308</v>
      </c>
      <c r="BI92" s="886">
        <f>'Market Prices'!AV79</f>
        <v>19758.958393891811</v>
      </c>
      <c r="BJ92" s="886">
        <f>'Market Prices'!AW79</f>
        <v>17780.081216161496</v>
      </c>
      <c r="BK92" s="887">
        <f>'Market Prices'!AX79</f>
        <v>7476.4441419813102</v>
      </c>
      <c r="BL92" s="832">
        <f>AVERAGE(BH92:BK92)</f>
        <v>14914.40987830123</v>
      </c>
      <c r="BM92" s="885">
        <f t="shared" ref="BM92:BM93" si="275">BN92</f>
        <v>13370.305624345896</v>
      </c>
      <c r="BN92" s="886">
        <f t="shared" ref="BN92:BN93" si="276">BO92</f>
        <v>13370.305624345896</v>
      </c>
      <c r="BO92" s="886">
        <f t="shared" ref="BO92:BO93" si="277">BP92</f>
        <v>13370.305624345896</v>
      </c>
      <c r="BP92" s="887">
        <f t="shared" ref="BP92:BP93" si="278">BQ92</f>
        <v>13370.305624345896</v>
      </c>
      <c r="BQ92" s="888">
        <f>'Market Prices'!$BP$17/('Market Prices'!$BP$8+'Market Prices'!$BP$197)*1000</f>
        <v>13370.305624345896</v>
      </c>
      <c r="BR92" s="832"/>
      <c r="BS92" s="1518"/>
      <c r="BT92" s="1519"/>
      <c r="BU92" s="1524"/>
      <c r="BV92" s="1494"/>
      <c r="BW92" s="1520"/>
    </row>
    <row r="93" spans="1:75">
      <c r="A93" s="108"/>
      <c r="B93" s="5"/>
      <c r="C93" s="1138" t="s">
        <v>519</v>
      </c>
      <c r="D93" s="5"/>
      <c r="E93" s="146"/>
      <c r="F93" s="7"/>
      <c r="G93" s="7"/>
      <c r="H93" s="147"/>
      <c r="I93" s="31"/>
      <c r="J93" s="146"/>
      <c r="K93" s="7"/>
      <c r="L93" s="7"/>
      <c r="M93" s="147"/>
      <c r="N93" s="5"/>
      <c r="O93" s="146"/>
      <c r="P93" s="7"/>
      <c r="Q93" s="7"/>
      <c r="R93" s="147"/>
      <c r="S93" s="5"/>
      <c r="T93" s="885">
        <f>+'Market Prices'!O97</f>
        <v>8639.8374439110084</v>
      </c>
      <c r="U93" s="886">
        <f>+'Market Prices'!P97</f>
        <v>8438.5265301215695</v>
      </c>
      <c r="V93" s="886">
        <f>+'Market Prices'!Q97</f>
        <v>8950.6358841748479</v>
      </c>
      <c r="W93" s="887">
        <f>+'Market Prices'!R97</f>
        <v>8360.5518128974873</v>
      </c>
      <c r="X93" s="832">
        <f>AVERAGE(T93:W93)</f>
        <v>8597.3879177762283</v>
      </c>
      <c r="Y93" s="885">
        <f>+'Market Prices'!S97</f>
        <v>8283.8886860413586</v>
      </c>
      <c r="Z93" s="886">
        <f>+'Market Prices'!T97</f>
        <v>6843.1719383213203</v>
      </c>
      <c r="AA93" s="886">
        <f>+'Market Prices'!U97</f>
        <v>7359.8377490323146</v>
      </c>
      <c r="AB93" s="887">
        <f>+'Market Prices'!V97</f>
        <v>7354.2240723278701</v>
      </c>
      <c r="AC93" s="832">
        <f>AVERAGE(Y93:AB93)</f>
        <v>7460.2806114307159</v>
      </c>
      <c r="AD93" s="885">
        <f>+'Market Prices'!W97</f>
        <v>5887.49512865822</v>
      </c>
      <c r="AE93" s="886">
        <f>+'Market Prices'!X97</f>
        <v>7342.5870896590586</v>
      </c>
      <c r="AF93" s="886">
        <f>+'Market Prices'!Y97</f>
        <v>9428.2420655372098</v>
      </c>
      <c r="AG93" s="887">
        <f>+'Market Prices'!Z97</f>
        <v>7903.1028409842911</v>
      </c>
      <c r="AH93" s="832">
        <f>AVERAGE(AD93:AG93)</f>
        <v>7640.3567812096953</v>
      </c>
      <c r="AI93" s="885">
        <f>+'Market Prices'!AA97</f>
        <v>5838.4228171684554</v>
      </c>
      <c r="AJ93" s="886">
        <f>+'Market Prices'!AB97</f>
        <v>11231.838014387387</v>
      </c>
      <c r="AK93" s="886">
        <f>+'Market Prices'!AC97</f>
        <v>14895.865292939685</v>
      </c>
      <c r="AL93" s="887">
        <f>+'Market Prices'!AD97</f>
        <v>11088.680104153016</v>
      </c>
      <c r="AM93" s="832">
        <f>AVERAGE(AI93:AL93)</f>
        <v>10763.701557162136</v>
      </c>
      <c r="AN93" s="885">
        <f>+'Market Prices'!AF97</f>
        <v>9854.2125554743252</v>
      </c>
      <c r="AO93" s="886">
        <f>+'Market Prices'!AF97</f>
        <v>9854.2125554743252</v>
      </c>
      <c r="AP93" s="886">
        <f>+'Market Prices'!AH97</f>
        <v>7721.1693236924348</v>
      </c>
      <c r="AQ93" s="887">
        <f>+'Market Prices'!AH97</f>
        <v>7721.1693236924348</v>
      </c>
      <c r="AR93" s="832">
        <f>AVERAGE(AN93:AQ93)</f>
        <v>8787.6909395833791</v>
      </c>
      <c r="AS93" s="885">
        <f>+'Market Prices'!AI97</f>
        <v>6476.9106982314634</v>
      </c>
      <c r="AT93" s="886">
        <f>+'Market Prices'!AJ97</f>
        <v>5766.6546578633643</v>
      </c>
      <c r="AU93" s="886">
        <f>+'Market Prices'!AK97</f>
        <v>9936.1248110884608</v>
      </c>
      <c r="AV93" s="887">
        <f>+'Market Prices'!AL97</f>
        <v>7145.8747184646672</v>
      </c>
      <c r="AW93" s="832">
        <f>AVERAGE(AS93:AV93)</f>
        <v>7331.3912214119891</v>
      </c>
      <c r="AX93" s="885">
        <f>+'Market Prices'!AM97</f>
        <v>4993.9723459738043</v>
      </c>
      <c r="AY93" s="886">
        <f>+'Market Prices'!AN97</f>
        <v>14859.377349977438</v>
      </c>
      <c r="AZ93" s="886">
        <f>+'Market Prices'!AO97</f>
        <v>13198.198198198197</v>
      </c>
      <c r="BA93" s="887">
        <f>+'Market Prices'!AP97</f>
        <v>12321.539416511485</v>
      </c>
      <c r="BB93" s="832">
        <f>AVERAGE(AX93:BA93)</f>
        <v>11343.27182766523</v>
      </c>
      <c r="BC93" s="885">
        <f>+'Market Prices'!AQ97</f>
        <v>13766.147964572425</v>
      </c>
      <c r="BD93" s="886">
        <f>+'Market Prices'!AR97</f>
        <v>17987.083179969206</v>
      </c>
      <c r="BE93" s="886">
        <f>+'Market Prices'!AS97</f>
        <v>15264.015012002199</v>
      </c>
      <c r="BF93" s="887">
        <f>+'Market Prices'!AT97</f>
        <v>6334.5447057720257</v>
      </c>
      <c r="BG93" s="832">
        <f>AVERAGE(BC93:BF93)</f>
        <v>13337.947715578963</v>
      </c>
      <c r="BH93" s="885">
        <f>+'Market Prices'!AU97</f>
        <v>13835.817936941603</v>
      </c>
      <c r="BI93" s="886">
        <f>+'Market Prices'!AV97</f>
        <v>18078.115151394733</v>
      </c>
      <c r="BJ93" s="886">
        <f>+'Market Prices'!AW97</f>
        <v>15341.265634824622</v>
      </c>
      <c r="BK93" s="887">
        <f>+'Market Prices'!AX97</f>
        <v>6366.603605310097</v>
      </c>
      <c r="BL93" s="832">
        <f>AVERAGE(BH93:BK93)</f>
        <v>13405.450582117764</v>
      </c>
      <c r="BM93" s="885">
        <f t="shared" si="275"/>
        <v>12001.018747483286</v>
      </c>
      <c r="BN93" s="886">
        <f t="shared" si="276"/>
        <v>12001.018747483286</v>
      </c>
      <c r="BO93" s="886">
        <f t="shared" si="277"/>
        <v>12001.018747483286</v>
      </c>
      <c r="BP93" s="887">
        <f t="shared" si="278"/>
        <v>12001.018747483286</v>
      </c>
      <c r="BQ93" s="888">
        <f>'Market Prices'!$BP$35/('Market Prices'!$BP$8+'Market Prices'!$BP$197)*1000</f>
        <v>12001.018747483286</v>
      </c>
      <c r="BR93" s="832"/>
      <c r="BS93" s="1518"/>
      <c r="BT93" s="1519"/>
      <c r="BU93" s="1524"/>
      <c r="BV93" s="1494"/>
      <c r="BW93" s="1520"/>
    </row>
    <row r="94" spans="1:75">
      <c r="A94" s="108"/>
      <c r="B94" s="5"/>
      <c r="C94" s="1138"/>
      <c r="D94" s="5"/>
      <c r="E94" s="146"/>
      <c r="F94" s="7"/>
      <c r="G94" s="7"/>
      <c r="H94" s="147"/>
      <c r="I94" s="31"/>
      <c r="J94" s="146"/>
      <c r="K94" s="7"/>
      <c r="L94" s="7"/>
      <c r="M94" s="147"/>
      <c r="N94" s="5"/>
      <c r="O94" s="146"/>
      <c r="P94" s="7"/>
      <c r="Q94" s="7"/>
      <c r="R94" s="147"/>
      <c r="S94" s="5"/>
      <c r="T94" s="146"/>
      <c r="U94" s="7"/>
      <c r="V94" s="7"/>
      <c r="W94" s="147"/>
      <c r="X94" s="5"/>
      <c r="Y94" s="146"/>
      <c r="Z94" s="7"/>
      <c r="AA94" s="7"/>
      <c r="AB94" s="147"/>
      <c r="AC94" s="5"/>
      <c r="AD94" s="146"/>
      <c r="AE94" s="7"/>
      <c r="AF94" s="7"/>
      <c r="AG94" s="147"/>
      <c r="AH94" s="5"/>
      <c r="AI94" s="146"/>
      <c r="AJ94" s="7"/>
      <c r="AK94" s="7"/>
      <c r="AL94" s="147"/>
      <c r="AM94" s="5"/>
      <c r="AN94" s="146"/>
      <c r="AO94" s="7"/>
      <c r="AP94" s="7"/>
      <c r="AQ94" s="147"/>
      <c r="AR94" s="5"/>
      <c r="AS94" s="146"/>
      <c r="AT94" s="7"/>
      <c r="AU94" s="7"/>
      <c r="AV94" s="147"/>
      <c r="AW94" s="5"/>
      <c r="AX94" s="146"/>
      <c r="AY94" s="7"/>
      <c r="AZ94" s="7"/>
      <c r="BA94" s="147"/>
      <c r="BB94" s="5"/>
      <c r="BC94" s="146"/>
      <c r="BD94" s="7"/>
      <c r="BE94" s="7"/>
      <c r="BF94" s="147"/>
      <c r="BG94" s="5"/>
      <c r="BH94" s="146"/>
      <c r="BI94" s="7"/>
      <c r="BJ94" s="7"/>
      <c r="BK94" s="147"/>
      <c r="BL94" s="5"/>
      <c r="BM94" s="146"/>
      <c r="BN94" s="7"/>
      <c r="BO94" s="7"/>
      <c r="BP94" s="147"/>
      <c r="BQ94" s="873"/>
      <c r="BR94" s="5"/>
      <c r="BS94" s="1518"/>
      <c r="BT94" s="1519"/>
      <c r="BU94" s="1499"/>
      <c r="BV94" s="1494"/>
      <c r="BW94" s="1520"/>
    </row>
    <row r="95" spans="1:75">
      <c r="A95" s="108"/>
      <c r="B95" s="5"/>
      <c r="C95" s="1138" t="s">
        <v>524</v>
      </c>
      <c r="D95" s="5"/>
      <c r="E95" s="146"/>
      <c r="F95" s="7"/>
      <c r="G95" s="7"/>
      <c r="H95" s="147"/>
      <c r="I95" s="31"/>
      <c r="J95" s="146"/>
      <c r="K95" s="7"/>
      <c r="L95" s="7"/>
      <c r="M95" s="147"/>
      <c r="N95" s="5"/>
      <c r="O95" s="146"/>
      <c r="P95" s="7"/>
      <c r="Q95" s="7"/>
      <c r="R95" s="147"/>
      <c r="S95" s="5"/>
      <c r="T95" s="885">
        <f>'Market Prices'!O80</f>
        <v>10858.411061353236</v>
      </c>
      <c r="U95" s="886">
        <f>'Market Prices'!P80</f>
        <v>17096.327622236855</v>
      </c>
      <c r="V95" s="886">
        <f>'Market Prices'!Q80</f>
        <v>16321.388541509912</v>
      </c>
      <c r="W95" s="887">
        <f>'Market Prices'!R80</f>
        <v>11936.102955529621</v>
      </c>
      <c r="X95" s="832">
        <f>AVERAGE(T95:W95)</f>
        <v>14053.057545157406</v>
      </c>
      <c r="Y95" s="885">
        <f>'Market Prices'!S80</f>
        <v>9200.0602031750641</v>
      </c>
      <c r="Z95" s="886">
        <f>'Market Prices'!T80</f>
        <v>10943.30469533352</v>
      </c>
      <c r="AA95" s="886">
        <f>'Market Prices'!U80</f>
        <v>16839.305638511436</v>
      </c>
      <c r="AB95" s="887">
        <f>'Market Prices'!V80</f>
        <v>11507.281614895146</v>
      </c>
      <c r="AC95" s="832">
        <f>AVERAGE(Y95:AB95)</f>
        <v>12122.488037978792</v>
      </c>
      <c r="AD95" s="885">
        <f>'Market Prices'!W80</f>
        <v>8513.2984461369888</v>
      </c>
      <c r="AE95" s="886">
        <f>'Market Prices'!X80</f>
        <v>12214.306661080853</v>
      </c>
      <c r="AF95" s="886">
        <f>'Market Prices'!Y80</f>
        <v>15533.074957564382</v>
      </c>
      <c r="AG95" s="887">
        <f>'Market Prices'!Z80</f>
        <v>13169.174296902111</v>
      </c>
      <c r="AH95" s="832">
        <f>AVERAGE(AD95:AG95)</f>
        <v>12357.463590421085</v>
      </c>
      <c r="AI95" s="885">
        <f>'Market Prices'!AA80</f>
        <v>8752.0153850948955</v>
      </c>
      <c r="AJ95" s="886">
        <f>'Market Prices'!AB80</f>
        <v>13044.571585464208</v>
      </c>
      <c r="AK95" s="886">
        <f>'Market Prices'!AC80</f>
        <v>16897.690788927091</v>
      </c>
      <c r="AL95" s="887">
        <f>'Market Prices'!AD80</f>
        <v>14276.849559241589</v>
      </c>
      <c r="AM95" s="832">
        <f>AVERAGE(AI95:AL95)</f>
        <v>13242.781829681946</v>
      </c>
      <c r="AN95" s="885">
        <f>'Market Prices'!AF80</f>
        <v>16600.643581221062</v>
      </c>
      <c r="AO95" s="886">
        <f>'Market Prices'!AF80</f>
        <v>16600.643581221062</v>
      </c>
      <c r="AP95" s="886">
        <f>'Market Prices'!AH80</f>
        <v>13059.678246218231</v>
      </c>
      <c r="AQ95" s="887">
        <f>'Market Prices'!AH80</f>
        <v>13059.678246218231</v>
      </c>
      <c r="AR95" s="832">
        <f>AVERAGE(AN95:AQ95)</f>
        <v>14830.160913719646</v>
      </c>
      <c r="AS95" s="885">
        <f>'Market Prices'!AI80</f>
        <v>10564.639678870024</v>
      </c>
      <c r="AT95" s="886">
        <f>'Market Prices'!AJ80</f>
        <v>12417.855523387629</v>
      </c>
      <c r="AU95" s="886">
        <f>'Market Prices'!AK80</f>
        <v>13595.184996214484</v>
      </c>
      <c r="AV95" s="887">
        <f>'Market Prices'!AL80</f>
        <v>11881.520868816107</v>
      </c>
      <c r="AW95" s="832">
        <f>AVERAGE(AS95:AV95)</f>
        <v>12114.800266822062</v>
      </c>
      <c r="AX95" s="885">
        <f>'Market Prices'!AM80</f>
        <v>6442.6306762573604</v>
      </c>
      <c r="AY95" s="886">
        <f>'Market Prices'!AN80</f>
        <v>14924.97320471597</v>
      </c>
      <c r="AZ95" s="886">
        <f>'Market Prices'!AO80</f>
        <v>11663.33998669328</v>
      </c>
      <c r="BA95" s="887">
        <f>'Market Prices'!AP80</f>
        <v>13240.105540897099</v>
      </c>
      <c r="BB95" s="832">
        <f>AVERAGE(AX95:BA95)</f>
        <v>11567.762352140928</v>
      </c>
      <c r="BC95" s="885">
        <f>'Market Prices'!AQ80</f>
        <v>15902.941350771327</v>
      </c>
      <c r="BD95" s="886">
        <f>'Market Prices'!AR80</f>
        <v>19127.171748689459</v>
      </c>
      <c r="BE95" s="886">
        <f>'Market Prices'!AS80</f>
        <v>16072.965189791517</v>
      </c>
      <c r="BF95" s="887">
        <f>'Market Prices'!AT80</f>
        <v>6473.9168195960674</v>
      </c>
      <c r="BG95" s="832">
        <f>AVERAGE(BC95:BF95)</f>
        <v>14394.248777212093</v>
      </c>
      <c r="BH95" s="885">
        <f>'Market Prices'!AU80</f>
        <v>15877.25457081885</v>
      </c>
      <c r="BI95" s="886">
        <f>'Market Prices'!AV80</f>
        <v>19096.277121023737</v>
      </c>
      <c r="BJ95" s="886">
        <f>'Market Prices'!AW80</f>
        <v>16047.003783602089</v>
      </c>
      <c r="BK95" s="887">
        <f>'Market Prices'!AX80</f>
        <v>6463.460007041228</v>
      </c>
      <c r="BL95" s="832">
        <f>AVERAGE(BH95:BK95)</f>
        <v>14370.998870621475</v>
      </c>
      <c r="BM95" s="885">
        <f t="shared" ref="BM95:BM96" si="279">BN95</f>
        <v>12682.235244068588</v>
      </c>
      <c r="BN95" s="886">
        <f t="shared" ref="BN95" si="280">BO95</f>
        <v>12682.235244068588</v>
      </c>
      <c r="BO95" s="886">
        <f t="shared" ref="BO95:BO96" si="281">BP95</f>
        <v>12682.235244068588</v>
      </c>
      <c r="BP95" s="887">
        <f t="shared" ref="BP95:BP96" si="282">BQ95</f>
        <v>12682.235244068588</v>
      </c>
      <c r="BQ95" s="888">
        <f>'Market Prices'!$BP$18/('Market Prices'!$BP$8+'Market Prices'!$BP$198)*1000</f>
        <v>12682.235244068588</v>
      </c>
      <c r="BR95" s="832"/>
      <c r="BS95" s="1518"/>
      <c r="BT95" s="1519"/>
      <c r="BU95" s="1524"/>
      <c r="BV95" s="1494"/>
      <c r="BW95" s="1520"/>
    </row>
    <row r="96" spans="1:75">
      <c r="A96" s="108"/>
      <c r="B96" s="5"/>
      <c r="C96" s="1138" t="s">
        <v>525</v>
      </c>
      <c r="D96" s="5"/>
      <c r="E96" s="146"/>
      <c r="F96" s="7"/>
      <c r="G96" s="7"/>
      <c r="H96" s="147"/>
      <c r="I96" s="31"/>
      <c r="J96" s="146"/>
      <c r="K96" s="7"/>
      <c r="L96" s="7"/>
      <c r="M96" s="147"/>
      <c r="N96" s="5"/>
      <c r="O96" s="146"/>
      <c r="P96" s="7"/>
      <c r="Q96" s="7"/>
      <c r="R96" s="147"/>
      <c r="S96" s="5"/>
      <c r="T96" s="885">
        <f>+'Market Prices'!O98</f>
        <v>8437.495171565226</v>
      </c>
      <c r="U96" s="886">
        <f>+'Market Prices'!P98</f>
        <v>8970.6692026012824</v>
      </c>
      <c r="V96" s="886">
        <f>+'Market Prices'!Q98</f>
        <v>10076.119613780258</v>
      </c>
      <c r="W96" s="887">
        <f>+'Market Prices'!R98</f>
        <v>9230.9471653996989</v>
      </c>
      <c r="X96" s="832">
        <f>AVERAGE(T96:W96)</f>
        <v>9178.8077883366168</v>
      </c>
      <c r="Y96" s="885">
        <f>+'Market Prices'!S98</f>
        <v>7249.062381710246</v>
      </c>
      <c r="Z96" s="886">
        <f>+'Market Prices'!T98</f>
        <v>7720.0856088085848</v>
      </c>
      <c r="AA96" s="886">
        <f>+'Market Prices'!U98</f>
        <v>8293.4171259897885</v>
      </c>
      <c r="AB96" s="887">
        <f>+'Market Prices'!V98</f>
        <v>8457.6272733481783</v>
      </c>
      <c r="AC96" s="832">
        <f>AVERAGE(Y96:AB96)</f>
        <v>7930.0480974641996</v>
      </c>
      <c r="AD96" s="885">
        <f>+'Market Prices'!W98</f>
        <v>6117.7451995103747</v>
      </c>
      <c r="AE96" s="886">
        <f>+'Market Prices'!X98</f>
        <v>8147.412648795138</v>
      </c>
      <c r="AF96" s="886">
        <f>+'Market Prices'!Y98</f>
        <v>9952.2595955805282</v>
      </c>
      <c r="AG96" s="887">
        <f>+'Market Prices'!Z98</f>
        <v>8215.7123443567598</v>
      </c>
      <c r="AH96" s="832">
        <f>AVERAGE(AD96:AG96)</f>
        <v>8108.2824470607011</v>
      </c>
      <c r="AI96" s="885">
        <f>+'Market Prices'!AA98</f>
        <v>6590.0424387770508</v>
      </c>
      <c r="AJ96" s="886">
        <f>+'Market Prices'!AB98</f>
        <v>7771.3067261298047</v>
      </c>
      <c r="AK96" s="886">
        <f>+'Market Prices'!AC98</f>
        <v>9737.8690075852119</v>
      </c>
      <c r="AL96" s="887">
        <f>+'Market Prices'!AD98</f>
        <v>9049.3951916015685</v>
      </c>
      <c r="AM96" s="832">
        <f>AVERAGE(AI96:AL96)</f>
        <v>8287.1533410234078</v>
      </c>
      <c r="AN96" s="885">
        <f>+'Market Prices'!AF98</f>
        <v>11384.80330532701</v>
      </c>
      <c r="AO96" s="886">
        <f>+'Market Prices'!AF98</f>
        <v>11384.80330532701</v>
      </c>
      <c r="AP96" s="886">
        <f>+'Market Prices'!AH98</f>
        <v>9606.9455878853478</v>
      </c>
      <c r="AQ96" s="887">
        <f>+'Market Prices'!AH98</f>
        <v>9606.9455878853478</v>
      </c>
      <c r="AR96" s="832">
        <f>AVERAGE(AN96:AQ96)</f>
        <v>10495.87444660618</v>
      </c>
      <c r="AS96" s="885">
        <f>+'Market Prices'!AI98</f>
        <v>8859.0498337299687</v>
      </c>
      <c r="AT96" s="886">
        <f>+'Market Prices'!AJ98</f>
        <v>7917.1918496624576</v>
      </c>
      <c r="AU96" s="886">
        <f>+'Market Prices'!AK98</f>
        <v>7966.5045898410899</v>
      </c>
      <c r="AV96" s="887">
        <f>+'Market Prices'!AL98</f>
        <v>8139.7228227011701</v>
      </c>
      <c r="AW96" s="832">
        <f>AVERAGE(AS96:AV96)</f>
        <v>8220.6172739836711</v>
      </c>
      <c r="AX96" s="885">
        <f>+'Market Prices'!AM98</f>
        <v>5720.6374459995504</v>
      </c>
      <c r="AY96" s="886">
        <f>+'Market Prices'!AN98</f>
        <v>15353.697749196142</v>
      </c>
      <c r="AZ96" s="886">
        <f>+'Market Prices'!AO98</f>
        <v>13013.972055888224</v>
      </c>
      <c r="BA96" s="887">
        <f>+'Market Prices'!AP98</f>
        <v>13234.828496042217</v>
      </c>
      <c r="BB96" s="832">
        <f>AVERAGE(AX96:BA96)</f>
        <v>11830.783936781534</v>
      </c>
      <c r="BC96" s="885">
        <f>+'Market Prices'!AQ98</f>
        <v>14914.155984907466</v>
      </c>
      <c r="BD96" s="886">
        <f>+'Market Prices'!AR98</f>
        <v>20592.143562519603</v>
      </c>
      <c r="BE96" s="886">
        <f>+'Market Prices'!AS98</f>
        <v>17789.229705526392</v>
      </c>
      <c r="BF96" s="887">
        <f>+'Market Prices'!AT98</f>
        <v>6358.814301275911</v>
      </c>
      <c r="BG96" s="832">
        <f>AVERAGE(BC96:BF96)</f>
        <v>14913.585888557343</v>
      </c>
      <c r="BH96" s="885">
        <f>+'Market Prices'!AU98</f>
        <v>14783.03187245478</v>
      </c>
      <c r="BI96" s="886">
        <f>+'Market Prices'!AV98</f>
        <v>20411.099019947695</v>
      </c>
      <c r="BJ96" s="886">
        <f>+'Market Prices'!AW98</f>
        <v>17632.828166028303</v>
      </c>
      <c r="BK96" s="887">
        <f>+'Market Prices'!AX98</f>
        <v>6302.9080949609152</v>
      </c>
      <c r="BL96" s="832">
        <f>AVERAGE(BH96:BK96)</f>
        <v>14782.466788347923</v>
      </c>
      <c r="BM96" s="885">
        <f t="shared" si="279"/>
        <v>12629.708486236996</v>
      </c>
      <c r="BN96" s="886">
        <f>BO96</f>
        <v>12629.708486236996</v>
      </c>
      <c r="BO96" s="886">
        <f t="shared" si="281"/>
        <v>12629.708486236996</v>
      </c>
      <c r="BP96" s="887">
        <f t="shared" si="282"/>
        <v>12629.708486236996</v>
      </c>
      <c r="BQ96" s="888">
        <f>'Market Prices'!$BP$36/('Market Prices'!$BP$8+'Market Prices'!$BP$198)*1000</f>
        <v>12629.708486236996</v>
      </c>
      <c r="BR96" s="832"/>
      <c r="BS96" s="1518"/>
      <c r="BT96" s="1519"/>
      <c r="BU96" s="1524"/>
      <c r="BV96" s="1494"/>
      <c r="BW96" s="1520"/>
    </row>
    <row r="97" spans="1:75">
      <c r="A97" s="108"/>
      <c r="B97" s="5"/>
      <c r="C97" s="1138"/>
      <c r="D97" s="5"/>
      <c r="E97" s="146"/>
      <c r="F97" s="7"/>
      <c r="G97" s="7"/>
      <c r="H97" s="147"/>
      <c r="I97" s="31"/>
      <c r="J97" s="146"/>
      <c r="K97" s="7"/>
      <c r="L97" s="7"/>
      <c r="M97" s="147"/>
      <c r="N97" s="5"/>
      <c r="O97" s="146"/>
      <c r="P97" s="7"/>
      <c r="Q97" s="7"/>
      <c r="R97" s="147"/>
      <c r="S97" s="5"/>
      <c r="T97" s="885"/>
      <c r="U97" s="886"/>
      <c r="V97" s="886"/>
      <c r="W97" s="887"/>
      <c r="X97" s="832"/>
      <c r="Y97" s="885"/>
      <c r="Z97" s="886"/>
      <c r="AA97" s="886"/>
      <c r="AB97" s="887"/>
      <c r="AC97" s="832"/>
      <c r="AD97" s="885"/>
      <c r="AE97" s="886"/>
      <c r="AF97" s="886"/>
      <c r="AG97" s="887"/>
      <c r="AH97" s="832"/>
      <c r="AI97" s="885"/>
      <c r="AJ97" s="886"/>
      <c r="AK97" s="886"/>
      <c r="AL97" s="887"/>
      <c r="AM97" s="832"/>
      <c r="AN97" s="885"/>
      <c r="AO97" s="886"/>
      <c r="AP97" s="886"/>
      <c r="AQ97" s="887"/>
      <c r="AR97" s="832"/>
      <c r="AS97" s="885"/>
      <c r="AT97" s="886"/>
      <c r="AU97" s="886"/>
      <c r="AV97" s="887"/>
      <c r="AW97" s="832"/>
      <c r="AX97" s="885"/>
      <c r="AY97" s="886"/>
      <c r="AZ97" s="886"/>
      <c r="BA97" s="887"/>
      <c r="BB97" s="832"/>
      <c r="BC97" s="885"/>
      <c r="BD97" s="886"/>
      <c r="BE97" s="886"/>
      <c r="BF97" s="887"/>
      <c r="BG97" s="832"/>
      <c r="BH97" s="885"/>
      <c r="BI97" s="886"/>
      <c r="BJ97" s="886"/>
      <c r="BK97" s="887"/>
      <c r="BL97" s="832"/>
      <c r="BM97" s="885"/>
      <c r="BN97" s="886"/>
      <c r="BO97" s="886"/>
      <c r="BP97" s="887"/>
      <c r="BQ97" s="888"/>
      <c r="BR97" s="832"/>
      <c r="BS97" s="1518"/>
      <c r="BT97" s="1519"/>
      <c r="BU97" s="1524"/>
      <c r="BV97" s="1494"/>
      <c r="BW97" s="1520"/>
    </row>
    <row r="98" spans="1:75">
      <c r="A98" s="108"/>
      <c r="B98" s="5"/>
      <c r="C98" s="1140" t="s">
        <v>522</v>
      </c>
      <c r="D98" s="5"/>
      <c r="E98" s="146"/>
      <c r="F98" s="7"/>
      <c r="G98" s="7"/>
      <c r="H98" s="147"/>
      <c r="I98" s="31"/>
      <c r="J98" s="146"/>
      <c r="K98" s="7"/>
      <c r="L98" s="7"/>
      <c r="M98" s="147"/>
      <c r="N98" s="5"/>
      <c r="O98" s="146"/>
      <c r="P98" s="7"/>
      <c r="Q98" s="7"/>
      <c r="R98" s="147"/>
      <c r="S98" s="5"/>
      <c r="T98" s="146"/>
      <c r="U98" s="7"/>
      <c r="V98" s="7"/>
      <c r="W98" s="147"/>
      <c r="X98" s="5"/>
      <c r="Y98" s="146"/>
      <c r="Z98" s="7"/>
      <c r="AA98" s="7"/>
      <c r="AB98" s="147"/>
      <c r="AC98" s="5"/>
      <c r="AD98" s="146"/>
      <c r="AE98" s="7"/>
      <c r="AF98" s="7"/>
      <c r="AG98" s="147"/>
      <c r="AH98" s="5"/>
      <c r="AI98" s="146"/>
      <c r="AJ98" s="7"/>
      <c r="AK98" s="7"/>
      <c r="AL98" s="147"/>
      <c r="AM98" s="5"/>
      <c r="AN98" s="146"/>
      <c r="AO98" s="7"/>
      <c r="AP98" s="7"/>
      <c r="AQ98" s="147"/>
      <c r="AR98" s="5"/>
      <c r="AS98" s="146"/>
      <c r="AT98" s="7"/>
      <c r="AU98" s="7"/>
      <c r="AV98" s="147"/>
      <c r="AW98" s="5"/>
      <c r="AX98" s="146"/>
      <c r="AY98" s="7"/>
      <c r="AZ98" s="7"/>
      <c r="BA98" s="147"/>
      <c r="BB98" s="5"/>
      <c r="BC98" s="146"/>
      <c r="BD98" s="7"/>
      <c r="BE98" s="7"/>
      <c r="BF98" s="147"/>
      <c r="BG98" s="5"/>
      <c r="BH98" s="146"/>
      <c r="BI98" s="7"/>
      <c r="BJ98" s="7"/>
      <c r="BK98" s="147"/>
      <c r="BL98" s="5"/>
      <c r="BM98" s="146"/>
      <c r="BN98" s="7"/>
      <c r="BO98" s="7"/>
      <c r="BP98" s="147"/>
      <c r="BQ98" s="873"/>
      <c r="BR98" s="5"/>
      <c r="BS98" s="1518"/>
      <c r="BT98" s="1519"/>
      <c r="BU98" s="1520"/>
      <c r="BV98" s="1494"/>
      <c r="BW98" s="1520"/>
    </row>
    <row r="99" spans="1:75">
      <c r="A99" s="108"/>
      <c r="B99" s="5"/>
      <c r="C99" s="1141" t="s">
        <v>53</v>
      </c>
      <c r="D99" s="5"/>
      <c r="E99" s="146"/>
      <c r="F99" s="7"/>
      <c r="G99" s="7"/>
      <c r="H99" s="147"/>
      <c r="I99" s="31"/>
      <c r="J99" s="146"/>
      <c r="K99" s="7"/>
      <c r="L99" s="7"/>
      <c r="M99" s="147"/>
      <c r="N99" s="5"/>
      <c r="O99" s="146"/>
      <c r="P99" s="7"/>
      <c r="Q99" s="7"/>
      <c r="R99" s="147"/>
      <c r="S99" s="889"/>
      <c r="T99" s="890">
        <f>'Market Prices'!O123</f>
        <v>5</v>
      </c>
      <c r="U99" s="891">
        <f>'Market Prices'!P123</f>
        <v>29</v>
      </c>
      <c r="V99" s="891">
        <f>'Market Prices'!Q123</f>
        <v>41</v>
      </c>
      <c r="W99" s="892">
        <f>'Market Prices'!R123</f>
        <v>31.666666666666668</v>
      </c>
      <c r="X99" s="893">
        <f>AVERAGE(T99:W99)</f>
        <v>26.666666666666668</v>
      </c>
      <c r="Y99" s="894">
        <f>'Market Prices'!S123</f>
        <v>27</v>
      </c>
      <c r="Z99" s="895">
        <f>'Market Prices'!T123</f>
        <v>101</v>
      </c>
      <c r="AA99" s="895">
        <f>'Market Prices'!U123</f>
        <v>138</v>
      </c>
      <c r="AB99" s="896">
        <f>'Market Prices'!V123</f>
        <v>108.66666666666667</v>
      </c>
      <c r="AC99" s="893">
        <f>AVERAGE(Y99:AB99)</f>
        <v>93.666666666666671</v>
      </c>
      <c r="AD99" s="894">
        <f>'Market Prices'!W123</f>
        <v>94</v>
      </c>
      <c r="AE99" s="895">
        <f>'Market Prices'!X123</f>
        <v>144</v>
      </c>
      <c r="AF99" s="895">
        <f>'Market Prices'!Y123</f>
        <v>169</v>
      </c>
      <c r="AG99" s="896">
        <f>'Market Prices'!Z123</f>
        <v>108.38812785388127</v>
      </c>
      <c r="AH99" s="893">
        <f>AVERAGE(AD99:AG99)</f>
        <v>128.84703196347033</v>
      </c>
      <c r="AI99" s="894">
        <f>'Market Prices'!AA123</f>
        <v>78.082191780821915</v>
      </c>
      <c r="AJ99" s="895">
        <f>'Market Prices'!AB123</f>
        <v>103.83561643835614</v>
      </c>
      <c r="AK99" s="895">
        <f>'Market Prices'!AC123</f>
        <v>116.71232876712327</v>
      </c>
      <c r="AL99" s="896">
        <f>'Market Prices'!AD123</f>
        <v>63.452054794520535</v>
      </c>
      <c r="AM99" s="893">
        <f>AVERAGE(AI99:AL99)</f>
        <v>90.520547945205465</v>
      </c>
      <c r="AN99" s="894">
        <f>'Market Prices'!AF123</f>
        <v>91.61643835616438</v>
      </c>
      <c r="AO99" s="1927">
        <v>85.698630136986296</v>
      </c>
      <c r="AP99" s="1927">
        <v>119.01369863013699</v>
      </c>
      <c r="AQ99" s="1928">
        <v>82.410958904109577</v>
      </c>
      <c r="AR99" s="893">
        <f>AVERAGE(AN99:AQ99)</f>
        <v>94.68493150684931</v>
      </c>
      <c r="AS99" s="894">
        <f>'Market Prices'!AI123</f>
        <v>24.657534246575342</v>
      </c>
      <c r="AT99" s="895">
        <f>'Market Prices'!AJ123</f>
        <v>101.36986301369862</v>
      </c>
      <c r="AU99" s="895">
        <f>'Market Prices'!AK123</f>
        <v>139.72602739726028</v>
      </c>
      <c r="AV99" s="896">
        <f>'Market Prices'!AL123</f>
        <v>75.06849315068493</v>
      </c>
      <c r="AW99" s="893">
        <f>AVERAGE(AS99:AV99)</f>
        <v>85.205479452054789</v>
      </c>
      <c r="AX99" s="894">
        <f>'Market Prices'!AM123</f>
        <v>42.739726027397268</v>
      </c>
      <c r="AY99" s="895">
        <f>'Market Prices'!AN123</f>
        <v>123.83561643835615</v>
      </c>
      <c r="AZ99" s="895">
        <f>'Market Prices'!AO123</f>
        <v>164.38356164383561</v>
      </c>
      <c r="BA99" s="896">
        <f>'Market Prices'!AP123</f>
        <v>83.287671232876704</v>
      </c>
      <c r="BB99" s="893">
        <f>AVERAGE(AX99:BA99)</f>
        <v>103.56164383561642</v>
      </c>
      <c r="BC99" s="894">
        <f>'Market Prices'!AQ123</f>
        <v>42.739726027397268</v>
      </c>
      <c r="BD99" s="895">
        <f>'Market Prices'!AR123</f>
        <v>123.83561643835615</v>
      </c>
      <c r="BE99" s="895">
        <f>'Market Prices'!AS123</f>
        <v>164.38356164383561</v>
      </c>
      <c r="BF99" s="896">
        <f>'Market Prices'!AT123</f>
        <v>83.287671232876704</v>
      </c>
      <c r="BG99" s="893">
        <f>AVERAGE(BC99:BF99)</f>
        <v>103.56164383561642</v>
      </c>
      <c r="BH99" s="894">
        <f>'Market Prices'!AU123</f>
        <v>42.739726027397268</v>
      </c>
      <c r="BI99" s="895">
        <f>'Market Prices'!AV123</f>
        <v>123.83561643835615</v>
      </c>
      <c r="BJ99" s="895">
        <f>'Market Prices'!AW123</f>
        <v>164.38356164383561</v>
      </c>
      <c r="BK99" s="896">
        <f>'Market Prices'!AX123</f>
        <v>83.287671232876704</v>
      </c>
      <c r="BL99" s="893">
        <f>AVERAGE(BH99:BK99)</f>
        <v>103.56164383561642</v>
      </c>
      <c r="BM99" s="901">
        <f>'Market Prices'!AY123</f>
        <v>42.739726027397268</v>
      </c>
      <c r="BN99" s="902">
        <f>'Market Prices'!AZ123</f>
        <v>123.83561643835615</v>
      </c>
      <c r="BO99" s="902">
        <f>'Market Prices'!BA123</f>
        <v>164.38356164383561</v>
      </c>
      <c r="BP99" s="903">
        <f>'Market Prices'!BB123</f>
        <v>83.287671232876704</v>
      </c>
      <c r="BQ99" s="897">
        <f>AVERAGE(BM99:BP99)</f>
        <v>103.56164383561642</v>
      </c>
      <c r="BR99" s="893"/>
      <c r="BS99" s="1518"/>
      <c r="BT99" s="1519"/>
      <c r="BU99" s="1520"/>
      <c r="BV99" s="1494"/>
      <c r="BW99" s="1520"/>
    </row>
    <row r="100" spans="1:75">
      <c r="A100" s="108"/>
      <c r="B100" s="5"/>
      <c r="C100" s="1141" t="s">
        <v>54</v>
      </c>
      <c r="D100" s="5"/>
      <c r="E100" s="146"/>
      <c r="F100" s="7"/>
      <c r="G100" s="7"/>
      <c r="H100" s="147"/>
      <c r="I100" s="31"/>
      <c r="J100" s="146"/>
      <c r="K100" s="7"/>
      <c r="L100" s="7"/>
      <c r="M100" s="147"/>
      <c r="N100" s="5"/>
      <c r="O100" s="146"/>
      <c r="P100" s="7"/>
      <c r="Q100" s="7"/>
      <c r="R100" s="147"/>
      <c r="S100" s="889"/>
      <c r="T100" s="890">
        <f>'Market Prices'!O124</f>
        <v>89</v>
      </c>
      <c r="U100" s="891">
        <f>'Market Prices'!P124</f>
        <v>286.33333333333331</v>
      </c>
      <c r="V100" s="891">
        <f>'Market Prices'!Q124</f>
        <v>385</v>
      </c>
      <c r="W100" s="892">
        <f>'Market Prices'!R124</f>
        <v>227</v>
      </c>
      <c r="X100" s="893">
        <f>AVERAGE(T100:W100)</f>
        <v>246.83333333333331</v>
      </c>
      <c r="Y100" s="894">
        <f>'Market Prices'!S124</f>
        <v>148</v>
      </c>
      <c r="Z100" s="895">
        <f>'Market Prices'!T124</f>
        <v>374</v>
      </c>
      <c r="AA100" s="895">
        <f>'Market Prices'!U124</f>
        <v>487</v>
      </c>
      <c r="AB100" s="896">
        <f>'Market Prices'!V124</f>
        <v>326.33333333333331</v>
      </c>
      <c r="AC100" s="893">
        <f>AVERAGE(Y100:AB100)</f>
        <v>333.83333333333331</v>
      </c>
      <c r="AD100" s="894">
        <f>'Market Prices'!W124</f>
        <v>246</v>
      </c>
      <c r="AE100" s="895">
        <f>'Market Prices'!X124</f>
        <v>437.33333333333331</v>
      </c>
      <c r="AF100" s="895">
        <f>'Market Prices'!Y124</f>
        <v>533</v>
      </c>
      <c r="AG100" s="896">
        <f>'Market Prices'!Z124</f>
        <v>374.05022831050229</v>
      </c>
      <c r="AH100" s="893">
        <f>AVERAGE(AD100:AG100)</f>
        <v>397.59589041095887</v>
      </c>
      <c r="AI100" s="894">
        <f>'Market Prices'!AA124</f>
        <v>294.57534246575347</v>
      </c>
      <c r="AJ100" s="895">
        <f>'Market Prices'!AB124</f>
        <v>441.20547945205482</v>
      </c>
      <c r="AK100" s="895">
        <f>'Market Prices'!AC124</f>
        <v>514.52054794520552</v>
      </c>
      <c r="AL100" s="896">
        <f>'Market Prices'!AD124</f>
        <v>299.28767123287673</v>
      </c>
      <c r="AM100" s="893">
        <f>AVERAGE(AI100:AL100)</f>
        <v>387.39726027397262</v>
      </c>
      <c r="AN100" s="894">
        <f>'Market Prices'!AF124</f>
        <v>304.76712328767127</v>
      </c>
      <c r="AO100" s="1927">
        <v>302.79452054794524</v>
      </c>
      <c r="AP100" s="1927">
        <v>361.3150684931507</v>
      </c>
      <c r="AQ100" s="1928">
        <v>193.86301369863014</v>
      </c>
      <c r="AR100" s="893">
        <f>AVERAGE(AN100:AQ100)</f>
        <v>290.6849315068493</v>
      </c>
      <c r="AS100" s="894">
        <f>'Market Prices'!AI124</f>
        <v>115.06849315068493</v>
      </c>
      <c r="AT100" s="895">
        <f>'Market Prices'!AJ124</f>
        <v>306.84931506849313</v>
      </c>
      <c r="AU100" s="895">
        <f>'Market Prices'!AK124</f>
        <v>402.73972602739724</v>
      </c>
      <c r="AV100" s="896">
        <f>'Market Prices'!AL124</f>
        <v>240.10958904109589</v>
      </c>
      <c r="AW100" s="893">
        <f>AVERAGE(AS100:AV100)</f>
        <v>266.1917808219178</v>
      </c>
      <c r="AX100" s="894">
        <f>'Market Prices'!AM124</f>
        <v>158.79452054794521</v>
      </c>
      <c r="AY100" s="895">
        <f>'Market Prices'!AN124</f>
        <v>321.42465753424653</v>
      </c>
      <c r="AZ100" s="895">
        <f>'Market Prices'!AO124</f>
        <v>402.73972602739724</v>
      </c>
      <c r="BA100" s="896">
        <f>'Market Prices'!AP124</f>
        <v>240.10958904109589</v>
      </c>
      <c r="BB100" s="893">
        <f>AVERAGE(AX100:BA100)</f>
        <v>280.76712328767121</v>
      </c>
      <c r="BC100" s="894">
        <f>'Market Prices'!AQ124</f>
        <v>158.79452054794521</v>
      </c>
      <c r="BD100" s="895">
        <f>'Market Prices'!AR124</f>
        <v>321.42465753424653</v>
      </c>
      <c r="BE100" s="895">
        <f>'Market Prices'!AS124</f>
        <v>402.73972602739724</v>
      </c>
      <c r="BF100" s="896">
        <f>'Market Prices'!AT124</f>
        <v>240.10958904109589</v>
      </c>
      <c r="BG100" s="893">
        <f>AVERAGE(BC100:BF100)</f>
        <v>280.76712328767121</v>
      </c>
      <c r="BH100" s="894">
        <f>'Market Prices'!AU124</f>
        <v>158.79452054794521</v>
      </c>
      <c r="BI100" s="895">
        <f>'Market Prices'!AV124</f>
        <v>321.42465753424653</v>
      </c>
      <c r="BJ100" s="895">
        <f>'Market Prices'!AW124</f>
        <v>402.73972602739724</v>
      </c>
      <c r="BK100" s="896">
        <f>'Market Prices'!AX124</f>
        <v>240.10958904109589</v>
      </c>
      <c r="BL100" s="893">
        <f>AVERAGE(BH100:BK100)</f>
        <v>280.76712328767121</v>
      </c>
      <c r="BM100" s="901">
        <f>'Market Prices'!AY124</f>
        <v>158.79452054794521</v>
      </c>
      <c r="BN100" s="902">
        <f>'Market Prices'!AZ124</f>
        <v>321.42465753424653</v>
      </c>
      <c r="BO100" s="902">
        <f>'Market Prices'!BA124</f>
        <v>402.73972602739724</v>
      </c>
      <c r="BP100" s="903">
        <f>'Market Prices'!BB124</f>
        <v>240.10958904109589</v>
      </c>
      <c r="BQ100" s="897">
        <f>AVERAGE(BM100:BP100)</f>
        <v>280.76712328767121</v>
      </c>
      <c r="BR100" s="893"/>
      <c r="BS100" s="1518"/>
      <c r="BT100" s="1519"/>
      <c r="BU100" s="1520"/>
      <c r="BV100" s="1494"/>
      <c r="BW100" s="1520"/>
    </row>
    <row r="101" spans="1:75">
      <c r="A101" s="108"/>
      <c r="B101" s="5"/>
      <c r="C101" s="1141" t="s">
        <v>831</v>
      </c>
      <c r="D101" s="5"/>
      <c r="E101" s="146"/>
      <c r="F101" s="7"/>
      <c r="G101" s="7"/>
      <c r="H101" s="147"/>
      <c r="I101" s="31"/>
      <c r="J101" s="146"/>
      <c r="K101" s="7"/>
      <c r="L101" s="7"/>
      <c r="M101" s="147"/>
      <c r="N101" s="5"/>
      <c r="O101" s="146"/>
      <c r="P101" s="7"/>
      <c r="Q101" s="7"/>
      <c r="R101" s="147"/>
      <c r="S101" s="889"/>
      <c r="T101" s="890">
        <f>'Market Prices'!O129</f>
        <v>5</v>
      </c>
      <c r="U101" s="891">
        <f>'Market Prices'!P129</f>
        <v>29</v>
      </c>
      <c r="V101" s="891">
        <f>'Market Prices'!Q129</f>
        <v>41</v>
      </c>
      <c r="W101" s="892">
        <f>'Market Prices'!R129</f>
        <v>31.666666666666668</v>
      </c>
      <c r="X101" s="893">
        <f>AVERAGE(T101:W101)</f>
        <v>26.666666666666668</v>
      </c>
      <c r="Y101" s="894">
        <f>'Market Prices'!S129</f>
        <v>27</v>
      </c>
      <c r="Z101" s="895">
        <f>'Market Prices'!T129</f>
        <v>101</v>
      </c>
      <c r="AA101" s="895">
        <f>'Market Prices'!U129</f>
        <v>138</v>
      </c>
      <c r="AB101" s="896">
        <f>'Market Prices'!V129</f>
        <v>108.66666666666667</v>
      </c>
      <c r="AC101" s="893">
        <f>AVERAGE(Y101:AB101)</f>
        <v>93.666666666666671</v>
      </c>
      <c r="AD101" s="894">
        <f>'Market Prices'!W129</f>
        <v>246</v>
      </c>
      <c r="AE101" s="895">
        <f>'Market Prices'!X129</f>
        <v>300.30136986301369</v>
      </c>
      <c r="AF101" s="895">
        <f>'Market Prices'!Y129</f>
        <v>327.45205479452056</v>
      </c>
      <c r="AG101" s="896">
        <f>'Market Prices'!Z129</f>
        <v>238.46575342465755</v>
      </c>
      <c r="AH101" s="893">
        <f>AVERAGE(AD101:AG101)</f>
        <v>278.05479452054794</v>
      </c>
      <c r="AI101" s="894">
        <f>'Market Prices'!AA129</f>
        <v>193.97260273972606</v>
      </c>
      <c r="AJ101" s="895">
        <f>'Market Prices'!AB129</f>
        <v>250.95890410958904</v>
      </c>
      <c r="AK101" s="895">
        <f>'Market Prices'!AC129</f>
        <v>279.45205479452056</v>
      </c>
      <c r="AL101" s="896">
        <f>'Market Prices'!AD129</f>
        <v>174.90410958904107</v>
      </c>
      <c r="AM101" s="893">
        <f>AVERAGE(AI101:AL101)</f>
        <v>224.82191780821921</v>
      </c>
      <c r="AN101" s="894">
        <f>'Market Prices'!AF129</f>
        <v>221.69863013698631</v>
      </c>
      <c r="AO101" s="1927">
        <v>178.95890410958904</v>
      </c>
      <c r="AP101" s="1927">
        <v>218.63013698630141</v>
      </c>
      <c r="AQ101" s="1928">
        <v>141.91780821917808</v>
      </c>
      <c r="AR101" s="893">
        <f>AVERAGE(AN101:AQ101)</f>
        <v>190.30136986301369</v>
      </c>
      <c r="AS101" s="894">
        <f>'Market Prices'!AI129</f>
        <v>115.06849315068493</v>
      </c>
      <c r="AT101" s="895">
        <f>'Market Prices'!AJ129</f>
        <v>219.17808219178082</v>
      </c>
      <c r="AU101" s="895">
        <f>'Market Prices'!AK129</f>
        <v>271.23287671232879</v>
      </c>
      <c r="AV101" s="896">
        <f>'Market Prices'!AL129</f>
        <v>167.12328767123287</v>
      </c>
      <c r="AW101" s="893">
        <f>AVERAGE(AS101:AV101)</f>
        <v>193.15068493150687</v>
      </c>
      <c r="AX101" s="894">
        <f>'Market Prices'!AM129</f>
        <v>115.06849315068493</v>
      </c>
      <c r="AY101" s="895">
        <f>'Market Prices'!AN129</f>
        <v>219.17808219178082</v>
      </c>
      <c r="AZ101" s="895">
        <f>'Market Prices'!AO129</f>
        <v>271.23287671232879</v>
      </c>
      <c r="BA101" s="896">
        <f>'Market Prices'!AP129</f>
        <v>167.12328767123287</v>
      </c>
      <c r="BB101" s="893">
        <f>AVERAGE(AX101:BA101)</f>
        <v>193.15068493150687</v>
      </c>
      <c r="BC101" s="894">
        <f>'Market Prices'!AQ129</f>
        <v>115.06849315068493</v>
      </c>
      <c r="BD101" s="895">
        <f>'Market Prices'!AR129</f>
        <v>219.17808219178082</v>
      </c>
      <c r="BE101" s="895">
        <f>'Market Prices'!AS129</f>
        <v>271.23287671232879</v>
      </c>
      <c r="BF101" s="896">
        <f>'Market Prices'!AT129</f>
        <v>167.12328767123287</v>
      </c>
      <c r="BG101" s="893">
        <f>AVERAGE(BC101:BF101)</f>
        <v>193.15068493150687</v>
      </c>
      <c r="BH101" s="894">
        <f>'Market Prices'!AU129</f>
        <v>115.06849315068493</v>
      </c>
      <c r="BI101" s="895">
        <f>'Market Prices'!AV129</f>
        <v>219.17808219178082</v>
      </c>
      <c r="BJ101" s="895">
        <f>'Market Prices'!AW129</f>
        <v>271.23287671232879</v>
      </c>
      <c r="BK101" s="896">
        <f>'Market Prices'!AX129</f>
        <v>167.12328767123287</v>
      </c>
      <c r="BL101" s="893">
        <f>AVERAGE(BH101:BK101)</f>
        <v>193.15068493150687</v>
      </c>
      <c r="BM101" s="901">
        <f>'Market Prices'!AY129</f>
        <v>115.06849315068493</v>
      </c>
      <c r="BN101" s="902">
        <f>'Market Prices'!AZ129</f>
        <v>219.17808219178082</v>
      </c>
      <c r="BO101" s="902">
        <f>'Market Prices'!BA129</f>
        <v>271.23287671232879</v>
      </c>
      <c r="BP101" s="903">
        <f>'Market Prices'!BB129</f>
        <v>167.12328767123287</v>
      </c>
      <c r="BQ101" s="897">
        <f>AVERAGE(BM101:BP101)</f>
        <v>193.15068493150687</v>
      </c>
      <c r="BR101" s="893"/>
      <c r="BS101" s="1518"/>
      <c r="BT101" s="1519"/>
      <c r="BU101" s="1520"/>
      <c r="BV101" s="1494"/>
      <c r="BW101" s="1520"/>
    </row>
    <row r="102" spans="1:75">
      <c r="A102" s="108"/>
      <c r="B102" s="5"/>
      <c r="C102" s="1141" t="s">
        <v>853</v>
      </c>
      <c r="D102" s="5"/>
      <c r="E102" s="146"/>
      <c r="F102" s="7"/>
      <c r="G102" s="7"/>
      <c r="H102" s="147"/>
      <c r="I102" s="31"/>
      <c r="J102" s="146"/>
      <c r="K102" s="7"/>
      <c r="L102" s="7"/>
      <c r="M102" s="147"/>
      <c r="N102" s="5"/>
      <c r="O102" s="146"/>
      <c r="P102" s="7"/>
      <c r="Q102" s="7"/>
      <c r="R102" s="147"/>
      <c r="S102" s="889"/>
      <c r="T102" s="890">
        <f>'Market Prices'!O115</f>
        <v>102.54</v>
      </c>
      <c r="U102" s="891">
        <f>'Market Prices'!P115</f>
        <v>96.14</v>
      </c>
      <c r="V102" s="891">
        <f>'Market Prices'!Q115</f>
        <v>83.34</v>
      </c>
      <c r="W102" s="892">
        <f>'Market Prices'!R115</f>
        <v>83.34</v>
      </c>
      <c r="X102" s="893">
        <f>AVERAGE(T102:W102)</f>
        <v>91.34</v>
      </c>
      <c r="Y102" s="894">
        <f>'Market Prices'!S115</f>
        <v>83.34</v>
      </c>
      <c r="Z102" s="895">
        <f>'Market Prices'!T115</f>
        <v>83.13333333333334</v>
      </c>
      <c r="AA102" s="895">
        <f>'Market Prices'!U115</f>
        <v>82.72</v>
      </c>
      <c r="AB102" s="896">
        <f>'Market Prices'!V115</f>
        <v>82.72</v>
      </c>
      <c r="AC102" s="893">
        <f>AVERAGE(Y102:AB102)</f>
        <v>82.978333333333339</v>
      </c>
      <c r="AD102" s="894">
        <f>'Market Prices'!W115</f>
        <v>82.72</v>
      </c>
      <c r="AE102" s="895">
        <f>'Market Prices'!X115</f>
        <v>86.433333333333337</v>
      </c>
      <c r="AF102" s="895">
        <f>'Market Prices'!Y115</f>
        <v>93.86</v>
      </c>
      <c r="AG102" s="896">
        <f>'Market Prices'!Z115</f>
        <v>93.86</v>
      </c>
      <c r="AH102" s="893">
        <f>AVERAGE(AD102:AG102)</f>
        <v>89.218333333333334</v>
      </c>
      <c r="AI102" s="894">
        <f>'Market Prices'!AA115</f>
        <v>93.86</v>
      </c>
      <c r="AJ102" s="895">
        <f>'Market Prices'!AB115</f>
        <v>96.874703196347028</v>
      </c>
      <c r="AK102" s="895">
        <f>'Market Prices'!AC115</f>
        <v>102.9041095890411</v>
      </c>
      <c r="AL102" s="896">
        <f>'Market Prices'!AD115</f>
        <v>102.9041095890411</v>
      </c>
      <c r="AM102" s="893">
        <f>AVERAGE(AI102:AL102)</f>
        <v>99.13573059360732</v>
      </c>
      <c r="AN102" s="894">
        <f>'Market Prices'!AF115</f>
        <v>98.736666666666665</v>
      </c>
      <c r="AO102" s="895">
        <f>'Market Prices'!AF115</f>
        <v>98.736666666666665</v>
      </c>
      <c r="AP102" s="895">
        <f>'Market Prices'!AG115</f>
        <v>90.21</v>
      </c>
      <c r="AQ102" s="896">
        <f>'Market Prices'!AH115</f>
        <v>90.21</v>
      </c>
      <c r="AR102" s="893">
        <f>AVERAGE(AN102:AQ102)</f>
        <v>94.473333333333329</v>
      </c>
      <c r="AS102" s="894">
        <f>'Market Prices'!AI115</f>
        <v>90.21</v>
      </c>
      <c r="AT102" s="895">
        <f>'Market Prices'!AJ115</f>
        <v>137.126301369863</v>
      </c>
      <c r="AU102" s="895">
        <f>'Market Prices'!AK115</f>
        <v>230.95890410958907</v>
      </c>
      <c r="AV102" s="896">
        <f>'Market Prices'!AL115</f>
        <v>230.95890410958907</v>
      </c>
      <c r="AW102" s="893">
        <f>AVERAGE(AS102:AV102)</f>
        <v>172.31352739726029</v>
      </c>
      <c r="AX102" s="894">
        <f>'Market Prices'!AM115</f>
        <v>230.95890410958907</v>
      </c>
      <c r="AY102" s="895">
        <f>'Market Prices'!AN115</f>
        <v>258.63013698630141</v>
      </c>
      <c r="AZ102" s="895">
        <f>'Market Prices'!AO115</f>
        <v>313.97260273972609</v>
      </c>
      <c r="BA102" s="896">
        <f>'Market Prices'!AP115</f>
        <v>313.97260273972609</v>
      </c>
      <c r="BB102" s="893">
        <f>AVERAGE(AX102:BA102)</f>
        <v>279.38356164383566</v>
      </c>
      <c r="BC102" s="894">
        <f>'Market Prices'!AQ115</f>
        <v>313.97260273972609</v>
      </c>
      <c r="BD102" s="895">
        <f>'Market Prices'!AR115</f>
        <v>286.35616438356169</v>
      </c>
      <c r="BE102" s="895">
        <f>'Market Prices'!AS115</f>
        <v>231.12328767123287</v>
      </c>
      <c r="BF102" s="896">
        <f>'Market Prices'!AT115</f>
        <v>231.12328767123287</v>
      </c>
      <c r="BG102" s="893">
        <f>AVERAGE(BC102:BF102)</f>
        <v>265.64383561643837</v>
      </c>
      <c r="BH102" s="894">
        <f>'Market Prices'!AU115</f>
        <v>231.12328767123287</v>
      </c>
      <c r="BI102" s="895">
        <f>'Market Prices'!AV115</f>
        <v>231.12328767123287</v>
      </c>
      <c r="BJ102" s="895">
        <f>'Market Prices'!AW115</f>
        <v>231.12328767123287</v>
      </c>
      <c r="BK102" s="896">
        <f>'Market Prices'!AX115</f>
        <v>231.12328767123287</v>
      </c>
      <c r="BL102" s="893">
        <f>AVERAGE(BH102:BK102)</f>
        <v>231.12328767123287</v>
      </c>
      <c r="BM102" s="894">
        <f>BQ102</f>
        <v>175</v>
      </c>
      <c r="BN102" s="895">
        <f>BQ102</f>
        <v>175</v>
      </c>
      <c r="BO102" s="895">
        <f>BQ102</f>
        <v>175</v>
      </c>
      <c r="BP102" s="896">
        <f>BQ102</f>
        <v>175</v>
      </c>
      <c r="BQ102" s="4">
        <f>Valuation!CG38</f>
        <v>175</v>
      </c>
      <c r="BR102" s="893"/>
      <c r="BS102" s="1518"/>
      <c r="BT102" s="1519"/>
      <c r="BU102" s="1520"/>
      <c r="BV102" s="1494"/>
      <c r="BW102" s="1520"/>
    </row>
    <row r="103" spans="1:75">
      <c r="A103" s="108"/>
      <c r="B103" s="5"/>
      <c r="C103" s="1141" t="s">
        <v>96</v>
      </c>
      <c r="D103" s="5"/>
      <c r="E103" s="146"/>
      <c r="F103" s="7"/>
      <c r="G103" s="7"/>
      <c r="H103" s="147"/>
      <c r="I103" s="31"/>
      <c r="J103" s="146"/>
      <c r="K103" s="7"/>
      <c r="L103" s="7"/>
      <c r="M103" s="147"/>
      <c r="N103" s="5"/>
      <c r="O103" s="146"/>
      <c r="P103" s="7"/>
      <c r="Q103" s="7"/>
      <c r="R103" s="147"/>
      <c r="S103" s="889"/>
      <c r="T103" s="1122">
        <v>0</v>
      </c>
      <c r="U103" s="1123">
        <v>0</v>
      </c>
      <c r="V103" s="1123">
        <v>0</v>
      </c>
      <c r="W103" s="1124">
        <v>0</v>
      </c>
      <c r="X103" s="893">
        <f>AVERAGE(T103:W103)</f>
        <v>0</v>
      </c>
      <c r="Y103" s="894">
        <f>+T103</f>
        <v>0</v>
      </c>
      <c r="Z103" s="895">
        <f>+U103</f>
        <v>0</v>
      </c>
      <c r="AA103" s="895">
        <f>+V103</f>
        <v>0</v>
      </c>
      <c r="AB103" s="896">
        <f>+W103</f>
        <v>0</v>
      </c>
      <c r="AC103" s="893">
        <f>AVERAGE(Y103:AB103)</f>
        <v>0</v>
      </c>
      <c r="AD103" s="894">
        <f>+Y103</f>
        <v>0</v>
      </c>
      <c r="AE103" s="895">
        <f>+Z103</f>
        <v>0</v>
      </c>
      <c r="AF103" s="895">
        <f>+AA103</f>
        <v>0</v>
      </c>
      <c r="AG103" s="896">
        <f>+AB103</f>
        <v>0</v>
      </c>
      <c r="AH103" s="893">
        <f>AVERAGE(AD103:AG103)</f>
        <v>0</v>
      </c>
      <c r="AI103" s="894">
        <f>+AD103</f>
        <v>0</v>
      </c>
      <c r="AJ103" s="895">
        <f>+AE103</f>
        <v>0</v>
      </c>
      <c r="AK103" s="895">
        <f>+AF103</f>
        <v>0</v>
      </c>
      <c r="AL103" s="896">
        <f>+AG103</f>
        <v>0</v>
      </c>
      <c r="AM103" s="893">
        <f>AVERAGE(AI103:AL103)</f>
        <v>0</v>
      </c>
      <c r="AN103" s="894">
        <f>+AI103</f>
        <v>0</v>
      </c>
      <c r="AO103" s="895">
        <f>+AJ103</f>
        <v>0</v>
      </c>
      <c r="AP103" s="895">
        <f>+AK103</f>
        <v>0</v>
      </c>
      <c r="AQ103" s="896">
        <f>+AL103</f>
        <v>0</v>
      </c>
      <c r="AR103" s="893">
        <f>AVERAGE(AN103:AQ103)</f>
        <v>0</v>
      </c>
      <c r="AS103" s="894">
        <f>+AN103</f>
        <v>0</v>
      </c>
      <c r="AT103" s="895">
        <f>+AO103</f>
        <v>0</v>
      </c>
      <c r="AU103" s="895">
        <f t="shared" ref="AU103" si="283">+AP103</f>
        <v>0</v>
      </c>
      <c r="AV103" s="896">
        <f>+AQ103</f>
        <v>0</v>
      </c>
      <c r="AW103" s="893">
        <f>AVERAGE(AS103:AV103)</f>
        <v>0</v>
      </c>
      <c r="AX103" s="894">
        <f>+AS103</f>
        <v>0</v>
      </c>
      <c r="AY103" s="895">
        <f>+AT103</f>
        <v>0</v>
      </c>
      <c r="AZ103" s="895">
        <f>+AU103</f>
        <v>0</v>
      </c>
      <c r="BA103" s="896">
        <f>+AV103</f>
        <v>0</v>
      </c>
      <c r="BB103" s="893">
        <f>AVERAGE(AX103:BA103)</f>
        <v>0</v>
      </c>
      <c r="BC103" s="894">
        <f>+AX103</f>
        <v>0</v>
      </c>
      <c r="BD103" s="895">
        <f>+AY103</f>
        <v>0</v>
      </c>
      <c r="BE103" s="895">
        <f>+AZ103</f>
        <v>0</v>
      </c>
      <c r="BF103" s="896">
        <f>+BA103</f>
        <v>0</v>
      </c>
      <c r="BG103" s="893">
        <f>AVERAGE(BC103:BF103)</f>
        <v>0</v>
      </c>
      <c r="BH103" s="894">
        <f>+BC103</f>
        <v>0</v>
      </c>
      <c r="BI103" s="895">
        <f t="shared" ref="BI103:BK103" si="284">+BD103</f>
        <v>0</v>
      </c>
      <c r="BJ103" s="895">
        <f t="shared" si="284"/>
        <v>0</v>
      </c>
      <c r="BK103" s="896">
        <f t="shared" si="284"/>
        <v>0</v>
      </c>
      <c r="BL103" s="893">
        <f>AVERAGE(BH103:BK103)</f>
        <v>0</v>
      </c>
      <c r="BM103" s="894">
        <f>+BH103</f>
        <v>0</v>
      </c>
      <c r="BN103" s="895">
        <f>+BI103</f>
        <v>0</v>
      </c>
      <c r="BO103" s="895">
        <f>+BJ103</f>
        <v>0</v>
      </c>
      <c r="BP103" s="896">
        <f>+BK103</f>
        <v>0</v>
      </c>
      <c r="BQ103" s="897">
        <f>AVERAGE(BM103:BP103)</f>
        <v>0</v>
      </c>
      <c r="BR103" s="893"/>
      <c r="BS103" s="1518"/>
      <c r="BT103" s="1519"/>
      <c r="BU103" s="1520"/>
      <c r="BV103" s="1494"/>
      <c r="BW103" s="1520"/>
    </row>
    <row r="104" spans="1:75">
      <c r="A104" s="108"/>
      <c r="B104" s="5"/>
      <c r="C104" s="1141"/>
      <c r="D104" s="5"/>
      <c r="E104" s="146"/>
      <c r="F104" s="7"/>
      <c r="G104" s="7"/>
      <c r="H104" s="147"/>
      <c r="I104" s="31"/>
      <c r="J104" s="146"/>
      <c r="K104" s="7"/>
      <c r="L104" s="7"/>
      <c r="M104" s="147"/>
      <c r="N104" s="5"/>
      <c r="O104" s="146"/>
      <c r="P104" s="7"/>
      <c r="Q104" s="7"/>
      <c r="R104" s="147"/>
      <c r="S104" s="889"/>
      <c r="T104" s="898"/>
      <c r="U104" s="899"/>
      <c r="V104" s="899"/>
      <c r="W104" s="900"/>
      <c r="X104" s="889"/>
      <c r="Y104" s="898"/>
      <c r="Z104" s="899"/>
      <c r="AA104" s="899"/>
      <c r="AB104" s="900"/>
      <c r="AC104" s="889"/>
      <c r="AD104" s="898"/>
      <c r="AE104" s="899"/>
      <c r="AF104" s="899"/>
      <c r="AG104" s="900"/>
      <c r="AH104" s="889"/>
      <c r="AI104" s="898"/>
      <c r="AJ104" s="899"/>
      <c r="AK104" s="899"/>
      <c r="AL104" s="900"/>
      <c r="AM104" s="893"/>
      <c r="AN104" s="898"/>
      <c r="AO104" s="899"/>
      <c r="AP104" s="899"/>
      <c r="AQ104" s="900"/>
      <c r="AR104" s="893"/>
      <c r="AS104" s="898"/>
      <c r="AT104" s="899"/>
      <c r="AU104" s="899"/>
      <c r="AV104" s="900"/>
      <c r="AW104" s="893"/>
      <c r="AX104" s="898"/>
      <c r="AY104" s="899"/>
      <c r="AZ104" s="899"/>
      <c r="BA104" s="900"/>
      <c r="BB104" s="893"/>
      <c r="BC104" s="898"/>
      <c r="BD104" s="899"/>
      <c r="BE104" s="899"/>
      <c r="BF104" s="900"/>
      <c r="BG104" s="893"/>
      <c r="BH104" s="898"/>
      <c r="BI104" s="899"/>
      <c r="BJ104" s="899"/>
      <c r="BK104" s="900"/>
      <c r="BL104" s="893"/>
      <c r="BM104" s="898"/>
      <c r="BN104" s="899"/>
      <c r="BO104" s="899"/>
      <c r="BP104" s="900"/>
      <c r="BQ104" s="897"/>
      <c r="BR104" s="893"/>
      <c r="BS104" s="1518"/>
      <c r="BT104" s="1519"/>
      <c r="BU104" s="1520"/>
      <c r="BV104" s="1494"/>
      <c r="BW104" s="1520"/>
    </row>
    <row r="105" spans="1:75">
      <c r="A105" s="108"/>
      <c r="B105" s="5"/>
      <c r="C105" s="1140" t="s">
        <v>523</v>
      </c>
      <c r="D105" s="31"/>
      <c r="E105" s="146"/>
      <c r="F105" s="7"/>
      <c r="G105" s="7"/>
      <c r="H105" s="147"/>
      <c r="I105" s="5"/>
      <c r="J105" s="146"/>
      <c r="K105" s="7"/>
      <c r="L105" s="7"/>
      <c r="M105" s="147"/>
      <c r="N105" s="26"/>
      <c r="O105" s="146"/>
      <c r="P105" s="7"/>
      <c r="Q105" s="7"/>
      <c r="R105" s="147"/>
      <c r="S105" s="5"/>
      <c r="T105" s="146"/>
      <c r="U105" s="7"/>
      <c r="V105" s="7"/>
      <c r="W105" s="147"/>
      <c r="X105" s="5"/>
      <c r="Y105" s="146"/>
      <c r="Z105" s="7"/>
      <c r="AA105" s="7"/>
      <c r="AB105" s="147"/>
      <c r="AC105" s="5"/>
      <c r="AD105" s="146"/>
      <c r="AE105" s="7"/>
      <c r="AF105" s="7"/>
      <c r="AG105" s="147"/>
      <c r="AH105" s="5"/>
      <c r="AI105" s="146"/>
      <c r="AJ105" s="7"/>
      <c r="AK105" s="7"/>
      <c r="AL105" s="147"/>
      <c r="AM105" s="5"/>
      <c r="AN105" s="146"/>
      <c r="AO105" s="7"/>
      <c r="AP105" s="7"/>
      <c r="AQ105" s="147"/>
      <c r="AR105" s="5"/>
      <c r="AS105" s="146"/>
      <c r="AT105" s="7"/>
      <c r="AU105" s="7"/>
      <c r="AV105" s="147"/>
      <c r="AW105" s="5"/>
      <c r="AX105" s="146"/>
      <c r="AY105" s="7"/>
      <c r="AZ105" s="7"/>
      <c r="BA105" s="147"/>
      <c r="BB105" s="5"/>
      <c r="BC105" s="146"/>
      <c r="BD105" s="7"/>
      <c r="BE105" s="7"/>
      <c r="BF105" s="147"/>
      <c r="BG105" s="5"/>
      <c r="BH105" s="146"/>
      <c r="BI105" s="7"/>
      <c r="BJ105" s="7"/>
      <c r="BK105" s="147"/>
      <c r="BL105" s="5"/>
      <c r="BM105" s="146"/>
      <c r="BN105" s="7"/>
      <c r="BO105" s="7"/>
      <c r="BP105" s="147"/>
      <c r="BQ105" s="873"/>
      <c r="BR105" s="5"/>
      <c r="BS105" s="1518"/>
      <c r="BT105" s="1519"/>
      <c r="BU105" s="1520"/>
      <c r="BV105" s="1494"/>
      <c r="BW105" s="1520"/>
    </row>
    <row r="106" spans="1:75">
      <c r="A106" s="108"/>
      <c r="B106" s="5"/>
      <c r="C106" s="1141" t="s">
        <v>843</v>
      </c>
      <c r="D106" s="31"/>
      <c r="E106" s="146"/>
      <c r="F106" s="7"/>
      <c r="G106" s="7"/>
      <c r="H106" s="147"/>
      <c r="I106" s="5"/>
      <c r="J106" s="146"/>
      <c r="K106" s="7"/>
      <c r="L106" s="7"/>
      <c r="M106" s="147"/>
      <c r="N106" s="5"/>
      <c r="O106" s="146"/>
      <c r="P106" s="7"/>
      <c r="Q106" s="7"/>
      <c r="R106" s="147"/>
      <c r="S106" s="889"/>
      <c r="T106" s="901">
        <f>'Market Prices'!O10</f>
        <v>9.8423076923076955</v>
      </c>
      <c r="U106" s="902">
        <f>'Market Prices'!P10</f>
        <v>9.1000000000000014</v>
      </c>
      <c r="V106" s="902">
        <f>'Market Prices'!Q10</f>
        <v>8.8346153846153861</v>
      </c>
      <c r="W106" s="903">
        <f>'Market Prices'!R10</f>
        <v>10.123076923076923</v>
      </c>
      <c r="X106" s="904">
        <f>AVERAGE(T106:W106)</f>
        <v>9.4750000000000014</v>
      </c>
      <c r="Y106" s="901">
        <f>'Market Prices'!S10</f>
        <v>10.238461538461538</v>
      </c>
      <c r="Z106" s="902">
        <f>'Market Prices'!T10</f>
        <v>10.513846153846153</v>
      </c>
      <c r="AA106" s="902">
        <f>'Market Prices'!U10</f>
        <v>10.403846153846152</v>
      </c>
      <c r="AB106" s="903">
        <f>'Market Prices'!V10</f>
        <v>10.982307692307691</v>
      </c>
      <c r="AC106" s="904">
        <f>AVERAGE(Y106:AB106)</f>
        <v>10.534615384615384</v>
      </c>
      <c r="AD106" s="901">
        <f>'Market Prices'!W10</f>
        <v>12.356153846153846</v>
      </c>
      <c r="AE106" s="902">
        <f>'Market Prices'!X10</f>
        <v>12.986153846153845</v>
      </c>
      <c r="AF106" s="902">
        <f>'Market Prices'!Y10</f>
        <v>11.965384615384615</v>
      </c>
      <c r="AG106" s="903">
        <f>'Market Prices'!Z10</f>
        <v>11.526923076923076</v>
      </c>
      <c r="AH106" s="904">
        <f>AVERAGE(AD106:AG106)</f>
        <v>12.208653846153846</v>
      </c>
      <c r="AI106" s="901">
        <f>'Market Prices'!AA10</f>
        <v>11.592307692307692</v>
      </c>
      <c r="AJ106" s="902">
        <f>'Market Prices'!AB10</f>
        <v>11.55</v>
      </c>
      <c r="AK106" s="902">
        <f>'Market Prices'!AC10</f>
        <v>11.592307692307692</v>
      </c>
      <c r="AL106" s="903">
        <f>'Market Prices'!AD10</f>
        <v>11.342307692307694</v>
      </c>
      <c r="AM106" s="904">
        <f>AVERAGE(AI106:AL106)</f>
        <v>11.519230769230768</v>
      </c>
      <c r="AN106" s="901">
        <f>'Market Prices'!AF10</f>
        <v>9.1807692307692292</v>
      </c>
      <c r="AO106" s="902">
        <f>'Market Prices'!AF10</f>
        <v>9.1807692307692292</v>
      </c>
      <c r="AP106" s="902">
        <f>'Market Prices'!AG10</f>
        <v>8.6428571428571441</v>
      </c>
      <c r="AQ106" s="903">
        <f>'Market Prices'!AH10</f>
        <v>9.3461538461538467</v>
      </c>
      <c r="AR106" s="904">
        <f>AVERAGE(AN106:AQ106)</f>
        <v>9.0876373626373628</v>
      </c>
      <c r="AS106" s="901">
        <f>'Market Prices'!AI10</f>
        <v>11.473076923076921</v>
      </c>
      <c r="AT106" s="902">
        <f>'Market Prices'!AJ10</f>
        <v>11.597692307692309</v>
      </c>
      <c r="AU106" s="902">
        <f>'Market Prices'!AK10</f>
        <v>11.516153846153847</v>
      </c>
      <c r="AV106" s="903">
        <f>'Market Prices'!AL10</f>
        <v>11.923076923076922</v>
      </c>
      <c r="AW106" s="904">
        <f>AVERAGE(AS106:AV106)</f>
        <v>11.6275</v>
      </c>
      <c r="AX106" s="901">
        <f>'Market Prices'!AM10</f>
        <v>12.296153846153848</v>
      </c>
      <c r="AY106" s="902">
        <f>'Market Prices'!AN10</f>
        <v>11</v>
      </c>
      <c r="AZ106" s="902">
        <f>'Market Prices'!AO10</f>
        <v>11.35</v>
      </c>
      <c r="BA106" s="903">
        <f>'Market Prices'!AP10</f>
        <v>11.65</v>
      </c>
      <c r="BB106" s="904">
        <f>AVERAGE(AX106:BA106)</f>
        <v>11.574038461538462</v>
      </c>
      <c r="BC106" s="901">
        <f>'Market Prices'!AQ10</f>
        <v>11.728652443964354</v>
      </c>
      <c r="BD106" s="902">
        <f>'Market Prices'!AR10</f>
        <v>11.728652443964354</v>
      </c>
      <c r="BE106" s="902">
        <f>'Market Prices'!AS10</f>
        <v>11.728652443964354</v>
      </c>
      <c r="BF106" s="903">
        <f>'Market Prices'!AT10</f>
        <v>11.414042668106942</v>
      </c>
      <c r="BG106" s="904">
        <f>AVERAGE(BC106:BF106)</f>
        <v>11.650000000000002</v>
      </c>
      <c r="BH106" s="901">
        <f>'Market Prices'!AU10</f>
        <v>11.728652443964354</v>
      </c>
      <c r="BI106" s="902">
        <f>'Market Prices'!AV10</f>
        <v>11.728652443964354</v>
      </c>
      <c r="BJ106" s="902">
        <f>'Market Prices'!AW10</f>
        <v>11.728652443964354</v>
      </c>
      <c r="BK106" s="903">
        <f>'Market Prices'!AX10</f>
        <v>11.414042668106942</v>
      </c>
      <c r="BL106" s="904">
        <f>AVERAGE(BH106:BK106)</f>
        <v>11.650000000000002</v>
      </c>
      <c r="BM106" s="901">
        <f>'Market Prices'!AY10</f>
        <v>11.728652443964354</v>
      </c>
      <c r="BN106" s="902">
        <f>'Market Prices'!AZ10</f>
        <v>11.728652443964354</v>
      </c>
      <c r="BO106" s="902">
        <f>'Market Prices'!BA10</f>
        <v>11.728652443964354</v>
      </c>
      <c r="BP106" s="903">
        <f>'Market Prices'!BB10</f>
        <v>11.414042668106942</v>
      </c>
      <c r="BQ106" s="905">
        <f>AVERAGE(BM106:BP106)</f>
        <v>11.650000000000002</v>
      </c>
      <c r="BR106" s="904"/>
      <c r="BS106" s="1518"/>
      <c r="BT106" s="1519"/>
      <c r="BU106" s="1520"/>
      <c r="BV106" s="1494"/>
      <c r="BW106" s="1520"/>
    </row>
    <row r="107" spans="1:75">
      <c r="A107" s="108"/>
      <c r="B107" s="5"/>
      <c r="C107" s="1141" t="s">
        <v>844</v>
      </c>
      <c r="D107" s="31"/>
      <c r="E107" s="146"/>
      <c r="F107" s="7"/>
      <c r="G107" s="7"/>
      <c r="H107" s="147"/>
      <c r="I107" s="5"/>
      <c r="J107" s="146"/>
      <c r="K107" s="7"/>
      <c r="L107" s="7"/>
      <c r="M107" s="147"/>
      <c r="N107" s="5"/>
      <c r="O107" s="146"/>
      <c r="P107" s="7"/>
      <c r="Q107" s="7"/>
      <c r="R107" s="147"/>
      <c r="S107" s="889"/>
      <c r="T107" s="901">
        <f>'Market Prices'!O74</f>
        <v>25</v>
      </c>
      <c r="U107" s="902">
        <f>'Market Prices'!P74</f>
        <v>25</v>
      </c>
      <c r="V107" s="902">
        <f>'Market Prices'!Q74</f>
        <v>25</v>
      </c>
      <c r="W107" s="903">
        <f>'Market Prices'!R74</f>
        <v>25</v>
      </c>
      <c r="X107" s="904">
        <f>AVERAGE(T107:W107)</f>
        <v>25</v>
      </c>
      <c r="Y107" s="901">
        <f>'Market Prices'!S74</f>
        <v>25</v>
      </c>
      <c r="Z107" s="902">
        <f>'Market Prices'!T74</f>
        <v>25</v>
      </c>
      <c r="AA107" s="902">
        <f>'Market Prices'!U74</f>
        <v>25</v>
      </c>
      <c r="AB107" s="903">
        <f>'Market Prices'!V74</f>
        <v>25</v>
      </c>
      <c r="AC107" s="904">
        <f>AVERAGE(Y107:AB107)</f>
        <v>25</v>
      </c>
      <c r="AD107" s="901">
        <f>'Market Prices'!W74</f>
        <v>25</v>
      </c>
      <c r="AE107" s="902">
        <f>'Market Prices'!X74</f>
        <v>25</v>
      </c>
      <c r="AF107" s="902">
        <f>'Market Prices'!Y74</f>
        <v>25</v>
      </c>
      <c r="AG107" s="903">
        <f>'Market Prices'!Z74</f>
        <v>25</v>
      </c>
      <c r="AH107" s="904">
        <f>AVERAGE(AD107:AG107)</f>
        <v>25</v>
      </c>
      <c r="AI107" s="901">
        <f>'Market Prices'!AA74</f>
        <v>25</v>
      </c>
      <c r="AJ107" s="902">
        <f>'Market Prices'!AB74</f>
        <v>25</v>
      </c>
      <c r="AK107" s="902">
        <f>'Market Prices'!AC74</f>
        <v>25</v>
      </c>
      <c r="AL107" s="903">
        <f>'Market Prices'!AD74</f>
        <v>25</v>
      </c>
      <c r="AM107" s="904">
        <f>AVERAGE(AI107:AL107)</f>
        <v>25</v>
      </c>
      <c r="AN107" s="901">
        <f>'Market Prices'!AF74</f>
        <v>25</v>
      </c>
      <c r="AO107" s="902">
        <f>'Market Prices'!AF74</f>
        <v>25</v>
      </c>
      <c r="AP107" s="902">
        <f>'Market Prices'!AG74</f>
        <v>25</v>
      </c>
      <c r="AQ107" s="903">
        <f>'Market Prices'!AH74</f>
        <v>25</v>
      </c>
      <c r="AR107" s="904">
        <f>AVERAGE(AN107:AQ107)</f>
        <v>25</v>
      </c>
      <c r="AS107" s="901">
        <f>'Market Prices'!AI74</f>
        <v>25</v>
      </c>
      <c r="AT107" s="902">
        <f>'Market Prices'!AJ74</f>
        <v>25</v>
      </c>
      <c r="AU107" s="902">
        <f>'Market Prices'!AK74</f>
        <v>25</v>
      </c>
      <c r="AV107" s="903">
        <f>'Market Prices'!AL74</f>
        <v>25</v>
      </c>
      <c r="AW107" s="904">
        <f>AVERAGE(AS107:AV107)</f>
        <v>25</v>
      </c>
      <c r="AX107" s="901">
        <f>'Market Prices'!AM74</f>
        <v>25</v>
      </c>
      <c r="AY107" s="902">
        <f>'Market Prices'!AN74</f>
        <v>25</v>
      </c>
      <c r="AZ107" s="902">
        <f>'Market Prices'!AO74</f>
        <v>25</v>
      </c>
      <c r="BA107" s="903">
        <f>'Market Prices'!AP74</f>
        <v>25</v>
      </c>
      <c r="BB107" s="904">
        <f>AVERAGE(AX107:BA107)</f>
        <v>25</v>
      </c>
      <c r="BC107" s="901">
        <f>'Market Prices'!AQ74</f>
        <v>25</v>
      </c>
      <c r="BD107" s="902">
        <f>'Market Prices'!AR74</f>
        <v>25</v>
      </c>
      <c r="BE107" s="902">
        <f>'Market Prices'!AS74</f>
        <v>25</v>
      </c>
      <c r="BF107" s="903">
        <f>'Market Prices'!AT74</f>
        <v>25</v>
      </c>
      <c r="BG107" s="904">
        <f>AVERAGE(BC107:BF107)</f>
        <v>25</v>
      </c>
      <c r="BH107" s="901">
        <f>'Market Prices'!AU74</f>
        <v>25</v>
      </c>
      <c r="BI107" s="902">
        <f>'Market Prices'!AV74</f>
        <v>25</v>
      </c>
      <c r="BJ107" s="902">
        <f>'Market Prices'!AW74</f>
        <v>25</v>
      </c>
      <c r="BK107" s="903">
        <f>'Market Prices'!AX74</f>
        <v>25</v>
      </c>
      <c r="BL107" s="904">
        <f>AVERAGE(BH107:BK107)</f>
        <v>25</v>
      </c>
      <c r="BM107" s="901">
        <f>'Market Prices'!AY74</f>
        <v>25</v>
      </c>
      <c r="BN107" s="902">
        <f>'Market Prices'!AZ74</f>
        <v>25</v>
      </c>
      <c r="BO107" s="902">
        <f>'Market Prices'!BA74</f>
        <v>25</v>
      </c>
      <c r="BP107" s="903">
        <f>'Market Prices'!BB74</f>
        <v>25</v>
      </c>
      <c r="BQ107" s="905">
        <f>AVERAGE(BM107:BP107)</f>
        <v>25</v>
      </c>
      <c r="BR107" s="904"/>
      <c r="BS107" s="1518"/>
      <c r="BT107" s="1519"/>
      <c r="BU107" s="1520"/>
      <c r="BV107" s="1494"/>
      <c r="BW107" s="1520"/>
    </row>
    <row r="108" spans="1:75" s="37" customFormat="1">
      <c r="A108" s="347"/>
      <c r="B108" s="36"/>
      <c r="C108" s="1142" t="s">
        <v>845</v>
      </c>
      <c r="D108" s="36"/>
      <c r="E108" s="122"/>
      <c r="F108" s="123"/>
      <c r="G108" s="123"/>
      <c r="H108" s="915"/>
      <c r="I108" s="36"/>
      <c r="J108" s="122"/>
      <c r="K108" s="123"/>
      <c r="L108" s="123"/>
      <c r="M108" s="915"/>
      <c r="N108" s="36"/>
      <c r="O108" s="122"/>
      <c r="P108" s="123"/>
      <c r="Q108" s="123"/>
      <c r="R108" s="915"/>
      <c r="S108" s="1085"/>
      <c r="T108" s="1086">
        <f>SUM(T106:T107)</f>
        <v>34.842307692307699</v>
      </c>
      <c r="U108" s="1087">
        <f>SUM(U106:U107)</f>
        <v>34.1</v>
      </c>
      <c r="V108" s="1087">
        <f>SUM(V106:V107)</f>
        <v>33.83461538461539</v>
      </c>
      <c r="W108" s="1088">
        <f>SUM(W106:W107)</f>
        <v>35.123076923076923</v>
      </c>
      <c r="X108" s="1089">
        <f>AVERAGE(T108:W108)</f>
        <v>34.475000000000009</v>
      </c>
      <c r="Y108" s="1086">
        <f>SUM(Y106:Y107)</f>
        <v>35.238461538461536</v>
      </c>
      <c r="Z108" s="1087">
        <f>SUM(Z106:Z107)</f>
        <v>35.513846153846153</v>
      </c>
      <c r="AA108" s="1087">
        <f>SUM(AA106:AA107)</f>
        <v>35.403846153846153</v>
      </c>
      <c r="AB108" s="1088">
        <f>SUM(AB106:AB107)</f>
        <v>35.982307692307693</v>
      </c>
      <c r="AC108" s="1089">
        <f>AVERAGE(Y108:AB108)</f>
        <v>35.534615384615385</v>
      </c>
      <c r="AD108" s="1086">
        <f>SUM(AD106:AD107)</f>
        <v>37.356153846153845</v>
      </c>
      <c r="AE108" s="1087">
        <f>SUM(AE106:AE107)</f>
        <v>37.986153846153847</v>
      </c>
      <c r="AF108" s="1087">
        <f>SUM(AF106:AF107)</f>
        <v>36.965384615384615</v>
      </c>
      <c r="AG108" s="1088">
        <f>SUM(AG106:AG107)</f>
        <v>36.526923076923076</v>
      </c>
      <c r="AH108" s="1089">
        <f>AVERAGE(AD108:AG108)</f>
        <v>37.208653846153844</v>
      </c>
      <c r="AI108" s="1086">
        <f>SUM(AI106:AI107)</f>
        <v>36.592307692307692</v>
      </c>
      <c r="AJ108" s="1087">
        <f>SUM(AJ106:AJ107)</f>
        <v>36.549999999999997</v>
      </c>
      <c r="AK108" s="1087">
        <f>SUM(AK106:AK107)</f>
        <v>36.592307692307692</v>
      </c>
      <c r="AL108" s="1088">
        <f>SUM(AL106:AL107)</f>
        <v>36.342307692307692</v>
      </c>
      <c r="AM108" s="1089">
        <f>AVERAGE(AI108:AL108)</f>
        <v>36.519230769230766</v>
      </c>
      <c r="AN108" s="1086">
        <f>SUM(AN106:AN107)</f>
        <v>34.180769230769229</v>
      </c>
      <c r="AO108" s="1087">
        <f>SUM(AO106:AO107)</f>
        <v>34.180769230769229</v>
      </c>
      <c r="AP108" s="1087">
        <f>SUM(AP106:AP107)</f>
        <v>33.642857142857146</v>
      </c>
      <c r="AQ108" s="1088">
        <f>SUM(AQ106:AQ107)</f>
        <v>34.346153846153847</v>
      </c>
      <c r="AR108" s="1089">
        <f>AVERAGE(AN108:AQ108)</f>
        <v>34.087637362637359</v>
      </c>
      <c r="AS108" s="1086">
        <f>SUM(AS106:AS107)</f>
        <v>36.473076923076917</v>
      </c>
      <c r="AT108" s="1087">
        <f>SUM(AT106:AT107)</f>
        <v>36.597692307692313</v>
      </c>
      <c r="AU108" s="1087">
        <f t="shared" ref="AU108" si="285">SUM(AU106:AU107)</f>
        <v>36.516153846153848</v>
      </c>
      <c r="AV108" s="1088">
        <f>SUM(AV106:AV107)</f>
        <v>36.92307692307692</v>
      </c>
      <c r="AW108" s="1089">
        <f>AVERAGE(AS108:AV108)</f>
        <v>36.627499999999998</v>
      </c>
      <c r="AX108" s="1086">
        <f>SUM(AX106:AX107)</f>
        <v>37.29615384615385</v>
      </c>
      <c r="AY108" s="1087">
        <f>SUM(AY106:AY107)</f>
        <v>36</v>
      </c>
      <c r="AZ108" s="1087">
        <f>SUM(AZ106:AZ107)</f>
        <v>36.35</v>
      </c>
      <c r="BA108" s="1088">
        <f>SUM(BA106:BA107)</f>
        <v>36.65</v>
      </c>
      <c r="BB108" s="1089">
        <f>AVERAGE(AX108:BA108)</f>
        <v>36.574038461538464</v>
      </c>
      <c r="BC108" s="1086">
        <f>SUM(BC106:BC107)</f>
        <v>36.72865244396435</v>
      </c>
      <c r="BD108" s="1087">
        <f>SUM(BD106:BD107)</f>
        <v>36.72865244396435</v>
      </c>
      <c r="BE108" s="1087">
        <f>SUM(BE106:BE107)</f>
        <v>36.72865244396435</v>
      </c>
      <c r="BF108" s="1088">
        <f>SUM(BF106:BF107)</f>
        <v>36.414042668106944</v>
      </c>
      <c r="BG108" s="1089">
        <f>AVERAGE(BC108:BF108)</f>
        <v>36.65</v>
      </c>
      <c r="BH108" s="1086">
        <f>SUM(BH106:BH107)</f>
        <v>36.72865244396435</v>
      </c>
      <c r="BI108" s="1087">
        <f>SUM(BI106:BI107)</f>
        <v>36.72865244396435</v>
      </c>
      <c r="BJ108" s="1087">
        <f>SUM(BJ106:BJ107)</f>
        <v>36.72865244396435</v>
      </c>
      <c r="BK108" s="1088">
        <f>SUM(BK106:BK107)</f>
        <v>36.414042668106944</v>
      </c>
      <c r="BL108" s="1089">
        <f>AVERAGE(BH108:BK108)</f>
        <v>36.65</v>
      </c>
      <c r="BM108" s="1086">
        <f>SUM(BM106:BM107)</f>
        <v>36.72865244396435</v>
      </c>
      <c r="BN108" s="1087">
        <f>SUM(BN106:BN107)</f>
        <v>36.72865244396435</v>
      </c>
      <c r="BO108" s="1087">
        <f>SUM(BO106:BO107)</f>
        <v>36.72865244396435</v>
      </c>
      <c r="BP108" s="1088">
        <f>SUM(BP106:BP107)</f>
        <v>36.414042668106944</v>
      </c>
      <c r="BQ108" s="1090">
        <f>AVERAGE(BM108:BP108)</f>
        <v>36.65</v>
      </c>
      <c r="BR108" s="1089"/>
      <c r="BS108" s="940"/>
      <c r="BT108" s="1525"/>
      <c r="BU108" s="1523"/>
      <c r="BV108" s="112"/>
      <c r="BW108" s="1523"/>
    </row>
    <row r="109" spans="1:75">
      <c r="A109" s="108"/>
      <c r="B109" s="5"/>
      <c r="C109" s="1141"/>
      <c r="D109" s="5"/>
      <c r="E109" s="146"/>
      <c r="F109" s="7"/>
      <c r="G109" s="7"/>
      <c r="H109" s="147"/>
      <c r="I109" s="5"/>
      <c r="J109" s="146"/>
      <c r="K109" s="7"/>
      <c r="L109" s="7"/>
      <c r="M109" s="147"/>
      <c r="N109" s="5"/>
      <c r="O109" s="146"/>
      <c r="P109" s="7"/>
      <c r="Q109" s="7"/>
      <c r="R109" s="147"/>
      <c r="S109" s="5"/>
      <c r="T109" s="881"/>
      <c r="U109" s="882"/>
      <c r="V109" s="882"/>
      <c r="W109" s="883"/>
      <c r="X109" s="904"/>
      <c r="Y109" s="901"/>
      <c r="Z109" s="902"/>
      <c r="AA109" s="902"/>
      <c r="AB109" s="903"/>
      <c r="AC109" s="904"/>
      <c r="AD109" s="901"/>
      <c r="AE109" s="902"/>
      <c r="AF109" s="902"/>
      <c r="AG109" s="903"/>
      <c r="AH109" s="904"/>
      <c r="AI109" s="901"/>
      <c r="AJ109" s="902"/>
      <c r="AK109" s="902"/>
      <c r="AL109" s="903"/>
      <c r="AM109" s="904"/>
      <c r="AN109" s="901"/>
      <c r="AO109" s="902"/>
      <c r="AP109" s="902"/>
      <c r="AQ109" s="903"/>
      <c r="AR109" s="904"/>
      <c r="AS109" s="901"/>
      <c r="AT109" s="902"/>
      <c r="AU109" s="902"/>
      <c r="AV109" s="903"/>
      <c r="AW109" s="904"/>
      <c r="AX109" s="901"/>
      <c r="AY109" s="902"/>
      <c r="AZ109" s="902"/>
      <c r="BA109" s="903"/>
      <c r="BB109" s="904"/>
      <c r="BC109" s="901"/>
      <c r="BD109" s="902"/>
      <c r="BE109" s="902"/>
      <c r="BF109" s="903"/>
      <c r="BG109" s="904"/>
      <c r="BH109" s="901"/>
      <c r="BI109" s="902"/>
      <c r="BJ109" s="902"/>
      <c r="BK109" s="903"/>
      <c r="BL109" s="904"/>
      <c r="BM109" s="901"/>
      <c r="BN109" s="902"/>
      <c r="BO109" s="902"/>
      <c r="BP109" s="903"/>
      <c r="BQ109" s="905"/>
      <c r="BR109" s="904"/>
      <c r="BS109" s="1518"/>
      <c r="BT109" s="1519"/>
      <c r="BU109" s="1520"/>
      <c r="BV109" s="1494"/>
      <c r="BW109" s="1520"/>
    </row>
    <row r="110" spans="1:75">
      <c r="A110" s="108"/>
      <c r="B110" s="5"/>
      <c r="C110" s="1143"/>
      <c r="D110" s="906"/>
      <c r="E110" s="907"/>
      <c r="F110" s="908"/>
      <c r="G110" s="908"/>
      <c r="H110" s="909"/>
      <c r="I110" s="910"/>
      <c r="J110" s="907"/>
      <c r="K110" s="908"/>
      <c r="L110" s="908"/>
      <c r="M110" s="909"/>
      <c r="N110" s="906"/>
      <c r="O110" s="907"/>
      <c r="P110" s="908"/>
      <c r="Q110" s="908"/>
      <c r="R110" s="909"/>
      <c r="S110" s="906"/>
      <c r="T110" s="907"/>
      <c r="U110" s="908"/>
      <c r="V110" s="908"/>
      <c r="W110" s="909"/>
      <c r="X110" s="906"/>
      <c r="Y110" s="907"/>
      <c r="Z110" s="908"/>
      <c r="AA110" s="908"/>
      <c r="AB110" s="909"/>
      <c r="AC110" s="1564"/>
      <c r="AD110" s="1565"/>
      <c r="AE110" s="908"/>
      <c r="AF110" s="1566"/>
      <c r="AG110" s="1567"/>
      <c r="AH110" s="1564"/>
      <c r="AI110" s="1565"/>
      <c r="AJ110" s="1566"/>
      <c r="AK110" s="1566"/>
      <c r="AL110" s="1567"/>
      <c r="AM110" s="1564"/>
      <c r="AN110" s="1565"/>
      <c r="AO110" s="1566"/>
      <c r="AP110" s="1566"/>
      <c r="AQ110" s="1567"/>
      <c r="AR110" s="1564"/>
      <c r="AS110" s="1565"/>
      <c r="AT110" s="1566"/>
      <c r="AU110" s="1566"/>
      <c r="AV110" s="1567"/>
      <c r="AW110" s="1564"/>
      <c r="AX110" s="1565"/>
      <c r="AY110" s="1566"/>
      <c r="AZ110" s="1566"/>
      <c r="BA110" s="1567"/>
      <c r="BB110" s="1564"/>
      <c r="BC110" s="1565"/>
      <c r="BD110" s="1566"/>
      <c r="BE110" s="1566"/>
      <c r="BF110" s="1567"/>
      <c r="BG110" s="1564"/>
      <c r="BH110" s="1565"/>
      <c r="BI110" s="1566"/>
      <c r="BJ110" s="1566"/>
      <c r="BK110" s="1567"/>
      <c r="BL110" s="1564"/>
      <c r="BM110" s="1565"/>
      <c r="BN110" s="1566"/>
      <c r="BO110" s="1566"/>
      <c r="BP110" s="1567"/>
      <c r="BQ110" s="1568"/>
      <c r="BR110" s="5"/>
      <c r="BS110" s="1518"/>
      <c r="BT110" s="1519"/>
      <c r="BU110" s="1520"/>
      <c r="BV110" s="1494"/>
      <c r="BW110" s="1520"/>
    </row>
    <row r="111" spans="1:75" s="19" customFormat="1">
      <c r="A111" s="108"/>
      <c r="B111" s="5"/>
      <c r="C111" s="1125"/>
      <c r="D111" s="5"/>
      <c r="E111" s="171"/>
      <c r="F111" s="172"/>
      <c r="G111" s="172"/>
      <c r="H111" s="173"/>
      <c r="I111" s="408"/>
      <c r="J111" s="171"/>
      <c r="K111" s="172"/>
      <c r="L111" s="172"/>
      <c r="M111" s="173"/>
      <c r="N111" s="408"/>
      <c r="O111" s="171"/>
      <c r="P111" s="172"/>
      <c r="Q111" s="172"/>
      <c r="R111" s="173"/>
      <c r="S111" s="408"/>
      <c r="T111" s="171"/>
      <c r="U111" s="172"/>
      <c r="V111" s="172"/>
      <c r="W111" s="173"/>
      <c r="X111" s="408"/>
      <c r="Y111" s="171"/>
      <c r="Z111" s="172"/>
      <c r="AA111" s="172"/>
      <c r="AB111" s="173"/>
      <c r="AC111" s="518"/>
      <c r="AD111" s="217"/>
      <c r="AE111" s="172"/>
      <c r="AF111" s="218"/>
      <c r="AG111" s="219"/>
      <c r="AH111" s="518"/>
      <c r="AI111" s="217"/>
      <c r="AJ111" s="218"/>
      <c r="AK111" s="218"/>
      <c r="AL111" s="219"/>
      <c r="AM111" s="518"/>
      <c r="AN111" s="217"/>
      <c r="AO111" s="218"/>
      <c r="AP111" s="218"/>
      <c r="AQ111" s="219"/>
      <c r="AR111" s="518"/>
      <c r="AS111" s="217"/>
      <c r="AT111" s="218"/>
      <c r="AU111" s="218"/>
      <c r="AV111" s="219"/>
      <c r="AW111" s="518"/>
      <c r="AX111" s="217"/>
      <c r="AY111" s="218"/>
      <c r="AZ111" s="218"/>
      <c r="BA111" s="219"/>
      <c r="BB111" s="518"/>
      <c r="BC111" s="217"/>
      <c r="BD111" s="218"/>
      <c r="BE111" s="218"/>
      <c r="BF111" s="219"/>
      <c r="BG111" s="518"/>
      <c r="BH111" s="217"/>
      <c r="BI111" s="218"/>
      <c r="BJ111" s="218"/>
      <c r="BK111" s="219"/>
      <c r="BL111" s="518"/>
      <c r="BM111" s="217"/>
      <c r="BN111" s="218"/>
      <c r="BO111" s="218"/>
      <c r="BP111" s="219"/>
      <c r="BQ111" s="518"/>
      <c r="BR111" s="408"/>
      <c r="BS111" s="1503"/>
      <c r="BT111" s="1503"/>
      <c r="BU111" s="1503"/>
      <c r="BV111" s="1503"/>
      <c r="BW111" s="1493"/>
    </row>
    <row r="112" spans="1:75" s="19" customFormat="1">
      <c r="A112" s="108"/>
      <c r="B112" s="5"/>
      <c r="C112" s="1125"/>
      <c r="D112" s="5"/>
      <c r="E112" s="171"/>
      <c r="F112" s="172"/>
      <c r="G112" s="172"/>
      <c r="H112" s="173"/>
      <c r="I112" s="408"/>
      <c r="J112" s="171"/>
      <c r="K112" s="172"/>
      <c r="L112" s="172"/>
      <c r="M112" s="173"/>
      <c r="N112" s="408"/>
      <c r="O112" s="171"/>
      <c r="P112" s="172"/>
      <c r="Q112" s="172"/>
      <c r="R112" s="173"/>
      <c r="S112" s="408"/>
      <c r="T112" s="171"/>
      <c r="U112" s="172"/>
      <c r="V112" s="172"/>
      <c r="W112" s="173"/>
      <c r="X112" s="408"/>
      <c r="Y112" s="171"/>
      <c r="Z112" s="172"/>
      <c r="AA112" s="172"/>
      <c r="AB112" s="173"/>
      <c r="AC112" s="518"/>
      <c r="AD112" s="217"/>
      <c r="AE112" s="172"/>
      <c r="AF112" s="218"/>
      <c r="AG112" s="219"/>
      <c r="AH112" s="518"/>
      <c r="AI112" s="217"/>
      <c r="AJ112" s="218"/>
      <c r="AK112" s="218"/>
      <c r="AL112" s="219"/>
      <c r="AM112" s="518"/>
      <c r="AN112" s="217"/>
      <c r="AO112" s="218"/>
      <c r="AP112" s="218"/>
      <c r="AQ112" s="219"/>
      <c r="AR112" s="518"/>
      <c r="AS112" s="217"/>
      <c r="AT112" s="218"/>
      <c r="AU112" s="218"/>
      <c r="AV112" s="219"/>
      <c r="AW112" s="518"/>
      <c r="AX112" s="217"/>
      <c r="AY112" s="218"/>
      <c r="AZ112" s="218"/>
      <c r="BA112" s="219"/>
      <c r="BB112" s="518"/>
      <c r="BC112" s="217"/>
      <c r="BD112" s="218"/>
      <c r="BE112" s="218"/>
      <c r="BF112" s="219"/>
      <c r="BG112" s="518"/>
      <c r="BH112" s="217"/>
      <c r="BI112" s="218"/>
      <c r="BJ112" s="218"/>
      <c r="BK112" s="219"/>
      <c r="BL112" s="518"/>
      <c r="BM112" s="217"/>
      <c r="BN112" s="218"/>
      <c r="BO112" s="218"/>
      <c r="BP112" s="219"/>
      <c r="BQ112" s="518"/>
      <c r="BR112" s="408"/>
      <c r="BS112" s="1503"/>
      <c r="BT112" s="1503"/>
      <c r="BU112" s="1503"/>
      <c r="BV112" s="1503"/>
      <c r="BW112" s="1493"/>
    </row>
    <row r="113" spans="1:81" s="19" customFormat="1">
      <c r="A113" s="108"/>
      <c r="B113" s="70" t="s">
        <v>527</v>
      </c>
      <c r="C113" s="1144"/>
      <c r="D113" s="92"/>
      <c r="E113" s="146"/>
      <c r="F113" s="7"/>
      <c r="G113" s="7"/>
      <c r="H113" s="147"/>
      <c r="I113" s="31"/>
      <c r="J113" s="146"/>
      <c r="K113" s="7"/>
      <c r="L113" s="7"/>
      <c r="M113" s="147"/>
      <c r="N113" s="5"/>
      <c r="O113" s="146"/>
      <c r="P113" s="7"/>
      <c r="Q113" s="7"/>
      <c r="R113" s="147"/>
      <c r="S113" s="5"/>
      <c r="T113" s="146"/>
      <c r="U113" s="7"/>
      <c r="V113" s="7"/>
      <c r="W113" s="147"/>
      <c r="X113" s="5"/>
      <c r="Y113" s="146"/>
      <c r="Z113" s="7"/>
      <c r="AA113" s="7"/>
      <c r="AB113" s="147"/>
      <c r="AC113" s="44"/>
      <c r="AD113" s="177"/>
      <c r="AE113" s="7"/>
      <c r="AF113" s="178"/>
      <c r="AG113" s="179"/>
      <c r="AH113" s="44"/>
      <c r="AI113" s="177"/>
      <c r="AJ113" s="178"/>
      <c r="AK113" s="178"/>
      <c r="AL113" s="179"/>
      <c r="AM113" s="44"/>
      <c r="AN113" s="177"/>
      <c r="AO113" s="178"/>
      <c r="AP113" s="946"/>
      <c r="AQ113" s="179"/>
      <c r="AR113" s="44"/>
      <c r="AS113" s="177"/>
      <c r="AT113" s="178"/>
      <c r="AU113" s="178"/>
      <c r="AV113" s="179"/>
      <c r="AW113" s="44"/>
      <c r="AX113" s="177"/>
      <c r="AY113" s="178"/>
      <c r="AZ113" s="178"/>
      <c r="BA113" s="179"/>
      <c r="BB113" s="44"/>
      <c r="BC113" s="177"/>
      <c r="BD113" s="178"/>
      <c r="BE113" s="178"/>
      <c r="BF113" s="179"/>
      <c r="BG113" s="44"/>
      <c r="BH113" s="177"/>
      <c r="BI113" s="178"/>
      <c r="BJ113" s="178"/>
      <c r="BK113" s="179"/>
      <c r="BL113" s="44"/>
      <c r="BM113" s="177"/>
      <c r="BN113" s="178"/>
      <c r="BO113" s="178"/>
      <c r="BP113" s="179"/>
      <c r="BQ113" s="44"/>
      <c r="BR113" s="5"/>
      <c r="BS113" s="1503"/>
      <c r="BT113" s="1503"/>
      <c r="BU113" s="1503"/>
      <c r="BV113" s="1503"/>
      <c r="BW113" s="1493"/>
    </row>
    <row r="114" spans="1:81" s="19" customFormat="1">
      <c r="A114" s="108"/>
      <c r="B114"/>
      <c r="C114" s="1145"/>
      <c r="D114"/>
      <c r="E114" s="146"/>
      <c r="F114" s="7"/>
      <c r="G114" s="7"/>
      <c r="H114" s="147"/>
      <c r="I114" s="31"/>
      <c r="J114" s="146"/>
      <c r="K114" s="7"/>
      <c r="L114" s="7"/>
      <c r="M114" s="147"/>
      <c r="N114" s="5"/>
      <c r="O114" s="146"/>
      <c r="P114" s="7"/>
      <c r="Q114" s="7"/>
      <c r="R114" s="147"/>
      <c r="S114" s="5"/>
      <c r="T114" s="146"/>
      <c r="U114" s="7"/>
      <c r="V114" s="7"/>
      <c r="W114" s="147"/>
      <c r="X114" s="5"/>
      <c r="Y114" s="146"/>
      <c r="Z114" s="7"/>
      <c r="AA114" s="7"/>
      <c r="AB114" s="147"/>
      <c r="AC114" s="44"/>
      <c r="AD114" s="177"/>
      <c r="AE114" s="7"/>
      <c r="AF114" s="178"/>
      <c r="AG114" s="179"/>
      <c r="AH114" s="44"/>
      <c r="AI114" s="177"/>
      <c r="AJ114" s="178"/>
      <c r="AK114" s="178"/>
      <c r="AL114" s="179"/>
      <c r="AM114" s="44"/>
      <c r="AN114" s="177"/>
      <c r="AO114" s="178"/>
      <c r="AP114" s="946"/>
      <c r="AQ114" s="179"/>
      <c r="AR114" s="44"/>
      <c r="AS114" s="177"/>
      <c r="AT114" s="178"/>
      <c r="AU114" s="178"/>
      <c r="AV114" s="179"/>
      <c r="AW114" s="44"/>
      <c r="AX114" s="177"/>
      <c r="AY114" s="178"/>
      <c r="AZ114" s="178"/>
      <c r="BA114" s="179"/>
      <c r="BB114" s="44"/>
      <c r="BC114" s="177"/>
      <c r="BD114" s="178"/>
      <c r="BE114" s="178"/>
      <c r="BF114" s="179"/>
      <c r="BG114" s="44"/>
      <c r="BH114" s="177"/>
      <c r="BI114" s="178"/>
      <c r="BJ114" s="178"/>
      <c r="BK114" s="179"/>
      <c r="BL114" s="44"/>
      <c r="BM114" s="177"/>
      <c r="BN114" s="178"/>
      <c r="BO114" s="178"/>
      <c r="BP114" s="179"/>
      <c r="BQ114" s="44"/>
      <c r="BR114" s="5"/>
      <c r="BS114" s="1503"/>
      <c r="BT114" s="1503"/>
      <c r="BU114" s="1503"/>
      <c r="BV114" s="1503"/>
      <c r="BW114" s="1493"/>
    </row>
    <row r="115" spans="1:81" s="19" customFormat="1">
      <c r="A115" s="108"/>
      <c r="B115"/>
      <c r="C115" s="1146" t="s">
        <v>528</v>
      </c>
      <c r="D115"/>
      <c r="E115" s="146"/>
      <c r="F115" s="7"/>
      <c r="G115" s="7"/>
      <c r="H115" s="147"/>
      <c r="I115" s="31"/>
      <c r="J115" s="146"/>
      <c r="K115" s="7"/>
      <c r="L115" s="7"/>
      <c r="M115" s="147"/>
      <c r="N115" s="5"/>
      <c r="O115" s="146"/>
      <c r="P115" s="7"/>
      <c r="Q115" s="7"/>
      <c r="R115" s="147"/>
      <c r="S115" s="5"/>
      <c r="T115" s="146"/>
      <c r="U115" s="7"/>
      <c r="V115" s="7"/>
      <c r="W115" s="147"/>
      <c r="X115" s="5"/>
      <c r="Y115" s="146"/>
      <c r="Z115" s="7"/>
      <c r="AA115" s="7"/>
      <c r="AB115" s="147"/>
      <c r="AC115" s="44"/>
      <c r="AD115" s="177"/>
      <c r="AE115" s="7"/>
      <c r="AF115" s="178"/>
      <c r="AG115" s="179"/>
      <c r="AH115" s="44"/>
      <c r="AI115" s="177"/>
      <c r="AJ115" s="178"/>
      <c r="AK115" s="178"/>
      <c r="AL115" s="179"/>
      <c r="AM115" s="44"/>
      <c r="AN115" s="177"/>
      <c r="AO115" s="178"/>
      <c r="AP115" s="178"/>
      <c r="AQ115" s="179"/>
      <c r="AR115" s="44"/>
      <c r="AS115" s="177"/>
      <c r="AT115" s="178"/>
      <c r="AU115" s="178"/>
      <c r="AV115" s="179"/>
      <c r="AW115" s="44"/>
      <c r="AX115" s="177"/>
      <c r="AY115" s="178"/>
      <c r="AZ115" s="178"/>
      <c r="BA115" s="179"/>
      <c r="BB115" s="44"/>
      <c r="BC115" s="177"/>
      <c r="BD115" s="178"/>
      <c r="BE115" s="178"/>
      <c r="BF115" s="179"/>
      <c r="BG115" s="44"/>
      <c r="BH115" s="177"/>
      <c r="BI115" s="178"/>
      <c r="BJ115" s="178"/>
      <c r="BK115" s="179"/>
      <c r="BL115" s="44"/>
      <c r="BM115" s="177"/>
      <c r="BN115" s="178"/>
      <c r="BO115" s="178"/>
      <c r="BP115" s="179"/>
      <c r="BQ115" s="44"/>
      <c r="BR115" s="5"/>
      <c r="BS115" s="1503"/>
      <c r="BT115" s="1503"/>
      <c r="BU115" s="1503"/>
      <c r="BV115" s="1503"/>
      <c r="BW115" s="1493"/>
    </row>
    <row r="116" spans="1:81" s="19" customFormat="1">
      <c r="A116" s="108"/>
      <c r="B116" s="5"/>
      <c r="C116" s="1125" t="s">
        <v>529</v>
      </c>
      <c r="D116" s="5"/>
      <c r="E116" s="146"/>
      <c r="F116" s="7"/>
      <c r="G116" s="7"/>
      <c r="H116" s="147"/>
      <c r="I116" s="31"/>
      <c r="J116" s="146"/>
      <c r="K116" s="7"/>
      <c r="L116" s="7"/>
      <c r="M116" s="147"/>
      <c r="N116" s="5"/>
      <c r="O116" s="146"/>
      <c r="P116" s="7"/>
      <c r="Q116" s="7"/>
      <c r="R116" s="147"/>
      <c r="S116" s="5"/>
      <c r="T116" s="912"/>
      <c r="U116" s="913"/>
      <c r="V116" s="913"/>
      <c r="W116" s="914"/>
      <c r="X116" s="911"/>
      <c r="Y116" s="912">
        <f t="shared" ref="Y116:AS116" si="286">Y192</f>
        <v>538.0457671063341</v>
      </c>
      <c r="Z116" s="913">
        <f t="shared" si="286"/>
        <v>327.24113936101628</v>
      </c>
      <c r="AA116" s="913">
        <f t="shared" si="286"/>
        <v>368.64416231700875</v>
      </c>
      <c r="AB116" s="914">
        <f>AB192</f>
        <v>392.31208562262714</v>
      </c>
      <c r="AC116" s="911">
        <f t="shared" si="286"/>
        <v>1626.2431544069864</v>
      </c>
      <c r="AD116" s="912">
        <f t="shared" si="286"/>
        <v>1025.6279892603604</v>
      </c>
      <c r="AE116" s="913">
        <f t="shared" si="286"/>
        <v>320.45634131390074</v>
      </c>
      <c r="AF116" s="913">
        <f t="shared" si="286"/>
        <v>285.48645149965597</v>
      </c>
      <c r="AG116" s="914">
        <f t="shared" si="286"/>
        <v>298.7859923312688</v>
      </c>
      <c r="AH116" s="911">
        <f t="shared" si="286"/>
        <v>1930.3567744051859</v>
      </c>
      <c r="AI116" s="912">
        <f t="shared" si="286"/>
        <v>476.27719393547267</v>
      </c>
      <c r="AJ116" s="913">
        <f t="shared" si="286"/>
        <v>200.28868595006151</v>
      </c>
      <c r="AK116" s="913">
        <f t="shared" si="286"/>
        <v>232.66266283312831</v>
      </c>
      <c r="AL116" s="914">
        <f t="shared" si="286"/>
        <v>183.76802149647256</v>
      </c>
      <c r="AM116" s="911">
        <f t="shared" si="286"/>
        <v>1092.9965642151351</v>
      </c>
      <c r="AN116" s="912">
        <f t="shared" ref="AN116" si="287">AN192</f>
        <v>203.83175518865028</v>
      </c>
      <c r="AO116" s="913">
        <f>AO192</f>
        <v>222.15075038865029</v>
      </c>
      <c r="AP116" s="913">
        <f t="shared" ref="AP116" si="288">AP192</f>
        <v>259.27235991104118</v>
      </c>
      <c r="AQ116" s="914">
        <f t="shared" si="286"/>
        <v>259.27235991104118</v>
      </c>
      <c r="AR116" s="911">
        <f t="shared" si="286"/>
        <v>944.52722539938281</v>
      </c>
      <c r="AS116" s="912">
        <f t="shared" si="286"/>
        <v>249.43493352198618</v>
      </c>
      <c r="AT116" s="913">
        <f>AT192</f>
        <v>223.76638611026297</v>
      </c>
      <c r="AU116" s="913">
        <f t="shared" ref="AU116" si="289">AU192</f>
        <v>214.72917949654951</v>
      </c>
      <c r="AV116" s="914">
        <f t="shared" ref="AV116:BB116" si="290">AV192</f>
        <v>281.08830397323663</v>
      </c>
      <c r="AW116" s="911">
        <f t="shared" si="290"/>
        <v>969.01880310203535</v>
      </c>
      <c r="AX116" s="912">
        <f t="shared" si="290"/>
        <v>349.54480271631087</v>
      </c>
      <c r="AY116" s="913">
        <f t="shared" si="290"/>
        <v>269.551699326</v>
      </c>
      <c r="AZ116" s="913">
        <f t="shared" si="290"/>
        <v>243.66190391737501</v>
      </c>
      <c r="BA116" s="914">
        <f t="shared" si="290"/>
        <v>299.03470768787503</v>
      </c>
      <c r="BB116" s="911">
        <f t="shared" si="290"/>
        <v>1161.7931136475609</v>
      </c>
      <c r="BC116" s="912">
        <f t="shared" ref="BC116:BL116" si="291">BC192</f>
        <v>427.15712906899773</v>
      </c>
      <c r="BD116" s="913">
        <f t="shared" si="291"/>
        <v>239.79575384484551</v>
      </c>
      <c r="BE116" s="913">
        <f t="shared" si="291"/>
        <v>190.93996559789255</v>
      </c>
      <c r="BF116" s="914">
        <f t="shared" si="291"/>
        <v>188.95866079254753</v>
      </c>
      <c r="BG116" s="911">
        <f t="shared" si="291"/>
        <v>1046.8515093042831</v>
      </c>
      <c r="BH116" s="912">
        <f t="shared" si="291"/>
        <v>349.25578948961777</v>
      </c>
      <c r="BI116" s="913">
        <f t="shared" si="291"/>
        <v>175.21536188789617</v>
      </c>
      <c r="BJ116" s="913">
        <f t="shared" si="291"/>
        <v>138.9994672179169</v>
      </c>
      <c r="BK116" s="914">
        <f t="shared" si="291"/>
        <v>138.01029292918099</v>
      </c>
      <c r="BL116" s="911">
        <f t="shared" si="291"/>
        <v>801.48091152461188</v>
      </c>
      <c r="BM116" s="912">
        <f t="shared" ref="BM116:BQ116" si="292">BM192</f>
        <v>142.67190498655276</v>
      </c>
      <c r="BN116" s="913">
        <f t="shared" si="292"/>
        <v>122.68722226692181</v>
      </c>
      <c r="BO116" s="913">
        <f t="shared" si="292"/>
        <v>82.717856827659901</v>
      </c>
      <c r="BP116" s="914">
        <f t="shared" si="292"/>
        <v>82.717856827659901</v>
      </c>
      <c r="BQ116" s="911">
        <f t="shared" si="292"/>
        <v>430.79484090879436</v>
      </c>
      <c r="BR116" s="911"/>
      <c r="BS116" s="1503"/>
      <c r="BT116" s="1503"/>
      <c r="BU116" s="1503"/>
      <c r="BV116" s="1503"/>
      <c r="BW116" s="1493"/>
      <c r="BX116"/>
      <c r="BY116"/>
      <c r="BZ116"/>
      <c r="CA116"/>
      <c r="CB116"/>
      <c r="CC116"/>
    </row>
    <row r="117" spans="1:81" s="19" customFormat="1">
      <c r="A117" s="108"/>
      <c r="B117" s="5"/>
      <c r="C117" s="1125" t="s">
        <v>530</v>
      </c>
      <c r="D117" s="5"/>
      <c r="E117" s="146"/>
      <c r="F117" s="7"/>
      <c r="G117" s="7"/>
      <c r="H117" s="147"/>
      <c r="I117" s="31"/>
      <c r="J117" s="146"/>
      <c r="K117" s="7"/>
      <c r="L117" s="7"/>
      <c r="M117" s="147"/>
      <c r="N117" s="5"/>
      <c r="O117" s="146"/>
      <c r="P117" s="7"/>
      <c r="Q117" s="7"/>
      <c r="R117" s="147"/>
      <c r="S117" s="5"/>
      <c r="T117" s="912"/>
      <c r="U117" s="913"/>
      <c r="V117" s="913"/>
      <c r="W117" s="914"/>
      <c r="X117" s="911"/>
      <c r="Y117" s="912">
        <f t="shared" ref="Y117:AS117" si="293">Y257</f>
        <v>42.772360454193937</v>
      </c>
      <c r="Z117" s="913">
        <f t="shared" si="293"/>
        <v>10.654283167286046</v>
      </c>
      <c r="AA117" s="913">
        <f t="shared" si="293"/>
        <v>24.690993563493521</v>
      </c>
      <c r="AB117" s="914">
        <f t="shared" si="293"/>
        <v>27.795544690009415</v>
      </c>
      <c r="AC117" s="911">
        <f t="shared" si="293"/>
        <v>105.91318187498291</v>
      </c>
      <c r="AD117" s="912">
        <f t="shared" si="293"/>
        <v>50.775505932272353</v>
      </c>
      <c r="AE117" s="913">
        <f t="shared" si="293"/>
        <v>11.967046393894556</v>
      </c>
      <c r="AF117" s="913">
        <f t="shared" si="293"/>
        <v>15.486377005642655</v>
      </c>
      <c r="AG117" s="914">
        <f t="shared" si="293"/>
        <v>16.123022475023962</v>
      </c>
      <c r="AH117" s="911">
        <f t="shared" si="293"/>
        <v>94.351951806833597</v>
      </c>
      <c r="AI117" s="912">
        <f t="shared" si="293"/>
        <v>26.350258232216163</v>
      </c>
      <c r="AJ117" s="913">
        <f t="shared" si="293"/>
        <v>11.116253371319235</v>
      </c>
      <c r="AK117" s="913">
        <f t="shared" si="293"/>
        <v>20.509061167901681</v>
      </c>
      <c r="AL117" s="914">
        <f t="shared" si="293"/>
        <v>17.212912722765203</v>
      </c>
      <c r="AM117" s="911">
        <f t="shared" si="293"/>
        <v>75.188485494202268</v>
      </c>
      <c r="AN117" s="912">
        <f t="shared" ref="AN117" si="294">AN257</f>
        <v>7.2795820990318543</v>
      </c>
      <c r="AO117" s="913">
        <f t="shared" si="293"/>
        <v>7.2795820990318543</v>
      </c>
      <c r="AP117" s="913">
        <f t="shared" ref="AP117" si="295">AP257</f>
        <v>1.2176819751976362</v>
      </c>
      <c r="AQ117" s="914">
        <f t="shared" si="293"/>
        <v>1.2176819751976362</v>
      </c>
      <c r="AR117" s="911">
        <f t="shared" si="293"/>
        <v>16.994528148458983</v>
      </c>
      <c r="AS117" s="912">
        <f t="shared" si="293"/>
        <v>1.3178647076257581</v>
      </c>
      <c r="AT117" s="913">
        <f t="shared" ref="AT117:AU117" si="296">AT257</f>
        <v>2.4747294901464834</v>
      </c>
      <c r="AU117" s="913">
        <f t="shared" si="296"/>
        <v>3.4340828615226258</v>
      </c>
      <c r="AV117" s="914">
        <f t="shared" ref="AV117:BB117" si="297">AV257</f>
        <v>3.9093748051666104</v>
      </c>
      <c r="AW117" s="911">
        <f t="shared" si="297"/>
        <v>11.136051864461479</v>
      </c>
      <c r="AX117" s="912">
        <f t="shared" si="297"/>
        <v>4.2931727291597568</v>
      </c>
      <c r="AY117" s="913">
        <f t="shared" si="297"/>
        <v>6.7479863953999946</v>
      </c>
      <c r="AZ117" s="913">
        <f t="shared" si="297"/>
        <v>4.1969049770000009</v>
      </c>
      <c r="BA117" s="914">
        <f t="shared" si="297"/>
        <v>5.8699267879999972</v>
      </c>
      <c r="BB117" s="911">
        <f t="shared" si="297"/>
        <v>21.107990889559758</v>
      </c>
      <c r="BC117" s="912">
        <f t="shared" ref="BC117:BL117" si="298">BC257</f>
        <v>13.884027338651501</v>
      </c>
      <c r="BD117" s="913">
        <f t="shared" si="298"/>
        <v>6.1543525018964242</v>
      </c>
      <c r="BE117" s="913">
        <f t="shared" si="298"/>
        <v>4.228323867362958</v>
      </c>
      <c r="BF117" s="914">
        <f t="shared" si="298"/>
        <v>1.6869066788180529</v>
      </c>
      <c r="BG117" s="911">
        <f t="shared" si="298"/>
        <v>25.95361038672894</v>
      </c>
      <c r="BH117" s="912">
        <f t="shared" si="298"/>
        <v>13.465476268134019</v>
      </c>
      <c r="BI117" s="913">
        <f t="shared" si="298"/>
        <v>5.8359101217748197</v>
      </c>
      <c r="BJ117" s="913">
        <f t="shared" si="298"/>
        <v>3.9220353334994886</v>
      </c>
      <c r="BK117" s="914">
        <f t="shared" si="298"/>
        <v>1.5338550509113675</v>
      </c>
      <c r="BL117" s="911">
        <f t="shared" si="298"/>
        <v>24.757276774319706</v>
      </c>
      <c r="BM117" s="912">
        <f t="shared" ref="BM117:BQ117" si="299">BM257</f>
        <v>6.1742787186481092</v>
      </c>
      <c r="BN117" s="913">
        <f t="shared" si="299"/>
        <v>6.1742787186481092</v>
      </c>
      <c r="BO117" s="913">
        <f t="shared" si="299"/>
        <v>6.1742787186481092</v>
      </c>
      <c r="BP117" s="914">
        <f t="shared" si="299"/>
        <v>6.1742787186481092</v>
      </c>
      <c r="BQ117" s="911">
        <f t="shared" si="299"/>
        <v>24.697114874592437</v>
      </c>
      <c r="BR117" s="911"/>
      <c r="BS117" s="1503"/>
      <c r="BT117" s="1503"/>
      <c r="BU117" s="1503"/>
      <c r="BV117" s="1503"/>
      <c r="BW117" s="1493"/>
      <c r="BX117"/>
      <c r="BY117"/>
      <c r="BZ117"/>
      <c r="CA117"/>
      <c r="CB117"/>
      <c r="CC117"/>
    </row>
    <row r="118" spans="1:81" s="19" customFormat="1">
      <c r="A118" s="108"/>
      <c r="B118" s="5"/>
      <c r="C118" s="1125" t="s">
        <v>532</v>
      </c>
      <c r="D118" s="5"/>
      <c r="E118" s="146"/>
      <c r="F118" s="7"/>
      <c r="G118" s="7"/>
      <c r="H118" s="147"/>
      <c r="I118" s="31"/>
      <c r="J118" s="146"/>
      <c r="K118" s="7"/>
      <c r="L118" s="7"/>
      <c r="M118" s="147"/>
      <c r="N118" s="5"/>
      <c r="O118" s="146"/>
      <c r="P118" s="7"/>
      <c r="Q118" s="7"/>
      <c r="R118" s="147"/>
      <c r="S118" s="5"/>
      <c r="T118" s="912"/>
      <c r="U118" s="913"/>
      <c r="V118" s="913"/>
      <c r="W118" s="914"/>
      <c r="X118" s="911"/>
      <c r="Y118" s="912">
        <f t="shared" ref="Y118:AS118" si="300">Y336</f>
        <v>5.3461063802850912</v>
      </c>
      <c r="Z118" s="913">
        <f t="shared" si="300"/>
        <v>3.7981482732938936</v>
      </c>
      <c r="AA118" s="913">
        <f t="shared" si="300"/>
        <v>5.6952859187479943</v>
      </c>
      <c r="AB118" s="914">
        <f t="shared" si="300"/>
        <v>4.6975775406543629</v>
      </c>
      <c r="AC118" s="911">
        <f t="shared" si="300"/>
        <v>19.537118112981346</v>
      </c>
      <c r="AD118" s="912">
        <f t="shared" si="300"/>
        <v>18.450592066620818</v>
      </c>
      <c r="AE118" s="913">
        <f t="shared" si="300"/>
        <v>3.9795116120056502</v>
      </c>
      <c r="AF118" s="913">
        <f t="shared" si="300"/>
        <v>3.5031539014618351</v>
      </c>
      <c r="AG118" s="914">
        <f t="shared" si="300"/>
        <v>2.7743619116225631</v>
      </c>
      <c r="AH118" s="911">
        <f t="shared" si="300"/>
        <v>28.707619491710865</v>
      </c>
      <c r="AI118" s="912">
        <f t="shared" si="300"/>
        <v>6.5345488759474035</v>
      </c>
      <c r="AJ118" s="913">
        <f t="shared" si="300"/>
        <v>2.624439773149863</v>
      </c>
      <c r="AK118" s="913">
        <f t="shared" si="300"/>
        <v>2.9728695608391611</v>
      </c>
      <c r="AL118" s="914">
        <f t="shared" si="300"/>
        <v>2.0497410275300494</v>
      </c>
      <c r="AM118" s="911">
        <f t="shared" si="300"/>
        <v>14.181599237466479</v>
      </c>
      <c r="AN118" s="912">
        <f t="shared" ref="AN118" si="301">AN336</f>
        <v>2.4382130593187279</v>
      </c>
      <c r="AO118" s="913">
        <f t="shared" si="300"/>
        <v>2.4382130593187279</v>
      </c>
      <c r="AP118" s="913">
        <f t="shared" ref="AP118" si="302">AP336</f>
        <v>1.1498045548593061</v>
      </c>
      <c r="AQ118" s="914">
        <f t="shared" si="300"/>
        <v>1.0832775618523129</v>
      </c>
      <c r="AR118" s="911">
        <f t="shared" si="300"/>
        <v>7.1095082353490753</v>
      </c>
      <c r="AS118" s="912">
        <f t="shared" si="300"/>
        <v>0.93366346812718692</v>
      </c>
      <c r="AT118" s="913">
        <f t="shared" ref="AT118:AU118" si="303">AT336</f>
        <v>1.8703843410068819</v>
      </c>
      <c r="AU118" s="913">
        <f t="shared" si="303"/>
        <v>2.0573227621120571</v>
      </c>
      <c r="AV118" s="914">
        <f t="shared" ref="AV118:BB118" si="304">AV336</f>
        <v>2.0938191536804869</v>
      </c>
      <c r="AW118" s="911">
        <f t="shared" si="304"/>
        <v>6.9551897249266119</v>
      </c>
      <c r="AX118" s="912">
        <f t="shared" si="304"/>
        <v>3.2909449336052408</v>
      </c>
      <c r="AY118" s="913">
        <f t="shared" si="304"/>
        <v>3.6704813113636341</v>
      </c>
      <c r="AZ118" s="913">
        <f t="shared" si="304"/>
        <v>2.6646848538352268</v>
      </c>
      <c r="BA118" s="914">
        <f t="shared" si="304"/>
        <v>3.6329988080965903</v>
      </c>
      <c r="BB118" s="911">
        <f t="shared" si="304"/>
        <v>13.259109906900687</v>
      </c>
      <c r="BC118" s="912">
        <f t="shared" ref="BC118:BL118" si="305">BC336</f>
        <v>7.7309497732121883</v>
      </c>
      <c r="BD118" s="913">
        <f t="shared" si="305"/>
        <v>3.0592947673342472</v>
      </c>
      <c r="BE118" s="913">
        <f t="shared" si="305"/>
        <v>2.0893505629295479</v>
      </c>
      <c r="BF118" s="914">
        <f t="shared" si="305"/>
        <v>1.3238555806471712</v>
      </c>
      <c r="BG118" s="911">
        <f t="shared" si="305"/>
        <v>14.203450684123155</v>
      </c>
      <c r="BH118" s="912">
        <f t="shared" si="305"/>
        <v>7.6145622436282174</v>
      </c>
      <c r="BI118" s="913">
        <f t="shared" si="305"/>
        <v>2.9837375790766174</v>
      </c>
      <c r="BJ118" s="913">
        <f t="shared" si="305"/>
        <v>2.0225044247027331</v>
      </c>
      <c r="BK118" s="914">
        <f t="shared" si="305"/>
        <v>1.2641008261865165</v>
      </c>
      <c r="BL118" s="911">
        <f t="shared" si="305"/>
        <v>13.884905073594084</v>
      </c>
      <c r="BM118" s="912">
        <f t="shared" ref="BM118:BQ118" si="306">BM336</f>
        <v>3.5417114109231083</v>
      </c>
      <c r="BN118" s="913">
        <f t="shared" si="306"/>
        <v>3.5417114109231083</v>
      </c>
      <c r="BO118" s="913">
        <f t="shared" si="306"/>
        <v>3.5417114109231083</v>
      </c>
      <c r="BP118" s="914">
        <f t="shared" si="306"/>
        <v>3.5900712548879197</v>
      </c>
      <c r="BQ118" s="911">
        <f t="shared" si="306"/>
        <v>14.215205487657244</v>
      </c>
      <c r="BR118" s="911"/>
      <c r="BS118" s="1503"/>
      <c r="BT118" s="1503"/>
      <c r="BU118" s="1503"/>
      <c r="BV118" s="1503"/>
      <c r="BW118" s="1493"/>
      <c r="BX118"/>
      <c r="BY118"/>
      <c r="BZ118"/>
      <c r="CA118"/>
      <c r="CB118"/>
      <c r="CC118"/>
    </row>
    <row r="119" spans="1:81" s="19" customFormat="1">
      <c r="A119" s="108"/>
      <c r="B119" s="5"/>
      <c r="C119" s="1125" t="s">
        <v>531</v>
      </c>
      <c r="D119" s="5"/>
      <c r="E119" s="146"/>
      <c r="F119" s="7"/>
      <c r="G119" s="7"/>
      <c r="H119" s="147"/>
      <c r="I119" s="31"/>
      <c r="J119" s="146"/>
      <c r="K119" s="7"/>
      <c r="L119" s="7"/>
      <c r="M119" s="147"/>
      <c r="N119" s="5"/>
      <c r="O119" s="146"/>
      <c r="P119" s="7"/>
      <c r="Q119" s="7"/>
      <c r="R119" s="147"/>
      <c r="S119" s="5"/>
      <c r="T119" s="912"/>
      <c r="U119" s="913"/>
      <c r="V119" s="913"/>
      <c r="W119" s="914"/>
      <c r="X119" s="911"/>
      <c r="Y119" s="912">
        <f t="shared" ref="Y119:AS119" si="307">Y350</f>
        <v>2.1461999999999999</v>
      </c>
      <c r="Z119" s="913">
        <f t="shared" si="307"/>
        <v>2.1461999999999999</v>
      </c>
      <c r="AA119" s="913">
        <f t="shared" si="307"/>
        <v>2.1461999999999999</v>
      </c>
      <c r="AB119" s="914">
        <f t="shared" si="307"/>
        <v>2.1461999999999999</v>
      </c>
      <c r="AC119" s="911">
        <f t="shared" si="307"/>
        <v>8.5847999999999995</v>
      </c>
      <c r="AD119" s="912">
        <f t="shared" si="307"/>
        <v>2.1891240000000001</v>
      </c>
      <c r="AE119" s="913">
        <f t="shared" si="307"/>
        <v>2.1891240000000001</v>
      </c>
      <c r="AF119" s="913">
        <f t="shared" si="307"/>
        <v>2.1891240000000001</v>
      </c>
      <c r="AG119" s="914">
        <f t="shared" si="307"/>
        <v>2.1891240000000001</v>
      </c>
      <c r="AH119" s="911">
        <f t="shared" si="307"/>
        <v>8.7564960000000003</v>
      </c>
      <c r="AI119" s="912">
        <f t="shared" si="307"/>
        <v>2.2329064800000005</v>
      </c>
      <c r="AJ119" s="913">
        <f t="shared" si="307"/>
        <v>2.2329064800000005</v>
      </c>
      <c r="AK119" s="913">
        <f t="shared" si="307"/>
        <v>2.2329064800000005</v>
      </c>
      <c r="AL119" s="914">
        <f t="shared" si="307"/>
        <v>2.2329064800000005</v>
      </c>
      <c r="AM119" s="911">
        <f t="shared" si="307"/>
        <v>8.9316259200000019</v>
      </c>
      <c r="AN119" s="912">
        <f t="shared" ref="AN119" si="308">AN350</f>
        <v>2.2775646096000006</v>
      </c>
      <c r="AO119" s="913">
        <f t="shared" si="307"/>
        <v>2.2775646096000006</v>
      </c>
      <c r="AP119" s="913">
        <f t="shared" ref="AP119" si="309">AP350</f>
        <v>2.2775646096000006</v>
      </c>
      <c r="AQ119" s="914">
        <f t="shared" si="307"/>
        <v>2.2775646096000006</v>
      </c>
      <c r="AR119" s="911">
        <f t="shared" si="307"/>
        <v>9.1102584384000025</v>
      </c>
      <c r="AS119" s="912">
        <f t="shared" si="307"/>
        <v>2.3231159017920007</v>
      </c>
      <c r="AT119" s="913">
        <f t="shared" ref="AT119:AU119" si="310">AT350</f>
        <v>2.3231159017920007</v>
      </c>
      <c r="AU119" s="913">
        <f t="shared" si="310"/>
        <v>2.3231159017920007</v>
      </c>
      <c r="AV119" s="914">
        <f t="shared" ref="AV119:BB119" si="311">AV350</f>
        <v>2.3231159017920007</v>
      </c>
      <c r="AW119" s="911">
        <f t="shared" si="311"/>
        <v>9.2924636071680027</v>
      </c>
      <c r="AX119" s="912">
        <f t="shared" si="311"/>
        <v>2.3695782198278406</v>
      </c>
      <c r="AY119" s="913">
        <f t="shared" si="311"/>
        <v>2.3695782198278406</v>
      </c>
      <c r="AZ119" s="913">
        <f t="shared" si="311"/>
        <v>2.3695782198278406</v>
      </c>
      <c r="BA119" s="914">
        <f t="shared" si="311"/>
        <v>2.3695782198278406</v>
      </c>
      <c r="BB119" s="911">
        <f t="shared" si="311"/>
        <v>9.4783128793113622</v>
      </c>
      <c r="BC119" s="912">
        <f t="shared" ref="BC119:BL119" si="312">BC350</f>
        <v>2.4169697842243978</v>
      </c>
      <c r="BD119" s="913">
        <f t="shared" si="312"/>
        <v>2.4169697842243978</v>
      </c>
      <c r="BE119" s="913">
        <f t="shared" si="312"/>
        <v>2.4169697842243978</v>
      </c>
      <c r="BF119" s="914">
        <f t="shared" si="312"/>
        <v>2.4169697842243978</v>
      </c>
      <c r="BG119" s="911">
        <f t="shared" si="312"/>
        <v>9.6678791368975912</v>
      </c>
      <c r="BH119" s="912">
        <f t="shared" si="312"/>
        <v>2.4653091799088855</v>
      </c>
      <c r="BI119" s="913">
        <f t="shared" si="312"/>
        <v>2.4653091799088855</v>
      </c>
      <c r="BJ119" s="913">
        <f t="shared" si="312"/>
        <v>2.4653091799088855</v>
      </c>
      <c r="BK119" s="914">
        <f t="shared" si="312"/>
        <v>2.4653091799088855</v>
      </c>
      <c r="BL119" s="911">
        <f t="shared" si="312"/>
        <v>9.8612367196355422</v>
      </c>
      <c r="BM119" s="912">
        <f t="shared" ref="BM119:BQ119" si="313">BM350</f>
        <v>2.5146153635070636</v>
      </c>
      <c r="BN119" s="913">
        <f t="shared" si="313"/>
        <v>2.5146153635070636</v>
      </c>
      <c r="BO119" s="913">
        <f t="shared" si="313"/>
        <v>2.5146153635070636</v>
      </c>
      <c r="BP119" s="914">
        <f t="shared" si="313"/>
        <v>2.5146153635070636</v>
      </c>
      <c r="BQ119" s="911">
        <f t="shared" si="313"/>
        <v>10.058461454028254</v>
      </c>
      <c r="BR119" s="911"/>
      <c r="BS119" s="1503"/>
      <c r="BT119" s="1503"/>
      <c r="BU119" s="1503"/>
      <c r="BV119" s="1503"/>
      <c r="BW119" s="1493"/>
      <c r="BX119"/>
      <c r="BY119"/>
      <c r="BZ119"/>
      <c r="CA119"/>
      <c r="CB119"/>
      <c r="CC119"/>
    </row>
    <row r="120" spans="1:81" s="19" customFormat="1">
      <c r="A120" s="108"/>
      <c r="B120" s="5"/>
      <c r="C120" s="1147" t="s">
        <v>94</v>
      </c>
      <c r="D120" s="5"/>
      <c r="E120" s="146"/>
      <c r="F120" s="7"/>
      <c r="G120" s="7"/>
      <c r="H120" s="147"/>
      <c r="I120" s="31"/>
      <c r="J120" s="146"/>
      <c r="K120" s="7"/>
      <c r="L120" s="7"/>
      <c r="M120" s="147"/>
      <c r="N120" s="5"/>
      <c r="O120" s="146"/>
      <c r="P120" s="7"/>
      <c r="Q120" s="7"/>
      <c r="R120" s="147"/>
      <c r="S120" s="5"/>
      <c r="T120" s="912"/>
      <c r="U120" s="913"/>
      <c r="V120" s="913"/>
      <c r="W120" s="914"/>
      <c r="X120" s="911"/>
      <c r="Y120" s="912">
        <f t="shared" ref="Y120:AS120" si="314">Y362+Y367+Y372+Y377</f>
        <v>20.542389927750001</v>
      </c>
      <c r="Z120" s="913">
        <f t="shared" si="314"/>
        <v>39.549308671666665</v>
      </c>
      <c r="AA120" s="913">
        <f t="shared" si="314"/>
        <v>49.002198196999998</v>
      </c>
      <c r="AB120" s="914">
        <f t="shared" si="314"/>
        <v>41.454560297</v>
      </c>
      <c r="AC120" s="911">
        <f t="shared" si="314"/>
        <v>150.54845709341666</v>
      </c>
      <c r="AD120" s="912">
        <f t="shared" si="314"/>
        <v>65.516860446999999</v>
      </c>
      <c r="AE120" s="913">
        <f t="shared" si="314"/>
        <v>79.775622982916673</v>
      </c>
      <c r="AF120" s="913">
        <f t="shared" si="314"/>
        <v>87.813630204749998</v>
      </c>
      <c r="AG120" s="914">
        <f t="shared" si="314"/>
        <v>67.021565421416653</v>
      </c>
      <c r="AH120" s="911">
        <f t="shared" si="314"/>
        <v>300.12767905608331</v>
      </c>
      <c r="AI120" s="912">
        <f t="shared" si="314"/>
        <v>51.5993241635</v>
      </c>
      <c r="AJ120" s="913">
        <f t="shared" si="314"/>
        <v>64.275927742333323</v>
      </c>
      <c r="AK120" s="913">
        <f t="shared" si="314"/>
        <v>71.109749399999998</v>
      </c>
      <c r="AL120" s="914">
        <f t="shared" si="314"/>
        <v>48.013137599999986</v>
      </c>
      <c r="AM120" s="911">
        <f t="shared" si="314"/>
        <v>234.99813890583331</v>
      </c>
      <c r="AN120" s="912">
        <f t="shared" ref="AN120" si="315">AN362+AN367+AN372+AN377</f>
        <v>53.408430795333338</v>
      </c>
      <c r="AO120" s="913">
        <f t="shared" si="314"/>
        <v>45.142459395333333</v>
      </c>
      <c r="AP120" s="913">
        <f t="shared" ref="AP120" si="316">AP362+AP367+AP372+AP377</f>
        <v>54.359395386000003</v>
      </c>
      <c r="AQ120" s="914">
        <f t="shared" si="314"/>
        <v>37.595932985999994</v>
      </c>
      <c r="AR120" s="911">
        <f t="shared" si="314"/>
        <v>190.50621856266667</v>
      </c>
      <c r="AS120" s="912">
        <f t="shared" si="314"/>
        <v>28.395182285999997</v>
      </c>
      <c r="AT120" s="913">
        <f t="shared" ref="AT120:AU120" si="317">AT362+AT367+AT372+AT377</f>
        <v>48.489125523999988</v>
      </c>
      <c r="AU120" s="913">
        <f t="shared" si="317"/>
        <v>63.736129499999997</v>
      </c>
      <c r="AV120" s="914">
        <f t="shared" ref="AV120:BB120" si="318">AV362+AV367+AV372+AV377</f>
        <v>44.670294499999997</v>
      </c>
      <c r="AW120" s="911">
        <f t="shared" si="318"/>
        <v>185.29073180999995</v>
      </c>
      <c r="AX120" s="912">
        <f t="shared" si="318"/>
        <v>35.137377000000001</v>
      </c>
      <c r="AY120" s="913">
        <f t="shared" si="318"/>
        <v>55.888295999999997</v>
      </c>
      <c r="AZ120" s="913">
        <f t="shared" si="318"/>
        <v>68.7913815</v>
      </c>
      <c r="BA120" s="914">
        <f t="shared" si="318"/>
        <v>49.7255465</v>
      </c>
      <c r="BB120" s="911">
        <f t="shared" si="318"/>
        <v>209.54260099999999</v>
      </c>
      <c r="BC120" s="912">
        <f t="shared" ref="BC120:BL120" si="319">BC362+BC367+BC372+BC377</f>
        <v>40.192628999999997</v>
      </c>
      <c r="BD120" s="913">
        <f t="shared" si="319"/>
        <v>51.764011199999992</v>
      </c>
      <c r="BE120" s="913">
        <f t="shared" si="319"/>
        <v>49.671517499999993</v>
      </c>
      <c r="BF120" s="914">
        <f t="shared" si="319"/>
        <v>30.605682499999997</v>
      </c>
      <c r="BG120" s="911">
        <f t="shared" si="319"/>
        <v>172.23384019999997</v>
      </c>
      <c r="BH120" s="912">
        <f t="shared" si="319"/>
        <v>21.072764999999997</v>
      </c>
      <c r="BI120" s="913">
        <f t="shared" si="319"/>
        <v>26.759066666666666</v>
      </c>
      <c r="BJ120" s="913">
        <f t="shared" si="319"/>
        <v>24.835758749999997</v>
      </c>
      <c r="BK120" s="914">
        <f t="shared" si="319"/>
        <v>15.302841249999998</v>
      </c>
      <c r="BL120" s="911">
        <f t="shared" si="319"/>
        <v>87.970431666666656</v>
      </c>
      <c r="BM120" s="912">
        <f t="shared" ref="BM120:BQ120" si="320">BM362+BM367+BM372+BM377</f>
        <v>10.536382499999998</v>
      </c>
      <c r="BN120" s="913">
        <f t="shared" si="320"/>
        <v>13.379533333333333</v>
      </c>
      <c r="BO120" s="913">
        <f t="shared" si="320"/>
        <v>0</v>
      </c>
      <c r="BP120" s="914">
        <f t="shared" si="320"/>
        <v>0</v>
      </c>
      <c r="BQ120" s="911">
        <f t="shared" si="320"/>
        <v>23.915915833333329</v>
      </c>
      <c r="BR120" s="911"/>
      <c r="BS120" s="1503"/>
      <c r="BT120" s="1503"/>
      <c r="BU120" s="1503"/>
      <c r="BV120" s="1503"/>
      <c r="BW120" s="1493"/>
      <c r="BX120"/>
      <c r="BY120"/>
      <c r="BZ120"/>
      <c r="CA120"/>
      <c r="CB120"/>
      <c r="CC120"/>
    </row>
    <row r="121" spans="1:81" s="19" customFormat="1">
      <c r="A121" s="108"/>
      <c r="B121" s="5"/>
      <c r="C121" s="1147" t="s">
        <v>533</v>
      </c>
      <c r="D121" s="5"/>
      <c r="E121" s="146"/>
      <c r="F121" s="7"/>
      <c r="G121" s="7"/>
      <c r="H121" s="147"/>
      <c r="I121" s="31"/>
      <c r="J121" s="146"/>
      <c r="K121" s="7"/>
      <c r="L121" s="7"/>
      <c r="M121" s="147"/>
      <c r="N121" s="5"/>
      <c r="O121" s="146"/>
      <c r="P121" s="7"/>
      <c r="Q121" s="7"/>
      <c r="R121" s="147"/>
      <c r="S121" s="5"/>
      <c r="T121" s="912"/>
      <c r="U121" s="913"/>
      <c r="V121" s="913"/>
      <c r="W121" s="914"/>
      <c r="X121" s="911"/>
      <c r="Y121" s="912">
        <f t="shared" ref="Y121:AS121" si="321">Y183</f>
        <v>-175.67588847652996</v>
      </c>
      <c r="Z121" s="913">
        <f t="shared" si="321"/>
        <v>35.483590197584078</v>
      </c>
      <c r="AA121" s="913">
        <f t="shared" si="321"/>
        <v>-5.9891271541532447</v>
      </c>
      <c r="AB121" s="914">
        <f t="shared" si="321"/>
        <v>-29.696891067909558</v>
      </c>
      <c r="AC121" s="911">
        <f t="shared" si="321"/>
        <v>-175.87831650100867</v>
      </c>
      <c r="AD121" s="912">
        <f t="shared" si="321"/>
        <v>-463.20874573748949</v>
      </c>
      <c r="AE121" s="913">
        <f t="shared" si="321"/>
        <v>24.318133926357277</v>
      </c>
      <c r="AF121" s="913">
        <f t="shared" si="321"/>
        <v>48.494887647207044</v>
      </c>
      <c r="AG121" s="914">
        <f t="shared" si="321"/>
        <v>39.300128241493567</v>
      </c>
      <c r="AH121" s="911">
        <f t="shared" si="321"/>
        <v>-351.09559592243158</v>
      </c>
      <c r="AI121" s="912">
        <f t="shared" si="321"/>
        <v>-15.118024904650447</v>
      </c>
      <c r="AJ121" s="913">
        <f t="shared" si="321"/>
        <v>93.590077122333497</v>
      </c>
      <c r="AK121" s="913">
        <f t="shared" si="321"/>
        <v>97.614103569683493</v>
      </c>
      <c r="AL121" s="914">
        <f>AL183</f>
        <v>139.26983880553504</v>
      </c>
      <c r="AM121" s="911">
        <f t="shared" si="321"/>
        <v>315.3559945929016</v>
      </c>
      <c r="AN121" s="912">
        <f t="shared" ref="AN121" si="322">AN183</f>
        <v>121.11855043696895</v>
      </c>
      <c r="AO121" s="913">
        <f t="shared" si="321"/>
        <v>86.887165020798321</v>
      </c>
      <c r="AP121" s="913">
        <f t="shared" ref="AP121" si="323">AP183</f>
        <v>71.779381423794987</v>
      </c>
      <c r="AQ121" s="914">
        <f t="shared" si="321"/>
        <v>51.270986731282129</v>
      </c>
      <c r="AR121" s="911">
        <f t="shared" si="321"/>
        <v>331.05608361284436</v>
      </c>
      <c r="AS121" s="912">
        <f t="shared" si="321"/>
        <v>22.459728525340957</v>
      </c>
      <c r="AT121" s="913">
        <f t="shared" ref="AT121:AU121" si="324">AT183</f>
        <v>34.931204899311346</v>
      </c>
      <c r="AU121" s="913">
        <f t="shared" si="324"/>
        <v>10.756260455501732</v>
      </c>
      <c r="AV121" s="914">
        <f t="shared" ref="AV121:BB121" si="325">AV183</f>
        <v>-14.7973095724352</v>
      </c>
      <c r="AW121" s="911">
        <f t="shared" si="325"/>
        <v>53.349884307718838</v>
      </c>
      <c r="AX121" s="912">
        <f t="shared" si="325"/>
        <v>-84.439881800134131</v>
      </c>
      <c r="AY121" s="913">
        <f t="shared" si="325"/>
        <v>-5.4746727765996628</v>
      </c>
      <c r="AZ121" s="913">
        <f t="shared" si="325"/>
        <v>20.082444266895845</v>
      </c>
      <c r="BA121" s="914">
        <f t="shared" si="325"/>
        <v>-34.578830751049104</v>
      </c>
      <c r="BB121" s="911">
        <f t="shared" si="325"/>
        <v>-104.41094106088704</v>
      </c>
      <c r="BC121" s="912">
        <f t="shared" ref="BC121:BL121" si="326">BC183</f>
        <v>-142.68942280532272</v>
      </c>
      <c r="BD121" s="913">
        <f t="shared" si="326"/>
        <v>-2.5752623311699363E-2</v>
      </c>
      <c r="BE121" s="913">
        <f t="shared" si="326"/>
        <v>22.044407592791067</v>
      </c>
      <c r="BF121" s="914">
        <f t="shared" si="326"/>
        <v>24.228616985327012</v>
      </c>
      <c r="BG121" s="911">
        <f t="shared" si="326"/>
        <v>-96.442150850516342</v>
      </c>
      <c r="BH121" s="912">
        <f t="shared" si="326"/>
        <v>-24.140699473824522</v>
      </c>
      <c r="BI121" s="913">
        <f t="shared" si="326"/>
        <v>0.18738081882499294</v>
      </c>
      <c r="BJ121" s="913">
        <f t="shared" si="326"/>
        <v>5.3392514649410163</v>
      </c>
      <c r="BK121" s="914">
        <f t="shared" si="326"/>
        <v>5.7126176247923786</v>
      </c>
      <c r="BL121" s="911">
        <f t="shared" si="326"/>
        <v>-12.901449565266134</v>
      </c>
      <c r="BM121" s="912">
        <f t="shared" ref="BM121:BQ121" si="327">BM183</f>
        <v>8.894007595760689</v>
      </c>
      <c r="BN121" s="913">
        <f t="shared" si="327"/>
        <v>8.894007595760689</v>
      </c>
      <c r="BO121" s="913">
        <f t="shared" si="327"/>
        <v>17.295015972340106</v>
      </c>
      <c r="BP121" s="914">
        <f t="shared" si="327"/>
        <v>17.295015972340106</v>
      </c>
      <c r="BQ121" s="911">
        <f t="shared" si="327"/>
        <v>52.378047136201587</v>
      </c>
      <c r="BR121" s="911"/>
      <c r="BS121" s="1503"/>
      <c r="BT121" s="1503"/>
      <c r="BU121" s="1503"/>
      <c r="BV121" s="1503"/>
      <c r="BW121" s="1493"/>
      <c r="BX121"/>
      <c r="BY121"/>
      <c r="BZ121"/>
      <c r="CA121"/>
      <c r="CB121"/>
      <c r="CC121"/>
    </row>
    <row r="122" spans="1:81" s="19" customFormat="1">
      <c r="A122" s="108"/>
      <c r="B122" s="5"/>
      <c r="C122" s="1919" t="s">
        <v>950</v>
      </c>
      <c r="D122" s="5"/>
      <c r="E122" s="146"/>
      <c r="F122" s="7"/>
      <c r="G122" s="7"/>
      <c r="H122" s="147"/>
      <c r="I122" s="31"/>
      <c r="J122" s="146"/>
      <c r="K122" s="7"/>
      <c r="L122" s="7"/>
      <c r="M122" s="147"/>
      <c r="N122" s="5"/>
      <c r="O122" s="146"/>
      <c r="P122" s="7"/>
      <c r="Q122" s="7"/>
      <c r="R122" s="147"/>
      <c r="S122" s="5"/>
      <c r="T122" s="912"/>
      <c r="U122" s="913"/>
      <c r="V122" s="913"/>
      <c r="W122" s="914"/>
      <c r="X122" s="911"/>
      <c r="Y122" s="1920">
        <v>0</v>
      </c>
      <c r="Z122" s="1921">
        <v>0</v>
      </c>
      <c r="AA122" s="1921">
        <v>0</v>
      </c>
      <c r="AB122" s="1922">
        <v>0</v>
      </c>
      <c r="AC122" s="911">
        <f>SUM(Y122:AB122)</f>
        <v>0</v>
      </c>
      <c r="AD122" s="1920">
        <v>0</v>
      </c>
      <c r="AE122" s="1921">
        <v>0</v>
      </c>
      <c r="AF122" s="1921">
        <v>0</v>
      </c>
      <c r="AG122" s="1922">
        <v>0</v>
      </c>
      <c r="AH122" s="911">
        <f>SUM(AD122:AG122)</f>
        <v>0</v>
      </c>
      <c r="AI122" s="1920">
        <v>0</v>
      </c>
      <c r="AJ122" s="1921">
        <v>0</v>
      </c>
      <c r="AK122" s="1921">
        <v>0</v>
      </c>
      <c r="AL122" s="1922">
        <v>0</v>
      </c>
      <c r="AM122" s="911">
        <f>SUM(AI122:AL122)</f>
        <v>0</v>
      </c>
      <c r="AN122" s="1920">
        <v>0</v>
      </c>
      <c r="AO122" s="1921">
        <v>0</v>
      </c>
      <c r="AP122" s="1921">
        <v>0</v>
      </c>
      <c r="AQ122" s="1922">
        <v>0</v>
      </c>
      <c r="AR122" s="911">
        <f>SUM(AN122:AQ122)</f>
        <v>0</v>
      </c>
      <c r="AS122" s="1920">
        <v>0</v>
      </c>
      <c r="AT122" s="1921">
        <v>0</v>
      </c>
      <c r="AU122" s="1921">
        <v>0</v>
      </c>
      <c r="AV122" s="1922">
        <v>0</v>
      </c>
      <c r="AW122" s="911">
        <f>SUM(AS122:AV122)</f>
        <v>0</v>
      </c>
      <c r="AX122" s="1920">
        <v>0</v>
      </c>
      <c r="AY122" s="1921">
        <v>0</v>
      </c>
      <c r="AZ122" s="1921">
        <v>0</v>
      </c>
      <c r="BA122" s="1922">
        <v>0</v>
      </c>
      <c r="BB122" s="911">
        <f>SUM(AX122:BA122)</f>
        <v>0</v>
      </c>
      <c r="BC122" s="1920">
        <v>0</v>
      </c>
      <c r="BD122" s="1921">
        <v>0</v>
      </c>
      <c r="BE122" s="1921">
        <v>0</v>
      </c>
      <c r="BF122" s="1922">
        <v>0</v>
      </c>
      <c r="BG122" s="911">
        <f>SUM(BC122:BF122)</f>
        <v>0</v>
      </c>
      <c r="BH122" s="1920">
        <v>0</v>
      </c>
      <c r="BI122" s="1921">
        <v>0</v>
      </c>
      <c r="BJ122" s="1921">
        <v>0</v>
      </c>
      <c r="BK122" s="1922">
        <v>0</v>
      </c>
      <c r="BL122" s="911">
        <f>SUM(BH122:BK122)</f>
        <v>0</v>
      </c>
      <c r="BM122" s="1920">
        <v>0</v>
      </c>
      <c r="BN122" s="1921">
        <v>0</v>
      </c>
      <c r="BO122" s="1921">
        <v>0</v>
      </c>
      <c r="BP122" s="1922">
        <v>0</v>
      </c>
      <c r="BQ122" s="911">
        <f>SUM(BM122:BP122)</f>
        <v>0</v>
      </c>
      <c r="BR122" s="911"/>
      <c r="BS122" s="1503"/>
      <c r="BT122" s="1503"/>
      <c r="BU122" s="1503"/>
      <c r="BV122" s="1503"/>
      <c r="BW122" s="1493"/>
      <c r="BX122"/>
      <c r="BY122"/>
      <c r="BZ122"/>
      <c r="CA122"/>
      <c r="CB122"/>
      <c r="CC122"/>
    </row>
    <row r="123" spans="1:81" s="19" customFormat="1">
      <c r="A123" s="108"/>
      <c r="B123" s="36"/>
      <c r="C123" s="1148" t="s">
        <v>617</v>
      </c>
      <c r="D123" s="36"/>
      <c r="E123" s="122"/>
      <c r="F123" s="123"/>
      <c r="G123" s="123"/>
      <c r="H123" s="915"/>
      <c r="I123" s="36"/>
      <c r="J123" s="122"/>
      <c r="K123" s="123"/>
      <c r="L123" s="123"/>
      <c r="M123" s="915"/>
      <c r="N123" s="36"/>
      <c r="O123" s="122"/>
      <c r="P123" s="123"/>
      <c r="Q123" s="123"/>
      <c r="R123" s="915"/>
      <c r="S123" s="36"/>
      <c r="T123" s="200"/>
      <c r="U123" s="201"/>
      <c r="V123" s="201"/>
      <c r="W123" s="202"/>
      <c r="X123" s="86"/>
      <c r="Y123" s="200">
        <f>SUM(Y116:Y122)</f>
        <v>433.17693539203322</v>
      </c>
      <c r="Z123" s="201">
        <f t="shared" ref="Z123:BL123" si="328">SUM(Z116:Z122)</f>
        <v>418.87266967084702</v>
      </c>
      <c r="AA123" s="201">
        <f t="shared" si="328"/>
        <v>444.18971284209698</v>
      </c>
      <c r="AB123" s="202">
        <f t="shared" si="328"/>
        <v>438.70907708238138</v>
      </c>
      <c r="AC123" s="86">
        <f t="shared" si="328"/>
        <v>1734.9483949873586</v>
      </c>
      <c r="AD123" s="200">
        <f t="shared" si="328"/>
        <v>699.35132596876417</v>
      </c>
      <c r="AE123" s="201">
        <f t="shared" si="328"/>
        <v>442.68578022907491</v>
      </c>
      <c r="AF123" s="201">
        <f t="shared" si="328"/>
        <v>442.97362425871751</v>
      </c>
      <c r="AG123" s="202">
        <f t="shared" si="328"/>
        <v>426.19419438082554</v>
      </c>
      <c r="AH123" s="86">
        <f t="shared" si="328"/>
        <v>2011.2049248373819</v>
      </c>
      <c r="AI123" s="200">
        <f t="shared" si="328"/>
        <v>547.87620678248572</v>
      </c>
      <c r="AJ123" s="201">
        <f t="shared" si="328"/>
        <v>374.12829043919737</v>
      </c>
      <c r="AK123" s="201">
        <f t="shared" si="328"/>
        <v>427.10135301155265</v>
      </c>
      <c r="AL123" s="202">
        <f t="shared" si="328"/>
        <v>392.54655813230283</v>
      </c>
      <c r="AM123" s="86">
        <f t="shared" si="328"/>
        <v>1741.6524083655388</v>
      </c>
      <c r="AN123" s="200">
        <f t="shared" ref="AN123" si="329">SUM(AN116:AN122)</f>
        <v>390.3540961889031</v>
      </c>
      <c r="AO123" s="201">
        <f t="shared" si="328"/>
        <v>366.17573457273249</v>
      </c>
      <c r="AP123" s="201">
        <f t="shared" ref="AP123" si="330">SUM(AP116:AP122)</f>
        <v>390.05618786049314</v>
      </c>
      <c r="AQ123" s="202">
        <f t="shared" si="328"/>
        <v>352.71780377497322</v>
      </c>
      <c r="AR123" s="86">
        <f t="shared" si="328"/>
        <v>1499.3038223971018</v>
      </c>
      <c r="AS123" s="200">
        <f t="shared" si="328"/>
        <v>304.86448841087207</v>
      </c>
      <c r="AT123" s="201">
        <f t="shared" si="328"/>
        <v>313.85494626651968</v>
      </c>
      <c r="AU123" s="201">
        <f t="shared" ref="AU123" si="331">SUM(AU116:AU122)</f>
        <v>297.0360909774779</v>
      </c>
      <c r="AV123" s="202">
        <f t="shared" si="328"/>
        <v>319.28759876144056</v>
      </c>
      <c r="AW123" s="86">
        <f t="shared" si="328"/>
        <v>1235.0431244163103</v>
      </c>
      <c r="AX123" s="200">
        <f t="shared" si="328"/>
        <v>310.19599379876962</v>
      </c>
      <c r="AY123" s="201">
        <f t="shared" si="328"/>
        <v>332.75336847599175</v>
      </c>
      <c r="AZ123" s="201">
        <f t="shared" si="328"/>
        <v>341.76689773493393</v>
      </c>
      <c r="BA123" s="202">
        <f t="shared" si="328"/>
        <v>326.05392725275033</v>
      </c>
      <c r="BB123" s="86">
        <f t="shared" si="328"/>
        <v>1310.7701872624452</v>
      </c>
      <c r="BC123" s="200">
        <f t="shared" si="328"/>
        <v>348.69228215976318</v>
      </c>
      <c r="BD123" s="201">
        <f t="shared" si="328"/>
        <v>303.16462947498889</v>
      </c>
      <c r="BE123" s="201">
        <f t="shared" si="328"/>
        <v>271.39053490520052</v>
      </c>
      <c r="BF123" s="202">
        <f t="shared" si="328"/>
        <v>249.22069232156417</v>
      </c>
      <c r="BG123" s="86">
        <f t="shared" si="328"/>
        <v>1172.4681388615168</v>
      </c>
      <c r="BH123" s="200">
        <f t="shared" si="328"/>
        <v>369.73320270746439</v>
      </c>
      <c r="BI123" s="201">
        <f t="shared" si="328"/>
        <v>213.44676625414814</v>
      </c>
      <c r="BJ123" s="201">
        <f t="shared" si="328"/>
        <v>177.58432637096902</v>
      </c>
      <c r="BK123" s="202">
        <f t="shared" si="328"/>
        <v>164.28901686098015</v>
      </c>
      <c r="BL123" s="86">
        <f t="shared" si="328"/>
        <v>925.05331219356162</v>
      </c>
      <c r="BM123" s="200">
        <f t="shared" ref="BM123:BQ123" si="332">SUM(BM116:BM122)</f>
        <v>174.33290057539173</v>
      </c>
      <c r="BN123" s="201">
        <f t="shared" si="332"/>
        <v>157.19136868909411</v>
      </c>
      <c r="BO123" s="201">
        <f t="shared" si="332"/>
        <v>112.2434782930783</v>
      </c>
      <c r="BP123" s="202">
        <f t="shared" si="332"/>
        <v>112.2918381370431</v>
      </c>
      <c r="BQ123" s="86">
        <f t="shared" si="332"/>
        <v>556.05958569460722</v>
      </c>
      <c r="BR123" s="86"/>
      <c r="BS123" s="1503"/>
      <c r="BT123" s="1503"/>
      <c r="BU123" s="1503"/>
      <c r="BV123" s="1503"/>
      <c r="BW123" s="1493"/>
      <c r="BX123"/>
      <c r="BY123"/>
      <c r="BZ123"/>
      <c r="CA123"/>
      <c r="CB123"/>
      <c r="CC123"/>
    </row>
    <row r="124" spans="1:81" s="19" customFormat="1">
      <c r="A124" s="108"/>
      <c r="B124" s="5"/>
      <c r="C124" s="1145"/>
      <c r="D124" s="5"/>
      <c r="E124" s="146"/>
      <c r="F124" s="7"/>
      <c r="G124" s="7"/>
      <c r="H124" s="147"/>
      <c r="I124" s="31"/>
      <c r="J124" s="146"/>
      <c r="K124" s="7"/>
      <c r="L124" s="7"/>
      <c r="M124" s="147"/>
      <c r="N124" s="5"/>
      <c r="O124" s="146"/>
      <c r="P124" s="7"/>
      <c r="Q124" s="7"/>
      <c r="R124" s="147"/>
      <c r="S124" s="5"/>
      <c r="T124" s="146"/>
      <c r="U124" s="7"/>
      <c r="V124" s="7"/>
      <c r="W124" s="147"/>
      <c r="X124" s="5"/>
      <c r="Y124" s="146"/>
      <c r="Z124" s="7"/>
      <c r="AA124" s="7"/>
      <c r="AB124" s="147"/>
      <c r="AC124" s="911"/>
      <c r="AD124" s="146"/>
      <c r="AE124" s="7"/>
      <c r="AF124" s="7"/>
      <c r="AG124" s="147"/>
      <c r="AH124" s="911"/>
      <c r="AI124" s="146"/>
      <c r="AJ124" s="7"/>
      <c r="AK124" s="7"/>
      <c r="AL124" s="147"/>
      <c r="AM124" s="911"/>
      <c r="AN124" s="146"/>
      <c r="AO124" s="7"/>
      <c r="AP124" s="7"/>
      <c r="AQ124" s="147"/>
      <c r="AR124" s="911"/>
      <c r="AS124" s="146"/>
      <c r="AT124" s="7"/>
      <c r="AU124" s="7"/>
      <c r="AV124" s="147"/>
      <c r="AW124" s="911"/>
      <c r="AX124" s="146"/>
      <c r="AY124" s="7"/>
      <c r="AZ124" s="7"/>
      <c r="BA124" s="147"/>
      <c r="BB124" s="911"/>
      <c r="BC124" s="146"/>
      <c r="BD124" s="7"/>
      <c r="BE124" s="7"/>
      <c r="BF124" s="147"/>
      <c r="BG124" s="911"/>
      <c r="BH124" s="146"/>
      <c r="BI124" s="7"/>
      <c r="BJ124" s="7"/>
      <c r="BK124" s="147"/>
      <c r="BL124" s="911"/>
      <c r="BM124" s="146"/>
      <c r="BN124" s="7"/>
      <c r="BO124" s="7"/>
      <c r="BP124" s="147"/>
      <c r="BQ124" s="911"/>
      <c r="BR124" s="911"/>
      <c r="BS124" s="1503"/>
      <c r="BT124" s="1503"/>
      <c r="BU124" s="1503"/>
      <c r="BV124" s="1503"/>
      <c r="BW124" s="1493"/>
      <c r="BX124"/>
      <c r="BY124"/>
      <c r="BZ124"/>
      <c r="CA124"/>
      <c r="CB124"/>
      <c r="CC124"/>
    </row>
    <row r="125" spans="1:81" s="19" customFormat="1">
      <c r="A125" s="108"/>
      <c r="B125" s="5"/>
      <c r="C125" s="1149" t="s">
        <v>534</v>
      </c>
      <c r="D125" s="5"/>
      <c r="E125" s="146"/>
      <c r="F125" s="7"/>
      <c r="G125" s="7"/>
      <c r="H125" s="147"/>
      <c r="I125" s="31"/>
      <c r="J125" s="146"/>
      <c r="K125" s="7"/>
      <c r="L125" s="7"/>
      <c r="M125" s="147"/>
      <c r="N125" s="5"/>
      <c r="O125" s="146"/>
      <c r="P125" s="7"/>
      <c r="Q125" s="7"/>
      <c r="R125" s="147"/>
      <c r="S125" s="5"/>
      <c r="T125" s="146"/>
      <c r="U125" s="7"/>
      <c r="V125" s="7"/>
      <c r="W125" s="147"/>
      <c r="X125" s="5"/>
      <c r="Y125" s="146"/>
      <c r="Z125" s="7"/>
      <c r="AA125" s="7"/>
      <c r="AB125" s="147"/>
      <c r="AC125" s="911"/>
      <c r="AD125" s="146"/>
      <c r="AE125" s="7"/>
      <c r="AF125" s="7"/>
      <c r="AG125" s="147"/>
      <c r="AH125" s="5"/>
      <c r="AI125" s="146"/>
      <c r="AJ125" s="7"/>
      <c r="AK125" s="7"/>
      <c r="AL125" s="147"/>
      <c r="AM125" s="5"/>
      <c r="AN125" s="146"/>
      <c r="AO125" s="7"/>
      <c r="AP125" s="7"/>
      <c r="AQ125" s="147"/>
      <c r="AR125" s="5"/>
      <c r="AS125" s="146"/>
      <c r="AT125" s="7"/>
      <c r="AU125" s="7"/>
      <c r="AV125" s="147"/>
      <c r="AW125" s="5"/>
      <c r="AX125" s="146"/>
      <c r="AY125" s="7"/>
      <c r="AZ125" s="7"/>
      <c r="BA125" s="147"/>
      <c r="BB125" s="5"/>
      <c r="BC125" s="146"/>
      <c r="BD125" s="7"/>
      <c r="BE125" s="7"/>
      <c r="BF125" s="147"/>
      <c r="BG125" s="5"/>
      <c r="BH125" s="146"/>
      <c r="BI125" s="7"/>
      <c r="BJ125" s="7"/>
      <c r="BK125" s="147"/>
      <c r="BL125" s="5"/>
      <c r="BM125" s="146"/>
      <c r="BN125" s="7"/>
      <c r="BO125" s="7"/>
      <c r="BP125" s="147"/>
      <c r="BQ125" s="5"/>
      <c r="BR125" s="5"/>
      <c r="BS125" s="1503"/>
      <c r="BT125" s="1503"/>
      <c r="BU125" s="1503"/>
      <c r="BV125" s="1503"/>
      <c r="BW125" s="1493"/>
      <c r="BX125"/>
      <c r="BY125"/>
      <c r="BZ125"/>
      <c r="CA125"/>
      <c r="CB125"/>
      <c r="CC125"/>
    </row>
    <row r="126" spans="1:81" s="19" customFormat="1">
      <c r="A126" s="108"/>
      <c r="B126" s="5"/>
      <c r="C126" s="1147" t="s">
        <v>536</v>
      </c>
      <c r="D126" s="5"/>
      <c r="E126" s="146"/>
      <c r="F126" s="7"/>
      <c r="G126" s="7"/>
      <c r="H126" s="147"/>
      <c r="I126" s="31"/>
      <c r="J126" s="146"/>
      <c r="K126" s="7"/>
      <c r="L126" s="7"/>
      <c r="M126" s="147"/>
      <c r="N126" s="107"/>
      <c r="O126" s="174"/>
      <c r="P126" s="175"/>
      <c r="Q126" s="175"/>
      <c r="R126" s="176"/>
      <c r="S126" s="107"/>
      <c r="T126" s="174"/>
      <c r="U126" s="175"/>
      <c r="V126" s="175"/>
      <c r="W126" s="176"/>
      <c r="X126" s="107"/>
      <c r="Y126" s="174">
        <f t="shared" ref="Y126:AS126" si="333">Y222+Y235</f>
        <v>287.07779125121704</v>
      </c>
      <c r="Z126" s="175">
        <f t="shared" si="333"/>
        <v>180.70503051170058</v>
      </c>
      <c r="AA126" s="175">
        <f t="shared" si="333"/>
        <v>215.09941657120154</v>
      </c>
      <c r="AB126" s="176">
        <f t="shared" si="333"/>
        <v>196.62907882464225</v>
      </c>
      <c r="AC126" s="107">
        <f t="shared" si="333"/>
        <v>879.51131715876136</v>
      </c>
      <c r="AD126" s="174">
        <f t="shared" si="333"/>
        <v>610.0933154358097</v>
      </c>
      <c r="AE126" s="175">
        <f t="shared" si="333"/>
        <v>175.01513727799903</v>
      </c>
      <c r="AF126" s="175">
        <f t="shared" si="333"/>
        <v>150.98002116451153</v>
      </c>
      <c r="AG126" s="176">
        <f t="shared" si="333"/>
        <v>150.61086937844374</v>
      </c>
      <c r="AH126" s="107">
        <f t="shared" si="333"/>
        <v>1086.699343256764</v>
      </c>
      <c r="AI126" s="174">
        <f t="shared" si="333"/>
        <v>311.01532626239037</v>
      </c>
      <c r="AJ126" s="175">
        <f t="shared" si="333"/>
        <v>112.19063299976492</v>
      </c>
      <c r="AK126" s="175">
        <f t="shared" si="333"/>
        <v>133.09865224312813</v>
      </c>
      <c r="AL126" s="176">
        <f t="shared" si="333"/>
        <v>91.657902951920136</v>
      </c>
      <c r="AM126" s="107">
        <f t="shared" si="333"/>
        <v>647.9625144572035</v>
      </c>
      <c r="AN126" s="174">
        <f t="shared" ref="AN126" si="334">AN222+AN235</f>
        <v>104.9023886186533</v>
      </c>
      <c r="AO126" s="175">
        <f t="shared" si="333"/>
        <v>115.06052621865331</v>
      </c>
      <c r="AP126" s="175">
        <f t="shared" ref="AP126" si="335">AP222+AP235</f>
        <v>137.4456624577638</v>
      </c>
      <c r="AQ126" s="176">
        <f t="shared" si="333"/>
        <v>137.4456624577638</v>
      </c>
      <c r="AR126" s="107">
        <f t="shared" si="333"/>
        <v>494.85423975283425</v>
      </c>
      <c r="AS126" s="174">
        <f t="shared" si="333"/>
        <v>125.04885893643201</v>
      </c>
      <c r="AT126" s="175">
        <f t="shared" ref="AT126:AU126" si="336">AT222+AT235</f>
        <v>104.95082801312429</v>
      </c>
      <c r="AU126" s="175">
        <f t="shared" si="336"/>
        <v>99.420620683550922</v>
      </c>
      <c r="AV126" s="176">
        <f t="shared" ref="AV126:BB126" si="337">AV222+AV235</f>
        <v>136.78211016265391</v>
      </c>
      <c r="AW126" s="107">
        <f t="shared" si="337"/>
        <v>466.20241779576116</v>
      </c>
      <c r="AX126" s="174">
        <f t="shared" si="337"/>
        <v>186.93565810754029</v>
      </c>
      <c r="AY126" s="175">
        <f t="shared" si="337"/>
        <v>147.97276134399999</v>
      </c>
      <c r="AZ126" s="175">
        <f t="shared" si="337"/>
        <v>120.952072127375</v>
      </c>
      <c r="BA126" s="176">
        <f t="shared" si="337"/>
        <v>164.56559176587501</v>
      </c>
      <c r="BB126" s="107">
        <f t="shared" si="337"/>
        <v>620.4260833447903</v>
      </c>
      <c r="BC126" s="174">
        <f t="shared" ref="BC126:BL126" si="338">BC222+BC235</f>
        <v>261.31729856621797</v>
      </c>
      <c r="BD126" s="175">
        <f t="shared" si="338"/>
        <v>133.86284845157317</v>
      </c>
      <c r="BE126" s="175">
        <f t="shared" si="338"/>
        <v>106.86380239889252</v>
      </c>
      <c r="BF126" s="176">
        <f t="shared" si="338"/>
        <v>104.88249759354753</v>
      </c>
      <c r="BG126" s="107">
        <f t="shared" si="338"/>
        <v>606.92644701023107</v>
      </c>
      <c r="BH126" s="174">
        <f t="shared" si="338"/>
        <v>264.30775702262781</v>
      </c>
      <c r="BI126" s="175">
        <f t="shared" si="338"/>
        <v>90.267329420906165</v>
      </c>
      <c r="BJ126" s="175">
        <f t="shared" si="338"/>
        <v>54.051434750926887</v>
      </c>
      <c r="BK126" s="176">
        <f t="shared" si="338"/>
        <v>53.062260462190984</v>
      </c>
      <c r="BL126" s="107">
        <f t="shared" si="338"/>
        <v>461.68878165665188</v>
      </c>
      <c r="BM126" s="174">
        <f t="shared" ref="BM126:BQ126" si="339">BM222+BM235</f>
        <v>59.954048158892867</v>
      </c>
      <c r="BN126" s="175">
        <f t="shared" si="339"/>
        <v>39.969365439261907</v>
      </c>
      <c r="BO126" s="175">
        <f t="shared" si="339"/>
        <v>0</v>
      </c>
      <c r="BP126" s="176">
        <f t="shared" si="339"/>
        <v>0</v>
      </c>
      <c r="BQ126" s="107">
        <f t="shared" si="339"/>
        <v>99.923413598154781</v>
      </c>
      <c r="BR126" s="107"/>
      <c r="BS126" s="1503"/>
      <c r="BT126" s="1503"/>
      <c r="BU126" s="1503"/>
      <c r="BV126" s="1503"/>
      <c r="BW126" s="1493"/>
      <c r="BX126"/>
      <c r="BY126"/>
      <c r="BZ126"/>
      <c r="CA126"/>
      <c r="CB126"/>
      <c r="CC126"/>
    </row>
    <row r="127" spans="1:81" s="19" customFormat="1">
      <c r="A127" s="108"/>
      <c r="B127" s="5"/>
      <c r="C127" s="1147" t="s">
        <v>853</v>
      </c>
      <c r="D127" s="5"/>
      <c r="E127" s="146"/>
      <c r="F127" s="7"/>
      <c r="G127" s="7"/>
      <c r="H127" s="147"/>
      <c r="I127" s="31"/>
      <c r="J127" s="146"/>
      <c r="K127" s="7"/>
      <c r="L127" s="7"/>
      <c r="M127" s="147"/>
      <c r="N127" s="107"/>
      <c r="O127" s="174"/>
      <c r="P127" s="175"/>
      <c r="Q127" s="175"/>
      <c r="R127" s="176"/>
      <c r="S127" s="107"/>
      <c r="T127" s="174"/>
      <c r="U127" s="175"/>
      <c r="V127" s="175"/>
      <c r="W127" s="176"/>
      <c r="X127" s="107"/>
      <c r="Y127" s="174">
        <f t="shared" ref="Y127:AS127" si="340">Y209+Y281</f>
        <v>223.04699766119808</v>
      </c>
      <c r="Z127" s="175">
        <f t="shared" si="340"/>
        <v>90.866156587610334</v>
      </c>
      <c r="AA127" s="175">
        <f t="shared" si="340"/>
        <v>104.84521410056882</v>
      </c>
      <c r="AB127" s="176">
        <f t="shared" si="340"/>
        <v>154.60573952770915</v>
      </c>
      <c r="AC127" s="107">
        <f t="shared" si="340"/>
        <v>573.36410787708633</v>
      </c>
      <c r="AD127" s="174">
        <f t="shared" si="340"/>
        <v>372.41366183480386</v>
      </c>
      <c r="AE127" s="175">
        <f t="shared" si="340"/>
        <v>89.78126119522517</v>
      </c>
      <c r="AF127" s="175">
        <f t="shared" si="340"/>
        <v>81.805823094237056</v>
      </c>
      <c r="AG127" s="176">
        <f t="shared" si="340"/>
        <v>96.60839175281447</v>
      </c>
      <c r="AH127" s="107">
        <f t="shared" si="340"/>
        <v>640.60913787708057</v>
      </c>
      <c r="AI127" s="174">
        <f t="shared" si="340"/>
        <v>113.07389297217401</v>
      </c>
      <c r="AJ127" s="175">
        <f t="shared" si="340"/>
        <v>27.88004018550172</v>
      </c>
      <c r="AK127" s="175">
        <f t="shared" si="340"/>
        <v>47.782502711717733</v>
      </c>
      <c r="AL127" s="176">
        <f t="shared" si="340"/>
        <v>37.17063198801619</v>
      </c>
      <c r="AM127" s="107">
        <f t="shared" si="340"/>
        <v>225.90706785740963</v>
      </c>
      <c r="AN127" s="174">
        <f t="shared" ref="AN127" si="341">AN209+AN281</f>
        <v>24.003654309996996</v>
      </c>
      <c r="AO127" s="175">
        <f t="shared" si="340"/>
        <v>32.164511909996996</v>
      </c>
      <c r="AP127" s="175">
        <f t="shared" ref="AP127" si="342">AP209+AP281</f>
        <v>46.900985193277378</v>
      </c>
      <c r="AQ127" s="176">
        <f t="shared" si="340"/>
        <v>46.900985193277378</v>
      </c>
      <c r="AR127" s="107">
        <f t="shared" si="340"/>
        <v>149.97013660654875</v>
      </c>
      <c r="AS127" s="174">
        <f t="shared" si="340"/>
        <v>41.950839185554173</v>
      </c>
      <c r="AT127" s="175">
        <f t="shared" ref="AT127:AU127" si="343">AT209+AT281</f>
        <v>36.380322697138695</v>
      </c>
      <c r="AU127" s="175">
        <f t="shared" si="343"/>
        <v>32.873323412998602</v>
      </c>
      <c r="AV127" s="176">
        <f t="shared" ref="AV127:BB127" si="344">AV209+AV281</f>
        <v>61.87095841058273</v>
      </c>
      <c r="AW127" s="107">
        <f t="shared" si="344"/>
        <v>173.0754437062742</v>
      </c>
      <c r="AX127" s="174">
        <f t="shared" si="344"/>
        <v>77.840836508770565</v>
      </c>
      <c r="AY127" s="175">
        <f t="shared" si="344"/>
        <v>36.810629882000008</v>
      </c>
      <c r="AZ127" s="175">
        <f t="shared" si="344"/>
        <v>37.941523690000004</v>
      </c>
      <c r="BA127" s="176">
        <f t="shared" si="344"/>
        <v>49.700807822000002</v>
      </c>
      <c r="BB127" s="107">
        <f t="shared" si="344"/>
        <v>202.29379790277056</v>
      </c>
      <c r="BC127" s="174">
        <f t="shared" ref="BC127:BL127" si="345">BC209+BC281</f>
        <v>81.763667303779812</v>
      </c>
      <c r="BD127" s="175">
        <f t="shared" si="345"/>
        <v>21.856742194272297</v>
      </c>
      <c r="BE127" s="175">
        <f t="shared" si="345"/>
        <v>0</v>
      </c>
      <c r="BF127" s="176">
        <f t="shared" si="345"/>
        <v>0</v>
      </c>
      <c r="BG127" s="107">
        <f t="shared" si="345"/>
        <v>103.62040949805211</v>
      </c>
      <c r="BH127" s="174">
        <f t="shared" si="345"/>
        <v>0</v>
      </c>
      <c r="BI127" s="175">
        <f t="shared" si="345"/>
        <v>0</v>
      </c>
      <c r="BJ127" s="175">
        <f t="shared" si="345"/>
        <v>0</v>
      </c>
      <c r="BK127" s="176">
        <f t="shared" si="345"/>
        <v>0</v>
      </c>
      <c r="BL127" s="107">
        <f t="shared" si="345"/>
        <v>0</v>
      </c>
      <c r="BM127" s="174">
        <f t="shared" ref="BM127:BQ127" si="346">BM209+BM281</f>
        <v>0</v>
      </c>
      <c r="BN127" s="175">
        <f t="shared" si="346"/>
        <v>0</v>
      </c>
      <c r="BO127" s="175">
        <f t="shared" si="346"/>
        <v>0</v>
      </c>
      <c r="BP127" s="176">
        <f t="shared" si="346"/>
        <v>0</v>
      </c>
      <c r="BQ127" s="107">
        <f t="shared" si="346"/>
        <v>0</v>
      </c>
      <c r="BR127" s="107"/>
      <c r="BS127" s="1503"/>
      <c r="BT127" s="1503"/>
      <c r="BU127" s="1503"/>
      <c r="BV127" s="1503"/>
      <c r="BW127" s="1493"/>
      <c r="BX127"/>
      <c r="BY127"/>
      <c r="BZ127"/>
      <c r="CA127"/>
      <c r="CB127"/>
      <c r="CC127"/>
    </row>
    <row r="128" spans="1:81" s="19" customFormat="1">
      <c r="A128" s="108"/>
      <c r="B128" s="5"/>
      <c r="C128" s="1147" t="s">
        <v>95</v>
      </c>
      <c r="D128" s="5"/>
      <c r="E128" s="146"/>
      <c r="F128" s="7"/>
      <c r="G128" s="7"/>
      <c r="H128" s="147"/>
      <c r="I128" s="31"/>
      <c r="J128" s="146"/>
      <c r="K128" s="7"/>
      <c r="L128" s="7"/>
      <c r="M128" s="147"/>
      <c r="N128" s="107"/>
      <c r="O128" s="174"/>
      <c r="P128" s="175"/>
      <c r="Q128" s="175"/>
      <c r="R128" s="176"/>
      <c r="S128" s="107"/>
      <c r="T128" s="174"/>
      <c r="U128" s="175"/>
      <c r="V128" s="175"/>
      <c r="W128" s="176"/>
      <c r="X128" s="107"/>
      <c r="Y128" s="174">
        <f t="shared" ref="Y128:AS128" si="347">Y301+Y315+Y336</f>
        <v>12.253237410398036</v>
      </c>
      <c r="Z128" s="175">
        <f t="shared" si="347"/>
        <v>6.3361760842852979</v>
      </c>
      <c r="AA128" s="175">
        <f t="shared" si="347"/>
        <v>15.299603509479965</v>
      </c>
      <c r="AB128" s="176">
        <f t="shared" si="347"/>
        <v>9.7841818829395937</v>
      </c>
      <c r="AC128" s="107">
        <f t="shared" si="347"/>
        <v>43.673198887102899</v>
      </c>
      <c r="AD128" s="174">
        <f t="shared" si="347"/>
        <v>47.276157003839927</v>
      </c>
      <c r="AE128" s="175">
        <f t="shared" si="347"/>
        <v>6.535547861776748</v>
      </c>
      <c r="AF128" s="175">
        <f t="shared" si="347"/>
        <v>6.619185163211835</v>
      </c>
      <c r="AG128" s="176">
        <f t="shared" si="347"/>
        <v>5.3931626018571341</v>
      </c>
      <c r="AH128" s="107">
        <f t="shared" si="347"/>
        <v>65.824052630685657</v>
      </c>
      <c r="AI128" s="174">
        <f t="shared" si="347"/>
        <v>19.66158905552194</v>
      </c>
      <c r="AJ128" s="175">
        <f t="shared" si="347"/>
        <v>8.5475131557139505</v>
      </c>
      <c r="AK128" s="175">
        <f t="shared" si="347"/>
        <v>9.8522458534732849</v>
      </c>
      <c r="AL128" s="176">
        <f t="shared" si="347"/>
        <v>8.7909475532814838</v>
      </c>
      <c r="AM128" s="107">
        <f t="shared" si="347"/>
        <v>46.852295617990656</v>
      </c>
      <c r="AN128" s="174">
        <f t="shared" ref="AN128" si="348">AN301+AN315+AN336</f>
        <v>9.7177951583505831</v>
      </c>
      <c r="AO128" s="175">
        <f t="shared" si="347"/>
        <v>9.7177951583505831</v>
      </c>
      <c r="AP128" s="175">
        <f t="shared" ref="AP128" si="349">AP301+AP315+AP336</f>
        <v>2.3674865300569423</v>
      </c>
      <c r="AQ128" s="176">
        <f t="shared" si="347"/>
        <v>2.3009595370499492</v>
      </c>
      <c r="AR128" s="107">
        <f t="shared" si="347"/>
        <v>24.104036383808058</v>
      </c>
      <c r="AS128" s="174">
        <f t="shared" si="347"/>
        <v>2.2515281757529451</v>
      </c>
      <c r="AT128" s="175">
        <f t="shared" ref="AT128:AU128" si="350">AT301+AT315+AT336</f>
        <v>4.3451138311533652</v>
      </c>
      <c r="AU128" s="175">
        <f t="shared" si="350"/>
        <v>5.4914056236346829</v>
      </c>
      <c r="AV128" s="176">
        <f t="shared" ref="AV128:BB128" si="351">AV301+AV315+AV336</f>
        <v>6.0031939588470964</v>
      </c>
      <c r="AW128" s="107">
        <f t="shared" si="351"/>
        <v>18.09124158938809</v>
      </c>
      <c r="AX128" s="174">
        <f t="shared" si="351"/>
        <v>7.5841176627649984</v>
      </c>
      <c r="AY128" s="175">
        <f t="shared" si="351"/>
        <v>10.418467706763629</v>
      </c>
      <c r="AZ128" s="175">
        <f t="shared" si="351"/>
        <v>6.8615898308352259</v>
      </c>
      <c r="BA128" s="176">
        <f t="shared" si="351"/>
        <v>9.5029255960965884</v>
      </c>
      <c r="BB128" s="107">
        <f t="shared" si="351"/>
        <v>34.367100796460441</v>
      </c>
      <c r="BC128" s="174">
        <f t="shared" ref="BC128:BL128" si="352">BC301+BC315+BC336</f>
        <v>21.614977111863691</v>
      </c>
      <c r="BD128" s="175">
        <f t="shared" si="352"/>
        <v>9.2136472692306697</v>
      </c>
      <c r="BE128" s="175">
        <f t="shared" si="352"/>
        <v>6.3176744302925067</v>
      </c>
      <c r="BF128" s="176">
        <f t="shared" si="352"/>
        <v>3.0107622594652241</v>
      </c>
      <c r="BG128" s="107">
        <f t="shared" si="352"/>
        <v>40.157061070852095</v>
      </c>
      <c r="BH128" s="174">
        <f t="shared" si="352"/>
        <v>21.08003851176224</v>
      </c>
      <c r="BI128" s="175">
        <f t="shared" si="352"/>
        <v>8.8196477008514389</v>
      </c>
      <c r="BJ128" s="175">
        <f t="shared" si="352"/>
        <v>5.9445397582022217</v>
      </c>
      <c r="BK128" s="176">
        <f t="shared" si="352"/>
        <v>2.7979558770978841</v>
      </c>
      <c r="BL128" s="107">
        <f t="shared" si="352"/>
        <v>38.642181847913776</v>
      </c>
      <c r="BM128" s="174">
        <f t="shared" ref="BM128:BQ128" si="353">BM301+BM315+BM336</f>
        <v>9.7159901295712192</v>
      </c>
      <c r="BN128" s="175">
        <f t="shared" si="353"/>
        <v>9.7159901295712192</v>
      </c>
      <c r="BO128" s="175">
        <f t="shared" si="353"/>
        <v>9.7159901295712192</v>
      </c>
      <c r="BP128" s="176">
        <f t="shared" si="353"/>
        <v>9.7643499735360315</v>
      </c>
      <c r="BQ128" s="107">
        <f t="shared" si="353"/>
        <v>38.912320362249687</v>
      </c>
      <c r="BR128" s="107"/>
      <c r="BS128" s="1503"/>
      <c r="BT128" s="1503"/>
      <c r="BU128" s="1503"/>
      <c r="BV128" s="1503"/>
      <c r="BW128" s="1493"/>
      <c r="BX128"/>
      <c r="BY128"/>
      <c r="BZ128"/>
      <c r="CA128"/>
      <c r="CB128"/>
      <c r="CC128"/>
    </row>
    <row r="129" spans="1:81" s="19" customFormat="1">
      <c r="A129" s="108"/>
      <c r="B129" s="5"/>
      <c r="C129" s="1147" t="s">
        <v>535</v>
      </c>
      <c r="D129" s="5"/>
      <c r="E129" s="146"/>
      <c r="F129" s="7"/>
      <c r="G129" s="7"/>
      <c r="H129" s="147"/>
      <c r="I129" s="31"/>
      <c r="J129" s="146"/>
      <c r="K129" s="7"/>
      <c r="L129" s="7"/>
      <c r="M129" s="147"/>
      <c r="N129" s="107"/>
      <c r="O129" s="174"/>
      <c r="P129" s="175"/>
      <c r="Q129" s="175"/>
      <c r="R129" s="176"/>
      <c r="S129" s="107"/>
      <c r="T129" s="174"/>
      <c r="U129" s="175"/>
      <c r="V129" s="175"/>
      <c r="W129" s="176"/>
      <c r="X129" s="107"/>
      <c r="Y129" s="174">
        <f t="shared" ref="Y129:AS129" si="354">Y249</f>
        <v>63.786207618000006</v>
      </c>
      <c r="Z129" s="175">
        <f t="shared" si="354"/>
        <v>63.786207618000006</v>
      </c>
      <c r="AA129" s="175">
        <f t="shared" si="354"/>
        <v>63.786207618000006</v>
      </c>
      <c r="AB129" s="176">
        <f t="shared" si="354"/>
        <v>63.786207618000006</v>
      </c>
      <c r="AC129" s="107">
        <f t="shared" si="354"/>
        <v>255.14483047200002</v>
      </c>
      <c r="AD129" s="174">
        <f t="shared" si="354"/>
        <v>65.070952984800002</v>
      </c>
      <c r="AE129" s="175">
        <f t="shared" si="354"/>
        <v>65.070952984800002</v>
      </c>
      <c r="AF129" s="175">
        <f t="shared" si="354"/>
        <v>65.070952984800002</v>
      </c>
      <c r="AG129" s="176">
        <f t="shared" si="354"/>
        <v>65.070952984800002</v>
      </c>
      <c r="AH129" s="107">
        <f t="shared" si="354"/>
        <v>260.28381193920001</v>
      </c>
      <c r="AI129" s="174">
        <f t="shared" si="354"/>
        <v>65.411192753550012</v>
      </c>
      <c r="AJ129" s="175">
        <f t="shared" si="354"/>
        <v>65.411192753550012</v>
      </c>
      <c r="AK129" s="175">
        <f t="shared" si="354"/>
        <v>65.411192753550012</v>
      </c>
      <c r="AL129" s="176">
        <f t="shared" si="354"/>
        <v>65.411192753550012</v>
      </c>
      <c r="AM129" s="107">
        <f t="shared" si="354"/>
        <v>261.64477101420005</v>
      </c>
      <c r="AN129" s="174">
        <f t="shared" ref="AN129" si="355">AN249</f>
        <v>74.925712259999997</v>
      </c>
      <c r="AO129" s="175">
        <f t="shared" si="354"/>
        <v>74.925712259999997</v>
      </c>
      <c r="AP129" s="175">
        <f t="shared" ref="AP129" si="356">AP249</f>
        <v>74.925712259999997</v>
      </c>
      <c r="AQ129" s="176">
        <f t="shared" si="354"/>
        <v>74.925712259999997</v>
      </c>
      <c r="AR129" s="107">
        <f t="shared" si="354"/>
        <v>299.70284903999999</v>
      </c>
      <c r="AS129" s="174">
        <f t="shared" si="354"/>
        <v>82.435235399999996</v>
      </c>
      <c r="AT129" s="175">
        <f t="shared" ref="AT129:AU129" si="357">AT249</f>
        <v>82.435235399999996</v>
      </c>
      <c r="AU129" s="175">
        <f t="shared" si="357"/>
        <v>82.435235399999996</v>
      </c>
      <c r="AV129" s="176">
        <f t="shared" ref="AV129:BB129" si="358">AV249</f>
        <v>82.435235399999996</v>
      </c>
      <c r="AW129" s="107">
        <f t="shared" si="358"/>
        <v>329.74094159999999</v>
      </c>
      <c r="AX129" s="174">
        <f t="shared" si="358"/>
        <v>84.768308099999999</v>
      </c>
      <c r="AY129" s="175">
        <f t="shared" si="358"/>
        <v>84.768308099999999</v>
      </c>
      <c r="AZ129" s="175">
        <f t="shared" si="358"/>
        <v>84.768308099999999</v>
      </c>
      <c r="BA129" s="176">
        <f t="shared" si="358"/>
        <v>84.768308099999999</v>
      </c>
      <c r="BB129" s="107">
        <f t="shared" si="358"/>
        <v>339.07323239999999</v>
      </c>
      <c r="BC129" s="174">
        <f t="shared" ref="BC129:BL129" si="359">BC249</f>
        <v>84.076163199000007</v>
      </c>
      <c r="BD129" s="175">
        <f t="shared" si="359"/>
        <v>84.076163199000007</v>
      </c>
      <c r="BE129" s="175">
        <f t="shared" si="359"/>
        <v>84.076163199000007</v>
      </c>
      <c r="BF129" s="176">
        <f t="shared" si="359"/>
        <v>84.076163199000007</v>
      </c>
      <c r="BG129" s="107">
        <f t="shared" si="359"/>
        <v>336.30465279600003</v>
      </c>
      <c r="BH129" s="174">
        <f t="shared" si="359"/>
        <v>84.948032466990014</v>
      </c>
      <c r="BI129" s="175">
        <f t="shared" si="359"/>
        <v>84.948032466990014</v>
      </c>
      <c r="BJ129" s="175">
        <f t="shared" si="359"/>
        <v>84.948032466990014</v>
      </c>
      <c r="BK129" s="176">
        <f t="shared" si="359"/>
        <v>84.948032466990014</v>
      </c>
      <c r="BL129" s="107">
        <f t="shared" si="359"/>
        <v>339.79212986796006</v>
      </c>
      <c r="BM129" s="174">
        <f t="shared" ref="BM129:BQ129" si="360">BM249</f>
        <v>82.717856827659901</v>
      </c>
      <c r="BN129" s="175">
        <f t="shared" si="360"/>
        <v>82.717856827659901</v>
      </c>
      <c r="BO129" s="175">
        <f t="shared" si="360"/>
        <v>82.717856827659901</v>
      </c>
      <c r="BP129" s="176">
        <f t="shared" si="360"/>
        <v>82.717856827659901</v>
      </c>
      <c r="BQ129" s="107">
        <f t="shared" si="360"/>
        <v>330.8714273106396</v>
      </c>
      <c r="BR129" s="107"/>
      <c r="BS129" s="1503"/>
      <c r="BT129" s="1503"/>
      <c r="BU129" s="1503"/>
      <c r="BV129" s="1503"/>
      <c r="BW129" s="1493"/>
      <c r="BX129"/>
      <c r="BY129"/>
      <c r="BZ129"/>
      <c r="CA129"/>
      <c r="CB129"/>
      <c r="CC129"/>
    </row>
    <row r="130" spans="1:81" s="19" customFormat="1">
      <c r="A130" s="108"/>
      <c r="B130" s="5"/>
      <c r="C130" s="1147" t="s">
        <v>537</v>
      </c>
      <c r="D130" s="5"/>
      <c r="E130" s="146"/>
      <c r="F130" s="7"/>
      <c r="G130" s="7"/>
      <c r="H130" s="147"/>
      <c r="I130" s="31"/>
      <c r="J130" s="146"/>
      <c r="K130" s="7"/>
      <c r="L130" s="7"/>
      <c r="M130" s="147"/>
      <c r="N130" s="107"/>
      <c r="O130" s="174"/>
      <c r="P130" s="175"/>
      <c r="Q130" s="175"/>
      <c r="R130" s="176"/>
      <c r="S130" s="107"/>
      <c r="T130" s="174"/>
      <c r="U130" s="175"/>
      <c r="V130" s="175"/>
      <c r="W130" s="176"/>
      <c r="X130" s="107"/>
      <c r="Y130" s="174">
        <f t="shared" ref="Y130:AS130" si="361">Y350</f>
        <v>2.1461999999999999</v>
      </c>
      <c r="Z130" s="175">
        <f t="shared" si="361"/>
        <v>2.1461999999999999</v>
      </c>
      <c r="AA130" s="175">
        <f t="shared" si="361"/>
        <v>2.1461999999999999</v>
      </c>
      <c r="AB130" s="176">
        <f t="shared" si="361"/>
        <v>2.1461999999999999</v>
      </c>
      <c r="AC130" s="107">
        <f t="shared" si="361"/>
        <v>8.5847999999999995</v>
      </c>
      <c r="AD130" s="174">
        <f t="shared" si="361"/>
        <v>2.1891240000000001</v>
      </c>
      <c r="AE130" s="175">
        <f t="shared" si="361"/>
        <v>2.1891240000000001</v>
      </c>
      <c r="AF130" s="175">
        <f t="shared" si="361"/>
        <v>2.1891240000000001</v>
      </c>
      <c r="AG130" s="176">
        <f t="shared" si="361"/>
        <v>2.1891240000000001</v>
      </c>
      <c r="AH130" s="107">
        <f t="shared" si="361"/>
        <v>8.7564960000000003</v>
      </c>
      <c r="AI130" s="174">
        <f t="shared" si="361"/>
        <v>2.2329064800000005</v>
      </c>
      <c r="AJ130" s="175">
        <f t="shared" si="361"/>
        <v>2.2329064800000005</v>
      </c>
      <c r="AK130" s="175">
        <f t="shared" si="361"/>
        <v>2.2329064800000005</v>
      </c>
      <c r="AL130" s="176">
        <f t="shared" si="361"/>
        <v>2.2329064800000005</v>
      </c>
      <c r="AM130" s="107">
        <f t="shared" si="361"/>
        <v>8.9316259200000019</v>
      </c>
      <c r="AN130" s="174">
        <f t="shared" ref="AN130" si="362">AN350</f>
        <v>2.2775646096000006</v>
      </c>
      <c r="AO130" s="175">
        <f t="shared" si="361"/>
        <v>2.2775646096000006</v>
      </c>
      <c r="AP130" s="175">
        <f t="shared" ref="AP130" si="363">AP350</f>
        <v>2.2775646096000006</v>
      </c>
      <c r="AQ130" s="176">
        <f t="shared" si="361"/>
        <v>2.2775646096000006</v>
      </c>
      <c r="AR130" s="107">
        <f t="shared" si="361"/>
        <v>9.1102584384000025</v>
      </c>
      <c r="AS130" s="174">
        <f t="shared" si="361"/>
        <v>2.3231159017920007</v>
      </c>
      <c r="AT130" s="175">
        <f t="shared" ref="AT130:AU130" si="364">AT350</f>
        <v>2.3231159017920007</v>
      </c>
      <c r="AU130" s="175">
        <f t="shared" si="364"/>
        <v>2.3231159017920007</v>
      </c>
      <c r="AV130" s="176">
        <f t="shared" ref="AV130:BB130" si="365">AV350</f>
        <v>2.3231159017920007</v>
      </c>
      <c r="AW130" s="107">
        <f t="shared" si="365"/>
        <v>9.2924636071680027</v>
      </c>
      <c r="AX130" s="174">
        <f t="shared" si="365"/>
        <v>2.3695782198278406</v>
      </c>
      <c r="AY130" s="175">
        <f t="shared" si="365"/>
        <v>2.3695782198278406</v>
      </c>
      <c r="AZ130" s="175">
        <f t="shared" si="365"/>
        <v>2.3695782198278406</v>
      </c>
      <c r="BA130" s="176">
        <f t="shared" si="365"/>
        <v>2.3695782198278406</v>
      </c>
      <c r="BB130" s="107">
        <f t="shared" si="365"/>
        <v>9.4783128793113622</v>
      </c>
      <c r="BC130" s="174">
        <f t="shared" ref="BC130:BL130" si="366">BC350</f>
        <v>2.4169697842243978</v>
      </c>
      <c r="BD130" s="175">
        <f t="shared" si="366"/>
        <v>2.4169697842243978</v>
      </c>
      <c r="BE130" s="175">
        <f t="shared" si="366"/>
        <v>2.4169697842243978</v>
      </c>
      <c r="BF130" s="176">
        <f t="shared" si="366"/>
        <v>2.4169697842243978</v>
      </c>
      <c r="BG130" s="107">
        <f t="shared" si="366"/>
        <v>9.6678791368975912</v>
      </c>
      <c r="BH130" s="174">
        <f t="shared" si="366"/>
        <v>2.4653091799088855</v>
      </c>
      <c r="BI130" s="175">
        <f t="shared" si="366"/>
        <v>2.4653091799088855</v>
      </c>
      <c r="BJ130" s="175">
        <f t="shared" si="366"/>
        <v>2.4653091799088855</v>
      </c>
      <c r="BK130" s="176">
        <f t="shared" si="366"/>
        <v>2.4653091799088855</v>
      </c>
      <c r="BL130" s="107">
        <f t="shared" si="366"/>
        <v>9.8612367196355422</v>
      </c>
      <c r="BM130" s="174">
        <f t="shared" ref="BM130:BQ130" si="367">BM350</f>
        <v>2.5146153635070636</v>
      </c>
      <c r="BN130" s="175">
        <f t="shared" si="367"/>
        <v>2.5146153635070636</v>
      </c>
      <c r="BO130" s="175">
        <f t="shared" si="367"/>
        <v>2.5146153635070636</v>
      </c>
      <c r="BP130" s="176">
        <f t="shared" si="367"/>
        <v>2.5146153635070636</v>
      </c>
      <c r="BQ130" s="107">
        <f t="shared" si="367"/>
        <v>10.058461454028254</v>
      </c>
      <c r="BR130" s="107"/>
      <c r="BS130" s="1503"/>
      <c r="BT130" s="1503"/>
      <c r="BU130" s="1503"/>
      <c r="BV130" s="1503"/>
      <c r="BW130" s="1493"/>
      <c r="BX130"/>
      <c r="BY130"/>
      <c r="BZ130"/>
      <c r="CA130"/>
      <c r="CB130"/>
      <c r="CC130"/>
    </row>
    <row r="131" spans="1:81" s="19" customFormat="1">
      <c r="A131" s="108"/>
      <c r="B131" s="5"/>
      <c r="C131" s="1147" t="s">
        <v>94</v>
      </c>
      <c r="D131" s="5"/>
      <c r="E131" s="146"/>
      <c r="F131" s="7"/>
      <c r="G131" s="7"/>
      <c r="H131" s="147"/>
      <c r="I131" s="31"/>
      <c r="J131" s="146"/>
      <c r="K131" s="7"/>
      <c r="L131" s="7"/>
      <c r="M131" s="147"/>
      <c r="N131" s="107"/>
      <c r="O131" s="174"/>
      <c r="P131" s="175"/>
      <c r="Q131" s="175"/>
      <c r="R131" s="176"/>
      <c r="S131" s="107"/>
      <c r="T131" s="174"/>
      <c r="U131" s="175"/>
      <c r="V131" s="175"/>
      <c r="W131" s="176"/>
      <c r="X131" s="107"/>
      <c r="Y131" s="174">
        <f t="shared" ref="Y131:AS131" si="368">Y120</f>
        <v>20.542389927750001</v>
      </c>
      <c r="Z131" s="175">
        <f t="shared" si="368"/>
        <v>39.549308671666665</v>
      </c>
      <c r="AA131" s="175">
        <f t="shared" si="368"/>
        <v>49.002198196999998</v>
      </c>
      <c r="AB131" s="176">
        <f t="shared" si="368"/>
        <v>41.454560297</v>
      </c>
      <c r="AC131" s="107">
        <f t="shared" si="368"/>
        <v>150.54845709341666</v>
      </c>
      <c r="AD131" s="174">
        <f t="shared" si="368"/>
        <v>65.516860446999999</v>
      </c>
      <c r="AE131" s="175">
        <f t="shared" si="368"/>
        <v>79.775622982916673</v>
      </c>
      <c r="AF131" s="175">
        <f t="shared" si="368"/>
        <v>87.813630204749998</v>
      </c>
      <c r="AG131" s="176">
        <f t="shared" si="368"/>
        <v>67.021565421416653</v>
      </c>
      <c r="AH131" s="107">
        <f t="shared" si="368"/>
        <v>300.12767905608331</v>
      </c>
      <c r="AI131" s="174">
        <f t="shared" si="368"/>
        <v>51.5993241635</v>
      </c>
      <c r="AJ131" s="175">
        <f t="shared" si="368"/>
        <v>64.275927742333323</v>
      </c>
      <c r="AK131" s="175">
        <f t="shared" si="368"/>
        <v>71.109749399999998</v>
      </c>
      <c r="AL131" s="176">
        <f t="shared" si="368"/>
        <v>48.013137599999986</v>
      </c>
      <c r="AM131" s="107">
        <f t="shared" si="368"/>
        <v>234.99813890583331</v>
      </c>
      <c r="AN131" s="174">
        <f t="shared" ref="AN131" si="369">AN120</f>
        <v>53.408430795333338</v>
      </c>
      <c r="AO131" s="175">
        <f t="shared" si="368"/>
        <v>45.142459395333333</v>
      </c>
      <c r="AP131" s="175">
        <f t="shared" ref="AP131" si="370">AP120</f>
        <v>54.359395386000003</v>
      </c>
      <c r="AQ131" s="176">
        <f t="shared" si="368"/>
        <v>37.595932985999994</v>
      </c>
      <c r="AR131" s="107">
        <f t="shared" si="368"/>
        <v>190.50621856266667</v>
      </c>
      <c r="AS131" s="174">
        <f t="shared" si="368"/>
        <v>28.395182285999997</v>
      </c>
      <c r="AT131" s="175">
        <f t="shared" ref="AT131:AU131" si="371">AT120</f>
        <v>48.489125523999988</v>
      </c>
      <c r="AU131" s="175">
        <f t="shared" si="371"/>
        <v>63.736129499999997</v>
      </c>
      <c r="AV131" s="176">
        <f t="shared" ref="AV131:BB131" si="372">AV120</f>
        <v>44.670294499999997</v>
      </c>
      <c r="AW131" s="107">
        <f t="shared" si="372"/>
        <v>185.29073180999995</v>
      </c>
      <c r="AX131" s="174">
        <f t="shared" si="372"/>
        <v>35.137377000000001</v>
      </c>
      <c r="AY131" s="175">
        <f t="shared" si="372"/>
        <v>55.888295999999997</v>
      </c>
      <c r="AZ131" s="175">
        <f t="shared" si="372"/>
        <v>68.7913815</v>
      </c>
      <c r="BA131" s="176">
        <f t="shared" si="372"/>
        <v>49.7255465</v>
      </c>
      <c r="BB131" s="107">
        <f t="shared" si="372"/>
        <v>209.54260099999999</v>
      </c>
      <c r="BC131" s="174">
        <f t="shared" ref="BC131:BL131" si="373">BC120</f>
        <v>40.192628999999997</v>
      </c>
      <c r="BD131" s="175">
        <f t="shared" si="373"/>
        <v>51.764011199999992</v>
      </c>
      <c r="BE131" s="175">
        <f t="shared" si="373"/>
        <v>49.671517499999993</v>
      </c>
      <c r="BF131" s="176">
        <f t="shared" si="373"/>
        <v>30.605682499999997</v>
      </c>
      <c r="BG131" s="107">
        <f t="shared" si="373"/>
        <v>172.23384019999997</v>
      </c>
      <c r="BH131" s="174">
        <f t="shared" si="373"/>
        <v>21.072764999999997</v>
      </c>
      <c r="BI131" s="175">
        <f t="shared" si="373"/>
        <v>26.759066666666666</v>
      </c>
      <c r="BJ131" s="175">
        <f>BJ120</f>
        <v>24.835758749999997</v>
      </c>
      <c r="BK131" s="176">
        <f t="shared" si="373"/>
        <v>15.302841249999998</v>
      </c>
      <c r="BL131" s="107">
        <f t="shared" si="373"/>
        <v>87.970431666666656</v>
      </c>
      <c r="BM131" s="174">
        <f t="shared" ref="BM131:BN131" si="374">BM120</f>
        <v>10.536382499999998</v>
      </c>
      <c r="BN131" s="175">
        <f t="shared" si="374"/>
        <v>13.379533333333333</v>
      </c>
      <c r="BO131" s="175">
        <f>BO120</f>
        <v>0</v>
      </c>
      <c r="BP131" s="176">
        <f t="shared" ref="BP131:BQ131" si="375">BP120</f>
        <v>0</v>
      </c>
      <c r="BQ131" s="107">
        <f t="shared" si="375"/>
        <v>23.915915833333329</v>
      </c>
      <c r="BR131" s="107"/>
      <c r="BS131" s="1503"/>
      <c r="BT131" s="1503"/>
      <c r="BU131" s="1503"/>
      <c r="BV131" s="1503"/>
      <c r="BW131" s="1493"/>
      <c r="BX131"/>
      <c r="BY131"/>
      <c r="BZ131"/>
      <c r="CA131"/>
      <c r="CB131"/>
      <c r="CC131"/>
    </row>
    <row r="132" spans="1:81" s="19" customFormat="1">
      <c r="A132" s="108"/>
      <c r="B132" s="5"/>
      <c r="C132" s="1147" t="s">
        <v>533</v>
      </c>
      <c r="D132" s="5"/>
      <c r="E132" s="146"/>
      <c r="F132" s="7"/>
      <c r="G132" s="7"/>
      <c r="H132" s="147"/>
      <c r="I132" s="31"/>
      <c r="J132" s="146"/>
      <c r="K132" s="7"/>
      <c r="L132" s="7"/>
      <c r="M132" s="147"/>
      <c r="N132" s="107"/>
      <c r="O132" s="174"/>
      <c r="P132" s="175"/>
      <c r="Q132" s="175"/>
      <c r="R132" s="176"/>
      <c r="S132" s="107"/>
      <c r="T132" s="174"/>
      <c r="U132" s="175"/>
      <c r="V132" s="175"/>
      <c r="W132" s="176"/>
      <c r="X132" s="107"/>
      <c r="Y132" s="174">
        <f t="shared" ref="Y132:AS132" si="376">Y183</f>
        <v>-175.67588847652996</v>
      </c>
      <c r="Z132" s="175">
        <f t="shared" si="376"/>
        <v>35.483590197584078</v>
      </c>
      <c r="AA132" s="175">
        <f t="shared" si="376"/>
        <v>-5.9891271541532447</v>
      </c>
      <c r="AB132" s="176">
        <f t="shared" si="376"/>
        <v>-29.696891067909558</v>
      </c>
      <c r="AC132" s="107">
        <f t="shared" si="376"/>
        <v>-175.87831650100867</v>
      </c>
      <c r="AD132" s="174">
        <f t="shared" si="376"/>
        <v>-463.20874573748949</v>
      </c>
      <c r="AE132" s="175">
        <f t="shared" si="376"/>
        <v>24.318133926357277</v>
      </c>
      <c r="AF132" s="175">
        <f t="shared" si="376"/>
        <v>48.494887647207044</v>
      </c>
      <c r="AG132" s="176">
        <f t="shared" si="376"/>
        <v>39.300128241493567</v>
      </c>
      <c r="AH132" s="107">
        <f>AH183</f>
        <v>-351.09559592243158</v>
      </c>
      <c r="AI132" s="174">
        <f t="shared" si="376"/>
        <v>-15.118024904650447</v>
      </c>
      <c r="AJ132" s="175">
        <f t="shared" si="376"/>
        <v>93.590077122333497</v>
      </c>
      <c r="AK132" s="175">
        <f t="shared" si="376"/>
        <v>97.614103569683493</v>
      </c>
      <c r="AL132" s="176">
        <f t="shared" si="376"/>
        <v>139.26983880553504</v>
      </c>
      <c r="AM132" s="107">
        <f t="shared" si="376"/>
        <v>315.3559945929016</v>
      </c>
      <c r="AN132" s="174">
        <f t="shared" ref="AN132" si="377">AN183</f>
        <v>121.11855043696895</v>
      </c>
      <c r="AO132" s="175">
        <f t="shared" si="376"/>
        <v>86.887165020798321</v>
      </c>
      <c r="AP132" s="175">
        <f t="shared" ref="AP132" si="378">AP183</f>
        <v>71.779381423794987</v>
      </c>
      <c r="AQ132" s="176">
        <f t="shared" si="376"/>
        <v>51.270986731282129</v>
      </c>
      <c r="AR132" s="107">
        <f t="shared" si="376"/>
        <v>331.05608361284436</v>
      </c>
      <c r="AS132" s="174">
        <f t="shared" si="376"/>
        <v>22.459728525340957</v>
      </c>
      <c r="AT132" s="175">
        <f t="shared" ref="AT132:AU132" si="379">AT183</f>
        <v>34.931204899311346</v>
      </c>
      <c r="AU132" s="175">
        <f t="shared" si="379"/>
        <v>10.756260455501732</v>
      </c>
      <c r="AV132" s="176">
        <f t="shared" ref="AV132:BB132" si="380">AV183</f>
        <v>-14.7973095724352</v>
      </c>
      <c r="AW132" s="107">
        <f t="shared" si="380"/>
        <v>53.349884307718838</v>
      </c>
      <c r="AX132" s="174">
        <f t="shared" si="380"/>
        <v>-84.439881800134131</v>
      </c>
      <c r="AY132" s="175">
        <f t="shared" si="380"/>
        <v>-5.4746727765996628</v>
      </c>
      <c r="AZ132" s="175">
        <f t="shared" si="380"/>
        <v>20.082444266895845</v>
      </c>
      <c r="BA132" s="176">
        <f t="shared" si="380"/>
        <v>-34.578830751049104</v>
      </c>
      <c r="BB132" s="107">
        <f t="shared" si="380"/>
        <v>-104.41094106088704</v>
      </c>
      <c r="BC132" s="174">
        <f t="shared" ref="BC132:BL132" si="381">BC183</f>
        <v>-142.68942280532272</v>
      </c>
      <c r="BD132" s="175">
        <f t="shared" si="381"/>
        <v>-2.5752623311699363E-2</v>
      </c>
      <c r="BE132" s="175">
        <f t="shared" si="381"/>
        <v>22.044407592791067</v>
      </c>
      <c r="BF132" s="176">
        <f t="shared" si="381"/>
        <v>24.228616985327012</v>
      </c>
      <c r="BG132" s="107">
        <f t="shared" si="381"/>
        <v>-96.442150850516342</v>
      </c>
      <c r="BH132" s="174">
        <f t="shared" si="381"/>
        <v>-24.140699473824522</v>
      </c>
      <c r="BI132" s="175">
        <f t="shared" si="381"/>
        <v>0.18738081882499294</v>
      </c>
      <c r="BJ132" s="175">
        <f t="shared" si="381"/>
        <v>5.3392514649410163</v>
      </c>
      <c r="BK132" s="176">
        <f t="shared" si="381"/>
        <v>5.7126176247923786</v>
      </c>
      <c r="BL132" s="107">
        <f t="shared" si="381"/>
        <v>-12.901449565266134</v>
      </c>
      <c r="BM132" s="174">
        <f t="shared" ref="BM132:BQ132" si="382">BM183</f>
        <v>8.894007595760689</v>
      </c>
      <c r="BN132" s="175">
        <f t="shared" si="382"/>
        <v>8.894007595760689</v>
      </c>
      <c r="BO132" s="175">
        <f t="shared" si="382"/>
        <v>17.295015972340106</v>
      </c>
      <c r="BP132" s="176">
        <f t="shared" si="382"/>
        <v>17.295015972340106</v>
      </c>
      <c r="BQ132" s="107">
        <f t="shared" si="382"/>
        <v>52.378047136201587</v>
      </c>
      <c r="BR132" s="107"/>
      <c r="BS132" s="1503"/>
      <c r="BT132" s="1503"/>
      <c r="BU132" s="1503"/>
      <c r="BV132" s="1503"/>
      <c r="BW132" s="1493"/>
      <c r="BX132"/>
      <c r="BY132"/>
      <c r="BZ132"/>
      <c r="CA132"/>
      <c r="CB132"/>
      <c r="CC132"/>
    </row>
    <row r="133" spans="1:81" s="19" customFormat="1">
      <c r="A133" s="108"/>
      <c r="B133" s="5"/>
      <c r="C133" s="1148" t="s">
        <v>617</v>
      </c>
      <c r="D133" s="5"/>
      <c r="E133" s="146"/>
      <c r="F133" s="7"/>
      <c r="G133" s="7"/>
      <c r="H133" s="147"/>
      <c r="I133" s="31"/>
      <c r="J133" s="146"/>
      <c r="K133" s="7"/>
      <c r="L133" s="7"/>
      <c r="M133" s="147"/>
      <c r="N133" s="107"/>
      <c r="O133" s="174"/>
      <c r="P133" s="175"/>
      <c r="Q133" s="175"/>
      <c r="R133" s="176"/>
      <c r="S133" s="107"/>
      <c r="T133" s="200"/>
      <c r="U133" s="201"/>
      <c r="V133" s="201"/>
      <c r="W133" s="202"/>
      <c r="X133" s="86"/>
      <c r="Y133" s="200">
        <f t="shared" ref="Y133:AR133" si="383">SUM(Y126:Y132)</f>
        <v>433.17693539203333</v>
      </c>
      <c r="Z133" s="201">
        <f t="shared" si="383"/>
        <v>418.87266967084696</v>
      </c>
      <c r="AA133" s="201">
        <f t="shared" si="383"/>
        <v>444.18971284209709</v>
      </c>
      <c r="AB133" s="202">
        <f t="shared" si="383"/>
        <v>438.70907708238144</v>
      </c>
      <c r="AC133" s="86">
        <f t="shared" si="383"/>
        <v>1734.9483949873586</v>
      </c>
      <c r="AD133" s="200">
        <f t="shared" si="383"/>
        <v>699.35132596876394</v>
      </c>
      <c r="AE133" s="201">
        <f t="shared" si="383"/>
        <v>442.68578022907491</v>
      </c>
      <c r="AF133" s="201">
        <f t="shared" si="383"/>
        <v>442.97362425871745</v>
      </c>
      <c r="AG133" s="202">
        <f t="shared" si="383"/>
        <v>426.19419438082554</v>
      </c>
      <c r="AH133" s="86">
        <f t="shared" si="383"/>
        <v>2011.2049248373819</v>
      </c>
      <c r="AI133" s="200">
        <f t="shared" si="383"/>
        <v>547.87620678248584</v>
      </c>
      <c r="AJ133" s="201">
        <f t="shared" si="383"/>
        <v>374.12829043919737</v>
      </c>
      <c r="AK133" s="201">
        <f t="shared" si="383"/>
        <v>427.10135301155265</v>
      </c>
      <c r="AL133" s="202">
        <f t="shared" si="383"/>
        <v>392.54655813230283</v>
      </c>
      <c r="AM133" s="86">
        <f t="shared" si="383"/>
        <v>1741.6524083655386</v>
      </c>
      <c r="AN133" s="200">
        <f t="shared" ref="AN133" si="384">SUM(AN126:AN132)</f>
        <v>390.35409618890321</v>
      </c>
      <c r="AO133" s="201">
        <f t="shared" si="383"/>
        <v>366.17573457273255</v>
      </c>
      <c r="AP133" s="201">
        <f t="shared" ref="AP133" si="385">SUM(AP126:AP132)</f>
        <v>390.05618786049308</v>
      </c>
      <c r="AQ133" s="202">
        <f t="shared" si="383"/>
        <v>352.71780377497322</v>
      </c>
      <c r="AR133" s="86">
        <f t="shared" si="383"/>
        <v>1499.3038223971021</v>
      </c>
      <c r="AS133" s="200">
        <f t="shared" ref="AS133" si="386">SUM(AS126:AS132)</f>
        <v>304.86448841087207</v>
      </c>
      <c r="AT133" s="201">
        <f t="shared" ref="AT133:AU133" si="387">SUM(AT126:AT132)</f>
        <v>313.85494626651968</v>
      </c>
      <c r="AU133" s="201">
        <f t="shared" si="387"/>
        <v>297.0360909774779</v>
      </c>
      <c r="AV133" s="202">
        <f t="shared" ref="AV133:BB133" si="388">SUM(AV126:AV132)</f>
        <v>319.28759876144051</v>
      </c>
      <c r="AW133" s="86">
        <f t="shared" si="388"/>
        <v>1235.0431244163103</v>
      </c>
      <c r="AX133" s="200">
        <f t="shared" si="388"/>
        <v>310.19599379876956</v>
      </c>
      <c r="AY133" s="201">
        <f t="shared" si="388"/>
        <v>332.75336847599175</v>
      </c>
      <c r="AZ133" s="201">
        <f t="shared" si="388"/>
        <v>341.76689773493393</v>
      </c>
      <c r="BA133" s="202">
        <f t="shared" si="388"/>
        <v>326.05392725275033</v>
      </c>
      <c r="BB133" s="86">
        <f t="shared" si="388"/>
        <v>1310.7701872624452</v>
      </c>
      <c r="BC133" s="200">
        <f t="shared" ref="BC133:BL133" si="389">SUM(BC126:BC132)</f>
        <v>348.69228215976318</v>
      </c>
      <c r="BD133" s="201">
        <f t="shared" si="389"/>
        <v>303.16462947498883</v>
      </c>
      <c r="BE133" s="201">
        <f t="shared" si="389"/>
        <v>271.39053490520052</v>
      </c>
      <c r="BF133" s="202">
        <f t="shared" si="389"/>
        <v>249.22069232156417</v>
      </c>
      <c r="BG133" s="86">
        <f t="shared" si="389"/>
        <v>1172.4681388615168</v>
      </c>
      <c r="BH133" s="200">
        <f t="shared" si="389"/>
        <v>369.7332027074645</v>
      </c>
      <c r="BI133" s="201">
        <f t="shared" si="389"/>
        <v>213.44676625414814</v>
      </c>
      <c r="BJ133" s="201">
        <f t="shared" si="389"/>
        <v>177.58432637096902</v>
      </c>
      <c r="BK133" s="202">
        <f t="shared" si="389"/>
        <v>164.28901686098015</v>
      </c>
      <c r="BL133" s="86">
        <f t="shared" si="389"/>
        <v>925.05331219356185</v>
      </c>
      <c r="BM133" s="200">
        <f t="shared" ref="BM133:BQ133" si="390">SUM(BM126:BM132)</f>
        <v>174.33290057539173</v>
      </c>
      <c r="BN133" s="201">
        <f t="shared" si="390"/>
        <v>157.19136868909411</v>
      </c>
      <c r="BO133" s="201">
        <f t="shared" si="390"/>
        <v>112.2434782930783</v>
      </c>
      <c r="BP133" s="202">
        <f t="shared" si="390"/>
        <v>112.2918381370431</v>
      </c>
      <c r="BQ133" s="86">
        <f t="shared" si="390"/>
        <v>556.05958569460722</v>
      </c>
      <c r="BR133" s="86"/>
      <c r="BS133" s="1503"/>
      <c r="BT133" s="1503"/>
      <c r="BU133" s="1503"/>
      <c r="BV133" s="1503"/>
      <c r="BW133" s="1493"/>
      <c r="BX133"/>
      <c r="BY133"/>
      <c r="BZ133"/>
      <c r="CA133"/>
      <c r="CB133"/>
      <c r="CC133"/>
    </row>
    <row r="134" spans="1:81" s="19" customFormat="1">
      <c r="A134" s="108"/>
      <c r="B134" s="5"/>
      <c r="C134" s="1148"/>
      <c r="D134" s="5"/>
      <c r="E134" s="146"/>
      <c r="F134" s="7"/>
      <c r="G134" s="7"/>
      <c r="H134" s="147"/>
      <c r="I134" s="31"/>
      <c r="J134" s="146"/>
      <c r="K134" s="7"/>
      <c r="L134" s="7"/>
      <c r="M134" s="147"/>
      <c r="N134" s="107"/>
      <c r="O134" s="174"/>
      <c r="P134" s="175"/>
      <c r="Q134" s="175"/>
      <c r="R134" s="176"/>
      <c r="S134" s="107"/>
      <c r="T134" s="174"/>
      <c r="U134" s="175"/>
      <c r="V134" s="175"/>
      <c r="W134" s="176"/>
      <c r="X134" s="110"/>
      <c r="Y134" s="174"/>
      <c r="Z134" s="175"/>
      <c r="AA134" s="175"/>
      <c r="AB134" s="176"/>
      <c r="AC134" s="110"/>
      <c r="AD134" s="174"/>
      <c r="AE134" s="175"/>
      <c r="AF134" s="175"/>
      <c r="AG134" s="176"/>
      <c r="AH134" s="110"/>
      <c r="AI134" s="174"/>
      <c r="AJ134" s="175"/>
      <c r="AK134" s="175"/>
      <c r="AL134" s="176"/>
      <c r="AM134" s="110"/>
      <c r="AN134" s="174"/>
      <c r="AO134" s="175"/>
      <c r="AP134" s="175"/>
      <c r="AQ134" s="176"/>
      <c r="AR134" s="110"/>
      <c r="AS134" s="174"/>
      <c r="AT134" s="175"/>
      <c r="AU134" s="175"/>
      <c r="AV134" s="176"/>
      <c r="AW134" s="110"/>
      <c r="AX134" s="174"/>
      <c r="AY134" s="175"/>
      <c r="AZ134" s="175"/>
      <c r="BA134" s="176"/>
      <c r="BB134" s="110"/>
      <c r="BC134" s="174"/>
      <c r="BD134" s="175"/>
      <c r="BE134" s="175"/>
      <c r="BF134" s="176"/>
      <c r="BG134" s="110"/>
      <c r="BH134" s="174"/>
      <c r="BI134" s="175"/>
      <c r="BJ134" s="175"/>
      <c r="BK134" s="176"/>
      <c r="BL134" s="110"/>
      <c r="BM134" s="174"/>
      <c r="BN134" s="175"/>
      <c r="BO134" s="175"/>
      <c r="BP134" s="176"/>
      <c r="BQ134" s="110"/>
      <c r="BR134" s="110"/>
      <c r="BS134" s="1503"/>
      <c r="BT134" s="1503"/>
      <c r="BU134" s="1503"/>
      <c r="BV134" s="1503"/>
      <c r="BW134" s="1493"/>
      <c r="BX134"/>
      <c r="BY134"/>
      <c r="BZ134"/>
      <c r="CA134"/>
      <c r="CB134"/>
      <c r="CC134"/>
    </row>
    <row r="135" spans="1:81" s="19" customFormat="1">
      <c r="A135" s="108"/>
      <c r="B135" s="5"/>
      <c r="C135" s="1125"/>
      <c r="D135" s="5"/>
      <c r="E135" s="146"/>
      <c r="F135" s="7"/>
      <c r="G135" s="7"/>
      <c r="H135" s="147"/>
      <c r="I135" s="31"/>
      <c r="J135" s="146"/>
      <c r="K135" s="7"/>
      <c r="L135" s="7"/>
      <c r="M135" s="147"/>
      <c r="N135" s="5"/>
      <c r="O135" s="146"/>
      <c r="P135" s="7"/>
      <c r="Q135" s="7"/>
      <c r="R135" s="147"/>
      <c r="S135" s="5"/>
      <c r="T135" s="146"/>
      <c r="U135" s="7"/>
      <c r="V135" s="7"/>
      <c r="W135" s="147"/>
      <c r="X135" s="5"/>
      <c r="Y135" s="146"/>
      <c r="Z135" s="7"/>
      <c r="AA135" s="7"/>
      <c r="AB135" s="147"/>
      <c r="AC135" s="5"/>
      <c r="AD135" s="146"/>
      <c r="AE135" s="7"/>
      <c r="AF135" s="7"/>
      <c r="AG135" s="147"/>
      <c r="AH135" s="5"/>
      <c r="AI135" s="146"/>
      <c r="AJ135" s="7"/>
      <c r="AK135" s="7"/>
      <c r="AL135" s="147"/>
      <c r="AM135" s="5"/>
      <c r="AN135" s="146"/>
      <c r="AO135" s="7"/>
      <c r="AP135" s="7"/>
      <c r="AQ135" s="147"/>
      <c r="AR135" s="5"/>
      <c r="AS135" s="146"/>
      <c r="AT135" s="7"/>
      <c r="AU135" s="7"/>
      <c r="AV135" s="147"/>
      <c r="AW135" s="5"/>
      <c r="AX135" s="146"/>
      <c r="AY135" s="7"/>
      <c r="AZ135" s="7"/>
      <c r="BA135" s="147"/>
      <c r="BB135" s="5"/>
      <c r="BC135" s="146"/>
      <c r="BD135" s="7"/>
      <c r="BE135" s="7"/>
      <c r="BF135" s="147"/>
      <c r="BG135" s="5"/>
      <c r="BH135" s="146"/>
      <c r="BI135" s="7"/>
      <c r="BJ135" s="7"/>
      <c r="BK135" s="147"/>
      <c r="BL135" s="5"/>
      <c r="BM135" s="146"/>
      <c r="BN135" s="7"/>
      <c r="BO135" s="7"/>
      <c r="BP135" s="147"/>
      <c r="BQ135" s="5"/>
      <c r="BR135" s="5"/>
      <c r="BS135" s="1503"/>
      <c r="BT135" s="1503"/>
      <c r="BU135" s="1503"/>
      <c r="BV135" s="1503"/>
      <c r="BW135" s="1493"/>
      <c r="BX135"/>
      <c r="BY135"/>
      <c r="BZ135"/>
      <c r="CA135"/>
      <c r="CB135"/>
      <c r="CC135"/>
    </row>
    <row r="136" spans="1:81" s="19" customFormat="1">
      <c r="A136" s="108"/>
      <c r="B136" s="70" t="s">
        <v>538</v>
      </c>
      <c r="C136" s="1144"/>
      <c r="D136" s="92"/>
      <c r="E136" s="146"/>
      <c r="F136" s="7"/>
      <c r="G136" s="7"/>
      <c r="H136" s="147"/>
      <c r="I136" s="31"/>
      <c r="J136" s="146"/>
      <c r="K136" s="7"/>
      <c r="L136" s="7"/>
      <c r="M136" s="147"/>
      <c r="N136" s="5"/>
      <c r="O136" s="146"/>
      <c r="P136" s="7"/>
      <c r="Q136" s="7"/>
      <c r="R136" s="147"/>
      <c r="S136" s="5"/>
      <c r="T136" s="146"/>
      <c r="U136" s="7"/>
      <c r="V136" s="7"/>
      <c r="W136" s="147"/>
      <c r="X136" s="5"/>
      <c r="Y136" s="146"/>
      <c r="Z136" s="7"/>
      <c r="AA136" s="7"/>
      <c r="AB136" s="147"/>
      <c r="AC136" s="5"/>
      <c r="AD136" s="146"/>
      <c r="AE136" s="7"/>
      <c r="AF136" s="7"/>
      <c r="AG136" s="147"/>
      <c r="AH136" s="5"/>
      <c r="AI136" s="146"/>
      <c r="AJ136" s="7"/>
      <c r="AK136" s="7"/>
      <c r="AL136" s="147"/>
      <c r="AM136" s="5"/>
      <c r="AN136" s="146"/>
      <c r="AO136" s="7"/>
      <c r="AP136" s="7"/>
      <c r="AQ136" s="147"/>
      <c r="AR136" s="86"/>
      <c r="AS136" s="146"/>
      <c r="AT136" s="7"/>
      <c r="AU136" s="7"/>
      <c r="AV136" s="147"/>
      <c r="AW136" s="86"/>
      <c r="AX136" s="146"/>
      <c r="AY136" s="7"/>
      <c r="AZ136" s="7"/>
      <c r="BA136" s="147"/>
      <c r="BB136" s="86"/>
      <c r="BC136" s="146"/>
      <c r="BD136" s="7"/>
      <c r="BE136" s="7"/>
      <c r="BF136" s="147"/>
      <c r="BG136" s="86"/>
      <c r="BH136" s="146"/>
      <c r="BI136" s="7"/>
      <c r="BJ136" s="7"/>
      <c r="BK136" s="147"/>
      <c r="BL136" s="86"/>
      <c r="BM136" s="146"/>
      <c r="BN136" s="7"/>
      <c r="BO136" s="7"/>
      <c r="BP136" s="147"/>
      <c r="BQ136" s="86"/>
      <c r="BR136" s="86"/>
      <c r="BS136" s="1503"/>
      <c r="BT136" s="1503"/>
      <c r="BU136" s="1503"/>
      <c r="BV136" s="1503"/>
      <c r="BW136" s="1493"/>
      <c r="BX136"/>
      <c r="BY136"/>
      <c r="BZ136"/>
      <c r="CA136"/>
      <c r="CB136"/>
      <c r="CC136"/>
    </row>
    <row r="137" spans="1:81" s="19" customFormat="1">
      <c r="A137" s="108"/>
      <c r="B137" s="5"/>
      <c r="C137" s="1150"/>
      <c r="D137" s="5"/>
      <c r="E137" s="146"/>
      <c r="F137" s="7"/>
      <c r="G137" s="7"/>
      <c r="H137" s="147"/>
      <c r="I137" s="31"/>
      <c r="J137" s="146"/>
      <c r="K137" s="7"/>
      <c r="L137" s="7"/>
      <c r="M137" s="147"/>
      <c r="N137" s="5"/>
      <c r="O137" s="146"/>
      <c r="P137" s="7"/>
      <c r="Q137" s="7"/>
      <c r="R137" s="147"/>
      <c r="S137" s="5"/>
      <c r="T137" s="146"/>
      <c r="U137" s="7"/>
      <c r="V137" s="7"/>
      <c r="W137" s="147"/>
      <c r="X137" s="5"/>
      <c r="Y137" s="146"/>
      <c r="Z137" s="7"/>
      <c r="AA137" s="7"/>
      <c r="AB137" s="147"/>
      <c r="AC137" s="5"/>
      <c r="AD137" s="146"/>
      <c r="AE137" s="7"/>
      <c r="AF137" s="7"/>
      <c r="AG137" s="147"/>
      <c r="AH137" s="5"/>
      <c r="AI137" s="146"/>
      <c r="AJ137" s="7"/>
      <c r="AK137" s="7"/>
      <c r="AL137" s="147"/>
      <c r="AM137" s="5"/>
      <c r="AN137" s="146"/>
      <c r="AO137" s="7"/>
      <c r="AP137" s="7"/>
      <c r="AQ137" s="147"/>
      <c r="AR137" s="44"/>
      <c r="AS137" s="146"/>
      <c r="AT137" s="7"/>
      <c r="AU137" s="7"/>
      <c r="AV137" s="147"/>
      <c r="AW137" s="44"/>
      <c r="AX137" s="146"/>
      <c r="AY137" s="7"/>
      <c r="AZ137" s="7"/>
      <c r="BA137" s="147"/>
      <c r="BB137" s="44"/>
      <c r="BC137" s="146"/>
      <c r="BD137" s="7"/>
      <c r="BE137" s="7"/>
      <c r="BF137" s="147"/>
      <c r="BG137" s="44"/>
      <c r="BH137" s="146"/>
      <c r="BI137" s="7"/>
      <c r="BJ137" s="7"/>
      <c r="BK137" s="147"/>
      <c r="BL137" s="44"/>
      <c r="BM137" s="146"/>
      <c r="BN137" s="7"/>
      <c r="BO137" s="7"/>
      <c r="BP137" s="147"/>
      <c r="BQ137" s="44"/>
      <c r="BR137" s="44"/>
      <c r="BS137" s="1503"/>
      <c r="BT137" s="1503"/>
      <c r="BU137" s="1503"/>
      <c r="BV137" s="1503"/>
      <c r="BW137" s="1493"/>
      <c r="BX137"/>
      <c r="BY137"/>
      <c r="BZ137"/>
      <c r="CA137"/>
      <c r="CB137"/>
      <c r="CC137"/>
    </row>
    <row r="138" spans="1:81" s="19" customFormat="1">
      <c r="A138" s="108"/>
      <c r="B138" s="5"/>
      <c r="C138" s="1151" t="s">
        <v>539</v>
      </c>
      <c r="D138" s="5"/>
      <c r="E138" s="146"/>
      <c r="F138" s="7"/>
      <c r="G138" s="7"/>
      <c r="H138" s="147"/>
      <c r="I138" s="31"/>
      <c r="J138" s="146"/>
      <c r="K138" s="7"/>
      <c r="L138" s="7"/>
      <c r="M138" s="147"/>
      <c r="N138" s="5"/>
      <c r="O138" s="146"/>
      <c r="P138" s="7"/>
      <c r="Q138" s="7"/>
      <c r="R138" s="147"/>
      <c r="S138" s="5"/>
      <c r="T138" s="146"/>
      <c r="U138" s="7"/>
      <c r="V138" s="7"/>
      <c r="W138" s="147"/>
      <c r="X138" s="5"/>
      <c r="Y138" s="146"/>
      <c r="Z138" s="7"/>
      <c r="AA138" s="7"/>
      <c r="AB138" s="147"/>
      <c r="AC138" s="5"/>
      <c r="AD138" s="146"/>
      <c r="AE138" s="7"/>
      <c r="AF138" s="7"/>
      <c r="AG138" s="147"/>
      <c r="AH138" s="5"/>
      <c r="AI138" s="146"/>
      <c r="AJ138" s="7"/>
      <c r="AK138" s="7"/>
      <c r="AL138" s="147"/>
      <c r="AM138" s="5"/>
      <c r="AN138" s="146"/>
      <c r="AO138" s="7"/>
      <c r="AP138" s="7"/>
      <c r="AQ138" s="147"/>
      <c r="AR138" s="44"/>
      <c r="AS138" s="146"/>
      <c r="AT138" s="7"/>
      <c r="AU138" s="7"/>
      <c r="AV138" s="147"/>
      <c r="AW138" s="44"/>
      <c r="AX138" s="146"/>
      <c r="AY138" s="7"/>
      <c r="AZ138" s="7"/>
      <c r="BA138" s="147"/>
      <c r="BB138" s="44"/>
      <c r="BC138" s="146"/>
      <c r="BD138" s="7"/>
      <c r="BE138" s="7"/>
      <c r="BF138" s="147"/>
      <c r="BG138" s="44"/>
      <c r="BH138" s="146"/>
      <c r="BI138" s="7"/>
      <c r="BJ138" s="7"/>
      <c r="BK138" s="147"/>
      <c r="BL138" s="44"/>
      <c r="BM138" s="146"/>
      <c r="BN138" s="7"/>
      <c r="BO138" s="7"/>
      <c r="BP138" s="147"/>
      <c r="BQ138" s="44"/>
      <c r="BR138" s="44"/>
      <c r="BS138" s="1503"/>
      <c r="BT138" s="1503"/>
      <c r="BU138" s="1503"/>
      <c r="BV138" s="1503"/>
      <c r="BW138" s="1493"/>
      <c r="BX138"/>
      <c r="BY138"/>
      <c r="BZ138"/>
      <c r="CA138"/>
      <c r="CB138"/>
      <c r="CC138"/>
    </row>
    <row r="139" spans="1:81" s="19" customFormat="1">
      <c r="A139" s="108"/>
      <c r="B139" s="5"/>
      <c r="C139" s="1147" t="s">
        <v>536</v>
      </c>
      <c r="D139" s="5"/>
      <c r="E139" s="146"/>
      <c r="F139" s="7"/>
      <c r="G139" s="7"/>
      <c r="H139" s="147"/>
      <c r="I139" s="31"/>
      <c r="J139" s="146"/>
      <c r="K139" s="7"/>
      <c r="L139" s="7"/>
      <c r="M139" s="147"/>
      <c r="N139" s="5"/>
      <c r="O139" s="146"/>
      <c r="P139" s="7"/>
      <c r="Q139" s="7"/>
      <c r="R139" s="147"/>
      <c r="S139" s="5"/>
      <c r="T139" s="912"/>
      <c r="U139" s="913"/>
      <c r="V139" s="913"/>
      <c r="W139" s="914"/>
      <c r="X139" s="911"/>
      <c r="Y139" s="912">
        <f t="shared" ref="Y139:AR139" si="391">Y231+Y218</f>
        <v>5666.0337</v>
      </c>
      <c r="Z139" s="913">
        <f t="shared" si="391"/>
        <v>5666.0337</v>
      </c>
      <c r="AA139" s="913">
        <f t="shared" si="391"/>
        <v>5666.0337</v>
      </c>
      <c r="AB139" s="914">
        <f t="shared" si="391"/>
        <v>5666.0337</v>
      </c>
      <c r="AC139" s="911">
        <f t="shared" si="391"/>
        <v>22664.1348</v>
      </c>
      <c r="AD139" s="912">
        <f t="shared" si="391"/>
        <v>5666.0337</v>
      </c>
      <c r="AE139" s="913">
        <f t="shared" si="391"/>
        <v>5666.0337</v>
      </c>
      <c r="AF139" s="913">
        <f t="shared" si="391"/>
        <v>5666.0337</v>
      </c>
      <c r="AG139" s="914">
        <f t="shared" si="391"/>
        <v>5666.0337</v>
      </c>
      <c r="AH139" s="911">
        <f t="shared" si="391"/>
        <v>22664.1348</v>
      </c>
      <c r="AI139" s="912">
        <f t="shared" si="391"/>
        <v>5666.0337</v>
      </c>
      <c r="AJ139" s="913">
        <f t="shared" si="391"/>
        <v>5666.0337</v>
      </c>
      <c r="AK139" s="913">
        <f t="shared" si="391"/>
        <v>5666.0337</v>
      </c>
      <c r="AL139" s="914">
        <f t="shared" si="391"/>
        <v>5666.0337</v>
      </c>
      <c r="AM139" s="911">
        <f t="shared" si="391"/>
        <v>22664.1348</v>
      </c>
      <c r="AN139" s="912">
        <f t="shared" ref="AN139" si="392">AN231+AN218</f>
        <v>5957.3913000000002</v>
      </c>
      <c r="AO139" s="913">
        <f t="shared" si="391"/>
        <v>5957.3913000000002</v>
      </c>
      <c r="AP139" s="913">
        <f t="shared" ref="AP139" si="393">AP231+AP218</f>
        <v>5957.3913000000002</v>
      </c>
      <c r="AQ139" s="914">
        <f t="shared" si="391"/>
        <v>5957.3913000000002</v>
      </c>
      <c r="AR139" s="911">
        <f t="shared" si="391"/>
        <v>23829.565200000001</v>
      </c>
      <c r="AS139" s="912">
        <f t="shared" ref="AS139:BB139" si="394">AS231+AS218</f>
        <v>4032.6878999999999</v>
      </c>
      <c r="AT139" s="913">
        <f t="shared" si="394"/>
        <v>4032.6878999999999</v>
      </c>
      <c r="AU139" s="913">
        <f t="shared" ref="AU139" si="395">AU231+AU218</f>
        <v>4032.6878999999999</v>
      </c>
      <c r="AV139" s="914">
        <f t="shared" si="394"/>
        <v>4032.6878999999999</v>
      </c>
      <c r="AW139" s="911">
        <f t="shared" si="394"/>
        <v>16130.7516</v>
      </c>
      <c r="AX139" s="912">
        <f t="shared" si="394"/>
        <v>4032.6878999999999</v>
      </c>
      <c r="AY139" s="913">
        <f t="shared" si="394"/>
        <v>4032.6878999999999</v>
      </c>
      <c r="AZ139" s="913">
        <f t="shared" si="394"/>
        <v>4032.6878999999999</v>
      </c>
      <c r="BA139" s="914">
        <f t="shared" si="394"/>
        <v>4032.6878999999999</v>
      </c>
      <c r="BB139" s="911">
        <f t="shared" si="394"/>
        <v>16130.7516</v>
      </c>
      <c r="BC139" s="912">
        <f t="shared" ref="BC139:BL139" si="396">BC231+BC218</f>
        <v>3851.4434999999994</v>
      </c>
      <c r="BD139" s="913">
        <f t="shared" si="396"/>
        <v>3851.4434999999994</v>
      </c>
      <c r="BE139" s="913">
        <f t="shared" si="396"/>
        <v>3851.4434999999994</v>
      </c>
      <c r="BF139" s="914">
        <f t="shared" si="396"/>
        <v>3851.4434999999994</v>
      </c>
      <c r="BG139" s="911">
        <f t="shared" si="396"/>
        <v>15405.773999999998</v>
      </c>
      <c r="BH139" s="912">
        <f t="shared" si="396"/>
        <v>3851.4434999999994</v>
      </c>
      <c r="BI139" s="913">
        <f t="shared" si="396"/>
        <v>2567.6289999999995</v>
      </c>
      <c r="BJ139" s="913">
        <f t="shared" si="396"/>
        <v>1925.7217499999997</v>
      </c>
      <c r="BK139" s="914">
        <f t="shared" si="396"/>
        <v>1925.7217499999997</v>
      </c>
      <c r="BL139" s="911">
        <f t="shared" si="396"/>
        <v>10270.516</v>
      </c>
      <c r="BM139" s="912">
        <f t="shared" ref="BM139:BQ139" si="397">BM231+BM218</f>
        <v>1925.7217499999997</v>
      </c>
      <c r="BN139" s="913">
        <f t="shared" si="397"/>
        <v>1283.8144999999997</v>
      </c>
      <c r="BO139" s="913">
        <f t="shared" si="397"/>
        <v>0</v>
      </c>
      <c r="BP139" s="914">
        <f t="shared" si="397"/>
        <v>0</v>
      </c>
      <c r="BQ139" s="911">
        <f t="shared" si="397"/>
        <v>3209.5362499999992</v>
      </c>
      <c r="BR139" s="911"/>
      <c r="BS139" s="1503"/>
      <c r="BT139" s="1503"/>
      <c r="BU139" s="1503"/>
      <c r="BV139" s="1503"/>
      <c r="BW139" s="1493"/>
      <c r="BX139"/>
      <c r="BY139"/>
      <c r="BZ139"/>
      <c r="CA139"/>
      <c r="CB139"/>
      <c r="CC139"/>
    </row>
    <row r="140" spans="1:81" s="19" customFormat="1">
      <c r="A140" s="108"/>
      <c r="B140" s="5"/>
      <c r="C140" s="1147" t="s">
        <v>853</v>
      </c>
      <c r="D140" s="5"/>
      <c r="E140" s="146"/>
      <c r="F140" s="7"/>
      <c r="G140" s="7"/>
      <c r="H140" s="147"/>
      <c r="I140" s="31"/>
      <c r="J140" s="146"/>
      <c r="K140" s="7"/>
      <c r="L140" s="7"/>
      <c r="M140" s="147"/>
      <c r="N140" s="5"/>
      <c r="O140" s="146"/>
      <c r="P140" s="7"/>
      <c r="Q140" s="7"/>
      <c r="R140" s="147"/>
      <c r="S140" s="5"/>
      <c r="T140" s="912"/>
      <c r="U140" s="913"/>
      <c r="V140" s="913"/>
      <c r="W140" s="914"/>
      <c r="X140" s="911"/>
      <c r="Y140" s="912">
        <f t="shared" ref="Y140:AR140" si="398">Y205+Y277</f>
        <v>3182.6612999999998</v>
      </c>
      <c r="Z140" s="913">
        <f t="shared" si="398"/>
        <v>3182.6612999999998</v>
      </c>
      <c r="AA140" s="913">
        <f t="shared" si="398"/>
        <v>3182.6612999999998</v>
      </c>
      <c r="AB140" s="914">
        <f t="shared" si="398"/>
        <v>3182.6612999999998</v>
      </c>
      <c r="AC140" s="911">
        <f t="shared" si="398"/>
        <v>12730.645199999999</v>
      </c>
      <c r="AD140" s="912">
        <f t="shared" si="398"/>
        <v>3182.6612999999998</v>
      </c>
      <c r="AE140" s="913">
        <f t="shared" si="398"/>
        <v>3182.6612999999998</v>
      </c>
      <c r="AF140" s="913">
        <f t="shared" si="398"/>
        <v>3182.6612999999998</v>
      </c>
      <c r="AG140" s="914">
        <f t="shared" si="398"/>
        <v>3182.6612999999998</v>
      </c>
      <c r="AH140" s="911">
        <f t="shared" si="398"/>
        <v>12730.645199999999</v>
      </c>
      <c r="AI140" s="912">
        <f t="shared" si="398"/>
        <v>2003.4558000000002</v>
      </c>
      <c r="AJ140" s="913">
        <f t="shared" si="398"/>
        <v>2003.4558000000002</v>
      </c>
      <c r="AK140" s="913">
        <f t="shared" si="398"/>
        <v>2003.4558000000002</v>
      </c>
      <c r="AL140" s="914">
        <f t="shared" si="398"/>
        <v>2003.4558000000002</v>
      </c>
      <c r="AM140" s="911">
        <f t="shared" si="398"/>
        <v>8013.8232000000007</v>
      </c>
      <c r="AN140" s="912">
        <f t="shared" ref="AN140" si="399">AN205+AN277</f>
        <v>1431.384</v>
      </c>
      <c r="AO140" s="913">
        <f t="shared" si="398"/>
        <v>1431.384</v>
      </c>
      <c r="AP140" s="913">
        <f t="shared" ref="AP140" si="400">AP205+AP277</f>
        <v>1431.384</v>
      </c>
      <c r="AQ140" s="914">
        <f t="shared" si="398"/>
        <v>1431.384</v>
      </c>
      <c r="AR140" s="911">
        <f t="shared" si="398"/>
        <v>5725.5360000000001</v>
      </c>
      <c r="AS140" s="912">
        <f t="shared" ref="AS140:BB140" si="401">AS205+AS277</f>
        <v>1340.9808</v>
      </c>
      <c r="AT140" s="913">
        <f t="shared" si="401"/>
        <v>1340.9808</v>
      </c>
      <c r="AU140" s="913">
        <f t="shared" ref="AU140" si="402">AU205+AU277</f>
        <v>1340.9808</v>
      </c>
      <c r="AV140" s="914">
        <f t="shared" si="401"/>
        <v>1340.9808</v>
      </c>
      <c r="AW140" s="911">
        <f t="shared" si="401"/>
        <v>5363.9232000000002</v>
      </c>
      <c r="AX140" s="912">
        <f t="shared" si="401"/>
        <v>1340.9808</v>
      </c>
      <c r="AY140" s="913">
        <f t="shared" si="401"/>
        <v>1340.9808</v>
      </c>
      <c r="AZ140" s="913">
        <f t="shared" si="401"/>
        <v>1340.9808</v>
      </c>
      <c r="BA140" s="914">
        <f t="shared" si="401"/>
        <v>1340.9808</v>
      </c>
      <c r="BB140" s="911">
        <f t="shared" si="401"/>
        <v>5363.9232000000002</v>
      </c>
      <c r="BC140" s="912">
        <f t="shared" ref="BC140:BL140" si="403">BC205+BC277</f>
        <v>1280.7119999999998</v>
      </c>
      <c r="BD140" s="913">
        <f t="shared" si="403"/>
        <v>853.80799999999999</v>
      </c>
      <c r="BE140" s="913">
        <f t="shared" si="403"/>
        <v>0</v>
      </c>
      <c r="BF140" s="914">
        <f t="shared" si="403"/>
        <v>0</v>
      </c>
      <c r="BG140" s="911">
        <f t="shared" si="403"/>
        <v>2134.5199999999995</v>
      </c>
      <c r="BH140" s="912">
        <f t="shared" si="403"/>
        <v>0</v>
      </c>
      <c r="BI140" s="913">
        <f t="shared" si="403"/>
        <v>0</v>
      </c>
      <c r="BJ140" s="913">
        <f t="shared" si="403"/>
        <v>0</v>
      </c>
      <c r="BK140" s="914">
        <f t="shared" si="403"/>
        <v>0</v>
      </c>
      <c r="BL140" s="911">
        <f t="shared" si="403"/>
        <v>0</v>
      </c>
      <c r="BM140" s="912">
        <f t="shared" ref="BM140:BQ140" si="404">BM205+BM277</f>
        <v>0</v>
      </c>
      <c r="BN140" s="913">
        <f t="shared" si="404"/>
        <v>0</v>
      </c>
      <c r="BO140" s="913">
        <f t="shared" si="404"/>
        <v>0</v>
      </c>
      <c r="BP140" s="914">
        <f t="shared" si="404"/>
        <v>0</v>
      </c>
      <c r="BQ140" s="911">
        <f t="shared" si="404"/>
        <v>0</v>
      </c>
      <c r="BR140" s="911"/>
      <c r="BS140" s="1503"/>
      <c r="BT140" s="1503"/>
      <c r="BU140" s="1503"/>
      <c r="BV140" s="1503"/>
      <c r="BW140" s="1493"/>
      <c r="BX140"/>
      <c r="BY140"/>
      <c r="BZ140"/>
      <c r="CA140"/>
      <c r="CB140"/>
      <c r="CC140"/>
    </row>
    <row r="141" spans="1:81" s="19" customFormat="1">
      <c r="A141" s="108"/>
      <c r="B141" s="5"/>
      <c r="C141" s="1147" t="s">
        <v>95</v>
      </c>
      <c r="D141" s="5"/>
      <c r="E141" s="146"/>
      <c r="F141" s="7"/>
      <c r="G141" s="7"/>
      <c r="H141" s="147"/>
      <c r="I141" s="31"/>
      <c r="J141" s="146"/>
      <c r="K141" s="7"/>
      <c r="L141" s="7"/>
      <c r="M141" s="147"/>
      <c r="N141" s="5"/>
      <c r="O141" s="146"/>
      <c r="P141" s="7"/>
      <c r="Q141" s="7"/>
      <c r="R141" s="147"/>
      <c r="S141" s="5"/>
      <c r="T141" s="912"/>
      <c r="U141" s="913"/>
      <c r="V141" s="913"/>
      <c r="W141" s="914"/>
      <c r="X141" s="911"/>
      <c r="Y141" s="912">
        <f t="shared" ref="Y141:AR141" si="405">Y297+Y311+Y326</f>
        <v>676.71</v>
      </c>
      <c r="Z141" s="913">
        <f t="shared" si="405"/>
        <v>368.46750000000003</v>
      </c>
      <c r="AA141" s="913">
        <f t="shared" si="405"/>
        <v>676.71</v>
      </c>
      <c r="AB141" s="914">
        <f t="shared" si="405"/>
        <v>676.71</v>
      </c>
      <c r="AC141" s="911">
        <f t="shared" si="405"/>
        <v>2398.5975000000003</v>
      </c>
      <c r="AD141" s="912">
        <f t="shared" si="405"/>
        <v>676.71</v>
      </c>
      <c r="AE141" s="913">
        <f t="shared" si="405"/>
        <v>368.46750000000003</v>
      </c>
      <c r="AF141" s="913">
        <f t="shared" si="405"/>
        <v>368.46750000000003</v>
      </c>
      <c r="AG141" s="914">
        <f t="shared" si="405"/>
        <v>368.46750000000003</v>
      </c>
      <c r="AH141" s="911">
        <f t="shared" si="405"/>
        <v>1782.1125000000002</v>
      </c>
      <c r="AI141" s="912">
        <f t="shared" si="405"/>
        <v>676.71</v>
      </c>
      <c r="AJ141" s="913">
        <f t="shared" si="405"/>
        <v>606.73950000000002</v>
      </c>
      <c r="AK141" s="913">
        <f t="shared" si="405"/>
        <v>676.71</v>
      </c>
      <c r="AL141" s="914">
        <f t="shared" si="405"/>
        <v>606.73950000000002</v>
      </c>
      <c r="AM141" s="911">
        <f t="shared" si="405"/>
        <v>2566.8990000000003</v>
      </c>
      <c r="AN141" s="912">
        <f t="shared" ref="AN141" si="406">AN297+AN311+AN326</f>
        <v>676.71</v>
      </c>
      <c r="AO141" s="913">
        <f t="shared" si="405"/>
        <v>676.71</v>
      </c>
      <c r="AP141" s="913">
        <f t="shared" ref="AP141" si="407">AP297+AP311+AP326</f>
        <v>368.46750000000003</v>
      </c>
      <c r="AQ141" s="914">
        <f t="shared" si="405"/>
        <v>368.46750000000003</v>
      </c>
      <c r="AR141" s="911">
        <f t="shared" si="405"/>
        <v>2090.355</v>
      </c>
      <c r="AS141" s="912">
        <f t="shared" ref="AS141:BB141" si="408">AS297+AS311+AS326</f>
        <v>368.46750000000003</v>
      </c>
      <c r="AT141" s="913">
        <f t="shared" si="408"/>
        <v>368.46750000000003</v>
      </c>
      <c r="AU141" s="913">
        <f t="shared" ref="AU141" si="409">AU297+AU311+AU326</f>
        <v>606.73950000000002</v>
      </c>
      <c r="AV141" s="914">
        <f t="shared" si="408"/>
        <v>606.73950000000002</v>
      </c>
      <c r="AW141" s="911">
        <f t="shared" si="408"/>
        <v>1950.4140000000002</v>
      </c>
      <c r="AX141" s="912">
        <f t="shared" si="408"/>
        <v>676.71</v>
      </c>
      <c r="AY141" s="913">
        <f t="shared" si="408"/>
        <v>676.71</v>
      </c>
      <c r="AZ141" s="913">
        <f t="shared" si="408"/>
        <v>676.71</v>
      </c>
      <c r="BA141" s="914">
        <f t="shared" si="408"/>
        <v>676.71</v>
      </c>
      <c r="BB141" s="911">
        <f t="shared" si="408"/>
        <v>2706.84</v>
      </c>
      <c r="BC141" s="912">
        <f t="shared" ref="BC141:BL141" si="410">BC297+BC311+BC326</f>
        <v>676.71</v>
      </c>
      <c r="BD141" s="913">
        <f t="shared" si="410"/>
        <v>676.71</v>
      </c>
      <c r="BE141" s="913">
        <f t="shared" si="410"/>
        <v>676.71</v>
      </c>
      <c r="BF141" s="914">
        <f t="shared" si="410"/>
        <v>438.43799999999999</v>
      </c>
      <c r="BG141" s="911">
        <f t="shared" si="410"/>
        <v>2468.5680000000002</v>
      </c>
      <c r="BH141" s="912">
        <f t="shared" si="410"/>
        <v>676.71</v>
      </c>
      <c r="BI141" s="913">
        <f t="shared" si="410"/>
        <v>676.71</v>
      </c>
      <c r="BJ141" s="913">
        <f t="shared" si="410"/>
        <v>676.71</v>
      </c>
      <c r="BK141" s="914">
        <f t="shared" si="410"/>
        <v>438.43799999999999</v>
      </c>
      <c r="BL141" s="911">
        <f t="shared" si="410"/>
        <v>2468.5680000000002</v>
      </c>
      <c r="BM141" s="912">
        <f t="shared" ref="BM141:BQ141" si="411">BM297+BM311+BM326</f>
        <v>676.71</v>
      </c>
      <c r="BN141" s="913">
        <f t="shared" si="411"/>
        <v>676.71</v>
      </c>
      <c r="BO141" s="913">
        <f t="shared" si="411"/>
        <v>676.71</v>
      </c>
      <c r="BP141" s="914">
        <f t="shared" si="411"/>
        <v>676.71</v>
      </c>
      <c r="BQ141" s="911">
        <f t="shared" si="411"/>
        <v>2706.84</v>
      </c>
      <c r="BR141" s="911"/>
      <c r="BS141" s="1503"/>
      <c r="BT141" s="1503"/>
      <c r="BU141" s="1503"/>
      <c r="BV141" s="1503"/>
      <c r="BW141" s="1493"/>
      <c r="BX141"/>
      <c r="BY141"/>
      <c r="BZ141"/>
      <c r="CA141"/>
      <c r="CB141"/>
      <c r="CC141"/>
    </row>
    <row r="142" spans="1:81" s="19" customFormat="1">
      <c r="A142" s="108"/>
      <c r="B142" s="5"/>
      <c r="C142" s="1147" t="s">
        <v>535</v>
      </c>
      <c r="D142" s="5"/>
      <c r="E142" s="146"/>
      <c r="F142" s="7"/>
      <c r="G142" s="7"/>
      <c r="H142" s="147"/>
      <c r="I142" s="31"/>
      <c r="J142" s="146"/>
      <c r="K142" s="7"/>
      <c r="L142" s="7"/>
      <c r="M142" s="147"/>
      <c r="N142" s="5"/>
      <c r="O142" s="146"/>
      <c r="P142" s="7"/>
      <c r="Q142" s="7"/>
      <c r="R142" s="147"/>
      <c r="S142" s="5"/>
      <c r="T142" s="912"/>
      <c r="U142" s="913"/>
      <c r="V142" s="913"/>
      <c r="W142" s="914"/>
      <c r="X142" s="911"/>
      <c r="Y142" s="912">
        <f t="shared" ref="Y142:AR142" si="412">Y245</f>
        <v>1555.3818000000001</v>
      </c>
      <c r="Z142" s="913">
        <f t="shared" si="412"/>
        <v>1555.3818000000001</v>
      </c>
      <c r="AA142" s="913">
        <f t="shared" si="412"/>
        <v>1555.3818000000001</v>
      </c>
      <c r="AB142" s="914">
        <f t="shared" si="412"/>
        <v>1555.3818000000001</v>
      </c>
      <c r="AC142" s="911">
        <f t="shared" si="412"/>
        <v>6221.5272000000004</v>
      </c>
      <c r="AD142" s="912">
        <f t="shared" si="412"/>
        <v>1555.3818000000001</v>
      </c>
      <c r="AE142" s="913">
        <f t="shared" si="412"/>
        <v>1555.3818000000001</v>
      </c>
      <c r="AF142" s="913">
        <f t="shared" si="412"/>
        <v>1555.3818000000001</v>
      </c>
      <c r="AG142" s="914">
        <f t="shared" si="412"/>
        <v>1555.3818000000001</v>
      </c>
      <c r="AH142" s="911">
        <f t="shared" si="412"/>
        <v>6221.5272000000004</v>
      </c>
      <c r="AI142" s="912">
        <f t="shared" si="412"/>
        <v>1555.3818000000001</v>
      </c>
      <c r="AJ142" s="913">
        <f t="shared" si="412"/>
        <v>1555.3818000000001</v>
      </c>
      <c r="AK142" s="913">
        <f t="shared" si="412"/>
        <v>1555.3818000000001</v>
      </c>
      <c r="AL142" s="914">
        <f t="shared" si="412"/>
        <v>1555.3818000000001</v>
      </c>
      <c r="AM142" s="911">
        <f t="shared" si="412"/>
        <v>6221.5272000000004</v>
      </c>
      <c r="AN142" s="912">
        <f t="shared" ref="AN142" si="413">AN245</f>
        <v>1625.2865999999999</v>
      </c>
      <c r="AO142" s="913">
        <f t="shared" si="412"/>
        <v>1625.2865999999999</v>
      </c>
      <c r="AP142" s="913">
        <f t="shared" ref="AP142" si="414">AP245</f>
        <v>1625.2865999999999</v>
      </c>
      <c r="AQ142" s="914">
        <f t="shared" si="412"/>
        <v>1625.2865999999999</v>
      </c>
      <c r="AR142" s="911">
        <f t="shared" si="412"/>
        <v>6501.1463999999996</v>
      </c>
      <c r="AS142" s="912">
        <f t="shared" ref="AS142:BB142" si="415">AS245</f>
        <v>1555.3818000000001</v>
      </c>
      <c r="AT142" s="913">
        <f t="shared" si="415"/>
        <v>1555.3818000000001</v>
      </c>
      <c r="AU142" s="913">
        <f t="shared" ref="AU142" si="416">AU245</f>
        <v>1555.3818000000001</v>
      </c>
      <c r="AV142" s="914">
        <f t="shared" si="415"/>
        <v>1555.3818000000001</v>
      </c>
      <c r="AW142" s="911">
        <f t="shared" si="415"/>
        <v>6221.5272000000004</v>
      </c>
      <c r="AX142" s="912">
        <f t="shared" si="415"/>
        <v>1555.3818000000001</v>
      </c>
      <c r="AY142" s="913">
        <f t="shared" si="415"/>
        <v>1555.3818000000001</v>
      </c>
      <c r="AZ142" s="913">
        <f t="shared" si="415"/>
        <v>1555.3818000000001</v>
      </c>
      <c r="BA142" s="914">
        <f t="shared" si="415"/>
        <v>1555.3818000000001</v>
      </c>
      <c r="BB142" s="911">
        <f t="shared" si="415"/>
        <v>6221.5272000000004</v>
      </c>
      <c r="BC142" s="912">
        <f t="shared" ref="BC142:BL142" si="417">BC245</f>
        <v>1555.3818000000001</v>
      </c>
      <c r="BD142" s="913">
        <f t="shared" si="417"/>
        <v>1555.3818000000001</v>
      </c>
      <c r="BE142" s="913">
        <f t="shared" si="417"/>
        <v>1555.3818000000001</v>
      </c>
      <c r="BF142" s="914">
        <f t="shared" si="417"/>
        <v>1555.3818000000001</v>
      </c>
      <c r="BG142" s="911">
        <f t="shared" si="417"/>
        <v>6221.5272000000004</v>
      </c>
      <c r="BH142" s="912">
        <f t="shared" si="417"/>
        <v>1555.3818000000001</v>
      </c>
      <c r="BI142" s="913">
        <f t="shared" si="417"/>
        <v>1555.3818000000001</v>
      </c>
      <c r="BJ142" s="913">
        <f t="shared" si="417"/>
        <v>1555.3818000000001</v>
      </c>
      <c r="BK142" s="914">
        <f t="shared" si="417"/>
        <v>1555.3818000000001</v>
      </c>
      <c r="BL142" s="911">
        <f t="shared" si="417"/>
        <v>6221.5272000000004</v>
      </c>
      <c r="BM142" s="912">
        <f t="shared" ref="BM142:BQ142" si="418">BM245</f>
        <v>1555.3818000000001</v>
      </c>
      <c r="BN142" s="913">
        <f t="shared" si="418"/>
        <v>1555.3818000000001</v>
      </c>
      <c r="BO142" s="913">
        <f t="shared" si="418"/>
        <v>1555.3818000000001</v>
      </c>
      <c r="BP142" s="914">
        <f t="shared" si="418"/>
        <v>1555.3818000000001</v>
      </c>
      <c r="BQ142" s="911">
        <f t="shared" si="418"/>
        <v>6221.5272000000004</v>
      </c>
      <c r="BR142" s="911"/>
      <c r="BS142" s="1503"/>
      <c r="BT142" s="1503"/>
      <c r="BU142" s="1503"/>
      <c r="BV142" s="1503"/>
      <c r="BW142" s="1493"/>
      <c r="BX142"/>
      <c r="BY142"/>
      <c r="BZ142"/>
      <c r="CA142"/>
      <c r="CB142"/>
      <c r="CC142"/>
    </row>
    <row r="143" spans="1:81" s="19" customFormat="1">
      <c r="A143" s="108"/>
      <c r="B143" s="5"/>
      <c r="C143" s="1147" t="s">
        <v>537</v>
      </c>
      <c r="D143" s="5"/>
      <c r="E143" s="146"/>
      <c r="F143" s="7"/>
      <c r="G143" s="7"/>
      <c r="H143" s="147"/>
      <c r="I143" s="31"/>
      <c r="J143" s="146"/>
      <c r="K143" s="7"/>
      <c r="L143" s="7"/>
      <c r="M143" s="147"/>
      <c r="N143" s="5"/>
      <c r="O143" s="146"/>
      <c r="P143" s="7"/>
      <c r="Q143" s="7"/>
      <c r="R143" s="147"/>
      <c r="S143" s="5"/>
      <c r="T143" s="912"/>
      <c r="U143" s="913"/>
      <c r="V143" s="913"/>
      <c r="W143" s="914"/>
      <c r="X143" s="911"/>
      <c r="Y143" s="912">
        <f t="shared" ref="Y143:AR143" si="419">Y346</f>
        <v>61.32</v>
      </c>
      <c r="Z143" s="913">
        <f t="shared" si="419"/>
        <v>61.32</v>
      </c>
      <c r="AA143" s="913">
        <f t="shared" si="419"/>
        <v>61.32</v>
      </c>
      <c r="AB143" s="914">
        <f t="shared" si="419"/>
        <v>61.32</v>
      </c>
      <c r="AC143" s="911">
        <f t="shared" si="419"/>
        <v>245.28</v>
      </c>
      <c r="AD143" s="912">
        <f t="shared" si="419"/>
        <v>61.320000000000007</v>
      </c>
      <c r="AE143" s="913">
        <f t="shared" si="419"/>
        <v>61.320000000000007</v>
      </c>
      <c r="AF143" s="913">
        <f t="shared" si="419"/>
        <v>61.320000000000007</v>
      </c>
      <c r="AG143" s="914">
        <f t="shared" si="419"/>
        <v>61.320000000000007</v>
      </c>
      <c r="AH143" s="911">
        <f t="shared" si="419"/>
        <v>245.28000000000003</v>
      </c>
      <c r="AI143" s="912">
        <f t="shared" si="419"/>
        <v>61.320000000000014</v>
      </c>
      <c r="AJ143" s="913">
        <f t="shared" si="419"/>
        <v>61.320000000000014</v>
      </c>
      <c r="AK143" s="913">
        <f t="shared" si="419"/>
        <v>61.320000000000014</v>
      </c>
      <c r="AL143" s="914">
        <f t="shared" si="419"/>
        <v>61.320000000000014</v>
      </c>
      <c r="AM143" s="911">
        <f t="shared" si="419"/>
        <v>245.28000000000006</v>
      </c>
      <c r="AN143" s="912">
        <f t="shared" ref="AN143" si="420">AN346</f>
        <v>61.320000000000014</v>
      </c>
      <c r="AO143" s="913">
        <f t="shared" si="419"/>
        <v>61.320000000000014</v>
      </c>
      <c r="AP143" s="913">
        <f t="shared" ref="AP143" si="421">AP346</f>
        <v>61.320000000000014</v>
      </c>
      <c r="AQ143" s="914">
        <f t="shared" si="419"/>
        <v>61.320000000000014</v>
      </c>
      <c r="AR143" s="911">
        <f t="shared" si="419"/>
        <v>245.28000000000006</v>
      </c>
      <c r="AS143" s="912">
        <f t="shared" ref="AS143:BB143" si="422">AS346</f>
        <v>61.320000000000014</v>
      </c>
      <c r="AT143" s="913">
        <f t="shared" si="422"/>
        <v>61.320000000000014</v>
      </c>
      <c r="AU143" s="913">
        <f t="shared" ref="AU143" si="423">AU346</f>
        <v>61.320000000000014</v>
      </c>
      <c r="AV143" s="914">
        <f t="shared" si="422"/>
        <v>61.320000000000014</v>
      </c>
      <c r="AW143" s="911">
        <f t="shared" si="422"/>
        <v>245.28000000000006</v>
      </c>
      <c r="AX143" s="912">
        <f t="shared" si="422"/>
        <v>61.320000000000014</v>
      </c>
      <c r="AY143" s="913">
        <f t="shared" si="422"/>
        <v>61.320000000000014</v>
      </c>
      <c r="AZ143" s="913">
        <f t="shared" si="422"/>
        <v>61.320000000000014</v>
      </c>
      <c r="BA143" s="914">
        <f t="shared" si="422"/>
        <v>61.320000000000014</v>
      </c>
      <c r="BB143" s="911">
        <f t="shared" si="422"/>
        <v>245.28000000000006</v>
      </c>
      <c r="BC143" s="912">
        <f t="shared" ref="BC143:BL143" si="424">BC346</f>
        <v>61.320000000000014</v>
      </c>
      <c r="BD143" s="913">
        <f t="shared" si="424"/>
        <v>61.320000000000014</v>
      </c>
      <c r="BE143" s="913">
        <f t="shared" si="424"/>
        <v>61.320000000000014</v>
      </c>
      <c r="BF143" s="914">
        <f t="shared" si="424"/>
        <v>61.320000000000014</v>
      </c>
      <c r="BG143" s="911">
        <f t="shared" si="424"/>
        <v>245.28000000000006</v>
      </c>
      <c r="BH143" s="912">
        <f t="shared" si="424"/>
        <v>61.320000000000014</v>
      </c>
      <c r="BI143" s="913">
        <f t="shared" si="424"/>
        <v>61.320000000000014</v>
      </c>
      <c r="BJ143" s="913">
        <f t="shared" si="424"/>
        <v>61.320000000000014</v>
      </c>
      <c r="BK143" s="914">
        <f t="shared" si="424"/>
        <v>61.320000000000014</v>
      </c>
      <c r="BL143" s="911">
        <f t="shared" si="424"/>
        <v>245.28000000000006</v>
      </c>
      <c r="BM143" s="912">
        <f t="shared" ref="BM143:BQ143" si="425">BM346</f>
        <v>61.320000000000014</v>
      </c>
      <c r="BN143" s="913">
        <f t="shared" si="425"/>
        <v>61.320000000000014</v>
      </c>
      <c r="BO143" s="913">
        <f t="shared" si="425"/>
        <v>61.320000000000014</v>
      </c>
      <c r="BP143" s="914">
        <f t="shared" si="425"/>
        <v>61.320000000000014</v>
      </c>
      <c r="BQ143" s="911">
        <f t="shared" si="425"/>
        <v>245.28000000000006</v>
      </c>
      <c r="BR143" s="911"/>
      <c r="BS143" s="1503"/>
      <c r="BT143" s="1503"/>
      <c r="BU143" s="1503"/>
      <c r="BV143" s="1503"/>
      <c r="BW143" s="1493"/>
      <c r="BX143"/>
      <c r="BY143"/>
      <c r="BZ143"/>
      <c r="CA143"/>
      <c r="CB143"/>
      <c r="CC143"/>
    </row>
    <row r="144" spans="1:81" s="19" customFormat="1">
      <c r="A144" s="108"/>
      <c r="B144" s="36"/>
      <c r="C144" s="1148" t="s">
        <v>617</v>
      </c>
      <c r="D144" s="36"/>
      <c r="E144" s="122"/>
      <c r="F144" s="123"/>
      <c r="G144" s="123"/>
      <c r="H144" s="915"/>
      <c r="I144" s="36"/>
      <c r="J144" s="122"/>
      <c r="K144" s="123"/>
      <c r="L144" s="123"/>
      <c r="M144" s="915"/>
      <c r="N144" s="36"/>
      <c r="O144" s="122"/>
      <c r="P144" s="123"/>
      <c r="Q144" s="123"/>
      <c r="R144" s="915"/>
      <c r="S144" s="36"/>
      <c r="T144" s="200"/>
      <c r="U144" s="201"/>
      <c r="V144" s="201"/>
      <c r="W144" s="202"/>
      <c r="X144" s="86"/>
      <c r="Y144" s="200">
        <f t="shared" ref="Y144:AR144" si="426">SUM(Y139:Y143)</f>
        <v>11142.106799999998</v>
      </c>
      <c r="Z144" s="201">
        <f t="shared" si="426"/>
        <v>10833.864300000001</v>
      </c>
      <c r="AA144" s="201">
        <f t="shared" si="426"/>
        <v>11142.106799999998</v>
      </c>
      <c r="AB144" s="202">
        <f t="shared" si="426"/>
        <v>11142.106799999998</v>
      </c>
      <c r="AC144" s="86">
        <f t="shared" si="426"/>
        <v>44260.184699999998</v>
      </c>
      <c r="AD144" s="200">
        <f t="shared" si="426"/>
        <v>11142.106799999998</v>
      </c>
      <c r="AE144" s="201">
        <f t="shared" si="426"/>
        <v>10833.864300000001</v>
      </c>
      <c r="AF144" s="201">
        <f t="shared" si="426"/>
        <v>10833.864300000001</v>
      </c>
      <c r="AG144" s="202">
        <f t="shared" si="426"/>
        <v>10833.864300000001</v>
      </c>
      <c r="AH144" s="86">
        <f t="shared" si="426"/>
        <v>43643.699699999997</v>
      </c>
      <c r="AI144" s="200">
        <f t="shared" si="426"/>
        <v>9962.9012999999977</v>
      </c>
      <c r="AJ144" s="201">
        <f t="shared" si="426"/>
        <v>9892.9307999999983</v>
      </c>
      <c r="AK144" s="201">
        <f t="shared" si="426"/>
        <v>9962.9012999999977</v>
      </c>
      <c r="AL144" s="202">
        <f t="shared" si="426"/>
        <v>9892.9307999999983</v>
      </c>
      <c r="AM144" s="86">
        <f t="shared" si="426"/>
        <v>39711.664199999999</v>
      </c>
      <c r="AN144" s="200">
        <f t="shared" ref="AN144" si="427">SUM(AN139:AN143)</f>
        <v>9752.0918999999994</v>
      </c>
      <c r="AO144" s="201">
        <f t="shared" si="426"/>
        <v>9752.0918999999994</v>
      </c>
      <c r="AP144" s="201">
        <f t="shared" ref="AP144" si="428">SUM(AP139:AP143)</f>
        <v>9443.8493999999992</v>
      </c>
      <c r="AQ144" s="202">
        <f t="shared" si="426"/>
        <v>9443.8493999999992</v>
      </c>
      <c r="AR144" s="86">
        <f t="shared" si="426"/>
        <v>38391.882599999997</v>
      </c>
      <c r="AS144" s="200">
        <f t="shared" ref="AS144:BB144" si="429">SUM(AS139:AS143)</f>
        <v>7358.8379999999997</v>
      </c>
      <c r="AT144" s="201">
        <f t="shared" ref="AT144:AU144" si="430">SUM(AT139:AT143)</f>
        <v>7358.8379999999997</v>
      </c>
      <c r="AU144" s="201">
        <f t="shared" si="430"/>
        <v>7597.11</v>
      </c>
      <c r="AV144" s="202">
        <f t="shared" si="429"/>
        <v>7597.11</v>
      </c>
      <c r="AW144" s="86">
        <f t="shared" si="429"/>
        <v>29911.896000000001</v>
      </c>
      <c r="AX144" s="200">
        <f t="shared" si="429"/>
        <v>7667.0805</v>
      </c>
      <c r="AY144" s="201">
        <f t="shared" si="429"/>
        <v>7667.0805</v>
      </c>
      <c r="AZ144" s="201">
        <f t="shared" si="429"/>
        <v>7667.0805</v>
      </c>
      <c r="BA144" s="202">
        <f t="shared" si="429"/>
        <v>7667.0805</v>
      </c>
      <c r="BB144" s="86">
        <f t="shared" si="429"/>
        <v>30668.322</v>
      </c>
      <c r="BC144" s="200">
        <f t="shared" ref="BC144:BL144" si="431">SUM(BC139:BC143)</f>
        <v>7425.5672999999988</v>
      </c>
      <c r="BD144" s="201">
        <f t="shared" si="431"/>
        <v>6998.6632999999993</v>
      </c>
      <c r="BE144" s="201">
        <f t="shared" si="431"/>
        <v>6144.8552999999993</v>
      </c>
      <c r="BF144" s="202">
        <f t="shared" si="431"/>
        <v>5906.5832999999993</v>
      </c>
      <c r="BG144" s="86">
        <f t="shared" si="431"/>
        <v>26475.669199999997</v>
      </c>
      <c r="BH144" s="200">
        <f t="shared" si="431"/>
        <v>6144.8552999999993</v>
      </c>
      <c r="BI144" s="201">
        <f t="shared" si="431"/>
        <v>4861.0407999999989</v>
      </c>
      <c r="BJ144" s="201">
        <f t="shared" si="431"/>
        <v>4219.1335499999996</v>
      </c>
      <c r="BK144" s="202">
        <f t="shared" si="431"/>
        <v>3980.8615500000001</v>
      </c>
      <c r="BL144" s="86">
        <f t="shared" si="431"/>
        <v>19205.891199999998</v>
      </c>
      <c r="BM144" s="200">
        <f t="shared" ref="BM144:BQ144" si="432">SUM(BM139:BM143)</f>
        <v>4219.1335499999996</v>
      </c>
      <c r="BN144" s="201">
        <f t="shared" si="432"/>
        <v>3577.2262999999998</v>
      </c>
      <c r="BO144" s="201">
        <f t="shared" si="432"/>
        <v>2293.4118000000003</v>
      </c>
      <c r="BP144" s="202">
        <f t="shared" si="432"/>
        <v>2293.4118000000003</v>
      </c>
      <c r="BQ144" s="86">
        <f t="shared" si="432"/>
        <v>12383.18345</v>
      </c>
      <c r="BR144" s="86"/>
      <c r="BS144" s="1503"/>
      <c r="BT144" s="1503"/>
      <c r="BU144" s="1503"/>
      <c r="BV144" s="1503"/>
      <c r="BW144" s="1493"/>
      <c r="BX144"/>
      <c r="BY144"/>
      <c r="BZ144"/>
      <c r="CA144"/>
      <c r="CB144"/>
      <c r="CC144"/>
    </row>
    <row r="145" spans="1:81" s="19" customFormat="1">
      <c r="A145" s="108"/>
      <c r="B145" s="5"/>
      <c r="C145" s="1151"/>
      <c r="D145" s="5"/>
      <c r="E145" s="146"/>
      <c r="F145" s="7"/>
      <c r="G145" s="7"/>
      <c r="H145" s="147"/>
      <c r="I145" s="31"/>
      <c r="J145" s="146"/>
      <c r="K145" s="7"/>
      <c r="L145" s="7"/>
      <c r="M145" s="147"/>
      <c r="N145" s="5"/>
      <c r="O145" s="146"/>
      <c r="P145" s="7"/>
      <c r="Q145" s="7"/>
      <c r="R145" s="147"/>
      <c r="S145" s="5"/>
      <c r="T145" s="146"/>
      <c r="U145" s="7"/>
      <c r="V145" s="7"/>
      <c r="W145" s="147"/>
      <c r="X145" s="911"/>
      <c r="Y145" s="146"/>
      <c r="Z145" s="7"/>
      <c r="AA145" s="7"/>
      <c r="AB145" s="147"/>
      <c r="AC145" s="911"/>
      <c r="AD145" s="146"/>
      <c r="AE145" s="7"/>
      <c r="AF145" s="7"/>
      <c r="AG145" s="147"/>
      <c r="AH145" s="911"/>
      <c r="AI145" s="146"/>
      <c r="AJ145" s="7"/>
      <c r="AK145" s="7"/>
      <c r="AL145" s="147"/>
      <c r="AM145" s="911"/>
      <c r="AN145" s="146"/>
      <c r="AO145" s="7"/>
      <c r="AP145" s="7"/>
      <c r="AQ145" s="147"/>
      <c r="AR145" s="911"/>
      <c r="AS145" s="146"/>
      <c r="AT145" s="7"/>
      <c r="AU145" s="7"/>
      <c r="AV145" s="147"/>
      <c r="AW145" s="911"/>
      <c r="AX145" s="146"/>
      <c r="AY145" s="7"/>
      <c r="AZ145" s="7"/>
      <c r="BA145" s="147"/>
      <c r="BB145" s="911"/>
      <c r="BC145" s="146"/>
      <c r="BD145" s="7"/>
      <c r="BE145" s="7"/>
      <c r="BF145" s="147"/>
      <c r="BG145" s="911"/>
      <c r="BH145" s="146"/>
      <c r="BI145" s="7"/>
      <c r="BJ145" s="7"/>
      <c r="BK145" s="147"/>
      <c r="BL145" s="911"/>
      <c r="BM145" s="146"/>
      <c r="BN145" s="7"/>
      <c r="BO145" s="7"/>
      <c r="BP145" s="147"/>
      <c r="BQ145" s="911"/>
      <c r="BR145" s="911"/>
      <c r="BS145" s="1503"/>
      <c r="BT145" s="1503"/>
      <c r="BU145" s="1503"/>
      <c r="BV145" s="1503"/>
      <c r="BW145" s="1493"/>
      <c r="BX145"/>
      <c r="BY145"/>
      <c r="BZ145"/>
      <c r="CA145"/>
      <c r="CB145"/>
      <c r="CC145"/>
    </row>
    <row r="146" spans="1:81" s="19" customFormat="1">
      <c r="A146" s="108"/>
      <c r="B146" s="5"/>
      <c r="C146" s="1151" t="s">
        <v>540</v>
      </c>
      <c r="D146" s="5"/>
      <c r="E146" s="146"/>
      <c r="F146" s="7"/>
      <c r="G146" s="7"/>
      <c r="H146" s="147"/>
      <c r="I146" s="31"/>
      <c r="J146" s="146"/>
      <c r="K146" s="7"/>
      <c r="L146" s="7"/>
      <c r="M146" s="147"/>
      <c r="N146" s="5"/>
      <c r="O146" s="146"/>
      <c r="P146" s="7"/>
      <c r="Q146" s="7"/>
      <c r="R146" s="147"/>
      <c r="S146" s="5"/>
      <c r="T146" s="146"/>
      <c r="U146" s="7"/>
      <c r="V146" s="7"/>
      <c r="W146" s="147"/>
      <c r="X146" s="5"/>
      <c r="Y146" s="146"/>
      <c r="Z146" s="7"/>
      <c r="AA146" s="7"/>
      <c r="AB146" s="147"/>
      <c r="AC146" s="5"/>
      <c r="AD146" s="146"/>
      <c r="AE146" s="7"/>
      <c r="AF146" s="7"/>
      <c r="AG146" s="147"/>
      <c r="AH146" s="83"/>
      <c r="AI146" s="146"/>
      <c r="AJ146" s="7"/>
      <c r="AK146" s="7"/>
      <c r="AL146" s="147"/>
      <c r="AM146" s="5"/>
      <c r="AN146" s="146"/>
      <c r="AO146" s="7"/>
      <c r="AP146" s="7"/>
      <c r="AQ146" s="147"/>
      <c r="AR146" s="5"/>
      <c r="AS146" s="146"/>
      <c r="AT146" s="7"/>
      <c r="AU146" s="7"/>
      <c r="AV146" s="147"/>
      <c r="AW146" s="5"/>
      <c r="AX146" s="146"/>
      <c r="AY146" s="7"/>
      <c r="AZ146" s="7"/>
      <c r="BA146" s="147"/>
      <c r="BB146" s="5"/>
      <c r="BC146" s="146"/>
      <c r="BD146" s="7"/>
      <c r="BE146" s="7"/>
      <c r="BF146" s="147"/>
      <c r="BG146" s="5"/>
      <c r="BH146" s="146"/>
      <c r="BI146" s="7"/>
      <c r="BJ146" s="7"/>
      <c r="BK146" s="147"/>
      <c r="BL146" s="5"/>
      <c r="BM146" s="146"/>
      <c r="BN146" s="7"/>
      <c r="BO146" s="7"/>
      <c r="BP146" s="147"/>
      <c r="BQ146" s="5"/>
      <c r="BR146" s="5"/>
      <c r="BS146" s="1503"/>
      <c r="BT146" s="1503"/>
      <c r="BU146" s="1503"/>
      <c r="BV146" s="1503"/>
      <c r="BW146" s="1493"/>
      <c r="BX146"/>
      <c r="BY146"/>
      <c r="BZ146"/>
      <c r="CA146"/>
      <c r="CB146"/>
      <c r="CC146"/>
    </row>
    <row r="147" spans="1:81" s="19" customFormat="1">
      <c r="A147" s="108"/>
      <c r="B147" s="5"/>
      <c r="C147" s="1125" t="s">
        <v>856</v>
      </c>
      <c r="D147" s="5"/>
      <c r="E147" s="146"/>
      <c r="F147" s="7"/>
      <c r="G147" s="7"/>
      <c r="H147" s="147"/>
      <c r="I147" s="31"/>
      <c r="J147" s="146"/>
      <c r="K147" s="7"/>
      <c r="L147" s="7"/>
      <c r="M147" s="147"/>
      <c r="N147" s="5"/>
      <c r="O147" s="146"/>
      <c r="P147" s="7"/>
      <c r="Q147" s="7"/>
      <c r="R147" s="147"/>
      <c r="S147" s="5"/>
      <c r="T147" s="220"/>
      <c r="U147" s="221"/>
      <c r="V147" s="221"/>
      <c r="W147" s="222"/>
      <c r="X147" s="916"/>
      <c r="Y147" s="220">
        <f>Y195</f>
        <v>9741.6018000000004</v>
      </c>
      <c r="Z147" s="221">
        <f>Z195</f>
        <v>9741.6018000000004</v>
      </c>
      <c r="AA147" s="221">
        <f>AA195</f>
        <v>9741.6018000000004</v>
      </c>
      <c r="AB147" s="222">
        <f>AB195</f>
        <v>9741.6018000000004</v>
      </c>
      <c r="AC147" s="916">
        <f>SUM(Y147:AB147)</f>
        <v>38966.407200000001</v>
      </c>
      <c r="AD147" s="220">
        <f>AD195</f>
        <v>9741.6018000000004</v>
      </c>
      <c r="AE147" s="221">
        <f>AE195</f>
        <v>9741.6018000000004</v>
      </c>
      <c r="AF147" s="221">
        <f>AF195</f>
        <v>9741.6018000000004</v>
      </c>
      <c r="AG147" s="222">
        <f>AG195</f>
        <v>9741.6018000000004</v>
      </c>
      <c r="AH147" s="916">
        <f>SUM(AD147:AG147)</f>
        <v>38966.407200000001</v>
      </c>
      <c r="AI147" s="220">
        <f>AI195</f>
        <v>8562.3963000000003</v>
      </c>
      <c r="AJ147" s="221">
        <f>AJ195</f>
        <v>8562.3963000000003</v>
      </c>
      <c r="AK147" s="221">
        <f>AK195</f>
        <v>8562.3963000000003</v>
      </c>
      <c r="AL147" s="222">
        <f>AL195</f>
        <v>8562.3963000000003</v>
      </c>
      <c r="AM147" s="916">
        <f>SUM(AI147:AL147)</f>
        <v>34249.585200000001</v>
      </c>
      <c r="AN147" s="220">
        <f>AN195</f>
        <v>9014.0619000000006</v>
      </c>
      <c r="AO147" s="221">
        <f>AO195</f>
        <v>9014.0619000000006</v>
      </c>
      <c r="AP147" s="221">
        <f>AP195</f>
        <v>9014.0619000000006</v>
      </c>
      <c r="AQ147" s="222">
        <f>AQ195</f>
        <v>9014.0619000000006</v>
      </c>
      <c r="AR147" s="916">
        <f>SUM(AN147:AQ147)</f>
        <v>36056.247600000002</v>
      </c>
      <c r="AS147" s="220">
        <f>AS195</f>
        <v>6929.0505000000003</v>
      </c>
      <c r="AT147" s="221">
        <f>AT195</f>
        <v>6929.0505000000003</v>
      </c>
      <c r="AU147" s="221">
        <f t="shared" ref="AU147" si="433">AU195</f>
        <v>6929.0505000000003</v>
      </c>
      <c r="AV147" s="222">
        <f>AV195</f>
        <v>6929.0505000000003</v>
      </c>
      <c r="AW147" s="916">
        <f>SUM(AS147:AV147)</f>
        <v>27716.202000000001</v>
      </c>
      <c r="AX147" s="220">
        <f>AX195</f>
        <v>6929.0505000000003</v>
      </c>
      <c r="AY147" s="221">
        <f>AY195</f>
        <v>6929.0505000000003</v>
      </c>
      <c r="AZ147" s="221">
        <f>AZ195</f>
        <v>6929.0505000000003</v>
      </c>
      <c r="BA147" s="222">
        <f>BA195</f>
        <v>6929.0505000000003</v>
      </c>
      <c r="BB147" s="916">
        <f>SUM(AX147:BA147)</f>
        <v>27716.202000000001</v>
      </c>
      <c r="BC147" s="220">
        <f>BC195</f>
        <v>6687.537299999999</v>
      </c>
      <c r="BD147" s="221">
        <f>BD195</f>
        <v>6260.6332999999995</v>
      </c>
      <c r="BE147" s="221">
        <f>BE195</f>
        <v>5406.8252999999995</v>
      </c>
      <c r="BF147" s="222">
        <f>BF195</f>
        <v>5406.8252999999995</v>
      </c>
      <c r="BG147" s="916">
        <f>SUM(BC147:BF147)</f>
        <v>23761.821199999998</v>
      </c>
      <c r="BH147" s="220">
        <f>BH195</f>
        <v>5406.8252999999995</v>
      </c>
      <c r="BI147" s="221">
        <f>BI195</f>
        <v>4123.0108</v>
      </c>
      <c r="BJ147" s="221">
        <f>BJ195</f>
        <v>3481.1035499999998</v>
      </c>
      <c r="BK147" s="222">
        <f>BK195</f>
        <v>3481.1035499999998</v>
      </c>
      <c r="BL147" s="916">
        <f>SUM(BH147:BK147)</f>
        <v>16492.0432</v>
      </c>
      <c r="BM147" s="220">
        <f>BM195</f>
        <v>3481.1035499999998</v>
      </c>
      <c r="BN147" s="221">
        <f>BN195</f>
        <v>2839.1962999999996</v>
      </c>
      <c r="BO147" s="221">
        <f>BO195</f>
        <v>1555.3818000000001</v>
      </c>
      <c r="BP147" s="222">
        <f>BP195</f>
        <v>1555.3818000000001</v>
      </c>
      <c r="BQ147" s="916">
        <f>SUM(BM147:BP147)</f>
        <v>9431.0634499999996</v>
      </c>
      <c r="BR147" s="916"/>
      <c r="BS147" s="1503"/>
      <c r="BT147" s="1503"/>
      <c r="BU147" s="1503"/>
      <c r="BV147" s="1503"/>
      <c r="BW147" s="1493"/>
      <c r="BX147"/>
      <c r="BY147"/>
      <c r="BZ147"/>
      <c r="CA147"/>
      <c r="CB147"/>
      <c r="CC147"/>
    </row>
    <row r="148" spans="1:81" s="19" customFormat="1">
      <c r="A148" s="108"/>
      <c r="B148" s="5"/>
      <c r="C148" s="1125" t="s">
        <v>561</v>
      </c>
      <c r="D148" s="5"/>
      <c r="E148" s="146"/>
      <c r="F148" s="7"/>
      <c r="G148" s="7"/>
      <c r="H148" s="147"/>
      <c r="I148" s="31"/>
      <c r="J148" s="146"/>
      <c r="K148" s="7"/>
      <c r="L148" s="7"/>
      <c r="M148" s="147"/>
      <c r="N148" s="5"/>
      <c r="O148" s="146"/>
      <c r="P148" s="7"/>
      <c r="Q148" s="7"/>
      <c r="R148" s="147"/>
      <c r="S148" s="5"/>
      <c r="T148" s="220"/>
      <c r="U148" s="221"/>
      <c r="V148" s="221"/>
      <c r="W148" s="222"/>
      <c r="X148" s="916"/>
      <c r="Y148" s="220">
        <f>Y277+Y297+Y311</f>
        <v>1180.6289999999999</v>
      </c>
      <c r="Z148" s="221">
        <f>Z277+Z297+Z311</f>
        <v>872.38650000000007</v>
      </c>
      <c r="AA148" s="221">
        <f>AA277+AA297+AA311</f>
        <v>1180.6289999999999</v>
      </c>
      <c r="AB148" s="222">
        <f>AB277+AB297+AB311</f>
        <v>1180.6289999999999</v>
      </c>
      <c r="AC148" s="916">
        <f>SUM(Y148:AB148)</f>
        <v>4414.2734999999993</v>
      </c>
      <c r="AD148" s="220">
        <f>AD277+AD297+AD311</f>
        <v>1180.6289999999999</v>
      </c>
      <c r="AE148" s="221">
        <f>AE277+AE297+AE311</f>
        <v>872.38650000000007</v>
      </c>
      <c r="AF148" s="221">
        <f>AF277+AF297+AF311</f>
        <v>872.38650000000007</v>
      </c>
      <c r="AG148" s="222">
        <f>AG277+AG297+AG311</f>
        <v>872.38650000000007</v>
      </c>
      <c r="AH148" s="916">
        <f>SUM(AD148:AG148)</f>
        <v>3797.7885000000001</v>
      </c>
      <c r="AI148" s="220">
        <f>AI277+AI297+AI311</f>
        <v>1180.6289999999999</v>
      </c>
      <c r="AJ148" s="221">
        <f>AJ277+AJ297+AJ311</f>
        <v>1110.6585</v>
      </c>
      <c r="AK148" s="221">
        <f>AK277+AK297+AK311</f>
        <v>1180.6289999999999</v>
      </c>
      <c r="AL148" s="222">
        <f>AL277+AL297+AL311</f>
        <v>1110.6585</v>
      </c>
      <c r="AM148" s="916">
        <f>SUM(AI148:AL148)</f>
        <v>4582.5749999999998</v>
      </c>
      <c r="AN148" s="220">
        <f>AN277+AN297+AN311</f>
        <v>518.154</v>
      </c>
      <c r="AO148" s="221">
        <f>AO277+AO297+AO311</f>
        <v>518.154</v>
      </c>
      <c r="AP148" s="221">
        <f>AP277+AP297+AP311</f>
        <v>209.91150000000002</v>
      </c>
      <c r="AQ148" s="222">
        <f>AQ277+AQ297+AQ311</f>
        <v>209.91150000000002</v>
      </c>
      <c r="AR148" s="916">
        <f>SUM(AN148:AQ148)</f>
        <v>1456.1309999999999</v>
      </c>
      <c r="AS148" s="220">
        <f>AS277+AS297+AS311</f>
        <v>209.91150000000002</v>
      </c>
      <c r="AT148" s="221">
        <f>AT277+AT297+AT311</f>
        <v>209.91150000000002</v>
      </c>
      <c r="AU148" s="221">
        <f t="shared" ref="AU148" si="434">AU277+AU297+AU311</f>
        <v>448.18350000000004</v>
      </c>
      <c r="AV148" s="222">
        <f>AV277+AV297+AV311</f>
        <v>448.18350000000004</v>
      </c>
      <c r="AW148" s="916">
        <f>SUM(AS148:AV148)</f>
        <v>1316.19</v>
      </c>
      <c r="AX148" s="220">
        <f>AX277+AX297+AX311</f>
        <v>518.154</v>
      </c>
      <c r="AY148" s="221">
        <f>AY277+AY297+AY311</f>
        <v>518.154</v>
      </c>
      <c r="AZ148" s="221">
        <f>AZ277+AZ297+AZ311</f>
        <v>518.154</v>
      </c>
      <c r="BA148" s="222">
        <f>BA277+BA297+BA311</f>
        <v>518.154</v>
      </c>
      <c r="BB148" s="916">
        <f>SUM(AX148:BA148)</f>
        <v>2072.616</v>
      </c>
      <c r="BC148" s="220">
        <f>BC277+BC297+BC311</f>
        <v>518.154</v>
      </c>
      <c r="BD148" s="221">
        <f>BD277+BD297+BD311</f>
        <v>518.154</v>
      </c>
      <c r="BE148" s="221">
        <f>BE277+BE297+BE311</f>
        <v>518.154</v>
      </c>
      <c r="BF148" s="222">
        <f>BF277+BF297+BF311</f>
        <v>279.88200000000001</v>
      </c>
      <c r="BG148" s="916">
        <f>SUM(BC148:BF148)</f>
        <v>1834.3440000000001</v>
      </c>
      <c r="BH148" s="220">
        <f>BH277+BH297+BH311</f>
        <v>518.154</v>
      </c>
      <c r="BI148" s="221">
        <f>BI277+BI297+BI311</f>
        <v>518.154</v>
      </c>
      <c r="BJ148" s="221">
        <f>BJ277+BJ297+BJ311</f>
        <v>518.154</v>
      </c>
      <c r="BK148" s="222">
        <f>BK277+BK297+BK311</f>
        <v>279.88200000000001</v>
      </c>
      <c r="BL148" s="916">
        <f>SUM(BH148:BK148)</f>
        <v>1834.3440000000001</v>
      </c>
      <c r="BM148" s="220">
        <f>BM277+BM297+BM311</f>
        <v>518.154</v>
      </c>
      <c r="BN148" s="221">
        <f>BN277+BN297+BN311</f>
        <v>518.154</v>
      </c>
      <c r="BO148" s="221">
        <f>BO277+BO297+BO311</f>
        <v>518.154</v>
      </c>
      <c r="BP148" s="222">
        <f>BP277+BP297+BP311</f>
        <v>518.154</v>
      </c>
      <c r="BQ148" s="916">
        <f>SUM(BM148:BP148)</f>
        <v>2072.616</v>
      </c>
      <c r="BR148" s="916"/>
      <c r="BS148" s="1503"/>
      <c r="BT148" s="1503"/>
      <c r="BU148" s="1503"/>
      <c r="BV148" s="1503"/>
      <c r="BW148" s="1493"/>
      <c r="BX148"/>
      <c r="BY148"/>
      <c r="BZ148"/>
      <c r="CA148"/>
      <c r="CB148"/>
      <c r="CC148"/>
    </row>
    <row r="149" spans="1:81" s="19" customFormat="1">
      <c r="A149" s="108"/>
      <c r="B149" s="5"/>
      <c r="C149" s="1125" t="s">
        <v>541</v>
      </c>
      <c r="D149" s="5"/>
      <c r="E149" s="146"/>
      <c r="F149" s="7"/>
      <c r="G149" s="7"/>
      <c r="H149" s="147"/>
      <c r="I149" s="31"/>
      <c r="J149" s="146"/>
      <c r="K149" s="7"/>
      <c r="L149" s="7"/>
      <c r="M149" s="147"/>
      <c r="N149" s="5"/>
      <c r="O149" s="146"/>
      <c r="P149" s="7"/>
      <c r="Q149" s="7"/>
      <c r="R149" s="147"/>
      <c r="S149" s="5"/>
      <c r="T149" s="177"/>
      <c r="U149" s="178"/>
      <c r="V149" s="178"/>
      <c r="W149" s="179"/>
      <c r="X149" s="916"/>
      <c r="Y149" s="177">
        <f>Y326</f>
        <v>158.55600000000001</v>
      </c>
      <c r="Z149" s="178">
        <f>Z326</f>
        <v>158.55600000000001</v>
      </c>
      <c r="AA149" s="178">
        <f>AA326</f>
        <v>158.55600000000001</v>
      </c>
      <c r="AB149" s="179">
        <f>AB326</f>
        <v>158.55600000000001</v>
      </c>
      <c r="AC149" s="916">
        <f>SUM(Y149:AB149)</f>
        <v>634.22400000000005</v>
      </c>
      <c r="AD149" s="177">
        <f>AD326</f>
        <v>158.55600000000001</v>
      </c>
      <c r="AE149" s="178">
        <f>AE326</f>
        <v>158.55600000000001</v>
      </c>
      <c r="AF149" s="178">
        <f>AF326</f>
        <v>158.55600000000001</v>
      </c>
      <c r="AG149" s="179">
        <f>AG326</f>
        <v>158.55600000000001</v>
      </c>
      <c r="AH149" s="916">
        <f>SUM(AD149:AG149)</f>
        <v>634.22400000000005</v>
      </c>
      <c r="AI149" s="177">
        <f>AI326</f>
        <v>158.55600000000001</v>
      </c>
      <c r="AJ149" s="178">
        <f>AJ326</f>
        <v>158.55600000000001</v>
      </c>
      <c r="AK149" s="178">
        <f>AK326</f>
        <v>158.55600000000001</v>
      </c>
      <c r="AL149" s="179">
        <f>AL326</f>
        <v>158.55600000000001</v>
      </c>
      <c r="AM149" s="916">
        <f>SUM(AI149:AL149)</f>
        <v>634.22400000000005</v>
      </c>
      <c r="AN149" s="177">
        <f>AN326</f>
        <v>158.55600000000001</v>
      </c>
      <c r="AO149" s="178">
        <f>AO326</f>
        <v>158.55600000000001</v>
      </c>
      <c r="AP149" s="178">
        <f>AP326</f>
        <v>158.55600000000001</v>
      </c>
      <c r="AQ149" s="179">
        <f>AQ326</f>
        <v>158.55600000000001</v>
      </c>
      <c r="AR149" s="916">
        <f>SUM(AN149:AQ149)</f>
        <v>634.22400000000005</v>
      </c>
      <c r="AS149" s="177">
        <f>AS326</f>
        <v>158.55600000000001</v>
      </c>
      <c r="AT149" s="178">
        <f>AT326</f>
        <v>158.55600000000001</v>
      </c>
      <c r="AU149" s="178">
        <f t="shared" ref="AU149" si="435">AU326</f>
        <v>158.55600000000001</v>
      </c>
      <c r="AV149" s="179">
        <f>AV326</f>
        <v>158.55600000000001</v>
      </c>
      <c r="AW149" s="916">
        <f>SUM(AS149:AV149)</f>
        <v>634.22400000000005</v>
      </c>
      <c r="AX149" s="177">
        <f>AX326</f>
        <v>158.55600000000001</v>
      </c>
      <c r="AY149" s="178">
        <f>AY326</f>
        <v>158.55600000000001</v>
      </c>
      <c r="AZ149" s="178">
        <f>AZ326</f>
        <v>158.55600000000001</v>
      </c>
      <c r="BA149" s="179">
        <f>BA326</f>
        <v>158.55600000000001</v>
      </c>
      <c r="BB149" s="916">
        <f>SUM(AX149:BA149)</f>
        <v>634.22400000000005</v>
      </c>
      <c r="BC149" s="177">
        <f>BC326</f>
        <v>158.55600000000001</v>
      </c>
      <c r="BD149" s="178">
        <f>BD326</f>
        <v>158.55600000000001</v>
      </c>
      <c r="BE149" s="178">
        <f>BE326</f>
        <v>158.55600000000001</v>
      </c>
      <c r="BF149" s="179">
        <f>BF326</f>
        <v>158.55600000000001</v>
      </c>
      <c r="BG149" s="916">
        <f>SUM(BC149:BF149)</f>
        <v>634.22400000000005</v>
      </c>
      <c r="BH149" s="177">
        <f>BH326</f>
        <v>158.55600000000001</v>
      </c>
      <c r="BI149" s="178">
        <f>BI326</f>
        <v>158.55600000000001</v>
      </c>
      <c r="BJ149" s="178">
        <f>BJ326</f>
        <v>158.55600000000001</v>
      </c>
      <c r="BK149" s="179">
        <f>BK326</f>
        <v>158.55600000000001</v>
      </c>
      <c r="BL149" s="916">
        <f>SUM(BH149:BK149)</f>
        <v>634.22400000000005</v>
      </c>
      <c r="BM149" s="177">
        <f>BM326</f>
        <v>158.55600000000001</v>
      </c>
      <c r="BN149" s="178">
        <f>BN326</f>
        <v>158.55600000000001</v>
      </c>
      <c r="BO149" s="178">
        <f>BO326</f>
        <v>158.55600000000001</v>
      </c>
      <c r="BP149" s="179">
        <f>BP326</f>
        <v>158.55600000000001</v>
      </c>
      <c r="BQ149" s="916">
        <f>SUM(BM149:BP149)</f>
        <v>634.22400000000005</v>
      </c>
      <c r="BR149" s="916"/>
      <c r="BS149" s="1503"/>
      <c r="BT149" s="1503"/>
      <c r="BU149" s="1503"/>
      <c r="BV149" s="1503"/>
      <c r="BW149" s="1493"/>
      <c r="BX149"/>
      <c r="BY149"/>
      <c r="BZ149"/>
      <c r="CA149"/>
      <c r="CB149"/>
      <c r="CC149"/>
    </row>
    <row r="150" spans="1:81" s="19" customFormat="1">
      <c r="A150" s="108"/>
      <c r="B150" s="5"/>
      <c r="C150" s="1125" t="s">
        <v>537</v>
      </c>
      <c r="D150" s="5"/>
      <c r="E150" s="146"/>
      <c r="F150" s="7"/>
      <c r="G150" s="7"/>
      <c r="H150" s="147"/>
      <c r="I150" s="31"/>
      <c r="J150" s="146"/>
      <c r="K150" s="7"/>
      <c r="L150" s="7"/>
      <c r="M150" s="147"/>
      <c r="N150" s="5"/>
      <c r="O150" s="146"/>
      <c r="P150" s="7"/>
      <c r="Q150" s="7"/>
      <c r="R150" s="147"/>
      <c r="S150" s="5"/>
      <c r="T150" s="220"/>
      <c r="U150" s="221"/>
      <c r="V150" s="221"/>
      <c r="W150" s="222"/>
      <c r="X150" s="916"/>
      <c r="Y150" s="220">
        <f>Y346</f>
        <v>61.32</v>
      </c>
      <c r="Z150" s="221">
        <f>Z346</f>
        <v>61.32</v>
      </c>
      <c r="AA150" s="221">
        <f>AA346</f>
        <v>61.32</v>
      </c>
      <c r="AB150" s="222">
        <f>AB346</f>
        <v>61.32</v>
      </c>
      <c r="AC150" s="916">
        <f>SUM(Y150:AB150)</f>
        <v>245.28</v>
      </c>
      <c r="AD150" s="220">
        <f>AD346</f>
        <v>61.320000000000007</v>
      </c>
      <c r="AE150" s="221">
        <f>AE346</f>
        <v>61.320000000000007</v>
      </c>
      <c r="AF150" s="221">
        <f>AF346</f>
        <v>61.320000000000007</v>
      </c>
      <c r="AG150" s="222">
        <f>AG346</f>
        <v>61.320000000000007</v>
      </c>
      <c r="AH150" s="916">
        <f>SUM(AD150:AG150)</f>
        <v>245.28000000000003</v>
      </c>
      <c r="AI150" s="220">
        <f>AI346</f>
        <v>61.320000000000014</v>
      </c>
      <c r="AJ150" s="221">
        <f>AJ346</f>
        <v>61.320000000000014</v>
      </c>
      <c r="AK150" s="221">
        <f>AK346</f>
        <v>61.320000000000014</v>
      </c>
      <c r="AL150" s="222">
        <f>AL346</f>
        <v>61.320000000000014</v>
      </c>
      <c r="AM150" s="916">
        <f>SUM(AI150:AL150)</f>
        <v>245.28000000000006</v>
      </c>
      <c r="AN150" s="220">
        <f>AN346</f>
        <v>61.320000000000014</v>
      </c>
      <c r="AO150" s="221">
        <f>AO346</f>
        <v>61.320000000000014</v>
      </c>
      <c r="AP150" s="221">
        <f>AP346</f>
        <v>61.320000000000014</v>
      </c>
      <c r="AQ150" s="222">
        <f>AQ346</f>
        <v>61.320000000000014</v>
      </c>
      <c r="AR150" s="916">
        <f>SUM(AN150:AQ150)</f>
        <v>245.28000000000006</v>
      </c>
      <c r="AS150" s="220">
        <f>AS346</f>
        <v>61.320000000000014</v>
      </c>
      <c r="AT150" s="221">
        <f>AT346</f>
        <v>61.320000000000014</v>
      </c>
      <c r="AU150" s="221">
        <f t="shared" ref="AU150" si="436">AU346</f>
        <v>61.320000000000014</v>
      </c>
      <c r="AV150" s="222">
        <f>AV346</f>
        <v>61.320000000000014</v>
      </c>
      <c r="AW150" s="916">
        <f>SUM(AS150:AV150)</f>
        <v>245.28000000000006</v>
      </c>
      <c r="AX150" s="220">
        <f>AX346</f>
        <v>61.320000000000014</v>
      </c>
      <c r="AY150" s="221">
        <f>AY346</f>
        <v>61.320000000000014</v>
      </c>
      <c r="AZ150" s="221">
        <f>AZ346</f>
        <v>61.320000000000014</v>
      </c>
      <c r="BA150" s="222">
        <f>BA346</f>
        <v>61.320000000000014</v>
      </c>
      <c r="BB150" s="916">
        <f>SUM(AX150:BA150)</f>
        <v>245.28000000000006</v>
      </c>
      <c r="BC150" s="220">
        <f>BC346</f>
        <v>61.320000000000014</v>
      </c>
      <c r="BD150" s="221">
        <f>BD346</f>
        <v>61.320000000000014</v>
      </c>
      <c r="BE150" s="221">
        <f>BE346</f>
        <v>61.320000000000014</v>
      </c>
      <c r="BF150" s="222">
        <f>BF346</f>
        <v>61.320000000000014</v>
      </c>
      <c r="BG150" s="916">
        <f>SUM(BC150:BF150)</f>
        <v>245.28000000000006</v>
      </c>
      <c r="BH150" s="220">
        <f>BH346</f>
        <v>61.320000000000014</v>
      </c>
      <c r="BI150" s="221">
        <f>BI346</f>
        <v>61.320000000000014</v>
      </c>
      <c r="BJ150" s="221">
        <f>BJ346</f>
        <v>61.320000000000014</v>
      </c>
      <c r="BK150" s="222">
        <f>BK346</f>
        <v>61.320000000000014</v>
      </c>
      <c r="BL150" s="916">
        <f>SUM(BH150:BK150)</f>
        <v>245.28000000000006</v>
      </c>
      <c r="BM150" s="220">
        <f>BM346</f>
        <v>61.320000000000014</v>
      </c>
      <c r="BN150" s="221">
        <f>BN346</f>
        <v>61.320000000000014</v>
      </c>
      <c r="BO150" s="221">
        <f>BO346</f>
        <v>61.320000000000014</v>
      </c>
      <c r="BP150" s="222">
        <f>BP346</f>
        <v>61.320000000000014</v>
      </c>
      <c r="BQ150" s="916">
        <f>SUM(BM150:BP150)</f>
        <v>245.28000000000006</v>
      </c>
      <c r="BR150" s="916"/>
      <c r="BS150" s="1503"/>
      <c r="BT150" s="1503"/>
      <c r="BU150" s="1503"/>
      <c r="BV150" s="1503"/>
      <c r="BW150" s="1493"/>
      <c r="BX150"/>
      <c r="BY150"/>
      <c r="BZ150"/>
      <c r="CA150"/>
      <c r="CB150"/>
      <c r="CC150"/>
    </row>
    <row r="151" spans="1:81" s="19" customFormat="1">
      <c r="A151" s="108"/>
      <c r="B151" s="36"/>
      <c r="C151" s="1148" t="s">
        <v>617</v>
      </c>
      <c r="D151" s="36"/>
      <c r="E151" s="122"/>
      <c r="F151" s="123"/>
      <c r="G151" s="123"/>
      <c r="H151" s="915"/>
      <c r="I151" s="36"/>
      <c r="J151" s="122"/>
      <c r="K151" s="123"/>
      <c r="L151" s="123"/>
      <c r="M151" s="915"/>
      <c r="N151" s="36"/>
      <c r="O151" s="122"/>
      <c r="P151" s="123"/>
      <c r="Q151" s="123"/>
      <c r="R151" s="915"/>
      <c r="S151" s="36"/>
      <c r="T151" s="200"/>
      <c r="U151" s="201"/>
      <c r="V151" s="201"/>
      <c r="W151" s="202"/>
      <c r="X151" s="86"/>
      <c r="Y151" s="200">
        <f t="shared" ref="Y151:AR151" si="437">SUM(Y147:Y150)</f>
        <v>11142.106800000001</v>
      </c>
      <c r="Z151" s="201">
        <f t="shared" si="437"/>
        <v>10833.864300000001</v>
      </c>
      <c r="AA151" s="201">
        <f t="shared" si="437"/>
        <v>11142.106800000001</v>
      </c>
      <c r="AB151" s="202">
        <f t="shared" si="437"/>
        <v>11142.106800000001</v>
      </c>
      <c r="AC151" s="86">
        <f t="shared" si="437"/>
        <v>44260.184699999998</v>
      </c>
      <c r="AD151" s="200">
        <f t="shared" si="437"/>
        <v>11142.106800000001</v>
      </c>
      <c r="AE151" s="201">
        <f t="shared" si="437"/>
        <v>10833.864300000001</v>
      </c>
      <c r="AF151" s="201">
        <f t="shared" si="437"/>
        <v>10833.864300000001</v>
      </c>
      <c r="AG151" s="202">
        <f t="shared" si="437"/>
        <v>10833.864300000001</v>
      </c>
      <c r="AH151" s="86">
        <f t="shared" si="437"/>
        <v>43643.699700000005</v>
      </c>
      <c r="AI151" s="200">
        <f t="shared" si="437"/>
        <v>9962.9013000000014</v>
      </c>
      <c r="AJ151" s="201">
        <f t="shared" si="437"/>
        <v>9892.9308000000001</v>
      </c>
      <c r="AK151" s="201">
        <f t="shared" si="437"/>
        <v>9962.9013000000014</v>
      </c>
      <c r="AL151" s="202">
        <f t="shared" si="437"/>
        <v>9892.9308000000001</v>
      </c>
      <c r="AM151" s="86">
        <f t="shared" si="437"/>
        <v>39711.664199999999</v>
      </c>
      <c r="AN151" s="200">
        <f t="shared" ref="AN151" si="438">SUM(AN147:AN150)</f>
        <v>9752.0919000000013</v>
      </c>
      <c r="AO151" s="201">
        <f t="shared" si="437"/>
        <v>9752.0919000000013</v>
      </c>
      <c r="AP151" s="201">
        <f t="shared" ref="AP151" si="439">SUM(AP147:AP150)</f>
        <v>9443.849400000001</v>
      </c>
      <c r="AQ151" s="202">
        <f t="shared" si="437"/>
        <v>9443.849400000001</v>
      </c>
      <c r="AR151" s="86">
        <f t="shared" si="437"/>
        <v>38391.882600000004</v>
      </c>
      <c r="AS151" s="200">
        <f t="shared" ref="AS151:BB151" si="440">SUM(AS147:AS150)</f>
        <v>7358.8379999999997</v>
      </c>
      <c r="AT151" s="201">
        <f t="shared" si="440"/>
        <v>7358.8379999999997</v>
      </c>
      <c r="AU151" s="201">
        <f t="shared" ref="AU151" si="441">SUM(AU147:AU150)</f>
        <v>7597.11</v>
      </c>
      <c r="AV151" s="202">
        <f t="shared" si="440"/>
        <v>7597.11</v>
      </c>
      <c r="AW151" s="86">
        <f t="shared" si="440"/>
        <v>29911.895999999997</v>
      </c>
      <c r="AX151" s="200">
        <f t="shared" si="440"/>
        <v>7667.0804999999991</v>
      </c>
      <c r="AY151" s="201">
        <f t="shared" si="440"/>
        <v>7667.0804999999991</v>
      </c>
      <c r="AZ151" s="201">
        <f t="shared" si="440"/>
        <v>7667.0804999999991</v>
      </c>
      <c r="BA151" s="202">
        <f t="shared" si="440"/>
        <v>7667.0804999999991</v>
      </c>
      <c r="BB151" s="86">
        <f t="shared" si="440"/>
        <v>30668.321999999996</v>
      </c>
      <c r="BC151" s="200">
        <f t="shared" ref="BC151:BL151" si="442">SUM(BC147:BC150)</f>
        <v>7425.5672999999979</v>
      </c>
      <c r="BD151" s="201">
        <f t="shared" si="442"/>
        <v>6998.6632999999993</v>
      </c>
      <c r="BE151" s="201">
        <f t="shared" si="442"/>
        <v>6144.8552999999984</v>
      </c>
      <c r="BF151" s="202">
        <f t="shared" si="442"/>
        <v>5906.5832999999984</v>
      </c>
      <c r="BG151" s="86">
        <f t="shared" si="442"/>
        <v>26475.669199999997</v>
      </c>
      <c r="BH151" s="200">
        <f t="shared" si="442"/>
        <v>6144.8552999999984</v>
      </c>
      <c r="BI151" s="201">
        <f t="shared" si="442"/>
        <v>4861.0407999999998</v>
      </c>
      <c r="BJ151" s="201">
        <f t="shared" si="442"/>
        <v>4219.1335499999996</v>
      </c>
      <c r="BK151" s="202">
        <f t="shared" si="442"/>
        <v>3980.8615500000001</v>
      </c>
      <c r="BL151" s="86">
        <f t="shared" si="442"/>
        <v>19205.891199999998</v>
      </c>
      <c r="BM151" s="200">
        <f t="shared" ref="BM151:BQ151" si="443">SUM(BM147:BM150)</f>
        <v>4219.1335499999996</v>
      </c>
      <c r="BN151" s="201">
        <f t="shared" si="443"/>
        <v>3577.2262999999998</v>
      </c>
      <c r="BO151" s="201">
        <f t="shared" si="443"/>
        <v>2293.4118000000003</v>
      </c>
      <c r="BP151" s="202">
        <f t="shared" si="443"/>
        <v>2293.4118000000003</v>
      </c>
      <c r="BQ151" s="86">
        <f t="shared" si="443"/>
        <v>12383.18345</v>
      </c>
      <c r="BR151" s="86"/>
      <c r="BS151" s="1503"/>
      <c r="BT151" s="1503"/>
      <c r="BU151" s="1503"/>
      <c r="BV151" s="1503"/>
      <c r="BW151" s="1493"/>
      <c r="BX151"/>
      <c r="BY151"/>
      <c r="BZ151"/>
      <c r="CA151"/>
      <c r="CB151"/>
      <c r="CC151"/>
    </row>
    <row r="152" spans="1:81" s="19" customFormat="1">
      <c r="A152" s="108"/>
      <c r="B152" s="5"/>
      <c r="C152" s="1151"/>
      <c r="D152" s="5"/>
      <c r="E152" s="146"/>
      <c r="F152" s="7"/>
      <c r="G152" s="7"/>
      <c r="H152" s="147"/>
      <c r="I152" s="31"/>
      <c r="J152" s="146"/>
      <c r="K152" s="7"/>
      <c r="L152" s="7"/>
      <c r="M152" s="147"/>
      <c r="N152" s="5"/>
      <c r="O152" s="146"/>
      <c r="P152" s="7"/>
      <c r="Q152" s="7"/>
      <c r="R152" s="147"/>
      <c r="S152" s="5"/>
      <c r="T152" s="324"/>
      <c r="U152" s="325"/>
      <c r="V152" s="913"/>
      <c r="W152" s="914"/>
      <c r="X152" s="911"/>
      <c r="Y152" s="324"/>
      <c r="Z152" s="913"/>
      <c r="AA152" s="913"/>
      <c r="AB152" s="914"/>
      <c r="AC152" s="911"/>
      <c r="AD152" s="324"/>
      <c r="AE152" s="913"/>
      <c r="AF152" s="913"/>
      <c r="AG152" s="914"/>
      <c r="AH152" s="911"/>
      <c r="AI152" s="324"/>
      <c r="AJ152" s="913"/>
      <c r="AK152" s="913"/>
      <c r="AL152" s="914"/>
      <c r="AM152" s="911"/>
      <c r="AN152" s="324"/>
      <c r="AO152" s="913"/>
      <c r="AP152" s="913"/>
      <c r="AQ152" s="914"/>
      <c r="AR152" s="911"/>
      <c r="AS152" s="324"/>
      <c r="AT152" s="913"/>
      <c r="AU152" s="913"/>
      <c r="AV152" s="914"/>
      <c r="AW152" s="911"/>
      <c r="AX152" s="324"/>
      <c r="AY152" s="913"/>
      <c r="AZ152" s="913"/>
      <c r="BA152" s="914"/>
      <c r="BB152" s="911"/>
      <c r="BC152" s="324"/>
      <c r="BD152" s="913"/>
      <c r="BE152" s="913"/>
      <c r="BF152" s="914"/>
      <c r="BG152" s="911"/>
      <c r="BH152" s="324"/>
      <c r="BI152" s="913"/>
      <c r="BJ152" s="913"/>
      <c r="BK152" s="914"/>
      <c r="BL152" s="911"/>
      <c r="BM152" s="324"/>
      <c r="BN152" s="913"/>
      <c r="BO152" s="913"/>
      <c r="BP152" s="914"/>
      <c r="BQ152" s="911"/>
      <c r="BR152" s="911"/>
      <c r="BS152" s="1503"/>
      <c r="BT152" s="1503"/>
      <c r="BU152" s="1503"/>
      <c r="BV152" s="1503"/>
      <c r="BW152" s="1493"/>
      <c r="BX152"/>
      <c r="BY152"/>
      <c r="BZ152"/>
      <c r="CA152"/>
      <c r="CB152"/>
      <c r="CC152"/>
    </row>
    <row r="153" spans="1:81" s="19" customFormat="1">
      <c r="A153" s="108"/>
      <c r="B153" s="5"/>
      <c r="C153" s="1151" t="s">
        <v>542</v>
      </c>
      <c r="D153" s="5"/>
      <c r="E153" s="146"/>
      <c r="F153" s="7"/>
      <c r="G153" s="7"/>
      <c r="H153" s="147"/>
      <c r="I153" s="31"/>
      <c r="J153" s="146"/>
      <c r="K153" s="7"/>
      <c r="L153" s="7"/>
      <c r="M153" s="147"/>
      <c r="N153" s="5"/>
      <c r="O153" s="146"/>
      <c r="P153" s="7"/>
      <c r="Q153" s="7"/>
      <c r="R153" s="147"/>
      <c r="S153" s="5"/>
      <c r="T153" s="146"/>
      <c r="U153" s="7"/>
      <c r="V153" s="7"/>
      <c r="W153" s="147"/>
      <c r="X153" s="5"/>
      <c r="Y153" s="146"/>
      <c r="Z153" s="7"/>
      <c r="AA153" s="7"/>
      <c r="AB153" s="147"/>
      <c r="AC153" s="911"/>
      <c r="AD153" s="146"/>
      <c r="AE153" s="7"/>
      <c r="AF153" s="7"/>
      <c r="AG153" s="147"/>
      <c r="AH153" s="5"/>
      <c r="AI153" s="146"/>
      <c r="AJ153" s="7"/>
      <c r="AK153" s="7"/>
      <c r="AL153" s="147"/>
      <c r="AM153" s="5"/>
      <c r="AN153" s="146"/>
      <c r="AO153" s="7"/>
      <c r="AP153" s="7"/>
      <c r="AQ153" s="147"/>
      <c r="AR153" s="44"/>
      <c r="AS153" s="146"/>
      <c r="AT153" s="7"/>
      <c r="AU153" s="7"/>
      <c r="AV153" s="147"/>
      <c r="AW153" s="44"/>
      <c r="AX153" s="146"/>
      <c r="AY153" s="7"/>
      <c r="AZ153" s="7"/>
      <c r="BA153" s="147"/>
      <c r="BB153" s="44"/>
      <c r="BC153" s="146"/>
      <c r="BD153" s="7"/>
      <c r="BE153" s="7"/>
      <c r="BF153" s="147"/>
      <c r="BG153" s="44"/>
      <c r="BH153" s="146"/>
      <c r="BI153" s="7"/>
      <c r="BJ153" s="7"/>
      <c r="BK153" s="147"/>
      <c r="BL153" s="44"/>
      <c r="BM153" s="146"/>
      <c r="BN153" s="7"/>
      <c r="BO153" s="7"/>
      <c r="BP153" s="147"/>
      <c r="BQ153" s="44"/>
      <c r="BR153" s="44"/>
      <c r="BS153" s="1503"/>
      <c r="BT153" s="1503"/>
      <c r="BU153" s="1503"/>
      <c r="BV153" s="1503"/>
      <c r="BW153" s="1493"/>
      <c r="BX153"/>
      <c r="BY153"/>
      <c r="BZ153"/>
      <c r="CA153"/>
      <c r="CB153"/>
      <c r="CC153"/>
    </row>
    <row r="154" spans="1:81" s="19" customFormat="1">
      <c r="A154" s="108"/>
      <c r="B154" s="5"/>
      <c r="C154" s="1125" t="s">
        <v>856</v>
      </c>
      <c r="D154" s="5"/>
      <c r="E154" s="146"/>
      <c r="F154" s="7"/>
      <c r="G154" s="7"/>
      <c r="H154" s="147"/>
      <c r="I154" s="31"/>
      <c r="J154" s="146"/>
      <c r="K154" s="7"/>
      <c r="L154" s="7"/>
      <c r="M154" s="147"/>
      <c r="N154" s="5"/>
      <c r="O154" s="146"/>
      <c r="P154" s="7"/>
      <c r="Q154" s="7"/>
      <c r="R154" s="147"/>
      <c r="S154" s="5"/>
      <c r="T154" s="220"/>
      <c r="U154" s="221"/>
      <c r="V154" s="913"/>
      <c r="W154" s="914"/>
      <c r="X154" s="911"/>
      <c r="Y154" s="912">
        <f t="shared" ref="Y154:AR154" si="444">Y194</f>
        <v>4998</v>
      </c>
      <c r="Z154" s="913">
        <f t="shared" si="444"/>
        <v>4998</v>
      </c>
      <c r="AA154" s="913">
        <f t="shared" si="444"/>
        <v>4998</v>
      </c>
      <c r="AB154" s="914">
        <f t="shared" si="444"/>
        <v>4998</v>
      </c>
      <c r="AC154" s="911">
        <f t="shared" si="444"/>
        <v>4998</v>
      </c>
      <c r="AD154" s="912">
        <f t="shared" si="444"/>
        <v>4998</v>
      </c>
      <c r="AE154" s="913">
        <f t="shared" si="444"/>
        <v>4998</v>
      </c>
      <c r="AF154" s="913">
        <f t="shared" si="444"/>
        <v>4998</v>
      </c>
      <c r="AG154" s="914">
        <f>AG194</f>
        <v>4998</v>
      </c>
      <c r="AH154" s="911">
        <f t="shared" si="444"/>
        <v>4998</v>
      </c>
      <c r="AI154" s="912">
        <f t="shared" si="444"/>
        <v>4393</v>
      </c>
      <c r="AJ154" s="913">
        <f t="shared" si="444"/>
        <v>4393</v>
      </c>
      <c r="AK154" s="913">
        <f t="shared" si="444"/>
        <v>4393</v>
      </c>
      <c r="AL154" s="914">
        <f t="shared" si="444"/>
        <v>4393</v>
      </c>
      <c r="AM154" s="911">
        <f t="shared" si="444"/>
        <v>4393</v>
      </c>
      <c r="AN154" s="912">
        <f t="shared" ref="AN154" si="445">AN194</f>
        <v>4393</v>
      </c>
      <c r="AO154" s="913">
        <f t="shared" si="444"/>
        <v>4393</v>
      </c>
      <c r="AP154" s="913">
        <f t="shared" ref="AP154" si="446">AP194</f>
        <v>4393</v>
      </c>
      <c r="AQ154" s="914">
        <f t="shared" si="444"/>
        <v>4393</v>
      </c>
      <c r="AR154" s="911">
        <f t="shared" si="444"/>
        <v>4393</v>
      </c>
      <c r="AS154" s="912">
        <f t="shared" ref="AS154:BB154" si="447">AS194</f>
        <v>4393</v>
      </c>
      <c r="AT154" s="913">
        <f t="shared" si="447"/>
        <v>3555</v>
      </c>
      <c r="AU154" s="913">
        <f t="shared" ref="AU154" si="448">AU194</f>
        <v>3555</v>
      </c>
      <c r="AV154" s="914">
        <f t="shared" si="447"/>
        <v>3555</v>
      </c>
      <c r="AW154" s="911">
        <f t="shared" si="447"/>
        <v>3555</v>
      </c>
      <c r="AX154" s="912">
        <f t="shared" si="447"/>
        <v>3555</v>
      </c>
      <c r="AY154" s="913">
        <f t="shared" si="447"/>
        <v>3555</v>
      </c>
      <c r="AZ154" s="913">
        <f t="shared" si="447"/>
        <v>3555</v>
      </c>
      <c r="BA154" s="914">
        <f t="shared" si="447"/>
        <v>3555</v>
      </c>
      <c r="BB154" s="911">
        <f t="shared" si="447"/>
        <v>3555</v>
      </c>
      <c r="BC154" s="912">
        <f t="shared" ref="BC154:BL154" si="449">BC194</f>
        <v>3555</v>
      </c>
      <c r="BD154" s="913">
        <f t="shared" si="449"/>
        <v>3325.6666666666665</v>
      </c>
      <c r="BE154" s="913">
        <f t="shared" si="449"/>
        <v>2867</v>
      </c>
      <c r="BF154" s="914">
        <f t="shared" si="449"/>
        <v>2867</v>
      </c>
      <c r="BG154" s="911">
        <f t="shared" si="449"/>
        <v>2867</v>
      </c>
      <c r="BH154" s="912">
        <f t="shared" si="449"/>
        <v>2867</v>
      </c>
      <c r="BI154" s="913">
        <f t="shared" si="449"/>
        <v>2177.333333333333</v>
      </c>
      <c r="BJ154" s="913">
        <f t="shared" si="449"/>
        <v>1832.5</v>
      </c>
      <c r="BK154" s="914">
        <f t="shared" si="449"/>
        <v>1832.5</v>
      </c>
      <c r="BL154" s="911">
        <f t="shared" si="449"/>
        <v>1832.5</v>
      </c>
      <c r="BM154" s="912">
        <f t="shared" ref="BM154:BQ154" si="450">BM194</f>
        <v>1832.5</v>
      </c>
      <c r="BN154" s="913">
        <f t="shared" si="450"/>
        <v>1487.6666666666665</v>
      </c>
      <c r="BO154" s="913">
        <f t="shared" si="450"/>
        <v>798</v>
      </c>
      <c r="BP154" s="914">
        <f t="shared" si="450"/>
        <v>798</v>
      </c>
      <c r="BQ154" s="911">
        <f t="shared" si="450"/>
        <v>798</v>
      </c>
      <c r="BR154" s="911"/>
      <c r="BS154" s="1503"/>
      <c r="BT154" s="1503"/>
      <c r="BU154" s="1503"/>
      <c r="BV154" s="1503"/>
      <c r="BW154" s="1493"/>
      <c r="BX154"/>
      <c r="BY154"/>
      <c r="BZ154"/>
      <c r="CA154"/>
      <c r="CB154"/>
      <c r="CC154"/>
    </row>
    <row r="155" spans="1:81" s="19" customFormat="1">
      <c r="A155" s="108"/>
      <c r="B155" s="5"/>
      <c r="C155" s="1125" t="s">
        <v>561</v>
      </c>
      <c r="D155" s="5"/>
      <c r="E155" s="146"/>
      <c r="F155" s="7"/>
      <c r="G155" s="7"/>
      <c r="H155" s="147"/>
      <c r="I155" s="31"/>
      <c r="J155" s="146"/>
      <c r="K155" s="7"/>
      <c r="L155" s="7"/>
      <c r="M155" s="147"/>
      <c r="N155" s="5"/>
      <c r="O155" s="146"/>
      <c r="P155" s="7"/>
      <c r="Q155" s="7"/>
      <c r="R155" s="147"/>
      <c r="S155" s="5"/>
      <c r="T155" s="220"/>
      <c r="U155" s="221"/>
      <c r="V155" s="913"/>
      <c r="W155" s="914"/>
      <c r="X155" s="911"/>
      <c r="Y155" s="912">
        <f t="shared" ref="Y155:AR155" si="451">Y268+Y288+Y308</f>
        <v>1307</v>
      </c>
      <c r="Z155" s="913">
        <f t="shared" si="451"/>
        <v>1307</v>
      </c>
      <c r="AA155" s="913">
        <f t="shared" si="451"/>
        <v>1307</v>
      </c>
      <c r="AB155" s="914">
        <f t="shared" si="451"/>
        <v>1307</v>
      </c>
      <c r="AC155" s="911">
        <f t="shared" si="451"/>
        <v>1307</v>
      </c>
      <c r="AD155" s="912">
        <f t="shared" si="451"/>
        <v>1307</v>
      </c>
      <c r="AE155" s="913">
        <f t="shared" si="451"/>
        <v>1307</v>
      </c>
      <c r="AF155" s="913">
        <f t="shared" si="451"/>
        <v>1307</v>
      </c>
      <c r="AG155" s="914">
        <f t="shared" si="451"/>
        <v>1307</v>
      </c>
      <c r="AH155" s="911">
        <f t="shared" si="451"/>
        <v>1307</v>
      </c>
      <c r="AI155" s="912">
        <f t="shared" si="451"/>
        <v>1307</v>
      </c>
      <c r="AJ155" s="913">
        <f t="shared" si="451"/>
        <v>1307</v>
      </c>
      <c r="AK155" s="913">
        <f t="shared" si="451"/>
        <v>1307</v>
      </c>
      <c r="AL155" s="914">
        <f t="shared" si="451"/>
        <v>1307</v>
      </c>
      <c r="AM155" s="911">
        <f t="shared" si="451"/>
        <v>1307</v>
      </c>
      <c r="AN155" s="912">
        <f t="shared" ref="AN155" si="452">AN268+AN288+AN308</f>
        <v>757</v>
      </c>
      <c r="AO155" s="913">
        <f t="shared" si="451"/>
        <v>757</v>
      </c>
      <c r="AP155" s="913">
        <f t="shared" ref="AP155" si="453">AP268+AP288+AP308</f>
        <v>757</v>
      </c>
      <c r="AQ155" s="914">
        <f t="shared" si="451"/>
        <v>757</v>
      </c>
      <c r="AR155" s="911">
        <f t="shared" si="451"/>
        <v>757</v>
      </c>
      <c r="AS155" s="912">
        <f t="shared" ref="AS155:BB155" si="454">AS268+AS288+AS308</f>
        <v>757</v>
      </c>
      <c r="AT155" s="913">
        <f t="shared" si="454"/>
        <v>757</v>
      </c>
      <c r="AU155" s="913">
        <f t="shared" ref="AU155" si="455">AU268+AU288+AU308</f>
        <v>757</v>
      </c>
      <c r="AV155" s="914">
        <f t="shared" si="454"/>
        <v>757</v>
      </c>
      <c r="AW155" s="911">
        <f t="shared" si="454"/>
        <v>757</v>
      </c>
      <c r="AX155" s="912">
        <f t="shared" si="454"/>
        <v>757</v>
      </c>
      <c r="AY155" s="913">
        <f t="shared" si="454"/>
        <v>757</v>
      </c>
      <c r="AZ155" s="913">
        <f t="shared" si="454"/>
        <v>757</v>
      </c>
      <c r="BA155" s="914">
        <f t="shared" si="454"/>
        <v>757</v>
      </c>
      <c r="BB155" s="911">
        <f t="shared" si="454"/>
        <v>757</v>
      </c>
      <c r="BC155" s="912">
        <f t="shared" ref="BC155:BL155" si="456">BC268+BC288+BC308</f>
        <v>757</v>
      </c>
      <c r="BD155" s="913">
        <f t="shared" si="456"/>
        <v>757</v>
      </c>
      <c r="BE155" s="913">
        <f t="shared" si="456"/>
        <v>757</v>
      </c>
      <c r="BF155" s="914">
        <f t="shared" si="456"/>
        <v>757</v>
      </c>
      <c r="BG155" s="911">
        <f t="shared" si="456"/>
        <v>757</v>
      </c>
      <c r="BH155" s="912">
        <f t="shared" si="456"/>
        <v>757</v>
      </c>
      <c r="BI155" s="913">
        <f t="shared" si="456"/>
        <v>757</v>
      </c>
      <c r="BJ155" s="913">
        <f t="shared" si="456"/>
        <v>757</v>
      </c>
      <c r="BK155" s="914">
        <f t="shared" si="456"/>
        <v>757</v>
      </c>
      <c r="BL155" s="911">
        <f t="shared" si="456"/>
        <v>757</v>
      </c>
      <c r="BM155" s="912">
        <f t="shared" ref="BM155:BQ155" si="457">BM268+BM288+BM308</f>
        <v>757</v>
      </c>
      <c r="BN155" s="913">
        <f t="shared" si="457"/>
        <v>757</v>
      </c>
      <c r="BO155" s="913">
        <f t="shared" si="457"/>
        <v>757</v>
      </c>
      <c r="BP155" s="914">
        <f t="shared" si="457"/>
        <v>757</v>
      </c>
      <c r="BQ155" s="911">
        <f t="shared" si="457"/>
        <v>757</v>
      </c>
      <c r="BR155" s="911"/>
      <c r="BS155" s="1503"/>
      <c r="BT155" s="1503"/>
      <c r="BU155" s="1503"/>
      <c r="BV155" s="1503"/>
      <c r="BW155" s="1493"/>
      <c r="BX155"/>
      <c r="BY155"/>
      <c r="BZ155"/>
      <c r="CA155"/>
      <c r="CB155"/>
      <c r="CC155"/>
    </row>
    <row r="156" spans="1:81" s="19" customFormat="1">
      <c r="A156" s="108"/>
      <c r="B156" s="5"/>
      <c r="C156" s="1125" t="s">
        <v>541</v>
      </c>
      <c r="D156" s="5"/>
      <c r="E156" s="146"/>
      <c r="F156" s="7"/>
      <c r="G156" s="7"/>
      <c r="H156" s="147"/>
      <c r="I156" s="31"/>
      <c r="J156" s="146"/>
      <c r="K156" s="7"/>
      <c r="L156" s="7"/>
      <c r="M156" s="147"/>
      <c r="N156" s="5"/>
      <c r="O156" s="146"/>
      <c r="P156" s="7"/>
      <c r="Q156" s="7"/>
      <c r="R156" s="147"/>
      <c r="S156" s="5"/>
      <c r="T156" s="177"/>
      <c r="U156" s="178"/>
      <c r="V156" s="913"/>
      <c r="W156" s="914"/>
      <c r="X156" s="911"/>
      <c r="Y156" s="912">
        <f t="shared" ref="Y156:AR156" si="458">Y323</f>
        <v>181</v>
      </c>
      <c r="Z156" s="913">
        <f t="shared" si="458"/>
        <v>181</v>
      </c>
      <c r="AA156" s="913">
        <f t="shared" si="458"/>
        <v>181</v>
      </c>
      <c r="AB156" s="914">
        <f t="shared" si="458"/>
        <v>181</v>
      </c>
      <c r="AC156" s="911">
        <f t="shared" si="458"/>
        <v>181</v>
      </c>
      <c r="AD156" s="912">
        <f t="shared" si="458"/>
        <v>181</v>
      </c>
      <c r="AE156" s="913">
        <f t="shared" si="458"/>
        <v>181</v>
      </c>
      <c r="AF156" s="913">
        <f t="shared" si="458"/>
        <v>181</v>
      </c>
      <c r="AG156" s="914">
        <f t="shared" si="458"/>
        <v>181</v>
      </c>
      <c r="AH156" s="911">
        <f t="shared" si="458"/>
        <v>181</v>
      </c>
      <c r="AI156" s="912">
        <f t="shared" si="458"/>
        <v>181</v>
      </c>
      <c r="AJ156" s="913">
        <f t="shared" si="458"/>
        <v>181</v>
      </c>
      <c r="AK156" s="913">
        <f t="shared" si="458"/>
        <v>181</v>
      </c>
      <c r="AL156" s="914">
        <f t="shared" si="458"/>
        <v>181</v>
      </c>
      <c r="AM156" s="911">
        <f t="shared" si="458"/>
        <v>181</v>
      </c>
      <c r="AN156" s="912">
        <f t="shared" ref="AN156" si="459">AN323</f>
        <v>181</v>
      </c>
      <c r="AO156" s="913">
        <f t="shared" si="458"/>
        <v>181</v>
      </c>
      <c r="AP156" s="913">
        <f t="shared" ref="AP156" si="460">AP323</f>
        <v>181</v>
      </c>
      <c r="AQ156" s="914">
        <f t="shared" si="458"/>
        <v>181</v>
      </c>
      <c r="AR156" s="911">
        <f t="shared" si="458"/>
        <v>181</v>
      </c>
      <c r="AS156" s="912">
        <f t="shared" ref="AS156:BB156" si="461">AS323</f>
        <v>181</v>
      </c>
      <c r="AT156" s="913">
        <f t="shared" si="461"/>
        <v>181</v>
      </c>
      <c r="AU156" s="913">
        <f t="shared" ref="AU156" si="462">AU323</f>
        <v>181</v>
      </c>
      <c r="AV156" s="914">
        <f t="shared" si="461"/>
        <v>181</v>
      </c>
      <c r="AW156" s="911">
        <f t="shared" si="461"/>
        <v>181</v>
      </c>
      <c r="AX156" s="912">
        <f t="shared" si="461"/>
        <v>181</v>
      </c>
      <c r="AY156" s="913">
        <f t="shared" si="461"/>
        <v>181</v>
      </c>
      <c r="AZ156" s="913">
        <f t="shared" si="461"/>
        <v>181</v>
      </c>
      <c r="BA156" s="914">
        <f t="shared" si="461"/>
        <v>181</v>
      </c>
      <c r="BB156" s="911">
        <f t="shared" si="461"/>
        <v>181</v>
      </c>
      <c r="BC156" s="912">
        <f t="shared" ref="BC156:BL156" si="463">BC323</f>
        <v>181</v>
      </c>
      <c r="BD156" s="913">
        <f t="shared" si="463"/>
        <v>181</v>
      </c>
      <c r="BE156" s="913">
        <f t="shared" si="463"/>
        <v>181</v>
      </c>
      <c r="BF156" s="914">
        <f t="shared" si="463"/>
        <v>181</v>
      </c>
      <c r="BG156" s="911">
        <f t="shared" si="463"/>
        <v>181</v>
      </c>
      <c r="BH156" s="912">
        <f t="shared" si="463"/>
        <v>181</v>
      </c>
      <c r="BI156" s="913">
        <f t="shared" si="463"/>
        <v>181</v>
      </c>
      <c r="BJ156" s="913">
        <f t="shared" si="463"/>
        <v>181</v>
      </c>
      <c r="BK156" s="914">
        <f t="shared" si="463"/>
        <v>181</v>
      </c>
      <c r="BL156" s="911">
        <f t="shared" si="463"/>
        <v>181</v>
      </c>
      <c r="BM156" s="912">
        <f t="shared" ref="BM156:BQ156" si="464">BM323</f>
        <v>181</v>
      </c>
      <c r="BN156" s="913">
        <f t="shared" si="464"/>
        <v>181</v>
      </c>
      <c r="BO156" s="913">
        <f t="shared" si="464"/>
        <v>181</v>
      </c>
      <c r="BP156" s="914">
        <f t="shared" si="464"/>
        <v>181</v>
      </c>
      <c r="BQ156" s="911">
        <f t="shared" si="464"/>
        <v>181</v>
      </c>
      <c r="BR156" s="911"/>
      <c r="BS156" s="1503"/>
      <c r="BT156" s="1503"/>
      <c r="BU156" s="1503"/>
      <c r="BV156" s="1503"/>
      <c r="BW156" s="1493"/>
      <c r="BX156"/>
      <c r="BY156"/>
      <c r="BZ156"/>
      <c r="CA156"/>
      <c r="CB156"/>
      <c r="CC156"/>
    </row>
    <row r="157" spans="1:81" s="19" customFormat="1">
      <c r="A157" s="108"/>
      <c r="B157" s="5"/>
      <c r="C157" s="1125" t="s">
        <v>537</v>
      </c>
      <c r="D157" s="5"/>
      <c r="E157" s="146"/>
      <c r="F157" s="7"/>
      <c r="G157" s="7"/>
      <c r="H157" s="147"/>
      <c r="I157" s="31"/>
      <c r="J157" s="146"/>
      <c r="K157" s="7"/>
      <c r="L157" s="7"/>
      <c r="M157" s="147"/>
      <c r="N157" s="5"/>
      <c r="O157" s="146"/>
      <c r="P157" s="7"/>
      <c r="Q157" s="7"/>
      <c r="R157" s="147"/>
      <c r="S157" s="5"/>
      <c r="T157" s="177"/>
      <c r="U157" s="178"/>
      <c r="V157" s="913"/>
      <c r="W157" s="914"/>
      <c r="X157" s="911"/>
      <c r="Y157" s="912">
        <f t="shared" ref="Y157:AR157" si="465">Y343</f>
        <v>80</v>
      </c>
      <c r="Z157" s="913">
        <f t="shared" si="465"/>
        <v>80</v>
      </c>
      <c r="AA157" s="913">
        <f t="shared" si="465"/>
        <v>80</v>
      </c>
      <c r="AB157" s="914">
        <f t="shared" si="465"/>
        <v>80</v>
      </c>
      <c r="AC157" s="911">
        <f t="shared" si="465"/>
        <v>80</v>
      </c>
      <c r="AD157" s="912">
        <f t="shared" si="465"/>
        <v>80</v>
      </c>
      <c r="AE157" s="913">
        <f t="shared" si="465"/>
        <v>80</v>
      </c>
      <c r="AF157" s="913">
        <f t="shared" si="465"/>
        <v>80</v>
      </c>
      <c r="AG157" s="914">
        <f t="shared" si="465"/>
        <v>80</v>
      </c>
      <c r="AH157" s="911">
        <f t="shared" si="465"/>
        <v>80</v>
      </c>
      <c r="AI157" s="912">
        <f t="shared" si="465"/>
        <v>80</v>
      </c>
      <c r="AJ157" s="913">
        <f t="shared" si="465"/>
        <v>80</v>
      </c>
      <c r="AK157" s="913">
        <f t="shared" si="465"/>
        <v>80</v>
      </c>
      <c r="AL157" s="914">
        <f t="shared" si="465"/>
        <v>80</v>
      </c>
      <c r="AM157" s="911">
        <f t="shared" si="465"/>
        <v>80</v>
      </c>
      <c r="AN157" s="912">
        <f t="shared" ref="AN157" si="466">AN343</f>
        <v>80</v>
      </c>
      <c r="AO157" s="913">
        <f t="shared" si="465"/>
        <v>80</v>
      </c>
      <c r="AP157" s="913">
        <f t="shared" ref="AP157" si="467">AP343</f>
        <v>80</v>
      </c>
      <c r="AQ157" s="914">
        <f t="shared" si="465"/>
        <v>80</v>
      </c>
      <c r="AR157" s="911">
        <f t="shared" si="465"/>
        <v>80</v>
      </c>
      <c r="AS157" s="912">
        <f t="shared" ref="AS157:BB157" si="468">AS343</f>
        <v>80</v>
      </c>
      <c r="AT157" s="913">
        <f t="shared" si="468"/>
        <v>80</v>
      </c>
      <c r="AU157" s="913">
        <f t="shared" ref="AU157" si="469">AU343</f>
        <v>80</v>
      </c>
      <c r="AV157" s="914">
        <f t="shared" si="468"/>
        <v>80</v>
      </c>
      <c r="AW157" s="911">
        <f t="shared" si="468"/>
        <v>80</v>
      </c>
      <c r="AX157" s="912">
        <f t="shared" si="468"/>
        <v>80</v>
      </c>
      <c r="AY157" s="913">
        <f t="shared" si="468"/>
        <v>80</v>
      </c>
      <c r="AZ157" s="913">
        <f t="shared" si="468"/>
        <v>80</v>
      </c>
      <c r="BA157" s="914">
        <f t="shared" si="468"/>
        <v>80</v>
      </c>
      <c r="BB157" s="911">
        <f t="shared" si="468"/>
        <v>80</v>
      </c>
      <c r="BC157" s="912">
        <f t="shared" ref="BC157:BL157" si="470">BC343</f>
        <v>80</v>
      </c>
      <c r="BD157" s="913">
        <f t="shared" si="470"/>
        <v>80</v>
      </c>
      <c r="BE157" s="913">
        <f t="shared" si="470"/>
        <v>80</v>
      </c>
      <c r="BF157" s="914">
        <f t="shared" si="470"/>
        <v>80</v>
      </c>
      <c r="BG157" s="911">
        <f t="shared" si="470"/>
        <v>80</v>
      </c>
      <c r="BH157" s="912">
        <f t="shared" si="470"/>
        <v>80</v>
      </c>
      <c r="BI157" s="913">
        <f t="shared" si="470"/>
        <v>80</v>
      </c>
      <c r="BJ157" s="913">
        <f t="shared" si="470"/>
        <v>80</v>
      </c>
      <c r="BK157" s="914">
        <f t="shared" si="470"/>
        <v>80</v>
      </c>
      <c r="BL157" s="911">
        <f t="shared" si="470"/>
        <v>80</v>
      </c>
      <c r="BM157" s="912">
        <f t="shared" ref="BM157:BQ157" si="471">BM343</f>
        <v>80</v>
      </c>
      <c r="BN157" s="913">
        <f t="shared" si="471"/>
        <v>80</v>
      </c>
      <c r="BO157" s="913">
        <f t="shared" si="471"/>
        <v>80</v>
      </c>
      <c r="BP157" s="914">
        <f t="shared" si="471"/>
        <v>80</v>
      </c>
      <c r="BQ157" s="911">
        <f t="shared" si="471"/>
        <v>80</v>
      </c>
      <c r="BR157" s="911"/>
      <c r="BS157" s="1503"/>
      <c r="BT157" s="1503"/>
      <c r="BU157" s="1503"/>
      <c r="BV157" s="1503"/>
      <c r="BW157" s="1493"/>
      <c r="BX157"/>
      <c r="BY157"/>
      <c r="BZ157"/>
      <c r="CA157"/>
      <c r="CB157"/>
      <c r="CC157"/>
    </row>
    <row r="158" spans="1:81" s="19" customFormat="1">
      <c r="A158" s="108"/>
      <c r="B158" s="36"/>
      <c r="C158" s="1148" t="s">
        <v>617</v>
      </c>
      <c r="D158" s="36"/>
      <c r="E158" s="122"/>
      <c r="F158" s="123"/>
      <c r="G158" s="123"/>
      <c r="H158" s="915"/>
      <c r="I158" s="36"/>
      <c r="J158" s="122"/>
      <c r="K158" s="123"/>
      <c r="L158" s="123"/>
      <c r="M158" s="915"/>
      <c r="N158" s="36"/>
      <c r="O158" s="122"/>
      <c r="P158" s="123"/>
      <c r="Q158" s="123"/>
      <c r="R158" s="915"/>
      <c r="S158" s="36"/>
      <c r="T158" s="200"/>
      <c r="U158" s="201"/>
      <c r="V158" s="201"/>
      <c r="W158" s="202"/>
      <c r="X158" s="86">
        <f>Y158</f>
        <v>6566</v>
      </c>
      <c r="Y158" s="200">
        <f t="shared" ref="Y158:AR158" si="472">SUM(Y154:Y157)</f>
        <v>6566</v>
      </c>
      <c r="Z158" s="201">
        <f t="shared" si="472"/>
        <v>6566</v>
      </c>
      <c r="AA158" s="201">
        <f t="shared" si="472"/>
        <v>6566</v>
      </c>
      <c r="AB158" s="202">
        <f t="shared" si="472"/>
        <v>6566</v>
      </c>
      <c r="AC158" s="86">
        <f t="shared" si="472"/>
        <v>6566</v>
      </c>
      <c r="AD158" s="200">
        <f t="shared" si="472"/>
        <v>6566</v>
      </c>
      <c r="AE158" s="201">
        <f t="shared" si="472"/>
        <v>6566</v>
      </c>
      <c r="AF158" s="201">
        <f t="shared" si="472"/>
        <v>6566</v>
      </c>
      <c r="AG158" s="202">
        <f t="shared" si="472"/>
        <v>6566</v>
      </c>
      <c r="AH158" s="86">
        <f t="shared" si="472"/>
        <v>6566</v>
      </c>
      <c r="AI158" s="200">
        <f t="shared" si="472"/>
        <v>5961</v>
      </c>
      <c r="AJ158" s="201">
        <f t="shared" si="472"/>
        <v>5961</v>
      </c>
      <c r="AK158" s="201">
        <f t="shared" si="472"/>
        <v>5961</v>
      </c>
      <c r="AL158" s="202">
        <f t="shared" si="472"/>
        <v>5961</v>
      </c>
      <c r="AM158" s="86">
        <f t="shared" si="472"/>
        <v>5961</v>
      </c>
      <c r="AN158" s="200">
        <f t="shared" ref="AN158" si="473">SUM(AN154:AN157)</f>
        <v>5411</v>
      </c>
      <c r="AO158" s="201">
        <f t="shared" si="472"/>
        <v>5411</v>
      </c>
      <c r="AP158" s="201">
        <f t="shared" ref="AP158" si="474">SUM(AP154:AP157)</f>
        <v>5411</v>
      </c>
      <c r="AQ158" s="202">
        <f t="shared" si="472"/>
        <v>5411</v>
      </c>
      <c r="AR158" s="86">
        <f t="shared" si="472"/>
        <v>5411</v>
      </c>
      <c r="AS158" s="200">
        <f t="shared" ref="AS158:BB158" si="475">SUM(AS154:AS157)</f>
        <v>5411</v>
      </c>
      <c r="AT158" s="201">
        <f t="shared" ref="AT158:AU158" si="476">SUM(AT154:AT157)</f>
        <v>4573</v>
      </c>
      <c r="AU158" s="201">
        <f t="shared" si="476"/>
        <v>4573</v>
      </c>
      <c r="AV158" s="202">
        <f t="shared" si="475"/>
        <v>4573</v>
      </c>
      <c r="AW158" s="86">
        <f t="shared" si="475"/>
        <v>4573</v>
      </c>
      <c r="AX158" s="200">
        <f t="shared" si="475"/>
        <v>4573</v>
      </c>
      <c r="AY158" s="201">
        <f t="shared" si="475"/>
        <v>4573</v>
      </c>
      <c r="AZ158" s="201">
        <f t="shared" si="475"/>
        <v>4573</v>
      </c>
      <c r="BA158" s="202">
        <f t="shared" si="475"/>
        <v>4573</v>
      </c>
      <c r="BB158" s="86">
        <f t="shared" si="475"/>
        <v>4573</v>
      </c>
      <c r="BC158" s="200">
        <f t="shared" ref="BC158:BL158" si="477">SUM(BC154:BC157)</f>
        <v>4573</v>
      </c>
      <c r="BD158" s="201">
        <f t="shared" si="477"/>
        <v>4343.6666666666661</v>
      </c>
      <c r="BE158" s="201">
        <f t="shared" si="477"/>
        <v>3885</v>
      </c>
      <c r="BF158" s="202">
        <f t="shared" si="477"/>
        <v>3885</v>
      </c>
      <c r="BG158" s="86">
        <f t="shared" si="477"/>
        <v>3885</v>
      </c>
      <c r="BH158" s="200">
        <f t="shared" si="477"/>
        <v>3885</v>
      </c>
      <c r="BI158" s="201">
        <f t="shared" si="477"/>
        <v>3195.333333333333</v>
      </c>
      <c r="BJ158" s="201">
        <f t="shared" si="477"/>
        <v>2850.5</v>
      </c>
      <c r="BK158" s="202">
        <f t="shared" si="477"/>
        <v>2850.5</v>
      </c>
      <c r="BL158" s="86">
        <f t="shared" si="477"/>
        <v>2850.5</v>
      </c>
      <c r="BM158" s="200">
        <f t="shared" ref="BM158:BQ158" si="478">SUM(BM154:BM157)</f>
        <v>2850.5</v>
      </c>
      <c r="BN158" s="201">
        <f t="shared" si="478"/>
        <v>2505.6666666666665</v>
      </c>
      <c r="BO158" s="201">
        <f t="shared" si="478"/>
        <v>1816</v>
      </c>
      <c r="BP158" s="202">
        <f t="shared" si="478"/>
        <v>1816</v>
      </c>
      <c r="BQ158" s="86">
        <f t="shared" si="478"/>
        <v>1816</v>
      </c>
      <c r="BR158" s="86"/>
      <c r="BS158" s="1526"/>
      <c r="BT158" s="1526"/>
      <c r="BU158" s="1503"/>
      <c r="BV158" s="1503"/>
      <c r="BW158" s="1493"/>
      <c r="BX158"/>
      <c r="BY158"/>
      <c r="BZ158"/>
      <c r="CA158"/>
      <c r="CB158"/>
      <c r="CC158"/>
    </row>
    <row r="159" spans="1:81" s="19" customFormat="1">
      <c r="A159" s="108"/>
      <c r="B159" s="36"/>
      <c r="C159" s="1148"/>
      <c r="D159" s="36"/>
      <c r="E159" s="122"/>
      <c r="F159" s="123"/>
      <c r="G159" s="123"/>
      <c r="H159" s="915"/>
      <c r="I159" s="36"/>
      <c r="J159" s="122"/>
      <c r="K159" s="123"/>
      <c r="L159" s="123"/>
      <c r="M159" s="915"/>
      <c r="N159" s="36"/>
      <c r="O159" s="122"/>
      <c r="P159" s="123"/>
      <c r="Q159" s="123"/>
      <c r="R159" s="915"/>
      <c r="S159" s="36"/>
      <c r="T159" s="200"/>
      <c r="U159" s="201"/>
      <c r="V159" s="201"/>
      <c r="W159" s="202"/>
      <c r="X159" s="86"/>
      <c r="Y159" s="200"/>
      <c r="Z159" s="201"/>
      <c r="AA159" s="201"/>
      <c r="AB159" s="202"/>
      <c r="AC159" s="86"/>
      <c r="AD159" s="200"/>
      <c r="AE159" s="201"/>
      <c r="AF159" s="201"/>
      <c r="AG159" s="202"/>
      <c r="AH159" s="86"/>
      <c r="AI159" s="200"/>
      <c r="AJ159" s="201"/>
      <c r="AK159" s="201"/>
      <c r="AL159" s="202"/>
      <c r="AM159" s="86"/>
      <c r="AN159" s="200"/>
      <c r="AO159" s="201"/>
      <c r="AP159" s="201"/>
      <c r="AQ159" s="202"/>
      <c r="AR159" s="86"/>
      <c r="AS159" s="200"/>
      <c r="AT159" s="201"/>
      <c r="AU159" s="201"/>
      <c r="AV159" s="202"/>
      <c r="AW159" s="86"/>
      <c r="AX159" s="200"/>
      <c r="AY159" s="201"/>
      <c r="AZ159" s="201"/>
      <c r="BA159" s="202"/>
      <c r="BB159" s="86"/>
      <c r="BC159" s="200"/>
      <c r="BD159" s="201"/>
      <c r="BE159" s="201"/>
      <c r="BF159" s="202"/>
      <c r="BG159" s="86"/>
      <c r="BH159" s="200"/>
      <c r="BI159" s="201"/>
      <c r="BJ159" s="201"/>
      <c r="BK159" s="202"/>
      <c r="BL159" s="86"/>
      <c r="BM159" s="200"/>
      <c r="BN159" s="201"/>
      <c r="BO159" s="201"/>
      <c r="BP159" s="202"/>
      <c r="BQ159" s="86"/>
      <c r="BR159" s="86"/>
      <c r="BS159" s="1503"/>
      <c r="BT159" s="1503"/>
      <c r="BU159" s="1503"/>
      <c r="BV159" s="1503"/>
      <c r="BW159" s="1493"/>
      <c r="BX159"/>
      <c r="BY159"/>
      <c r="BZ159"/>
      <c r="CA159"/>
      <c r="CB159"/>
      <c r="CC159"/>
    </row>
    <row r="160" spans="1:81" s="19" customFormat="1">
      <c r="A160" s="108"/>
      <c r="B160" s="5"/>
      <c r="C160" s="1151" t="s">
        <v>543</v>
      </c>
      <c r="D160" s="5"/>
      <c r="E160" s="146"/>
      <c r="F160" s="7"/>
      <c r="G160" s="7"/>
      <c r="H160" s="147"/>
      <c r="I160" s="31"/>
      <c r="J160" s="146"/>
      <c r="K160" s="7"/>
      <c r="L160" s="7"/>
      <c r="M160" s="147"/>
      <c r="N160" s="5"/>
      <c r="O160" s="146"/>
      <c r="P160" s="7"/>
      <c r="Q160" s="7"/>
      <c r="R160" s="147"/>
      <c r="S160" s="5"/>
      <c r="T160" s="912"/>
      <c r="U160" s="913"/>
      <c r="V160" s="913"/>
      <c r="W160" s="914"/>
      <c r="X160" s="911"/>
      <c r="Y160" s="912"/>
      <c r="Z160" s="913"/>
      <c r="AA160" s="913"/>
      <c r="AB160" s="914"/>
      <c r="AC160" s="911"/>
      <c r="AD160" s="912"/>
      <c r="AE160" s="913"/>
      <c r="AF160" s="913"/>
      <c r="AG160" s="914"/>
      <c r="AH160" s="911"/>
      <c r="AI160" s="912"/>
      <c r="AJ160" s="913"/>
      <c r="AK160" s="913"/>
      <c r="AL160" s="914"/>
      <c r="AM160" s="911"/>
      <c r="AN160" s="912"/>
      <c r="AO160" s="913"/>
      <c r="AP160" s="913"/>
      <c r="AQ160" s="914"/>
      <c r="AR160" s="911"/>
      <c r="AS160" s="912"/>
      <c r="AT160" s="913"/>
      <c r="AU160" s="913"/>
      <c r="AV160" s="914"/>
      <c r="AW160" s="911"/>
      <c r="AX160" s="912"/>
      <c r="AY160" s="913"/>
      <c r="AZ160" s="913"/>
      <c r="BA160" s="914"/>
      <c r="BB160" s="911"/>
      <c r="BC160" s="912"/>
      <c r="BD160" s="913"/>
      <c r="BE160" s="913"/>
      <c r="BF160" s="914"/>
      <c r="BG160" s="911"/>
      <c r="BH160" s="912"/>
      <c r="BI160" s="913"/>
      <c r="BJ160" s="913"/>
      <c r="BK160" s="914"/>
      <c r="BL160" s="911"/>
      <c r="BM160" s="912"/>
      <c r="BN160" s="913"/>
      <c r="BO160" s="913"/>
      <c r="BP160" s="914"/>
      <c r="BQ160" s="911"/>
      <c r="BR160" s="911"/>
      <c r="BS160" s="1503"/>
      <c r="BT160" s="1503"/>
      <c r="BU160" s="1503"/>
      <c r="BV160" s="1503"/>
      <c r="BW160" s="1493"/>
      <c r="BX160"/>
      <c r="BY160"/>
      <c r="BZ160"/>
      <c r="CA160"/>
      <c r="CB160"/>
      <c r="CC160"/>
    </row>
    <row r="161" spans="1:81" s="19" customFormat="1">
      <c r="A161" s="108"/>
      <c r="B161" s="5"/>
      <c r="C161" s="1147" t="s">
        <v>53</v>
      </c>
      <c r="D161" s="5"/>
      <c r="E161" s="146"/>
      <c r="F161" s="7"/>
      <c r="G161" s="7"/>
      <c r="H161" s="147"/>
      <c r="I161" s="31"/>
      <c r="J161" s="146"/>
      <c r="K161" s="7"/>
      <c r="L161" s="7"/>
      <c r="M161" s="147"/>
      <c r="N161" s="5"/>
      <c r="O161" s="146"/>
      <c r="P161" s="7"/>
      <c r="Q161" s="7"/>
      <c r="R161" s="147"/>
      <c r="S161" s="5"/>
      <c r="T161" s="912"/>
      <c r="U161" s="913"/>
      <c r="V161" s="913"/>
      <c r="W161" s="914"/>
      <c r="X161" s="911"/>
      <c r="Y161" s="912">
        <f t="shared" ref="Y161:AR161" si="479">Y360</f>
        <v>812.86</v>
      </c>
      <c r="Z161" s="913">
        <f t="shared" si="479"/>
        <v>812.86</v>
      </c>
      <c r="AA161" s="913">
        <f t="shared" si="479"/>
        <v>812.86</v>
      </c>
      <c r="AB161" s="914">
        <f t="shared" si="479"/>
        <v>812.86</v>
      </c>
      <c r="AC161" s="911">
        <f t="shared" si="479"/>
        <v>812.86</v>
      </c>
      <c r="AD161" s="912">
        <f t="shared" si="479"/>
        <v>812.86</v>
      </c>
      <c r="AE161" s="913">
        <f t="shared" si="479"/>
        <v>812.86</v>
      </c>
      <c r="AF161" s="913">
        <f t="shared" si="479"/>
        <v>812.86</v>
      </c>
      <c r="AG161" s="914">
        <f t="shared" si="479"/>
        <v>812.86</v>
      </c>
      <c r="AH161" s="911">
        <f t="shared" si="479"/>
        <v>812.86</v>
      </c>
      <c r="AI161" s="912">
        <f t="shared" si="479"/>
        <v>812.86</v>
      </c>
      <c r="AJ161" s="913">
        <f t="shared" si="479"/>
        <v>812.86</v>
      </c>
      <c r="AK161" s="913">
        <f t="shared" si="479"/>
        <v>812.86</v>
      </c>
      <c r="AL161" s="914">
        <f t="shared" si="479"/>
        <v>812.86</v>
      </c>
      <c r="AM161" s="911">
        <f t="shared" si="479"/>
        <v>812.86</v>
      </c>
      <c r="AN161" s="912">
        <f t="shared" ref="AN161" si="480">AN360</f>
        <v>812.86</v>
      </c>
      <c r="AO161" s="913">
        <f t="shared" si="479"/>
        <v>812.86</v>
      </c>
      <c r="AP161" s="913">
        <f t="shared" ref="AP161" si="481">AP360</f>
        <v>812.86</v>
      </c>
      <c r="AQ161" s="914">
        <f t="shared" si="479"/>
        <v>812.86</v>
      </c>
      <c r="AR161" s="911">
        <f t="shared" si="479"/>
        <v>812.86</v>
      </c>
      <c r="AS161" s="912">
        <f t="shared" ref="AS161:BB161" si="482">AS360</f>
        <v>812.86</v>
      </c>
      <c r="AT161" s="913">
        <f t="shared" si="482"/>
        <v>0</v>
      </c>
      <c r="AU161" s="913">
        <f t="shared" ref="AU161" si="483">AU360</f>
        <v>0</v>
      </c>
      <c r="AV161" s="914">
        <f t="shared" si="482"/>
        <v>0</v>
      </c>
      <c r="AW161" s="911">
        <f t="shared" si="482"/>
        <v>0</v>
      </c>
      <c r="AX161" s="912">
        <f t="shared" si="482"/>
        <v>0</v>
      </c>
      <c r="AY161" s="913">
        <f t="shared" si="482"/>
        <v>0</v>
      </c>
      <c r="AZ161" s="913">
        <f t="shared" si="482"/>
        <v>0</v>
      </c>
      <c r="BA161" s="914">
        <f t="shared" si="482"/>
        <v>0</v>
      </c>
      <c r="BB161" s="911">
        <f t="shared" si="482"/>
        <v>0</v>
      </c>
      <c r="BC161" s="912">
        <f t="shared" ref="BC161:BL161" si="484">BC360</f>
        <v>0</v>
      </c>
      <c r="BD161" s="913">
        <f t="shared" si="484"/>
        <v>0</v>
      </c>
      <c r="BE161" s="913">
        <f t="shared" si="484"/>
        <v>0</v>
      </c>
      <c r="BF161" s="914">
        <f t="shared" si="484"/>
        <v>0</v>
      </c>
      <c r="BG161" s="911">
        <f t="shared" si="484"/>
        <v>0</v>
      </c>
      <c r="BH161" s="912">
        <f t="shared" si="484"/>
        <v>0</v>
      </c>
      <c r="BI161" s="913">
        <f t="shared" si="484"/>
        <v>0</v>
      </c>
      <c r="BJ161" s="913">
        <f t="shared" si="484"/>
        <v>0</v>
      </c>
      <c r="BK161" s="914">
        <f t="shared" si="484"/>
        <v>0</v>
      </c>
      <c r="BL161" s="911">
        <f t="shared" si="484"/>
        <v>0</v>
      </c>
      <c r="BM161" s="912">
        <f t="shared" ref="BM161:BQ161" si="485">BM360</f>
        <v>0</v>
      </c>
      <c r="BN161" s="913">
        <f t="shared" si="485"/>
        <v>0</v>
      </c>
      <c r="BO161" s="913">
        <f t="shared" si="485"/>
        <v>0</v>
      </c>
      <c r="BP161" s="914">
        <f t="shared" si="485"/>
        <v>0</v>
      </c>
      <c r="BQ161" s="911">
        <f t="shared" si="485"/>
        <v>0</v>
      </c>
      <c r="BR161" s="911"/>
      <c r="BS161" s="1503"/>
      <c r="BT161" s="1503"/>
      <c r="BU161" s="1503"/>
      <c r="BV161" s="1503"/>
      <c r="BW161" s="1493"/>
      <c r="BX161"/>
      <c r="BY161"/>
      <c r="BZ161"/>
      <c r="CA161"/>
      <c r="CB161"/>
      <c r="CC161"/>
    </row>
    <row r="162" spans="1:81" s="19" customFormat="1">
      <c r="A162" s="108"/>
      <c r="B162" s="5"/>
      <c r="C162" s="1147" t="s">
        <v>857</v>
      </c>
      <c r="D162" s="5"/>
      <c r="E162" s="146"/>
      <c r="F162" s="7"/>
      <c r="G162" s="7"/>
      <c r="H162" s="147"/>
      <c r="I162" s="31"/>
      <c r="J162" s="146"/>
      <c r="K162" s="7"/>
      <c r="L162" s="7"/>
      <c r="M162" s="147"/>
      <c r="N162" s="5"/>
      <c r="O162" s="146"/>
      <c r="P162" s="7"/>
      <c r="Q162" s="7"/>
      <c r="R162" s="147"/>
      <c r="S162" s="5"/>
      <c r="T162" s="912"/>
      <c r="U162" s="913"/>
      <c r="V162" s="913"/>
      <c r="W162" s="914"/>
      <c r="X162" s="911"/>
      <c r="Y162" s="912">
        <f t="shared" ref="Y162:AR162" si="486">Y365</f>
        <v>2006.9299999999998</v>
      </c>
      <c r="Z162" s="913">
        <f t="shared" si="486"/>
        <v>2006.9299999999998</v>
      </c>
      <c r="AA162" s="913">
        <f t="shared" si="486"/>
        <v>2006.9299999999998</v>
      </c>
      <c r="AB162" s="914">
        <f t="shared" si="486"/>
        <v>2006.9299999999998</v>
      </c>
      <c r="AC162" s="911">
        <f t="shared" si="486"/>
        <v>2006.9299999999998</v>
      </c>
      <c r="AD162" s="912">
        <f t="shared" si="486"/>
        <v>2006.9299999999998</v>
      </c>
      <c r="AE162" s="913">
        <f t="shared" si="486"/>
        <v>2006.9299999999998</v>
      </c>
      <c r="AF162" s="913">
        <f t="shared" si="486"/>
        <v>2006.9299999999998</v>
      </c>
      <c r="AG162" s="914">
        <f t="shared" si="486"/>
        <v>2006.9299999999998</v>
      </c>
      <c r="AH162" s="911">
        <f t="shared" si="486"/>
        <v>2006.9299999999998</v>
      </c>
      <c r="AI162" s="912">
        <f t="shared" si="486"/>
        <v>2006.9299999999998</v>
      </c>
      <c r="AJ162" s="913">
        <f t="shared" si="486"/>
        <v>2006.9299999999998</v>
      </c>
      <c r="AK162" s="913">
        <f t="shared" si="486"/>
        <v>2006.9299999999998</v>
      </c>
      <c r="AL162" s="914">
        <f t="shared" si="486"/>
        <v>2006.9299999999998</v>
      </c>
      <c r="AM162" s="911">
        <f t="shared" si="486"/>
        <v>2006.9299999999998</v>
      </c>
      <c r="AN162" s="912">
        <f t="shared" ref="AN162" si="487">AN365</f>
        <v>2006.9299999999998</v>
      </c>
      <c r="AO162" s="913">
        <f t="shared" si="486"/>
        <v>2006.9299999999998</v>
      </c>
      <c r="AP162" s="913">
        <f t="shared" ref="AP162" si="488">AP365</f>
        <v>2006.9299999999998</v>
      </c>
      <c r="AQ162" s="914">
        <f t="shared" si="486"/>
        <v>2006.9299999999998</v>
      </c>
      <c r="AR162" s="911">
        <f t="shared" si="486"/>
        <v>2006.9299999999998</v>
      </c>
      <c r="AS162" s="912">
        <f t="shared" ref="AS162:BB162" si="489">AS365</f>
        <v>2006.9299999999998</v>
      </c>
      <c r="AT162" s="913">
        <f t="shared" si="489"/>
        <v>2006.9299999999998</v>
      </c>
      <c r="AU162" s="913">
        <f t="shared" ref="AU162" si="490">AU365</f>
        <v>2006.9299999999998</v>
      </c>
      <c r="AV162" s="914">
        <f t="shared" si="489"/>
        <v>2006.9299999999998</v>
      </c>
      <c r="AW162" s="911">
        <f t="shared" si="489"/>
        <v>2006.9299999999998</v>
      </c>
      <c r="AX162" s="912">
        <f t="shared" si="489"/>
        <v>2006.9299999999998</v>
      </c>
      <c r="AY162" s="913">
        <f t="shared" si="489"/>
        <v>2006.9299999999998</v>
      </c>
      <c r="AZ162" s="913">
        <f t="shared" si="489"/>
        <v>2006.9299999999998</v>
      </c>
      <c r="BA162" s="914">
        <f t="shared" si="489"/>
        <v>2006.9299999999998</v>
      </c>
      <c r="BB162" s="911">
        <f t="shared" si="489"/>
        <v>2006.9299999999998</v>
      </c>
      <c r="BC162" s="912">
        <f t="shared" ref="BC162:BL162" si="491">BC365</f>
        <v>2006.9299999999998</v>
      </c>
      <c r="BD162" s="913">
        <f t="shared" si="491"/>
        <v>2006.9299999999998</v>
      </c>
      <c r="BE162" s="913">
        <f t="shared" si="491"/>
        <v>2006.9299999999998</v>
      </c>
      <c r="BF162" s="914">
        <f t="shared" si="491"/>
        <v>2006.9299999999998</v>
      </c>
      <c r="BG162" s="911">
        <f t="shared" si="491"/>
        <v>2006.9299999999998</v>
      </c>
      <c r="BH162" s="912">
        <f t="shared" si="491"/>
        <v>2006.9299999999998</v>
      </c>
      <c r="BI162" s="913">
        <f t="shared" si="491"/>
        <v>1337.9533333333331</v>
      </c>
      <c r="BJ162" s="913">
        <f t="shared" si="491"/>
        <v>1003.4649999999999</v>
      </c>
      <c r="BK162" s="914">
        <f t="shared" si="491"/>
        <v>1003.4649999999999</v>
      </c>
      <c r="BL162" s="911">
        <f t="shared" si="491"/>
        <v>1003.4649999999999</v>
      </c>
      <c r="BM162" s="912">
        <f t="shared" ref="BM162:BQ162" si="492">BM365</f>
        <v>1003.4649999999999</v>
      </c>
      <c r="BN162" s="913">
        <f t="shared" si="492"/>
        <v>668.97666666666657</v>
      </c>
      <c r="BO162" s="913">
        <f t="shared" si="492"/>
        <v>0</v>
      </c>
      <c r="BP162" s="914">
        <f t="shared" si="492"/>
        <v>0</v>
      </c>
      <c r="BQ162" s="911">
        <f t="shared" si="492"/>
        <v>0</v>
      </c>
      <c r="BR162" s="911"/>
      <c r="BS162" s="1503"/>
      <c r="BT162" s="1503"/>
      <c r="BU162" s="1503"/>
      <c r="BV162" s="1503"/>
      <c r="BW162" s="1493"/>
      <c r="BX162"/>
      <c r="BY162"/>
      <c r="BZ162"/>
      <c r="CA162"/>
      <c r="CB162"/>
      <c r="CC162"/>
    </row>
    <row r="163" spans="1:81" s="19" customFormat="1">
      <c r="A163" s="108"/>
      <c r="B163" s="5"/>
      <c r="C163" s="1147" t="s">
        <v>853</v>
      </c>
      <c r="D163" s="5"/>
      <c r="E163" s="146"/>
      <c r="F163" s="7"/>
      <c r="G163" s="7"/>
      <c r="H163" s="147"/>
      <c r="I163" s="31"/>
      <c r="J163" s="146"/>
      <c r="K163" s="7"/>
      <c r="L163" s="7"/>
      <c r="M163" s="147"/>
      <c r="N163" s="5"/>
      <c r="O163" s="146"/>
      <c r="P163" s="7"/>
      <c r="Q163" s="7"/>
      <c r="R163" s="147"/>
      <c r="S163" s="5"/>
      <c r="T163" s="912"/>
      <c r="U163" s="913"/>
      <c r="V163" s="913"/>
      <c r="W163" s="914"/>
      <c r="X163" s="911"/>
      <c r="Y163" s="912">
        <f t="shared" ref="Y163:AR163" si="493">Y370</f>
        <v>1787.71</v>
      </c>
      <c r="Z163" s="913">
        <f t="shared" si="493"/>
        <v>1787.71</v>
      </c>
      <c r="AA163" s="913">
        <f t="shared" si="493"/>
        <v>1787.71</v>
      </c>
      <c r="AB163" s="914">
        <f t="shared" si="493"/>
        <v>1787.71</v>
      </c>
      <c r="AC163" s="911">
        <f t="shared" si="493"/>
        <v>1787.71</v>
      </c>
      <c r="AD163" s="912">
        <f t="shared" si="493"/>
        <v>1787.71</v>
      </c>
      <c r="AE163" s="913">
        <f t="shared" si="493"/>
        <v>1787.71</v>
      </c>
      <c r="AF163" s="913">
        <f t="shared" si="493"/>
        <v>1787.71</v>
      </c>
      <c r="AG163" s="914">
        <f t="shared" si="493"/>
        <v>1787.71</v>
      </c>
      <c r="AH163" s="911">
        <f t="shared" si="493"/>
        <v>1787.71</v>
      </c>
      <c r="AI163" s="912">
        <f t="shared" si="493"/>
        <v>1200.8599999999999</v>
      </c>
      <c r="AJ163" s="913">
        <f t="shared" si="493"/>
        <v>1200.8599999999999</v>
      </c>
      <c r="AK163" s="913">
        <f t="shared" si="493"/>
        <v>1200.8599999999999</v>
      </c>
      <c r="AL163" s="914">
        <f t="shared" si="493"/>
        <v>1200.8599999999999</v>
      </c>
      <c r="AM163" s="911">
        <f t="shared" si="493"/>
        <v>1200.8599999999999</v>
      </c>
      <c r="AN163" s="912">
        <f t="shared" ref="AN163" si="494">AN370</f>
        <v>667.36</v>
      </c>
      <c r="AO163" s="913">
        <f t="shared" si="493"/>
        <v>667.36</v>
      </c>
      <c r="AP163" s="913">
        <f t="shared" ref="AP163" si="495">AP370</f>
        <v>667.36</v>
      </c>
      <c r="AQ163" s="914">
        <f t="shared" si="493"/>
        <v>667.36</v>
      </c>
      <c r="AR163" s="911">
        <f t="shared" si="493"/>
        <v>667.36</v>
      </c>
      <c r="AS163" s="912">
        <f t="shared" ref="AS163:BB163" si="496">AS370</f>
        <v>667.36</v>
      </c>
      <c r="AT163" s="913">
        <f t="shared" si="496"/>
        <v>667.36</v>
      </c>
      <c r="AU163" s="913">
        <f t="shared" ref="AU163" si="497">AU370</f>
        <v>667.36</v>
      </c>
      <c r="AV163" s="914">
        <f t="shared" si="496"/>
        <v>667.36</v>
      </c>
      <c r="AW163" s="911">
        <f t="shared" si="496"/>
        <v>667.36</v>
      </c>
      <c r="AX163" s="912">
        <f t="shared" si="496"/>
        <v>667.36</v>
      </c>
      <c r="AY163" s="913">
        <f t="shared" si="496"/>
        <v>667.36</v>
      </c>
      <c r="AZ163" s="913">
        <f t="shared" si="496"/>
        <v>667.36</v>
      </c>
      <c r="BA163" s="914">
        <f t="shared" si="496"/>
        <v>667.36</v>
      </c>
      <c r="BB163" s="911">
        <f t="shared" si="496"/>
        <v>667.36</v>
      </c>
      <c r="BC163" s="912">
        <f t="shared" ref="BC163:BL163" si="498">BC370</f>
        <v>667.36</v>
      </c>
      <c r="BD163" s="913">
        <f t="shared" si="498"/>
        <v>444.90666666666669</v>
      </c>
      <c r="BE163" s="913">
        <f t="shared" si="498"/>
        <v>0</v>
      </c>
      <c r="BF163" s="914">
        <f t="shared" si="498"/>
        <v>0</v>
      </c>
      <c r="BG163" s="911">
        <f t="shared" si="498"/>
        <v>0</v>
      </c>
      <c r="BH163" s="912">
        <f t="shared" si="498"/>
        <v>0</v>
      </c>
      <c r="BI163" s="913">
        <f t="shared" si="498"/>
        <v>0</v>
      </c>
      <c r="BJ163" s="913">
        <f t="shared" si="498"/>
        <v>0</v>
      </c>
      <c r="BK163" s="914">
        <f t="shared" si="498"/>
        <v>0</v>
      </c>
      <c r="BL163" s="911">
        <f t="shared" si="498"/>
        <v>0</v>
      </c>
      <c r="BM163" s="912">
        <f t="shared" ref="BM163:BQ163" si="499">BM370</f>
        <v>0</v>
      </c>
      <c r="BN163" s="913">
        <f t="shared" si="499"/>
        <v>0</v>
      </c>
      <c r="BO163" s="913">
        <f t="shared" si="499"/>
        <v>0</v>
      </c>
      <c r="BP163" s="914">
        <f t="shared" si="499"/>
        <v>0</v>
      </c>
      <c r="BQ163" s="911">
        <f t="shared" si="499"/>
        <v>0</v>
      </c>
      <c r="BR163" s="911"/>
      <c r="BS163" s="1503"/>
      <c r="BT163" s="1503"/>
      <c r="BU163" s="1503"/>
      <c r="BV163" s="1503"/>
      <c r="BW163" s="1493"/>
      <c r="BX163"/>
      <c r="BY163"/>
      <c r="BZ163"/>
      <c r="CA163"/>
      <c r="CB163"/>
      <c r="CC163"/>
    </row>
    <row r="164" spans="1:81" s="19" customFormat="1">
      <c r="A164" s="108"/>
      <c r="B164" s="5"/>
      <c r="C164" s="1147" t="s">
        <v>97</v>
      </c>
      <c r="D164" s="5"/>
      <c r="E164" s="146"/>
      <c r="F164" s="7"/>
      <c r="G164" s="7"/>
      <c r="H164" s="147"/>
      <c r="I164" s="31"/>
      <c r="J164" s="146"/>
      <c r="K164" s="7"/>
      <c r="L164" s="7"/>
      <c r="M164" s="147"/>
      <c r="N164" s="5"/>
      <c r="O164" s="146"/>
      <c r="P164" s="7"/>
      <c r="Q164" s="7"/>
      <c r="R164" s="147"/>
      <c r="S164" s="5"/>
      <c r="T164" s="912"/>
      <c r="U164" s="913"/>
      <c r="V164" s="913"/>
      <c r="W164" s="914"/>
      <c r="X164" s="911"/>
      <c r="Y164" s="912">
        <f t="shared" ref="Y164:AR164" si="500">Y375</f>
        <v>798</v>
      </c>
      <c r="Z164" s="913">
        <f t="shared" si="500"/>
        <v>798</v>
      </c>
      <c r="AA164" s="913">
        <f t="shared" si="500"/>
        <v>798</v>
      </c>
      <c r="AB164" s="914">
        <f t="shared" si="500"/>
        <v>798</v>
      </c>
      <c r="AC164" s="911">
        <f t="shared" si="500"/>
        <v>798</v>
      </c>
      <c r="AD164" s="912">
        <f t="shared" si="500"/>
        <v>798</v>
      </c>
      <c r="AE164" s="913">
        <f t="shared" si="500"/>
        <v>798</v>
      </c>
      <c r="AF164" s="913">
        <f t="shared" si="500"/>
        <v>798</v>
      </c>
      <c r="AG164" s="914">
        <f t="shared" si="500"/>
        <v>798</v>
      </c>
      <c r="AH164" s="911">
        <f t="shared" si="500"/>
        <v>798</v>
      </c>
      <c r="AI164" s="912">
        <f t="shared" si="500"/>
        <v>798</v>
      </c>
      <c r="AJ164" s="913">
        <f t="shared" si="500"/>
        <v>798</v>
      </c>
      <c r="AK164" s="913">
        <f t="shared" si="500"/>
        <v>798</v>
      </c>
      <c r="AL164" s="914">
        <f t="shared" si="500"/>
        <v>798</v>
      </c>
      <c r="AM164" s="911">
        <f t="shared" si="500"/>
        <v>798</v>
      </c>
      <c r="AN164" s="912">
        <f t="shared" ref="AN164" si="501">AN375</f>
        <v>798</v>
      </c>
      <c r="AO164" s="913">
        <f t="shared" si="500"/>
        <v>798</v>
      </c>
      <c r="AP164" s="913">
        <f t="shared" ref="AP164" si="502">AP375</f>
        <v>798</v>
      </c>
      <c r="AQ164" s="914">
        <f t="shared" si="500"/>
        <v>798</v>
      </c>
      <c r="AR164" s="911">
        <f t="shared" si="500"/>
        <v>798</v>
      </c>
      <c r="AS164" s="912">
        <f t="shared" ref="AS164:BB164" si="503">AS375</f>
        <v>798</v>
      </c>
      <c r="AT164" s="913">
        <f t="shared" si="503"/>
        <v>798</v>
      </c>
      <c r="AU164" s="913">
        <f t="shared" ref="AU164" si="504">AU375</f>
        <v>798</v>
      </c>
      <c r="AV164" s="914">
        <f t="shared" si="503"/>
        <v>798</v>
      </c>
      <c r="AW164" s="911">
        <f t="shared" si="503"/>
        <v>798</v>
      </c>
      <c r="AX164" s="912">
        <f t="shared" si="503"/>
        <v>798</v>
      </c>
      <c r="AY164" s="913">
        <f t="shared" si="503"/>
        <v>798</v>
      </c>
      <c r="AZ164" s="913">
        <f t="shared" si="503"/>
        <v>798</v>
      </c>
      <c r="BA164" s="914">
        <f t="shared" si="503"/>
        <v>798</v>
      </c>
      <c r="BB164" s="911">
        <f t="shared" si="503"/>
        <v>798</v>
      </c>
      <c r="BC164" s="912">
        <f t="shared" ref="BC164:BL164" si="505">BC375</f>
        <v>798</v>
      </c>
      <c r="BD164" s="913">
        <f t="shared" si="505"/>
        <v>798</v>
      </c>
      <c r="BE164" s="913">
        <f t="shared" si="505"/>
        <v>798</v>
      </c>
      <c r="BF164" s="914">
        <f t="shared" si="505"/>
        <v>798</v>
      </c>
      <c r="BG164" s="911">
        <f t="shared" si="505"/>
        <v>798</v>
      </c>
      <c r="BH164" s="912">
        <f t="shared" si="505"/>
        <v>798</v>
      </c>
      <c r="BI164" s="913">
        <f t="shared" si="505"/>
        <v>798</v>
      </c>
      <c r="BJ164" s="913">
        <f t="shared" si="505"/>
        <v>798</v>
      </c>
      <c r="BK164" s="914">
        <f t="shared" si="505"/>
        <v>798</v>
      </c>
      <c r="BL164" s="911">
        <f t="shared" si="505"/>
        <v>798</v>
      </c>
      <c r="BM164" s="912">
        <f t="shared" ref="BM164:BQ164" si="506">BM375</f>
        <v>798</v>
      </c>
      <c r="BN164" s="913">
        <f t="shared" si="506"/>
        <v>798</v>
      </c>
      <c r="BO164" s="913">
        <f t="shared" si="506"/>
        <v>798</v>
      </c>
      <c r="BP164" s="914">
        <f t="shared" si="506"/>
        <v>798</v>
      </c>
      <c r="BQ164" s="911">
        <f t="shared" si="506"/>
        <v>798</v>
      </c>
      <c r="BR164" s="911"/>
      <c r="BS164" s="1503"/>
      <c r="BT164" s="1503"/>
      <c r="BU164" s="1503"/>
      <c r="BV164" s="1503"/>
      <c r="BW164" s="1493"/>
      <c r="BX164"/>
      <c r="BY164"/>
      <c r="BZ164"/>
      <c r="CA164"/>
      <c r="CB164"/>
      <c r="CC164"/>
    </row>
    <row r="165" spans="1:81" s="19" customFormat="1">
      <c r="A165" s="108"/>
      <c r="B165" s="5"/>
      <c r="C165" s="1147" t="s">
        <v>98</v>
      </c>
      <c r="D165" s="5"/>
      <c r="E165" s="146"/>
      <c r="F165" s="7"/>
      <c r="G165" s="7"/>
      <c r="H165" s="147"/>
      <c r="I165" s="31"/>
      <c r="J165" s="146"/>
      <c r="K165" s="7"/>
      <c r="L165" s="7"/>
      <c r="M165" s="147"/>
      <c r="N165" s="5"/>
      <c r="O165" s="146"/>
      <c r="P165" s="7"/>
      <c r="Q165" s="7"/>
      <c r="R165" s="147"/>
      <c r="S165" s="5"/>
      <c r="T165" s="912"/>
      <c r="U165" s="913"/>
      <c r="V165" s="913"/>
      <c r="W165" s="914"/>
      <c r="X165" s="911"/>
      <c r="Y165" s="912">
        <f>Y288+Y308+Y343</f>
        <v>837</v>
      </c>
      <c r="Z165" s="913">
        <f>Z288+Z308+Z343</f>
        <v>837</v>
      </c>
      <c r="AA165" s="913">
        <f>AA288+AA308+AA343</f>
        <v>837</v>
      </c>
      <c r="AB165" s="914">
        <f>AB288+AB308+AB343</f>
        <v>837</v>
      </c>
      <c r="AC165" s="911">
        <f t="shared" ref="AC165:AR165" si="507">AC288+AC308+AC343+AC323</f>
        <v>1018</v>
      </c>
      <c r="AD165" s="912">
        <f t="shared" si="507"/>
        <v>1018</v>
      </c>
      <c r="AE165" s="913">
        <f t="shared" si="507"/>
        <v>1018</v>
      </c>
      <c r="AF165" s="913">
        <f t="shared" si="507"/>
        <v>1018</v>
      </c>
      <c r="AG165" s="914">
        <f t="shared" si="507"/>
        <v>1018</v>
      </c>
      <c r="AH165" s="911">
        <f t="shared" si="507"/>
        <v>1018</v>
      </c>
      <c r="AI165" s="912">
        <f t="shared" si="507"/>
        <v>1018</v>
      </c>
      <c r="AJ165" s="913">
        <f t="shared" si="507"/>
        <v>1018</v>
      </c>
      <c r="AK165" s="913">
        <f t="shared" si="507"/>
        <v>1018</v>
      </c>
      <c r="AL165" s="914">
        <f t="shared" si="507"/>
        <v>1018</v>
      </c>
      <c r="AM165" s="911">
        <f t="shared" si="507"/>
        <v>1018</v>
      </c>
      <c r="AN165" s="912">
        <f t="shared" ref="AN165" si="508">AN288+AN308+AN343+AN323</f>
        <v>1018</v>
      </c>
      <c r="AO165" s="913">
        <f t="shared" si="507"/>
        <v>1018</v>
      </c>
      <c r="AP165" s="913">
        <f t="shared" ref="AP165" si="509">AP288+AP308+AP343+AP323</f>
        <v>1018</v>
      </c>
      <c r="AQ165" s="914">
        <f t="shared" si="507"/>
        <v>1018</v>
      </c>
      <c r="AR165" s="911">
        <f t="shared" si="507"/>
        <v>1018</v>
      </c>
      <c r="AS165" s="912">
        <f t="shared" ref="AS165:BB165" si="510">AS288+AS308+AS343+AS323</f>
        <v>1018</v>
      </c>
      <c r="AT165" s="913">
        <f t="shared" si="510"/>
        <v>1018</v>
      </c>
      <c r="AU165" s="913">
        <f t="shared" ref="AU165" si="511">AU288+AU308+AU343+AU323</f>
        <v>1018</v>
      </c>
      <c r="AV165" s="914">
        <f t="shared" si="510"/>
        <v>1018</v>
      </c>
      <c r="AW165" s="911">
        <f t="shared" si="510"/>
        <v>1018</v>
      </c>
      <c r="AX165" s="912">
        <f t="shared" si="510"/>
        <v>1018</v>
      </c>
      <c r="AY165" s="913">
        <f t="shared" si="510"/>
        <v>1018</v>
      </c>
      <c r="AZ165" s="913">
        <f t="shared" si="510"/>
        <v>1018</v>
      </c>
      <c r="BA165" s="914">
        <f t="shared" si="510"/>
        <v>1018</v>
      </c>
      <c r="BB165" s="911">
        <f t="shared" si="510"/>
        <v>1018</v>
      </c>
      <c r="BC165" s="912">
        <f t="shared" ref="BC165:BL165" si="512">BC288+BC308+BC343+BC323</f>
        <v>1018</v>
      </c>
      <c r="BD165" s="913">
        <f t="shared" si="512"/>
        <v>1018</v>
      </c>
      <c r="BE165" s="913">
        <f t="shared" si="512"/>
        <v>1018</v>
      </c>
      <c r="BF165" s="914">
        <f t="shared" si="512"/>
        <v>1018</v>
      </c>
      <c r="BG165" s="911">
        <f t="shared" si="512"/>
        <v>1018</v>
      </c>
      <c r="BH165" s="912">
        <f t="shared" si="512"/>
        <v>1018</v>
      </c>
      <c r="BI165" s="913">
        <f t="shared" si="512"/>
        <v>1018</v>
      </c>
      <c r="BJ165" s="913">
        <f t="shared" si="512"/>
        <v>1018</v>
      </c>
      <c r="BK165" s="914">
        <f t="shared" si="512"/>
        <v>1018</v>
      </c>
      <c r="BL165" s="911">
        <f t="shared" si="512"/>
        <v>1018</v>
      </c>
      <c r="BM165" s="912">
        <f t="shared" ref="BM165:BQ165" si="513">BM288+BM308+BM343+BM323</f>
        <v>1018</v>
      </c>
      <c r="BN165" s="913">
        <f t="shared" si="513"/>
        <v>1018</v>
      </c>
      <c r="BO165" s="913">
        <f t="shared" si="513"/>
        <v>1018</v>
      </c>
      <c r="BP165" s="914">
        <f t="shared" si="513"/>
        <v>1018</v>
      </c>
      <c r="BQ165" s="911">
        <f t="shared" si="513"/>
        <v>1018</v>
      </c>
      <c r="BR165" s="911"/>
      <c r="BS165" s="1503"/>
      <c r="BT165" s="1503"/>
      <c r="BU165" s="1503"/>
      <c r="BV165" s="1503"/>
      <c r="BW165" s="1493"/>
      <c r="BX165"/>
      <c r="BY165"/>
      <c r="BZ165"/>
      <c r="CA165"/>
      <c r="CB165"/>
      <c r="CC165"/>
    </row>
    <row r="166" spans="1:81" s="19" customFormat="1">
      <c r="A166" s="108"/>
      <c r="B166" s="36"/>
      <c r="C166" s="1148" t="s">
        <v>617</v>
      </c>
      <c r="D166" s="36"/>
      <c r="E166" s="122"/>
      <c r="F166" s="123"/>
      <c r="G166" s="123"/>
      <c r="H166" s="915"/>
      <c r="I166" s="36"/>
      <c r="J166" s="122"/>
      <c r="K166" s="123"/>
      <c r="L166" s="123"/>
      <c r="M166" s="915"/>
      <c r="N166" s="36"/>
      <c r="O166" s="122"/>
      <c r="P166" s="123"/>
      <c r="Q166" s="123"/>
      <c r="R166" s="915"/>
      <c r="S166" s="36"/>
      <c r="T166" s="200"/>
      <c r="U166" s="201"/>
      <c r="V166" s="201"/>
      <c r="W166" s="202"/>
      <c r="X166" s="86"/>
      <c r="Y166" s="200">
        <f t="shared" ref="Y166:AQ166" si="514">SUM(Y161:Y164)</f>
        <v>5405.5</v>
      </c>
      <c r="Z166" s="201">
        <f t="shared" si="514"/>
        <v>5405.5</v>
      </c>
      <c r="AA166" s="201">
        <f t="shared" si="514"/>
        <v>5405.5</v>
      </c>
      <c r="AB166" s="202">
        <f t="shared" si="514"/>
        <v>5405.5</v>
      </c>
      <c r="AC166" s="86">
        <f>SUM(AC161:AC165)</f>
        <v>6423.5</v>
      </c>
      <c r="AD166" s="200">
        <f t="shared" si="514"/>
        <v>5405.5</v>
      </c>
      <c r="AE166" s="201">
        <f t="shared" si="514"/>
        <v>5405.5</v>
      </c>
      <c r="AF166" s="201">
        <f t="shared" si="514"/>
        <v>5405.5</v>
      </c>
      <c r="AG166" s="202">
        <f t="shared" si="514"/>
        <v>5405.5</v>
      </c>
      <c r="AH166" s="86">
        <f>SUM(AH161:AH165)</f>
        <v>6423.5</v>
      </c>
      <c r="AI166" s="200">
        <f t="shared" si="514"/>
        <v>4818.6499999999996</v>
      </c>
      <c r="AJ166" s="201">
        <f t="shared" si="514"/>
        <v>4818.6499999999996</v>
      </c>
      <c r="AK166" s="201">
        <f t="shared" si="514"/>
        <v>4818.6499999999996</v>
      </c>
      <c r="AL166" s="202">
        <f t="shared" si="514"/>
        <v>4818.6499999999996</v>
      </c>
      <c r="AM166" s="86">
        <f>SUM(AM161:AM165)</f>
        <v>5836.65</v>
      </c>
      <c r="AN166" s="200">
        <f t="shared" ref="AN166" si="515">SUM(AN161:AN164)</f>
        <v>4285.1499999999996</v>
      </c>
      <c r="AO166" s="201">
        <f t="shared" si="514"/>
        <v>4285.1499999999996</v>
      </c>
      <c r="AP166" s="201">
        <f t="shared" ref="AP166" si="516">SUM(AP161:AP164)</f>
        <v>4285.1499999999996</v>
      </c>
      <c r="AQ166" s="202">
        <f t="shared" si="514"/>
        <v>4285.1499999999996</v>
      </c>
      <c r="AR166" s="86">
        <f>SUM(AR161:AR165)</f>
        <v>5303.15</v>
      </c>
      <c r="AS166" s="200">
        <f>SUM(AS161:AS164)</f>
        <v>4285.1499999999996</v>
      </c>
      <c r="AT166" s="201">
        <f t="shared" ref="AT166:AU166" si="517">SUM(AT161:AT164)</f>
        <v>3472.29</v>
      </c>
      <c r="AU166" s="201">
        <f t="shared" si="517"/>
        <v>3472.29</v>
      </c>
      <c r="AV166" s="202">
        <f>SUM(AV161:AV164)</f>
        <v>3472.29</v>
      </c>
      <c r="AW166" s="86">
        <f>SUM(AW161:AW165)</f>
        <v>4490.29</v>
      </c>
      <c r="AX166" s="200">
        <f>SUM(AX161:AX164)</f>
        <v>3472.29</v>
      </c>
      <c r="AY166" s="201">
        <f>SUM(AY161:AY164)</f>
        <v>3472.29</v>
      </c>
      <c r="AZ166" s="201">
        <f>SUM(AZ161:AZ164)</f>
        <v>3472.29</v>
      </c>
      <c r="BA166" s="202">
        <f>SUM(BA161:BA164)</f>
        <v>3472.29</v>
      </c>
      <c r="BB166" s="86">
        <f>SUM(BB161:BB165)</f>
        <v>4490.29</v>
      </c>
      <c r="BC166" s="200">
        <f>SUM(BC161:BC164)</f>
        <v>3472.29</v>
      </c>
      <c r="BD166" s="201">
        <f>SUM(BD161:BD164)</f>
        <v>3249.8366666666666</v>
      </c>
      <c r="BE166" s="201">
        <f>SUM(BE161:BE164)</f>
        <v>2804.93</v>
      </c>
      <c r="BF166" s="202">
        <f>SUM(BF161:BF164)</f>
        <v>2804.93</v>
      </c>
      <c r="BG166" s="86">
        <f>SUM(BG161:BG165)</f>
        <v>3822.93</v>
      </c>
      <c r="BH166" s="200">
        <f>SUM(BH161:BH164)</f>
        <v>2804.93</v>
      </c>
      <c r="BI166" s="201">
        <f>SUM(BI161:BI164)</f>
        <v>2135.9533333333329</v>
      </c>
      <c r="BJ166" s="201">
        <f>SUM(BJ161:BJ164)</f>
        <v>1801.4649999999999</v>
      </c>
      <c r="BK166" s="202">
        <f>SUM(BK161:BK164)</f>
        <v>1801.4649999999999</v>
      </c>
      <c r="BL166" s="86">
        <f>SUM(BL161:BL165)</f>
        <v>2819.4650000000001</v>
      </c>
      <c r="BM166" s="200">
        <f>SUM(BM161:BM164)</f>
        <v>1801.4649999999999</v>
      </c>
      <c r="BN166" s="201">
        <f>SUM(BN161:BN164)</f>
        <v>1466.9766666666665</v>
      </c>
      <c r="BO166" s="201">
        <f>SUM(BO161:BO164)</f>
        <v>798</v>
      </c>
      <c r="BP166" s="202">
        <f>SUM(BP161:BP164)</f>
        <v>798</v>
      </c>
      <c r="BQ166" s="86">
        <f>SUM(BQ161:BQ165)</f>
        <v>1816</v>
      </c>
      <c r="BR166" s="86"/>
      <c r="BS166" s="1503"/>
      <c r="BT166" s="1503"/>
      <c r="BU166" s="1503"/>
      <c r="BV166" s="1503"/>
      <c r="BW166" s="1493"/>
      <c r="BX166"/>
      <c r="BY166"/>
      <c r="BZ166"/>
      <c r="CA166"/>
      <c r="CB166"/>
      <c r="CC166"/>
    </row>
    <row r="167" spans="1:81" s="19" customFormat="1">
      <c r="A167" s="108"/>
      <c r="B167" s="5"/>
      <c r="C167" s="1125"/>
      <c r="D167" s="5"/>
      <c r="E167" s="171"/>
      <c r="F167" s="172"/>
      <c r="G167" s="172"/>
      <c r="H167" s="173"/>
      <c r="I167" s="408"/>
      <c r="J167" s="171"/>
      <c r="K167" s="172"/>
      <c r="L167" s="172"/>
      <c r="M167" s="173"/>
      <c r="N167" s="408"/>
      <c r="O167" s="171"/>
      <c r="P167" s="172"/>
      <c r="Q167" s="172"/>
      <c r="R167" s="173"/>
      <c r="S167" s="408"/>
      <c r="T167" s="171"/>
      <c r="U167" s="172"/>
      <c r="V167" s="172"/>
      <c r="W167" s="173"/>
      <c r="X167" s="408"/>
      <c r="Y167" s="171"/>
      <c r="Z167" s="172"/>
      <c r="AA167" s="172"/>
      <c r="AB167" s="173"/>
      <c r="AC167" s="408"/>
      <c r="AD167" s="171"/>
      <c r="AE167" s="172"/>
      <c r="AF167" s="172"/>
      <c r="AG167" s="173"/>
      <c r="AH167" s="408"/>
      <c r="AI167" s="171"/>
      <c r="AJ167" s="172"/>
      <c r="AK167" s="172"/>
      <c r="AL167" s="173"/>
      <c r="AM167" s="408"/>
      <c r="AN167" s="171"/>
      <c r="AO167" s="172"/>
      <c r="AP167" s="172"/>
      <c r="AQ167" s="173"/>
      <c r="AR167" s="408"/>
      <c r="AS167" s="171"/>
      <c r="AT167" s="172"/>
      <c r="AU167" s="172"/>
      <c r="AV167" s="173"/>
      <c r="AW167" s="408"/>
      <c r="AX167" s="171"/>
      <c r="AY167" s="172"/>
      <c r="AZ167" s="172"/>
      <c r="BA167" s="173"/>
      <c r="BB167" s="408"/>
      <c r="BC167" s="171"/>
      <c r="BD167" s="172"/>
      <c r="BE167" s="172"/>
      <c r="BF167" s="173"/>
      <c r="BG167" s="408"/>
      <c r="BH167" s="171"/>
      <c r="BI167" s="172"/>
      <c r="BJ167" s="172"/>
      <c r="BK167" s="173"/>
      <c r="BL167" s="408"/>
      <c r="BM167" s="171"/>
      <c r="BN167" s="172"/>
      <c r="BO167" s="172"/>
      <c r="BP167" s="173"/>
      <c r="BQ167" s="408"/>
      <c r="BR167" s="408"/>
      <c r="BS167" s="1503"/>
      <c r="BT167" s="1503"/>
      <c r="BU167" s="1503"/>
      <c r="BV167" s="1503"/>
      <c r="BW167" s="1493"/>
      <c r="BX167"/>
      <c r="BY167"/>
      <c r="BZ167"/>
      <c r="CA167"/>
      <c r="CB167"/>
      <c r="CC167"/>
    </row>
    <row r="168" spans="1:81" s="19" customFormat="1">
      <c r="A168" s="108"/>
      <c r="B168" s="5"/>
      <c r="C168" s="1125"/>
      <c r="D168" s="5"/>
      <c r="E168" s="171"/>
      <c r="F168" s="172"/>
      <c r="G168" s="172"/>
      <c r="H168" s="173"/>
      <c r="I168" s="408"/>
      <c r="J168" s="171"/>
      <c r="K168" s="172"/>
      <c r="L168" s="172"/>
      <c r="M168" s="173"/>
      <c r="N168" s="408"/>
      <c r="O168" s="171"/>
      <c r="P168" s="172"/>
      <c r="Q168" s="172"/>
      <c r="R168" s="173"/>
      <c r="S168" s="408"/>
      <c r="T168" s="171"/>
      <c r="U168" s="172"/>
      <c r="V168" s="172"/>
      <c r="W168" s="173"/>
      <c r="X168" s="408"/>
      <c r="Y168" s="171"/>
      <c r="Z168" s="172"/>
      <c r="AA168" s="172"/>
      <c r="AB168" s="173"/>
      <c r="AC168" s="408"/>
      <c r="AD168" s="171"/>
      <c r="AE168" s="172"/>
      <c r="AF168" s="172"/>
      <c r="AG168" s="173"/>
      <c r="AH168" s="408"/>
      <c r="AI168" s="171"/>
      <c r="AJ168" s="1713"/>
      <c r="AK168" s="172"/>
      <c r="AL168" s="173"/>
      <c r="AM168" s="408"/>
      <c r="AN168" s="171"/>
      <c r="AO168" s="172"/>
      <c r="AP168" s="172"/>
      <c r="AQ168" s="173"/>
      <c r="AR168" s="408"/>
      <c r="AS168" s="171"/>
      <c r="AT168" s="172"/>
      <c r="AU168" s="172"/>
      <c r="AV168" s="173"/>
      <c r="AW168" s="408"/>
      <c r="AX168" s="171"/>
      <c r="AY168" s="172"/>
      <c r="AZ168" s="172"/>
      <c r="BA168" s="173"/>
      <c r="BB168" s="408"/>
      <c r="BC168" s="171"/>
      <c r="BD168" s="172"/>
      <c r="BE168" s="172"/>
      <c r="BF168" s="173"/>
      <c r="BG168" s="408"/>
      <c r="BH168" s="171"/>
      <c r="BI168" s="172"/>
      <c r="BJ168" s="172"/>
      <c r="BK168" s="173"/>
      <c r="BL168" s="408"/>
      <c r="BM168" s="171"/>
      <c r="BN168" s="172"/>
      <c r="BO168" s="172"/>
      <c r="BP168" s="173"/>
      <c r="BQ168" s="408"/>
      <c r="BR168" s="408"/>
      <c r="BS168" s="1503"/>
      <c r="BT168" s="1503"/>
      <c r="BU168" s="1503"/>
      <c r="BV168" s="1503"/>
      <c r="BW168" s="1493"/>
      <c r="BX168"/>
      <c r="BY168"/>
      <c r="BZ168"/>
      <c r="CA168"/>
      <c r="CB168"/>
      <c r="CC168"/>
    </row>
    <row r="169" spans="1:81" s="19" customFormat="1">
      <c r="A169" s="108"/>
      <c r="B169" s="70" t="s">
        <v>544</v>
      </c>
      <c r="C169" s="1144"/>
      <c r="D169" s="121"/>
      <c r="E169" s="171"/>
      <c r="F169" s="172"/>
      <c r="G169" s="172"/>
      <c r="H169" s="173"/>
      <c r="I169" s="408"/>
      <c r="J169" s="171"/>
      <c r="K169" s="172"/>
      <c r="L169" s="172"/>
      <c r="M169" s="173"/>
      <c r="N169" s="408"/>
      <c r="O169" s="171"/>
      <c r="P169" s="172"/>
      <c r="Q169" s="172"/>
      <c r="R169" s="173"/>
      <c r="S169" s="408"/>
      <c r="T169" s="171"/>
      <c r="U169" s="172"/>
      <c r="V169" s="172"/>
      <c r="W169" s="173"/>
      <c r="X169" s="408"/>
      <c r="Y169" s="171"/>
      <c r="Z169" s="172"/>
      <c r="AA169" s="172"/>
      <c r="AB169" s="173"/>
      <c r="AC169" s="408"/>
      <c r="AD169" s="171"/>
      <c r="AE169" s="172"/>
      <c r="AF169" s="172"/>
      <c r="AG169" s="173"/>
      <c r="AH169" s="408"/>
      <c r="AI169" s="171"/>
      <c r="AJ169" s="172"/>
      <c r="AK169" s="172"/>
      <c r="AL169" s="173"/>
      <c r="AM169" s="408"/>
      <c r="AN169" s="171"/>
      <c r="AO169" s="172"/>
      <c r="AP169" s="172"/>
      <c r="AQ169" s="173"/>
      <c r="AR169" s="408"/>
      <c r="AS169" s="171"/>
      <c r="AT169" s="172"/>
      <c r="AU169" s="172"/>
      <c r="AV169" s="173"/>
      <c r="AW169" s="408"/>
      <c r="AX169" s="171"/>
      <c r="AY169" s="172"/>
      <c r="AZ169" s="172"/>
      <c r="BA169" s="173"/>
      <c r="BB169" s="408"/>
      <c r="BC169" s="171"/>
      <c r="BD169" s="172"/>
      <c r="BE169" s="172"/>
      <c r="BF169" s="173"/>
      <c r="BG169" s="408"/>
      <c r="BH169" s="171"/>
      <c r="BI169" s="172"/>
      <c r="BJ169" s="172"/>
      <c r="BK169" s="173"/>
      <c r="BL169" s="408"/>
      <c r="BM169" s="171"/>
      <c r="BN169" s="172"/>
      <c r="BO169" s="172"/>
      <c r="BP169" s="173"/>
      <c r="BQ169" s="408"/>
      <c r="BR169" s="408"/>
      <c r="BS169" s="1503"/>
      <c r="BT169" s="1503"/>
      <c r="BU169" s="1503"/>
      <c r="BV169" s="1503"/>
      <c r="BW169" s="1493"/>
      <c r="BX169"/>
      <c r="BY169"/>
      <c r="BZ169"/>
      <c r="CA169"/>
      <c r="CB169"/>
      <c r="CC169"/>
    </row>
    <row r="170" spans="1:81" s="19" customFormat="1">
      <c r="A170" s="108"/>
      <c r="B170" s="5"/>
      <c r="C170" s="1125"/>
      <c r="D170" s="5"/>
      <c r="E170" s="171"/>
      <c r="F170" s="172"/>
      <c r="G170" s="172"/>
      <c r="H170" s="173"/>
      <c r="I170" s="408"/>
      <c r="J170" s="171"/>
      <c r="K170" s="172"/>
      <c r="L170" s="172"/>
      <c r="M170" s="173"/>
      <c r="N170" s="408"/>
      <c r="O170" s="171"/>
      <c r="P170" s="172"/>
      <c r="Q170" s="172"/>
      <c r="R170" s="173"/>
      <c r="S170" s="408"/>
      <c r="T170" s="171"/>
      <c r="U170" s="172"/>
      <c r="V170" s="172"/>
      <c r="W170" s="173"/>
      <c r="X170" s="408"/>
      <c r="Y170" s="171"/>
      <c r="Z170" s="172"/>
      <c r="AA170" s="172"/>
      <c r="AB170" s="173"/>
      <c r="AC170" s="408"/>
      <c r="AD170" s="171"/>
      <c r="AE170" s="172"/>
      <c r="AF170" s="172"/>
      <c r="AG170" s="173"/>
      <c r="AH170" s="408"/>
      <c r="AI170" s="171"/>
      <c r="AJ170" s="172"/>
      <c r="AK170" s="172"/>
      <c r="AL170" s="173"/>
      <c r="AM170" s="408"/>
      <c r="AN170" s="171"/>
      <c r="AO170" s="172"/>
      <c r="AP170" s="172"/>
      <c r="AQ170" s="173"/>
      <c r="AR170" s="408"/>
      <c r="AS170" s="171"/>
      <c r="AT170" s="172"/>
      <c r="AU170" s="172"/>
      <c r="AV170" s="173"/>
      <c r="AW170" s="245"/>
      <c r="AX170" s="171"/>
      <c r="AY170" s="172"/>
      <c r="AZ170" s="172"/>
      <c r="BA170" s="173"/>
      <c r="BB170" s="245"/>
      <c r="BC170" s="171"/>
      <c r="BD170" s="172"/>
      <c r="BE170" s="172"/>
      <c r="BF170" s="173"/>
      <c r="BG170" s="245"/>
      <c r="BH170" s="171"/>
      <c r="BI170" s="172"/>
      <c r="BJ170" s="172"/>
      <c r="BK170" s="173"/>
      <c r="BL170" s="245"/>
      <c r="BM170" s="171"/>
      <c r="BN170" s="172"/>
      <c r="BO170" s="172"/>
      <c r="BP170" s="173"/>
      <c r="BQ170" s="245"/>
      <c r="BR170" s="245"/>
      <c r="BS170" s="1503"/>
      <c r="BT170" s="1503"/>
      <c r="BU170" s="1503"/>
      <c r="BV170" s="1503"/>
      <c r="BW170" s="1493"/>
      <c r="BX170"/>
      <c r="BY170"/>
      <c r="BZ170"/>
      <c r="CA170"/>
      <c r="CB170"/>
      <c r="CC170"/>
    </row>
    <row r="171" spans="1:81" s="19" customFormat="1">
      <c r="A171" s="108"/>
      <c r="B171" s="5"/>
      <c r="C171" s="1149" t="s">
        <v>242</v>
      </c>
      <c r="D171" s="5"/>
      <c r="E171" s="171"/>
      <c r="F171" s="172"/>
      <c r="G171" s="172"/>
      <c r="H171" s="173"/>
      <c r="I171" s="408"/>
      <c r="J171" s="171"/>
      <c r="K171" s="172"/>
      <c r="L171" s="172"/>
      <c r="M171" s="173"/>
      <c r="N171" s="408"/>
      <c r="O171" s="171"/>
      <c r="P171" s="172"/>
      <c r="Q171" s="172"/>
      <c r="R171" s="173"/>
      <c r="S171" s="408"/>
      <c r="T171" s="171"/>
      <c r="U171" s="172"/>
      <c r="V171" s="172"/>
      <c r="W171" s="173"/>
      <c r="X171" s="408"/>
      <c r="Y171" s="171"/>
      <c r="Z171" s="172"/>
      <c r="AA171" s="172"/>
      <c r="AB171" s="173"/>
      <c r="AC171" s="408"/>
      <c r="AD171" s="171"/>
      <c r="AE171" s="172"/>
      <c r="AF171" s="172"/>
      <c r="AG171" s="173"/>
      <c r="AH171" s="408"/>
      <c r="AI171" s="171"/>
      <c r="AJ171" s="172"/>
      <c r="AK171" s="172"/>
      <c r="AL171" s="173"/>
      <c r="AM171" s="408"/>
      <c r="AN171" s="171"/>
      <c r="AO171" s="172"/>
      <c r="AP171" s="172"/>
      <c r="AQ171" s="173"/>
      <c r="AR171" s="408"/>
      <c r="AS171" s="171"/>
      <c r="AT171" s="172"/>
      <c r="AU171" s="172"/>
      <c r="AV171" s="173"/>
      <c r="AW171" s="245"/>
      <c r="AX171" s="171"/>
      <c r="AY171" s="172"/>
      <c r="AZ171" s="172"/>
      <c r="BA171" s="173"/>
      <c r="BB171" s="245"/>
      <c r="BC171" s="171"/>
      <c r="BD171" s="172"/>
      <c r="BE171" s="172"/>
      <c r="BF171" s="173"/>
      <c r="BG171" s="245"/>
      <c r="BH171" s="171"/>
      <c r="BI171" s="172"/>
      <c r="BJ171" s="172"/>
      <c r="BK171" s="173"/>
      <c r="BL171" s="245"/>
      <c r="BM171" s="171"/>
      <c r="BN171" s="172"/>
      <c r="BO171" s="172"/>
      <c r="BP171" s="173"/>
      <c r="BQ171" s="245"/>
      <c r="BR171" s="245"/>
      <c r="BS171" s="1503"/>
      <c r="BT171" s="1503"/>
      <c r="BU171" s="1503"/>
      <c r="BV171" s="1503"/>
      <c r="BW171" s="1493"/>
      <c r="BX171"/>
      <c r="BY171"/>
      <c r="BZ171"/>
      <c r="CA171"/>
      <c r="CB171"/>
      <c r="CC171"/>
    </row>
    <row r="172" spans="1:81" s="19" customFormat="1">
      <c r="A172" s="108"/>
      <c r="B172" s="5"/>
      <c r="C172" s="1152" t="s">
        <v>239</v>
      </c>
      <c r="D172" s="5"/>
      <c r="E172" s="171"/>
      <c r="F172" s="172"/>
      <c r="G172" s="172"/>
      <c r="H172" s="173"/>
      <c r="I172" s="408"/>
      <c r="J172" s="171"/>
      <c r="K172" s="172"/>
      <c r="L172" s="172"/>
      <c r="M172" s="173"/>
      <c r="N172" s="408"/>
      <c r="O172" s="171"/>
      <c r="P172" s="172"/>
      <c r="Q172" s="172"/>
      <c r="R172" s="173"/>
      <c r="S172" s="408"/>
      <c r="T172" s="177"/>
      <c r="U172" s="178"/>
      <c r="V172" s="178"/>
      <c r="W172" s="179"/>
      <c r="X172" s="518"/>
      <c r="Y172" s="177">
        <f>AC172/4</f>
        <v>10000</v>
      </c>
      <c r="Z172" s="178">
        <f>AC172/4</f>
        <v>10000</v>
      </c>
      <c r="AA172" s="178">
        <f>AC172/4</f>
        <v>10000</v>
      </c>
      <c r="AB172" s="179">
        <f>AC172/4</f>
        <v>10000</v>
      </c>
      <c r="AC172" s="518">
        <v>40000</v>
      </c>
      <c r="AD172" s="177">
        <f>AH172/4</f>
        <v>9750</v>
      </c>
      <c r="AE172" s="178">
        <f>AH172/4</f>
        <v>9750</v>
      </c>
      <c r="AF172" s="178">
        <f>AH172/4</f>
        <v>9750</v>
      </c>
      <c r="AG172" s="179">
        <f>AH172/4</f>
        <v>9750</v>
      </c>
      <c r="AH172" s="518">
        <v>39000</v>
      </c>
      <c r="AI172" s="177">
        <f>AM172/4</f>
        <v>8750</v>
      </c>
      <c r="AJ172" s="178">
        <f>AM172/4</f>
        <v>8750</v>
      </c>
      <c r="AK172" s="178">
        <f>AM172/4</f>
        <v>8750</v>
      </c>
      <c r="AL172" s="179">
        <f>AM172/4</f>
        <v>8750</v>
      </c>
      <c r="AM172" s="518">
        <v>35000</v>
      </c>
      <c r="AN172" s="177">
        <f>AR172/4</f>
        <v>8900</v>
      </c>
      <c r="AO172" s="1756">
        <f>25300/3</f>
        <v>8433.3333333333339</v>
      </c>
      <c r="AP172" s="1756">
        <v>10500</v>
      </c>
      <c r="AQ172" s="1909">
        <v>7500</v>
      </c>
      <c r="AR172" s="518">
        <v>35600</v>
      </c>
      <c r="AS172" s="177">
        <f>AW172/4</f>
        <v>6925</v>
      </c>
      <c r="AT172" s="178">
        <f>AW172/4</f>
        <v>6925</v>
      </c>
      <c r="AU172" s="178">
        <f t="shared" ref="AU172" si="518">AX172/4</f>
        <v>1750</v>
      </c>
      <c r="AV172" s="1909">
        <v>7600</v>
      </c>
      <c r="AW172" s="518">
        <v>27700</v>
      </c>
      <c r="AX172" s="177">
        <f>BB172/4</f>
        <v>7000</v>
      </c>
      <c r="AY172" s="178">
        <f>BB172/4</f>
        <v>7000</v>
      </c>
      <c r="AZ172" s="178">
        <f>BB172/4</f>
        <v>7000</v>
      </c>
      <c r="BA172" s="179">
        <f>BB172/4</f>
        <v>7000</v>
      </c>
      <c r="BB172" s="518">
        <v>28000</v>
      </c>
      <c r="BC172" s="177">
        <f>BG172/4</f>
        <v>6375</v>
      </c>
      <c r="BD172" s="178">
        <f>BG172/4</f>
        <v>6375</v>
      </c>
      <c r="BE172" s="178">
        <f>BG172/4</f>
        <v>6375</v>
      </c>
      <c r="BF172" s="179">
        <f>BG172/4</f>
        <v>6375</v>
      </c>
      <c r="BG172" s="518">
        <v>25500</v>
      </c>
      <c r="BH172" s="177">
        <f>BL172/4</f>
        <v>4475</v>
      </c>
      <c r="BI172" s="178">
        <f>BL172/4</f>
        <v>4475</v>
      </c>
      <c r="BJ172" s="178">
        <f>BL172/4</f>
        <v>4475</v>
      </c>
      <c r="BK172" s="179">
        <f>BL172/4</f>
        <v>4475</v>
      </c>
      <c r="BL172" s="518">
        <v>17900</v>
      </c>
      <c r="BM172" s="177">
        <f>BQ172/4</f>
        <v>2425</v>
      </c>
      <c r="BN172" s="178">
        <f>BQ172/4</f>
        <v>2425</v>
      </c>
      <c r="BO172" s="178">
        <f>BQ172/4</f>
        <v>2425</v>
      </c>
      <c r="BP172" s="179">
        <f>BQ172/4</f>
        <v>2425</v>
      </c>
      <c r="BQ172" s="518">
        <v>9700</v>
      </c>
      <c r="BR172" s="518"/>
      <c r="BS172" s="1503"/>
      <c r="BT172" s="1503"/>
      <c r="BU172" s="1503"/>
      <c r="BV172" s="1503"/>
      <c r="BW172" s="1493"/>
      <c r="BX172"/>
      <c r="BY172"/>
      <c r="BZ172"/>
      <c r="CA172"/>
      <c r="CB172"/>
      <c r="CC172"/>
    </row>
    <row r="173" spans="1:81" s="19" customFormat="1">
      <c r="A173" s="108"/>
      <c r="B173" s="5"/>
      <c r="C173" s="1152" t="s">
        <v>240</v>
      </c>
      <c r="D173" s="5"/>
      <c r="E173" s="171"/>
      <c r="F173" s="172"/>
      <c r="G173" s="172"/>
      <c r="H173" s="173"/>
      <c r="I173" s="408"/>
      <c r="J173" s="171"/>
      <c r="K173" s="172"/>
      <c r="L173" s="172"/>
      <c r="M173" s="173"/>
      <c r="N173" s="408"/>
      <c r="O173" s="171"/>
      <c r="P173" s="172"/>
      <c r="Q173" s="172"/>
      <c r="R173" s="173"/>
      <c r="S173" s="408"/>
      <c r="T173" s="957"/>
      <c r="U173" s="958"/>
      <c r="V173" s="958"/>
      <c r="W173" s="959"/>
      <c r="X173" s="956"/>
      <c r="Y173" s="957">
        <f>Z173</f>
        <v>0.82</v>
      </c>
      <c r="Z173" s="958">
        <f>AA173</f>
        <v>0.82</v>
      </c>
      <c r="AA173" s="958">
        <f>AB173</f>
        <v>0.82</v>
      </c>
      <c r="AB173" s="959">
        <f>AC173</f>
        <v>0.82</v>
      </c>
      <c r="AC173" s="956">
        <v>0.82</v>
      </c>
      <c r="AD173" s="957">
        <f>AE173</f>
        <v>0.74</v>
      </c>
      <c r="AE173" s="958">
        <f>AF173</f>
        <v>0.74</v>
      </c>
      <c r="AF173" s="958">
        <f>AG173</f>
        <v>0.74</v>
      </c>
      <c r="AG173" s="959">
        <f>AH173</f>
        <v>0.74</v>
      </c>
      <c r="AH173" s="956">
        <v>0.74</v>
      </c>
      <c r="AI173" s="957">
        <f>AJ173</f>
        <v>0.86</v>
      </c>
      <c r="AJ173" s="958">
        <f>AK173</f>
        <v>0.86</v>
      </c>
      <c r="AK173" s="958">
        <f>AL173</f>
        <v>0.86</v>
      </c>
      <c r="AL173" s="959">
        <f>AM173</f>
        <v>0.86</v>
      </c>
      <c r="AM173" s="956">
        <v>0.86</v>
      </c>
      <c r="AN173" s="957">
        <f>AO173</f>
        <v>0.87</v>
      </c>
      <c r="AO173" s="958">
        <f>AP173</f>
        <v>0.87</v>
      </c>
      <c r="AP173" s="958">
        <v>0.87</v>
      </c>
      <c r="AQ173" s="1935">
        <v>0.87</v>
      </c>
      <c r="AR173" s="956">
        <v>0.88</v>
      </c>
      <c r="AS173" s="957">
        <f>AT173</f>
        <v>0.88</v>
      </c>
      <c r="AT173" s="958">
        <f>AU173</f>
        <v>0.88</v>
      </c>
      <c r="AU173" s="958">
        <f t="shared" ref="AU173" si="519">AV173</f>
        <v>0.88</v>
      </c>
      <c r="AV173" s="959">
        <f>AW173</f>
        <v>0.88</v>
      </c>
      <c r="AW173" s="956">
        <v>0.88</v>
      </c>
      <c r="AX173" s="957">
        <f>AY173</f>
        <v>0.98</v>
      </c>
      <c r="AY173" s="958">
        <f>AZ173</f>
        <v>0.98</v>
      </c>
      <c r="AZ173" s="958">
        <f>BA173</f>
        <v>0.98</v>
      </c>
      <c r="BA173" s="959">
        <f>BB173</f>
        <v>0.98</v>
      </c>
      <c r="BB173" s="956">
        <v>0.98</v>
      </c>
      <c r="BC173" s="957">
        <f>BD173</f>
        <v>0.91</v>
      </c>
      <c r="BD173" s="958">
        <f>BE173</f>
        <v>0.91</v>
      </c>
      <c r="BE173" s="958">
        <f>BF173</f>
        <v>0.91</v>
      </c>
      <c r="BF173" s="959">
        <f>BG173</f>
        <v>0.91</v>
      </c>
      <c r="BG173" s="956">
        <v>0.91</v>
      </c>
      <c r="BH173" s="957">
        <f>BI173</f>
        <v>0.51</v>
      </c>
      <c r="BI173" s="958">
        <f>BJ173</f>
        <v>0.51</v>
      </c>
      <c r="BJ173" s="958">
        <f>BK173</f>
        <v>0.51</v>
      </c>
      <c r="BK173" s="959">
        <f>BL173</f>
        <v>0.51</v>
      </c>
      <c r="BL173" s="956">
        <v>0.51</v>
      </c>
      <c r="BM173" s="957">
        <f>BN173</f>
        <v>0.74</v>
      </c>
      <c r="BN173" s="958">
        <f>BO173</f>
        <v>0.74</v>
      </c>
      <c r="BO173" s="958">
        <f>BP173</f>
        <v>0.74</v>
      </c>
      <c r="BP173" s="959">
        <f>BQ173</f>
        <v>0.74</v>
      </c>
      <c r="BQ173" s="956">
        <v>0.74</v>
      </c>
      <c r="BR173" s="956"/>
      <c r="BS173" s="1503"/>
      <c r="BT173" s="1503"/>
      <c r="BU173" s="1503"/>
      <c r="BV173" s="1503"/>
      <c r="BW173" s="1493"/>
      <c r="BX173"/>
      <c r="BY173"/>
      <c r="BZ173"/>
      <c r="CA173"/>
      <c r="CB173"/>
      <c r="CC173"/>
    </row>
    <row r="174" spans="1:81" s="19" customFormat="1">
      <c r="A174" s="108"/>
      <c r="B174" s="5"/>
      <c r="C174" s="1152" t="s">
        <v>308</v>
      </c>
      <c r="D174" s="5"/>
      <c r="E174" s="171"/>
      <c r="F174" s="172"/>
      <c r="G174" s="172"/>
      <c r="H174" s="173"/>
      <c r="I174" s="408"/>
      <c r="J174" s="171"/>
      <c r="K174" s="172"/>
      <c r="L174" s="172"/>
      <c r="M174" s="173"/>
      <c r="N174" s="408"/>
      <c r="O174" s="171"/>
      <c r="P174" s="172"/>
      <c r="Q174" s="172"/>
      <c r="R174" s="173"/>
      <c r="S174" s="408"/>
      <c r="T174" s="177"/>
      <c r="U174" s="178"/>
      <c r="V174" s="178"/>
      <c r="W174" s="179"/>
      <c r="X174" s="44"/>
      <c r="Y174" s="177">
        <f t="shared" ref="Y174:AR174" si="520">Y173*Y172</f>
        <v>8200</v>
      </c>
      <c r="Z174" s="178">
        <f t="shared" si="520"/>
        <v>8200</v>
      </c>
      <c r="AA174" s="178">
        <f t="shared" si="520"/>
        <v>8200</v>
      </c>
      <c r="AB174" s="179">
        <f t="shared" si="520"/>
        <v>8200</v>
      </c>
      <c r="AC174" s="44">
        <f t="shared" si="520"/>
        <v>32800</v>
      </c>
      <c r="AD174" s="177">
        <f>AD173*AD172</f>
        <v>7215</v>
      </c>
      <c r="AE174" s="178">
        <f>AE173*AE172</f>
        <v>7215</v>
      </c>
      <c r="AF174" s="178">
        <f>AF173*AF172</f>
        <v>7215</v>
      </c>
      <c r="AG174" s="179">
        <f>AG173*AG172</f>
        <v>7215</v>
      </c>
      <c r="AH174" s="44">
        <f t="shared" si="520"/>
        <v>28860</v>
      </c>
      <c r="AI174" s="177">
        <f t="shared" si="520"/>
        <v>7525</v>
      </c>
      <c r="AJ174" s="178">
        <f t="shared" si="520"/>
        <v>7525</v>
      </c>
      <c r="AK174" s="178">
        <f t="shared" si="520"/>
        <v>7525</v>
      </c>
      <c r="AL174" s="179">
        <f t="shared" si="520"/>
        <v>7525</v>
      </c>
      <c r="AM174" s="44">
        <f t="shared" si="520"/>
        <v>30100</v>
      </c>
      <c r="AN174" s="177">
        <f t="shared" ref="AN174" si="521">AN173*AN172</f>
        <v>7743</v>
      </c>
      <c r="AO174" s="178">
        <f t="shared" si="520"/>
        <v>7337.0000000000009</v>
      </c>
      <c r="AP174" s="178">
        <f t="shared" si="520"/>
        <v>9135</v>
      </c>
      <c r="AQ174" s="179">
        <f t="shared" si="520"/>
        <v>6525</v>
      </c>
      <c r="AR174" s="44">
        <f t="shared" si="520"/>
        <v>31328</v>
      </c>
      <c r="AS174" s="177">
        <f t="shared" ref="AS174:BB174" si="522">AS173*AS172</f>
        <v>6094</v>
      </c>
      <c r="AT174" s="178">
        <f t="shared" si="522"/>
        <v>6094</v>
      </c>
      <c r="AU174" s="178">
        <f t="shared" ref="AU174" si="523">AU173*AU172</f>
        <v>1540</v>
      </c>
      <c r="AV174" s="179">
        <f t="shared" si="522"/>
        <v>6688</v>
      </c>
      <c r="AW174" s="244">
        <f t="shared" si="522"/>
        <v>24376</v>
      </c>
      <c r="AX174" s="177">
        <f t="shared" si="522"/>
        <v>6860</v>
      </c>
      <c r="AY174" s="178">
        <f t="shared" si="522"/>
        <v>6860</v>
      </c>
      <c r="AZ174" s="178">
        <f t="shared" si="522"/>
        <v>6860</v>
      </c>
      <c r="BA174" s="179">
        <f t="shared" si="522"/>
        <v>6860</v>
      </c>
      <c r="BB174" s="244">
        <f t="shared" si="522"/>
        <v>27440</v>
      </c>
      <c r="BC174" s="177">
        <f t="shared" ref="BC174:BL174" si="524">BC173*BC172</f>
        <v>5801.25</v>
      </c>
      <c r="BD174" s="178">
        <f t="shared" si="524"/>
        <v>5801.25</v>
      </c>
      <c r="BE174" s="178">
        <f t="shared" si="524"/>
        <v>5801.25</v>
      </c>
      <c r="BF174" s="179">
        <f t="shared" si="524"/>
        <v>5801.25</v>
      </c>
      <c r="BG174" s="244">
        <f t="shared" si="524"/>
        <v>23205</v>
      </c>
      <c r="BH174" s="177">
        <f t="shared" si="524"/>
        <v>2282.25</v>
      </c>
      <c r="BI174" s="178">
        <f t="shared" si="524"/>
        <v>2282.25</v>
      </c>
      <c r="BJ174" s="178">
        <f t="shared" si="524"/>
        <v>2282.25</v>
      </c>
      <c r="BK174" s="179">
        <f t="shared" si="524"/>
        <v>2282.25</v>
      </c>
      <c r="BL174" s="244">
        <f t="shared" si="524"/>
        <v>9129</v>
      </c>
      <c r="BM174" s="177">
        <f t="shared" ref="BM174:BQ174" si="525">BM173*BM172</f>
        <v>1794.5</v>
      </c>
      <c r="BN174" s="178">
        <f t="shared" si="525"/>
        <v>1794.5</v>
      </c>
      <c r="BO174" s="178">
        <f t="shared" si="525"/>
        <v>1794.5</v>
      </c>
      <c r="BP174" s="179">
        <f t="shared" si="525"/>
        <v>1794.5</v>
      </c>
      <c r="BQ174" s="244">
        <f t="shared" si="525"/>
        <v>7178</v>
      </c>
      <c r="BR174" s="244"/>
      <c r="BS174" s="1503"/>
      <c r="BT174" s="1503"/>
      <c r="BU174" s="1503"/>
      <c r="BV174" s="1503"/>
      <c r="BW174" s="1493"/>
      <c r="BX174"/>
      <c r="BY174"/>
      <c r="BZ174"/>
      <c r="CA174"/>
      <c r="CB174"/>
      <c r="CC174"/>
    </row>
    <row r="175" spans="1:81" s="19" customFormat="1">
      <c r="A175" s="108"/>
      <c r="B175" s="5"/>
      <c r="C175" s="1152"/>
      <c r="D175" s="5"/>
      <c r="E175" s="171"/>
      <c r="F175" s="172"/>
      <c r="G175" s="172"/>
      <c r="H175" s="173"/>
      <c r="I175" s="408"/>
      <c r="J175" s="171"/>
      <c r="K175" s="172"/>
      <c r="L175" s="172"/>
      <c r="M175" s="173"/>
      <c r="N175" s="408"/>
      <c r="O175" s="171"/>
      <c r="P175" s="172"/>
      <c r="Q175" s="172"/>
      <c r="R175" s="173"/>
      <c r="S175" s="408"/>
      <c r="T175" s="177"/>
      <c r="U175" s="178"/>
      <c r="V175" s="178"/>
      <c r="W175" s="179"/>
      <c r="X175" s="44"/>
      <c r="Y175" s="177"/>
      <c r="Z175" s="178"/>
      <c r="AA175" s="178"/>
      <c r="AB175" s="179"/>
      <c r="AC175" s="44"/>
      <c r="AD175" s="177"/>
      <c r="AE175" s="178"/>
      <c r="AF175" s="178"/>
      <c r="AG175" s="179"/>
      <c r="AH175" s="44"/>
      <c r="AI175" s="177"/>
      <c r="AJ175" s="178"/>
      <c r="AK175" s="178"/>
      <c r="AL175" s="179"/>
      <c r="AM175" s="44"/>
      <c r="AN175" s="177"/>
      <c r="AO175" s="178"/>
      <c r="AP175" s="178"/>
      <c r="AQ175" s="179"/>
      <c r="AR175" s="44"/>
      <c r="AS175" s="177"/>
      <c r="AT175" s="178"/>
      <c r="AU175" s="178"/>
      <c r="AV175" s="179"/>
      <c r="AW175" s="244"/>
      <c r="AX175" s="177"/>
      <c r="AY175" s="178"/>
      <c r="AZ175" s="178"/>
      <c r="BA175" s="179"/>
      <c r="BB175" s="499"/>
      <c r="BC175" s="177"/>
      <c r="BD175" s="178"/>
      <c r="BE175" s="178"/>
      <c r="BF175" s="179"/>
      <c r="BG175" s="499"/>
      <c r="BH175" s="177"/>
      <c r="BI175" s="178"/>
      <c r="BJ175" s="178"/>
      <c r="BK175" s="179"/>
      <c r="BL175" s="499"/>
      <c r="BM175" s="177"/>
      <c r="BN175" s="178"/>
      <c r="BO175" s="178"/>
      <c r="BP175" s="179"/>
      <c r="BQ175" s="499"/>
      <c r="BR175" s="244"/>
      <c r="BS175" s="1503"/>
      <c r="BT175" s="1503"/>
      <c r="BU175" s="1503"/>
      <c r="BV175" s="1503"/>
      <c r="BW175" s="1493"/>
      <c r="BX175"/>
      <c r="BY175"/>
      <c r="BZ175"/>
      <c r="CA175"/>
      <c r="CB175"/>
      <c r="CC175"/>
    </row>
    <row r="176" spans="1:81" s="19" customFormat="1">
      <c r="A176" s="108"/>
      <c r="B176" s="5"/>
      <c r="C176" s="1152" t="s">
        <v>241</v>
      </c>
      <c r="D176" s="5"/>
      <c r="E176" s="171"/>
      <c r="F176" s="172"/>
      <c r="G176" s="172"/>
      <c r="H176" s="173"/>
      <c r="I176" s="408"/>
      <c r="J176" s="171"/>
      <c r="K176" s="172"/>
      <c r="L176" s="172"/>
      <c r="M176" s="173"/>
      <c r="N176" s="408"/>
      <c r="O176" s="171"/>
      <c r="P176" s="172"/>
      <c r="Q176" s="172"/>
      <c r="R176" s="173"/>
      <c r="S176" s="408"/>
      <c r="T176" s="960"/>
      <c r="U176" s="961"/>
      <c r="V176" s="961"/>
      <c r="W176" s="962"/>
      <c r="X176" s="874"/>
      <c r="Y176" s="960">
        <f>Z176</f>
        <v>43</v>
      </c>
      <c r="Z176" s="961">
        <f>AA176</f>
        <v>43</v>
      </c>
      <c r="AA176" s="961">
        <f>AB176</f>
        <v>43</v>
      </c>
      <c r="AB176" s="962">
        <f>AC176</f>
        <v>43</v>
      </c>
      <c r="AC176" s="874">
        <v>43</v>
      </c>
      <c r="AD176" s="960">
        <f>AE176</f>
        <v>43</v>
      </c>
      <c r="AE176" s="961">
        <f>AF176</f>
        <v>43</v>
      </c>
      <c r="AF176" s="961">
        <f>AG176</f>
        <v>43</v>
      </c>
      <c r="AG176" s="962">
        <f>AH176</f>
        <v>43</v>
      </c>
      <c r="AH176" s="874">
        <v>43</v>
      </c>
      <c r="AI176" s="1714">
        <v>59.6</v>
      </c>
      <c r="AJ176" s="1715">
        <v>42.8</v>
      </c>
      <c r="AK176" s="1715">
        <v>47</v>
      </c>
      <c r="AL176" s="1716">
        <v>47</v>
      </c>
      <c r="AM176" s="874">
        <v>47</v>
      </c>
      <c r="AN176" s="1714">
        <v>45.5</v>
      </c>
      <c r="AO176" s="961">
        <f>AP176</f>
        <v>41.7</v>
      </c>
      <c r="AP176" s="1715">
        <v>41.7</v>
      </c>
      <c r="AQ176" s="1716">
        <v>41.7</v>
      </c>
      <c r="AR176" s="874">
        <v>40.1</v>
      </c>
      <c r="AS176" s="960">
        <f>AT176</f>
        <v>39.799999999999997</v>
      </c>
      <c r="AT176" s="961">
        <f>AU176</f>
        <v>39.799999999999997</v>
      </c>
      <c r="AU176" s="961">
        <f t="shared" ref="AU176" si="526">AV176</f>
        <v>39.799999999999997</v>
      </c>
      <c r="AV176" s="962">
        <f>AW176</f>
        <v>39.799999999999997</v>
      </c>
      <c r="AW176" s="874">
        <v>39.799999999999997</v>
      </c>
      <c r="AX176" s="960">
        <f>AY176</f>
        <v>39.1</v>
      </c>
      <c r="AY176" s="961">
        <f>AZ176</f>
        <v>39.1</v>
      </c>
      <c r="AZ176" s="961">
        <f>BA176</f>
        <v>39.1</v>
      </c>
      <c r="BA176" s="962">
        <f>BB176</f>
        <v>39.1</v>
      </c>
      <c r="BB176" s="874">
        <v>39.1</v>
      </c>
      <c r="BC176" s="960">
        <f>BD176</f>
        <v>40.6</v>
      </c>
      <c r="BD176" s="961">
        <f>BE176</f>
        <v>40.6</v>
      </c>
      <c r="BE176" s="961">
        <f>BF176</f>
        <v>40.6</v>
      </c>
      <c r="BF176" s="962">
        <f>BG176</f>
        <v>40.6</v>
      </c>
      <c r="BG176" s="874">
        <v>40.6</v>
      </c>
      <c r="BH176" s="960">
        <f>BI176</f>
        <v>50.5</v>
      </c>
      <c r="BI176" s="961">
        <f>BJ176</f>
        <v>50.5</v>
      </c>
      <c r="BJ176" s="961">
        <f>BK176</f>
        <v>50.5</v>
      </c>
      <c r="BK176" s="962">
        <f>BL176</f>
        <v>50.5</v>
      </c>
      <c r="BL176" s="874">
        <v>50.5</v>
      </c>
      <c r="BM176" s="960">
        <f>BN176</f>
        <v>59.2</v>
      </c>
      <c r="BN176" s="961">
        <f>BO176</f>
        <v>59.2</v>
      </c>
      <c r="BO176" s="961">
        <f>BP176</f>
        <v>59.2</v>
      </c>
      <c r="BP176" s="962">
        <f>BQ176</f>
        <v>59.2</v>
      </c>
      <c r="BQ176" s="874">
        <v>59.2</v>
      </c>
      <c r="BR176" s="874"/>
      <c r="BS176" s="1503"/>
      <c r="BT176" s="1503"/>
      <c r="BU176" s="1503"/>
      <c r="BV176" s="1503"/>
      <c r="BW176" s="1493"/>
      <c r="BX176"/>
      <c r="BY176"/>
      <c r="BZ176"/>
      <c r="CA176"/>
      <c r="CB176"/>
      <c r="CC176"/>
    </row>
    <row r="177" spans="1:81" s="19" customFormat="1">
      <c r="A177" s="108"/>
      <c r="B177" s="5"/>
      <c r="C177" s="1152" t="s">
        <v>837</v>
      </c>
      <c r="D177" s="5"/>
      <c r="E177" s="171"/>
      <c r="F177" s="172"/>
      <c r="G177" s="172"/>
      <c r="H177" s="173"/>
      <c r="I177" s="408"/>
      <c r="J177" s="171"/>
      <c r="K177" s="172"/>
      <c r="L177" s="172"/>
      <c r="M177" s="173"/>
      <c r="N177" s="408"/>
      <c r="O177" s="171"/>
      <c r="P177" s="172"/>
      <c r="Q177" s="172"/>
      <c r="R177" s="173"/>
      <c r="S177" s="408"/>
      <c r="T177" s="960"/>
      <c r="U177" s="961"/>
      <c r="V177" s="961"/>
      <c r="W177" s="962"/>
      <c r="X177" s="872"/>
      <c r="Y177" s="960">
        <f t="shared" ref="Y177:AW177" si="527">(Y181/Y173*Y180)+((1-Y181/Y173)*Y179)</f>
        <v>64.423888838601215</v>
      </c>
      <c r="Z177" s="961">
        <f t="shared" si="527"/>
        <v>38.672732902733649</v>
      </c>
      <c r="AA177" s="961">
        <f t="shared" si="527"/>
        <v>43.730381360262591</v>
      </c>
      <c r="AB177" s="962">
        <f t="shared" si="527"/>
        <v>46.621572081452385</v>
      </c>
      <c r="AC177" s="872">
        <f t="shared" si="527"/>
        <v>48.19861175077321</v>
      </c>
      <c r="AD177" s="960">
        <f>(AD181/AD173*AD180)+((1-AD181/AD173)*AD179)</f>
        <v>107.2007963600124</v>
      </c>
      <c r="AE177" s="961">
        <f t="shared" si="527"/>
        <v>39.629503267310149</v>
      </c>
      <c r="AF177" s="961">
        <f t="shared" si="527"/>
        <v>36.278601850698955</v>
      </c>
      <c r="AG177" s="962">
        <f t="shared" si="527"/>
        <v>37.55299677872577</v>
      </c>
      <c r="AH177" s="872">
        <f t="shared" si="527"/>
        <v>55.165474564186816</v>
      </c>
      <c r="AI177" s="960">
        <f t="shared" si="527"/>
        <v>61.609039854438599</v>
      </c>
      <c r="AJ177" s="961">
        <f t="shared" si="527"/>
        <v>30.362780448859333</v>
      </c>
      <c r="AK177" s="961">
        <f t="shared" si="527"/>
        <v>34.028026103696547</v>
      </c>
      <c r="AL177" s="962">
        <f>(AL181/AL173*AL180)+((1-AL181/AL173)*AL179)</f>
        <v>28.492380225178067</v>
      </c>
      <c r="AM177" s="872">
        <f t="shared" si="527"/>
        <v>38.623056658043133</v>
      </c>
      <c r="AN177" s="960">
        <f t="shared" ref="AN177" si="528">(AN181/AN173*AN180)+((1-AN181/AN173)*AN179)</f>
        <v>29.857671388742226</v>
      </c>
      <c r="AO177" s="961">
        <f t="shared" si="527"/>
        <v>29.857671388742226</v>
      </c>
      <c r="AP177" s="961">
        <f t="shared" si="527"/>
        <v>33.842377512447186</v>
      </c>
      <c r="AQ177" s="962">
        <f t="shared" si="527"/>
        <v>33.842377512447186</v>
      </c>
      <c r="AR177" s="872">
        <f t="shared" si="527"/>
        <v>31.787682886107447</v>
      </c>
      <c r="AS177" s="960">
        <f t="shared" si="527"/>
        <v>36.114452161906634</v>
      </c>
      <c r="AT177" s="961">
        <f t="shared" ref="AT177:AV177" si="529">(AT181/AT173*AT180)+((1-AT181/AT173)*AT179)</f>
        <v>34.067934870477295</v>
      </c>
      <c r="AU177" s="961">
        <f t="shared" si="529"/>
        <v>32.815415288635236</v>
      </c>
      <c r="AV177" s="961">
        <f t="shared" si="529"/>
        <v>42.012516383438275</v>
      </c>
      <c r="AW177" s="872">
        <f t="shared" si="527"/>
        <v>36.252579676114365</v>
      </c>
      <c r="AX177" s="960">
        <f t="shared" ref="AX177:BG177" si="530">(AX181/AX173*AX180)+((1-AX181/AX173)*AX179)</f>
        <v>51.40902067057349</v>
      </c>
      <c r="AY177" s="961">
        <f t="shared" si="530"/>
        <v>39.898057256064092</v>
      </c>
      <c r="AZ177" s="961">
        <f t="shared" si="530"/>
        <v>36.172529990248421</v>
      </c>
      <c r="BA177" s="962">
        <f t="shared" si="530"/>
        <v>44.140645882077131</v>
      </c>
      <c r="BB177" s="872">
        <f t="shared" si="530"/>
        <v>42.90506344974078</v>
      </c>
      <c r="BC177" s="960">
        <f t="shared" si="530"/>
        <v>65.196323689777671</v>
      </c>
      <c r="BD177" s="961">
        <f t="shared" si="530"/>
        <v>40.604439150754011</v>
      </c>
      <c r="BE177" s="961">
        <f t="shared" si="530"/>
        <v>36.800059023005204</v>
      </c>
      <c r="BF177" s="962">
        <f t="shared" si="530"/>
        <v>36.423552340387502</v>
      </c>
      <c r="BG177" s="872">
        <f t="shared" si="530"/>
        <v>44.756093550981106</v>
      </c>
      <c r="BH177" s="960">
        <f t="shared" ref="BH177:BK177" si="531">IFERROR((BH181/BH173*BH180)+((1-BH181/BH173)*BH179),0)</f>
        <v>61.077587676119848</v>
      </c>
      <c r="BI177" s="961">
        <f t="shared" si="531"/>
        <v>50.417896453576518</v>
      </c>
      <c r="BJ177" s="961">
        <f t="shared" si="531"/>
        <v>48.160531727487779</v>
      </c>
      <c r="BK177" s="962">
        <f t="shared" si="531"/>
        <v>47.996936082903986</v>
      </c>
      <c r="BL177" s="872">
        <f>IFERROR((BL181/BL173*BL180)+((1-BL181/BL173)*BL179),0)</f>
        <v>51.913237985022036</v>
      </c>
      <c r="BM177" s="960">
        <f t="shared" ref="BM177:BQ177" si="532">IFERROR((BM181/BM173*BM180)+((1-BM181/BM173)*BM179),0)</f>
        <v>54.243740542902934</v>
      </c>
      <c r="BN177" s="961">
        <f t="shared" si="532"/>
        <v>54.243740542902934</v>
      </c>
      <c r="BO177" s="961">
        <f t="shared" si="532"/>
        <v>49.562208987272165</v>
      </c>
      <c r="BP177" s="962">
        <f t="shared" si="532"/>
        <v>49.562208987272165</v>
      </c>
      <c r="BQ177" s="872">
        <f t="shared" si="532"/>
        <v>49.562208987272165</v>
      </c>
      <c r="BR177" s="1311"/>
      <c r="BS177" s="1527"/>
      <c r="BT177" s="1527"/>
      <c r="BU177" s="1503"/>
      <c r="BV177" s="1503"/>
      <c r="BW177" s="1493"/>
      <c r="BX177"/>
      <c r="BY177"/>
      <c r="BZ177"/>
      <c r="CA177"/>
      <c r="CB177"/>
      <c r="CC177"/>
    </row>
    <row r="178" spans="1:81" s="19" customFormat="1">
      <c r="A178" s="108"/>
      <c r="B178" s="5"/>
      <c r="C178" s="1152"/>
      <c r="D178" s="5"/>
      <c r="E178" s="171"/>
      <c r="F178" s="172"/>
      <c r="G178" s="172"/>
      <c r="H178" s="173"/>
      <c r="I178" s="408"/>
      <c r="J178" s="171"/>
      <c r="K178" s="172"/>
      <c r="L178" s="172"/>
      <c r="M178" s="173"/>
      <c r="N178" s="408"/>
      <c r="O178" s="171"/>
      <c r="P178" s="172"/>
      <c r="Q178" s="172"/>
      <c r="R178" s="173"/>
      <c r="S178" s="408"/>
      <c r="T178" s="960"/>
      <c r="U178" s="961"/>
      <c r="V178" s="961"/>
      <c r="W178" s="962"/>
      <c r="X178" s="872"/>
      <c r="Y178" s="960"/>
      <c r="Z178" s="961"/>
      <c r="AA178" s="961"/>
      <c r="AB178" s="962"/>
      <c r="AC178" s="872"/>
      <c r="AD178" s="960"/>
      <c r="AE178" s="961"/>
      <c r="AF178" s="961"/>
      <c r="AG178" s="962"/>
      <c r="AH178" s="872"/>
      <c r="AI178" s="960"/>
      <c r="AJ178" s="961"/>
      <c r="AK178" s="961"/>
      <c r="AL178" s="962"/>
      <c r="AM178" s="872"/>
      <c r="AN178" s="960"/>
      <c r="AO178" s="961"/>
      <c r="AP178" s="961"/>
      <c r="AQ178" s="962"/>
      <c r="AR178" s="872"/>
      <c r="AS178" s="960"/>
      <c r="AT178" s="961"/>
      <c r="AU178" s="961"/>
      <c r="AV178" s="962"/>
      <c r="AW178" s="872"/>
      <c r="AX178" s="960"/>
      <c r="AY178" s="961"/>
      <c r="AZ178" s="961"/>
      <c r="BA178" s="962"/>
      <c r="BB178" s="872"/>
      <c r="BC178" s="960"/>
      <c r="BD178" s="961"/>
      <c r="BE178" s="961"/>
      <c r="BF178" s="962"/>
      <c r="BG178" s="872"/>
      <c r="BH178" s="960"/>
      <c r="BI178" s="961"/>
      <c r="BJ178" s="961"/>
      <c r="BK178" s="962"/>
      <c r="BL178" s="872"/>
      <c r="BM178" s="960"/>
      <c r="BN178" s="961"/>
      <c r="BO178" s="961"/>
      <c r="BP178" s="962"/>
      <c r="BQ178" s="872"/>
      <c r="BR178" s="1311"/>
      <c r="BS178" s="1527"/>
      <c r="BT178" s="1527"/>
      <c r="BU178" s="1503"/>
      <c r="BV178" s="1503"/>
      <c r="BW178" s="1493"/>
      <c r="BX178"/>
      <c r="BY178"/>
      <c r="BZ178"/>
      <c r="CA178"/>
      <c r="CB178"/>
      <c r="CC178"/>
    </row>
    <row r="179" spans="1:81" s="19" customFormat="1">
      <c r="A179" s="108"/>
      <c r="B179" s="5"/>
      <c r="C179" s="1152" t="s">
        <v>835</v>
      </c>
      <c r="D179" s="5"/>
      <c r="E179" s="171"/>
      <c r="F179" s="172"/>
      <c r="G179" s="172"/>
      <c r="H179" s="173"/>
      <c r="I179" s="408"/>
      <c r="J179" s="171"/>
      <c r="K179" s="172"/>
      <c r="L179" s="172"/>
      <c r="M179" s="173"/>
      <c r="N179" s="408"/>
      <c r="O179" s="171"/>
      <c r="P179" s="172"/>
      <c r="Q179" s="172"/>
      <c r="R179" s="173"/>
      <c r="S179" s="408"/>
      <c r="T179" s="960"/>
      <c r="U179" s="961"/>
      <c r="V179" s="961"/>
      <c r="W179" s="962"/>
      <c r="X179" s="872"/>
      <c r="Y179" s="960">
        <f>(Y199*Y202+Y212*Y215+Y225*Y228)/(Y202+Y215+Y228)</f>
        <v>64.423888838601215</v>
      </c>
      <c r="Z179" s="961">
        <f>(Z199*Z202+Z212*Z215+Z225*Z228)/(Z202+Z215+Z228)</f>
        <v>38.672732902733649</v>
      </c>
      <c r="AA179" s="961">
        <f>(AA199*AA202+AA212*AA215+AA225*AA228)/(AA202+AA215+AA228)</f>
        <v>43.730381360262591</v>
      </c>
      <c r="AB179" s="962">
        <f>(AB199*AB202+AB212*AB215+AB225*AB228)/(AB202+AB215+AB228)</f>
        <v>46.621572081452385</v>
      </c>
      <c r="AC179" s="872">
        <f>AVERAGE(Y179:AB179)</f>
        <v>48.362143795762464</v>
      </c>
      <c r="AD179" s="960">
        <f>(AD199*AD202+AD212*AD215+AD225*AD228)/(AD202+AD215+AD228)</f>
        <v>123.47728754609092</v>
      </c>
      <c r="AE179" s="961">
        <f>(AE199*AE202+AE212*AE215+AE225*AE228)/(AE202+AE215+AE228)</f>
        <v>37.335985706357846</v>
      </c>
      <c r="AF179" s="961">
        <f>(AF199*AF202+AF212*AF215+AF225*AF228)/(AF202+AF215+AF228)</f>
        <v>33.064186290480329</v>
      </c>
      <c r="AG179" s="962">
        <f>(AG199*AG202+AG212*AG215+AG225*AG228)/(AG202+AG215+AG228)</f>
        <v>34.688811676997297</v>
      </c>
      <c r="AH179" s="872">
        <f>AVERAGE(AD179:AG179)</f>
        <v>57.141567804981598</v>
      </c>
      <c r="AI179" s="960">
        <f>(AI199*AI202+AI212*AI215+AI225*AI228)/(AI202+AI215+AI228)</f>
        <v>65.036385179725642</v>
      </c>
      <c r="AJ179" s="961">
        <f>(AJ199*AJ202+AJ212*AJ215+AJ225*AJ228)/(AJ202+AJ215+AJ228)</f>
        <v>25.648924516498642</v>
      </c>
      <c r="AK179" s="961">
        <f>(AK199*AK202+AK212*AK215+AK225*AK228)/(AK202+AK215+AK228)</f>
        <v>30.269148562426739</v>
      </c>
      <c r="AL179" s="962">
        <f>(AL199*AL202+AL212*AL215+AL225*AL228)/(AL202+AL215+AL228)</f>
        <v>23.29119221073719</v>
      </c>
      <c r="AM179" s="872">
        <f>AVERAGE(AI179:AL179)</f>
        <v>36.061412617347052</v>
      </c>
      <c r="AN179" s="960">
        <f>(AN199*AN202+AN212*AN215+AN225*AN228)/(AN202+AN215+AN228)</f>
        <v>23.842307333820351</v>
      </c>
      <c r="AO179" s="961">
        <f>(AO199*AO202+AO212*AO215+AO225*AO228)/(AO202+AO215+AO228)</f>
        <v>23.842307333820351</v>
      </c>
      <c r="AP179" s="961">
        <f>(AP199*AP202+AP212*AP215+AP225*AP228)/(AP202+AP215+AP228)</f>
        <v>28.885626217612373</v>
      </c>
      <c r="AQ179" s="962">
        <f>(AQ199*AQ202+AQ212*AQ215+AQ225*AQ228)/(AQ202+AQ215+AQ228)</f>
        <v>28.885626217612373</v>
      </c>
      <c r="AR179" s="872">
        <f>AVERAGE(AN179:AQ179)</f>
        <v>26.36396677571636</v>
      </c>
      <c r="AS179" s="960">
        <f>(AS199*AS202+AS212*AS215+AS225*AS228)/(AS202+AS215+AS228)</f>
        <v>29.985085388909567</v>
      </c>
      <c r="AT179" s="961">
        <f>(AT199*AT202+AT212*AT215+AT225*AT228)/(AT202+AT215+AT228)</f>
        <v>27.237227819843639</v>
      </c>
      <c r="AU179" s="961">
        <f t="shared" ref="AU179" si="533">(AU199*AU202+AU212*AU215+AU225*AU228)/(AU202+AU215+AU228)</f>
        <v>25.555470510593537</v>
      </c>
      <c r="AV179" s="962">
        <f>(AV199*AV202+AV212*AV215+AV225*AV228)/(AV202+AV215+AV228)</f>
        <v>37.90441276613064</v>
      </c>
      <c r="AW179" s="872">
        <f>AVERAGE(AS179:AV179)</f>
        <v>30.170549121369348</v>
      </c>
      <c r="AX179" s="960">
        <f>(AX199*AX202+AX212*AX215+AX225*AX228)/(AX202+AX215+AX228)</f>
        <v>50.209493286460116</v>
      </c>
      <c r="AY179" s="961">
        <f>(AY199*AY202+AY212*AY215+AY225*AY228)/(AY202+AY215+AY228)</f>
        <v>35.323368395599083</v>
      </c>
      <c r="AZ179" s="961">
        <f>(AZ199*AZ202+AZ212*AZ215+AZ225*AZ228)/(AZ202+AZ215+AZ228)</f>
        <v>30.505468957804379</v>
      </c>
      <c r="BA179" s="962">
        <f>(BA199*BA202+BA212*BA215+BA225*BA228)/(BA202+BA215+BA228)</f>
        <v>40.809938187643574</v>
      </c>
      <c r="BB179" s="872">
        <f>AVERAGE(AX179:BA179)</f>
        <v>39.212067206876789</v>
      </c>
      <c r="BC179" s="960">
        <f>(BC199*BC202+BC212*BC215+BC225*BC228)/(BC202+BC215+BC228)</f>
        <v>68.545049515743969</v>
      </c>
      <c r="BD179" s="961">
        <f>(BD199*BD202+BD212*BD215+BD225*BD228)/(BD202+BD215+BD228)</f>
        <v>34.944461023145209</v>
      </c>
      <c r="BE179" s="961">
        <f>(BE199*BE202+BE212*BE215+BE225*BE228)/(BE202+BE215+BE228)</f>
        <v>29.746428682880207</v>
      </c>
      <c r="BF179" s="962">
        <f>(BF199*BF202+BF212*BF215+BF225*BF228)/(BF202+BF215+BF228)</f>
        <v>29.231996936615467</v>
      </c>
      <c r="BG179" s="872">
        <f>AVERAGE(BC179:BF179)</f>
        <v>40.616984039596218</v>
      </c>
      <c r="BH179" s="960">
        <f>(BH199*BH202+BH212*BH215+BH225*BH228)/(BH202+BH215+BH228)</f>
        <v>70.62563530339412</v>
      </c>
      <c r="BI179" s="961">
        <f>(BI199*BI202+BI212*BI215+BI225*BI228)/(BI202+BI215+BI228)</f>
        <v>37.15590820204406</v>
      </c>
      <c r="BJ179" s="961">
        <f>(BJ199*BJ202+BJ212*BJ215+BJ225*BJ228)/(BJ202+BJ215+BJ228)</f>
        <v>30.068143671808713</v>
      </c>
      <c r="BK179" s="962">
        <f>(BK199*BK202+BK212*BK215+BK225*BK228)/(BK202+BK215+BK228)</f>
        <v>29.554479489153092</v>
      </c>
      <c r="BL179" s="872">
        <f>AVERAGE(BH179:BK179)</f>
        <v>41.851041666599997</v>
      </c>
      <c r="BM179" s="960">
        <f>(BM199*BM202+BM212*BM215+BM225*BM228)/(BM202+BM215+BM228)</f>
        <v>35.133287121513206</v>
      </c>
      <c r="BN179" s="961">
        <f>(BN199*BN202+BN212*BN215+BN225*BN228)/(BN202+BN215+BN228)</f>
        <v>35.133287121513206</v>
      </c>
      <c r="BO179" s="961">
        <f>IFERROR((BO199*BO202+BO212*BO215+BO225*BO228)/(BO202+BO215+BO228),0)</f>
        <v>0</v>
      </c>
      <c r="BP179" s="962">
        <f t="shared" ref="BP179:BQ179" si="534">IFERROR((BP199*BP202+BP212*BP215+BP225*BP228)/(BP202+BP215+BP228),0)</f>
        <v>0</v>
      </c>
      <c r="BQ179" s="872">
        <f t="shared" si="534"/>
        <v>0</v>
      </c>
      <c r="BR179" s="1311"/>
      <c r="BS179" s="1527"/>
      <c r="BT179" s="1527"/>
      <c r="BU179" s="1503"/>
      <c r="BV179" s="1503"/>
      <c r="BW179" s="1493"/>
      <c r="BX179"/>
      <c r="BY179"/>
      <c r="BZ179"/>
      <c r="CA179"/>
      <c r="CB179"/>
      <c r="CC179"/>
    </row>
    <row r="180" spans="1:81" s="19" customFormat="1">
      <c r="A180" s="108"/>
      <c r="B180" s="5"/>
      <c r="C180" s="1152" t="s">
        <v>836</v>
      </c>
      <c r="D180" s="5"/>
      <c r="E180" s="171"/>
      <c r="F180" s="172"/>
      <c r="G180" s="172"/>
      <c r="H180" s="173"/>
      <c r="I180" s="408"/>
      <c r="J180" s="171"/>
      <c r="K180" s="172"/>
      <c r="L180" s="172"/>
      <c r="M180" s="173"/>
      <c r="N180" s="408"/>
      <c r="O180" s="171"/>
      <c r="P180" s="172"/>
      <c r="Q180" s="172"/>
      <c r="R180" s="173"/>
      <c r="S180" s="408"/>
      <c r="T180" s="960"/>
      <c r="U180" s="961"/>
      <c r="V180" s="961"/>
      <c r="W180" s="962"/>
      <c r="X180" s="872"/>
      <c r="Y180" s="960">
        <f>Z180</f>
        <v>47.5</v>
      </c>
      <c r="Z180" s="961">
        <f>AA180</f>
        <v>47.5</v>
      </c>
      <c r="AA180" s="961">
        <f>AB180</f>
        <v>47.5</v>
      </c>
      <c r="AB180" s="962">
        <f>AC180</f>
        <v>47.5</v>
      </c>
      <c r="AC180" s="872">
        <f>+AC239</f>
        <v>47.5</v>
      </c>
      <c r="AD180" s="960">
        <f>AE180</f>
        <v>47.975000000000001</v>
      </c>
      <c r="AE180" s="961">
        <f>AF180</f>
        <v>47.975000000000001</v>
      </c>
      <c r="AF180" s="961">
        <f>AG180</f>
        <v>47.975000000000001</v>
      </c>
      <c r="AG180" s="962">
        <f>AH180</f>
        <v>47.975000000000001</v>
      </c>
      <c r="AH180" s="872">
        <f>+AH239</f>
        <v>47.975000000000001</v>
      </c>
      <c r="AI180" s="960">
        <f>AJ180</f>
        <v>48.454750000000004</v>
      </c>
      <c r="AJ180" s="961">
        <f>AK180</f>
        <v>48.454750000000004</v>
      </c>
      <c r="AK180" s="961">
        <f>AL180</f>
        <v>48.454750000000004</v>
      </c>
      <c r="AL180" s="962">
        <f>AM180</f>
        <v>48.454750000000004</v>
      </c>
      <c r="AM180" s="872">
        <f>+AM239</f>
        <v>48.454750000000004</v>
      </c>
      <c r="AN180" s="960">
        <f>AO180</f>
        <v>52.5</v>
      </c>
      <c r="AO180" s="961">
        <f>AP180</f>
        <v>52.5</v>
      </c>
      <c r="AP180" s="961">
        <f>AQ180</f>
        <v>52.5</v>
      </c>
      <c r="AQ180" s="962">
        <f>AR180</f>
        <v>52.5</v>
      </c>
      <c r="AR180" s="872">
        <f>+AR239</f>
        <v>52.5</v>
      </c>
      <c r="AS180" s="960">
        <f>AT180</f>
        <v>54</v>
      </c>
      <c r="AT180" s="961">
        <f>AU180</f>
        <v>54</v>
      </c>
      <c r="AU180" s="961">
        <f t="shared" ref="AU180" si="535">AV180</f>
        <v>54</v>
      </c>
      <c r="AV180" s="962">
        <f>AW180</f>
        <v>54</v>
      </c>
      <c r="AW180" s="1311">
        <f>+AW239</f>
        <v>54</v>
      </c>
      <c r="AX180" s="960">
        <f>AY180</f>
        <v>55.5</v>
      </c>
      <c r="AY180" s="961">
        <f>AZ180</f>
        <v>55.5</v>
      </c>
      <c r="AZ180" s="961">
        <f>BA180</f>
        <v>55.5</v>
      </c>
      <c r="BA180" s="962">
        <f>BB180</f>
        <v>55.5</v>
      </c>
      <c r="BB180" s="1311">
        <f>+BB239</f>
        <v>55.5</v>
      </c>
      <c r="BC180" s="960">
        <f>BD180</f>
        <v>56.055</v>
      </c>
      <c r="BD180" s="961">
        <f>BE180</f>
        <v>56.055</v>
      </c>
      <c r="BE180" s="961">
        <f>BF180</f>
        <v>56.055</v>
      </c>
      <c r="BF180" s="962">
        <f>BG180</f>
        <v>56.055</v>
      </c>
      <c r="BG180" s="1311">
        <f>+BG239</f>
        <v>56.055</v>
      </c>
      <c r="BH180" s="960">
        <f>BI180</f>
        <v>56.615549999999999</v>
      </c>
      <c r="BI180" s="961">
        <f>BJ180</f>
        <v>56.615549999999999</v>
      </c>
      <c r="BJ180" s="961">
        <f>BK180</f>
        <v>56.615549999999999</v>
      </c>
      <c r="BK180" s="962">
        <f>BL180</f>
        <v>56.615549999999999</v>
      </c>
      <c r="BL180" s="1311">
        <f>+BL239</f>
        <v>56.615549999999999</v>
      </c>
      <c r="BM180" s="960">
        <f>BN180</f>
        <v>57.1817055</v>
      </c>
      <c r="BN180" s="961">
        <f>BO180</f>
        <v>57.1817055</v>
      </c>
      <c r="BO180" s="961">
        <f>BP180</f>
        <v>57.1817055</v>
      </c>
      <c r="BP180" s="962">
        <f>BQ180</f>
        <v>57.1817055</v>
      </c>
      <c r="BQ180" s="1311">
        <f>+BQ239</f>
        <v>57.1817055</v>
      </c>
      <c r="BR180" s="1311"/>
      <c r="BS180" s="1527"/>
      <c r="BT180" s="1527"/>
      <c r="BU180" s="1503"/>
      <c r="BV180" s="1503"/>
      <c r="BW180" s="1493"/>
      <c r="BX180"/>
      <c r="BY180"/>
      <c r="BZ180"/>
      <c r="CA180"/>
      <c r="CB180"/>
      <c r="CC180"/>
    </row>
    <row r="181" spans="1:81" s="19" customFormat="1">
      <c r="A181" s="108"/>
      <c r="B181" s="5"/>
      <c r="C181" s="1152" t="s">
        <v>838</v>
      </c>
      <c r="D181" s="5"/>
      <c r="E181" s="171"/>
      <c r="F181" s="172"/>
      <c r="G181" s="172"/>
      <c r="H181" s="173"/>
      <c r="I181" s="408"/>
      <c r="J181" s="171"/>
      <c r="K181" s="172"/>
      <c r="L181" s="172"/>
      <c r="M181" s="173"/>
      <c r="N181" s="408"/>
      <c r="O181" s="171"/>
      <c r="P181" s="172"/>
      <c r="Q181" s="172"/>
      <c r="R181" s="173"/>
      <c r="S181" s="408"/>
      <c r="T181" s="960"/>
      <c r="U181" s="961"/>
      <c r="V181" s="961"/>
      <c r="W181" s="962"/>
      <c r="X181" s="872"/>
      <c r="Y181" s="960"/>
      <c r="Z181" s="961"/>
      <c r="AA181" s="961"/>
      <c r="AB181" s="962"/>
      <c r="AC181" s="1109">
        <f>+AC245/AC172</f>
        <v>0.15553818</v>
      </c>
      <c r="AD181" s="957">
        <f>+AE181</f>
        <v>0.15952633846153846</v>
      </c>
      <c r="AE181" s="961">
        <f>+AF181</f>
        <v>0.15952633846153846</v>
      </c>
      <c r="AF181" s="958">
        <f>+AG181</f>
        <v>0.15952633846153846</v>
      </c>
      <c r="AG181" s="959">
        <f>+AH181</f>
        <v>0.15952633846153846</v>
      </c>
      <c r="AH181" s="1421">
        <f>+AH245/AH172</f>
        <v>0.15952633846153846</v>
      </c>
      <c r="AI181" s="957">
        <f>+AJ181</f>
        <v>0.17775792000000001</v>
      </c>
      <c r="AJ181" s="958">
        <f>+AK181</f>
        <v>0.17775792000000001</v>
      </c>
      <c r="AK181" s="958">
        <f>+AL181</f>
        <v>0.17775792000000001</v>
      </c>
      <c r="AL181" s="959">
        <f>+AM181</f>
        <v>0.17775792000000001</v>
      </c>
      <c r="AM181" s="1421">
        <f>+AM245/AM172</f>
        <v>0.17775792000000001</v>
      </c>
      <c r="AN181" s="957">
        <f>+AO181</f>
        <v>0.18261647191011235</v>
      </c>
      <c r="AO181" s="958">
        <f>+AP181</f>
        <v>0.18261647191011235</v>
      </c>
      <c r="AP181" s="958">
        <f>+AQ181</f>
        <v>0.18261647191011235</v>
      </c>
      <c r="AQ181" s="959">
        <f>+AR181</f>
        <v>0.18261647191011235</v>
      </c>
      <c r="AR181" s="1421">
        <f>+AR245/AR172</f>
        <v>0.18261647191011235</v>
      </c>
      <c r="AS181" s="957">
        <f>+AT181</f>
        <v>0.22460387003610111</v>
      </c>
      <c r="AT181" s="958">
        <f>+AU181</f>
        <v>0.22460387003610111</v>
      </c>
      <c r="AU181" s="958">
        <f t="shared" ref="AU181" si="536">+AV181</f>
        <v>0.22460387003610111</v>
      </c>
      <c r="AV181" s="959">
        <f>+AW181</f>
        <v>0.22460387003610111</v>
      </c>
      <c r="AW181" s="1421">
        <f>+AW245/AW172</f>
        <v>0.22460387003610111</v>
      </c>
      <c r="AX181" s="957">
        <f>+AY181</f>
        <v>0.22219740000000002</v>
      </c>
      <c r="AY181" s="958">
        <f>+AZ181</f>
        <v>0.22219740000000002</v>
      </c>
      <c r="AZ181" s="958">
        <f>+BA181</f>
        <v>0.22219740000000002</v>
      </c>
      <c r="BA181" s="959">
        <f>+BB181</f>
        <v>0.22219740000000002</v>
      </c>
      <c r="BB181" s="1421">
        <f>+BB245/BB172</f>
        <v>0.22219740000000002</v>
      </c>
      <c r="BC181" s="957">
        <f>+BD181</f>
        <v>0.24398145882352942</v>
      </c>
      <c r="BD181" s="958">
        <f>+BE181</f>
        <v>0.24398145882352942</v>
      </c>
      <c r="BE181" s="958">
        <f>+BF181</f>
        <v>0.24398145882352942</v>
      </c>
      <c r="BF181" s="959">
        <f>+BG181</f>
        <v>0.24398145882352942</v>
      </c>
      <c r="BG181" s="1421">
        <f>+BG245/BG172</f>
        <v>0.24398145882352942</v>
      </c>
      <c r="BH181" s="957">
        <f>+BI181</f>
        <v>0.34757135195530731</v>
      </c>
      <c r="BI181" s="958">
        <f>+BJ181</f>
        <v>0.34757135195530731</v>
      </c>
      <c r="BJ181" s="958">
        <f>+BK181</f>
        <v>0.34757135195530731</v>
      </c>
      <c r="BK181" s="959">
        <f>+BL181</f>
        <v>0.34757135195530731</v>
      </c>
      <c r="BL181" s="1421">
        <f>+BL245/BL172</f>
        <v>0.34757135195530731</v>
      </c>
      <c r="BM181" s="957">
        <f>+BN181</f>
        <v>0.64139455670103096</v>
      </c>
      <c r="BN181" s="958">
        <f>+BO181</f>
        <v>0.64139455670103096</v>
      </c>
      <c r="BO181" s="958">
        <f>+BP181</f>
        <v>0.64139455670103096</v>
      </c>
      <c r="BP181" s="959">
        <f>+BQ181</f>
        <v>0.64139455670103096</v>
      </c>
      <c r="BQ181" s="1421">
        <f>+BQ245/BQ172</f>
        <v>0.64139455670103096</v>
      </c>
      <c r="BR181" s="1421"/>
      <c r="BS181" s="1527"/>
      <c r="BT181" s="1527"/>
      <c r="BU181" s="1503"/>
      <c r="BV181" s="1503"/>
      <c r="BW181" s="1493"/>
      <c r="BX181"/>
      <c r="BY181"/>
      <c r="BZ181"/>
      <c r="CA181"/>
      <c r="CB181"/>
      <c r="CC181"/>
    </row>
    <row r="182" spans="1:81" s="19" customFormat="1">
      <c r="A182" s="108"/>
      <c r="B182" s="5"/>
      <c r="C182" s="1152"/>
      <c r="D182" s="5"/>
      <c r="E182" s="171"/>
      <c r="F182" s="172"/>
      <c r="G182" s="172"/>
      <c r="H182" s="173"/>
      <c r="I182" s="408"/>
      <c r="J182" s="171"/>
      <c r="K182" s="172"/>
      <c r="L182" s="172"/>
      <c r="M182" s="173"/>
      <c r="N182" s="408"/>
      <c r="O182" s="171"/>
      <c r="P182" s="172"/>
      <c r="Q182" s="172"/>
      <c r="R182" s="173"/>
      <c r="S182" s="408"/>
      <c r="T182" s="171"/>
      <c r="U182" s="172"/>
      <c r="V182" s="172"/>
      <c r="W182" s="173"/>
      <c r="X182" s="408"/>
      <c r="Y182" s="171"/>
      <c r="Z182" s="172"/>
      <c r="AA182" s="172"/>
      <c r="AB182" s="173"/>
      <c r="AC182" s="1226"/>
      <c r="AD182" s="171"/>
      <c r="AE182" s="172"/>
      <c r="AF182" s="172"/>
      <c r="AG182" s="173"/>
      <c r="AH182" s="1226"/>
      <c r="AI182" s="171"/>
      <c r="AJ182" s="172"/>
      <c r="AK182" s="172"/>
      <c r="AL182" s="173"/>
      <c r="AM182" s="1226"/>
      <c r="AN182" s="171"/>
      <c r="AO182" s="172"/>
      <c r="AP182" s="172"/>
      <c r="AQ182" s="173"/>
      <c r="AR182" s="1226"/>
      <c r="AS182" s="171"/>
      <c r="AT182" s="172"/>
      <c r="AU182" s="172"/>
      <c r="AV182" s="173"/>
      <c r="AW182" s="1436"/>
      <c r="AX182" s="171"/>
      <c r="AY182" s="172"/>
      <c r="AZ182" s="172"/>
      <c r="BA182" s="173"/>
      <c r="BB182" s="1436"/>
      <c r="BC182" s="171"/>
      <c r="BD182" s="172"/>
      <c r="BE182" s="172"/>
      <c r="BF182" s="173"/>
      <c r="BG182" s="1436"/>
      <c r="BH182" s="171"/>
      <c r="BI182" s="172"/>
      <c r="BJ182" s="172"/>
      <c r="BK182" s="173"/>
      <c r="BL182" s="1436"/>
      <c r="BM182" s="171"/>
      <c r="BN182" s="172"/>
      <c r="BO182" s="172"/>
      <c r="BP182" s="173"/>
      <c r="BQ182" s="1436"/>
      <c r="BR182" s="1436"/>
      <c r="BS182" s="1503"/>
      <c r="BT182" s="1503"/>
      <c r="BU182" s="1503"/>
      <c r="BV182" s="1503"/>
      <c r="BW182" s="1493"/>
      <c r="BX182"/>
      <c r="BY182"/>
      <c r="BZ182"/>
      <c r="CA182"/>
      <c r="CB182"/>
      <c r="CC182"/>
    </row>
    <row r="183" spans="1:81" s="19" customFormat="1">
      <c r="A183" s="108"/>
      <c r="B183" s="5"/>
      <c r="C183" s="1149" t="s">
        <v>482</v>
      </c>
      <c r="D183" s="5"/>
      <c r="E183" s="171"/>
      <c r="F183" s="172"/>
      <c r="G183" s="172"/>
      <c r="H183" s="173"/>
      <c r="I183" s="408"/>
      <c r="J183" s="171"/>
      <c r="K183" s="172"/>
      <c r="L183" s="172"/>
      <c r="M183" s="173"/>
      <c r="N183" s="408"/>
      <c r="O183" s="171"/>
      <c r="P183" s="172"/>
      <c r="Q183" s="172"/>
      <c r="R183" s="173"/>
      <c r="S183" s="408"/>
      <c r="T183" s="248"/>
      <c r="U183" s="246"/>
      <c r="V183" s="246"/>
      <c r="W183" s="247"/>
      <c r="X183" s="245"/>
      <c r="Y183" s="248">
        <f t="shared" ref="Y183:AT183" si="537">(Y176-Y177)*Y174/1000</f>
        <v>-175.67588847652996</v>
      </c>
      <c r="Z183" s="246">
        <f t="shared" si="537"/>
        <v>35.483590197584078</v>
      </c>
      <c r="AA183" s="246">
        <f t="shared" si="537"/>
        <v>-5.9891271541532447</v>
      </c>
      <c r="AB183" s="247">
        <f t="shared" si="537"/>
        <v>-29.696891067909558</v>
      </c>
      <c r="AC183" s="245">
        <f>SUM(Y183:AB183)</f>
        <v>-175.87831650100867</v>
      </c>
      <c r="AD183" s="248">
        <f t="shared" si="537"/>
        <v>-463.20874573748949</v>
      </c>
      <c r="AE183" s="246">
        <f t="shared" si="537"/>
        <v>24.318133926357277</v>
      </c>
      <c r="AF183" s="246">
        <f t="shared" si="537"/>
        <v>48.494887647207044</v>
      </c>
      <c r="AG183" s="247">
        <f t="shared" si="537"/>
        <v>39.300128241493567</v>
      </c>
      <c r="AH183" s="245">
        <f>SUM(AD183:AG183)</f>
        <v>-351.09559592243158</v>
      </c>
      <c r="AI183" s="248">
        <f t="shared" si="537"/>
        <v>-15.118024904650447</v>
      </c>
      <c r="AJ183" s="246">
        <f t="shared" si="537"/>
        <v>93.590077122333497</v>
      </c>
      <c r="AK183" s="246">
        <f>(AK176-AK177)*AK174/1000</f>
        <v>97.614103569683493</v>
      </c>
      <c r="AL183" s="247">
        <f>(AL176-AL177)*AL174/1000</f>
        <v>139.26983880553504</v>
      </c>
      <c r="AM183" s="245">
        <f>SUM(AI183:AL183)</f>
        <v>315.3559945929016</v>
      </c>
      <c r="AN183" s="248">
        <f t="shared" ref="AN183" si="538">(AN176-AN177)*AN174/1000</f>
        <v>121.11855043696895</v>
      </c>
      <c r="AO183" s="246">
        <f t="shared" si="537"/>
        <v>86.887165020798321</v>
      </c>
      <c r="AP183" s="246">
        <f t="shared" si="537"/>
        <v>71.779381423794987</v>
      </c>
      <c r="AQ183" s="247">
        <f t="shared" si="537"/>
        <v>51.270986731282129</v>
      </c>
      <c r="AR183" s="245">
        <f>SUM(AN183:AQ183)</f>
        <v>331.05608361284436</v>
      </c>
      <c r="AS183" s="248">
        <f t="shared" si="537"/>
        <v>22.459728525340957</v>
      </c>
      <c r="AT183" s="246">
        <f t="shared" si="537"/>
        <v>34.931204899311346</v>
      </c>
      <c r="AU183" s="246">
        <f t="shared" ref="AU183" si="539">(AU176-AU177)*AU174/1000</f>
        <v>10.756260455501732</v>
      </c>
      <c r="AV183" s="247">
        <f>(AV176-AV177)*AV174/1000</f>
        <v>-14.7973095724352</v>
      </c>
      <c r="AW183" s="245">
        <f>SUM(AS183:AV183)</f>
        <v>53.349884307718838</v>
      </c>
      <c r="AX183" s="248">
        <f>(AX176-AX177)*AX174/1000</f>
        <v>-84.439881800134131</v>
      </c>
      <c r="AY183" s="246">
        <f>(AY176-AY177)*AY174/1000</f>
        <v>-5.4746727765996628</v>
      </c>
      <c r="AZ183" s="246">
        <f>(AZ176-AZ177)*AZ174/1000</f>
        <v>20.082444266895845</v>
      </c>
      <c r="BA183" s="247">
        <f>(BA176-BA177)*BA174/1000</f>
        <v>-34.578830751049104</v>
      </c>
      <c r="BB183" s="245">
        <f>SUM(AX183:BA183)</f>
        <v>-104.41094106088704</v>
      </c>
      <c r="BC183" s="248">
        <f>(BC176-BC177)*BC174/1000</f>
        <v>-142.68942280532272</v>
      </c>
      <c r="BD183" s="246">
        <f>(BD176-BD177)*BD174/1000</f>
        <v>-2.5752623311699363E-2</v>
      </c>
      <c r="BE183" s="246">
        <f>(BE176-BE177)*BE174/1000</f>
        <v>22.044407592791067</v>
      </c>
      <c r="BF183" s="247">
        <f>(BF176-BF177)*BF174/1000</f>
        <v>24.228616985327012</v>
      </c>
      <c r="BG183" s="245">
        <f>SUM(BC183:BF183)</f>
        <v>-96.442150850516342</v>
      </c>
      <c r="BH183" s="248">
        <f>(BH176-BH177)*BH174/1000</f>
        <v>-24.140699473824522</v>
      </c>
      <c r="BI183" s="246">
        <f>(BI176-BI177)*BI174/1000</f>
        <v>0.18738081882499294</v>
      </c>
      <c r="BJ183" s="246">
        <f>(BJ176-BJ177)*BJ174/1000</f>
        <v>5.3392514649410163</v>
      </c>
      <c r="BK183" s="247">
        <f>(BK176-BK177)*BK174/1000</f>
        <v>5.7126176247923786</v>
      </c>
      <c r="BL183" s="245">
        <f>SUM(BH183:BK183)</f>
        <v>-12.901449565266134</v>
      </c>
      <c r="BM183" s="248">
        <f>(BM176-BM177)*BM174/1000</f>
        <v>8.894007595760689</v>
      </c>
      <c r="BN183" s="246">
        <f>(BN176-BN177)*BN174/1000</f>
        <v>8.894007595760689</v>
      </c>
      <c r="BO183" s="246">
        <f>(BO176-BO177)*BO174/1000</f>
        <v>17.295015972340106</v>
      </c>
      <c r="BP183" s="247">
        <f>(BP176-BP177)*BP174/1000</f>
        <v>17.295015972340106</v>
      </c>
      <c r="BQ183" s="245">
        <f>SUM(BM183:BP183)</f>
        <v>52.378047136201587</v>
      </c>
      <c r="BR183" s="245"/>
      <c r="BS183" s="1503"/>
      <c r="BT183" s="1503"/>
      <c r="BU183" s="1503"/>
      <c r="BV183" s="1503"/>
      <c r="BW183" s="1493"/>
      <c r="BX183"/>
      <c r="BY183"/>
      <c r="BZ183"/>
      <c r="CA183"/>
      <c r="CB183"/>
      <c r="CC183"/>
    </row>
    <row r="184" spans="1:81" s="1063" customFormat="1">
      <c r="A184" s="1416"/>
      <c r="B184" s="1249"/>
      <c r="C184" s="1415" t="s">
        <v>826</v>
      </c>
      <c r="D184" s="1249"/>
      <c r="E184" s="1417"/>
      <c r="F184" s="1418"/>
      <c r="G184" s="1418"/>
      <c r="H184" s="1419"/>
      <c r="I184" s="1420"/>
      <c r="J184" s="1417"/>
      <c r="K184" s="1418"/>
      <c r="L184" s="1418"/>
      <c r="M184" s="1419"/>
      <c r="N184" s="1420"/>
      <c r="O184" s="1417"/>
      <c r="P184" s="1418"/>
      <c r="Q184" s="1418"/>
      <c r="R184" s="1419"/>
      <c r="S184" s="1420"/>
      <c r="T184" s="1417"/>
      <c r="U184" s="1418"/>
      <c r="V184" s="1418"/>
      <c r="W184" s="1419"/>
      <c r="X184" s="1420"/>
      <c r="Y184" s="1417"/>
      <c r="Z184" s="1418"/>
      <c r="AA184" s="1418"/>
      <c r="AB184" s="1419"/>
      <c r="AC184" s="1224">
        <f>(AC183*(1-AC435))/AC42</f>
        <v>-0.98492424556930303</v>
      </c>
      <c r="AD184" s="1427"/>
      <c r="AE184" s="1418"/>
      <c r="AF184" s="1428"/>
      <c r="AG184" s="1429"/>
      <c r="AH184" s="1224">
        <f>(AH183*(1-AH435))/AH42</f>
        <v>-1.9473192558065082</v>
      </c>
      <c r="AI184" s="1427"/>
      <c r="AJ184" s="1428"/>
      <c r="AK184" s="1428"/>
      <c r="AL184" s="1429"/>
      <c r="AM184" s="1224">
        <f>(AM183*(1-AM435))/AM42</f>
        <v>1.7600312989561055</v>
      </c>
      <c r="AN184" s="1427"/>
      <c r="AO184" s="1428"/>
      <c r="AP184" s="1428"/>
      <c r="AQ184" s="1429"/>
      <c r="AR184" s="1224">
        <f>(AR183*(1-AR435))/AR42</f>
        <v>1.8506574736781269</v>
      </c>
      <c r="AS184" s="1427"/>
      <c r="AT184" s="1428"/>
      <c r="AU184" s="1428"/>
      <c r="AV184" s="1429"/>
      <c r="AW184" s="1224">
        <f>(AW183*(1-AW435))/AW42</f>
        <v>0.29550846328225072</v>
      </c>
      <c r="AX184" s="1427"/>
      <c r="AY184" s="1428"/>
      <c r="AZ184" s="1428"/>
      <c r="BA184" s="1429"/>
      <c r="BB184" s="1224">
        <f>(BB183*(1-BB435))/BB42</f>
        <v>-0.34703843970612791</v>
      </c>
      <c r="BC184" s="1427"/>
      <c r="BD184" s="1428"/>
      <c r="BE184" s="1428"/>
      <c r="BF184" s="1429"/>
      <c r="BG184" s="1224">
        <f>(BG183*(1-BG435))/BG42</f>
        <v>-0.32055197676600528</v>
      </c>
      <c r="BH184" s="1427"/>
      <c r="BI184" s="1428"/>
      <c r="BJ184" s="1428"/>
      <c r="BK184" s="1429"/>
      <c r="BL184" s="1224">
        <f>(BL183*(1-BL435))/BL42</f>
        <v>-4.2881511090550689E-2</v>
      </c>
      <c r="BM184" s="1427"/>
      <c r="BN184" s="1428"/>
      <c r="BO184" s="1428"/>
      <c r="BP184" s="1429"/>
      <c r="BQ184" s="1224">
        <f>(BQ183*(1-BQ435))/BQ42</f>
        <v>0.17409282560149922</v>
      </c>
      <c r="BR184" s="1224"/>
      <c r="BS184" s="1528"/>
      <c r="BT184" s="1528"/>
      <c r="BU184" s="1528"/>
      <c r="BV184" s="1528"/>
      <c r="BW184" s="1529"/>
      <c r="BX184" s="90"/>
      <c r="BY184" s="90"/>
      <c r="BZ184" s="90"/>
      <c r="CA184" s="90"/>
      <c r="CB184" s="90"/>
      <c r="CC184" s="90"/>
    </row>
    <row r="185" spans="1:81" s="19" customFormat="1">
      <c r="A185" s="108"/>
      <c r="B185" s="5"/>
      <c r="C185" s="1149"/>
      <c r="D185" s="5"/>
      <c r="E185" s="171"/>
      <c r="F185" s="172"/>
      <c r="G185" s="172"/>
      <c r="H185" s="173"/>
      <c r="I185" s="408"/>
      <c r="J185" s="171"/>
      <c r="K185" s="172"/>
      <c r="L185" s="172"/>
      <c r="M185" s="173"/>
      <c r="N185" s="408"/>
      <c r="O185" s="171"/>
      <c r="P185" s="172"/>
      <c r="Q185" s="172"/>
      <c r="R185" s="173"/>
      <c r="S185" s="408"/>
      <c r="T185" s="171"/>
      <c r="U185" s="172"/>
      <c r="V185" s="172"/>
      <c r="W185" s="173"/>
      <c r="X185" s="408"/>
      <c r="Y185" s="171"/>
      <c r="Z185" s="172"/>
      <c r="AA185" s="172"/>
      <c r="AB185" s="173"/>
      <c r="AC185" s="408"/>
      <c r="AD185" s="171"/>
      <c r="AE185" s="172"/>
      <c r="AF185" s="172"/>
      <c r="AG185" s="173"/>
      <c r="AH185" s="408"/>
      <c r="AI185" s="171"/>
      <c r="AJ185" s="172"/>
      <c r="AK185" s="172"/>
      <c r="AL185" s="173"/>
      <c r="AM185" s="408"/>
      <c r="AN185" s="171"/>
      <c r="AO185" s="172"/>
      <c r="AP185" s="172"/>
      <c r="AQ185" s="173"/>
      <c r="AR185" s="408"/>
      <c r="AS185" s="171"/>
      <c r="AT185" s="172"/>
      <c r="AU185" s="172"/>
      <c r="AV185" s="173"/>
      <c r="AW185" s="408"/>
      <c r="AX185" s="171"/>
      <c r="AY185" s="172"/>
      <c r="AZ185" s="172"/>
      <c r="BA185" s="173"/>
      <c r="BB185" s="408"/>
      <c r="BC185" s="171"/>
      <c r="BD185" s="172"/>
      <c r="BE185" s="172"/>
      <c r="BF185" s="173"/>
      <c r="BG185" s="408"/>
      <c r="BH185" s="171"/>
      <c r="BI185" s="172"/>
      <c r="BJ185" s="172"/>
      <c r="BK185" s="173"/>
      <c r="BL185" s="408"/>
      <c r="BM185" s="171"/>
      <c r="BN185" s="172"/>
      <c r="BO185" s="172"/>
      <c r="BP185" s="173"/>
      <c r="BQ185" s="408"/>
      <c r="BR185" s="408"/>
      <c r="BS185" s="1503"/>
      <c r="BT185" s="1503"/>
      <c r="BU185" s="1503"/>
      <c r="BV185" s="1503"/>
      <c r="BW185" s="1493"/>
      <c r="BX185"/>
      <c r="BY185"/>
      <c r="BZ185"/>
      <c r="CA185"/>
      <c r="CB185"/>
      <c r="CC185"/>
    </row>
    <row r="186" spans="1:81" s="19" customFormat="1">
      <c r="A186" s="108"/>
      <c r="B186" s="5"/>
      <c r="C186" s="1125"/>
      <c r="D186" s="5"/>
      <c r="E186" s="171"/>
      <c r="F186" s="172"/>
      <c r="G186" s="172"/>
      <c r="H186" s="173"/>
      <c r="I186" s="408"/>
      <c r="J186" s="171"/>
      <c r="K186" s="172"/>
      <c r="L186" s="172"/>
      <c r="M186" s="173"/>
      <c r="N186" s="408"/>
      <c r="O186" s="171"/>
      <c r="P186" s="172"/>
      <c r="Q186" s="172"/>
      <c r="R186" s="173"/>
      <c r="S186" s="408"/>
      <c r="T186" s="171"/>
      <c r="U186" s="172"/>
      <c r="V186" s="172"/>
      <c r="W186" s="173"/>
      <c r="X186" s="408"/>
      <c r="Y186" s="171"/>
      <c r="Z186" s="172"/>
      <c r="AA186" s="172"/>
      <c r="AB186" s="173"/>
      <c r="AC186" s="408"/>
      <c r="AD186" s="171"/>
      <c r="AE186" s="172"/>
      <c r="AF186" s="172"/>
      <c r="AG186" s="173"/>
      <c r="AH186" s="408"/>
      <c r="AI186" s="171"/>
      <c r="AJ186" s="172"/>
      <c r="AK186" s="172"/>
      <c r="AL186" s="173"/>
      <c r="AM186" s="408"/>
      <c r="AN186" s="171"/>
      <c r="AO186" s="172"/>
      <c r="AP186" s="172"/>
      <c r="AQ186" s="173"/>
      <c r="AR186" s="408"/>
      <c r="AS186" s="171"/>
      <c r="AT186" s="172"/>
      <c r="AU186" s="172"/>
      <c r="AV186" s="173"/>
      <c r="AW186" s="408"/>
      <c r="AX186" s="171"/>
      <c r="AY186" s="172"/>
      <c r="AZ186" s="172"/>
      <c r="BA186" s="173"/>
      <c r="BB186" s="408"/>
      <c r="BC186" s="171"/>
      <c r="BD186" s="172"/>
      <c r="BE186" s="172"/>
      <c r="BF186" s="173"/>
      <c r="BG186" s="408"/>
      <c r="BH186" s="171"/>
      <c r="BI186" s="172"/>
      <c r="BJ186" s="172"/>
      <c r="BK186" s="173"/>
      <c r="BL186" s="408"/>
      <c r="BM186" s="171"/>
      <c r="BN186" s="172"/>
      <c r="BO186" s="172"/>
      <c r="BP186" s="173"/>
      <c r="BQ186" s="408"/>
      <c r="BR186" s="408"/>
      <c r="BS186" s="1503"/>
      <c r="BT186" s="1503"/>
      <c r="BU186" s="1503"/>
      <c r="BV186" s="1503"/>
      <c r="BW186" s="1493"/>
    </row>
    <row r="187" spans="1:81" s="19" customFormat="1">
      <c r="A187" s="108"/>
      <c r="B187" s="91" t="s">
        <v>833</v>
      </c>
      <c r="C187" s="1144"/>
      <c r="D187" s="92"/>
      <c r="E187" s="146"/>
      <c r="F187" s="7"/>
      <c r="G187" s="7"/>
      <c r="H187" s="147"/>
      <c r="I187" s="31"/>
      <c r="J187" s="146"/>
      <c r="K187" s="7"/>
      <c r="L187" s="7"/>
      <c r="M187" s="147"/>
      <c r="N187" s="5"/>
      <c r="O187" s="146"/>
      <c r="P187" s="7"/>
      <c r="Q187" s="7"/>
      <c r="R187" s="147"/>
      <c r="S187" s="5"/>
      <c r="T187" s="146"/>
      <c r="U187" s="7"/>
      <c r="V187" s="7"/>
      <c r="W187" s="147"/>
      <c r="X187" s="5"/>
      <c r="Y187" s="146"/>
      <c r="Z187" s="7"/>
      <c r="AA187" s="7"/>
      <c r="AB187" s="147"/>
      <c r="AC187" s="5"/>
      <c r="AD187" s="146"/>
      <c r="AE187" s="7"/>
      <c r="AF187" s="7"/>
      <c r="AG187" s="147"/>
      <c r="AH187" s="5"/>
      <c r="AI187" s="146"/>
      <c r="AJ187" s="7"/>
      <c r="AK187" s="7"/>
      <c r="AL187" s="147"/>
      <c r="AM187" s="5"/>
      <c r="AN187" s="146"/>
      <c r="AO187" s="7"/>
      <c r="AP187" s="7"/>
      <c r="AQ187" s="147"/>
      <c r="AR187" s="5"/>
      <c r="AS187" s="146"/>
      <c r="AT187" s="7"/>
      <c r="AU187" s="7"/>
      <c r="AV187" s="147"/>
      <c r="AW187" s="5"/>
      <c r="AX187" s="146"/>
      <c r="AY187" s="7"/>
      <c r="AZ187" s="7"/>
      <c r="BA187" s="147"/>
      <c r="BB187" s="5"/>
      <c r="BC187" s="146"/>
      <c r="BD187" s="7"/>
      <c r="BE187" s="7"/>
      <c r="BF187" s="147"/>
      <c r="BG187" s="5"/>
      <c r="BH187" s="146"/>
      <c r="BI187" s="7"/>
      <c r="BJ187" s="7"/>
      <c r="BK187" s="147"/>
      <c r="BL187" s="5"/>
      <c r="BM187" s="146"/>
      <c r="BN187" s="7"/>
      <c r="BO187" s="7"/>
      <c r="BP187" s="147"/>
      <c r="BQ187" s="5"/>
      <c r="BR187" s="5"/>
      <c r="BS187" s="1503"/>
      <c r="BT187" s="1503"/>
      <c r="BU187" s="1503"/>
      <c r="BV187" s="1503"/>
      <c r="BW187" s="1493"/>
    </row>
    <row r="188" spans="1:81" s="19" customFormat="1">
      <c r="A188" s="108"/>
      <c r="B188" s="5"/>
      <c r="C188" s="1125"/>
      <c r="D188" s="5"/>
      <c r="E188" s="146"/>
      <c r="F188" s="7"/>
      <c r="G188" s="7"/>
      <c r="H188" s="147"/>
      <c r="I188" s="31"/>
      <c r="J188" s="146"/>
      <c r="K188" s="7"/>
      <c r="L188" s="7"/>
      <c r="M188" s="147"/>
      <c r="N188" s="5"/>
      <c r="O188" s="146"/>
      <c r="P188" s="7"/>
      <c r="Q188" s="7"/>
      <c r="R188" s="147"/>
      <c r="S188" s="5"/>
      <c r="T188" s="146"/>
      <c r="U188" s="7"/>
      <c r="V188" s="7"/>
      <c r="W188" s="147"/>
      <c r="X188" s="5"/>
      <c r="Y188" s="146"/>
      <c r="Z188" s="7"/>
      <c r="AA188" s="7"/>
      <c r="AB188" s="147"/>
      <c r="AC188" s="5"/>
      <c r="AD188" s="146"/>
      <c r="AE188" s="7"/>
      <c r="AF188" s="7"/>
      <c r="AG188" s="147"/>
      <c r="AH188" s="5"/>
      <c r="AI188" s="146"/>
      <c r="AJ188" s="7"/>
      <c r="AK188" s="7"/>
      <c r="AL188" s="147"/>
      <c r="AM188" s="5"/>
      <c r="AN188" s="146"/>
      <c r="AO188" s="7"/>
      <c r="AP188" s="7"/>
      <c r="AQ188" s="147"/>
      <c r="AR188" s="5"/>
      <c r="AS188" s="146"/>
      <c r="AT188" s="7"/>
      <c r="AU188" s="7"/>
      <c r="AV188" s="147"/>
      <c r="AW188" s="5"/>
      <c r="AX188" s="146"/>
      <c r="AY188" s="7"/>
      <c r="AZ188" s="7"/>
      <c r="BA188" s="147"/>
      <c r="BB188" s="5"/>
      <c r="BC188" s="146"/>
      <c r="BD188" s="7"/>
      <c r="BE188" s="7"/>
      <c r="BF188" s="147"/>
      <c r="BG188" s="5"/>
      <c r="BH188" s="146"/>
      <c r="BI188" s="7"/>
      <c r="BJ188" s="7"/>
      <c r="BK188" s="147"/>
      <c r="BL188" s="5"/>
      <c r="BM188" s="146"/>
      <c r="BN188" s="7"/>
      <c r="BO188" s="7"/>
      <c r="BP188" s="147"/>
      <c r="BQ188" s="5"/>
      <c r="BR188" s="5"/>
      <c r="BS188" s="1503"/>
      <c r="BT188" s="1503"/>
      <c r="BU188" s="1503"/>
      <c r="BV188" s="1503"/>
      <c r="BW188" s="1493"/>
    </row>
    <row r="189" spans="1:81" s="19" customFormat="1">
      <c r="A189" s="108"/>
      <c r="B189" s="5"/>
      <c r="C189" s="1153" t="s">
        <v>545</v>
      </c>
      <c r="D189" s="5"/>
      <c r="E189" s="146"/>
      <c r="F189" s="7"/>
      <c r="G189" s="7"/>
      <c r="H189" s="147"/>
      <c r="I189" s="31"/>
      <c r="J189" s="146"/>
      <c r="K189" s="7"/>
      <c r="L189" s="7"/>
      <c r="M189" s="147"/>
      <c r="N189" s="5"/>
      <c r="O189" s="146"/>
      <c r="P189" s="7"/>
      <c r="Q189" s="7"/>
      <c r="R189" s="147"/>
      <c r="S189" s="5"/>
      <c r="T189" s="146"/>
      <c r="U189" s="7"/>
      <c r="V189" s="7"/>
      <c r="W189" s="147"/>
      <c r="X189" s="5"/>
      <c r="Y189" s="146"/>
      <c r="Z189" s="7"/>
      <c r="AA189" s="7"/>
      <c r="AB189" s="147"/>
      <c r="AC189" s="5"/>
      <c r="AD189" s="146"/>
      <c r="AE189" s="7"/>
      <c r="AF189" s="7"/>
      <c r="AG189" s="147"/>
      <c r="AH189" s="5"/>
      <c r="AI189" s="146"/>
      <c r="AJ189" s="7"/>
      <c r="AK189" s="7"/>
      <c r="AL189" s="147"/>
      <c r="AM189" s="5"/>
      <c r="AN189" s="146"/>
      <c r="AO189" s="7"/>
      <c r="AP189" s="7"/>
      <c r="AQ189" s="147"/>
      <c r="AR189" s="5"/>
      <c r="AS189" s="146"/>
      <c r="AT189" s="7"/>
      <c r="AU189" s="7"/>
      <c r="AV189" s="147"/>
      <c r="AW189" s="5"/>
      <c r="AX189" s="146"/>
      <c r="AY189" s="7"/>
      <c r="AZ189" s="7"/>
      <c r="BA189" s="147"/>
      <c r="BB189" s="5"/>
      <c r="BC189" s="146"/>
      <c r="BD189" s="7"/>
      <c r="BE189" s="7"/>
      <c r="BF189" s="147"/>
      <c r="BG189" s="5"/>
      <c r="BH189" s="146"/>
      <c r="BI189" s="7"/>
      <c r="BJ189" s="7"/>
      <c r="BK189" s="147"/>
      <c r="BL189" s="5"/>
      <c r="BM189" s="146"/>
      <c r="BN189" s="7"/>
      <c r="BO189" s="7"/>
      <c r="BP189" s="147"/>
      <c r="BQ189" s="5"/>
      <c r="BR189" s="5"/>
      <c r="BS189" s="1503"/>
      <c r="BT189" s="1503"/>
      <c r="BU189" s="1503"/>
      <c r="BV189" s="1503"/>
      <c r="BW189" s="1493"/>
    </row>
    <row r="190" spans="1:81" s="19" customFormat="1">
      <c r="A190" s="108"/>
      <c r="B190" s="5"/>
      <c r="C190" s="1127" t="s">
        <v>546</v>
      </c>
      <c r="D190" s="5"/>
      <c r="E190" s="146"/>
      <c r="F190" s="7"/>
      <c r="G190" s="7"/>
      <c r="H190" s="147"/>
      <c r="I190" s="31"/>
      <c r="J190" s="146"/>
      <c r="K190" s="7"/>
      <c r="L190" s="7"/>
      <c r="M190" s="147"/>
      <c r="N190" s="5"/>
      <c r="O190" s="146"/>
      <c r="P190" s="7"/>
      <c r="Q190" s="7"/>
      <c r="R190" s="147"/>
      <c r="S190" s="5"/>
      <c r="T190" s="885"/>
      <c r="U190" s="886"/>
      <c r="V190" s="886"/>
      <c r="W190" s="887"/>
      <c r="X190" s="832"/>
      <c r="Y190" s="885">
        <f t="shared" ref="Y190:AR190" si="540">+Y207+Y220+Y233+Y247</f>
        <v>601.26876278833413</v>
      </c>
      <c r="Z190" s="886">
        <f t="shared" si="540"/>
        <v>390.46413504301631</v>
      </c>
      <c r="AA190" s="886">
        <f t="shared" si="540"/>
        <v>431.86715799900878</v>
      </c>
      <c r="AB190" s="887">
        <f t="shared" si="540"/>
        <v>455.53508130462717</v>
      </c>
      <c r="AC190" s="832">
        <f t="shared" si="540"/>
        <v>1879.1351371349865</v>
      </c>
      <c r="AD190" s="885">
        <f t="shared" si="540"/>
        <v>1085.4316827105604</v>
      </c>
      <c r="AE190" s="886">
        <f t="shared" si="540"/>
        <v>380.26003476410074</v>
      </c>
      <c r="AF190" s="886">
        <f t="shared" si="540"/>
        <v>345.29014494985597</v>
      </c>
      <c r="AG190" s="887">
        <f t="shared" si="540"/>
        <v>358.5896857814688</v>
      </c>
      <c r="AH190" s="832">
        <f t="shared" si="540"/>
        <v>2169.5715482059859</v>
      </c>
      <c r="AI190" s="885">
        <f t="shared" si="540"/>
        <v>531.07653025547268</v>
      </c>
      <c r="AJ190" s="886">
        <f t="shared" si="540"/>
        <v>255.08802227006151</v>
      </c>
      <c r="AK190" s="886">
        <f t="shared" si="540"/>
        <v>287.46199915312832</v>
      </c>
      <c r="AL190" s="887">
        <f t="shared" si="540"/>
        <v>238.56735781647257</v>
      </c>
      <c r="AM190" s="832">
        <f t="shared" si="540"/>
        <v>1312.1939094951351</v>
      </c>
      <c r="AN190" s="885">
        <f t="shared" ref="AN190" si="541">+AN207+AN220+AN233+AN247</f>
        <v>261.5217513486503</v>
      </c>
      <c r="AO190" s="886">
        <f>+AO207+AO220+AO233+AO247</f>
        <v>261.5217513486503</v>
      </c>
      <c r="AP190" s="886">
        <f t="shared" si="540"/>
        <v>298.64336087104118</v>
      </c>
      <c r="AQ190" s="887">
        <f t="shared" si="540"/>
        <v>298.64336087104118</v>
      </c>
      <c r="AR190" s="832">
        <f t="shared" si="540"/>
        <v>1120.3302244393828</v>
      </c>
      <c r="AS190" s="885">
        <f t="shared" ref="AS190:AW191" si="542">+AS207+AS220+AS233+AS247</f>
        <v>256.02300322198619</v>
      </c>
      <c r="AT190" s="886">
        <f>+AT207+AT220+AT233+AT247</f>
        <v>230.35445581026298</v>
      </c>
      <c r="AU190" s="886">
        <f t="shared" ref="AU190" si="543">+AU207+AU220+AU233+AU247</f>
        <v>221.31724919654951</v>
      </c>
      <c r="AV190" s="887">
        <f t="shared" si="542"/>
        <v>287.67637367323664</v>
      </c>
      <c r="AW190" s="832">
        <f t="shared" si="542"/>
        <v>995.37108190203537</v>
      </c>
      <c r="AX190" s="885">
        <f t="shared" ref="AX190:BB191" si="544">+AX207+AX220+AX233+AX247</f>
        <v>356.13287241631087</v>
      </c>
      <c r="AY190" s="886">
        <f t="shared" si="544"/>
        <v>276.13976902600001</v>
      </c>
      <c r="AZ190" s="886">
        <f t="shared" si="544"/>
        <v>250.24997361737502</v>
      </c>
      <c r="BA190" s="887">
        <f t="shared" si="544"/>
        <v>305.62277738787503</v>
      </c>
      <c r="BB190" s="832">
        <f t="shared" si="544"/>
        <v>1188.1453924475609</v>
      </c>
      <c r="BC190" s="2016">
        <f>+BC207+BC220+BC233+BC247</f>
        <v>438.97077966899775</v>
      </c>
      <c r="BD190" s="2015">
        <f>+BD207+BD220+BD233+BD247</f>
        <v>251.6094044448455</v>
      </c>
      <c r="BE190" s="886">
        <f t="shared" ref="BE190:BL190" si="545">+BE207+BE220+BE233+BE247</f>
        <v>201.75361619789254</v>
      </c>
      <c r="BF190" s="887">
        <f t="shared" si="545"/>
        <v>199.77231139254752</v>
      </c>
      <c r="BG190" s="832">
        <f t="shared" si="545"/>
        <v>1092.1061117042832</v>
      </c>
      <c r="BH190" s="885">
        <f t="shared" si="545"/>
        <v>360.06944008961779</v>
      </c>
      <c r="BI190" s="886">
        <f t="shared" si="545"/>
        <v>183.46138348789617</v>
      </c>
      <c r="BJ190" s="886">
        <f t="shared" si="545"/>
        <v>145.9616743179169</v>
      </c>
      <c r="BK190" s="887">
        <f t="shared" si="545"/>
        <v>144.97250002918099</v>
      </c>
      <c r="BL190" s="832">
        <f t="shared" si="545"/>
        <v>834.46499792461191</v>
      </c>
      <c r="BM190" s="885">
        <f t="shared" ref="BM190:BQ190" si="546">+BM207+BM220+BM233+BM247</f>
        <v>156.59631918655276</v>
      </c>
      <c r="BN190" s="886">
        <f t="shared" si="546"/>
        <v>134.04400746692181</v>
      </c>
      <c r="BO190" s="886">
        <f t="shared" si="546"/>
        <v>88.939384027659898</v>
      </c>
      <c r="BP190" s="887">
        <f t="shared" si="546"/>
        <v>88.939384027659898</v>
      </c>
      <c r="BQ190" s="832">
        <f t="shared" si="546"/>
        <v>468.51909470879434</v>
      </c>
      <c r="BR190" s="832"/>
      <c r="BS190" s="1503"/>
      <c r="BT190" s="1503"/>
      <c r="BU190" s="1506" t="s">
        <v>559</v>
      </c>
      <c r="BV190" s="939" t="s">
        <v>555</v>
      </c>
      <c r="BW190" s="940" t="s">
        <v>560</v>
      </c>
      <c r="BX190" s="940" t="s">
        <v>312</v>
      </c>
      <c r="BY190" s="940" t="s">
        <v>556</v>
      </c>
      <c r="BZ190" s="940" t="s">
        <v>557</v>
      </c>
      <c r="CA190" s="41" t="s">
        <v>558</v>
      </c>
    </row>
    <row r="191" spans="1:81" s="19" customFormat="1">
      <c r="A191" s="108"/>
      <c r="B191" s="5"/>
      <c r="C191" s="1127" t="s">
        <v>633</v>
      </c>
      <c r="D191" s="5"/>
      <c r="E191" s="146"/>
      <c r="F191" s="7"/>
      <c r="G191" s="7"/>
      <c r="H191" s="147"/>
      <c r="I191" s="31"/>
      <c r="J191" s="146"/>
      <c r="K191" s="7"/>
      <c r="L191" s="7"/>
      <c r="M191" s="147"/>
      <c r="N191" s="5"/>
      <c r="O191" s="146"/>
      <c r="P191" s="7"/>
      <c r="Q191" s="7"/>
      <c r="R191" s="147"/>
      <c r="S191" s="5"/>
      <c r="T191" s="885"/>
      <c r="U191" s="886"/>
      <c r="V191" s="886"/>
      <c r="W191" s="887"/>
      <c r="X191" s="832"/>
      <c r="Y191" s="885">
        <f t="shared" ref="Y191:AR191" si="547">+Y208+Y221+Y234+Y248</f>
        <v>63.222995682000004</v>
      </c>
      <c r="Z191" s="886">
        <f t="shared" si="547"/>
        <v>63.222995682000004</v>
      </c>
      <c r="AA191" s="886">
        <f t="shared" si="547"/>
        <v>63.222995682000004</v>
      </c>
      <c r="AB191" s="887">
        <f t="shared" si="547"/>
        <v>63.222995682000004</v>
      </c>
      <c r="AC191" s="832">
        <f t="shared" si="547"/>
        <v>252.89198272800002</v>
      </c>
      <c r="AD191" s="885">
        <f t="shared" si="547"/>
        <v>59.803693450200015</v>
      </c>
      <c r="AE191" s="886">
        <f t="shared" si="547"/>
        <v>59.803693450200015</v>
      </c>
      <c r="AF191" s="886">
        <f t="shared" si="547"/>
        <v>59.803693450200015</v>
      </c>
      <c r="AG191" s="887">
        <f t="shared" si="547"/>
        <v>59.803693450200015</v>
      </c>
      <c r="AH191" s="832">
        <f t="shared" si="547"/>
        <v>239.21477380080006</v>
      </c>
      <c r="AI191" s="885">
        <f t="shared" si="547"/>
        <v>54.799336319999995</v>
      </c>
      <c r="AJ191" s="886">
        <f t="shared" si="547"/>
        <v>54.799336319999995</v>
      </c>
      <c r="AK191" s="886">
        <f t="shared" si="547"/>
        <v>54.799336319999995</v>
      </c>
      <c r="AL191" s="887">
        <f t="shared" si="547"/>
        <v>54.799336319999995</v>
      </c>
      <c r="AM191" s="832">
        <f t="shared" si="547"/>
        <v>219.19734527999998</v>
      </c>
      <c r="AN191" s="885">
        <f t="shared" ref="AN191" si="548">+AN208+AN221+AN234+AN248</f>
        <v>57.689996160000007</v>
      </c>
      <c r="AO191" s="886">
        <f t="shared" si="547"/>
        <v>39.371000960000003</v>
      </c>
      <c r="AP191" s="886">
        <f t="shared" si="547"/>
        <v>39.371000960000003</v>
      </c>
      <c r="AQ191" s="887">
        <f t="shared" si="547"/>
        <v>39.371000960000003</v>
      </c>
      <c r="AR191" s="832">
        <f t="shared" si="547"/>
        <v>175.80299904</v>
      </c>
      <c r="AS191" s="885">
        <f t="shared" si="542"/>
        <v>6.5880697000000001</v>
      </c>
      <c r="AT191" s="886">
        <f t="shared" si="542"/>
        <v>6.5880697000000001</v>
      </c>
      <c r="AU191" s="886">
        <f t="shared" ref="AU191" si="549">+AU208+AU221+AU234+AU248</f>
        <v>6.5880697000000001</v>
      </c>
      <c r="AV191" s="887">
        <f t="shared" si="542"/>
        <v>6.5880697000000001</v>
      </c>
      <c r="AW191" s="832">
        <f t="shared" si="542"/>
        <v>26.352278800000001</v>
      </c>
      <c r="AX191" s="885">
        <f t="shared" si="544"/>
        <v>6.5880697000000001</v>
      </c>
      <c r="AY191" s="886">
        <f t="shared" si="544"/>
        <v>6.5880697000000001</v>
      </c>
      <c r="AZ191" s="886">
        <f t="shared" si="544"/>
        <v>6.5880697000000001</v>
      </c>
      <c r="BA191" s="887">
        <f t="shared" si="544"/>
        <v>6.5880697000000001</v>
      </c>
      <c r="BB191" s="832">
        <f t="shared" si="544"/>
        <v>26.352278800000001</v>
      </c>
      <c r="BC191" s="885">
        <f t="shared" ref="BC191:BL191" si="550">+BC208+BC221+BC234+BC248</f>
        <v>11.813650599999999</v>
      </c>
      <c r="BD191" s="886">
        <f t="shared" si="550"/>
        <v>11.813650599999999</v>
      </c>
      <c r="BE191" s="886">
        <f t="shared" si="550"/>
        <v>10.813650599999999</v>
      </c>
      <c r="BF191" s="887">
        <f t="shared" si="550"/>
        <v>10.813650599999999</v>
      </c>
      <c r="BG191" s="832">
        <f t="shared" si="550"/>
        <v>45.254602399999996</v>
      </c>
      <c r="BH191" s="885">
        <f t="shared" si="550"/>
        <v>10.813650599999999</v>
      </c>
      <c r="BI191" s="886">
        <f t="shared" si="550"/>
        <v>8.2460215999999988</v>
      </c>
      <c r="BJ191" s="886">
        <f t="shared" si="550"/>
        <v>6.9622070999999996</v>
      </c>
      <c r="BK191" s="887">
        <f t="shared" si="550"/>
        <v>6.9622070999999996</v>
      </c>
      <c r="BL191" s="832">
        <f t="shared" si="550"/>
        <v>32.984086399999995</v>
      </c>
      <c r="BM191" s="885">
        <f t="shared" ref="BM191:BQ191" si="551">+BM208+BM221+BM234+BM248</f>
        <v>13.924414199999999</v>
      </c>
      <c r="BN191" s="886">
        <f t="shared" si="551"/>
        <v>11.356785200000001</v>
      </c>
      <c r="BO191" s="886">
        <f t="shared" si="551"/>
        <v>6.2215272000000006</v>
      </c>
      <c r="BP191" s="887">
        <f t="shared" si="551"/>
        <v>6.2215272000000006</v>
      </c>
      <c r="BQ191" s="832">
        <f t="shared" si="551"/>
        <v>37.7242538</v>
      </c>
      <c r="BR191" s="832"/>
      <c r="BS191" s="1503"/>
      <c r="BT191" s="1503"/>
      <c r="BU191" s="938" t="s">
        <v>86</v>
      </c>
      <c r="BV191" s="938">
        <v>605</v>
      </c>
      <c r="BW191" s="937">
        <v>9800</v>
      </c>
      <c r="BX191" s="936" t="s">
        <v>562</v>
      </c>
      <c r="BY191" s="936">
        <v>0.98</v>
      </c>
      <c r="BZ191" s="943">
        <v>0.90249999999999997</v>
      </c>
      <c r="CA191" s="19" t="s">
        <v>238</v>
      </c>
    </row>
    <row r="192" spans="1:81" s="19" customFormat="1">
      <c r="A192" s="108"/>
      <c r="B192" s="5"/>
      <c r="C192" s="1128" t="s">
        <v>547</v>
      </c>
      <c r="D192" s="36"/>
      <c r="E192" s="122"/>
      <c r="F192" s="123"/>
      <c r="G192" s="123"/>
      <c r="H192" s="915"/>
      <c r="I192" s="31"/>
      <c r="J192" s="122"/>
      <c r="K192" s="123"/>
      <c r="L192" s="123"/>
      <c r="M192" s="915"/>
      <c r="N192" s="36"/>
      <c r="O192" s="122"/>
      <c r="P192" s="123"/>
      <c r="Q192" s="123"/>
      <c r="R192" s="915"/>
      <c r="S192" s="36"/>
      <c r="T192" s="180"/>
      <c r="U192" s="181"/>
      <c r="V192" s="181"/>
      <c r="W192" s="182"/>
      <c r="X192" s="110"/>
      <c r="Y192" s="180">
        <f t="shared" ref="Y192:AQ192" si="552">Y190-Y191</f>
        <v>538.0457671063341</v>
      </c>
      <c r="Z192" s="181">
        <f t="shared" si="552"/>
        <v>327.24113936101628</v>
      </c>
      <c r="AA192" s="181">
        <f t="shared" si="552"/>
        <v>368.64416231700875</v>
      </c>
      <c r="AB192" s="182">
        <f t="shared" si="552"/>
        <v>392.31208562262714</v>
      </c>
      <c r="AC192" s="110">
        <f t="shared" si="552"/>
        <v>1626.2431544069864</v>
      </c>
      <c r="AD192" s="180">
        <f t="shared" si="552"/>
        <v>1025.6279892603604</v>
      </c>
      <c r="AE192" s="181">
        <f t="shared" si="552"/>
        <v>320.45634131390074</v>
      </c>
      <c r="AF192" s="181">
        <f t="shared" si="552"/>
        <v>285.48645149965597</v>
      </c>
      <c r="AG192" s="182">
        <f t="shared" si="552"/>
        <v>298.7859923312688</v>
      </c>
      <c r="AH192" s="110">
        <f t="shared" si="552"/>
        <v>1930.3567744051859</v>
      </c>
      <c r="AI192" s="180">
        <f t="shared" si="552"/>
        <v>476.27719393547267</v>
      </c>
      <c r="AJ192" s="181">
        <f t="shared" si="552"/>
        <v>200.28868595006151</v>
      </c>
      <c r="AK192" s="181">
        <f t="shared" si="552"/>
        <v>232.66266283312831</v>
      </c>
      <c r="AL192" s="182">
        <f t="shared" si="552"/>
        <v>183.76802149647256</v>
      </c>
      <c r="AM192" s="110">
        <f t="shared" si="552"/>
        <v>1092.9965642151351</v>
      </c>
      <c r="AN192" s="180">
        <f t="shared" ref="AN192" si="553">AN190-AN191</f>
        <v>203.83175518865028</v>
      </c>
      <c r="AO192" s="181">
        <f t="shared" si="552"/>
        <v>222.15075038865029</v>
      </c>
      <c r="AP192" s="181">
        <f t="shared" si="552"/>
        <v>259.27235991104118</v>
      </c>
      <c r="AQ192" s="182">
        <f t="shared" si="552"/>
        <v>259.27235991104118</v>
      </c>
      <c r="AR192" s="110">
        <f t="shared" ref="AR192:AW192" si="554">AR190-AR191</f>
        <v>944.52722539938281</v>
      </c>
      <c r="AS192" s="180">
        <f t="shared" si="554"/>
        <v>249.43493352198618</v>
      </c>
      <c r="AT192" s="181">
        <f t="shared" si="554"/>
        <v>223.76638611026297</v>
      </c>
      <c r="AU192" s="181">
        <f t="shared" ref="AU192" si="555">AU190-AU191</f>
        <v>214.72917949654951</v>
      </c>
      <c r="AV192" s="182">
        <f t="shared" si="554"/>
        <v>281.08830397323663</v>
      </c>
      <c r="AW192" s="110">
        <f t="shared" si="554"/>
        <v>969.01880310203535</v>
      </c>
      <c r="AX192" s="180">
        <f t="shared" ref="AX192:BL192" si="556">AX190-AX191</f>
        <v>349.54480271631087</v>
      </c>
      <c r="AY192" s="181">
        <f t="shared" si="556"/>
        <v>269.551699326</v>
      </c>
      <c r="AZ192" s="181">
        <f t="shared" si="556"/>
        <v>243.66190391737501</v>
      </c>
      <c r="BA192" s="182">
        <f t="shared" si="556"/>
        <v>299.03470768787503</v>
      </c>
      <c r="BB192" s="110">
        <f t="shared" si="556"/>
        <v>1161.7931136475609</v>
      </c>
      <c r="BC192" s="180">
        <f t="shared" si="556"/>
        <v>427.15712906899773</v>
      </c>
      <c r="BD192" s="181">
        <f t="shared" si="556"/>
        <v>239.79575384484551</v>
      </c>
      <c r="BE192" s="181">
        <f t="shared" si="556"/>
        <v>190.93996559789255</v>
      </c>
      <c r="BF192" s="182">
        <f t="shared" si="556"/>
        <v>188.95866079254753</v>
      </c>
      <c r="BG192" s="110">
        <f t="shared" si="556"/>
        <v>1046.8515093042831</v>
      </c>
      <c r="BH192" s="180">
        <f t="shared" si="556"/>
        <v>349.25578948961777</v>
      </c>
      <c r="BI192" s="181">
        <f t="shared" si="556"/>
        <v>175.21536188789617</v>
      </c>
      <c r="BJ192" s="181">
        <f t="shared" si="556"/>
        <v>138.9994672179169</v>
      </c>
      <c r="BK192" s="182">
        <f t="shared" si="556"/>
        <v>138.01029292918099</v>
      </c>
      <c r="BL192" s="110">
        <f t="shared" si="556"/>
        <v>801.48091152461188</v>
      </c>
      <c r="BM192" s="180">
        <f t="shared" ref="BM192:BQ192" si="557">BM190-BM191</f>
        <v>142.67190498655276</v>
      </c>
      <c r="BN192" s="181">
        <f t="shared" si="557"/>
        <v>122.68722226692181</v>
      </c>
      <c r="BO192" s="181">
        <f t="shared" si="557"/>
        <v>82.717856827659901</v>
      </c>
      <c r="BP192" s="182">
        <f t="shared" si="557"/>
        <v>82.717856827659901</v>
      </c>
      <c r="BQ192" s="110">
        <f t="shared" si="557"/>
        <v>430.79484090879436</v>
      </c>
      <c r="BR192" s="110"/>
      <c r="BS192" s="1503"/>
      <c r="BT192" s="1503"/>
      <c r="BU192" s="938" t="s">
        <v>87</v>
      </c>
      <c r="BV192" s="938">
        <v>688</v>
      </c>
      <c r="BW192" s="937">
        <v>9800</v>
      </c>
      <c r="BX192" s="936" t="s">
        <v>562</v>
      </c>
      <c r="BY192" s="936">
        <v>0.90249999999999997</v>
      </c>
      <c r="BZ192" s="943">
        <v>0.98</v>
      </c>
      <c r="CA192" s="19" t="s">
        <v>238</v>
      </c>
    </row>
    <row r="193" spans="1:79" s="19" customFormat="1">
      <c r="A193" s="108"/>
      <c r="B193" s="5"/>
      <c r="C193" s="1125"/>
      <c r="D193" s="5"/>
      <c r="E193" s="146"/>
      <c r="F193" s="7"/>
      <c r="G193" s="7"/>
      <c r="H193" s="147"/>
      <c r="I193" s="31"/>
      <c r="J193" s="146"/>
      <c r="K193" s="7"/>
      <c r="L193" s="7"/>
      <c r="M193" s="147"/>
      <c r="N193" s="5"/>
      <c r="O193" s="146"/>
      <c r="P193" s="7"/>
      <c r="Q193" s="7"/>
      <c r="R193" s="147"/>
      <c r="S193" s="5"/>
      <c r="T193" s="146"/>
      <c r="U193" s="7"/>
      <c r="V193" s="7"/>
      <c r="W193" s="147"/>
      <c r="X193" s="5"/>
      <c r="Y193" s="146"/>
      <c r="Z193" s="7"/>
      <c r="AA193" s="7"/>
      <c r="AB193" s="147"/>
      <c r="AC193" s="5"/>
      <c r="AD193" s="146"/>
      <c r="AE193" s="7"/>
      <c r="AF193" s="7"/>
      <c r="AG193" s="147"/>
      <c r="AH193" s="5"/>
      <c r="AI193" s="146"/>
      <c r="AJ193" s="7"/>
      <c r="AK193" s="7"/>
      <c r="AL193" s="147"/>
      <c r="AM193" s="5"/>
      <c r="AN193" s="146"/>
      <c r="AO193" s="7"/>
      <c r="AP193" s="7"/>
      <c r="AQ193" s="147"/>
      <c r="AR193" s="5"/>
      <c r="AS193" s="146"/>
      <c r="AT193" s="7"/>
      <c r="AU193" s="7"/>
      <c r="AV193" s="147"/>
      <c r="AW193" s="5"/>
      <c r="AX193" s="146"/>
      <c r="AY193" s="7"/>
      <c r="AZ193" s="7"/>
      <c r="BA193" s="147"/>
      <c r="BB193" s="5"/>
      <c r="BC193" s="146"/>
      <c r="BD193" s="7"/>
      <c r="BE193" s="7"/>
      <c r="BF193" s="147"/>
      <c r="BG193" s="5"/>
      <c r="BH193" s="146"/>
      <c r="BI193" s="7"/>
      <c r="BJ193" s="7"/>
      <c r="BK193" s="147"/>
      <c r="BL193" s="5"/>
      <c r="BM193" s="146"/>
      <c r="BN193" s="7"/>
      <c r="BO193" s="7"/>
      <c r="BP193" s="147"/>
      <c r="BQ193" s="5"/>
      <c r="BR193" s="5"/>
      <c r="BS193" s="1503"/>
      <c r="BT193" s="1503"/>
      <c r="BU193" s="938" t="s">
        <v>88</v>
      </c>
      <c r="BV193" s="938">
        <v>838</v>
      </c>
      <c r="BW193" s="937">
        <v>9800</v>
      </c>
      <c r="BX193" s="936" t="s">
        <v>562</v>
      </c>
      <c r="BY193" s="936">
        <v>0.90249999999999997</v>
      </c>
      <c r="BZ193" s="943">
        <v>0.90249999999999997</v>
      </c>
      <c r="CA193" s="19" t="s">
        <v>859</v>
      </c>
    </row>
    <row r="194" spans="1:79" s="19" customFormat="1">
      <c r="A194" s="108"/>
      <c r="B194" s="31"/>
      <c r="C194" s="1127" t="s">
        <v>548</v>
      </c>
      <c r="D194" s="31"/>
      <c r="E194" s="177"/>
      <c r="F194" s="178"/>
      <c r="G194" s="178"/>
      <c r="H194" s="179"/>
      <c r="I194" s="44"/>
      <c r="J194" s="177"/>
      <c r="K194" s="178"/>
      <c r="L194" s="178"/>
      <c r="M194" s="179"/>
      <c r="N194" s="44"/>
      <c r="O194" s="177"/>
      <c r="P194" s="178"/>
      <c r="Q194" s="178"/>
      <c r="R194" s="179"/>
      <c r="S194" s="44"/>
      <c r="T194" s="885"/>
      <c r="U194" s="178"/>
      <c r="V194" s="178"/>
      <c r="W194" s="179"/>
      <c r="X194" s="44"/>
      <c r="Y194" s="177">
        <f t="shared" ref="Y194:AR194" si="558">+Y202+Y215+Y228+Y242</f>
        <v>4998</v>
      </c>
      <c r="Z194" s="178">
        <f t="shared" si="558"/>
        <v>4998</v>
      </c>
      <c r="AA194" s="178">
        <f t="shared" si="558"/>
        <v>4998</v>
      </c>
      <c r="AB194" s="179">
        <f t="shared" si="558"/>
        <v>4998</v>
      </c>
      <c r="AC194" s="44">
        <f t="shared" si="558"/>
        <v>4998</v>
      </c>
      <c r="AD194" s="177">
        <f t="shared" si="558"/>
        <v>4998</v>
      </c>
      <c r="AE194" s="178">
        <f t="shared" si="558"/>
        <v>4998</v>
      </c>
      <c r="AF194" s="178">
        <f t="shared" si="558"/>
        <v>4998</v>
      </c>
      <c r="AG194" s="179">
        <f t="shared" si="558"/>
        <v>4998</v>
      </c>
      <c r="AH194" s="44">
        <f t="shared" si="558"/>
        <v>4998</v>
      </c>
      <c r="AI194" s="177">
        <f t="shared" si="558"/>
        <v>4393</v>
      </c>
      <c r="AJ194" s="178">
        <f t="shared" si="558"/>
        <v>4393</v>
      </c>
      <c r="AK194" s="178">
        <f t="shared" si="558"/>
        <v>4393</v>
      </c>
      <c r="AL194" s="179">
        <f t="shared" si="558"/>
        <v>4393</v>
      </c>
      <c r="AM194" s="44">
        <f t="shared" si="558"/>
        <v>4393</v>
      </c>
      <c r="AN194" s="177">
        <f t="shared" ref="AN194" si="559">+AN202+AN215+AN228+AN242</f>
        <v>4393</v>
      </c>
      <c r="AO194" s="178">
        <f t="shared" si="558"/>
        <v>4393</v>
      </c>
      <c r="AP194" s="178">
        <f t="shared" si="558"/>
        <v>4393</v>
      </c>
      <c r="AQ194" s="179">
        <f t="shared" si="558"/>
        <v>4393</v>
      </c>
      <c r="AR194" s="44">
        <f t="shared" si="558"/>
        <v>4393</v>
      </c>
      <c r="AS194" s="177">
        <f t="shared" ref="AS194:BB194" si="560">+AS202+AS215+AS228+AS242</f>
        <v>4393</v>
      </c>
      <c r="AT194" s="178">
        <f>+AT202+AT215+AT228+AT242</f>
        <v>3555</v>
      </c>
      <c r="AU194" s="178">
        <f t="shared" ref="AU194" si="561">+AU202+AU215+AU228+AU242</f>
        <v>3555</v>
      </c>
      <c r="AV194" s="179">
        <f t="shared" si="560"/>
        <v>3555</v>
      </c>
      <c r="AW194" s="44">
        <f t="shared" si="560"/>
        <v>3555</v>
      </c>
      <c r="AX194" s="177">
        <f t="shared" si="560"/>
        <v>3555</v>
      </c>
      <c r="AY194" s="178">
        <f t="shared" si="560"/>
        <v>3555</v>
      </c>
      <c r="AZ194" s="178">
        <f t="shared" si="560"/>
        <v>3555</v>
      </c>
      <c r="BA194" s="179">
        <f t="shared" si="560"/>
        <v>3555</v>
      </c>
      <c r="BB194" s="44">
        <f t="shared" si="560"/>
        <v>3555</v>
      </c>
      <c r="BC194" s="177">
        <f t="shared" ref="BC194:BL194" si="562">+BC202+BC215+BC228+BC242</f>
        <v>3555</v>
      </c>
      <c r="BD194" s="178">
        <f t="shared" si="562"/>
        <v>3325.6666666666665</v>
      </c>
      <c r="BE194" s="178">
        <f t="shared" si="562"/>
        <v>2867</v>
      </c>
      <c r="BF194" s="179">
        <f t="shared" si="562"/>
        <v>2867</v>
      </c>
      <c r="BG194" s="44">
        <f t="shared" si="562"/>
        <v>2867</v>
      </c>
      <c r="BH194" s="177">
        <f t="shared" si="562"/>
        <v>2867</v>
      </c>
      <c r="BI194" s="178">
        <f t="shared" si="562"/>
        <v>2177.333333333333</v>
      </c>
      <c r="BJ194" s="178">
        <f t="shared" si="562"/>
        <v>1832.5</v>
      </c>
      <c r="BK194" s="179">
        <f t="shared" si="562"/>
        <v>1832.5</v>
      </c>
      <c r="BL194" s="44">
        <f t="shared" si="562"/>
        <v>1832.5</v>
      </c>
      <c r="BM194" s="177">
        <f t="shared" ref="BM194:BQ194" si="563">+BM202+BM215+BM228+BM242</f>
        <v>1832.5</v>
      </c>
      <c r="BN194" s="178">
        <f t="shared" si="563"/>
        <v>1487.6666666666665</v>
      </c>
      <c r="BO194" s="178">
        <f t="shared" si="563"/>
        <v>798</v>
      </c>
      <c r="BP194" s="179">
        <f t="shared" si="563"/>
        <v>798</v>
      </c>
      <c r="BQ194" s="44">
        <f t="shared" si="563"/>
        <v>798</v>
      </c>
      <c r="BR194" s="44"/>
      <c r="BS194" s="1503"/>
      <c r="BT194" s="1503"/>
      <c r="BU194" s="938" t="s">
        <v>89</v>
      </c>
      <c r="BV194" s="938">
        <v>1028</v>
      </c>
      <c r="BW194" s="937">
        <v>9800</v>
      </c>
      <c r="BX194" s="936" t="s">
        <v>562</v>
      </c>
      <c r="BY194" s="936">
        <v>0.98</v>
      </c>
      <c r="BZ194" s="943">
        <v>0.90249999999999997</v>
      </c>
      <c r="CA194" s="19" t="s">
        <v>857</v>
      </c>
    </row>
    <row r="195" spans="1:79" s="19" customFormat="1">
      <c r="A195" s="108"/>
      <c r="B195" s="31"/>
      <c r="C195" s="1127" t="s">
        <v>549</v>
      </c>
      <c r="D195" s="31"/>
      <c r="E195" s="917"/>
      <c r="F195" s="113"/>
      <c r="G195" s="113"/>
      <c r="H195" s="918"/>
      <c r="I195" s="31"/>
      <c r="J195" s="917"/>
      <c r="K195" s="113"/>
      <c r="L195" s="113"/>
      <c r="M195" s="918"/>
      <c r="N195" s="919"/>
      <c r="O195" s="917"/>
      <c r="P195" s="113"/>
      <c r="Q195" s="113"/>
      <c r="R195" s="918"/>
      <c r="S195" s="31"/>
      <c r="T195" s="220"/>
      <c r="U195" s="221"/>
      <c r="V195" s="221"/>
      <c r="W195" s="222"/>
      <c r="X195" s="916"/>
      <c r="Y195" s="220">
        <f t="shared" ref="Y195:AR195" si="564">+Y205+Y218+Y231+Y245</f>
        <v>9741.6018000000004</v>
      </c>
      <c r="Z195" s="221">
        <f t="shared" si="564"/>
        <v>9741.6018000000004</v>
      </c>
      <c r="AA195" s="221">
        <f t="shared" si="564"/>
        <v>9741.6018000000004</v>
      </c>
      <c r="AB195" s="222">
        <f t="shared" si="564"/>
        <v>9741.6018000000004</v>
      </c>
      <c r="AC195" s="916">
        <f t="shared" si="564"/>
        <v>38966.407200000001</v>
      </c>
      <c r="AD195" s="220">
        <f t="shared" si="564"/>
        <v>9741.6018000000004</v>
      </c>
      <c r="AE195" s="221">
        <f t="shared" si="564"/>
        <v>9741.6018000000004</v>
      </c>
      <c r="AF195" s="221">
        <f t="shared" si="564"/>
        <v>9741.6018000000004</v>
      </c>
      <c r="AG195" s="222">
        <f t="shared" si="564"/>
        <v>9741.6018000000004</v>
      </c>
      <c r="AH195" s="916">
        <f t="shared" si="564"/>
        <v>38966.407200000001</v>
      </c>
      <c r="AI195" s="220">
        <f t="shared" si="564"/>
        <v>8562.3963000000003</v>
      </c>
      <c r="AJ195" s="221">
        <f t="shared" si="564"/>
        <v>8562.3963000000003</v>
      </c>
      <c r="AK195" s="221">
        <f t="shared" si="564"/>
        <v>8562.3963000000003</v>
      </c>
      <c r="AL195" s="222">
        <f t="shared" si="564"/>
        <v>8562.3963000000003</v>
      </c>
      <c r="AM195" s="916">
        <f t="shared" si="564"/>
        <v>34249.585200000001</v>
      </c>
      <c r="AN195" s="220">
        <f t="shared" ref="AN195" si="565">+AN205+AN218+AN231+AN245</f>
        <v>9014.0619000000006</v>
      </c>
      <c r="AO195" s="221">
        <f t="shared" si="564"/>
        <v>9014.0619000000006</v>
      </c>
      <c r="AP195" s="221">
        <f t="shared" si="564"/>
        <v>9014.0619000000006</v>
      </c>
      <c r="AQ195" s="222">
        <f t="shared" si="564"/>
        <v>9014.0619000000006</v>
      </c>
      <c r="AR195" s="916">
        <f t="shared" si="564"/>
        <v>36056.247600000002</v>
      </c>
      <c r="AS195" s="220">
        <f t="shared" ref="AS195:BB195" si="566">+AS205+AS218+AS231+AS245</f>
        <v>6929.0505000000003</v>
      </c>
      <c r="AT195" s="221">
        <f t="shared" si="566"/>
        <v>6929.0505000000003</v>
      </c>
      <c r="AU195" s="221">
        <f t="shared" ref="AU195" si="567">+AU205+AU218+AU231+AU245</f>
        <v>6929.0505000000003</v>
      </c>
      <c r="AV195" s="222">
        <f t="shared" si="566"/>
        <v>6929.0505000000003</v>
      </c>
      <c r="AW195" s="916">
        <f t="shared" si="566"/>
        <v>27716.202000000001</v>
      </c>
      <c r="AX195" s="220">
        <f t="shared" si="566"/>
        <v>6929.0505000000003</v>
      </c>
      <c r="AY195" s="221">
        <f t="shared" si="566"/>
        <v>6929.0505000000003</v>
      </c>
      <c r="AZ195" s="221">
        <f t="shared" si="566"/>
        <v>6929.0505000000003</v>
      </c>
      <c r="BA195" s="222">
        <f t="shared" si="566"/>
        <v>6929.0505000000003</v>
      </c>
      <c r="BB195" s="916">
        <f t="shared" si="566"/>
        <v>27716.202000000001</v>
      </c>
      <c r="BC195" s="220">
        <f t="shared" ref="BC195:BL195" si="568">+BC205+BC218+BC231+BC245</f>
        <v>6687.537299999999</v>
      </c>
      <c r="BD195" s="221">
        <f t="shared" si="568"/>
        <v>6260.6332999999995</v>
      </c>
      <c r="BE195" s="221">
        <f t="shared" si="568"/>
        <v>5406.8252999999995</v>
      </c>
      <c r="BF195" s="222">
        <f t="shared" si="568"/>
        <v>5406.8252999999995</v>
      </c>
      <c r="BG195" s="916">
        <f t="shared" si="568"/>
        <v>23761.821199999998</v>
      </c>
      <c r="BH195" s="220">
        <f t="shared" si="568"/>
        <v>5406.8252999999995</v>
      </c>
      <c r="BI195" s="221">
        <f t="shared" si="568"/>
        <v>4123.0108</v>
      </c>
      <c r="BJ195" s="221">
        <f t="shared" si="568"/>
        <v>3481.1035499999998</v>
      </c>
      <c r="BK195" s="222">
        <f t="shared" si="568"/>
        <v>3481.1035499999998</v>
      </c>
      <c r="BL195" s="916">
        <f t="shared" si="568"/>
        <v>16492.0432</v>
      </c>
      <c r="BM195" s="220">
        <f t="shared" ref="BM195:BQ195" si="569">+BM205+BM218+BM231+BM245</f>
        <v>3481.1035499999998</v>
      </c>
      <c r="BN195" s="221">
        <f t="shared" si="569"/>
        <v>2839.1962999999996</v>
      </c>
      <c r="BO195" s="221">
        <f t="shared" si="569"/>
        <v>1555.3818000000001</v>
      </c>
      <c r="BP195" s="222">
        <f t="shared" si="569"/>
        <v>1555.3818000000001</v>
      </c>
      <c r="BQ195" s="916">
        <f t="shared" si="569"/>
        <v>9431.0634499999996</v>
      </c>
      <c r="BR195" s="916"/>
      <c r="BS195" s="1503"/>
      <c r="BT195" s="1503"/>
      <c r="BU195" s="938" t="s">
        <v>90</v>
      </c>
      <c r="BV195" s="938">
        <v>1041</v>
      </c>
      <c r="BW195" s="937">
        <v>9800</v>
      </c>
      <c r="BX195" s="936" t="s">
        <v>562</v>
      </c>
      <c r="BY195" s="936">
        <v>0.98</v>
      </c>
      <c r="BZ195" s="943">
        <v>0.98</v>
      </c>
      <c r="CA195" s="19" t="s">
        <v>857</v>
      </c>
    </row>
    <row r="196" spans="1:79" s="19" customFormat="1">
      <c r="A196" s="108"/>
      <c r="B196" s="5"/>
      <c r="C196" s="1127" t="s">
        <v>550</v>
      </c>
      <c r="D196" s="5"/>
      <c r="E196" s="146"/>
      <c r="F196" s="7"/>
      <c r="G196" s="7"/>
      <c r="H196" s="147"/>
      <c r="I196" s="31"/>
      <c r="J196" s="146"/>
      <c r="K196" s="7"/>
      <c r="L196" s="7"/>
      <c r="M196" s="147"/>
      <c r="N196" s="5"/>
      <c r="O196" s="146"/>
      <c r="P196" s="7"/>
      <c r="Q196" s="7"/>
      <c r="R196" s="147"/>
      <c r="S196" s="5"/>
      <c r="T196" s="920"/>
      <c r="U196" s="921"/>
      <c r="V196" s="921"/>
      <c r="W196" s="922"/>
      <c r="X196" s="923"/>
      <c r="Y196" s="920">
        <f t="shared" ref="Y196:AQ196" si="570">Y195/(Y194*8.76/4)</f>
        <v>0.89000000000000012</v>
      </c>
      <c r="Z196" s="921">
        <f t="shared" si="570"/>
        <v>0.89000000000000012</v>
      </c>
      <c r="AA196" s="921">
        <f t="shared" si="570"/>
        <v>0.89000000000000012</v>
      </c>
      <c r="AB196" s="922">
        <f t="shared" si="570"/>
        <v>0.89000000000000012</v>
      </c>
      <c r="AC196" s="923">
        <f>AC195/(AC194*8.76)</f>
        <v>0.89000000000000012</v>
      </c>
      <c r="AD196" s="920">
        <f t="shared" si="570"/>
        <v>0.89000000000000012</v>
      </c>
      <c r="AE196" s="921">
        <f t="shared" si="570"/>
        <v>0.89000000000000012</v>
      </c>
      <c r="AF196" s="921">
        <f t="shared" si="570"/>
        <v>0.89000000000000012</v>
      </c>
      <c r="AG196" s="922">
        <f t="shared" si="570"/>
        <v>0.89000000000000012</v>
      </c>
      <c r="AH196" s="923">
        <f>AH195/(AH194*8.76)</f>
        <v>0.89000000000000012</v>
      </c>
      <c r="AI196" s="920">
        <f t="shared" si="570"/>
        <v>0.89</v>
      </c>
      <c r="AJ196" s="921">
        <f t="shared" si="570"/>
        <v>0.89</v>
      </c>
      <c r="AK196" s="921">
        <f t="shared" si="570"/>
        <v>0.89</v>
      </c>
      <c r="AL196" s="922">
        <f t="shared" si="570"/>
        <v>0.89</v>
      </c>
      <c r="AM196" s="923">
        <f>AM195/(AM194*8.76)</f>
        <v>0.89</v>
      </c>
      <c r="AN196" s="920">
        <f t="shared" ref="AN196" si="571">AN195/(AN194*8.76/4)</f>
        <v>0.93694741634418399</v>
      </c>
      <c r="AO196" s="921">
        <f t="shared" si="570"/>
        <v>0.93694741634418399</v>
      </c>
      <c r="AP196" s="921">
        <f t="shared" si="570"/>
        <v>0.93694741634418399</v>
      </c>
      <c r="AQ196" s="922">
        <f t="shared" si="570"/>
        <v>0.93694741634418399</v>
      </c>
      <c r="AR196" s="923">
        <f>AR195/(AR194*8.76)</f>
        <v>0.93694741634418399</v>
      </c>
      <c r="AS196" s="920">
        <f>AS195/(AS194*8.76/4)</f>
        <v>0.72022535852492608</v>
      </c>
      <c r="AT196" s="921">
        <f t="shared" ref="AT196:AU196" si="572">AT195/(AT194*8.76/4)</f>
        <v>0.89</v>
      </c>
      <c r="AU196" s="921">
        <f t="shared" si="572"/>
        <v>0.89</v>
      </c>
      <c r="AV196" s="922">
        <f>AV195/(AV194*8.76/4)</f>
        <v>0.89</v>
      </c>
      <c r="AW196" s="923">
        <f>AW195/(AW194*8.76)</f>
        <v>0.89</v>
      </c>
      <c r="AX196" s="920">
        <f>AX195/(AX194*8.76/4)</f>
        <v>0.89</v>
      </c>
      <c r="AY196" s="921">
        <f>AY195/(AY194*8.76/4)</f>
        <v>0.89</v>
      </c>
      <c r="AZ196" s="921">
        <f>AZ195/(AZ194*8.76/4)</f>
        <v>0.89</v>
      </c>
      <c r="BA196" s="922">
        <f>BA195/(BA194*8.76/4)</f>
        <v>0.89</v>
      </c>
      <c r="BB196" s="923">
        <f>BB195/(BB194*8.76)</f>
        <v>0.89</v>
      </c>
      <c r="BC196" s="920">
        <f>BC195/(BC194*8.76/4)</f>
        <v>0.85897890295358637</v>
      </c>
      <c r="BD196" s="921">
        <f>BD195/(BD194*8.76/4)</f>
        <v>0.85959807557381984</v>
      </c>
      <c r="BE196" s="921">
        <f>BE195/(BE194*8.76/4)</f>
        <v>0.86113358911754445</v>
      </c>
      <c r="BF196" s="922">
        <f>BF195/(BF194*8.76/4)</f>
        <v>0.86113358911754445</v>
      </c>
      <c r="BG196" s="923">
        <f>BG195/(BG194*8.76)</f>
        <v>0.94612370654575051</v>
      </c>
      <c r="BH196" s="920">
        <f>BH195/(BH194*8.76/4)</f>
        <v>0.86113358911754445</v>
      </c>
      <c r="BI196" s="921">
        <f>BI195/(BI194*8.76/4)</f>
        <v>0.86466013472137182</v>
      </c>
      <c r="BJ196" s="921">
        <f>BJ195/(BJ194*8.76/4)</f>
        <v>0.86741882673942705</v>
      </c>
      <c r="BK196" s="922">
        <f>BK195/(BK194*8.76/4)</f>
        <v>0.86741882673942705</v>
      </c>
      <c r="BL196" s="923">
        <f>BL195/(BL194*8.76)</f>
        <v>1.0273688040018192</v>
      </c>
      <c r="BM196" s="920">
        <f>BM195/(BM194*8.76/4)</f>
        <v>0.86741882673942705</v>
      </c>
      <c r="BN196" s="921">
        <f>BN195/(BN194*8.76/4)</f>
        <v>0.87145641944880115</v>
      </c>
      <c r="BO196" s="921">
        <f>IFERROR(BO195/(BO194*8.76/4),0)</f>
        <v>0.89000000000000012</v>
      </c>
      <c r="BP196" s="922">
        <f t="shared" ref="BP196:BQ196" si="573">IFERROR(BP195/(BP194*8.76/4),0)</f>
        <v>0.89000000000000012</v>
      </c>
      <c r="BQ196" s="923">
        <f t="shared" si="573"/>
        <v>5.3965183792815372</v>
      </c>
      <c r="BR196" s="923"/>
      <c r="BS196" s="1503"/>
      <c r="BT196" s="1503"/>
      <c r="BU196" s="938" t="s">
        <v>91</v>
      </c>
      <c r="BV196" s="938">
        <v>798</v>
      </c>
      <c r="BW196" s="937">
        <v>10000</v>
      </c>
      <c r="BX196" s="936" t="s">
        <v>562</v>
      </c>
      <c r="BY196" s="936">
        <v>0.90249999999999997</v>
      </c>
      <c r="BZ196" s="943">
        <v>0.90249999999999997</v>
      </c>
      <c r="CA196" s="19" t="s">
        <v>402</v>
      </c>
    </row>
    <row r="197" spans="1:79" s="19" customFormat="1">
      <c r="A197" s="108"/>
      <c r="B197" s="5"/>
      <c r="C197" s="1125"/>
      <c r="D197" s="5"/>
      <c r="E197" s="146"/>
      <c r="F197" s="7"/>
      <c r="G197" s="7"/>
      <c r="H197" s="147"/>
      <c r="I197" s="31"/>
      <c r="J197" s="146"/>
      <c r="K197" s="7"/>
      <c r="L197" s="7"/>
      <c r="M197" s="147"/>
      <c r="N197" s="5"/>
      <c r="O197" s="146"/>
      <c r="P197" s="7"/>
      <c r="Q197" s="7"/>
      <c r="R197" s="147"/>
      <c r="S197" s="5"/>
      <c r="T197" s="146"/>
      <c r="U197" s="7"/>
      <c r="V197" s="7"/>
      <c r="W197" s="147"/>
      <c r="X197" s="5"/>
      <c r="Y197" s="146"/>
      <c r="Z197" s="7"/>
      <c r="AA197" s="7"/>
      <c r="AB197" s="147"/>
      <c r="AC197" s="5"/>
      <c r="AD197" s="146"/>
      <c r="AE197" s="7"/>
      <c r="AF197" s="7"/>
      <c r="AG197" s="147"/>
      <c r="AH197" s="5"/>
      <c r="AI197" s="146"/>
      <c r="AJ197" s="7"/>
      <c r="AK197" s="7"/>
      <c r="AL197" s="147"/>
      <c r="AM197" s="5"/>
      <c r="AN197" s="146"/>
      <c r="AO197" s="7"/>
      <c r="AP197" s="7"/>
      <c r="AQ197" s="147"/>
      <c r="AR197" s="5"/>
      <c r="AS197" s="146"/>
      <c r="AT197" s="7"/>
      <c r="AU197" s="7"/>
      <c r="AV197" s="147"/>
      <c r="AW197" s="5"/>
      <c r="AX197" s="146"/>
      <c r="AY197" s="7"/>
      <c r="AZ197" s="7"/>
      <c r="BA197" s="147"/>
      <c r="BB197" s="5"/>
      <c r="BC197" s="146"/>
      <c r="BD197" s="7"/>
      <c r="BE197" s="7"/>
      <c r="BF197" s="147"/>
      <c r="BG197" s="5"/>
      <c r="BH197" s="146"/>
      <c r="BI197" s="7"/>
      <c r="BJ197" s="7"/>
      <c r="BK197" s="147"/>
      <c r="BL197" s="5"/>
      <c r="BM197" s="146"/>
      <c r="BN197" s="7"/>
      <c r="BO197" s="7"/>
      <c r="BP197" s="147"/>
      <c r="BQ197" s="5"/>
      <c r="BR197" s="5"/>
      <c r="BS197" s="1503"/>
      <c r="BT197" s="1503"/>
      <c r="BU197" s="938" t="s">
        <v>92</v>
      </c>
      <c r="BV197" s="938">
        <v>121</v>
      </c>
      <c r="BW197" s="937">
        <v>10000</v>
      </c>
      <c r="BX197" s="936" t="s">
        <v>855</v>
      </c>
      <c r="BY197" s="936">
        <v>0.9</v>
      </c>
      <c r="BZ197" s="943">
        <v>0.75</v>
      </c>
      <c r="CA197" s="19" t="s">
        <v>402</v>
      </c>
    </row>
    <row r="198" spans="1:79" s="19" customFormat="1">
      <c r="A198" s="108"/>
      <c r="B198" s="5"/>
      <c r="C198" s="1154" t="s">
        <v>564</v>
      </c>
      <c r="D198" s="5"/>
      <c r="E198" s="146"/>
      <c r="F198" s="7"/>
      <c r="G198" s="7"/>
      <c r="H198" s="147"/>
      <c r="I198" s="31"/>
      <c r="J198" s="146"/>
      <c r="K198" s="7"/>
      <c r="L198" s="7"/>
      <c r="M198" s="147"/>
      <c r="N198" s="5"/>
      <c r="O198" s="146"/>
      <c r="P198" s="7"/>
      <c r="Q198" s="7"/>
      <c r="R198" s="147"/>
      <c r="S198" s="5"/>
      <c r="T198" s="146"/>
      <c r="U198" s="7"/>
      <c r="V198" s="7"/>
      <c r="W198" s="147"/>
      <c r="X198" s="5"/>
      <c r="Y198" s="146"/>
      <c r="Z198" s="7"/>
      <c r="AA198" s="7"/>
      <c r="AB198" s="147"/>
      <c r="AC198" s="5"/>
      <c r="AD198" s="146"/>
      <c r="AE198" s="7"/>
      <c r="AF198" s="7"/>
      <c r="AG198" s="147"/>
      <c r="AH198" s="5"/>
      <c r="AI198" s="146"/>
      <c r="AJ198" s="7"/>
      <c r="AK198" s="7"/>
      <c r="AL198" s="147"/>
      <c r="AM198" s="5"/>
      <c r="AN198" s="146"/>
      <c r="AO198" s="7"/>
      <c r="AP198" s="7"/>
      <c r="AQ198" s="147"/>
      <c r="AR198" s="5"/>
      <c r="AS198" s="146"/>
      <c r="AT198" s="7"/>
      <c r="AU198" s="7"/>
      <c r="AV198" s="147"/>
      <c r="AW198" s="5"/>
      <c r="AX198" s="146"/>
      <c r="AY198" s="7"/>
      <c r="AZ198" s="7"/>
      <c r="BA198" s="147"/>
      <c r="BB198" s="5"/>
      <c r="BC198" s="146"/>
      <c r="BD198" s="7"/>
      <c r="BE198" s="7"/>
      <c r="BF198" s="147"/>
      <c r="BG198" s="5"/>
      <c r="BH198" s="146"/>
      <c r="BI198" s="7"/>
      <c r="BJ198" s="7"/>
      <c r="BK198" s="147"/>
      <c r="BL198" s="5"/>
      <c r="BM198" s="146"/>
      <c r="BN198" s="7"/>
      <c r="BO198" s="7"/>
      <c r="BP198" s="147"/>
      <c r="BQ198" s="5"/>
      <c r="BR198" s="5"/>
      <c r="BS198" s="1503"/>
      <c r="BT198" s="1503"/>
      <c r="BU198" s="938" t="s">
        <v>93</v>
      </c>
      <c r="BV198" s="938">
        <v>60</v>
      </c>
      <c r="BW198" s="937">
        <v>11000</v>
      </c>
      <c r="BX198" s="936" t="s">
        <v>855</v>
      </c>
      <c r="BY198" s="936">
        <v>0.9</v>
      </c>
      <c r="BZ198" s="943">
        <v>0.75</v>
      </c>
      <c r="CA198" s="19" t="s">
        <v>402</v>
      </c>
    </row>
    <row r="199" spans="1:79" s="19" customFormat="1">
      <c r="A199" s="108"/>
      <c r="B199" s="5"/>
      <c r="C199" s="1127" t="s">
        <v>551</v>
      </c>
      <c r="D199" s="5"/>
      <c r="E199" s="146"/>
      <c r="F199" s="7"/>
      <c r="G199" s="7"/>
      <c r="H199" s="147"/>
      <c r="I199" s="31"/>
      <c r="J199" s="146"/>
      <c r="K199" s="7"/>
      <c r="L199" s="7"/>
      <c r="M199" s="147"/>
      <c r="N199" s="5"/>
      <c r="O199" s="146"/>
      <c r="P199" s="7"/>
      <c r="Q199" s="7"/>
      <c r="R199" s="147"/>
      <c r="S199" s="5"/>
      <c r="T199" s="881"/>
      <c r="U199" s="882"/>
      <c r="V199" s="882"/>
      <c r="W199" s="883"/>
      <c r="X199" s="403"/>
      <c r="Y199" s="881">
        <f t="shared" ref="Y199:AR199" si="574">Y78</f>
        <v>80.76298856323325</v>
      </c>
      <c r="Z199" s="882">
        <f t="shared" si="574"/>
        <v>39.324834960937494</v>
      </c>
      <c r="AA199" s="882">
        <f t="shared" si="574"/>
        <v>42.105834483271053</v>
      </c>
      <c r="AB199" s="883">
        <f t="shared" si="574"/>
        <v>58.826130539232338</v>
      </c>
      <c r="AC199" s="403">
        <f t="shared" si="574"/>
        <v>55.254947136668534</v>
      </c>
      <c r="AD199" s="881">
        <f t="shared" si="574"/>
        <v>145.20162439397859</v>
      </c>
      <c r="AE199" s="882">
        <f t="shared" si="574"/>
        <v>38.029599139873795</v>
      </c>
      <c r="AF199" s="882">
        <f t="shared" si="574"/>
        <v>33.69072399371602</v>
      </c>
      <c r="AG199" s="883">
        <f t="shared" si="574"/>
        <v>39.114407400645376</v>
      </c>
      <c r="AH199" s="403">
        <f t="shared" si="574"/>
        <v>64.009088732053456</v>
      </c>
      <c r="AI199" s="881">
        <f t="shared" si="574"/>
        <v>80.860928090493445</v>
      </c>
      <c r="AJ199" s="882">
        <f t="shared" si="574"/>
        <v>23.318109637920671</v>
      </c>
      <c r="AK199" s="882">
        <f t="shared" si="574"/>
        <v>31.868536042015048</v>
      </c>
      <c r="AL199" s="883">
        <f t="shared" si="574"/>
        <v>26.309998555536676</v>
      </c>
      <c r="AM199" s="403">
        <f t="shared" si="574"/>
        <v>40.589393081491465</v>
      </c>
      <c r="AN199" s="881">
        <f t="shared" ref="AN199" si="575">AN78</f>
        <v>23.169542142427886</v>
      </c>
      <c r="AO199" s="882">
        <f t="shared" si="574"/>
        <v>23.169542142427886</v>
      </c>
      <c r="AP199" s="882">
        <f t="shared" si="574"/>
        <v>33.464804128925138</v>
      </c>
      <c r="AQ199" s="883">
        <f t="shared" si="574"/>
        <v>33.464804128925138</v>
      </c>
      <c r="AR199" s="403">
        <f t="shared" si="574"/>
        <v>28.317173135676512</v>
      </c>
      <c r="AS199" s="881">
        <f t="shared" ref="AS199:BB199" si="576">AS78</f>
        <v>32.029421439556906</v>
      </c>
      <c r="AT199" s="882">
        <f t="shared" si="576"/>
        <v>27.875360107421891</v>
      </c>
      <c r="AU199" s="882">
        <f t="shared" ref="AU199" si="577">AU78</f>
        <v>25.260110668995857</v>
      </c>
      <c r="AV199" s="883">
        <f t="shared" si="576"/>
        <v>46.884309164294322</v>
      </c>
      <c r="AW199" s="403">
        <f t="shared" si="576"/>
        <v>33.012300345067246</v>
      </c>
      <c r="AX199" s="881">
        <f t="shared" si="576"/>
        <v>58.793411888351088</v>
      </c>
      <c r="AY199" s="882">
        <f t="shared" si="576"/>
        <v>28.196250000000003</v>
      </c>
      <c r="AZ199" s="882">
        <f t="shared" si="576"/>
        <v>29.039583333333333</v>
      </c>
      <c r="BA199" s="883">
        <f t="shared" si="576"/>
        <v>37.808750000000003</v>
      </c>
      <c r="BB199" s="403">
        <f t="shared" si="576"/>
        <v>38.459498805421106</v>
      </c>
      <c r="BC199" s="881">
        <f t="shared" ref="BC199:BL199" si="578">BC78</f>
        <v>64.623168443631229</v>
      </c>
      <c r="BD199" s="882">
        <f t="shared" si="578"/>
        <v>26.770353749639611</v>
      </c>
      <c r="BE199" s="882">
        <f t="shared" si="578"/>
        <v>29.948409191752226</v>
      </c>
      <c r="BF199" s="883">
        <f t="shared" si="578"/>
        <v>35.608467781376916</v>
      </c>
      <c r="BG199" s="403">
        <f t="shared" si="578"/>
        <v>39.237599791599997</v>
      </c>
      <c r="BH199" s="881">
        <f t="shared" si="578"/>
        <v>64.535306922967763</v>
      </c>
      <c r="BI199" s="882">
        <f t="shared" si="578"/>
        <v>26.735739295834001</v>
      </c>
      <c r="BJ199" s="882">
        <f t="shared" si="578"/>
        <v>29.911787356982423</v>
      </c>
      <c r="BK199" s="883">
        <f t="shared" si="578"/>
        <v>35.557583090755799</v>
      </c>
      <c r="BL199" s="403">
        <f t="shared" si="578"/>
        <v>39.185104166635</v>
      </c>
      <c r="BM199" s="881">
        <f t="shared" ref="BM199:BQ199" si="579">BM78</f>
        <v>53.582375757308597</v>
      </c>
      <c r="BN199" s="882">
        <f t="shared" si="579"/>
        <v>24.590198423323571</v>
      </c>
      <c r="BO199" s="882">
        <f t="shared" si="579"/>
        <v>23.003287913427648</v>
      </c>
      <c r="BP199" s="883">
        <f t="shared" si="579"/>
        <v>52.447523550947963</v>
      </c>
      <c r="BQ199" s="403">
        <f t="shared" si="579"/>
        <v>38.405846411251943</v>
      </c>
      <c r="BR199" s="403"/>
      <c r="BS199" s="1503"/>
      <c r="BT199" s="1503"/>
      <c r="BU199" s="938" t="s">
        <v>103</v>
      </c>
      <c r="BV199" s="938">
        <v>0</v>
      </c>
      <c r="BW199" s="937">
        <v>7100</v>
      </c>
      <c r="BX199" s="936" t="s">
        <v>561</v>
      </c>
      <c r="BY199" s="936">
        <v>0.45</v>
      </c>
      <c r="BZ199" s="943">
        <v>0</v>
      </c>
      <c r="CA199" s="19" t="s">
        <v>402</v>
      </c>
    </row>
    <row r="200" spans="1:79" s="19" customFormat="1">
      <c r="A200" s="108"/>
      <c r="B200" s="5"/>
      <c r="C200" s="1127" t="s">
        <v>552</v>
      </c>
      <c r="D200" s="5"/>
      <c r="E200" s="146"/>
      <c r="F200" s="7"/>
      <c r="G200" s="7"/>
      <c r="H200" s="147"/>
      <c r="I200" s="924">
        <v>5.9</v>
      </c>
      <c r="J200" s="146"/>
      <c r="K200" s="7"/>
      <c r="L200" s="7"/>
      <c r="M200" s="147"/>
      <c r="N200" s="5"/>
      <c r="O200" s="146"/>
      <c r="P200" s="7"/>
      <c r="Q200" s="7"/>
      <c r="R200" s="147"/>
      <c r="S200" s="5"/>
      <c r="T200" s="881"/>
      <c r="U200" s="882"/>
      <c r="V200" s="882"/>
      <c r="W200" s="883"/>
      <c r="X200" s="403"/>
      <c r="Y200" s="881">
        <f>+Z200</f>
        <v>6.4900000000000011</v>
      </c>
      <c r="Z200" s="882">
        <f>+AA200</f>
        <v>6.4900000000000011</v>
      </c>
      <c r="AA200" s="882">
        <f>+AB200</f>
        <v>6.4900000000000011</v>
      </c>
      <c r="AB200" s="883">
        <f>+AC200</f>
        <v>6.4900000000000011</v>
      </c>
      <c r="AC200" s="925">
        <f>+I200*1.1</f>
        <v>6.4900000000000011</v>
      </c>
      <c r="AD200" s="881">
        <f>+AE200</f>
        <v>6.139000000000002</v>
      </c>
      <c r="AE200" s="882">
        <f>+AF200</f>
        <v>6.139000000000002</v>
      </c>
      <c r="AF200" s="882">
        <f>+AG200</f>
        <v>6.139000000000002</v>
      </c>
      <c r="AG200" s="883">
        <f>+AH200</f>
        <v>6.139000000000002</v>
      </c>
      <c r="AH200" s="925">
        <f>+AC200*1.1-1</f>
        <v>6.139000000000002</v>
      </c>
      <c r="AI200" s="881">
        <f>+AJ200</f>
        <v>6.4</v>
      </c>
      <c r="AJ200" s="882">
        <f>+AK200</f>
        <v>6.4</v>
      </c>
      <c r="AK200" s="882">
        <f>+AL200</f>
        <v>6.4</v>
      </c>
      <c r="AL200" s="883">
        <f>+AM200</f>
        <v>6.4</v>
      </c>
      <c r="AM200" s="925">
        <v>6.4</v>
      </c>
      <c r="AN200" s="881">
        <f>+AO200</f>
        <v>6.4</v>
      </c>
      <c r="AO200" s="882">
        <f>+AP200</f>
        <v>6.4</v>
      </c>
      <c r="AP200" s="882">
        <f>+AQ200</f>
        <v>6.4</v>
      </c>
      <c r="AQ200" s="883">
        <f>+AR200</f>
        <v>6.4</v>
      </c>
      <c r="AR200" s="925">
        <f>AM200</f>
        <v>6.4</v>
      </c>
      <c r="AS200" s="881">
        <f>+AT200</f>
        <v>1</v>
      </c>
      <c r="AT200" s="882">
        <f>+AU200</f>
        <v>1</v>
      </c>
      <c r="AU200" s="882">
        <f t="shared" ref="AU200" si="580">+AV200</f>
        <v>1</v>
      </c>
      <c r="AV200" s="883">
        <f>+AW200</f>
        <v>1</v>
      </c>
      <c r="AW200" s="925">
        <v>1</v>
      </c>
      <c r="AX200" s="881">
        <f>+AY200</f>
        <v>1</v>
      </c>
      <c r="AY200" s="882">
        <f>+AZ200</f>
        <v>1</v>
      </c>
      <c r="AZ200" s="882">
        <f>+BA200</f>
        <v>1</v>
      </c>
      <c r="BA200" s="883">
        <f>+BB200</f>
        <v>1</v>
      </c>
      <c r="BB200" s="925">
        <f>+AW200*1</f>
        <v>1</v>
      </c>
      <c r="BC200" s="881">
        <f>+BD200</f>
        <v>2</v>
      </c>
      <c r="BD200" s="882">
        <f>+BE200</f>
        <v>2</v>
      </c>
      <c r="BE200" s="882">
        <f>+BF200</f>
        <v>2</v>
      </c>
      <c r="BF200" s="883">
        <f>+BG200</f>
        <v>2</v>
      </c>
      <c r="BG200" s="925">
        <v>2</v>
      </c>
      <c r="BH200" s="881">
        <f>+BI200</f>
        <v>2</v>
      </c>
      <c r="BI200" s="882">
        <f>+BJ200</f>
        <v>2</v>
      </c>
      <c r="BJ200" s="882">
        <f>+BK200</f>
        <v>2</v>
      </c>
      <c r="BK200" s="883">
        <f>+BL200</f>
        <v>2</v>
      </c>
      <c r="BL200" s="925">
        <v>2</v>
      </c>
      <c r="BM200" s="881">
        <f>+BN200</f>
        <v>4</v>
      </c>
      <c r="BN200" s="882">
        <f>+BO200</f>
        <v>4</v>
      </c>
      <c r="BO200" s="882">
        <f>+BP200</f>
        <v>4</v>
      </c>
      <c r="BP200" s="883">
        <f>+BQ200</f>
        <v>4</v>
      </c>
      <c r="BQ200" s="925">
        <v>4</v>
      </c>
      <c r="BR200" s="925"/>
      <c r="BS200" s="1503"/>
      <c r="BT200" s="1503"/>
      <c r="BU200" s="938" t="s">
        <v>104</v>
      </c>
      <c r="BV200" s="938">
        <v>213</v>
      </c>
      <c r="BW200" s="937">
        <v>7100</v>
      </c>
      <c r="BX200" s="936" t="s">
        <v>561</v>
      </c>
      <c r="BY200" s="936">
        <v>0.45</v>
      </c>
      <c r="BZ200" s="943">
        <v>0</v>
      </c>
      <c r="CA200" s="19" t="s">
        <v>402</v>
      </c>
    </row>
    <row r="201" spans="1:79" s="19" customFormat="1">
      <c r="A201" s="108"/>
      <c r="B201" s="5"/>
      <c r="C201" s="1125"/>
      <c r="D201" s="5"/>
      <c r="E201" s="146"/>
      <c r="F201" s="7"/>
      <c r="G201" s="7"/>
      <c r="H201" s="147"/>
      <c r="I201" s="31"/>
      <c r="J201" s="146"/>
      <c r="K201" s="7"/>
      <c r="L201" s="7"/>
      <c r="M201" s="147"/>
      <c r="N201" s="5"/>
      <c r="O201" s="146"/>
      <c r="P201" s="7"/>
      <c r="Q201" s="7"/>
      <c r="R201" s="147"/>
      <c r="S201" s="5"/>
      <c r="T201" s="146"/>
      <c r="U201" s="7"/>
      <c r="V201" s="7"/>
      <c r="W201" s="147"/>
      <c r="X201" s="5"/>
      <c r="Y201" s="146"/>
      <c r="Z201" s="7"/>
      <c r="AA201" s="7"/>
      <c r="AB201" s="147"/>
      <c r="AC201" s="5"/>
      <c r="AD201" s="146"/>
      <c r="AE201" s="7"/>
      <c r="AF201" s="7"/>
      <c r="AG201" s="147"/>
      <c r="AH201" s="5"/>
      <c r="AI201" s="146"/>
      <c r="AJ201" s="7"/>
      <c r="AK201" s="7"/>
      <c r="AL201" s="147"/>
      <c r="AM201" s="5"/>
      <c r="AN201" s="146"/>
      <c r="AO201" s="7"/>
      <c r="AP201" s="7"/>
      <c r="AQ201" s="147"/>
      <c r="AR201" s="5"/>
      <c r="AS201" s="146"/>
      <c r="AT201" s="7"/>
      <c r="AU201" s="7"/>
      <c r="AV201" s="147"/>
      <c r="AW201" s="5"/>
      <c r="AX201" s="146"/>
      <c r="AY201" s="7"/>
      <c r="AZ201" s="7"/>
      <c r="BA201" s="147"/>
      <c r="BB201" s="5"/>
      <c r="BC201" s="146"/>
      <c r="BD201" s="7"/>
      <c r="BE201" s="7"/>
      <c r="BF201" s="147"/>
      <c r="BG201" s="5"/>
      <c r="BH201" s="146"/>
      <c r="BI201" s="7"/>
      <c r="BJ201" s="7"/>
      <c r="BK201" s="147"/>
      <c r="BL201" s="5"/>
      <c r="BM201" s="146"/>
      <c r="BN201" s="7"/>
      <c r="BO201" s="7"/>
      <c r="BP201" s="147"/>
      <c r="BQ201" s="5"/>
      <c r="BR201" s="5"/>
      <c r="BS201" s="1503"/>
      <c r="BT201" s="1503"/>
      <c r="BU201" s="938" t="s">
        <v>105</v>
      </c>
      <c r="BV201" s="938">
        <v>544</v>
      </c>
      <c r="BW201" s="937">
        <v>11000</v>
      </c>
      <c r="BX201" s="936" t="s">
        <v>561</v>
      </c>
      <c r="BY201" s="936">
        <v>0</v>
      </c>
      <c r="BZ201" s="943">
        <v>0</v>
      </c>
      <c r="CA201" s="19" t="s">
        <v>402</v>
      </c>
    </row>
    <row r="202" spans="1:79" s="19" customFormat="1">
      <c r="A202" s="108"/>
      <c r="B202" s="5"/>
      <c r="C202" s="1128" t="s">
        <v>553</v>
      </c>
      <c r="D202" s="36"/>
      <c r="E202" s="180"/>
      <c r="F202" s="181"/>
      <c r="G202" s="181"/>
      <c r="H202" s="182"/>
      <c r="I202" s="926">
        <v>1293</v>
      </c>
      <c r="J202" s="180"/>
      <c r="K202" s="181"/>
      <c r="L202" s="181"/>
      <c r="M202" s="182"/>
      <c r="N202" s="110"/>
      <c r="O202" s="180"/>
      <c r="P202" s="181"/>
      <c r="Q202" s="181"/>
      <c r="R202" s="182"/>
      <c r="S202" s="110"/>
      <c r="T202" s="180"/>
      <c r="U202" s="181"/>
      <c r="V202" s="181"/>
      <c r="W202" s="182"/>
      <c r="X202" s="110"/>
      <c r="Y202" s="180">
        <f>+I202</f>
        <v>1293</v>
      </c>
      <c r="Z202" s="181">
        <f t="shared" ref="Z202:AT202" si="581">Y202</f>
        <v>1293</v>
      </c>
      <c r="AA202" s="181">
        <f t="shared" si="581"/>
        <v>1293</v>
      </c>
      <c r="AB202" s="182">
        <f t="shared" si="581"/>
        <v>1293</v>
      </c>
      <c r="AC202" s="110">
        <f t="shared" si="581"/>
        <v>1293</v>
      </c>
      <c r="AD202" s="180">
        <f t="shared" si="581"/>
        <v>1293</v>
      </c>
      <c r="AE202" s="181">
        <f t="shared" si="581"/>
        <v>1293</v>
      </c>
      <c r="AF202" s="181">
        <f>AE202</f>
        <v>1293</v>
      </c>
      <c r="AG202" s="182">
        <f>AF202</f>
        <v>1293</v>
      </c>
      <c r="AH202" s="110">
        <f t="shared" si="581"/>
        <v>1293</v>
      </c>
      <c r="AI202" s="1725">
        <f>AH202-605</f>
        <v>688</v>
      </c>
      <c r="AJ202" s="181">
        <f t="shared" si="581"/>
        <v>688</v>
      </c>
      <c r="AK202" s="181">
        <f t="shared" si="581"/>
        <v>688</v>
      </c>
      <c r="AL202" s="182">
        <f t="shared" si="581"/>
        <v>688</v>
      </c>
      <c r="AM202" s="110">
        <f t="shared" si="581"/>
        <v>688</v>
      </c>
      <c r="AN202" s="1725">
        <v>688</v>
      </c>
      <c r="AO202" s="181">
        <f t="shared" si="581"/>
        <v>688</v>
      </c>
      <c r="AP202" s="181">
        <f t="shared" si="581"/>
        <v>688</v>
      </c>
      <c r="AQ202" s="182">
        <f t="shared" si="581"/>
        <v>688</v>
      </c>
      <c r="AR202" s="110">
        <f t="shared" si="581"/>
        <v>688</v>
      </c>
      <c r="AS202" s="180">
        <f t="shared" ref="AS202:BB202" si="582">AR202</f>
        <v>688</v>
      </c>
      <c r="AT202" s="181">
        <f t="shared" si="581"/>
        <v>688</v>
      </c>
      <c r="AU202" s="181">
        <f t="shared" ref="AU202" si="583">AT202</f>
        <v>688</v>
      </c>
      <c r="AV202" s="182">
        <f t="shared" si="582"/>
        <v>688</v>
      </c>
      <c r="AW202" s="110">
        <f t="shared" si="582"/>
        <v>688</v>
      </c>
      <c r="AX202" s="180">
        <f t="shared" si="582"/>
        <v>688</v>
      </c>
      <c r="AY202" s="181">
        <f t="shared" si="582"/>
        <v>688</v>
      </c>
      <c r="AZ202" s="181">
        <f t="shared" si="582"/>
        <v>688</v>
      </c>
      <c r="BA202" s="182">
        <f t="shared" si="582"/>
        <v>688</v>
      </c>
      <c r="BB202" s="110">
        <f t="shared" si="582"/>
        <v>688</v>
      </c>
      <c r="BC202" s="180">
        <f t="shared" ref="BC202" si="584">BB202</f>
        <v>688</v>
      </c>
      <c r="BD202" s="181">
        <f>BC202*2/3</f>
        <v>458.66666666666669</v>
      </c>
      <c r="BE202" s="1756">
        <v>0</v>
      </c>
      <c r="BF202" s="182">
        <f t="shared" ref="BF202" si="585">BE202</f>
        <v>0</v>
      </c>
      <c r="BG202" s="110">
        <f t="shared" ref="BG202" si="586">BF202</f>
        <v>0</v>
      </c>
      <c r="BH202" s="180">
        <f t="shared" ref="BH202" si="587">BG202</f>
        <v>0</v>
      </c>
      <c r="BI202" s="181">
        <f t="shared" ref="BI202" si="588">BH202</f>
        <v>0</v>
      </c>
      <c r="BJ202" s="181">
        <f t="shared" ref="BJ202" si="589">BI202</f>
        <v>0</v>
      </c>
      <c r="BK202" s="182">
        <f t="shared" ref="BK202" si="590">BJ202</f>
        <v>0</v>
      </c>
      <c r="BL202" s="110">
        <f t="shared" ref="BL202" si="591">BK202</f>
        <v>0</v>
      </c>
      <c r="BM202" s="180">
        <f t="shared" ref="BM202" si="592">BL202</f>
        <v>0</v>
      </c>
      <c r="BN202" s="181">
        <f t="shared" ref="BN202" si="593">BM202</f>
        <v>0</v>
      </c>
      <c r="BO202" s="181">
        <f t="shared" ref="BO202" si="594">BN202</f>
        <v>0</v>
      </c>
      <c r="BP202" s="182">
        <f t="shared" ref="BP202" si="595">BO202</f>
        <v>0</v>
      </c>
      <c r="BQ202" s="110">
        <f t="shared" ref="BQ202" si="596">BP202</f>
        <v>0</v>
      </c>
      <c r="BR202" s="110"/>
      <c r="BS202" s="1503"/>
      <c r="BT202" s="1503"/>
      <c r="BU202" s="938" t="s">
        <v>106</v>
      </c>
      <c r="BV202" s="938">
        <v>40</v>
      </c>
      <c r="BW202" s="937"/>
      <c r="BX202" s="936" t="s">
        <v>494</v>
      </c>
      <c r="BY202" s="936">
        <v>0.1</v>
      </c>
      <c r="BZ202" s="943">
        <v>0.4</v>
      </c>
      <c r="CA202" s="19" t="s">
        <v>402</v>
      </c>
    </row>
    <row r="203" spans="1:79" s="19" customFormat="1">
      <c r="A203" s="108"/>
      <c r="B203" s="5"/>
      <c r="C203" s="1125"/>
      <c r="D203" s="5"/>
      <c r="E203" s="146"/>
      <c r="F203" s="7"/>
      <c r="G203" s="7"/>
      <c r="H203" s="147"/>
      <c r="I203" s="31"/>
      <c r="J203" s="146"/>
      <c r="K203" s="7"/>
      <c r="L203" s="7"/>
      <c r="M203" s="147"/>
      <c r="N203" s="5"/>
      <c r="O203" s="146"/>
      <c r="P203" s="7"/>
      <c r="Q203" s="7"/>
      <c r="R203" s="147"/>
      <c r="S203" s="5"/>
      <c r="T203" s="146"/>
      <c r="U203" s="7"/>
      <c r="V203" s="7"/>
      <c r="W203" s="147"/>
      <c r="X203" s="5"/>
      <c r="Y203" s="146"/>
      <c r="Z203" s="7"/>
      <c r="AA203" s="7"/>
      <c r="AB203" s="147"/>
      <c r="AC203" s="5"/>
      <c r="AD203" s="146"/>
      <c r="AE203" s="7"/>
      <c r="AF203" s="7"/>
      <c r="AG203" s="147"/>
      <c r="AH203" s="5"/>
      <c r="AI203" s="146"/>
      <c r="AJ203" s="7"/>
      <c r="AK203" s="7"/>
      <c r="AL203" s="147"/>
      <c r="AM203" s="5"/>
      <c r="AN203" s="146"/>
      <c r="AO203" s="7"/>
      <c r="AP203" s="7"/>
      <c r="AQ203" s="147"/>
      <c r="AR203" s="5"/>
      <c r="AS203" s="146"/>
      <c r="AT203" s="7"/>
      <c r="AU203" s="7"/>
      <c r="AV203" s="147"/>
      <c r="AW203" s="5"/>
      <c r="AX203" s="146"/>
      <c r="AY203" s="7"/>
      <c r="AZ203" s="7"/>
      <c r="BA203" s="147"/>
      <c r="BB203" s="5"/>
      <c r="BC203" s="146"/>
      <c r="BD203" s="7"/>
      <c r="BE203" s="7"/>
      <c r="BF203" s="147"/>
      <c r="BG203" s="5"/>
      <c r="BH203" s="146"/>
      <c r="BI203" s="7"/>
      <c r="BJ203" s="7"/>
      <c r="BK203" s="147"/>
      <c r="BL203" s="5"/>
      <c r="BM203" s="146"/>
      <c r="BN203" s="7"/>
      <c r="BO203" s="7"/>
      <c r="BP203" s="147"/>
      <c r="BQ203" s="5"/>
      <c r="BR203" s="5"/>
      <c r="BS203" s="1503"/>
      <c r="BT203" s="1503"/>
      <c r="BU203" s="938" t="s">
        <v>107</v>
      </c>
      <c r="BV203" s="938">
        <v>40</v>
      </c>
      <c r="BW203" s="937"/>
      <c r="BX203" s="936" t="s">
        <v>563</v>
      </c>
      <c r="BY203" s="936">
        <v>0.1</v>
      </c>
      <c r="BZ203" s="943">
        <v>0.4</v>
      </c>
      <c r="CA203" s="19" t="s">
        <v>402</v>
      </c>
    </row>
    <row r="204" spans="1:79" s="19" customFormat="1">
      <c r="A204" s="108"/>
      <c r="B204" s="5"/>
      <c r="C204" s="1127" t="s">
        <v>554</v>
      </c>
      <c r="D204" s="5"/>
      <c r="E204" s="146"/>
      <c r="F204" s="7"/>
      <c r="G204" s="7"/>
      <c r="H204" s="147"/>
      <c r="I204" s="927">
        <v>0.89</v>
      </c>
      <c r="J204" s="146"/>
      <c r="K204" s="7"/>
      <c r="L204" s="7"/>
      <c r="M204" s="147"/>
      <c r="N204" s="5"/>
      <c r="O204" s="146"/>
      <c r="P204" s="7"/>
      <c r="Q204" s="7"/>
      <c r="R204" s="147"/>
      <c r="S204" s="5"/>
      <c r="T204" s="920"/>
      <c r="U204" s="921"/>
      <c r="V204" s="921"/>
      <c r="W204" s="922"/>
      <c r="X204" s="923"/>
      <c r="Y204" s="920">
        <f>+I204</f>
        <v>0.89</v>
      </c>
      <c r="Z204" s="921">
        <f>+Y204</f>
        <v>0.89</v>
      </c>
      <c r="AA204" s="921">
        <f>+Z204</f>
        <v>0.89</v>
      </c>
      <c r="AB204" s="922">
        <f>+AA204</f>
        <v>0.89</v>
      </c>
      <c r="AC204" s="923">
        <f>IF(AVERAGE(Y202:AB202)=0,0,AC205/(AVERAGE(Y202:AB202)*8.76))</f>
        <v>0.8899999999999999</v>
      </c>
      <c r="AD204" s="920">
        <f>+AB204</f>
        <v>0.89</v>
      </c>
      <c r="AE204" s="921">
        <f>+Z204</f>
        <v>0.89</v>
      </c>
      <c r="AF204" s="921">
        <f>+AA204</f>
        <v>0.89</v>
      </c>
      <c r="AG204" s="922">
        <f>+AB204</f>
        <v>0.89</v>
      </c>
      <c r="AH204" s="923">
        <f>IF(AVERAGE(AD202:AG202)=0,0,AH205/(AVERAGE(AD202:AG202)*8.76))</f>
        <v>0.8899999999999999</v>
      </c>
      <c r="AI204" s="920">
        <f>+AG204</f>
        <v>0.89</v>
      </c>
      <c r="AJ204" s="921">
        <f>+AE204</f>
        <v>0.89</v>
      </c>
      <c r="AK204" s="921">
        <f>+AF204</f>
        <v>0.89</v>
      </c>
      <c r="AL204" s="922">
        <f>+AG204</f>
        <v>0.89</v>
      </c>
      <c r="AM204" s="923">
        <f>IF(AVERAGE(AI202:AL202)=0,0,AM205/(AVERAGE(AI202:AL202)*8.76))</f>
        <v>0.89</v>
      </c>
      <c r="AN204" s="1914">
        <v>0.95</v>
      </c>
      <c r="AO204" s="921">
        <f>AN204</f>
        <v>0.95</v>
      </c>
      <c r="AP204" s="921">
        <f t="shared" ref="AP204:AQ204" si="597">AO204</f>
        <v>0.95</v>
      </c>
      <c r="AQ204" s="922">
        <f t="shared" si="597"/>
        <v>0.95</v>
      </c>
      <c r="AR204" s="923">
        <f>IF(AVERAGE(AN202:AQ202)=0,0,AR205/(AVERAGE(AN202:AQ202)*8.76))</f>
        <v>0.95</v>
      </c>
      <c r="AS204" s="1914">
        <f>I204</f>
        <v>0.89</v>
      </c>
      <c r="AT204" s="921">
        <f>AS204</f>
        <v>0.89</v>
      </c>
      <c r="AU204" s="921">
        <f t="shared" ref="AU204" si="598">AT204</f>
        <v>0.89</v>
      </c>
      <c r="AV204" s="922">
        <f>AU204</f>
        <v>0.89</v>
      </c>
      <c r="AW204" s="923">
        <f>IF(AVERAGE(AS202:AV202)=0,0,AW205/(AVERAGE(AS202:AV202)*8.76))</f>
        <v>0.89</v>
      </c>
      <c r="AX204" s="920">
        <f>AS204</f>
        <v>0.89</v>
      </c>
      <c r="AY204" s="921">
        <f t="shared" ref="AY204:BA204" si="599">AT204</f>
        <v>0.89</v>
      </c>
      <c r="AZ204" s="921">
        <f t="shared" si="599"/>
        <v>0.89</v>
      </c>
      <c r="BA204" s="922">
        <f t="shared" si="599"/>
        <v>0.89</v>
      </c>
      <c r="BB204" s="923">
        <f>IF(AVERAGE(AX202:BA202)=0,0,BB205/(AVERAGE(AX202:BA202)*8.76))</f>
        <v>0.89</v>
      </c>
      <c r="BC204" s="1914">
        <v>0.85</v>
      </c>
      <c r="BD204" s="921">
        <f>BC204</f>
        <v>0.85</v>
      </c>
      <c r="BE204" s="921">
        <f>BD204</f>
        <v>0.85</v>
      </c>
      <c r="BF204" s="922">
        <f>BE204</f>
        <v>0.85</v>
      </c>
      <c r="BG204" s="923">
        <f>IF(AVERAGE(BC202:BF202)=0,0,BG205/(AVERAGE(BC202:BF202)*8.76))</f>
        <v>0.84999999999999976</v>
      </c>
      <c r="BH204" s="920">
        <f>BC204</f>
        <v>0.85</v>
      </c>
      <c r="BI204" s="921">
        <f t="shared" ref="BI204" si="600">BD204</f>
        <v>0.85</v>
      </c>
      <c r="BJ204" s="921">
        <f t="shared" ref="BJ204" si="601">BE204</f>
        <v>0.85</v>
      </c>
      <c r="BK204" s="922">
        <f t="shared" ref="BK204" si="602">BF204</f>
        <v>0.85</v>
      </c>
      <c r="BL204" s="923">
        <f>IF(AVERAGE(BH202:BK202)=0,0,BL205/(AVERAGE(BH202:BK202)*8.76))</f>
        <v>0</v>
      </c>
      <c r="BM204" s="920">
        <f>BH204</f>
        <v>0.85</v>
      </c>
      <c r="BN204" s="921">
        <f t="shared" ref="BN204" si="603">BI204</f>
        <v>0.85</v>
      </c>
      <c r="BO204" s="921">
        <f t="shared" ref="BO204" si="604">BJ204</f>
        <v>0.85</v>
      </c>
      <c r="BP204" s="922">
        <f t="shared" ref="BP204" si="605">BK204</f>
        <v>0.85</v>
      </c>
      <c r="BQ204" s="923">
        <f>IF(AVERAGE(BM202:BP202)=0,0,BQ205/(AVERAGE(BM202:BP202)*8.76))</f>
        <v>0</v>
      </c>
      <c r="BR204" s="923"/>
      <c r="BS204" s="1503"/>
      <c r="BT204" s="1503"/>
      <c r="BU204" s="938" t="s">
        <v>84</v>
      </c>
      <c r="BV204" s="938">
        <v>550</v>
      </c>
      <c r="BW204" s="937">
        <v>7200</v>
      </c>
      <c r="BX204" s="936" t="s">
        <v>561</v>
      </c>
      <c r="BY204" s="936">
        <v>0.8</v>
      </c>
      <c r="BZ204" s="943">
        <v>0.4</v>
      </c>
      <c r="CA204" s="19" t="s">
        <v>238</v>
      </c>
    </row>
    <row r="205" spans="1:79" s="19" customFormat="1">
      <c r="A205" s="108"/>
      <c r="B205" s="5"/>
      <c r="C205" s="1128" t="s">
        <v>549</v>
      </c>
      <c r="D205" s="36"/>
      <c r="E205" s="122"/>
      <c r="F205" s="123"/>
      <c r="G205" s="123"/>
      <c r="H205" s="915"/>
      <c r="I205" s="36"/>
      <c r="J205" s="122"/>
      <c r="K205" s="123"/>
      <c r="L205" s="123"/>
      <c r="M205" s="915"/>
      <c r="N205" s="928"/>
      <c r="O205" s="122"/>
      <c r="P205" s="123"/>
      <c r="Q205" s="123"/>
      <c r="R205" s="915"/>
      <c r="S205" s="36"/>
      <c r="T205" s="200"/>
      <c r="U205" s="201"/>
      <c r="V205" s="201"/>
      <c r="W205" s="202"/>
      <c r="X205" s="86"/>
      <c r="Y205" s="200">
        <f>(Y202*Y204*(8760/1000))/4</f>
        <v>2520.1862999999998</v>
      </c>
      <c r="Z205" s="201">
        <f>(Z202*Z204*(8760/1000))/4</f>
        <v>2520.1862999999998</v>
      </c>
      <c r="AA205" s="201">
        <f>(AA202*AA204*(8760/1000))/4</f>
        <v>2520.1862999999998</v>
      </c>
      <c r="AB205" s="202">
        <f>(AB202*AB204*(8760/1000))/4</f>
        <v>2520.1862999999998</v>
      </c>
      <c r="AC205" s="86">
        <f>SUM(Y205:AB205)</f>
        <v>10080.745199999999</v>
      </c>
      <c r="AD205" s="200">
        <f>(AD202*AD204*(8760/1000))/4</f>
        <v>2520.1862999999998</v>
      </c>
      <c r="AE205" s="201">
        <f>(AE202*AE204*(8760/1000))/4</f>
        <v>2520.1862999999998</v>
      </c>
      <c r="AF205" s="201">
        <f>(AF202*AF204*(8760/1000))/4</f>
        <v>2520.1862999999998</v>
      </c>
      <c r="AG205" s="202">
        <f>(AG202*AG204*(8760/1000))/4</f>
        <v>2520.1862999999998</v>
      </c>
      <c r="AH205" s="86">
        <f>SUM(AD205:AG205)</f>
        <v>10080.745199999999</v>
      </c>
      <c r="AI205" s="200">
        <f>(AI202*AI204*(8760/1000))/4</f>
        <v>1340.9808</v>
      </c>
      <c r="AJ205" s="201">
        <f>(AJ202*AJ204*(8760/1000))/4</f>
        <v>1340.9808</v>
      </c>
      <c r="AK205" s="201">
        <f>(AK202*AK204*(8760/1000))/4</f>
        <v>1340.9808</v>
      </c>
      <c r="AL205" s="202">
        <f>(AL202*AL204*(8760/1000))/4</f>
        <v>1340.9808</v>
      </c>
      <c r="AM205" s="86">
        <f>SUM(AI205:AL205)</f>
        <v>5363.9232000000002</v>
      </c>
      <c r="AN205" s="200">
        <f>(AN202*AN204*(8760/1000))/4</f>
        <v>1431.384</v>
      </c>
      <c r="AO205" s="201">
        <f>(AO202*AO204*(8760/1000))/4</f>
        <v>1431.384</v>
      </c>
      <c r="AP205" s="201">
        <f>(AP202*AP204*(8760/1000))/4</f>
        <v>1431.384</v>
      </c>
      <c r="AQ205" s="202">
        <f>(AQ202*AQ204*(8760/1000))/4</f>
        <v>1431.384</v>
      </c>
      <c r="AR205" s="86">
        <f>SUM(AN205:AQ205)</f>
        <v>5725.5360000000001</v>
      </c>
      <c r="AS205" s="200">
        <f>(AS202*AS204*(8760/1000))/4</f>
        <v>1340.9808</v>
      </c>
      <c r="AT205" s="201">
        <f>(AT202*AT204*(8760/1000))/4</f>
        <v>1340.9808</v>
      </c>
      <c r="AU205" s="201">
        <f t="shared" ref="AU205" si="606">(AU202*AU204*(8760/1000))/4</f>
        <v>1340.9808</v>
      </c>
      <c r="AV205" s="202">
        <f>(AV202*AV204*(8760/1000))/4</f>
        <v>1340.9808</v>
      </c>
      <c r="AW205" s="86">
        <f>SUM(AS205:AV205)</f>
        <v>5363.9232000000002</v>
      </c>
      <c r="AX205" s="200">
        <f>(AX202*AX204*(8760/1000))/4</f>
        <v>1340.9808</v>
      </c>
      <c r="AY205" s="201">
        <f>(AY202*AY204*(8760/1000))/4</f>
        <v>1340.9808</v>
      </c>
      <c r="AZ205" s="201">
        <f>(AZ202*AZ204*(8760/1000))/4</f>
        <v>1340.9808</v>
      </c>
      <c r="BA205" s="202">
        <f>(BA202*BA204*(8760/1000))/4</f>
        <v>1340.9808</v>
      </c>
      <c r="BB205" s="86">
        <f>SUM(AX205:BA205)</f>
        <v>5363.9232000000002</v>
      </c>
      <c r="BC205" s="200">
        <f>(BC202*BC204*(8760/1000))/4</f>
        <v>1280.7119999999998</v>
      </c>
      <c r="BD205" s="201">
        <f>(BD202*BD204*(8760/1000))/4</f>
        <v>853.80799999999999</v>
      </c>
      <c r="BE205" s="201">
        <f>(BE202*BE204*(8760/1000))/4</f>
        <v>0</v>
      </c>
      <c r="BF205" s="202">
        <f>(BF202*BF204*(8760/1000))/4</f>
        <v>0</v>
      </c>
      <c r="BG205" s="86">
        <f>SUM(BC205:BF205)</f>
        <v>2134.5199999999995</v>
      </c>
      <c r="BH205" s="200">
        <f>(BH202*BH204*(8760/1000))/4</f>
        <v>0</v>
      </c>
      <c r="BI205" s="201">
        <f>(BI202*BI204*(8760/1000))/4</f>
        <v>0</v>
      </c>
      <c r="BJ205" s="201">
        <f>(BJ202*BJ204*(8760/1000))/4</f>
        <v>0</v>
      </c>
      <c r="BK205" s="202">
        <f>(BK202*BK204*(8760/1000))/4</f>
        <v>0</v>
      </c>
      <c r="BL205" s="86">
        <f>SUM(BH205:BK205)</f>
        <v>0</v>
      </c>
      <c r="BM205" s="200">
        <f>(BM202*BM204*(8760/1000))/4</f>
        <v>0</v>
      </c>
      <c r="BN205" s="201">
        <f>(BN202*BN204*(8760/1000))/4</f>
        <v>0</v>
      </c>
      <c r="BO205" s="201">
        <f>(BO202*BO204*(8760/1000))/4</f>
        <v>0</v>
      </c>
      <c r="BP205" s="202">
        <f>(BP202*BP204*(8760/1000))/4</f>
        <v>0</v>
      </c>
      <c r="BQ205" s="86">
        <f>SUM(BM205:BP205)</f>
        <v>0</v>
      </c>
      <c r="BR205" s="86"/>
      <c r="BS205" s="1503"/>
      <c r="BT205" s="1503"/>
      <c r="BU205" s="1503"/>
      <c r="BV205" s="1503"/>
      <c r="BW205" s="1493"/>
    </row>
    <row r="206" spans="1:79" s="19" customFormat="1">
      <c r="A206" s="108"/>
      <c r="B206" s="5"/>
      <c r="C206" s="1125"/>
      <c r="D206" s="5"/>
      <c r="E206" s="146"/>
      <c r="F206" s="7"/>
      <c r="G206" s="7"/>
      <c r="H206" s="147"/>
      <c r="I206" s="31"/>
      <c r="J206" s="146"/>
      <c r="K206" s="7"/>
      <c r="L206" s="7"/>
      <c r="M206" s="147"/>
      <c r="N206" s="5"/>
      <c r="O206" s="146"/>
      <c r="P206" s="7"/>
      <c r="Q206" s="7"/>
      <c r="R206" s="147"/>
      <c r="S206" s="5"/>
      <c r="T206" s="146"/>
      <c r="U206" s="7"/>
      <c r="V206" s="7"/>
      <c r="W206" s="147"/>
      <c r="X206" s="5"/>
      <c r="Y206" s="146"/>
      <c r="Z206" s="7"/>
      <c r="AA206" s="7"/>
      <c r="AB206" s="147"/>
      <c r="AC206" s="5"/>
      <c r="AD206" s="146"/>
      <c r="AE206" s="7"/>
      <c r="AF206" s="7"/>
      <c r="AG206" s="147"/>
      <c r="AH206" s="5"/>
      <c r="AI206" s="146"/>
      <c r="AJ206" s="7"/>
      <c r="AK206" s="7"/>
      <c r="AL206" s="147"/>
      <c r="AM206" s="5"/>
      <c r="AN206" s="146"/>
      <c r="AO206" s="7"/>
      <c r="AP206" s="7"/>
      <c r="AQ206" s="147"/>
      <c r="AR206" s="5"/>
      <c r="AS206" s="146"/>
      <c r="AT206" s="7"/>
      <c r="AU206" s="7"/>
      <c r="AV206" s="147"/>
      <c r="AW206" s="5"/>
      <c r="AX206" s="146"/>
      <c r="AY206" s="7"/>
      <c r="AZ206" s="7"/>
      <c r="BA206" s="147"/>
      <c r="BB206" s="5"/>
      <c r="BC206" s="146"/>
      <c r="BD206" s="7"/>
      <c r="BE206" s="7"/>
      <c r="BF206" s="147"/>
      <c r="BG206" s="5"/>
      <c r="BH206" s="146"/>
      <c r="BI206" s="7"/>
      <c r="BJ206" s="7"/>
      <c r="BK206" s="147"/>
      <c r="BL206" s="5"/>
      <c r="BM206" s="146"/>
      <c r="BN206" s="7"/>
      <c r="BO206" s="7"/>
      <c r="BP206" s="147"/>
      <c r="BQ206" s="5"/>
      <c r="BR206" s="5"/>
      <c r="BS206" s="1503"/>
      <c r="BT206" s="1503"/>
      <c r="BU206" s="1503"/>
      <c r="BV206" s="1503"/>
      <c r="BW206" s="1493"/>
    </row>
    <row r="207" spans="1:79" s="19" customFormat="1">
      <c r="A207" s="108"/>
      <c r="B207" s="5"/>
      <c r="C207" s="1127" t="s">
        <v>546</v>
      </c>
      <c r="D207" s="5"/>
      <c r="E207" s="146"/>
      <c r="F207" s="7"/>
      <c r="G207" s="7"/>
      <c r="H207" s="147"/>
      <c r="I207" s="31"/>
      <c r="J207" s="146"/>
      <c r="K207" s="7"/>
      <c r="L207" s="7"/>
      <c r="M207" s="147"/>
      <c r="N207" s="5"/>
      <c r="O207" s="146"/>
      <c r="P207" s="7"/>
      <c r="Q207" s="7"/>
      <c r="R207" s="147"/>
      <c r="S207" s="5"/>
      <c r="T207" s="929"/>
      <c r="U207" s="930"/>
      <c r="V207" s="930"/>
      <c r="W207" s="931"/>
      <c r="X207" s="932"/>
      <c r="Y207" s="929">
        <f>(Y199/1000*Y205)</f>
        <v>203.53777732411709</v>
      </c>
      <c r="Z207" s="930">
        <f>(Z199/1000*Z205)</f>
        <v>99.105910318315694</v>
      </c>
      <c r="AA207" s="930">
        <f>(AA199/1000*AA205)</f>
        <v>106.11454721480727</v>
      </c>
      <c r="AB207" s="931">
        <f>(AB199/1000*AB205)</f>
        <v>148.25280826698494</v>
      </c>
      <c r="AC207" s="932">
        <f>SUM(Y207:AB207)</f>
        <v>557.01104312422501</v>
      </c>
      <c r="AD207" s="929">
        <f>(AD199/1000*AD205)</f>
        <v>365.93514453545066</v>
      </c>
      <c r="AE207" s="930">
        <f>(AE199/1000*AE205)</f>
        <v>95.841674746801715</v>
      </c>
      <c r="AF207" s="930">
        <f>(AF199/1000*AF205)</f>
        <v>84.906901046044396</v>
      </c>
      <c r="AG207" s="931">
        <f>(AG199/1000*AG205)</f>
        <v>98.575593663725073</v>
      </c>
      <c r="AH207" s="932">
        <f>SUM(AD207:AG207)</f>
        <v>645.25931399202182</v>
      </c>
      <c r="AI207" s="929">
        <f>(AI199/1000*AI205)</f>
        <v>108.43295203953238</v>
      </c>
      <c r="AJ207" s="930">
        <f>(AJ199/1000*AJ205)</f>
        <v>31.269137316746573</v>
      </c>
      <c r="AK207" s="930">
        <f>(AK199/1000*AK205)</f>
        <v>42.735094956450176</v>
      </c>
      <c r="AL207" s="931">
        <f>(AL199/1000*AL205)</f>
        <v>35.281202911002417</v>
      </c>
      <c r="AM207" s="932">
        <f>SUM(AI207:AL207)</f>
        <v>217.71838722373155</v>
      </c>
      <c r="AN207" s="929">
        <f>(AN199/1000*AN205)</f>
        <v>33.164511909996996</v>
      </c>
      <c r="AO207" s="930">
        <f>(AO199/1000*AO205)</f>
        <v>33.164511909996996</v>
      </c>
      <c r="AP207" s="930">
        <f>(AP199/1000*AP205)</f>
        <v>47.900985193277378</v>
      </c>
      <c r="AQ207" s="931">
        <f>(AQ199/1000*AQ205)</f>
        <v>47.900985193277378</v>
      </c>
      <c r="AR207" s="932">
        <f>SUM(AN207:AQ207)</f>
        <v>162.13099420654873</v>
      </c>
      <c r="AS207" s="929">
        <f>(AS199/1000*AS205)</f>
        <v>42.950839185554173</v>
      </c>
      <c r="AT207" s="930">
        <f>(AT199/1000*AT205)</f>
        <v>37.380322697138695</v>
      </c>
      <c r="AU207" s="930">
        <f t="shared" ref="AU207" si="607">(AU199/1000*AU205)</f>
        <v>33.873323412998602</v>
      </c>
      <c r="AV207" s="931">
        <f>(AV199/1000*AV205)</f>
        <v>62.87095841058273</v>
      </c>
      <c r="AW207" s="932">
        <f>SUM(AS207:AV207)</f>
        <v>177.0754437062742</v>
      </c>
      <c r="AX207" s="929">
        <f>(AX199/1000*AX205)</f>
        <v>78.840836508770565</v>
      </c>
      <c r="AY207" s="930">
        <f>(AY199/1000*AY205)</f>
        <v>37.810629882000008</v>
      </c>
      <c r="AZ207" s="930">
        <f>(AZ199/1000*AZ205)</f>
        <v>38.941523690000004</v>
      </c>
      <c r="BA207" s="931">
        <f>(BA199/1000*BA205)</f>
        <v>50.700807822000002</v>
      </c>
      <c r="BB207" s="932">
        <f>SUM(AX207:BA207)</f>
        <v>206.29379790277056</v>
      </c>
      <c r="BC207" s="929">
        <f>(BC199/1000*BC205)</f>
        <v>82.763667303779812</v>
      </c>
      <c r="BD207" s="930">
        <f>(BD199/1000*BD205)</f>
        <v>22.856742194272297</v>
      </c>
      <c r="BE207" s="930">
        <f>(BE199/1000*BE205)</f>
        <v>0</v>
      </c>
      <c r="BF207" s="931">
        <f>(BF199/1000*BF205)</f>
        <v>0</v>
      </c>
      <c r="BG207" s="932">
        <f>SUM(BC207:BF207)</f>
        <v>105.62040949805211</v>
      </c>
      <c r="BH207" s="929">
        <f>(BH199/1000*BH205)</f>
        <v>0</v>
      </c>
      <c r="BI207" s="930">
        <f>(BI199/1000*BI205)</f>
        <v>0</v>
      </c>
      <c r="BJ207" s="930">
        <f>(BJ199/1000*BJ205)</f>
        <v>0</v>
      </c>
      <c r="BK207" s="931">
        <f>(BK199/1000*BK205)</f>
        <v>0</v>
      </c>
      <c r="BL207" s="932">
        <f>SUM(BH207:BK207)</f>
        <v>0</v>
      </c>
      <c r="BM207" s="929">
        <f>(BM199/1000*BM205)</f>
        <v>0</v>
      </c>
      <c r="BN207" s="930">
        <f>(BN199/1000*BN205)</f>
        <v>0</v>
      </c>
      <c r="BO207" s="930">
        <f>(BO199/1000*BO205)</f>
        <v>0</v>
      </c>
      <c r="BP207" s="931">
        <f>(BP199/1000*BP205)</f>
        <v>0</v>
      </c>
      <c r="BQ207" s="932">
        <f>SUM(BM207:BP207)</f>
        <v>0</v>
      </c>
      <c r="BR207" s="932"/>
      <c r="BS207" s="1503"/>
      <c r="BT207" s="1503"/>
      <c r="BU207" s="1503"/>
      <c r="BV207" s="1503"/>
      <c r="BW207" s="1493"/>
      <c r="BY207" s="942"/>
    </row>
    <row r="208" spans="1:79" s="19" customFormat="1">
      <c r="A208" s="108"/>
      <c r="B208" s="5"/>
      <c r="C208" s="1127" t="s">
        <v>633</v>
      </c>
      <c r="D208" s="5"/>
      <c r="E208" s="146"/>
      <c r="F208" s="7"/>
      <c r="G208" s="7"/>
      <c r="H208" s="147"/>
      <c r="I208" s="31"/>
      <c r="J208" s="146"/>
      <c r="K208" s="7"/>
      <c r="L208" s="7"/>
      <c r="M208" s="147"/>
      <c r="N208" s="5"/>
      <c r="O208" s="146"/>
      <c r="P208" s="7"/>
      <c r="Q208" s="7"/>
      <c r="R208" s="147"/>
      <c r="S208" s="5"/>
      <c r="T208" s="929"/>
      <c r="U208" s="930"/>
      <c r="V208" s="930"/>
      <c r="W208" s="931"/>
      <c r="X208" s="932"/>
      <c r="Y208" s="929">
        <f>Y200/1000*Y205</f>
        <v>16.356009087</v>
      </c>
      <c r="Z208" s="930">
        <f>Z200/1000*Z205</f>
        <v>16.356009087</v>
      </c>
      <c r="AA208" s="930">
        <f>AA200/1000*AA205</f>
        <v>16.356009087</v>
      </c>
      <c r="AB208" s="931">
        <f>AB200/1000*AB205</f>
        <v>16.356009087</v>
      </c>
      <c r="AC208" s="932">
        <f>SUM(Y208:AB208)</f>
        <v>65.424036348000001</v>
      </c>
      <c r="AD208" s="929">
        <f>AD200/1000*AD205</f>
        <v>15.471423695700004</v>
      </c>
      <c r="AE208" s="930">
        <f>AE200/1000*AE205</f>
        <v>15.471423695700004</v>
      </c>
      <c r="AF208" s="930">
        <f>AF200/1000*AF205</f>
        <v>15.471423695700004</v>
      </c>
      <c r="AG208" s="931">
        <f>AG200/1000*AG205</f>
        <v>15.471423695700004</v>
      </c>
      <c r="AH208" s="932">
        <f>SUM(AD208:AG208)</f>
        <v>61.885694782800016</v>
      </c>
      <c r="AI208" s="929">
        <f>AI200/1000*AI205</f>
        <v>8.5822771200000005</v>
      </c>
      <c r="AJ208" s="930">
        <f>AJ200/1000*AJ205</f>
        <v>8.5822771200000005</v>
      </c>
      <c r="AK208" s="930">
        <f>AK200/1000*AK205</f>
        <v>8.5822771200000005</v>
      </c>
      <c r="AL208" s="931">
        <f>AL200/1000*AL205</f>
        <v>8.5822771200000005</v>
      </c>
      <c r="AM208" s="932">
        <f>SUM(AI208:AL208)</f>
        <v>34.329108480000002</v>
      </c>
      <c r="AN208" s="929">
        <f>AN200/1000*AN205</f>
        <v>9.1608575999999999</v>
      </c>
      <c r="AO208" s="1916">
        <v>1</v>
      </c>
      <c r="AP208" s="930">
        <v>1</v>
      </c>
      <c r="AQ208" s="1917">
        <v>1</v>
      </c>
      <c r="AR208" s="932">
        <f>SUM(AN208:AQ208)</f>
        <v>12.1608576</v>
      </c>
      <c r="AS208" s="1915">
        <v>1</v>
      </c>
      <c r="AT208" s="1916">
        <v>1</v>
      </c>
      <c r="AU208" s="1916">
        <v>1</v>
      </c>
      <c r="AV208" s="1917">
        <v>1</v>
      </c>
      <c r="AW208" s="932">
        <f>SUM(AS208:AV208)</f>
        <v>4</v>
      </c>
      <c r="AX208" s="1915">
        <v>1</v>
      </c>
      <c r="AY208" s="1916">
        <v>1</v>
      </c>
      <c r="AZ208" s="1916">
        <v>1</v>
      </c>
      <c r="BA208" s="1917">
        <v>1</v>
      </c>
      <c r="BB208" s="932">
        <f>SUM(AX208:BA208)</f>
        <v>4</v>
      </c>
      <c r="BC208" s="1915">
        <v>1</v>
      </c>
      <c r="BD208" s="1916">
        <v>1</v>
      </c>
      <c r="BE208" s="930">
        <f>BE200/1000*BE205</f>
        <v>0</v>
      </c>
      <c r="BF208" s="931">
        <f>BF200/1000*BF205</f>
        <v>0</v>
      </c>
      <c r="BG208" s="932">
        <f>SUM(BC208:BF208)</f>
        <v>2</v>
      </c>
      <c r="BH208" s="929">
        <f>BH200/1000*BH205</f>
        <v>0</v>
      </c>
      <c r="BI208" s="930">
        <f>BI200/1000*BI205</f>
        <v>0</v>
      </c>
      <c r="BJ208" s="930">
        <f>BJ200/1000*BJ205</f>
        <v>0</v>
      </c>
      <c r="BK208" s="931">
        <f>BK200/1000*BK205</f>
        <v>0</v>
      </c>
      <c r="BL208" s="932">
        <f>SUM(BH208:BK208)</f>
        <v>0</v>
      </c>
      <c r="BM208" s="929">
        <f>BM200/1000*BM205</f>
        <v>0</v>
      </c>
      <c r="BN208" s="930">
        <f>BN200/1000*BN205</f>
        <v>0</v>
      </c>
      <c r="BO208" s="930">
        <f>BO200/1000*BO205</f>
        <v>0</v>
      </c>
      <c r="BP208" s="931">
        <f>BP200/1000*BP205</f>
        <v>0</v>
      </c>
      <c r="BQ208" s="932">
        <f>SUM(BM208:BP208)</f>
        <v>0</v>
      </c>
      <c r="BR208" s="932"/>
      <c r="BS208" s="1503"/>
      <c r="BT208" s="1503"/>
      <c r="BU208" s="1503"/>
      <c r="BV208" s="1503"/>
      <c r="BW208" s="1493"/>
    </row>
    <row r="209" spans="1:81" s="19" customFormat="1">
      <c r="A209" s="108"/>
      <c r="B209" s="5"/>
      <c r="C209" s="1128" t="s">
        <v>547</v>
      </c>
      <c r="D209" s="36"/>
      <c r="E209" s="122"/>
      <c r="F209" s="123"/>
      <c r="G209" s="123"/>
      <c r="H209" s="915"/>
      <c r="I209" s="31"/>
      <c r="J209" s="122"/>
      <c r="K209" s="123"/>
      <c r="L209" s="123"/>
      <c r="M209" s="915"/>
      <c r="N209" s="36"/>
      <c r="O209" s="122"/>
      <c r="P209" s="123"/>
      <c r="Q209" s="123"/>
      <c r="R209" s="915"/>
      <c r="S209" s="36"/>
      <c r="T209" s="933"/>
      <c r="U209" s="934"/>
      <c r="V209" s="934"/>
      <c r="W209" s="935"/>
      <c r="X209" s="88"/>
      <c r="Y209" s="933">
        <f t="shared" ref="Y209:AR209" si="608">Y207-Y208</f>
        <v>187.1817682371171</v>
      </c>
      <c r="Z209" s="934">
        <f t="shared" si="608"/>
        <v>82.74990123131569</v>
      </c>
      <c r="AA209" s="934">
        <f t="shared" si="608"/>
        <v>89.75853812780727</v>
      </c>
      <c r="AB209" s="935">
        <f t="shared" si="608"/>
        <v>131.89679917998495</v>
      </c>
      <c r="AC209" s="88">
        <f t="shared" si="608"/>
        <v>491.587006776225</v>
      </c>
      <c r="AD209" s="933">
        <f t="shared" si="608"/>
        <v>350.46372083975064</v>
      </c>
      <c r="AE209" s="934">
        <f t="shared" si="608"/>
        <v>80.370251051101718</v>
      </c>
      <c r="AF209" s="934">
        <f t="shared" si="608"/>
        <v>69.435477350344399</v>
      </c>
      <c r="AG209" s="935">
        <f t="shared" si="608"/>
        <v>83.104169968025076</v>
      </c>
      <c r="AH209" s="88">
        <f t="shared" si="608"/>
        <v>583.37361920922183</v>
      </c>
      <c r="AI209" s="933">
        <f t="shared" si="608"/>
        <v>99.850674919532381</v>
      </c>
      <c r="AJ209" s="934">
        <f t="shared" si="608"/>
        <v>22.686860196746572</v>
      </c>
      <c r="AK209" s="934">
        <f t="shared" si="608"/>
        <v>34.152817836450176</v>
      </c>
      <c r="AL209" s="935">
        <f t="shared" si="608"/>
        <v>26.698925791002416</v>
      </c>
      <c r="AM209" s="88">
        <f t="shared" si="608"/>
        <v>183.38927874373155</v>
      </c>
      <c r="AN209" s="933">
        <f t="shared" ref="AN209" si="609">AN207-AN208</f>
        <v>24.003654309996996</v>
      </c>
      <c r="AO209" s="934">
        <f t="shared" si="608"/>
        <v>32.164511909996996</v>
      </c>
      <c r="AP209" s="934">
        <f t="shared" si="608"/>
        <v>46.900985193277378</v>
      </c>
      <c r="AQ209" s="935">
        <f t="shared" si="608"/>
        <v>46.900985193277378</v>
      </c>
      <c r="AR209" s="88">
        <f t="shared" si="608"/>
        <v>149.97013660654875</v>
      </c>
      <c r="AS209" s="933">
        <f t="shared" ref="AS209:BB209" si="610">AS207-AS208</f>
        <v>41.950839185554173</v>
      </c>
      <c r="AT209" s="934">
        <f t="shared" si="610"/>
        <v>36.380322697138695</v>
      </c>
      <c r="AU209" s="934">
        <f t="shared" ref="AU209" si="611">AU207-AU208</f>
        <v>32.873323412998602</v>
      </c>
      <c r="AV209" s="935">
        <f t="shared" si="610"/>
        <v>61.87095841058273</v>
      </c>
      <c r="AW209" s="88">
        <f t="shared" si="610"/>
        <v>173.0754437062742</v>
      </c>
      <c r="AX209" s="933">
        <f t="shared" si="610"/>
        <v>77.840836508770565</v>
      </c>
      <c r="AY209" s="934">
        <f t="shared" si="610"/>
        <v>36.810629882000008</v>
      </c>
      <c r="AZ209" s="934">
        <f t="shared" si="610"/>
        <v>37.941523690000004</v>
      </c>
      <c r="BA209" s="935">
        <f t="shared" si="610"/>
        <v>49.700807822000002</v>
      </c>
      <c r="BB209" s="88">
        <f t="shared" si="610"/>
        <v>202.29379790277056</v>
      </c>
      <c r="BC209" s="933">
        <f t="shared" ref="BC209:BL209" si="612">BC207-BC208</f>
        <v>81.763667303779812</v>
      </c>
      <c r="BD209" s="934">
        <f t="shared" si="612"/>
        <v>21.856742194272297</v>
      </c>
      <c r="BE209" s="934">
        <f t="shared" si="612"/>
        <v>0</v>
      </c>
      <c r="BF209" s="935">
        <f t="shared" si="612"/>
        <v>0</v>
      </c>
      <c r="BG209" s="88">
        <f t="shared" si="612"/>
        <v>103.62040949805211</v>
      </c>
      <c r="BH209" s="933">
        <f t="shared" si="612"/>
        <v>0</v>
      </c>
      <c r="BI209" s="934">
        <f t="shared" si="612"/>
        <v>0</v>
      </c>
      <c r="BJ209" s="934">
        <f t="shared" si="612"/>
        <v>0</v>
      </c>
      <c r="BK209" s="935">
        <f t="shared" si="612"/>
        <v>0</v>
      </c>
      <c r="BL209" s="88">
        <f t="shared" si="612"/>
        <v>0</v>
      </c>
      <c r="BM209" s="933">
        <f t="shared" ref="BM209:BQ209" si="613">BM207-BM208</f>
        <v>0</v>
      </c>
      <c r="BN209" s="934">
        <f t="shared" si="613"/>
        <v>0</v>
      </c>
      <c r="BO209" s="934">
        <f t="shared" si="613"/>
        <v>0</v>
      </c>
      <c r="BP209" s="935">
        <f t="shared" si="613"/>
        <v>0</v>
      </c>
      <c r="BQ209" s="88">
        <f t="shared" si="613"/>
        <v>0</v>
      </c>
      <c r="BR209" s="88"/>
      <c r="BS209" s="1503"/>
      <c r="BT209" s="1503"/>
      <c r="BU209" s="1503"/>
      <c r="BV209" s="1503"/>
      <c r="BW209" s="1493"/>
    </row>
    <row r="210" spans="1:81" s="19" customFormat="1">
      <c r="A210" s="108"/>
      <c r="B210" s="5"/>
      <c r="C210" s="1125"/>
      <c r="D210" s="5"/>
      <c r="E210" s="146"/>
      <c r="F210" s="7"/>
      <c r="G210" s="7"/>
      <c r="H210" s="147"/>
      <c r="I210" s="31"/>
      <c r="J210" s="146"/>
      <c r="K210" s="7"/>
      <c r="L210" s="7"/>
      <c r="M210" s="147"/>
      <c r="N210" s="5"/>
      <c r="O210" s="146"/>
      <c r="P210" s="7"/>
      <c r="Q210" s="7"/>
      <c r="R210" s="147"/>
      <c r="S210" s="5"/>
      <c r="T210" s="146"/>
      <c r="U210" s="7"/>
      <c r="V210" s="7"/>
      <c r="W210" s="147"/>
      <c r="X210" s="5"/>
      <c r="Y210" s="146"/>
      <c r="Z210" s="7"/>
      <c r="AA210" s="7"/>
      <c r="AB210" s="147"/>
      <c r="AC210" s="5"/>
      <c r="AD210" s="146"/>
      <c r="AE210" s="7"/>
      <c r="AF210" s="7"/>
      <c r="AG210" s="147"/>
      <c r="AH210" s="5"/>
      <c r="AI210" s="146"/>
      <c r="AJ210" s="7"/>
      <c r="AK210" s="7"/>
      <c r="AL210" s="147"/>
      <c r="AM210" s="5"/>
      <c r="AN210" s="146"/>
      <c r="AO210" s="7"/>
      <c r="AP210" s="7"/>
      <c r="AQ210" s="147"/>
      <c r="AR210" s="5"/>
      <c r="AS210" s="146"/>
      <c r="AT210" s="7"/>
      <c r="AU210" s="7"/>
      <c r="AV210" s="147"/>
      <c r="AW210" s="5"/>
      <c r="AX210" s="146"/>
      <c r="AY210" s="7"/>
      <c r="AZ210" s="7"/>
      <c r="BA210" s="147"/>
      <c r="BB210" s="5"/>
      <c r="BC210" s="146"/>
      <c r="BD210" s="7"/>
      <c r="BE210" s="7"/>
      <c r="BF210" s="147"/>
      <c r="BG210" s="5"/>
      <c r="BH210" s="146"/>
      <c r="BI210" s="7"/>
      <c r="BJ210" s="7"/>
      <c r="BK210" s="147"/>
      <c r="BL210" s="5"/>
      <c r="BM210" s="146"/>
      <c r="BN210" s="7"/>
      <c r="BO210" s="7"/>
      <c r="BP210" s="147"/>
      <c r="BQ210" s="5"/>
      <c r="BR210" s="5"/>
      <c r="BS210" s="1503"/>
      <c r="BT210" s="1503"/>
      <c r="BU210" s="1503"/>
      <c r="BV210" s="1503"/>
      <c r="BW210" s="1493"/>
    </row>
    <row r="211" spans="1:81" s="19" customFormat="1">
      <c r="A211" s="108"/>
      <c r="B211" s="5"/>
      <c r="C211" s="1154" t="s">
        <v>565</v>
      </c>
      <c r="D211" s="5"/>
      <c r="E211" s="146"/>
      <c r="F211" s="7"/>
      <c r="G211" s="7"/>
      <c r="H211" s="147"/>
      <c r="I211" s="31"/>
      <c r="J211" s="146"/>
      <c r="K211" s="7"/>
      <c r="L211" s="7"/>
      <c r="M211" s="147"/>
      <c r="N211" s="5"/>
      <c r="O211" s="146"/>
      <c r="P211" s="7"/>
      <c r="Q211" s="7"/>
      <c r="R211" s="147"/>
      <c r="S211" s="5"/>
      <c r="T211" s="146"/>
      <c r="U211" s="7"/>
      <c r="V211" s="7"/>
      <c r="W211" s="147"/>
      <c r="X211" s="5"/>
      <c r="Y211" s="146"/>
      <c r="Z211" s="7"/>
      <c r="AA211" s="7"/>
      <c r="AB211" s="147"/>
      <c r="AC211" s="5"/>
      <c r="AD211" s="146"/>
      <c r="AE211" s="7"/>
      <c r="AF211" s="7"/>
      <c r="AG211" s="147"/>
      <c r="AH211" s="5"/>
      <c r="AI211" s="146"/>
      <c r="AJ211" s="7"/>
      <c r="AK211" s="7"/>
      <c r="AL211" s="147"/>
      <c r="AM211" s="5"/>
      <c r="AN211" s="146"/>
      <c r="AO211" s="7"/>
      <c r="AP211" s="7"/>
      <c r="AQ211" s="147"/>
      <c r="AR211" s="5"/>
      <c r="AS211" s="146"/>
      <c r="AT211" s="7"/>
      <c r="AU211" s="7"/>
      <c r="AV211" s="147"/>
      <c r="AW211" s="5"/>
      <c r="AX211" s="146"/>
      <c r="AY211" s="7"/>
      <c r="AZ211" s="7"/>
      <c r="BA211" s="147"/>
      <c r="BB211" s="5"/>
      <c r="BC211" s="146"/>
      <c r="BD211" s="7"/>
      <c r="BE211" s="7"/>
      <c r="BF211" s="147"/>
      <c r="BG211" s="5"/>
      <c r="BH211" s="146"/>
      <c r="BI211" s="7"/>
      <c r="BJ211" s="7"/>
      <c r="BK211" s="147"/>
      <c r="BL211" s="5"/>
      <c r="BM211" s="146"/>
      <c r="BN211" s="7"/>
      <c r="BO211" s="7"/>
      <c r="BP211" s="147"/>
      <c r="BQ211" s="5"/>
      <c r="BR211" s="5"/>
      <c r="BS211" s="1503"/>
      <c r="BT211" s="1918"/>
      <c r="BU211" s="1503"/>
      <c r="BV211" s="1503"/>
      <c r="BW211" s="1493"/>
    </row>
    <row r="212" spans="1:81" s="19" customFormat="1">
      <c r="A212" s="108"/>
      <c r="B212" s="5"/>
      <c r="C212" s="1127" t="s">
        <v>551</v>
      </c>
      <c r="D212" s="5"/>
      <c r="E212" s="146"/>
      <c r="F212" s="7"/>
      <c r="G212" s="7"/>
      <c r="H212" s="147"/>
      <c r="I212" s="31"/>
      <c r="J212" s="146"/>
      <c r="K212" s="7"/>
      <c r="L212" s="7"/>
      <c r="M212" s="147"/>
      <c r="N212" s="5"/>
      <c r="O212" s="146"/>
      <c r="P212" s="7"/>
      <c r="Q212" s="7"/>
      <c r="R212" s="147"/>
      <c r="S212" s="5"/>
      <c r="T212" s="881"/>
      <c r="U212" s="882"/>
      <c r="V212" s="882"/>
      <c r="W212" s="883"/>
      <c r="X212" s="403"/>
      <c r="Y212" s="881">
        <f t="shared" ref="Y212:AR212" si="614">Y82</f>
        <v>40.36640253407522</v>
      </c>
      <c r="Z212" s="882">
        <f t="shared" si="614"/>
        <v>34.200217698317303</v>
      </c>
      <c r="AA212" s="882">
        <f t="shared" si="614"/>
        <v>39.316297480044156</v>
      </c>
      <c r="AB212" s="883">
        <f t="shared" si="614"/>
        <v>37.315729422978933</v>
      </c>
      <c r="AC212" s="403">
        <f t="shared" si="614"/>
        <v>37.799661783853907</v>
      </c>
      <c r="AD212" s="881">
        <f t="shared" si="614"/>
        <v>89.526048785800583</v>
      </c>
      <c r="AE212" s="882">
        <f t="shared" si="614"/>
        <v>35.633135291466346</v>
      </c>
      <c r="AF212" s="882">
        <f t="shared" si="614"/>
        <v>32.957620414402179</v>
      </c>
      <c r="AG212" s="883">
        <f t="shared" si="614"/>
        <v>30.104760621178674</v>
      </c>
      <c r="AH212" s="403">
        <f t="shared" si="614"/>
        <v>47.055391278211943</v>
      </c>
      <c r="AI212" s="881">
        <f t="shared" si="614"/>
        <v>45.014023798740517</v>
      </c>
      <c r="AJ212" s="882">
        <f t="shared" si="614"/>
        <v>27.789071608323329</v>
      </c>
      <c r="AK212" s="882">
        <f t="shared" si="614"/>
        <v>30.011482807274241</v>
      </c>
      <c r="AL212" s="883">
        <f t="shared" si="614"/>
        <v>23.945869812330169</v>
      </c>
      <c r="AM212" s="403">
        <f t="shared" si="614"/>
        <v>31.690112006667061</v>
      </c>
      <c r="AN212" s="881">
        <f t="shared" ref="AN212" si="615">AN82</f>
        <v>25.178024601862976</v>
      </c>
      <c r="AO212" s="882">
        <f t="shared" si="614"/>
        <v>25.178024601862976</v>
      </c>
      <c r="AP212" s="882">
        <f t="shared" si="614"/>
        <v>22.031463514061425</v>
      </c>
      <c r="AQ212" s="883">
        <f t="shared" si="614"/>
        <v>22.031463514061425</v>
      </c>
      <c r="AR212" s="403">
        <f t="shared" si="614"/>
        <v>23.604744057962197</v>
      </c>
      <c r="AS212" s="881">
        <f t="shared" ref="AS212:BB212" si="616">AS82</f>
        <v>23.310153968523558</v>
      </c>
      <c r="AT212" s="882">
        <f t="shared" si="616"/>
        <v>23.587174166165855</v>
      </c>
      <c r="AU212" s="882">
        <f t="shared" ref="AU212" si="617">AU82</f>
        <v>25.603738327079025</v>
      </c>
      <c r="AV212" s="883">
        <f t="shared" si="616"/>
        <v>27.053566114346101</v>
      </c>
      <c r="AW212" s="403">
        <f t="shared" si="616"/>
        <v>24.888658144028636</v>
      </c>
      <c r="AX212" s="881">
        <f t="shared" si="616"/>
        <v>34.50139378915685</v>
      </c>
      <c r="AY212" s="882">
        <f t="shared" si="616"/>
        <v>35.086666666666659</v>
      </c>
      <c r="AZ212" s="882">
        <f t="shared" si="616"/>
        <v>31.40583333333333</v>
      </c>
      <c r="BA212" s="883">
        <f t="shared" si="616"/>
        <v>35.307916666666671</v>
      </c>
      <c r="BB212" s="403">
        <f t="shared" si="616"/>
        <v>34.075452613955875</v>
      </c>
      <c r="BC212" s="881">
        <f t="shared" ref="BC212:BL212" si="618">BC82</f>
        <v>51.527497126470621</v>
      </c>
      <c r="BD212" s="882">
        <f t="shared" si="618"/>
        <v>33.381668549969248</v>
      </c>
      <c r="BE212" s="882">
        <f t="shared" si="618"/>
        <v>29.422322360927897</v>
      </c>
      <c r="BF212" s="883">
        <f t="shared" si="618"/>
        <v>26.278944462562219</v>
      </c>
      <c r="BG212" s="403">
        <f t="shared" si="618"/>
        <v>35.152608124982493</v>
      </c>
      <c r="BH212" s="881">
        <f t="shared" si="618"/>
        <v>51.058992905315421</v>
      </c>
      <c r="BI212" s="882">
        <f t="shared" si="618"/>
        <v>33.07890676734381</v>
      </c>
      <c r="BJ212" s="882">
        <f t="shared" si="618"/>
        <v>29.156679900176051</v>
      </c>
      <c r="BK212" s="883">
        <f t="shared" si="618"/>
        <v>26.041924593704721</v>
      </c>
      <c r="BL212" s="403">
        <f t="shared" si="618"/>
        <v>34.834126041635002</v>
      </c>
      <c r="BM212" s="881">
        <f t="shared" ref="BM212:BQ212" si="619">BM82</f>
        <v>35.124323290724007</v>
      </c>
      <c r="BN212" s="882">
        <f t="shared" si="619"/>
        <v>35.124323290724007</v>
      </c>
      <c r="BO212" s="882">
        <f t="shared" si="619"/>
        <v>35.124323290724007</v>
      </c>
      <c r="BP212" s="883">
        <f t="shared" si="619"/>
        <v>35.124323290724007</v>
      </c>
      <c r="BQ212" s="403">
        <f t="shared" si="619"/>
        <v>35.124323290724007</v>
      </c>
      <c r="BR212" s="403"/>
      <c r="BS212" s="1503"/>
      <c r="BT212" s="1503"/>
      <c r="BU212" s="1503"/>
      <c r="BV212" s="1503"/>
      <c r="BW212" s="1493"/>
      <c r="BX212"/>
      <c r="BY212"/>
      <c r="BZ212"/>
      <c r="CA212"/>
      <c r="CB212"/>
      <c r="CC212"/>
    </row>
    <row r="213" spans="1:81" s="19" customFormat="1">
      <c r="A213" s="108"/>
      <c r="B213" s="5"/>
      <c r="C213" s="1127" t="s">
        <v>552</v>
      </c>
      <c r="D213" s="5"/>
      <c r="E213" s="146"/>
      <c r="F213" s="7"/>
      <c r="G213" s="7"/>
      <c r="H213" s="147"/>
      <c r="I213" s="31"/>
      <c r="J213" s="146"/>
      <c r="K213" s="7"/>
      <c r="L213" s="7"/>
      <c r="M213" s="147"/>
      <c r="N213" s="5"/>
      <c r="O213" s="146"/>
      <c r="P213" s="7"/>
      <c r="Q213" s="7"/>
      <c r="R213" s="147"/>
      <c r="S213" s="5"/>
      <c r="T213" s="359"/>
      <c r="U213" s="360"/>
      <c r="V213" s="360"/>
      <c r="W213" s="361"/>
      <c r="X213" s="358"/>
      <c r="Y213" s="359">
        <f t="shared" ref="Y213:BQ213" si="620">+Y$200</f>
        <v>6.4900000000000011</v>
      </c>
      <c r="Z213" s="360">
        <f t="shared" si="620"/>
        <v>6.4900000000000011</v>
      </c>
      <c r="AA213" s="360">
        <f t="shared" si="620"/>
        <v>6.4900000000000011</v>
      </c>
      <c r="AB213" s="361">
        <f t="shared" si="620"/>
        <v>6.4900000000000011</v>
      </c>
      <c r="AC213" s="358">
        <f t="shared" si="620"/>
        <v>6.4900000000000011</v>
      </c>
      <c r="AD213" s="359">
        <f t="shared" si="620"/>
        <v>6.139000000000002</v>
      </c>
      <c r="AE213" s="360">
        <f t="shared" si="620"/>
        <v>6.139000000000002</v>
      </c>
      <c r="AF213" s="360">
        <f t="shared" si="620"/>
        <v>6.139000000000002</v>
      </c>
      <c r="AG213" s="361">
        <f t="shared" si="620"/>
        <v>6.139000000000002</v>
      </c>
      <c r="AH213" s="358">
        <f t="shared" si="620"/>
        <v>6.139000000000002</v>
      </c>
      <c r="AI213" s="359">
        <f t="shared" si="620"/>
        <v>6.4</v>
      </c>
      <c r="AJ213" s="360">
        <f t="shared" si="620"/>
        <v>6.4</v>
      </c>
      <c r="AK213" s="360">
        <f t="shared" si="620"/>
        <v>6.4</v>
      </c>
      <c r="AL213" s="361">
        <f t="shared" si="620"/>
        <v>6.4</v>
      </c>
      <c r="AM213" s="358">
        <f t="shared" si="620"/>
        <v>6.4</v>
      </c>
      <c r="AN213" s="359">
        <f t="shared" si="620"/>
        <v>6.4</v>
      </c>
      <c r="AO213" s="360">
        <f t="shared" si="620"/>
        <v>6.4</v>
      </c>
      <c r="AP213" s="360">
        <f t="shared" si="620"/>
        <v>6.4</v>
      </c>
      <c r="AQ213" s="361">
        <f t="shared" si="620"/>
        <v>6.4</v>
      </c>
      <c r="AR213" s="358">
        <f t="shared" si="620"/>
        <v>6.4</v>
      </c>
      <c r="AS213" s="359">
        <f t="shared" si="620"/>
        <v>1</v>
      </c>
      <c r="AT213" s="360">
        <f t="shared" si="620"/>
        <v>1</v>
      </c>
      <c r="AU213" s="360">
        <f t="shared" si="620"/>
        <v>1</v>
      </c>
      <c r="AV213" s="361">
        <f t="shared" si="620"/>
        <v>1</v>
      </c>
      <c r="AW213" s="358">
        <f t="shared" si="620"/>
        <v>1</v>
      </c>
      <c r="AX213" s="359">
        <f t="shared" si="620"/>
        <v>1</v>
      </c>
      <c r="AY213" s="360">
        <f t="shared" si="620"/>
        <v>1</v>
      </c>
      <c r="AZ213" s="360">
        <f t="shared" si="620"/>
        <v>1</v>
      </c>
      <c r="BA213" s="361">
        <f t="shared" si="620"/>
        <v>1</v>
      </c>
      <c r="BB213" s="358">
        <f t="shared" si="620"/>
        <v>1</v>
      </c>
      <c r="BC213" s="359">
        <f t="shared" si="620"/>
        <v>2</v>
      </c>
      <c r="BD213" s="360">
        <f t="shared" si="620"/>
        <v>2</v>
      </c>
      <c r="BE213" s="360">
        <f t="shared" si="620"/>
        <v>2</v>
      </c>
      <c r="BF213" s="361">
        <f t="shared" si="620"/>
        <v>2</v>
      </c>
      <c r="BG213" s="358">
        <f t="shared" si="620"/>
        <v>2</v>
      </c>
      <c r="BH213" s="359">
        <f t="shared" si="620"/>
        <v>2</v>
      </c>
      <c r="BI213" s="360">
        <f t="shared" si="620"/>
        <v>2</v>
      </c>
      <c r="BJ213" s="360">
        <f t="shared" si="620"/>
        <v>2</v>
      </c>
      <c r="BK213" s="361">
        <f t="shared" si="620"/>
        <v>2</v>
      </c>
      <c r="BL213" s="358">
        <f t="shared" si="620"/>
        <v>2</v>
      </c>
      <c r="BM213" s="359">
        <f t="shared" si="620"/>
        <v>4</v>
      </c>
      <c r="BN213" s="360">
        <f t="shared" si="620"/>
        <v>4</v>
      </c>
      <c r="BO213" s="360">
        <f t="shared" si="620"/>
        <v>4</v>
      </c>
      <c r="BP213" s="361">
        <f t="shared" si="620"/>
        <v>4</v>
      </c>
      <c r="BQ213" s="358">
        <f t="shared" si="620"/>
        <v>4</v>
      </c>
      <c r="BR213" s="358"/>
      <c r="BS213" s="1503"/>
      <c r="BT213" s="1503"/>
      <c r="BU213" s="1503"/>
      <c r="BV213" s="1503"/>
      <c r="BW213" s="1493"/>
      <c r="BX213"/>
      <c r="BY213"/>
      <c r="BZ213"/>
      <c r="CA213"/>
      <c r="CB213"/>
      <c r="CC213"/>
    </row>
    <row r="214" spans="1:81" s="19" customFormat="1">
      <c r="A214" s="108"/>
      <c r="B214" s="5"/>
      <c r="C214" s="1125"/>
      <c r="D214" s="5"/>
      <c r="E214" s="146"/>
      <c r="F214" s="7"/>
      <c r="G214" s="7"/>
      <c r="H214" s="147"/>
      <c r="I214" s="31"/>
      <c r="J214" s="146"/>
      <c r="K214" s="7"/>
      <c r="L214" s="7"/>
      <c r="M214" s="147"/>
      <c r="N214" s="5"/>
      <c r="O214" s="146"/>
      <c r="P214" s="7"/>
      <c r="Q214" s="7"/>
      <c r="R214" s="147"/>
      <c r="S214" s="5"/>
      <c r="T214" s="146"/>
      <c r="U214" s="7"/>
      <c r="V214" s="7"/>
      <c r="W214" s="147"/>
      <c r="X214" s="5"/>
      <c r="Y214" s="146"/>
      <c r="Z214" s="7"/>
      <c r="AA214" s="7"/>
      <c r="AB214" s="147"/>
      <c r="AC214" s="5"/>
      <c r="AD214" s="146"/>
      <c r="AE214" s="7"/>
      <c r="AF214" s="7"/>
      <c r="AG214" s="147"/>
      <c r="AH214" s="5"/>
      <c r="AI214" s="146"/>
      <c r="AJ214" s="7"/>
      <c r="AK214" s="7"/>
      <c r="AL214" s="147"/>
      <c r="AM214" s="5"/>
      <c r="AN214" s="146"/>
      <c r="AO214" s="7"/>
      <c r="AP214" s="7"/>
      <c r="AQ214" s="147"/>
      <c r="AR214" s="5"/>
      <c r="AS214" s="146"/>
      <c r="AT214" s="7"/>
      <c r="AU214" s="7"/>
      <c r="AV214" s="147"/>
      <c r="AW214" s="5"/>
      <c r="AX214" s="146"/>
      <c r="AY214" s="7"/>
      <c r="AZ214" s="7"/>
      <c r="BA214" s="147"/>
      <c r="BB214" s="5"/>
      <c r="BC214" s="146"/>
      <c r="BD214" s="7"/>
      <c r="BE214" s="7"/>
      <c r="BF214" s="147"/>
      <c r="BG214" s="5"/>
      <c r="BH214" s="146"/>
      <c r="BI214" s="7"/>
      <c r="BJ214" s="7"/>
      <c r="BK214" s="147"/>
      <c r="BL214" s="5"/>
      <c r="BM214" s="146"/>
      <c r="BN214" s="7"/>
      <c r="BO214" s="7"/>
      <c r="BP214" s="147"/>
      <c r="BQ214" s="5"/>
      <c r="BR214" s="5"/>
      <c r="BS214" s="1503"/>
      <c r="BT214" s="1503"/>
      <c r="BU214" s="1503"/>
      <c r="BV214" s="1503"/>
      <c r="BW214" s="1493"/>
      <c r="BX214"/>
      <c r="BY214"/>
      <c r="BZ214"/>
      <c r="CA214"/>
      <c r="CB214"/>
      <c r="CC214"/>
    </row>
    <row r="215" spans="1:81" s="19" customFormat="1">
      <c r="A215" s="108"/>
      <c r="B215" s="5"/>
      <c r="C215" s="1128" t="s">
        <v>553</v>
      </c>
      <c r="D215" s="36"/>
      <c r="E215" s="180"/>
      <c r="F215" s="181"/>
      <c r="G215" s="181"/>
      <c r="H215" s="182"/>
      <c r="I215" s="926">
        <v>838</v>
      </c>
      <c r="J215" s="180"/>
      <c r="K215" s="181"/>
      <c r="L215" s="181"/>
      <c r="M215" s="182"/>
      <c r="N215" s="110"/>
      <c r="O215" s="180"/>
      <c r="P215" s="181"/>
      <c r="Q215" s="181"/>
      <c r="R215" s="182"/>
      <c r="S215" s="110"/>
      <c r="T215" s="180"/>
      <c r="U215" s="181"/>
      <c r="V215" s="181"/>
      <c r="W215" s="182"/>
      <c r="X215" s="110"/>
      <c r="Y215" s="180">
        <f>+I215</f>
        <v>838</v>
      </c>
      <c r="Z215" s="181">
        <f t="shared" ref="Z215:AN215" si="621">+Y215</f>
        <v>838</v>
      </c>
      <c r="AA215" s="181">
        <f t="shared" si="621"/>
        <v>838</v>
      </c>
      <c r="AB215" s="182">
        <f t="shared" si="621"/>
        <v>838</v>
      </c>
      <c r="AC215" s="110">
        <f t="shared" si="621"/>
        <v>838</v>
      </c>
      <c r="AD215" s="180">
        <f t="shared" si="621"/>
        <v>838</v>
      </c>
      <c r="AE215" s="181">
        <f t="shared" si="621"/>
        <v>838</v>
      </c>
      <c r="AF215" s="181">
        <f t="shared" si="621"/>
        <v>838</v>
      </c>
      <c r="AG215" s="182">
        <f t="shared" si="621"/>
        <v>838</v>
      </c>
      <c r="AH215" s="110">
        <f t="shared" si="621"/>
        <v>838</v>
      </c>
      <c r="AI215" s="180">
        <f t="shared" si="621"/>
        <v>838</v>
      </c>
      <c r="AJ215" s="181">
        <f t="shared" si="621"/>
        <v>838</v>
      </c>
      <c r="AK215" s="181">
        <f t="shared" si="621"/>
        <v>838</v>
      </c>
      <c r="AL215" s="182">
        <f t="shared" si="621"/>
        <v>838</v>
      </c>
      <c r="AM215" s="110">
        <f t="shared" si="621"/>
        <v>838</v>
      </c>
      <c r="AN215" s="180">
        <f t="shared" si="621"/>
        <v>838</v>
      </c>
      <c r="AO215" s="181">
        <f t="shared" ref="AO215:AW215" si="622">AN215</f>
        <v>838</v>
      </c>
      <c r="AP215" s="181">
        <f t="shared" si="622"/>
        <v>838</v>
      </c>
      <c r="AQ215" s="182">
        <f t="shared" si="622"/>
        <v>838</v>
      </c>
      <c r="AR215" s="110">
        <f t="shared" si="622"/>
        <v>838</v>
      </c>
      <c r="AS215" s="1757">
        <f>AR215</f>
        <v>838</v>
      </c>
      <c r="AT215" s="181">
        <v>0</v>
      </c>
      <c r="AU215" s="181">
        <v>0</v>
      </c>
      <c r="AV215" s="182">
        <f t="shared" si="622"/>
        <v>0</v>
      </c>
      <c r="AW215" s="110">
        <f t="shared" si="622"/>
        <v>0</v>
      </c>
      <c r="AX215" s="180">
        <f t="shared" ref="AX215:BL215" si="623">AW215</f>
        <v>0</v>
      </c>
      <c r="AY215" s="181">
        <f t="shared" si="623"/>
        <v>0</v>
      </c>
      <c r="AZ215" s="181">
        <f t="shared" si="623"/>
        <v>0</v>
      </c>
      <c r="BA215" s="182">
        <f t="shared" si="623"/>
        <v>0</v>
      </c>
      <c r="BB215" s="110">
        <f t="shared" si="623"/>
        <v>0</v>
      </c>
      <c r="BC215" s="180">
        <f t="shared" si="623"/>
        <v>0</v>
      </c>
      <c r="BD215" s="181">
        <f t="shared" si="623"/>
        <v>0</v>
      </c>
      <c r="BE215" s="181">
        <f t="shared" si="623"/>
        <v>0</v>
      </c>
      <c r="BF215" s="182">
        <f t="shared" si="623"/>
        <v>0</v>
      </c>
      <c r="BG215" s="110">
        <f t="shared" si="623"/>
        <v>0</v>
      </c>
      <c r="BH215" s="180">
        <f t="shared" si="623"/>
        <v>0</v>
      </c>
      <c r="BI215" s="181">
        <f t="shared" si="623"/>
        <v>0</v>
      </c>
      <c r="BJ215" s="181">
        <f t="shared" si="623"/>
        <v>0</v>
      </c>
      <c r="BK215" s="182">
        <f t="shared" si="623"/>
        <v>0</v>
      </c>
      <c r="BL215" s="110">
        <f t="shared" si="623"/>
        <v>0</v>
      </c>
      <c r="BM215" s="180">
        <f t="shared" ref="BM215" si="624">BL215</f>
        <v>0</v>
      </c>
      <c r="BN215" s="181">
        <f t="shared" ref="BN215" si="625">BM215</f>
        <v>0</v>
      </c>
      <c r="BO215" s="181">
        <f t="shared" ref="BO215" si="626">BN215</f>
        <v>0</v>
      </c>
      <c r="BP215" s="182">
        <f t="shared" ref="BP215" si="627">BO215</f>
        <v>0</v>
      </c>
      <c r="BQ215" s="110">
        <f t="shared" ref="BQ215" si="628">BP215</f>
        <v>0</v>
      </c>
      <c r="BR215" s="110"/>
      <c r="BS215" s="1503"/>
      <c r="BT215" s="1503"/>
      <c r="BU215" s="1503"/>
      <c r="BV215" s="1503"/>
      <c r="BW215" s="1493"/>
      <c r="BX215"/>
      <c r="BY215"/>
      <c r="BZ215"/>
      <c r="CA215"/>
      <c r="CB215"/>
      <c r="CC215"/>
    </row>
    <row r="216" spans="1:81" s="19" customFormat="1">
      <c r="A216" s="108"/>
      <c r="B216" s="5"/>
      <c r="C216" s="1125"/>
      <c r="D216" s="5"/>
      <c r="E216" s="146"/>
      <c r="F216" s="7"/>
      <c r="G216" s="7"/>
      <c r="H216" s="147"/>
      <c r="I216" s="31"/>
      <c r="J216" s="146"/>
      <c r="K216" s="7"/>
      <c r="L216" s="7"/>
      <c r="M216" s="147"/>
      <c r="N216" s="5"/>
      <c r="O216" s="146"/>
      <c r="P216" s="7"/>
      <c r="Q216" s="7"/>
      <c r="R216" s="147"/>
      <c r="S216" s="5"/>
      <c r="T216" s="146"/>
      <c r="U216" s="7"/>
      <c r="V216" s="7"/>
      <c r="W216" s="147"/>
      <c r="X216" s="5"/>
      <c r="Y216" s="146"/>
      <c r="Z216" s="7"/>
      <c r="AA216" s="7"/>
      <c r="AB216" s="147"/>
      <c r="AC216" s="5"/>
      <c r="AD216" s="146"/>
      <c r="AE216" s="7"/>
      <c r="AF216" s="7"/>
      <c r="AG216" s="147"/>
      <c r="AH216" s="5"/>
      <c r="AI216" s="146"/>
      <c r="AJ216" s="7"/>
      <c r="AK216" s="7"/>
      <c r="AL216" s="147"/>
      <c r="AM216" s="5"/>
      <c r="AN216" s="146"/>
      <c r="AO216" s="7"/>
      <c r="AP216" s="7"/>
      <c r="AQ216" s="147"/>
      <c r="AR216" s="5"/>
      <c r="AS216" s="146"/>
      <c r="AT216" s="7"/>
      <c r="AU216" s="7"/>
      <c r="AV216" s="147"/>
      <c r="AW216" s="5"/>
      <c r="AX216" s="146"/>
      <c r="AY216" s="7"/>
      <c r="AZ216" s="7"/>
      <c r="BA216" s="147"/>
      <c r="BB216" s="5"/>
      <c r="BC216" s="146"/>
      <c r="BD216" s="7"/>
      <c r="BE216" s="7"/>
      <c r="BF216" s="147"/>
      <c r="BG216" s="5"/>
      <c r="BH216" s="146"/>
      <c r="BI216" s="7"/>
      <c r="BJ216" s="7"/>
      <c r="BK216" s="147"/>
      <c r="BL216" s="5"/>
      <c r="BM216" s="146"/>
      <c r="BN216" s="7"/>
      <c r="BO216" s="7"/>
      <c r="BP216" s="147"/>
      <c r="BQ216" s="5"/>
      <c r="BR216" s="5"/>
      <c r="BS216" s="1503"/>
      <c r="BT216" s="1503"/>
      <c r="BU216" s="1503"/>
      <c r="BV216" s="1503"/>
      <c r="BW216" s="1493"/>
      <c r="BX216"/>
      <c r="BY216"/>
      <c r="BZ216"/>
      <c r="CA216"/>
      <c r="CB216"/>
      <c r="CC216"/>
    </row>
    <row r="217" spans="1:81" s="19" customFormat="1">
      <c r="A217" s="108"/>
      <c r="B217" s="5"/>
      <c r="C217" s="1127" t="s">
        <v>554</v>
      </c>
      <c r="D217" s="5"/>
      <c r="E217" s="146"/>
      <c r="F217" s="7"/>
      <c r="G217" s="7"/>
      <c r="H217" s="147"/>
      <c r="I217" s="1227">
        <f>+I204</f>
        <v>0.89</v>
      </c>
      <c r="J217" s="146"/>
      <c r="K217" s="7"/>
      <c r="L217" s="7"/>
      <c r="M217" s="147"/>
      <c r="N217" s="5"/>
      <c r="O217" s="146"/>
      <c r="P217" s="7"/>
      <c r="Q217" s="7"/>
      <c r="R217" s="147"/>
      <c r="S217" s="5"/>
      <c r="T217" s="920"/>
      <c r="U217" s="921"/>
      <c r="V217" s="921"/>
      <c r="W217" s="922"/>
      <c r="X217" s="923"/>
      <c r="Y217" s="920">
        <f>+I217</f>
        <v>0.89</v>
      </c>
      <c r="Z217" s="921">
        <f>+Y217</f>
        <v>0.89</v>
      </c>
      <c r="AA217" s="921">
        <f>+Z217</f>
        <v>0.89</v>
      </c>
      <c r="AB217" s="922">
        <f>+AA217</f>
        <v>0.89</v>
      </c>
      <c r="AC217" s="923">
        <f>IF(AVERAGE(Y215:AB215)=0,0,AC218/(AVERAGE(Y215:AB215)*8.76))</f>
        <v>0.89</v>
      </c>
      <c r="AD217" s="920">
        <f>+AB217</f>
        <v>0.89</v>
      </c>
      <c r="AE217" s="921">
        <f>+Z217</f>
        <v>0.89</v>
      </c>
      <c r="AF217" s="921">
        <f>+AA217</f>
        <v>0.89</v>
      </c>
      <c r="AG217" s="922">
        <f>+AB217</f>
        <v>0.89</v>
      </c>
      <c r="AH217" s="923">
        <f>IF(AVERAGE(AD215:AG215)=0,0,AH218/(AVERAGE(AD215:AG215)*8.76))</f>
        <v>0.89</v>
      </c>
      <c r="AI217" s="920">
        <f>+AG217</f>
        <v>0.89</v>
      </c>
      <c r="AJ217" s="921">
        <f>+AE217</f>
        <v>0.89</v>
      </c>
      <c r="AK217" s="921">
        <f>+AF217</f>
        <v>0.89</v>
      </c>
      <c r="AL217" s="922">
        <f>+AG217</f>
        <v>0.89</v>
      </c>
      <c r="AM217" s="923">
        <f>IF(AVERAGE(AI215:AL215)=0,0,AM218/(AVERAGE(AI215:AL215)*8.76))</f>
        <v>0.89</v>
      </c>
      <c r="AN217" s="1914">
        <v>0.95</v>
      </c>
      <c r="AO217" s="921">
        <f>AN217</f>
        <v>0.95</v>
      </c>
      <c r="AP217" s="921">
        <f t="shared" ref="AP217:AQ217" si="629">AO217</f>
        <v>0.95</v>
      </c>
      <c r="AQ217" s="922">
        <f t="shared" si="629"/>
        <v>0.95</v>
      </c>
      <c r="AR217" s="923">
        <f>IF(AVERAGE(AN215:AQ215)=0,0,AR218/(AVERAGE(AN215:AQ215)*8.76))</f>
        <v>0.94999999999999984</v>
      </c>
      <c r="AS217" s="1914">
        <v>0</v>
      </c>
      <c r="AT217" s="921">
        <f>AS217</f>
        <v>0</v>
      </c>
      <c r="AU217" s="921">
        <f t="shared" ref="AU217" si="630">AT217</f>
        <v>0</v>
      </c>
      <c r="AV217" s="922">
        <f>AU217</f>
        <v>0</v>
      </c>
      <c r="AW217" s="923">
        <f>IF(AVERAGE(AS215:AV215)=0,0,AW218/(AVERAGE(AS215:AV215)*8.76))</f>
        <v>0</v>
      </c>
      <c r="AX217" s="920">
        <f>+AV217</f>
        <v>0</v>
      </c>
      <c r="AY217" s="921">
        <f>+AT217</f>
        <v>0</v>
      </c>
      <c r="AZ217" s="921">
        <f>+AU217</f>
        <v>0</v>
      </c>
      <c r="BA217" s="922">
        <f>+AV217</f>
        <v>0</v>
      </c>
      <c r="BB217" s="923">
        <f>IF(AVERAGE(AX215:BA215)=0,0,BB218/(AVERAGE(AX215:BA215)*8.76))</f>
        <v>0</v>
      </c>
      <c r="BC217" s="920">
        <f>+BA217</f>
        <v>0</v>
      </c>
      <c r="BD217" s="921">
        <f>+AY217</f>
        <v>0</v>
      </c>
      <c r="BE217" s="921">
        <f>+AZ217</f>
        <v>0</v>
      </c>
      <c r="BF217" s="922">
        <f>+BA217</f>
        <v>0</v>
      </c>
      <c r="BG217" s="923">
        <f>IF(AVERAGE(BC215:BF215)=0,0,BG218/(AVERAGE(BC215:BF215)*8.76))</f>
        <v>0</v>
      </c>
      <c r="BH217" s="920">
        <f>+BF217</f>
        <v>0</v>
      </c>
      <c r="BI217" s="921">
        <f>+BD217</f>
        <v>0</v>
      </c>
      <c r="BJ217" s="921">
        <f>+BE217</f>
        <v>0</v>
      </c>
      <c r="BK217" s="922">
        <f>+BF217</f>
        <v>0</v>
      </c>
      <c r="BL217" s="923">
        <f>IF(AVERAGE(BH215:BK215)=0,0,BL218/(AVERAGE(BH215:BK215)*8.76))</f>
        <v>0</v>
      </c>
      <c r="BM217" s="920">
        <f>+BK217</f>
        <v>0</v>
      </c>
      <c r="BN217" s="921">
        <f>+BI217</f>
        <v>0</v>
      </c>
      <c r="BO217" s="921">
        <f>+BJ217</f>
        <v>0</v>
      </c>
      <c r="BP217" s="922">
        <f>+BK217</f>
        <v>0</v>
      </c>
      <c r="BQ217" s="923">
        <f>IF(AVERAGE(BM215:BP215)=0,0,BQ218/(AVERAGE(BM215:BP215)*8.76))</f>
        <v>0</v>
      </c>
      <c r="BR217" s="923"/>
      <c r="BS217" s="1503"/>
      <c r="BT217" s="1503"/>
      <c r="BU217" s="1503"/>
      <c r="BV217" s="1503"/>
      <c r="BW217" s="1493"/>
      <c r="BX217"/>
      <c r="BY217"/>
      <c r="BZ217"/>
      <c r="CA217"/>
      <c r="CB217"/>
      <c r="CC217"/>
    </row>
    <row r="218" spans="1:81" s="19" customFormat="1">
      <c r="A218" s="108"/>
      <c r="B218" s="5"/>
      <c r="C218" s="1128" t="s">
        <v>549</v>
      </c>
      <c r="D218" s="36"/>
      <c r="E218" s="122"/>
      <c r="F218" s="123"/>
      <c r="G218" s="123"/>
      <c r="H218" s="915"/>
      <c r="I218" s="36"/>
      <c r="J218" s="122"/>
      <c r="K218" s="123"/>
      <c r="L218" s="123"/>
      <c r="M218" s="915"/>
      <c r="N218" s="928"/>
      <c r="O218" s="122"/>
      <c r="P218" s="123"/>
      <c r="Q218" s="123"/>
      <c r="R218" s="915"/>
      <c r="S218" s="36"/>
      <c r="T218" s="200"/>
      <c r="U218" s="201"/>
      <c r="V218" s="201"/>
      <c r="W218" s="202"/>
      <c r="X218" s="86"/>
      <c r="Y218" s="200">
        <f>(Y215*Y217*(8760/1000))/4</f>
        <v>1633.3458000000001</v>
      </c>
      <c r="Z218" s="201">
        <f>(Z215*Z217*(8760/1000))/4</f>
        <v>1633.3458000000001</v>
      </c>
      <c r="AA218" s="201">
        <f>(AA215*AA217*(8760/1000))/4</f>
        <v>1633.3458000000001</v>
      </c>
      <c r="AB218" s="202">
        <f>(AB215*AB217*(8760/1000))/4</f>
        <v>1633.3458000000001</v>
      </c>
      <c r="AC218" s="86">
        <f>SUM(Y218:AB218)</f>
        <v>6533.3832000000002</v>
      </c>
      <c r="AD218" s="200">
        <f>(AD215*AD217*(8760/1000))/4</f>
        <v>1633.3458000000001</v>
      </c>
      <c r="AE218" s="201">
        <f>(AE215*AE217*(8760/1000))/4</f>
        <v>1633.3458000000001</v>
      </c>
      <c r="AF218" s="201">
        <f>(AF215*AF217*(8760/1000))/4</f>
        <v>1633.3458000000001</v>
      </c>
      <c r="AG218" s="202">
        <f>(AG215*AG217*(8760/1000))/4</f>
        <v>1633.3458000000001</v>
      </c>
      <c r="AH218" s="86">
        <f>SUM(AD218:AG218)</f>
        <v>6533.3832000000002</v>
      </c>
      <c r="AI218" s="200">
        <f>(AI215*AI217*(8760/1000))/4</f>
        <v>1633.3458000000001</v>
      </c>
      <c r="AJ218" s="201">
        <f>(AJ215*AJ217*(8760/1000))/4</f>
        <v>1633.3458000000001</v>
      </c>
      <c r="AK218" s="201">
        <f>(AK215*AK217*(8760/1000))/4</f>
        <v>1633.3458000000001</v>
      </c>
      <c r="AL218" s="202">
        <f>(AL215*AL217*(8760/1000))/4</f>
        <v>1633.3458000000001</v>
      </c>
      <c r="AM218" s="86">
        <f>SUM(AI218:AL218)</f>
        <v>6533.3832000000002</v>
      </c>
      <c r="AN218" s="200">
        <f>(AN215*AN217*(8760/1000))/4</f>
        <v>1743.4589999999998</v>
      </c>
      <c r="AO218" s="201">
        <f>(AO215*AO217*(8760/1000))/4</f>
        <v>1743.4589999999998</v>
      </c>
      <c r="AP218" s="201">
        <f>(AP215*AP217*(8760/1000))/4</f>
        <v>1743.4589999999998</v>
      </c>
      <c r="AQ218" s="202">
        <f>(AQ215*AQ217*(8760/1000))/4</f>
        <v>1743.4589999999998</v>
      </c>
      <c r="AR218" s="86">
        <f>SUM(AN218:AQ218)</f>
        <v>6973.8359999999993</v>
      </c>
      <c r="AS218" s="200">
        <f>(AS215*AS217*(8760/1000))/4</f>
        <v>0</v>
      </c>
      <c r="AT218" s="201">
        <f>(AT215*AT217*(8760/1000))/4</f>
        <v>0</v>
      </c>
      <c r="AU218" s="201">
        <f t="shared" ref="AU218" si="631">(AU215*AU217*(8760/1000))/4</f>
        <v>0</v>
      </c>
      <c r="AV218" s="202">
        <f>(AV215*AV217*(8760/1000))/4</f>
        <v>0</v>
      </c>
      <c r="AW218" s="86">
        <f>SUM(AS218:AV218)</f>
        <v>0</v>
      </c>
      <c r="AX218" s="200">
        <f>(AX215*AX217*(8760/1000))/4</f>
        <v>0</v>
      </c>
      <c r="AY218" s="201">
        <f>(AY215*AY217*(8760/1000))/4</f>
        <v>0</v>
      </c>
      <c r="AZ218" s="201">
        <f>(AZ215*AZ217*(8760/1000))/4</f>
        <v>0</v>
      </c>
      <c r="BA218" s="202">
        <f>(BA215*BA217*(8760/1000))/4</f>
        <v>0</v>
      </c>
      <c r="BB218" s="86">
        <f>SUM(AX218:BA218)</f>
        <v>0</v>
      </c>
      <c r="BC218" s="200">
        <f>(BC215*BC217*(8760/1000))/4</f>
        <v>0</v>
      </c>
      <c r="BD218" s="201">
        <f>(BD215*BD217*(8760/1000))/4</f>
        <v>0</v>
      </c>
      <c r="BE218" s="201">
        <f>(BE215*BE217*(8760/1000))/4</f>
        <v>0</v>
      </c>
      <c r="BF218" s="202">
        <f>(BF215*BF217*(8760/1000))/4</f>
        <v>0</v>
      </c>
      <c r="BG218" s="86">
        <f>SUM(BC218:BF218)</f>
        <v>0</v>
      </c>
      <c r="BH218" s="200">
        <f>(BH215*BH217*(8760/1000))/4</f>
        <v>0</v>
      </c>
      <c r="BI218" s="201">
        <f>(BI215*BI217*(8760/1000))/4</f>
        <v>0</v>
      </c>
      <c r="BJ218" s="201">
        <f>(BJ215*BJ217*(8760/1000))/4</f>
        <v>0</v>
      </c>
      <c r="BK218" s="202">
        <f>(BK215*BK217*(8760/1000))/4</f>
        <v>0</v>
      </c>
      <c r="BL218" s="86">
        <f>SUM(BH218:BK218)</f>
        <v>0</v>
      </c>
      <c r="BM218" s="200">
        <f>(BM215*BM217*(8760/1000))/4</f>
        <v>0</v>
      </c>
      <c r="BN218" s="201">
        <f>(BN215*BN217*(8760/1000))/4</f>
        <v>0</v>
      </c>
      <c r="BO218" s="201">
        <f>(BO215*BO217*(8760/1000))/4</f>
        <v>0</v>
      </c>
      <c r="BP218" s="202">
        <f>(BP215*BP217*(8760/1000))/4</f>
        <v>0</v>
      </c>
      <c r="BQ218" s="86">
        <f>SUM(BM218:BP218)</f>
        <v>0</v>
      </c>
      <c r="BR218" s="86"/>
      <c r="BS218" s="1503"/>
      <c r="BT218" s="1503"/>
      <c r="BU218" s="1503"/>
      <c r="BV218" s="1503"/>
      <c r="BW218" s="1493"/>
      <c r="BX218"/>
      <c r="BY218"/>
      <c r="BZ218"/>
      <c r="CA218"/>
      <c r="CB218"/>
      <c r="CC218"/>
    </row>
    <row r="219" spans="1:81" s="19" customFormat="1">
      <c r="A219" s="108"/>
      <c r="B219" s="5"/>
      <c r="C219" s="1125"/>
      <c r="D219" s="5"/>
      <c r="E219" s="146"/>
      <c r="F219" s="7"/>
      <c r="G219" s="7"/>
      <c r="H219" s="147"/>
      <c r="I219" s="31"/>
      <c r="J219" s="146"/>
      <c r="K219" s="7"/>
      <c r="L219" s="7"/>
      <c r="M219" s="147"/>
      <c r="N219" s="5"/>
      <c r="O219" s="146"/>
      <c r="P219" s="7"/>
      <c r="Q219" s="7"/>
      <c r="R219" s="147"/>
      <c r="S219" s="5"/>
      <c r="T219" s="146"/>
      <c r="U219" s="7"/>
      <c r="V219" s="7"/>
      <c r="W219" s="147"/>
      <c r="X219" s="5"/>
      <c r="Y219" s="146"/>
      <c r="Z219" s="7"/>
      <c r="AA219" s="7"/>
      <c r="AB219" s="147"/>
      <c r="AC219" s="5"/>
      <c r="AD219" s="146"/>
      <c r="AE219" s="7"/>
      <c r="AF219" s="7"/>
      <c r="AG219" s="147"/>
      <c r="AH219" s="5"/>
      <c r="AI219" s="146"/>
      <c r="AJ219" s="7"/>
      <c r="AK219" s="7"/>
      <c r="AL219" s="147"/>
      <c r="AM219" s="5"/>
      <c r="AN219" s="146"/>
      <c r="AO219" s="7"/>
      <c r="AP219" s="7"/>
      <c r="AQ219" s="147"/>
      <c r="AR219" s="5"/>
      <c r="AS219" s="146"/>
      <c r="AT219" s="7"/>
      <c r="AU219" s="7"/>
      <c r="AV219" s="147"/>
      <c r="AW219" s="5"/>
      <c r="AX219" s="146"/>
      <c r="AY219" s="7"/>
      <c r="AZ219" s="7"/>
      <c r="BA219" s="147"/>
      <c r="BB219" s="5"/>
      <c r="BC219" s="146"/>
      <c r="BD219" s="7"/>
      <c r="BE219" s="7"/>
      <c r="BF219" s="147"/>
      <c r="BG219" s="5"/>
      <c r="BH219" s="146"/>
      <c r="BI219" s="7"/>
      <c r="BJ219" s="7"/>
      <c r="BK219" s="147"/>
      <c r="BL219" s="5"/>
      <c r="BM219" s="146"/>
      <c r="BN219" s="7"/>
      <c r="BO219" s="7"/>
      <c r="BP219" s="147"/>
      <c r="BQ219" s="5"/>
      <c r="BR219" s="5"/>
      <c r="BS219" s="1503"/>
      <c r="BT219" s="1503"/>
      <c r="BU219" s="1503"/>
      <c r="BV219" s="1503"/>
      <c r="BW219" s="1493"/>
      <c r="BX219"/>
      <c r="BY219"/>
      <c r="BZ219"/>
      <c r="CA219"/>
      <c r="CB219"/>
      <c r="CC219"/>
    </row>
    <row r="220" spans="1:81" s="19" customFormat="1">
      <c r="A220" s="108"/>
      <c r="B220" s="5"/>
      <c r="C220" s="1127" t="s">
        <v>546</v>
      </c>
      <c r="D220" s="5"/>
      <c r="E220" s="146"/>
      <c r="F220" s="7"/>
      <c r="G220" s="7"/>
      <c r="H220" s="147"/>
      <c r="I220" s="31"/>
      <c r="J220" s="146"/>
      <c r="K220" s="7"/>
      <c r="L220" s="7"/>
      <c r="M220" s="147"/>
      <c r="N220" s="5"/>
      <c r="O220" s="146"/>
      <c r="P220" s="7"/>
      <c r="Q220" s="7"/>
      <c r="R220" s="147"/>
      <c r="S220" s="5"/>
      <c r="T220" s="885"/>
      <c r="U220" s="886"/>
      <c r="V220" s="886"/>
      <c r="W220" s="887"/>
      <c r="X220" s="832"/>
      <c r="Y220" s="885">
        <f>(Y212/1000*Y218)</f>
        <v>65.932294040141116</v>
      </c>
      <c r="Z220" s="886">
        <f>(Z212/1000*Z218)</f>
        <v>55.860781936632236</v>
      </c>
      <c r="AA220" s="886">
        <f>(AA212/1000*AA218)</f>
        <v>64.217109360580707</v>
      </c>
      <c r="AB220" s="887">
        <f>(AB212/1000*AB218)</f>
        <v>60.949489926959068</v>
      </c>
      <c r="AC220" s="832">
        <f>SUM(Y220:AB220)</f>
        <v>246.95967526431315</v>
      </c>
      <c r="AD220" s="885">
        <f>(AD212/1000*AD218)</f>
        <v>146.22699577488248</v>
      </c>
      <c r="AE220" s="886">
        <f>(AE212/1000*AE218)</f>
        <v>58.201231869148337</v>
      </c>
      <c r="AF220" s="886">
        <f>(AF212/1000*AF218)</f>
        <v>53.831190881858063</v>
      </c>
      <c r="AG220" s="887">
        <f>(AG212/1000*AG218)</f>
        <v>49.171484320607576</v>
      </c>
      <c r="AH220" s="832">
        <f>SUM(AD220:AG220)</f>
        <v>307.43090284649645</v>
      </c>
      <c r="AI220" s="885">
        <f>(AI212/1000*AI218)</f>
        <v>73.523466712772873</v>
      </c>
      <c r="AJ220" s="886">
        <f>(AJ212/1000*AJ218)</f>
        <v>45.389163397354153</v>
      </c>
      <c r="AK220" s="886">
        <f>(AK212/1000*AK218)</f>
        <v>49.019129395033588</v>
      </c>
      <c r="AL220" s="887">
        <f>(AL212/1000*AL218)</f>
        <v>39.111885885316269</v>
      </c>
      <c r="AM220" s="832">
        <f>SUM(AI220:AL220)</f>
        <v>207.04364539047688</v>
      </c>
      <c r="AN220" s="885">
        <f>(AN212/1000*AN218)</f>
        <v>43.896853594339419</v>
      </c>
      <c r="AO220" s="886">
        <f>(AO212/1000*AO218)</f>
        <v>43.896853594339419</v>
      </c>
      <c r="AP220" s="886">
        <f>(AP212/1000*AP218)</f>
        <v>38.410953346762014</v>
      </c>
      <c r="AQ220" s="887">
        <f>(AQ212/1000*AQ218)</f>
        <v>38.410953346762014</v>
      </c>
      <c r="AR220" s="832">
        <f>SUM(AN220:AQ220)</f>
        <v>164.61561388220287</v>
      </c>
      <c r="AS220" s="885">
        <f>(AS212/1000*AS218)</f>
        <v>0</v>
      </c>
      <c r="AT220" s="886">
        <f>(AT212/1000*AT218)</f>
        <v>0</v>
      </c>
      <c r="AU220" s="886">
        <f t="shared" ref="AU220" si="632">(AU212/1000*AU218)</f>
        <v>0</v>
      </c>
      <c r="AV220" s="887">
        <f>(AV212/1000*AV218)</f>
        <v>0</v>
      </c>
      <c r="AW220" s="832">
        <f>SUM(AS220:AV220)</f>
        <v>0</v>
      </c>
      <c r="AX220" s="885">
        <f>(AX212/1000*AX218)</f>
        <v>0</v>
      </c>
      <c r="AY220" s="886">
        <f>(AY212/1000*AY218)</f>
        <v>0</v>
      </c>
      <c r="AZ220" s="886">
        <f>(AZ212/1000*AZ218)</f>
        <v>0</v>
      </c>
      <c r="BA220" s="887">
        <f>(BA212/1000*BA218)</f>
        <v>0</v>
      </c>
      <c r="BB220" s="832">
        <f>SUM(AX220:BA220)</f>
        <v>0</v>
      </c>
      <c r="BC220" s="885">
        <f>(BC212/1000*BC218)</f>
        <v>0</v>
      </c>
      <c r="BD220" s="886">
        <f>(BD212/1000*BD218)</f>
        <v>0</v>
      </c>
      <c r="BE220" s="886">
        <f>(BE212/1000*BE218)</f>
        <v>0</v>
      </c>
      <c r="BF220" s="887">
        <f>(BF212/1000*BF218)</f>
        <v>0</v>
      </c>
      <c r="BG220" s="832">
        <f>SUM(BC220:BF220)</f>
        <v>0</v>
      </c>
      <c r="BH220" s="885">
        <f>(BH212/1000*BH218)</f>
        <v>0</v>
      </c>
      <c r="BI220" s="886">
        <f>(BI212/1000*BI218)</f>
        <v>0</v>
      </c>
      <c r="BJ220" s="886">
        <f>(BJ212/1000*BJ218)</f>
        <v>0</v>
      </c>
      <c r="BK220" s="887">
        <f>(BK212/1000*BK218)</f>
        <v>0</v>
      </c>
      <c r="BL220" s="832">
        <f>SUM(BH220:BK220)</f>
        <v>0</v>
      </c>
      <c r="BM220" s="885">
        <f>(BM212/1000*BM218)</f>
        <v>0</v>
      </c>
      <c r="BN220" s="886">
        <f>(BN212/1000*BN218)</f>
        <v>0</v>
      </c>
      <c r="BO220" s="886">
        <f>(BO212/1000*BO218)</f>
        <v>0</v>
      </c>
      <c r="BP220" s="887">
        <f>(BP212/1000*BP218)</f>
        <v>0</v>
      </c>
      <c r="BQ220" s="832">
        <f>SUM(BM220:BP220)</f>
        <v>0</v>
      </c>
      <c r="BR220" s="832"/>
      <c r="BS220" s="1503"/>
      <c r="BT220" s="1503"/>
      <c r="BU220" s="1526"/>
      <c r="BV220" s="1503"/>
      <c r="BW220" s="1493"/>
      <c r="BX220"/>
      <c r="BY220"/>
      <c r="BZ220"/>
      <c r="CA220"/>
      <c r="CB220"/>
      <c r="CC220"/>
    </row>
    <row r="221" spans="1:81" s="19" customFormat="1">
      <c r="A221" s="108"/>
      <c r="B221" s="5"/>
      <c r="C221" s="1127" t="s">
        <v>633</v>
      </c>
      <c r="D221" s="5"/>
      <c r="E221" s="146"/>
      <c r="F221" s="7"/>
      <c r="G221" s="7"/>
      <c r="H221" s="147"/>
      <c r="I221" s="31"/>
      <c r="J221" s="146"/>
      <c r="K221" s="7"/>
      <c r="L221" s="7"/>
      <c r="M221" s="147"/>
      <c r="N221" s="5"/>
      <c r="O221" s="146"/>
      <c r="P221" s="7"/>
      <c r="Q221" s="7"/>
      <c r="R221" s="147"/>
      <c r="S221" s="5"/>
      <c r="T221" s="885"/>
      <c r="U221" s="886"/>
      <c r="V221" s="886"/>
      <c r="W221" s="887"/>
      <c r="X221" s="832"/>
      <c r="Y221" s="885">
        <f>Y213/1000*Y218</f>
        <v>10.600414242000001</v>
      </c>
      <c r="Z221" s="886">
        <f>Z213/1000*Z218</f>
        <v>10.600414242000001</v>
      </c>
      <c r="AA221" s="886">
        <f>AA213/1000*AA218</f>
        <v>10.600414242000001</v>
      </c>
      <c r="AB221" s="887">
        <f>AB213/1000*AB218</f>
        <v>10.600414242000001</v>
      </c>
      <c r="AC221" s="832">
        <f>SUM(Y221:AB221)</f>
        <v>42.401656968000005</v>
      </c>
      <c r="AD221" s="885">
        <f>AD213/1000*AD218</f>
        <v>10.027109866200004</v>
      </c>
      <c r="AE221" s="886">
        <f>AE213/1000*AE218</f>
        <v>10.027109866200004</v>
      </c>
      <c r="AF221" s="886">
        <f>AF213/1000*AF218</f>
        <v>10.027109866200004</v>
      </c>
      <c r="AG221" s="887">
        <f>AG213/1000*AG218</f>
        <v>10.027109866200004</v>
      </c>
      <c r="AH221" s="832">
        <f>SUM(AD221:AG221)</f>
        <v>40.108439464800014</v>
      </c>
      <c r="AI221" s="885">
        <f>AI213/1000*AI218</f>
        <v>10.45341312</v>
      </c>
      <c r="AJ221" s="886">
        <f>AJ213/1000*AJ218</f>
        <v>10.45341312</v>
      </c>
      <c r="AK221" s="886">
        <f>AK213/1000*AK218</f>
        <v>10.45341312</v>
      </c>
      <c r="AL221" s="887">
        <f>AL213/1000*AL218</f>
        <v>10.45341312</v>
      </c>
      <c r="AM221" s="832">
        <f>SUM(AI221:AL221)</f>
        <v>41.813652480000002</v>
      </c>
      <c r="AN221" s="885">
        <f>AN213/1000*AN218</f>
        <v>11.1581376</v>
      </c>
      <c r="AO221" s="1756">
        <v>1</v>
      </c>
      <c r="AP221" s="886">
        <v>1</v>
      </c>
      <c r="AQ221" s="1909">
        <v>1</v>
      </c>
      <c r="AR221" s="832">
        <f>SUM(AN221:AQ221)</f>
        <v>14.1581376</v>
      </c>
      <c r="AS221" s="1757">
        <v>0</v>
      </c>
      <c r="AT221" s="1756">
        <v>0</v>
      </c>
      <c r="AU221" s="1756">
        <v>0</v>
      </c>
      <c r="AV221" s="887">
        <f>AV213/1000*AV218</f>
        <v>0</v>
      </c>
      <c r="AW221" s="832">
        <f>SUM(AS221:AV221)</f>
        <v>0</v>
      </c>
      <c r="AX221" s="885">
        <f>AX213/1000*AX218</f>
        <v>0</v>
      </c>
      <c r="AY221" s="886">
        <f>AY213/1000*AY218</f>
        <v>0</v>
      </c>
      <c r="AZ221" s="886">
        <f>AZ213/1000*AZ218</f>
        <v>0</v>
      </c>
      <c r="BA221" s="887">
        <f>BA213/1000*BA218</f>
        <v>0</v>
      </c>
      <c r="BB221" s="832">
        <f>SUM(AX221:BA221)</f>
        <v>0</v>
      </c>
      <c r="BC221" s="885">
        <f>BC213/1000*BC218</f>
        <v>0</v>
      </c>
      <c r="BD221" s="886">
        <f>BD213/1000*BD218</f>
        <v>0</v>
      </c>
      <c r="BE221" s="886">
        <f>BE213/1000*BE218</f>
        <v>0</v>
      </c>
      <c r="BF221" s="887">
        <f>BF213/1000*BF218</f>
        <v>0</v>
      </c>
      <c r="BG221" s="832">
        <f>SUM(BC221:BF221)</f>
        <v>0</v>
      </c>
      <c r="BH221" s="885">
        <f>BH213/1000*BH218</f>
        <v>0</v>
      </c>
      <c r="BI221" s="886">
        <f>BI213/1000*BI218</f>
        <v>0</v>
      </c>
      <c r="BJ221" s="886">
        <f>BJ213/1000*BJ218</f>
        <v>0</v>
      </c>
      <c r="BK221" s="887">
        <f>BK213/1000*BK218</f>
        <v>0</v>
      </c>
      <c r="BL221" s="832">
        <f>SUM(BH221:BK221)</f>
        <v>0</v>
      </c>
      <c r="BM221" s="885">
        <f>BM213/1000*BM218</f>
        <v>0</v>
      </c>
      <c r="BN221" s="886">
        <f>BN213/1000*BN218</f>
        <v>0</v>
      </c>
      <c r="BO221" s="886">
        <f>BO213/1000*BO218</f>
        <v>0</v>
      </c>
      <c r="BP221" s="887">
        <f>BP213/1000*BP218</f>
        <v>0</v>
      </c>
      <c r="BQ221" s="832">
        <f>SUM(BM221:BP221)</f>
        <v>0</v>
      </c>
      <c r="BR221" s="832"/>
      <c r="BS221" s="1503"/>
      <c r="BT221" s="1503"/>
      <c r="BU221" s="1503"/>
      <c r="BV221" s="1503"/>
      <c r="BW221" s="1493"/>
      <c r="BX221"/>
      <c r="BY221"/>
      <c r="BZ221"/>
      <c r="CA221"/>
      <c r="CB221"/>
      <c r="CC221"/>
    </row>
    <row r="222" spans="1:81" s="19" customFormat="1">
      <c r="A222" s="108"/>
      <c r="B222" s="5"/>
      <c r="C222" s="1128" t="s">
        <v>547</v>
      </c>
      <c r="D222" s="36"/>
      <c r="E222" s="122"/>
      <c r="F222" s="123"/>
      <c r="G222" s="123"/>
      <c r="H222" s="915"/>
      <c r="I222" s="31"/>
      <c r="J222" s="122"/>
      <c r="K222" s="123"/>
      <c r="L222" s="123"/>
      <c r="M222" s="915"/>
      <c r="N222" s="36"/>
      <c r="O222" s="122"/>
      <c r="P222" s="123"/>
      <c r="Q222" s="123"/>
      <c r="R222" s="915"/>
      <c r="S222" s="36"/>
      <c r="T222" s="180"/>
      <c r="U222" s="181"/>
      <c r="V222" s="181"/>
      <c r="W222" s="182"/>
      <c r="X222" s="110"/>
      <c r="Y222" s="180">
        <f t="shared" ref="Y222:AR222" si="633">Y220-Y221</f>
        <v>55.331879798141117</v>
      </c>
      <c r="Z222" s="181">
        <f t="shared" si="633"/>
        <v>45.260367694632237</v>
      </c>
      <c r="AA222" s="181">
        <f t="shared" si="633"/>
        <v>53.616695118580708</v>
      </c>
      <c r="AB222" s="182">
        <f t="shared" si="633"/>
        <v>50.349075684959068</v>
      </c>
      <c r="AC222" s="110">
        <f t="shared" si="633"/>
        <v>204.55801829631315</v>
      </c>
      <c r="AD222" s="180">
        <f t="shared" si="633"/>
        <v>136.19988590868249</v>
      </c>
      <c r="AE222" s="181">
        <f t="shared" si="633"/>
        <v>48.174122002948337</v>
      </c>
      <c r="AF222" s="181">
        <f t="shared" si="633"/>
        <v>43.804081015658056</v>
      </c>
      <c r="AG222" s="182">
        <f t="shared" si="633"/>
        <v>39.144374454407568</v>
      </c>
      <c r="AH222" s="110">
        <f t="shared" si="633"/>
        <v>267.32246338169642</v>
      </c>
      <c r="AI222" s="180">
        <f t="shared" si="633"/>
        <v>63.070053592772872</v>
      </c>
      <c r="AJ222" s="181">
        <f t="shared" si="633"/>
        <v>34.935750277354153</v>
      </c>
      <c r="AK222" s="181">
        <f t="shared" si="633"/>
        <v>38.565716275033587</v>
      </c>
      <c r="AL222" s="182">
        <f t="shared" si="633"/>
        <v>28.658472765316269</v>
      </c>
      <c r="AM222" s="110">
        <f t="shared" si="633"/>
        <v>165.22999291047688</v>
      </c>
      <c r="AN222" s="180">
        <f t="shared" ref="AN222" si="634">AN220-AN221</f>
        <v>32.738715994339415</v>
      </c>
      <c r="AO222" s="181">
        <f t="shared" si="633"/>
        <v>42.896853594339419</v>
      </c>
      <c r="AP222" s="181">
        <f t="shared" si="633"/>
        <v>37.410953346762014</v>
      </c>
      <c r="AQ222" s="182">
        <f t="shared" si="633"/>
        <v>37.410953346762014</v>
      </c>
      <c r="AR222" s="110">
        <f t="shared" si="633"/>
        <v>150.45747628220286</v>
      </c>
      <c r="AS222" s="180">
        <f t="shared" ref="AS222:BB222" si="635">AS220-AS221</f>
        <v>0</v>
      </c>
      <c r="AT222" s="181">
        <f t="shared" ref="AT222:AU222" si="636">AT220-AT221</f>
        <v>0</v>
      </c>
      <c r="AU222" s="181">
        <f t="shared" si="636"/>
        <v>0</v>
      </c>
      <c r="AV222" s="182">
        <f t="shared" si="635"/>
        <v>0</v>
      </c>
      <c r="AW222" s="110">
        <f t="shared" si="635"/>
        <v>0</v>
      </c>
      <c r="AX222" s="180">
        <f t="shared" si="635"/>
        <v>0</v>
      </c>
      <c r="AY222" s="181">
        <f t="shared" si="635"/>
        <v>0</v>
      </c>
      <c r="AZ222" s="181">
        <f t="shared" si="635"/>
        <v>0</v>
      </c>
      <c r="BA222" s="182">
        <f t="shared" si="635"/>
        <v>0</v>
      </c>
      <c r="BB222" s="110">
        <f t="shared" si="635"/>
        <v>0</v>
      </c>
      <c r="BC222" s="180">
        <f t="shared" ref="BC222:BL222" si="637">BC220-BC221</f>
        <v>0</v>
      </c>
      <c r="BD222" s="181">
        <f t="shared" si="637"/>
        <v>0</v>
      </c>
      <c r="BE222" s="181">
        <f t="shared" si="637"/>
        <v>0</v>
      </c>
      <c r="BF222" s="182">
        <f t="shared" si="637"/>
        <v>0</v>
      </c>
      <c r="BG222" s="110">
        <f t="shared" si="637"/>
        <v>0</v>
      </c>
      <c r="BH222" s="180">
        <f t="shared" si="637"/>
        <v>0</v>
      </c>
      <c r="BI222" s="181">
        <f t="shared" si="637"/>
        <v>0</v>
      </c>
      <c r="BJ222" s="181">
        <f t="shared" si="637"/>
        <v>0</v>
      </c>
      <c r="BK222" s="182">
        <f t="shared" si="637"/>
        <v>0</v>
      </c>
      <c r="BL222" s="110">
        <f t="shared" si="637"/>
        <v>0</v>
      </c>
      <c r="BM222" s="180">
        <f t="shared" ref="BM222:BQ222" si="638">BM220-BM221</f>
        <v>0</v>
      </c>
      <c r="BN222" s="181">
        <f t="shared" si="638"/>
        <v>0</v>
      </c>
      <c r="BO222" s="181">
        <f t="shared" si="638"/>
        <v>0</v>
      </c>
      <c r="BP222" s="182">
        <f t="shared" si="638"/>
        <v>0</v>
      </c>
      <c r="BQ222" s="110">
        <f t="shared" si="638"/>
        <v>0</v>
      </c>
      <c r="BR222" s="110"/>
      <c r="BS222" s="1503"/>
      <c r="BT222" s="1503"/>
      <c r="BU222" s="1503"/>
      <c r="BV222" s="1503"/>
      <c r="BW222" s="1493"/>
      <c r="BX222"/>
      <c r="BY222"/>
      <c r="BZ222"/>
      <c r="CA222"/>
      <c r="CB222"/>
      <c r="CC222"/>
    </row>
    <row r="223" spans="1:81" s="19" customFormat="1">
      <c r="A223" s="108"/>
      <c r="B223" s="5"/>
      <c r="C223" s="1125"/>
      <c r="D223" s="5"/>
      <c r="E223" s="146"/>
      <c r="F223" s="7"/>
      <c r="G223" s="7"/>
      <c r="H223" s="147"/>
      <c r="I223" s="31"/>
      <c r="J223" s="146"/>
      <c r="K223" s="7"/>
      <c r="L223" s="7"/>
      <c r="M223" s="147"/>
      <c r="N223" s="5"/>
      <c r="O223" s="146"/>
      <c r="P223" s="7"/>
      <c r="Q223" s="7"/>
      <c r="R223" s="147"/>
      <c r="S223" s="5"/>
      <c r="T223" s="146"/>
      <c r="U223" s="7"/>
      <c r="V223" s="7"/>
      <c r="W223" s="147"/>
      <c r="X223" s="5"/>
      <c r="Y223" s="146"/>
      <c r="Z223" s="7"/>
      <c r="AA223" s="7"/>
      <c r="AB223" s="147"/>
      <c r="AC223" s="5"/>
      <c r="AD223" s="146"/>
      <c r="AE223" s="7"/>
      <c r="AF223" s="7"/>
      <c r="AG223" s="147"/>
      <c r="AH223" s="5"/>
      <c r="AI223" s="146"/>
      <c r="AJ223" s="7"/>
      <c r="AK223" s="7"/>
      <c r="AL223" s="147"/>
      <c r="AM223" s="5"/>
      <c r="AN223" s="146"/>
      <c r="AO223" s="7"/>
      <c r="AP223" s="7"/>
      <c r="AQ223" s="147"/>
      <c r="AR223" s="5"/>
      <c r="AS223" s="146"/>
      <c r="AT223" s="7"/>
      <c r="AU223" s="7"/>
      <c r="AV223" s="147"/>
      <c r="AW223" s="5"/>
      <c r="AX223" s="146"/>
      <c r="AY223" s="7"/>
      <c r="AZ223" s="7"/>
      <c r="BA223" s="147"/>
      <c r="BB223" s="5"/>
      <c r="BC223" s="146"/>
      <c r="BD223" s="7"/>
      <c r="BE223" s="7"/>
      <c r="BF223" s="147"/>
      <c r="BG223" s="5"/>
      <c r="BH223" s="146"/>
      <c r="BI223" s="7"/>
      <c r="BJ223" s="7"/>
      <c r="BK223" s="147"/>
      <c r="BL223" s="5"/>
      <c r="BM223" s="146"/>
      <c r="BN223" s="7"/>
      <c r="BO223" s="7"/>
      <c r="BP223" s="147"/>
      <c r="BQ223" s="5"/>
      <c r="BR223" s="5"/>
      <c r="BS223" s="1503"/>
      <c r="BT223" s="1503"/>
      <c r="BU223" s="1503"/>
      <c r="BV223" s="1503"/>
      <c r="BW223" s="1493"/>
      <c r="BX223"/>
      <c r="BY223"/>
      <c r="BZ223"/>
      <c r="CA223"/>
      <c r="CB223"/>
      <c r="CC223"/>
    </row>
    <row r="224" spans="1:81" s="19" customFormat="1">
      <c r="A224" s="108"/>
      <c r="B224" s="5"/>
      <c r="C224" s="1154" t="s">
        <v>452</v>
      </c>
      <c r="D224" s="5"/>
      <c r="E224" s="146"/>
      <c r="F224" s="7"/>
      <c r="G224" s="7"/>
      <c r="H224" s="147"/>
      <c r="I224" s="31"/>
      <c r="J224" s="146"/>
      <c r="K224" s="7"/>
      <c r="L224" s="7"/>
      <c r="M224" s="147"/>
      <c r="N224" s="5"/>
      <c r="O224" s="146"/>
      <c r="P224" s="7"/>
      <c r="Q224" s="7"/>
      <c r="R224" s="147"/>
      <c r="S224" s="5"/>
      <c r="T224" s="146"/>
      <c r="U224" s="7"/>
      <c r="V224" s="7"/>
      <c r="W224" s="147"/>
      <c r="X224" s="5"/>
      <c r="Y224" s="146"/>
      <c r="Z224" s="7"/>
      <c r="AA224" s="7"/>
      <c r="AB224" s="147"/>
      <c r="AC224" s="5"/>
      <c r="AD224" s="146"/>
      <c r="AE224" s="7"/>
      <c r="AF224" s="7"/>
      <c r="AG224" s="147"/>
      <c r="AH224" s="5"/>
      <c r="AI224" s="146"/>
      <c r="AJ224" s="7"/>
      <c r="AK224" s="7"/>
      <c r="AL224" s="147"/>
      <c r="AM224" s="5"/>
      <c r="AN224" s="146"/>
      <c r="AO224" s="7"/>
      <c r="AP224" s="7"/>
      <c r="AQ224" s="147"/>
      <c r="AR224" s="5"/>
      <c r="AS224" s="146"/>
      <c r="AT224" s="7"/>
      <c r="AU224" s="7"/>
      <c r="AV224" s="147"/>
      <c r="AW224" s="5"/>
      <c r="AX224" s="146"/>
      <c r="AY224" s="7"/>
      <c r="AZ224" s="7"/>
      <c r="BA224" s="147"/>
      <c r="BB224" s="5"/>
      <c r="BC224" s="146"/>
      <c r="BD224" s="7"/>
      <c r="BE224" s="7"/>
      <c r="BF224" s="147"/>
      <c r="BG224" s="5"/>
      <c r="BH224" s="146"/>
      <c r="BI224" s="7"/>
      <c r="BJ224" s="7"/>
      <c r="BK224" s="147"/>
      <c r="BL224" s="5"/>
      <c r="BM224" s="146"/>
      <c r="BN224" s="7"/>
      <c r="BO224" s="7"/>
      <c r="BP224" s="147"/>
      <c r="BQ224" s="5"/>
      <c r="BR224" s="5"/>
      <c r="BS224" s="1503"/>
      <c r="BT224" s="1503"/>
      <c r="BU224" s="1503"/>
      <c r="BV224" s="1503"/>
      <c r="BW224" s="1493"/>
      <c r="BX224"/>
      <c r="BY224"/>
      <c r="BZ224"/>
      <c r="CA224"/>
      <c r="CB224"/>
      <c r="CC224"/>
    </row>
    <row r="225" spans="1:81" s="19" customFormat="1">
      <c r="A225" s="108"/>
      <c r="B225" s="5"/>
      <c r="C225" s="1127" t="s">
        <v>551</v>
      </c>
      <c r="D225" s="5"/>
      <c r="E225" s="146"/>
      <c r="F225" s="7"/>
      <c r="G225" s="7"/>
      <c r="H225" s="147"/>
      <c r="I225" s="31"/>
      <c r="J225" s="146"/>
      <c r="K225" s="7"/>
      <c r="L225" s="7"/>
      <c r="M225" s="147"/>
      <c r="N225" s="5"/>
      <c r="O225" s="146"/>
      <c r="P225" s="7"/>
      <c r="Q225" s="7"/>
      <c r="R225" s="147"/>
      <c r="S225" s="5"/>
      <c r="T225" s="881"/>
      <c r="U225" s="882"/>
      <c r="V225" s="882"/>
      <c r="W225" s="883"/>
      <c r="X225" s="403"/>
      <c r="Y225" s="881">
        <f t="shared" ref="Y225:AR225" si="639">Y86</f>
        <v>63.956860119047619</v>
      </c>
      <c r="Z225" s="882">
        <f t="shared" si="639"/>
        <v>40.076696063701917</v>
      </c>
      <c r="AA225" s="882">
        <f t="shared" si="639"/>
        <v>46.533446320906918</v>
      </c>
      <c r="AB225" s="883">
        <f t="shared" si="639"/>
        <v>42.763574044667124</v>
      </c>
      <c r="AC225" s="403">
        <f t="shared" si="639"/>
        <v>48.332644137080891</v>
      </c>
      <c r="AD225" s="881">
        <f t="shared" si="639"/>
        <v>123.65204372627676</v>
      </c>
      <c r="AE225" s="882">
        <f t="shared" si="639"/>
        <v>37.592218900240383</v>
      </c>
      <c r="AF225" s="882">
        <f t="shared" si="639"/>
        <v>32.71580009128737</v>
      </c>
      <c r="AG225" s="883">
        <f t="shared" si="639"/>
        <v>33.779744259935462</v>
      </c>
      <c r="AH225" s="403">
        <f t="shared" si="639"/>
        <v>56.93495174443499</v>
      </c>
      <c r="AI225" s="881">
        <f t="shared" si="639"/>
        <v>67.883873490338161</v>
      </c>
      <c r="AJ225" s="882">
        <f t="shared" si="639"/>
        <v>25.557168776292052</v>
      </c>
      <c r="AK225" s="882">
        <f t="shared" si="639"/>
        <v>29.841669256898001</v>
      </c>
      <c r="AL225" s="883">
        <f t="shared" si="639"/>
        <v>22.022193372961958</v>
      </c>
      <c r="AM225" s="403">
        <f t="shared" si="639"/>
        <v>36.326226224122543</v>
      </c>
      <c r="AN225" s="881">
        <f t="shared" ref="AN225" si="640">AN86</f>
        <v>23.525019456129819</v>
      </c>
      <c r="AO225" s="882">
        <f t="shared" si="639"/>
        <v>23.525019456129819</v>
      </c>
      <c r="AP225" s="882">
        <f t="shared" si="639"/>
        <v>30.139040399629053</v>
      </c>
      <c r="AQ225" s="883">
        <f t="shared" si="639"/>
        <v>30.139040399629053</v>
      </c>
      <c r="AR225" s="403">
        <f t="shared" si="639"/>
        <v>26.832029927879436</v>
      </c>
      <c r="AS225" s="881">
        <f t="shared" ref="AS225:BB225" si="641">AS86</f>
        <v>32.008811501736105</v>
      </c>
      <c r="AT225" s="882">
        <f t="shared" si="641"/>
        <v>27.025031099759616</v>
      </c>
      <c r="AU225" s="882">
        <f t="shared" ref="AU225" si="642">AU86</f>
        <v>25.653685866330225</v>
      </c>
      <c r="AV225" s="883">
        <f t="shared" si="641"/>
        <v>34.918347651613189</v>
      </c>
      <c r="AW225" s="403">
        <f t="shared" si="641"/>
        <v>29.901469029859779</v>
      </c>
      <c r="AX225" s="881">
        <f t="shared" si="641"/>
        <v>47.355101793902847</v>
      </c>
      <c r="AY225" s="882">
        <f t="shared" si="641"/>
        <v>37.693333333333335</v>
      </c>
      <c r="AZ225" s="882">
        <f t="shared" si="641"/>
        <v>30.99291666666667</v>
      </c>
      <c r="BA225" s="883">
        <f t="shared" si="641"/>
        <v>41.807916666666671</v>
      </c>
      <c r="BB225" s="403">
        <f t="shared" si="641"/>
        <v>39.462317115142383</v>
      </c>
      <c r="BC225" s="881">
        <f t="shared" ref="BC225:BL225" si="643">BC86</f>
        <v>69.849183966016369</v>
      </c>
      <c r="BD225" s="882">
        <f t="shared" si="643"/>
        <v>36.756539580957948</v>
      </c>
      <c r="BE225" s="882">
        <f t="shared" si="643"/>
        <v>29.746428682880207</v>
      </c>
      <c r="BF225" s="883">
        <f t="shared" si="643"/>
        <v>29.231996936615467</v>
      </c>
      <c r="BG225" s="403">
        <f t="shared" si="643"/>
        <v>41.396037291617503</v>
      </c>
      <c r="BH225" s="881">
        <f t="shared" si="643"/>
        <v>70.62563530339412</v>
      </c>
      <c r="BI225" s="882">
        <f t="shared" si="643"/>
        <v>37.15590820204406</v>
      </c>
      <c r="BJ225" s="882">
        <f t="shared" si="643"/>
        <v>30.068143671808713</v>
      </c>
      <c r="BK225" s="883">
        <f t="shared" si="643"/>
        <v>29.554479489153092</v>
      </c>
      <c r="BL225" s="403">
        <f t="shared" si="643"/>
        <v>41.851041666600004</v>
      </c>
      <c r="BM225" s="881">
        <f t="shared" ref="BM225:BQ225" si="644">BM86</f>
        <v>35.133287121513206</v>
      </c>
      <c r="BN225" s="882">
        <f t="shared" si="644"/>
        <v>35.133287121513206</v>
      </c>
      <c r="BO225" s="882">
        <f t="shared" si="644"/>
        <v>35.133287121513206</v>
      </c>
      <c r="BP225" s="883">
        <f t="shared" si="644"/>
        <v>35.133287121513206</v>
      </c>
      <c r="BQ225" s="403">
        <f t="shared" si="644"/>
        <v>35.133287121513206</v>
      </c>
      <c r="BR225" s="403"/>
      <c r="BS225" s="1503"/>
      <c r="BT225" s="1503"/>
      <c r="BU225" s="1503"/>
      <c r="BV225" s="1503"/>
      <c r="BW225" s="1493"/>
      <c r="BX225"/>
      <c r="BY225"/>
      <c r="BZ225"/>
      <c r="CA225"/>
      <c r="CB225"/>
      <c r="CC225"/>
    </row>
    <row r="226" spans="1:81" s="19" customFormat="1">
      <c r="A226" s="108"/>
      <c r="B226" s="5"/>
      <c r="C226" s="1127" t="s">
        <v>552</v>
      </c>
      <c r="D226" s="5"/>
      <c r="E226" s="146"/>
      <c r="F226" s="7"/>
      <c r="G226" s="7"/>
      <c r="H226" s="147"/>
      <c r="I226" s="31"/>
      <c r="J226" s="146"/>
      <c r="K226" s="7"/>
      <c r="L226" s="7"/>
      <c r="M226" s="147"/>
      <c r="N226" s="5"/>
      <c r="O226" s="146"/>
      <c r="P226" s="7"/>
      <c r="Q226" s="7"/>
      <c r="R226" s="147"/>
      <c r="S226" s="5"/>
      <c r="T226" s="359"/>
      <c r="U226" s="360"/>
      <c r="V226" s="360"/>
      <c r="W226" s="361"/>
      <c r="X226" s="358"/>
      <c r="Y226" s="359">
        <f t="shared" ref="Y226:BQ226" si="645">+Y$200</f>
        <v>6.4900000000000011</v>
      </c>
      <c r="Z226" s="360">
        <f t="shared" si="645"/>
        <v>6.4900000000000011</v>
      </c>
      <c r="AA226" s="360">
        <f t="shared" si="645"/>
        <v>6.4900000000000011</v>
      </c>
      <c r="AB226" s="361">
        <f t="shared" si="645"/>
        <v>6.4900000000000011</v>
      </c>
      <c r="AC226" s="358">
        <f t="shared" si="645"/>
        <v>6.4900000000000011</v>
      </c>
      <c r="AD226" s="359">
        <f t="shared" si="645"/>
        <v>6.139000000000002</v>
      </c>
      <c r="AE226" s="360">
        <f t="shared" si="645"/>
        <v>6.139000000000002</v>
      </c>
      <c r="AF226" s="360">
        <f t="shared" si="645"/>
        <v>6.139000000000002</v>
      </c>
      <c r="AG226" s="361">
        <f t="shared" si="645"/>
        <v>6.139000000000002</v>
      </c>
      <c r="AH226" s="358">
        <f t="shared" si="645"/>
        <v>6.139000000000002</v>
      </c>
      <c r="AI226" s="359">
        <f t="shared" si="645"/>
        <v>6.4</v>
      </c>
      <c r="AJ226" s="360">
        <f t="shared" si="645"/>
        <v>6.4</v>
      </c>
      <c r="AK226" s="360">
        <f t="shared" si="645"/>
        <v>6.4</v>
      </c>
      <c r="AL226" s="361">
        <f t="shared" si="645"/>
        <v>6.4</v>
      </c>
      <c r="AM226" s="358">
        <f t="shared" si="645"/>
        <v>6.4</v>
      </c>
      <c r="AN226" s="359">
        <f t="shared" si="645"/>
        <v>6.4</v>
      </c>
      <c r="AO226" s="360">
        <f t="shared" si="645"/>
        <v>6.4</v>
      </c>
      <c r="AP226" s="360">
        <f t="shared" si="645"/>
        <v>6.4</v>
      </c>
      <c r="AQ226" s="361">
        <f t="shared" si="645"/>
        <v>6.4</v>
      </c>
      <c r="AR226" s="358">
        <f t="shared" si="645"/>
        <v>6.4</v>
      </c>
      <c r="AS226" s="359">
        <f t="shared" si="645"/>
        <v>1</v>
      </c>
      <c r="AT226" s="360">
        <f t="shared" si="645"/>
        <v>1</v>
      </c>
      <c r="AU226" s="360">
        <f t="shared" si="645"/>
        <v>1</v>
      </c>
      <c r="AV226" s="361">
        <f t="shared" si="645"/>
        <v>1</v>
      </c>
      <c r="AW226" s="358">
        <f t="shared" si="645"/>
        <v>1</v>
      </c>
      <c r="AX226" s="359">
        <f t="shared" si="645"/>
        <v>1</v>
      </c>
      <c r="AY226" s="360">
        <f t="shared" si="645"/>
        <v>1</v>
      </c>
      <c r="AZ226" s="360">
        <f t="shared" si="645"/>
        <v>1</v>
      </c>
      <c r="BA226" s="361">
        <f t="shared" si="645"/>
        <v>1</v>
      </c>
      <c r="BB226" s="358">
        <f t="shared" si="645"/>
        <v>1</v>
      </c>
      <c r="BC226" s="359">
        <f t="shared" si="645"/>
        <v>2</v>
      </c>
      <c r="BD226" s="360">
        <f t="shared" si="645"/>
        <v>2</v>
      </c>
      <c r="BE226" s="360">
        <f t="shared" si="645"/>
        <v>2</v>
      </c>
      <c r="BF226" s="361">
        <f t="shared" si="645"/>
        <v>2</v>
      </c>
      <c r="BG226" s="358">
        <f>+BG$200</f>
        <v>2</v>
      </c>
      <c r="BH226" s="359">
        <f t="shared" si="645"/>
        <v>2</v>
      </c>
      <c r="BI226" s="360">
        <f t="shared" si="645"/>
        <v>2</v>
      </c>
      <c r="BJ226" s="360">
        <f t="shared" si="645"/>
        <v>2</v>
      </c>
      <c r="BK226" s="361">
        <f t="shared" si="645"/>
        <v>2</v>
      </c>
      <c r="BL226" s="358">
        <f t="shared" si="645"/>
        <v>2</v>
      </c>
      <c r="BM226" s="359">
        <f t="shared" si="645"/>
        <v>4</v>
      </c>
      <c r="BN226" s="360">
        <f t="shared" si="645"/>
        <v>4</v>
      </c>
      <c r="BO226" s="360">
        <f t="shared" si="645"/>
        <v>4</v>
      </c>
      <c r="BP226" s="361">
        <f t="shared" si="645"/>
        <v>4</v>
      </c>
      <c r="BQ226" s="358">
        <f t="shared" si="645"/>
        <v>4</v>
      </c>
      <c r="BR226" s="358"/>
      <c r="BS226" s="1503"/>
      <c r="BT226" s="1503"/>
      <c r="BU226" s="1503"/>
      <c r="BV226" s="1503"/>
      <c r="BW226" s="1493"/>
      <c r="BX226"/>
      <c r="BY226"/>
      <c r="BZ226"/>
      <c r="CA226"/>
      <c r="CB226"/>
      <c r="CC226"/>
    </row>
    <row r="227" spans="1:81" s="19" customFormat="1">
      <c r="A227" s="108"/>
      <c r="B227" s="5"/>
      <c r="C227" s="1125"/>
      <c r="D227" s="5"/>
      <c r="E227" s="146"/>
      <c r="F227" s="7"/>
      <c r="G227" s="7"/>
      <c r="H227" s="147"/>
      <c r="I227" s="31"/>
      <c r="J227" s="146"/>
      <c r="K227" s="7"/>
      <c r="L227" s="7"/>
      <c r="M227" s="147"/>
      <c r="N227" s="5"/>
      <c r="O227" s="146"/>
      <c r="P227" s="7"/>
      <c r="Q227" s="7"/>
      <c r="R227" s="147"/>
      <c r="S227" s="5"/>
      <c r="T227" s="146"/>
      <c r="U227" s="7"/>
      <c r="V227" s="7"/>
      <c r="W227" s="147"/>
      <c r="X227" s="5"/>
      <c r="Y227" s="146"/>
      <c r="Z227" s="7"/>
      <c r="AA227" s="7"/>
      <c r="AB227" s="147"/>
      <c r="AC227" s="5"/>
      <c r="AD227" s="146"/>
      <c r="AE227" s="7"/>
      <c r="AF227" s="7"/>
      <c r="AG227" s="147"/>
      <c r="AH227" s="5"/>
      <c r="AI227" s="146"/>
      <c r="AJ227" s="7"/>
      <c r="AK227" s="7"/>
      <c r="AL227" s="147"/>
      <c r="AM227" s="5"/>
      <c r="AN227" s="146"/>
      <c r="AO227" s="7"/>
      <c r="AP227" s="7"/>
      <c r="AQ227" s="147"/>
      <c r="AR227" s="5"/>
      <c r="AS227" s="146"/>
      <c r="AT227" s="7"/>
      <c r="AU227" s="7"/>
      <c r="AV227" s="147"/>
      <c r="AW227" s="5"/>
      <c r="AX227" s="146"/>
      <c r="AY227" s="7"/>
      <c r="AZ227" s="7"/>
      <c r="BA227" s="147"/>
      <c r="BB227" s="5"/>
      <c r="BC227" s="146"/>
      <c r="BD227" s="7"/>
      <c r="BE227" s="7"/>
      <c r="BF227" s="147"/>
      <c r="BG227" s="5"/>
      <c r="BH227" s="146"/>
      <c r="BI227" s="7"/>
      <c r="BJ227" s="7"/>
      <c r="BK227" s="147"/>
      <c r="BL227" s="5"/>
      <c r="BM227" s="146"/>
      <c r="BN227" s="7"/>
      <c r="BO227" s="7"/>
      <c r="BP227" s="147"/>
      <c r="BQ227" s="5"/>
      <c r="BR227" s="5"/>
      <c r="BS227" s="1503"/>
      <c r="BT227" s="1503"/>
      <c r="BU227" s="1503"/>
      <c r="BV227" s="1503"/>
      <c r="BW227" s="1493"/>
      <c r="BX227"/>
      <c r="BY227"/>
      <c r="BZ227"/>
      <c r="CA227"/>
      <c r="CB227"/>
      <c r="CC227"/>
    </row>
    <row r="228" spans="1:81" s="19" customFormat="1">
      <c r="A228" s="108"/>
      <c r="B228" s="5"/>
      <c r="C228" s="1128" t="s">
        <v>553</v>
      </c>
      <c r="D228" s="36"/>
      <c r="E228" s="180"/>
      <c r="F228" s="181"/>
      <c r="G228" s="181"/>
      <c r="H228" s="182"/>
      <c r="I228" s="926">
        <v>2069</v>
      </c>
      <c r="J228" s="180"/>
      <c r="K228" s="181"/>
      <c r="L228" s="181"/>
      <c r="M228" s="182"/>
      <c r="N228" s="110"/>
      <c r="O228" s="180"/>
      <c r="P228" s="181"/>
      <c r="Q228" s="181"/>
      <c r="R228" s="182"/>
      <c r="S228" s="110"/>
      <c r="T228" s="180"/>
      <c r="U228" s="181"/>
      <c r="V228" s="181"/>
      <c r="W228" s="182"/>
      <c r="X228" s="110"/>
      <c r="Y228" s="180">
        <f>+I228</f>
        <v>2069</v>
      </c>
      <c r="Z228" s="181">
        <f>Y228</f>
        <v>2069</v>
      </c>
      <c r="AA228" s="181">
        <f t="shared" ref="AA228:AW228" si="646">Z228</f>
        <v>2069</v>
      </c>
      <c r="AB228" s="182">
        <f t="shared" si="646"/>
        <v>2069</v>
      </c>
      <c r="AC228" s="110">
        <f t="shared" si="646"/>
        <v>2069</v>
      </c>
      <c r="AD228" s="180">
        <f t="shared" si="646"/>
        <v>2069</v>
      </c>
      <c r="AE228" s="181">
        <f t="shared" si="646"/>
        <v>2069</v>
      </c>
      <c r="AF228" s="181">
        <f t="shared" si="646"/>
        <v>2069</v>
      </c>
      <c r="AG228" s="182">
        <f t="shared" si="646"/>
        <v>2069</v>
      </c>
      <c r="AH228" s="110">
        <f t="shared" si="646"/>
        <v>2069</v>
      </c>
      <c r="AI228" s="180">
        <f t="shared" si="646"/>
        <v>2069</v>
      </c>
      <c r="AJ228" s="181">
        <f t="shared" si="646"/>
        <v>2069</v>
      </c>
      <c r="AK228" s="181">
        <f t="shared" si="646"/>
        <v>2069</v>
      </c>
      <c r="AL228" s="182">
        <f t="shared" si="646"/>
        <v>2069</v>
      </c>
      <c r="AM228" s="110">
        <f t="shared" si="646"/>
        <v>2069</v>
      </c>
      <c r="AN228" s="180">
        <f t="shared" si="646"/>
        <v>2069</v>
      </c>
      <c r="AO228" s="181">
        <f t="shared" si="646"/>
        <v>2069</v>
      </c>
      <c r="AP228" s="181">
        <f t="shared" si="646"/>
        <v>2069</v>
      </c>
      <c r="AQ228" s="182">
        <f t="shared" si="646"/>
        <v>2069</v>
      </c>
      <c r="AR228" s="110">
        <f t="shared" si="646"/>
        <v>2069</v>
      </c>
      <c r="AS228" s="180">
        <f t="shared" si="646"/>
        <v>2069</v>
      </c>
      <c r="AT228" s="181">
        <f t="shared" si="646"/>
        <v>2069</v>
      </c>
      <c r="AU228" s="181">
        <f t="shared" ref="AU228" si="647">AT228</f>
        <v>2069</v>
      </c>
      <c r="AV228" s="182">
        <f t="shared" si="646"/>
        <v>2069</v>
      </c>
      <c r="AW228" s="110">
        <f t="shared" si="646"/>
        <v>2069</v>
      </c>
      <c r="AX228" s="180">
        <f t="shared" ref="AX228:BL228" si="648">AW228</f>
        <v>2069</v>
      </c>
      <c r="AY228" s="181">
        <f t="shared" si="648"/>
        <v>2069</v>
      </c>
      <c r="AZ228" s="181">
        <f t="shared" si="648"/>
        <v>2069</v>
      </c>
      <c r="BA228" s="182">
        <f t="shared" si="648"/>
        <v>2069</v>
      </c>
      <c r="BB228" s="110">
        <f t="shared" si="648"/>
        <v>2069</v>
      </c>
      <c r="BC228" s="180">
        <f t="shared" si="648"/>
        <v>2069</v>
      </c>
      <c r="BD228" s="181">
        <f t="shared" si="648"/>
        <v>2069</v>
      </c>
      <c r="BE228" s="181">
        <f t="shared" si="648"/>
        <v>2069</v>
      </c>
      <c r="BF228" s="182">
        <f t="shared" si="648"/>
        <v>2069</v>
      </c>
      <c r="BG228" s="110">
        <f t="shared" si="648"/>
        <v>2069</v>
      </c>
      <c r="BH228" s="180">
        <f t="shared" si="648"/>
        <v>2069</v>
      </c>
      <c r="BI228" s="181">
        <f>BJ228*2/3+BH228*1/3</f>
        <v>1379.3333333333333</v>
      </c>
      <c r="BJ228" s="181">
        <f>BH228*0.5</f>
        <v>1034.5</v>
      </c>
      <c r="BK228" s="182">
        <f t="shared" si="648"/>
        <v>1034.5</v>
      </c>
      <c r="BL228" s="110">
        <f t="shared" si="648"/>
        <v>1034.5</v>
      </c>
      <c r="BM228" s="180">
        <f t="shared" ref="BM228" si="649">BL228</f>
        <v>1034.5</v>
      </c>
      <c r="BN228" s="2034">
        <f>BM228*2/3</f>
        <v>689.66666666666663</v>
      </c>
      <c r="BO228" s="181">
        <v>0</v>
      </c>
      <c r="BP228" s="182">
        <f t="shared" ref="BP228" si="650">BO228</f>
        <v>0</v>
      </c>
      <c r="BQ228" s="110">
        <f t="shared" ref="BQ228" si="651">BP228</f>
        <v>0</v>
      </c>
      <c r="BR228" s="110"/>
      <c r="BS228" s="1503"/>
      <c r="BT228" s="1503"/>
      <c r="BU228" s="1503"/>
      <c r="BV228" s="1503"/>
      <c r="BW228" s="1493"/>
      <c r="BX228"/>
      <c r="BY228"/>
      <c r="BZ228"/>
      <c r="CA228"/>
      <c r="CB228"/>
      <c r="CC228"/>
    </row>
    <row r="229" spans="1:81" s="19" customFormat="1">
      <c r="A229" s="108"/>
      <c r="B229" s="5"/>
      <c r="C229" s="1125"/>
      <c r="D229" s="5"/>
      <c r="E229" s="146"/>
      <c r="F229" s="7"/>
      <c r="G229" s="7"/>
      <c r="H229" s="147"/>
      <c r="I229" s="31"/>
      <c r="J229" s="146"/>
      <c r="K229" s="7"/>
      <c r="L229" s="7"/>
      <c r="M229" s="147"/>
      <c r="N229" s="5"/>
      <c r="O229" s="146"/>
      <c r="P229" s="7"/>
      <c r="Q229" s="7"/>
      <c r="R229" s="147"/>
      <c r="S229" s="5"/>
      <c r="T229" s="146"/>
      <c r="U229" s="7"/>
      <c r="V229" s="7"/>
      <c r="W229" s="147"/>
      <c r="X229" s="5"/>
      <c r="Y229" s="146"/>
      <c r="Z229" s="7"/>
      <c r="AA229" s="7"/>
      <c r="AB229" s="147"/>
      <c r="AC229" s="5"/>
      <c r="AD229" s="146"/>
      <c r="AE229" s="7"/>
      <c r="AF229" s="7"/>
      <c r="AG229" s="147"/>
      <c r="AH229" s="5"/>
      <c r="AI229" s="146"/>
      <c r="AJ229" s="7"/>
      <c r="AK229" s="7"/>
      <c r="AL229" s="147"/>
      <c r="AM229" s="5"/>
      <c r="AN229" s="146"/>
      <c r="AO229" s="7"/>
      <c r="AP229" s="7"/>
      <c r="AQ229" s="147"/>
      <c r="AR229" s="5"/>
      <c r="AS229" s="146"/>
      <c r="AT229" s="7"/>
      <c r="AU229" s="7"/>
      <c r="AV229" s="147"/>
      <c r="AW229" s="5"/>
      <c r="AX229" s="146"/>
      <c r="AY229" s="7"/>
      <c r="AZ229" s="7"/>
      <c r="BA229" s="147"/>
      <c r="BB229" s="5"/>
      <c r="BC229" s="146"/>
      <c r="BD229" s="7"/>
      <c r="BE229" s="7"/>
      <c r="BF229" s="147"/>
      <c r="BG229" s="5"/>
      <c r="BH229" s="146"/>
      <c r="BI229" s="7"/>
      <c r="BJ229" s="7"/>
      <c r="BK229" s="147"/>
      <c r="BL229" s="5"/>
      <c r="BM229" s="146"/>
      <c r="BN229" s="7"/>
      <c r="BO229" s="7"/>
      <c r="BP229" s="147"/>
      <c r="BQ229" s="5"/>
      <c r="BR229" s="5"/>
      <c r="BS229" s="1503"/>
      <c r="BT229" s="1503"/>
      <c r="BU229" s="1503"/>
      <c r="BV229" s="1503"/>
      <c r="BW229" s="1493"/>
      <c r="BX229"/>
      <c r="BY229"/>
      <c r="BZ229"/>
      <c r="CA229"/>
      <c r="CB229"/>
      <c r="CC229"/>
    </row>
    <row r="230" spans="1:81" s="19" customFormat="1">
      <c r="A230" s="108"/>
      <c r="B230" s="5"/>
      <c r="C230" s="1127" t="s">
        <v>554</v>
      </c>
      <c r="D230" s="5"/>
      <c r="E230" s="146"/>
      <c r="F230" s="7"/>
      <c r="G230" s="7"/>
      <c r="H230" s="147"/>
      <c r="I230" s="1227">
        <f>+I217</f>
        <v>0.89</v>
      </c>
      <c r="J230" s="146"/>
      <c r="K230" s="7"/>
      <c r="L230" s="7"/>
      <c r="M230" s="147"/>
      <c r="N230" s="5"/>
      <c r="O230" s="146"/>
      <c r="P230" s="7"/>
      <c r="Q230" s="7"/>
      <c r="R230" s="147"/>
      <c r="S230" s="5"/>
      <c r="T230" s="920"/>
      <c r="U230" s="921"/>
      <c r="V230" s="921"/>
      <c r="W230" s="922"/>
      <c r="X230" s="923"/>
      <c r="Y230" s="920">
        <f>+I230</f>
        <v>0.89</v>
      </c>
      <c r="Z230" s="921">
        <f>+Y230</f>
        <v>0.89</v>
      </c>
      <c r="AA230" s="921">
        <f>+Z230</f>
        <v>0.89</v>
      </c>
      <c r="AB230" s="922">
        <f>+AA230</f>
        <v>0.89</v>
      </c>
      <c r="AC230" s="923">
        <f>IF(AVERAGE(Y228:AB228)=0,0,AC231/(AVERAGE(Y228:AB228)*8.76))</f>
        <v>0.89</v>
      </c>
      <c r="AD230" s="920">
        <f>+AB230</f>
        <v>0.89</v>
      </c>
      <c r="AE230" s="921">
        <f>+Z230</f>
        <v>0.89</v>
      </c>
      <c r="AF230" s="921">
        <f>+AA230</f>
        <v>0.89</v>
      </c>
      <c r="AG230" s="922">
        <f>+AB230</f>
        <v>0.89</v>
      </c>
      <c r="AH230" s="923">
        <f>IF(AVERAGE(AD228:AG228)=0,0,AH231/(AVERAGE(AD228:AG228)*8.76))</f>
        <v>0.89</v>
      </c>
      <c r="AI230" s="920">
        <f>+AG230</f>
        <v>0.89</v>
      </c>
      <c r="AJ230" s="921">
        <f>+AE230</f>
        <v>0.89</v>
      </c>
      <c r="AK230" s="921">
        <f>+AF230</f>
        <v>0.89</v>
      </c>
      <c r="AL230" s="922">
        <f>+AG230</f>
        <v>0.89</v>
      </c>
      <c r="AM230" s="923">
        <f>IF(AVERAGE(AI228:AL228)=0,0,AM231/(AVERAGE(AI228:AL228)*8.76))</f>
        <v>0.89</v>
      </c>
      <c r="AN230" s="1914">
        <v>0.93</v>
      </c>
      <c r="AO230" s="921">
        <f>AN230</f>
        <v>0.93</v>
      </c>
      <c r="AP230" s="921">
        <f t="shared" ref="AP230:AQ230" si="652">AO230</f>
        <v>0.93</v>
      </c>
      <c r="AQ230" s="922">
        <f t="shared" si="652"/>
        <v>0.93</v>
      </c>
      <c r="AR230" s="923">
        <f>IF(AVERAGE(AN228:AQ228)=0,0,AR231/(AVERAGE(AN228:AQ228)*8.76))</f>
        <v>0.93000000000000016</v>
      </c>
      <c r="AS230" s="1914">
        <f>I230</f>
        <v>0.89</v>
      </c>
      <c r="AT230" s="921">
        <f>AS230</f>
        <v>0.89</v>
      </c>
      <c r="AU230" s="921">
        <f t="shared" ref="AU230" si="653">AT230</f>
        <v>0.89</v>
      </c>
      <c r="AV230" s="922">
        <f>AU230</f>
        <v>0.89</v>
      </c>
      <c r="AW230" s="923">
        <f>IF(AVERAGE(AS228:AV228)=0,0,AW231/(AVERAGE(AS228:AV228)*8.76))</f>
        <v>0.89</v>
      </c>
      <c r="AX230" s="920">
        <f>+AV230</f>
        <v>0.89</v>
      </c>
      <c r="AY230" s="921">
        <f>+AT230</f>
        <v>0.89</v>
      </c>
      <c r="AZ230" s="921">
        <f>+AU230</f>
        <v>0.89</v>
      </c>
      <c r="BA230" s="922">
        <f>+AV230</f>
        <v>0.89</v>
      </c>
      <c r="BB230" s="923">
        <f>IF(AVERAGE(AX228:BA228)=0,0,BB231/(AVERAGE(AX228:BA228)*8.76))</f>
        <v>0.89</v>
      </c>
      <c r="BC230" s="1914">
        <v>0.85</v>
      </c>
      <c r="BD230" s="921">
        <f>BC230</f>
        <v>0.85</v>
      </c>
      <c r="BE230" s="921">
        <f>BD230</f>
        <v>0.85</v>
      </c>
      <c r="BF230" s="922">
        <f>BE230</f>
        <v>0.85</v>
      </c>
      <c r="BG230" s="923">
        <f>IF(AVERAGE(BC228:BF228)=0,0,BG231/(AVERAGE(BC228:BF228)*8.76))</f>
        <v>0.85</v>
      </c>
      <c r="BH230" s="920">
        <f>+BF230</f>
        <v>0.85</v>
      </c>
      <c r="BI230" s="921">
        <f>+BD230</f>
        <v>0.85</v>
      </c>
      <c r="BJ230" s="921">
        <f>+BE230</f>
        <v>0.85</v>
      </c>
      <c r="BK230" s="922">
        <f>+BF230</f>
        <v>0.85</v>
      </c>
      <c r="BL230" s="923">
        <f>IF(AVERAGE(BH228:BK228)=0,0,BL231/(AVERAGE(BH228:BK228)*8.76))</f>
        <v>0.85</v>
      </c>
      <c r="BM230" s="920">
        <f>+BK230</f>
        <v>0.85</v>
      </c>
      <c r="BN230" s="921">
        <f>+BI230</f>
        <v>0.85</v>
      </c>
      <c r="BO230" s="921">
        <f>+BJ230</f>
        <v>0.85</v>
      </c>
      <c r="BP230" s="922">
        <f>+BK230</f>
        <v>0.85</v>
      </c>
      <c r="BQ230" s="923">
        <f>IF(AVERAGE(BM228:BP228)=0,0,BQ231/(AVERAGE(BM228:BP228)*8.76))</f>
        <v>0.84999999999999987</v>
      </c>
      <c r="BR230" s="923"/>
      <c r="BS230" s="1503"/>
      <c r="BT230" s="1503"/>
      <c r="BU230" s="1503"/>
      <c r="BV230" s="1503"/>
      <c r="BW230" s="1493"/>
      <c r="BX230"/>
      <c r="BY230"/>
      <c r="BZ230"/>
      <c r="CA230"/>
      <c r="CB230"/>
      <c r="CC230"/>
    </row>
    <row r="231" spans="1:81" s="19" customFormat="1">
      <c r="A231" s="108"/>
      <c r="B231" s="5"/>
      <c r="C231" s="1128" t="s">
        <v>549</v>
      </c>
      <c r="D231" s="36"/>
      <c r="E231" s="122"/>
      <c r="F231" s="123"/>
      <c r="G231" s="123"/>
      <c r="H231" s="915"/>
      <c r="I231" s="36"/>
      <c r="J231" s="122"/>
      <c r="K231" s="123"/>
      <c r="L231" s="123"/>
      <c r="M231" s="915"/>
      <c r="N231" s="928"/>
      <c r="O231" s="122"/>
      <c r="P231" s="123"/>
      <c r="Q231" s="123"/>
      <c r="R231" s="915"/>
      <c r="S231" s="36"/>
      <c r="T231" s="200"/>
      <c r="U231" s="201"/>
      <c r="V231" s="201"/>
      <c r="W231" s="202"/>
      <c r="X231" s="86"/>
      <c r="Y231" s="200">
        <f>(Y228*Y230*(8760/1000))/4</f>
        <v>4032.6878999999999</v>
      </c>
      <c r="Z231" s="201">
        <f>(Z228*Z230*(8760/1000))/4</f>
        <v>4032.6878999999999</v>
      </c>
      <c r="AA231" s="201">
        <f>(AA228*AA230*(8760/1000))/4</f>
        <v>4032.6878999999999</v>
      </c>
      <c r="AB231" s="202">
        <f>(AB228*AB230*(8760/1000))/4</f>
        <v>4032.6878999999999</v>
      </c>
      <c r="AC231" s="86">
        <f>SUM(Y231:AB231)</f>
        <v>16130.7516</v>
      </c>
      <c r="AD231" s="200">
        <f>(AD228*AD230*(8760/1000))/4</f>
        <v>4032.6878999999999</v>
      </c>
      <c r="AE231" s="201">
        <f>(AE228*AE230*(8760/1000))/4</f>
        <v>4032.6878999999999</v>
      </c>
      <c r="AF231" s="201">
        <f>(AF228*AF230*(8760/1000))/4</f>
        <v>4032.6878999999999</v>
      </c>
      <c r="AG231" s="202">
        <f>(AG228*AG230*(8760/1000))/4</f>
        <v>4032.6878999999999</v>
      </c>
      <c r="AH231" s="86">
        <f>SUM(AD231:AG231)</f>
        <v>16130.7516</v>
      </c>
      <c r="AI231" s="200">
        <f>(AI228*AI230*(8760/1000))/4</f>
        <v>4032.6878999999999</v>
      </c>
      <c r="AJ231" s="201">
        <f>(AJ228*AJ230*(8760/1000))/4</f>
        <v>4032.6878999999999</v>
      </c>
      <c r="AK231" s="201">
        <f>(AK228*AK230*(8760/1000))/4</f>
        <v>4032.6878999999999</v>
      </c>
      <c r="AL231" s="202">
        <f>(AL228*AL230*(8760/1000))/4</f>
        <v>4032.6878999999999</v>
      </c>
      <c r="AM231" s="86">
        <f>SUM(AI231:AL231)</f>
        <v>16130.7516</v>
      </c>
      <c r="AN231" s="200">
        <f>(AN228*AN230*(8760/1000))/4</f>
        <v>4213.9323000000004</v>
      </c>
      <c r="AO231" s="201">
        <f>(AO228*AO230*(8760/1000))/4</f>
        <v>4213.9323000000004</v>
      </c>
      <c r="AP231" s="201">
        <f>(AP228*AP230*(8760/1000))/4</f>
        <v>4213.9323000000004</v>
      </c>
      <c r="AQ231" s="202">
        <f>(AQ228*AQ230*(8760/1000))/4</f>
        <v>4213.9323000000004</v>
      </c>
      <c r="AR231" s="86">
        <f>SUM(AN231:AQ231)</f>
        <v>16855.729200000002</v>
      </c>
      <c r="AS231" s="200">
        <f>(AS228*AS230*(8760/1000))/4</f>
        <v>4032.6878999999999</v>
      </c>
      <c r="AT231" s="201">
        <f>(AT228*AT230*(8760/1000))/4</f>
        <v>4032.6878999999999</v>
      </c>
      <c r="AU231" s="201">
        <f t="shared" ref="AU231" si="654">(AU228*AU230*(8760/1000))/4</f>
        <v>4032.6878999999999</v>
      </c>
      <c r="AV231" s="202">
        <f>(AV228*AV230*(8760/1000))/4</f>
        <v>4032.6878999999999</v>
      </c>
      <c r="AW231" s="86">
        <f>SUM(AS231:AV231)</f>
        <v>16130.7516</v>
      </c>
      <c r="AX231" s="200">
        <f>(AX228*AX230*(8760/1000))/4</f>
        <v>4032.6878999999999</v>
      </c>
      <c r="AY231" s="201">
        <f>(AY228*AY230*(8760/1000))/4</f>
        <v>4032.6878999999999</v>
      </c>
      <c r="AZ231" s="201">
        <f>(AZ228*AZ230*(8760/1000))/4</f>
        <v>4032.6878999999999</v>
      </c>
      <c r="BA231" s="202">
        <f>(BA228*BA230*(8760/1000))/4</f>
        <v>4032.6878999999999</v>
      </c>
      <c r="BB231" s="86">
        <f>SUM(AX231:BA231)</f>
        <v>16130.7516</v>
      </c>
      <c r="BC231" s="200">
        <f>(BC228*BC230*(8760/1000))/4</f>
        <v>3851.4434999999994</v>
      </c>
      <c r="BD231" s="201">
        <f>(BD228*BD230*(8760/1000))/4</f>
        <v>3851.4434999999994</v>
      </c>
      <c r="BE231" s="201">
        <f>(BE228*BE230*(8760/1000))/4</f>
        <v>3851.4434999999994</v>
      </c>
      <c r="BF231" s="202">
        <f>(BF228*BF230*(8760/1000))/4</f>
        <v>3851.4434999999994</v>
      </c>
      <c r="BG231" s="86">
        <f>SUM(BC231:BF231)</f>
        <v>15405.773999999998</v>
      </c>
      <c r="BH231" s="200">
        <f>(BH228*BH230*(8760/1000))/4</f>
        <v>3851.4434999999994</v>
      </c>
      <c r="BI231" s="201">
        <f>(BI228*BI230*(8760/1000))/4</f>
        <v>2567.6289999999995</v>
      </c>
      <c r="BJ231" s="201">
        <f>(BJ228*BJ230*(8760/1000))/4</f>
        <v>1925.7217499999997</v>
      </c>
      <c r="BK231" s="202">
        <f>(BK228*BK230*(8760/1000))/4</f>
        <v>1925.7217499999997</v>
      </c>
      <c r="BL231" s="86">
        <f>SUM(BH231:BK231)</f>
        <v>10270.516</v>
      </c>
      <c r="BM231" s="200">
        <f>(BM228*BM230*(8760/1000))/4</f>
        <v>1925.7217499999997</v>
      </c>
      <c r="BN231" s="201">
        <f>(BN228*BN230*(8760/1000))/4</f>
        <v>1283.8144999999997</v>
      </c>
      <c r="BO231" s="201">
        <f>(BO228*BO230*(8760/1000))/4</f>
        <v>0</v>
      </c>
      <c r="BP231" s="202">
        <f>(BP228*BP230*(8760/1000))/4</f>
        <v>0</v>
      </c>
      <c r="BQ231" s="86">
        <f>SUM(BM231:BP231)</f>
        <v>3209.5362499999992</v>
      </c>
      <c r="BR231" s="86"/>
      <c r="BS231" s="1503"/>
      <c r="BT231" s="1503"/>
      <c r="BU231" s="1503"/>
      <c r="BV231" s="1503"/>
      <c r="BW231" s="1493"/>
      <c r="BX231"/>
      <c r="BY231"/>
      <c r="BZ231"/>
      <c r="CA231"/>
      <c r="CB231"/>
      <c r="CC231"/>
    </row>
    <row r="232" spans="1:81" s="19" customFormat="1">
      <c r="A232" s="108"/>
      <c r="B232" s="5"/>
      <c r="C232" s="1128"/>
      <c r="D232" s="36"/>
      <c r="E232" s="122"/>
      <c r="F232" s="123"/>
      <c r="G232" s="123"/>
      <c r="H232" s="915"/>
      <c r="I232" s="36"/>
      <c r="J232" s="122"/>
      <c r="K232" s="123"/>
      <c r="L232" s="123"/>
      <c r="M232" s="915"/>
      <c r="N232" s="928"/>
      <c r="O232" s="122"/>
      <c r="P232" s="123"/>
      <c r="Q232" s="123"/>
      <c r="R232" s="915"/>
      <c r="S232" s="36"/>
      <c r="T232" s="200"/>
      <c r="U232" s="201"/>
      <c r="V232" s="201"/>
      <c r="W232" s="202"/>
      <c r="X232" s="86"/>
      <c r="Y232" s="200"/>
      <c r="Z232" s="201"/>
      <c r="AA232" s="201"/>
      <c r="AB232" s="202"/>
      <c r="AC232" s="86"/>
      <c r="AD232" s="200"/>
      <c r="AE232" s="201"/>
      <c r="AF232" s="201"/>
      <c r="AG232" s="202"/>
      <c r="AH232" s="86"/>
      <c r="AI232" s="200"/>
      <c r="AJ232" s="201"/>
      <c r="AK232" s="201"/>
      <c r="AL232" s="202"/>
      <c r="AM232" s="86"/>
      <c r="AN232" s="200"/>
      <c r="AO232" s="201"/>
      <c r="AP232" s="201"/>
      <c r="AQ232" s="202"/>
      <c r="AR232" s="86"/>
      <c r="AS232" s="200"/>
      <c r="AT232" s="201"/>
      <c r="AU232" s="201"/>
      <c r="AV232" s="202"/>
      <c r="AW232" s="86"/>
      <c r="AX232" s="200"/>
      <c r="AY232" s="201"/>
      <c r="AZ232" s="201"/>
      <c r="BA232" s="202"/>
      <c r="BB232" s="86"/>
      <c r="BC232" s="200"/>
      <c r="BD232" s="201"/>
      <c r="BE232" s="201"/>
      <c r="BF232" s="202"/>
      <c r="BG232" s="86"/>
      <c r="BH232" s="200"/>
      <c r="BI232" s="201"/>
      <c r="BJ232" s="201"/>
      <c r="BK232" s="202"/>
      <c r="BL232" s="86"/>
      <c r="BM232" s="200"/>
      <c r="BN232" s="201"/>
      <c r="BO232" s="201"/>
      <c r="BP232" s="202"/>
      <c r="BQ232" s="86"/>
      <c r="BR232" s="86"/>
      <c r="BS232" s="1503"/>
      <c r="BT232" s="1503"/>
      <c r="BU232" s="1503"/>
      <c r="BV232" s="1503"/>
      <c r="BW232" s="1493"/>
      <c r="BX232"/>
      <c r="BY232"/>
      <c r="BZ232"/>
      <c r="CA232"/>
      <c r="CB232"/>
      <c r="CC232"/>
    </row>
    <row r="233" spans="1:81" s="19" customFormat="1">
      <c r="A233" s="108"/>
      <c r="B233" s="5"/>
      <c r="C233" s="1127" t="s">
        <v>546</v>
      </c>
      <c r="D233" s="5"/>
      <c r="E233" s="146"/>
      <c r="F233" s="7"/>
      <c r="G233" s="7"/>
      <c r="H233" s="147"/>
      <c r="I233" s="31"/>
      <c r="J233" s="146"/>
      <c r="K233" s="7"/>
      <c r="L233" s="7"/>
      <c r="M233" s="147"/>
      <c r="N233" s="5"/>
      <c r="O233" s="146"/>
      <c r="P233" s="7"/>
      <c r="Q233" s="7"/>
      <c r="R233" s="147"/>
      <c r="S233" s="5"/>
      <c r="T233" s="885"/>
      <c r="U233" s="886"/>
      <c r="V233" s="886"/>
      <c r="W233" s="887"/>
      <c r="X233" s="832"/>
      <c r="Y233" s="885">
        <f>(Y225/1000*Y231)</f>
        <v>257.91805592407593</v>
      </c>
      <c r="Z233" s="886">
        <f>(Z225/1000*Z231)</f>
        <v>161.61680728806834</v>
      </c>
      <c r="AA233" s="886">
        <f>(AA225/1000*AA231)</f>
        <v>187.65486592362083</v>
      </c>
      <c r="AB233" s="887">
        <f>(AB225/1000*AB231)</f>
        <v>172.45214761068317</v>
      </c>
      <c r="AC233" s="832">
        <f>SUM(Y233:AB233)</f>
        <v>779.64187674644825</v>
      </c>
      <c r="AD233" s="885">
        <f>(AD225/1000*AD231)</f>
        <v>498.65010054522719</v>
      </c>
      <c r="AE233" s="886">
        <f>(AE225/1000*AE231)</f>
        <v>151.5976862931507</v>
      </c>
      <c r="AF233" s="886">
        <f>(AF225/1000*AF231)</f>
        <v>131.93261116695348</v>
      </c>
      <c r="AG233" s="887">
        <f>(AG225/1000*AG231)</f>
        <v>136.22316594213618</v>
      </c>
      <c r="AH233" s="832">
        <f>SUM(AD233:AG233)</f>
        <v>918.40356394746755</v>
      </c>
      <c r="AI233" s="885">
        <f>(AI225/1000*AI231)</f>
        <v>273.75447522961747</v>
      </c>
      <c r="AJ233" s="886">
        <f>(AJ225/1000*AJ231)</f>
        <v>103.06408528241077</v>
      </c>
      <c r="AK233" s="886">
        <f>(AK225/1000*AK231)</f>
        <v>120.34213852809455</v>
      </c>
      <c r="AL233" s="887">
        <f>(AL225/1000*AL231)</f>
        <v>88.808632746603877</v>
      </c>
      <c r="AM233" s="832">
        <f>SUM(AI233:AL233)</f>
        <v>585.96933178672668</v>
      </c>
      <c r="AN233" s="885">
        <f>(AN225/1000*AN231)</f>
        <v>99.132839344313894</v>
      </c>
      <c r="AO233" s="886">
        <f>(AO225/1000*AO231)</f>
        <v>99.132839344313894</v>
      </c>
      <c r="AP233" s="886">
        <f>(AP225/1000*AP231)</f>
        <v>127.00387583100179</v>
      </c>
      <c r="AQ233" s="887">
        <f>(AQ225/1000*AQ231)</f>
        <v>127.00387583100179</v>
      </c>
      <c r="AR233" s="832">
        <f>SUM(AN233:AQ233)</f>
        <v>452.27343035063137</v>
      </c>
      <c r="AS233" s="885">
        <f>(AS225/1000*AS231)</f>
        <v>129.08154683643201</v>
      </c>
      <c r="AT233" s="886">
        <f>(AT225/1000*AT231)</f>
        <v>108.98351591312429</v>
      </c>
      <c r="AU233" s="886">
        <f t="shared" ref="AU233" si="655">(AU225/1000*AU231)</f>
        <v>103.45330858355092</v>
      </c>
      <c r="AV233" s="887">
        <f>(AV225/1000*AV231)</f>
        <v>140.81479806265392</v>
      </c>
      <c r="AW233" s="832">
        <f>SUM(AS233:AV233)</f>
        <v>482.33316939576116</v>
      </c>
      <c r="AX233" s="885">
        <f>(AX225/1000*AX231)</f>
        <v>190.9683460075403</v>
      </c>
      <c r="AY233" s="886">
        <f>(AY225/1000*AY231)</f>
        <v>152.005449244</v>
      </c>
      <c r="AZ233" s="886">
        <f>(AZ225/1000*AZ231)</f>
        <v>124.984760027375</v>
      </c>
      <c r="BA233" s="887">
        <f>(BA225/1000*BA231)</f>
        <v>168.59827966587503</v>
      </c>
      <c r="BB233" s="832">
        <f>SUM(AX233:BA233)</f>
        <v>636.55683494479035</v>
      </c>
      <c r="BC233" s="885">
        <f>(BC225/1000*BC231)</f>
        <v>269.02018556621795</v>
      </c>
      <c r="BD233" s="886">
        <f>(BD225/1000*BD231)</f>
        <v>141.56573545157318</v>
      </c>
      <c r="BE233" s="886">
        <f>(BE225/1000*BE231)</f>
        <v>114.56668939889252</v>
      </c>
      <c r="BF233" s="887">
        <f>(BF225/1000*BF231)</f>
        <v>112.58538459354753</v>
      </c>
      <c r="BG233" s="832">
        <f>SUM(BC233:BF233)</f>
        <v>637.73799501023109</v>
      </c>
      <c r="BH233" s="885">
        <f>(BH225/1000*BH231)</f>
        <v>272.01064402262779</v>
      </c>
      <c r="BI233" s="886">
        <f>(BI225/1000*BI231)</f>
        <v>95.402587420906158</v>
      </c>
      <c r="BJ233" s="886">
        <f>(BJ225/1000*BJ231)</f>
        <v>57.902878250926889</v>
      </c>
      <c r="BK233" s="887">
        <f>(BK225/1000*BK231)</f>
        <v>56.913703962190986</v>
      </c>
      <c r="BL233" s="832">
        <f>SUM(BH233:BK233)</f>
        <v>482.22981365665186</v>
      </c>
      <c r="BM233" s="885">
        <f>(BM225/1000*BM231)</f>
        <v>67.656935158892864</v>
      </c>
      <c r="BN233" s="886">
        <f>(BN225/1000*BN231)</f>
        <v>45.104623439261907</v>
      </c>
      <c r="BO233" s="886">
        <f>(BO225/1000*BO231)</f>
        <v>0</v>
      </c>
      <c r="BP233" s="887">
        <f>(BP225/1000*BP231)</f>
        <v>0</v>
      </c>
      <c r="BQ233" s="832">
        <f>SUM(BM233:BP233)</f>
        <v>112.76155859815478</v>
      </c>
      <c r="BR233" s="832"/>
      <c r="BS233" s="1503"/>
      <c r="BT233" s="1503"/>
      <c r="BU233" s="1503"/>
      <c r="BV233" s="1503"/>
      <c r="BW233" s="1493"/>
      <c r="BX233"/>
      <c r="BY233"/>
      <c r="BZ233"/>
      <c r="CA233"/>
      <c r="CB233"/>
      <c r="CC233"/>
    </row>
    <row r="234" spans="1:81" s="19" customFormat="1">
      <c r="A234" s="108"/>
      <c r="B234" s="5"/>
      <c r="C234" s="1127" t="s">
        <v>633</v>
      </c>
      <c r="D234" s="5"/>
      <c r="E234" s="146"/>
      <c r="F234" s="7"/>
      <c r="G234" s="7"/>
      <c r="H234" s="147"/>
      <c r="I234" s="31"/>
      <c r="J234" s="146"/>
      <c r="K234" s="7"/>
      <c r="L234" s="7"/>
      <c r="M234" s="147"/>
      <c r="N234" s="5"/>
      <c r="O234" s="146"/>
      <c r="P234" s="7"/>
      <c r="Q234" s="7"/>
      <c r="R234" s="147"/>
      <c r="S234" s="5"/>
      <c r="T234" s="885"/>
      <c r="U234" s="886"/>
      <c r="V234" s="886"/>
      <c r="W234" s="887"/>
      <c r="X234" s="832"/>
      <c r="Y234" s="885">
        <f>Y226/1000*Y231</f>
        <v>26.172144471000003</v>
      </c>
      <c r="Z234" s="886">
        <f>Z226/1000*Z231</f>
        <v>26.172144471000003</v>
      </c>
      <c r="AA234" s="886">
        <f>AA226/1000*AA231</f>
        <v>26.172144471000003</v>
      </c>
      <c r="AB234" s="887">
        <f>AB226/1000*AB231</f>
        <v>26.172144471000003</v>
      </c>
      <c r="AC234" s="832">
        <f>SUM(Y234:AB234)</f>
        <v>104.68857788400001</v>
      </c>
      <c r="AD234" s="885">
        <f>AD226/1000*AD231</f>
        <v>24.756671018100008</v>
      </c>
      <c r="AE234" s="886">
        <f>AE226/1000*AE231</f>
        <v>24.756671018100008</v>
      </c>
      <c r="AF234" s="886">
        <f>AF226/1000*AF231</f>
        <v>24.756671018100008</v>
      </c>
      <c r="AG234" s="887">
        <f>AG226/1000*AG231</f>
        <v>24.756671018100008</v>
      </c>
      <c r="AH234" s="832">
        <f>SUM(AD234:AG234)</f>
        <v>99.02668407240003</v>
      </c>
      <c r="AI234" s="885">
        <f>AI226/1000*AI231</f>
        <v>25.809202559999999</v>
      </c>
      <c r="AJ234" s="886">
        <f>AJ226/1000*AJ231</f>
        <v>25.809202559999999</v>
      </c>
      <c r="AK234" s="886">
        <f>AK226/1000*AK231</f>
        <v>25.809202559999999</v>
      </c>
      <c r="AL234" s="887">
        <f>AL226/1000*AL231</f>
        <v>25.809202559999999</v>
      </c>
      <c r="AM234" s="832">
        <f>SUM(AI234:AL234)</f>
        <v>103.23681024</v>
      </c>
      <c r="AN234" s="885">
        <f>AN226/1000*AN231</f>
        <v>26.969166720000004</v>
      </c>
      <c r="AO234" s="886">
        <f>AO226/1000*AO231</f>
        <v>26.969166720000004</v>
      </c>
      <c r="AP234" s="886">
        <f>AP226/1000*AP231</f>
        <v>26.969166720000004</v>
      </c>
      <c r="AQ234" s="887">
        <f>AQ226/1000*AQ231</f>
        <v>26.969166720000004</v>
      </c>
      <c r="AR234" s="832">
        <f>SUM(AN234:AQ234)</f>
        <v>107.87666688000002</v>
      </c>
      <c r="AS234" s="885">
        <f>AS226/1000*AS231</f>
        <v>4.0326879</v>
      </c>
      <c r="AT234" s="886">
        <f>AT226/1000*AT231</f>
        <v>4.0326879</v>
      </c>
      <c r="AU234" s="886">
        <f t="shared" ref="AU234" si="656">AU226/1000*AU231</f>
        <v>4.0326879</v>
      </c>
      <c r="AV234" s="887">
        <f>AV226/1000*AV231</f>
        <v>4.0326879</v>
      </c>
      <c r="AW234" s="832">
        <f>SUM(AS234:AV234)</f>
        <v>16.1307516</v>
      </c>
      <c r="AX234" s="885">
        <f>AX226/1000*AX231</f>
        <v>4.0326879</v>
      </c>
      <c r="AY234" s="886">
        <f>AY226/1000*AY231</f>
        <v>4.0326879</v>
      </c>
      <c r="AZ234" s="886">
        <f>AZ226/1000*AZ231</f>
        <v>4.0326879</v>
      </c>
      <c r="BA234" s="887">
        <f>BA226/1000*BA231</f>
        <v>4.0326879</v>
      </c>
      <c r="BB234" s="832">
        <f>SUM(AX234:BA234)</f>
        <v>16.1307516</v>
      </c>
      <c r="BC234" s="885">
        <f>BC226/1000*BC231</f>
        <v>7.7028869999999987</v>
      </c>
      <c r="BD234" s="886">
        <f>BD226/1000*BD231</f>
        <v>7.7028869999999987</v>
      </c>
      <c r="BE234" s="886">
        <f>BE226/1000*BE231</f>
        <v>7.7028869999999987</v>
      </c>
      <c r="BF234" s="887">
        <f>BF226/1000*BF231</f>
        <v>7.7028869999999987</v>
      </c>
      <c r="BG234" s="832">
        <f>SUM(BC234:BF234)</f>
        <v>30.811547999999995</v>
      </c>
      <c r="BH234" s="885">
        <f>BH226/1000*BH231</f>
        <v>7.7028869999999987</v>
      </c>
      <c r="BI234" s="886">
        <f>BI226/1000*BI231</f>
        <v>5.1352579999999994</v>
      </c>
      <c r="BJ234" s="886">
        <f>BJ226/1000*BJ231</f>
        <v>3.8514434999999994</v>
      </c>
      <c r="BK234" s="887">
        <f>BK226/1000*BK231</f>
        <v>3.8514434999999994</v>
      </c>
      <c r="BL234" s="832">
        <f>SUM(BH234:BK234)</f>
        <v>20.541031999999994</v>
      </c>
      <c r="BM234" s="885">
        <f>BM226/1000*BM231</f>
        <v>7.7028869999999987</v>
      </c>
      <c r="BN234" s="886">
        <f>BN226/1000*BN231</f>
        <v>5.1352579999999994</v>
      </c>
      <c r="BO234" s="886">
        <f>BO226/1000*BO231</f>
        <v>0</v>
      </c>
      <c r="BP234" s="887">
        <f>BP226/1000*BP231</f>
        <v>0</v>
      </c>
      <c r="BQ234" s="832">
        <f>SUM(BM234:BP234)</f>
        <v>12.838144999999997</v>
      </c>
      <c r="BR234" s="832"/>
      <c r="BS234" s="1503"/>
      <c r="BT234" s="1503"/>
      <c r="BU234" s="1503"/>
      <c r="BV234" s="1503"/>
      <c r="BW234" s="1493"/>
      <c r="BX234"/>
      <c r="BY234"/>
      <c r="BZ234"/>
      <c r="CA234"/>
      <c r="CB234"/>
      <c r="CC234"/>
    </row>
    <row r="235" spans="1:81" s="19" customFormat="1">
      <c r="A235" s="108"/>
      <c r="B235" s="5"/>
      <c r="C235" s="1128" t="s">
        <v>547</v>
      </c>
      <c r="D235" s="36"/>
      <c r="E235" s="122"/>
      <c r="F235" s="123"/>
      <c r="G235" s="123"/>
      <c r="H235" s="915"/>
      <c r="I235" s="31"/>
      <c r="J235" s="122"/>
      <c r="K235" s="123"/>
      <c r="L235" s="123"/>
      <c r="M235" s="915"/>
      <c r="N235" s="36"/>
      <c r="O235" s="122"/>
      <c r="P235" s="123"/>
      <c r="Q235" s="123"/>
      <c r="R235" s="915"/>
      <c r="S235" s="36"/>
      <c r="T235" s="180"/>
      <c r="U235" s="181"/>
      <c r="V235" s="181"/>
      <c r="W235" s="182"/>
      <c r="X235" s="110"/>
      <c r="Y235" s="180">
        <f t="shared" ref="Y235:AR235" si="657">Y233-Y234</f>
        <v>231.74591145307593</v>
      </c>
      <c r="Z235" s="181">
        <f t="shared" si="657"/>
        <v>135.44466281706835</v>
      </c>
      <c r="AA235" s="181">
        <f t="shared" si="657"/>
        <v>161.48272145262084</v>
      </c>
      <c r="AB235" s="182">
        <f t="shared" si="657"/>
        <v>146.28000313968317</v>
      </c>
      <c r="AC235" s="110">
        <f t="shared" si="657"/>
        <v>674.95329886244826</v>
      </c>
      <c r="AD235" s="180">
        <f t="shared" si="657"/>
        <v>473.89342952712718</v>
      </c>
      <c r="AE235" s="181">
        <f t="shared" si="657"/>
        <v>126.84101527505069</v>
      </c>
      <c r="AF235" s="181">
        <f t="shared" si="657"/>
        <v>107.17594014885347</v>
      </c>
      <c r="AG235" s="182">
        <f t="shared" si="657"/>
        <v>111.46649492403617</v>
      </c>
      <c r="AH235" s="110">
        <f t="shared" si="657"/>
        <v>819.37687987506752</v>
      </c>
      <c r="AI235" s="180">
        <f t="shared" si="657"/>
        <v>247.94527266961748</v>
      </c>
      <c r="AJ235" s="181">
        <f t="shared" si="657"/>
        <v>77.25488272241077</v>
      </c>
      <c r="AK235" s="181">
        <f t="shared" si="657"/>
        <v>94.532935968094549</v>
      </c>
      <c r="AL235" s="182">
        <f t="shared" si="657"/>
        <v>62.999430186603874</v>
      </c>
      <c r="AM235" s="110">
        <f t="shared" si="657"/>
        <v>482.73252154672667</v>
      </c>
      <c r="AN235" s="180">
        <f t="shared" ref="AN235" si="658">AN233-AN234</f>
        <v>72.16367262431389</v>
      </c>
      <c r="AO235" s="181">
        <f t="shared" si="657"/>
        <v>72.16367262431389</v>
      </c>
      <c r="AP235" s="181">
        <f t="shared" si="657"/>
        <v>100.03470911100179</v>
      </c>
      <c r="AQ235" s="182">
        <f t="shared" si="657"/>
        <v>100.03470911100179</v>
      </c>
      <c r="AR235" s="110">
        <f t="shared" si="657"/>
        <v>344.39676347063136</v>
      </c>
      <c r="AS235" s="180">
        <f t="shared" ref="AS235:BB235" si="659">AS233-AS234</f>
        <v>125.04885893643201</v>
      </c>
      <c r="AT235" s="181">
        <f t="shared" si="659"/>
        <v>104.95082801312429</v>
      </c>
      <c r="AU235" s="181">
        <f t="shared" ref="AU235" si="660">AU233-AU234</f>
        <v>99.420620683550922</v>
      </c>
      <c r="AV235" s="182">
        <f t="shared" si="659"/>
        <v>136.78211016265391</v>
      </c>
      <c r="AW235" s="110">
        <f t="shared" si="659"/>
        <v>466.20241779576116</v>
      </c>
      <c r="AX235" s="180">
        <f t="shared" si="659"/>
        <v>186.93565810754029</v>
      </c>
      <c r="AY235" s="181">
        <f t="shared" si="659"/>
        <v>147.97276134399999</v>
      </c>
      <c r="AZ235" s="181">
        <f t="shared" si="659"/>
        <v>120.952072127375</v>
      </c>
      <c r="BA235" s="182">
        <f t="shared" si="659"/>
        <v>164.56559176587501</v>
      </c>
      <c r="BB235" s="110">
        <f t="shared" si="659"/>
        <v>620.4260833447903</v>
      </c>
      <c r="BC235" s="180">
        <f t="shared" ref="BC235:BL235" si="661">BC233-BC234</f>
        <v>261.31729856621797</v>
      </c>
      <c r="BD235" s="181">
        <f t="shared" si="661"/>
        <v>133.86284845157317</v>
      </c>
      <c r="BE235" s="181">
        <f t="shared" si="661"/>
        <v>106.86380239889252</v>
      </c>
      <c r="BF235" s="182">
        <f t="shared" si="661"/>
        <v>104.88249759354753</v>
      </c>
      <c r="BG235" s="110">
        <f t="shared" si="661"/>
        <v>606.92644701023107</v>
      </c>
      <c r="BH235" s="180">
        <f t="shared" si="661"/>
        <v>264.30775702262781</v>
      </c>
      <c r="BI235" s="181">
        <f t="shared" si="661"/>
        <v>90.267329420906165</v>
      </c>
      <c r="BJ235" s="181">
        <f t="shared" si="661"/>
        <v>54.051434750926887</v>
      </c>
      <c r="BK235" s="182">
        <f t="shared" si="661"/>
        <v>53.062260462190984</v>
      </c>
      <c r="BL235" s="110">
        <f t="shared" si="661"/>
        <v>461.68878165665188</v>
      </c>
      <c r="BM235" s="180">
        <f t="shared" ref="BM235:BQ235" si="662">BM233-BM234</f>
        <v>59.954048158892867</v>
      </c>
      <c r="BN235" s="181">
        <f t="shared" si="662"/>
        <v>39.969365439261907</v>
      </c>
      <c r="BO235" s="181">
        <f t="shared" si="662"/>
        <v>0</v>
      </c>
      <c r="BP235" s="182">
        <f t="shared" si="662"/>
        <v>0</v>
      </c>
      <c r="BQ235" s="110">
        <f t="shared" si="662"/>
        <v>99.923413598154781</v>
      </c>
      <c r="BR235" s="110"/>
      <c r="BS235" s="1503"/>
      <c r="BT235" s="1503"/>
      <c r="BU235" s="1503"/>
      <c r="BV235" s="1503"/>
      <c r="BW235" s="1493"/>
      <c r="BX235"/>
      <c r="BY235"/>
      <c r="BZ235"/>
      <c r="CA235"/>
      <c r="CB235"/>
      <c r="CC235"/>
    </row>
    <row r="236" spans="1:81" s="19" customFormat="1">
      <c r="A236" s="108"/>
      <c r="B236" s="5"/>
      <c r="C236" s="1128"/>
      <c r="D236" s="36"/>
      <c r="E236" s="122"/>
      <c r="F236" s="123"/>
      <c r="G236" s="123"/>
      <c r="H236" s="915"/>
      <c r="I236" s="36"/>
      <c r="J236" s="122"/>
      <c r="K236" s="123"/>
      <c r="L236" s="123"/>
      <c r="M236" s="915"/>
      <c r="N236" s="928"/>
      <c r="O236" s="122"/>
      <c r="P236" s="123"/>
      <c r="Q236" s="123"/>
      <c r="R236" s="915"/>
      <c r="S236" s="36"/>
      <c r="T236" s="200"/>
      <c r="U236" s="201"/>
      <c r="V236" s="201"/>
      <c r="W236" s="202"/>
      <c r="X236" s="86"/>
      <c r="Y236" s="200"/>
      <c r="Z236" s="201"/>
      <c r="AA236" s="201"/>
      <c r="AB236" s="202"/>
      <c r="AC236" s="86"/>
      <c r="AD236" s="200"/>
      <c r="AE236" s="201"/>
      <c r="AF236" s="201"/>
      <c r="AG236" s="202"/>
      <c r="AH236" s="86"/>
      <c r="AI236" s="200"/>
      <c r="AJ236" s="201"/>
      <c r="AK236" s="201"/>
      <c r="AL236" s="202"/>
      <c r="AM236" s="86"/>
      <c r="AN236" s="200"/>
      <c r="AO236" s="201"/>
      <c r="AP236" s="201"/>
      <c r="AQ236" s="202"/>
      <c r="AR236" s="86"/>
      <c r="AS236" s="200"/>
      <c r="AT236" s="201"/>
      <c r="AU236" s="201"/>
      <c r="AV236" s="202"/>
      <c r="AW236" s="86"/>
      <c r="AX236" s="200"/>
      <c r="AY236" s="201"/>
      <c r="AZ236" s="201"/>
      <c r="BA236" s="202"/>
      <c r="BB236" s="86"/>
      <c r="BC236" s="200"/>
      <c r="BD236" s="201"/>
      <c r="BE236" s="201"/>
      <c r="BF236" s="202"/>
      <c r="BG236" s="86"/>
      <c r="BH236" s="200"/>
      <c r="BI236" s="201"/>
      <c r="BJ236" s="201"/>
      <c r="BK236" s="202"/>
      <c r="BL236" s="86"/>
      <c r="BM236" s="200"/>
      <c r="BN236" s="201"/>
      <c r="BO236" s="201"/>
      <c r="BP236" s="202"/>
      <c r="BQ236" s="86"/>
      <c r="BR236" s="86"/>
      <c r="BS236" s="1503"/>
      <c r="BT236" s="1503"/>
      <c r="BU236" s="1503"/>
      <c r="BV236" s="1503"/>
      <c r="BW236" s="1493"/>
      <c r="BX236"/>
      <c r="BY236"/>
      <c r="BZ236"/>
      <c r="CA236"/>
      <c r="CB236"/>
      <c r="CC236"/>
    </row>
    <row r="237" spans="1:81" s="19" customFormat="1">
      <c r="A237" s="108"/>
      <c r="B237" s="5"/>
      <c r="C237" s="1125"/>
      <c r="D237" s="5"/>
      <c r="E237" s="146"/>
      <c r="F237" s="7"/>
      <c r="G237" s="7"/>
      <c r="H237" s="147"/>
      <c r="I237" s="31"/>
      <c r="J237" s="146"/>
      <c r="K237" s="7"/>
      <c r="L237" s="7"/>
      <c r="M237" s="147"/>
      <c r="N237" s="5"/>
      <c r="O237" s="146"/>
      <c r="P237" s="7"/>
      <c r="Q237" s="7"/>
      <c r="R237" s="147"/>
      <c r="S237" s="5"/>
      <c r="T237" s="146"/>
      <c r="U237" s="7"/>
      <c r="V237" s="7"/>
      <c r="W237" s="147"/>
      <c r="X237" s="5"/>
      <c r="Y237" s="146"/>
      <c r="Z237" s="7"/>
      <c r="AA237" s="7"/>
      <c r="AB237" s="147"/>
      <c r="AC237" s="5"/>
      <c r="AD237" s="146"/>
      <c r="AE237" s="7"/>
      <c r="AF237" s="7"/>
      <c r="AG237" s="147"/>
      <c r="AH237" s="5"/>
      <c r="AI237" s="146"/>
      <c r="AJ237" s="7"/>
      <c r="AK237" s="7"/>
      <c r="AL237" s="147"/>
      <c r="AM237" s="5"/>
      <c r="AN237" s="146"/>
      <c r="AO237" s="7"/>
      <c r="AP237" s="7"/>
      <c r="AQ237" s="147"/>
      <c r="AR237" s="5"/>
      <c r="AS237" s="146"/>
      <c r="AT237" s="7"/>
      <c r="AU237" s="7"/>
      <c r="AV237" s="147"/>
      <c r="AW237" s="5"/>
      <c r="AX237" s="146"/>
      <c r="AY237" s="7"/>
      <c r="AZ237" s="7"/>
      <c r="BA237" s="147"/>
      <c r="BB237" s="5"/>
      <c r="BC237" s="146"/>
      <c r="BD237" s="7"/>
      <c r="BE237" s="7"/>
      <c r="BF237" s="147"/>
      <c r="BG237" s="5"/>
      <c r="BH237" s="146"/>
      <c r="BI237" s="7"/>
      <c r="BJ237" s="7"/>
      <c r="BK237" s="147"/>
      <c r="BL237" s="5"/>
      <c r="BM237" s="146"/>
      <c r="BN237" s="7"/>
      <c r="BO237" s="7"/>
      <c r="BP237" s="147"/>
      <c r="BQ237" s="5"/>
      <c r="BR237" s="5"/>
      <c r="BS237" s="1503"/>
      <c r="BT237" s="1503"/>
      <c r="BU237" s="1503"/>
      <c r="BV237" s="1503"/>
      <c r="BW237" s="1493"/>
      <c r="BX237"/>
      <c r="BY237"/>
      <c r="BZ237"/>
      <c r="CA237"/>
      <c r="CB237"/>
      <c r="CC237"/>
    </row>
    <row r="238" spans="1:81" s="19" customFormat="1">
      <c r="A238" s="108"/>
      <c r="B238" s="5"/>
      <c r="C238" s="1154" t="s">
        <v>834</v>
      </c>
      <c r="D238" s="5"/>
      <c r="E238" s="146"/>
      <c r="F238" s="7"/>
      <c r="G238" s="7"/>
      <c r="H238" s="147"/>
      <c r="I238" s="31"/>
      <c r="J238" s="146"/>
      <c r="K238" s="7"/>
      <c r="L238" s="7"/>
      <c r="M238" s="147"/>
      <c r="N238" s="5"/>
      <c r="O238" s="146"/>
      <c r="P238" s="7"/>
      <c r="Q238" s="7"/>
      <c r="R238" s="147"/>
      <c r="S238" s="5"/>
      <c r="T238" s="146"/>
      <c r="U238" s="7"/>
      <c r="V238" s="7"/>
      <c r="W238" s="147"/>
      <c r="X238" s="5"/>
      <c r="Y238" s="146"/>
      <c r="Z238" s="7"/>
      <c r="AA238" s="7"/>
      <c r="AB238" s="147"/>
      <c r="AC238" s="5"/>
      <c r="AD238" s="146"/>
      <c r="AE238" s="7"/>
      <c r="AF238" s="7"/>
      <c r="AG238" s="147"/>
      <c r="AH238" s="5"/>
      <c r="AI238" s="146"/>
      <c r="AJ238" s="7"/>
      <c r="AK238" s="7"/>
      <c r="AL238" s="147"/>
      <c r="AM238" s="5"/>
      <c r="AN238" s="146"/>
      <c r="AO238" s="7"/>
      <c r="AP238" s="7"/>
      <c r="AQ238" s="147"/>
      <c r="AR238" s="5"/>
      <c r="AS238" s="146"/>
      <c r="AT238" s="7"/>
      <c r="AU238" s="7"/>
      <c r="AV238" s="147"/>
      <c r="AW238" s="320"/>
      <c r="AX238" s="146"/>
      <c r="AY238" s="7"/>
      <c r="AZ238" s="7"/>
      <c r="BA238" s="147"/>
      <c r="BB238" s="5"/>
      <c r="BC238" s="146"/>
      <c r="BD238" s="7"/>
      <c r="BE238" s="7"/>
      <c r="BF238" s="147"/>
      <c r="BG238" s="5"/>
      <c r="BH238" s="146"/>
      <c r="BI238" s="7"/>
      <c r="BJ238" s="7"/>
      <c r="BK238" s="147"/>
      <c r="BL238" s="5"/>
      <c r="BM238" s="146"/>
      <c r="BN238" s="7"/>
      <c r="BO238" s="7"/>
      <c r="BP238" s="147"/>
      <c r="BQ238" s="5"/>
      <c r="BR238" s="5"/>
      <c r="BS238" s="1503"/>
      <c r="BT238" s="1503"/>
      <c r="BU238" s="1503"/>
      <c r="BV238" s="1503"/>
      <c r="BW238" s="1493"/>
      <c r="BX238"/>
      <c r="BY238"/>
      <c r="BZ238"/>
      <c r="CA238"/>
      <c r="CB238"/>
      <c r="CC238"/>
    </row>
    <row r="239" spans="1:81" s="19" customFormat="1">
      <c r="A239" s="108"/>
      <c r="B239" s="5"/>
      <c r="C239" s="1127" t="s">
        <v>832</v>
      </c>
      <c r="D239" s="5"/>
      <c r="E239" s="146"/>
      <c r="F239" s="7"/>
      <c r="G239" s="7"/>
      <c r="H239" s="147"/>
      <c r="I239" s="31"/>
      <c r="J239" s="146"/>
      <c r="K239" s="7"/>
      <c r="L239" s="7"/>
      <c r="M239" s="147"/>
      <c r="N239" s="5"/>
      <c r="O239" s="146"/>
      <c r="P239" s="7"/>
      <c r="Q239" s="7"/>
      <c r="R239" s="147"/>
      <c r="S239" s="5"/>
      <c r="T239" s="881"/>
      <c r="U239" s="882"/>
      <c r="V239" s="882"/>
      <c r="W239" s="883"/>
      <c r="X239" s="403"/>
      <c r="Y239" s="881">
        <f t="shared" ref="Y239:AF239" si="663">+Z239</f>
        <v>47.5</v>
      </c>
      <c r="Z239" s="882">
        <f t="shared" si="663"/>
        <v>47.5</v>
      </c>
      <c r="AA239" s="882">
        <f t="shared" si="663"/>
        <v>47.5</v>
      </c>
      <c r="AB239" s="883">
        <f>+AC239</f>
        <v>47.5</v>
      </c>
      <c r="AC239" s="925">
        <v>47.5</v>
      </c>
      <c r="AD239" s="881">
        <f t="shared" si="663"/>
        <v>47.975000000000001</v>
      </c>
      <c r="AE239" s="882">
        <f t="shared" si="663"/>
        <v>47.975000000000001</v>
      </c>
      <c r="AF239" s="882">
        <f t="shared" si="663"/>
        <v>47.975000000000001</v>
      </c>
      <c r="AG239" s="883">
        <f>+AH239</f>
        <v>47.975000000000001</v>
      </c>
      <c r="AH239" s="925">
        <f>+AC239*1.01</f>
        <v>47.975000000000001</v>
      </c>
      <c r="AI239" s="881">
        <f>+AJ239</f>
        <v>48.454750000000004</v>
      </c>
      <c r="AJ239" s="882">
        <f>+AK239</f>
        <v>48.454750000000004</v>
      </c>
      <c r="AK239" s="882">
        <f>+AL239</f>
        <v>48.454750000000004</v>
      </c>
      <c r="AL239" s="883">
        <f>+AM239</f>
        <v>48.454750000000004</v>
      </c>
      <c r="AM239" s="925">
        <f>+AH239*1.01</f>
        <v>48.454750000000004</v>
      </c>
      <c r="AN239" s="881">
        <f>+AO239</f>
        <v>52.5</v>
      </c>
      <c r="AO239" s="882">
        <f>+AP239</f>
        <v>52.5</v>
      </c>
      <c r="AP239" s="882">
        <f>+AQ239</f>
        <v>52.5</v>
      </c>
      <c r="AQ239" s="883">
        <f>+AR239</f>
        <v>52.5</v>
      </c>
      <c r="AR239" s="925">
        <v>52.5</v>
      </c>
      <c r="AS239" s="881">
        <f>+AT239</f>
        <v>54</v>
      </c>
      <c r="AT239" s="882">
        <f>+AU239</f>
        <v>54</v>
      </c>
      <c r="AU239" s="882">
        <f t="shared" ref="AU239" si="664">+AV239</f>
        <v>54</v>
      </c>
      <c r="AV239" s="883">
        <f>+AW239</f>
        <v>54</v>
      </c>
      <c r="AW239" s="925">
        <v>54</v>
      </c>
      <c r="AX239" s="881">
        <f>+AY239</f>
        <v>55.5</v>
      </c>
      <c r="AY239" s="882">
        <f>+AZ239</f>
        <v>55.5</v>
      </c>
      <c r="AZ239" s="882">
        <f>+BA239</f>
        <v>55.5</v>
      </c>
      <c r="BA239" s="883">
        <f>+BB239</f>
        <v>55.5</v>
      </c>
      <c r="BB239" s="925">
        <v>55.5</v>
      </c>
      <c r="BC239" s="881">
        <f>+BD239</f>
        <v>56.055</v>
      </c>
      <c r="BD239" s="882">
        <f>+BE239</f>
        <v>56.055</v>
      </c>
      <c r="BE239" s="882">
        <f>+BF239</f>
        <v>56.055</v>
      </c>
      <c r="BF239" s="883">
        <f>+BG239</f>
        <v>56.055</v>
      </c>
      <c r="BG239" s="925">
        <f>+BB239*1.01</f>
        <v>56.055</v>
      </c>
      <c r="BH239" s="881">
        <f>+BI239</f>
        <v>56.615549999999999</v>
      </c>
      <c r="BI239" s="882">
        <f>+BJ239</f>
        <v>56.615549999999999</v>
      </c>
      <c r="BJ239" s="882">
        <f>+BK239</f>
        <v>56.615549999999999</v>
      </c>
      <c r="BK239" s="883">
        <f>+BL239</f>
        <v>56.615549999999999</v>
      </c>
      <c r="BL239" s="925">
        <f>+BG239*1.01</f>
        <v>56.615549999999999</v>
      </c>
      <c r="BM239" s="881">
        <f>+BN239</f>
        <v>57.1817055</v>
      </c>
      <c r="BN239" s="882">
        <f>+BO239</f>
        <v>57.1817055</v>
      </c>
      <c r="BO239" s="882">
        <f>+BP239</f>
        <v>57.1817055</v>
      </c>
      <c r="BP239" s="883">
        <f>+BQ239</f>
        <v>57.1817055</v>
      </c>
      <c r="BQ239" s="925">
        <f>+BL239*1.01</f>
        <v>57.1817055</v>
      </c>
      <c r="BR239" s="925"/>
      <c r="BS239" s="1503"/>
      <c r="BT239" s="1503"/>
      <c r="BU239" s="1503"/>
      <c r="BV239" s="925"/>
      <c r="BW239" s="1493"/>
      <c r="BX239"/>
      <c r="BY239"/>
      <c r="BZ239"/>
      <c r="CA239"/>
      <c r="CB239"/>
      <c r="CC239"/>
    </row>
    <row r="240" spans="1:81" s="19" customFormat="1">
      <c r="A240" s="108"/>
      <c r="B240" s="5"/>
      <c r="C240" s="1127" t="s">
        <v>552</v>
      </c>
      <c r="D240" s="5"/>
      <c r="E240" s="146"/>
      <c r="F240" s="7"/>
      <c r="G240" s="7"/>
      <c r="H240" s="147"/>
      <c r="I240" s="31"/>
      <c r="J240" s="146"/>
      <c r="K240" s="7"/>
      <c r="L240" s="7"/>
      <c r="M240" s="147"/>
      <c r="N240" s="5"/>
      <c r="O240" s="146"/>
      <c r="P240" s="7"/>
      <c r="Q240" s="7"/>
      <c r="R240" s="147"/>
      <c r="S240" s="5"/>
      <c r="T240" s="359"/>
      <c r="U240" s="360"/>
      <c r="V240" s="360"/>
      <c r="W240" s="361"/>
      <c r="X240" s="358"/>
      <c r="Y240" s="359">
        <f t="shared" ref="Y240:BQ240" si="665">+Y$200</f>
        <v>6.4900000000000011</v>
      </c>
      <c r="Z240" s="360">
        <f t="shared" si="665"/>
        <v>6.4900000000000011</v>
      </c>
      <c r="AA240" s="360">
        <f t="shared" si="665"/>
        <v>6.4900000000000011</v>
      </c>
      <c r="AB240" s="361">
        <f t="shared" si="665"/>
        <v>6.4900000000000011</v>
      </c>
      <c r="AC240" s="358">
        <f t="shared" si="665"/>
        <v>6.4900000000000011</v>
      </c>
      <c r="AD240" s="359">
        <f t="shared" si="665"/>
        <v>6.139000000000002</v>
      </c>
      <c r="AE240" s="360">
        <f t="shared" si="665"/>
        <v>6.139000000000002</v>
      </c>
      <c r="AF240" s="360">
        <f t="shared" si="665"/>
        <v>6.139000000000002</v>
      </c>
      <c r="AG240" s="361">
        <f t="shared" si="665"/>
        <v>6.139000000000002</v>
      </c>
      <c r="AH240" s="358">
        <f t="shared" si="665"/>
        <v>6.139000000000002</v>
      </c>
      <c r="AI240" s="359">
        <f t="shared" si="665"/>
        <v>6.4</v>
      </c>
      <c r="AJ240" s="360">
        <f t="shared" si="665"/>
        <v>6.4</v>
      </c>
      <c r="AK240" s="360">
        <f t="shared" si="665"/>
        <v>6.4</v>
      </c>
      <c r="AL240" s="361">
        <f t="shared" si="665"/>
        <v>6.4</v>
      </c>
      <c r="AM240" s="358">
        <f t="shared" si="665"/>
        <v>6.4</v>
      </c>
      <c r="AN240" s="359">
        <f t="shared" si="665"/>
        <v>6.4</v>
      </c>
      <c r="AO240" s="360">
        <f t="shared" si="665"/>
        <v>6.4</v>
      </c>
      <c r="AP240" s="360">
        <f t="shared" si="665"/>
        <v>6.4</v>
      </c>
      <c r="AQ240" s="361">
        <f t="shared" si="665"/>
        <v>6.4</v>
      </c>
      <c r="AR240" s="358">
        <f t="shared" si="665"/>
        <v>6.4</v>
      </c>
      <c r="AS240" s="359">
        <f t="shared" si="665"/>
        <v>1</v>
      </c>
      <c r="AT240" s="360">
        <f t="shared" si="665"/>
        <v>1</v>
      </c>
      <c r="AU240" s="360">
        <f t="shared" si="665"/>
        <v>1</v>
      </c>
      <c r="AV240" s="361">
        <f t="shared" si="665"/>
        <v>1</v>
      </c>
      <c r="AW240" s="358">
        <f t="shared" si="665"/>
        <v>1</v>
      </c>
      <c r="AX240" s="359">
        <f t="shared" si="665"/>
        <v>1</v>
      </c>
      <c r="AY240" s="360">
        <f t="shared" si="665"/>
        <v>1</v>
      </c>
      <c r="AZ240" s="360">
        <f t="shared" si="665"/>
        <v>1</v>
      </c>
      <c r="BA240" s="361">
        <f t="shared" si="665"/>
        <v>1</v>
      </c>
      <c r="BB240" s="358">
        <f t="shared" si="665"/>
        <v>1</v>
      </c>
      <c r="BC240" s="359">
        <f t="shared" si="665"/>
        <v>2</v>
      </c>
      <c r="BD240" s="360">
        <f t="shared" si="665"/>
        <v>2</v>
      </c>
      <c r="BE240" s="360">
        <f t="shared" si="665"/>
        <v>2</v>
      </c>
      <c r="BF240" s="361">
        <f t="shared" si="665"/>
        <v>2</v>
      </c>
      <c r="BG240" s="358">
        <f t="shared" si="665"/>
        <v>2</v>
      </c>
      <c r="BH240" s="359">
        <f t="shared" si="665"/>
        <v>2</v>
      </c>
      <c r="BI240" s="360">
        <f t="shared" si="665"/>
        <v>2</v>
      </c>
      <c r="BJ240" s="360">
        <f t="shared" si="665"/>
        <v>2</v>
      </c>
      <c r="BK240" s="361">
        <f t="shared" si="665"/>
        <v>2</v>
      </c>
      <c r="BL240" s="358">
        <f t="shared" si="665"/>
        <v>2</v>
      </c>
      <c r="BM240" s="359">
        <f t="shared" si="665"/>
        <v>4</v>
      </c>
      <c r="BN240" s="360">
        <f t="shared" si="665"/>
        <v>4</v>
      </c>
      <c r="BO240" s="360">
        <f t="shared" si="665"/>
        <v>4</v>
      </c>
      <c r="BP240" s="361">
        <f t="shared" si="665"/>
        <v>4</v>
      </c>
      <c r="BQ240" s="358">
        <f t="shared" si="665"/>
        <v>4</v>
      </c>
      <c r="BR240" s="358"/>
      <c r="BS240" s="1503"/>
      <c r="BT240" s="1503"/>
      <c r="BU240" s="1503"/>
      <c r="BV240" s="1503"/>
      <c r="BW240" s="1493"/>
      <c r="BX240"/>
      <c r="BY240"/>
      <c r="BZ240"/>
      <c r="CA240"/>
      <c r="CB240"/>
      <c r="CC240"/>
    </row>
    <row r="241" spans="1:81" s="19" customFormat="1">
      <c r="A241" s="108"/>
      <c r="B241" s="5"/>
      <c r="C241" s="1125"/>
      <c r="D241" s="5"/>
      <c r="E241" s="146"/>
      <c r="F241" s="7"/>
      <c r="G241" s="7"/>
      <c r="H241" s="147"/>
      <c r="I241" s="31"/>
      <c r="J241" s="146"/>
      <c r="K241" s="7"/>
      <c r="L241" s="7"/>
      <c r="M241" s="147"/>
      <c r="N241" s="5"/>
      <c r="O241" s="146"/>
      <c r="P241" s="7"/>
      <c r="Q241" s="7"/>
      <c r="R241" s="147"/>
      <c r="S241" s="5"/>
      <c r="T241" s="146"/>
      <c r="U241" s="7"/>
      <c r="V241" s="7"/>
      <c r="W241" s="147"/>
      <c r="X241" s="5"/>
      <c r="Y241" s="146"/>
      <c r="Z241" s="7"/>
      <c r="AA241" s="7"/>
      <c r="AB241" s="147"/>
      <c r="AC241" s="5"/>
      <c r="AD241" s="146"/>
      <c r="AE241" s="7"/>
      <c r="AF241" s="7"/>
      <c r="AG241" s="147"/>
      <c r="AH241" s="5"/>
      <c r="AI241" s="146"/>
      <c r="AJ241" s="7"/>
      <c r="AK241" s="7"/>
      <c r="AL241" s="147"/>
      <c r="AM241" s="5"/>
      <c r="AN241" s="146"/>
      <c r="AO241" s="7"/>
      <c r="AP241" s="7"/>
      <c r="AQ241" s="147"/>
      <c r="AR241" s="5"/>
      <c r="AS241" s="146"/>
      <c r="AT241" s="7"/>
      <c r="AU241" s="7"/>
      <c r="AV241" s="147"/>
      <c r="AW241" s="5"/>
      <c r="AX241" s="146"/>
      <c r="AY241" s="7"/>
      <c r="AZ241" s="7"/>
      <c r="BA241" s="147"/>
      <c r="BB241" s="5"/>
      <c r="BC241" s="146"/>
      <c r="BD241" s="7"/>
      <c r="BE241" s="7"/>
      <c r="BF241" s="147"/>
      <c r="BG241" s="5"/>
      <c r="BH241" s="146"/>
      <c r="BI241" s="7"/>
      <c r="BJ241" s="7"/>
      <c r="BK241" s="147"/>
      <c r="BL241" s="5"/>
      <c r="BM241" s="146"/>
      <c r="BN241" s="7"/>
      <c r="BO241" s="7"/>
      <c r="BP241" s="147"/>
      <c r="BQ241" s="5"/>
      <c r="BR241" s="5"/>
      <c r="BS241" s="1503"/>
      <c r="BT241" s="1503"/>
      <c r="BU241" s="1503"/>
      <c r="BV241" s="1503"/>
      <c r="BW241" s="1493"/>
      <c r="BX241"/>
      <c r="BY241"/>
      <c r="BZ241"/>
      <c r="CA241"/>
      <c r="CB241"/>
      <c r="CC241"/>
    </row>
    <row r="242" spans="1:81" s="19" customFormat="1">
      <c r="A242" s="108"/>
      <c r="B242" s="5"/>
      <c r="C242" s="1128" t="s">
        <v>553</v>
      </c>
      <c r="D242" s="36"/>
      <c r="E242" s="180"/>
      <c r="F242" s="181"/>
      <c r="G242" s="181"/>
      <c r="H242" s="182"/>
      <c r="I242" s="926">
        <v>798</v>
      </c>
      <c r="J242" s="180"/>
      <c r="K242" s="181"/>
      <c r="L242" s="181"/>
      <c r="M242" s="182"/>
      <c r="N242" s="110"/>
      <c r="O242" s="180"/>
      <c r="P242" s="181"/>
      <c r="Q242" s="181"/>
      <c r="R242" s="182"/>
      <c r="S242" s="110"/>
      <c r="T242" s="180"/>
      <c r="U242" s="181"/>
      <c r="V242" s="181"/>
      <c r="W242" s="182"/>
      <c r="X242" s="110"/>
      <c r="Y242" s="180">
        <f>+I242</f>
        <v>798</v>
      </c>
      <c r="Z242" s="181">
        <f>+Y242</f>
        <v>798</v>
      </c>
      <c r="AA242" s="181">
        <f>+Z242</f>
        <v>798</v>
      </c>
      <c r="AB242" s="182">
        <f>+AA242</f>
        <v>798</v>
      </c>
      <c r="AC242" s="110">
        <f t="shared" ref="AC242:AT242" si="666">AB242</f>
        <v>798</v>
      </c>
      <c r="AD242" s="180">
        <f t="shared" si="666"/>
        <v>798</v>
      </c>
      <c r="AE242" s="181">
        <f t="shared" si="666"/>
        <v>798</v>
      </c>
      <c r="AF242" s="181">
        <f t="shared" si="666"/>
        <v>798</v>
      </c>
      <c r="AG242" s="182">
        <f t="shared" si="666"/>
        <v>798</v>
      </c>
      <c r="AH242" s="110">
        <f t="shared" si="666"/>
        <v>798</v>
      </c>
      <c r="AI242" s="180">
        <f t="shared" si="666"/>
        <v>798</v>
      </c>
      <c r="AJ242" s="181">
        <f t="shared" si="666"/>
        <v>798</v>
      </c>
      <c r="AK242" s="181">
        <f t="shared" si="666"/>
        <v>798</v>
      </c>
      <c r="AL242" s="182">
        <f t="shared" si="666"/>
        <v>798</v>
      </c>
      <c r="AM242" s="110">
        <f t="shared" si="666"/>
        <v>798</v>
      </c>
      <c r="AN242" s="180">
        <f t="shared" si="666"/>
        <v>798</v>
      </c>
      <c r="AO242" s="181">
        <f t="shared" si="666"/>
        <v>798</v>
      </c>
      <c r="AP242" s="181">
        <f t="shared" si="666"/>
        <v>798</v>
      </c>
      <c r="AQ242" s="182">
        <f t="shared" si="666"/>
        <v>798</v>
      </c>
      <c r="AR242" s="110">
        <f t="shared" si="666"/>
        <v>798</v>
      </c>
      <c r="AS242" s="180">
        <f t="shared" ref="AS242:AZ242" si="667">AR242</f>
        <v>798</v>
      </c>
      <c r="AT242" s="181">
        <f t="shared" si="666"/>
        <v>798</v>
      </c>
      <c r="AU242" s="181">
        <f t="shared" ref="AU242" si="668">AT242</f>
        <v>798</v>
      </c>
      <c r="AV242" s="182">
        <f t="shared" si="667"/>
        <v>798</v>
      </c>
      <c r="AW242" s="110">
        <f t="shared" si="667"/>
        <v>798</v>
      </c>
      <c r="AX242" s="180">
        <f t="shared" si="667"/>
        <v>798</v>
      </c>
      <c r="AY242" s="181">
        <f t="shared" si="667"/>
        <v>798</v>
      </c>
      <c r="AZ242" s="181">
        <f t="shared" si="667"/>
        <v>798</v>
      </c>
      <c r="BA242" s="182">
        <f t="shared" ref="BA242" si="669">AZ242</f>
        <v>798</v>
      </c>
      <c r="BB242" s="110">
        <f t="shared" ref="BB242" si="670">BA242</f>
        <v>798</v>
      </c>
      <c r="BC242" s="180">
        <f t="shared" ref="BC242" si="671">BB242</f>
        <v>798</v>
      </c>
      <c r="BD242" s="181">
        <f t="shared" ref="BD242" si="672">BC242</f>
        <v>798</v>
      </c>
      <c r="BE242" s="181">
        <f t="shared" ref="BE242" si="673">BD242</f>
        <v>798</v>
      </c>
      <c r="BF242" s="182">
        <f t="shared" ref="BF242" si="674">BE242</f>
        <v>798</v>
      </c>
      <c r="BG242" s="110">
        <f t="shared" ref="BG242" si="675">BF242</f>
        <v>798</v>
      </c>
      <c r="BH242" s="180">
        <f t="shared" ref="BH242" si="676">BG242</f>
        <v>798</v>
      </c>
      <c r="BI242" s="181">
        <f t="shared" ref="BI242" si="677">BH242</f>
        <v>798</v>
      </c>
      <c r="BJ242" s="181">
        <f t="shared" ref="BJ242" si="678">BI242</f>
        <v>798</v>
      </c>
      <c r="BK242" s="182">
        <f t="shared" ref="BK242" si="679">BJ242</f>
        <v>798</v>
      </c>
      <c r="BL242" s="110">
        <f t="shared" ref="BL242" si="680">BK242</f>
        <v>798</v>
      </c>
      <c r="BM242" s="180">
        <f t="shared" ref="BM242" si="681">BL242</f>
        <v>798</v>
      </c>
      <c r="BN242" s="181">
        <f t="shared" ref="BN242" si="682">BM242</f>
        <v>798</v>
      </c>
      <c r="BO242" s="181">
        <f t="shared" ref="BO242" si="683">BN242</f>
        <v>798</v>
      </c>
      <c r="BP242" s="182">
        <f t="shared" ref="BP242" si="684">BO242</f>
        <v>798</v>
      </c>
      <c r="BQ242" s="110">
        <f t="shared" ref="BQ242" si="685">BP242</f>
        <v>798</v>
      </c>
      <c r="BR242" s="110"/>
      <c r="BS242" s="1503"/>
      <c r="BT242" s="1503"/>
      <c r="BU242" s="1503"/>
      <c r="BV242" s="1503"/>
      <c r="BW242" s="1493"/>
      <c r="BX242"/>
      <c r="BY242"/>
      <c r="BZ242"/>
      <c r="CA242"/>
      <c r="CB242"/>
      <c r="CC242"/>
    </row>
    <row r="243" spans="1:81" s="19" customFormat="1">
      <c r="A243" s="108"/>
      <c r="B243" s="5"/>
      <c r="C243" s="1125"/>
      <c r="D243" s="5"/>
      <c r="E243" s="146"/>
      <c r="F243" s="7"/>
      <c r="G243" s="7"/>
      <c r="H243" s="147"/>
      <c r="I243" s="31"/>
      <c r="J243" s="146"/>
      <c r="K243" s="7"/>
      <c r="L243" s="7"/>
      <c r="M243" s="147"/>
      <c r="N243" s="5"/>
      <c r="O243" s="146"/>
      <c r="P243" s="7"/>
      <c r="Q243" s="7"/>
      <c r="R243" s="147"/>
      <c r="S243" s="5"/>
      <c r="T243" s="146"/>
      <c r="U243" s="7"/>
      <c r="V243" s="7"/>
      <c r="W243" s="147"/>
      <c r="X243" s="5"/>
      <c r="Y243" s="146"/>
      <c r="Z243" s="7"/>
      <c r="AA243" s="7"/>
      <c r="AB243" s="147"/>
      <c r="AC243" s="5"/>
      <c r="AD243" s="146"/>
      <c r="AE243" s="7"/>
      <c r="AF243" s="7"/>
      <c r="AG243" s="147"/>
      <c r="AH243" s="5"/>
      <c r="AI243" s="146"/>
      <c r="AJ243" s="7"/>
      <c r="AK243" s="7"/>
      <c r="AL243" s="147"/>
      <c r="AM243" s="5"/>
      <c r="AN243" s="146"/>
      <c r="AO243" s="7"/>
      <c r="AP243" s="7"/>
      <c r="AQ243" s="147"/>
      <c r="AR243" s="5"/>
      <c r="AS243" s="146"/>
      <c r="AT243" s="7"/>
      <c r="AU243" s="7"/>
      <c r="AV243" s="147"/>
      <c r="AW243" s="5"/>
      <c r="AX243" s="146"/>
      <c r="AY243" s="7"/>
      <c r="AZ243" s="7"/>
      <c r="BA243" s="147"/>
      <c r="BB243" s="5"/>
      <c r="BC243" s="146"/>
      <c r="BD243" s="7"/>
      <c r="BE243" s="7"/>
      <c r="BF243" s="147"/>
      <c r="BG243" s="5"/>
      <c r="BH243" s="146"/>
      <c r="BI243" s="7"/>
      <c r="BJ243" s="7"/>
      <c r="BK243" s="147"/>
      <c r="BL243" s="5"/>
      <c r="BM243" s="146"/>
      <c r="BN243" s="7"/>
      <c r="BO243" s="7"/>
      <c r="BP243" s="147"/>
      <c r="BQ243" s="5"/>
      <c r="BR243" s="5"/>
      <c r="BS243" s="1503"/>
      <c r="BT243" s="1503"/>
      <c r="BU243" s="1503"/>
      <c r="BV243" s="1503"/>
      <c r="BW243" s="1493"/>
      <c r="BX243"/>
      <c r="BY243"/>
      <c r="BZ243"/>
      <c r="CA243"/>
      <c r="CB243"/>
      <c r="CC243"/>
    </row>
    <row r="244" spans="1:81" s="19" customFormat="1">
      <c r="A244" s="108"/>
      <c r="B244" s="5"/>
      <c r="C244" s="1127" t="s">
        <v>554</v>
      </c>
      <c r="D244" s="5"/>
      <c r="E244" s="146"/>
      <c r="F244" s="7"/>
      <c r="G244" s="7"/>
      <c r="H244" s="147"/>
      <c r="I244" s="1227">
        <f>+I230</f>
        <v>0.89</v>
      </c>
      <c r="J244" s="146"/>
      <c r="K244" s="7"/>
      <c r="L244" s="7"/>
      <c r="M244" s="147"/>
      <c r="N244" s="5"/>
      <c r="O244" s="146"/>
      <c r="P244" s="7"/>
      <c r="Q244" s="7"/>
      <c r="R244" s="147"/>
      <c r="S244" s="5"/>
      <c r="T244" s="920"/>
      <c r="U244" s="921"/>
      <c r="V244" s="921"/>
      <c r="W244" s="922"/>
      <c r="X244" s="923"/>
      <c r="Y244" s="920">
        <f>+I244</f>
        <v>0.89</v>
      </c>
      <c r="Z244" s="921">
        <f>+Y244</f>
        <v>0.89</v>
      </c>
      <c r="AA244" s="921">
        <f>+Z244</f>
        <v>0.89</v>
      </c>
      <c r="AB244" s="922">
        <f>+AA244</f>
        <v>0.89</v>
      </c>
      <c r="AC244" s="923">
        <f>IF(AVERAGE(Y242:AB242)=0,0,AC245/(AVERAGE(Y242:AB242)*8.76))</f>
        <v>0.89000000000000012</v>
      </c>
      <c r="AD244" s="920">
        <f>+AA244</f>
        <v>0.89</v>
      </c>
      <c r="AE244" s="921">
        <f>+AD244</f>
        <v>0.89</v>
      </c>
      <c r="AF244" s="921">
        <f>+AE244</f>
        <v>0.89</v>
      </c>
      <c r="AG244" s="922">
        <f>+AF244</f>
        <v>0.89</v>
      </c>
      <c r="AH244" s="923">
        <f>IF(AVERAGE(AD242:AG242)=0,0,AH245/(AVERAGE(AD242:AG242)*8.76))</f>
        <v>0.89000000000000012</v>
      </c>
      <c r="AI244" s="920">
        <f>+AG244</f>
        <v>0.89</v>
      </c>
      <c r="AJ244" s="921">
        <f>+AE244</f>
        <v>0.89</v>
      </c>
      <c r="AK244" s="921">
        <f>+AF244</f>
        <v>0.89</v>
      </c>
      <c r="AL244" s="922">
        <f>+AG244</f>
        <v>0.89</v>
      </c>
      <c r="AM244" s="923">
        <f>IF(AVERAGE(AI242:AL242)=0,0,AM245/(AVERAGE(AI242:AL242)*8.76))</f>
        <v>0.89000000000000012</v>
      </c>
      <c r="AN244" s="1914">
        <v>0.93</v>
      </c>
      <c r="AO244" s="921">
        <f>AN244</f>
        <v>0.93</v>
      </c>
      <c r="AP244" s="921">
        <f t="shared" ref="AP244:AQ244" si="686">AO244</f>
        <v>0.93</v>
      </c>
      <c r="AQ244" s="922">
        <f t="shared" si="686"/>
        <v>0.93</v>
      </c>
      <c r="AR244" s="923">
        <f>IF(AVERAGE(AN242:AQ242)=0,0,AR245/(AVERAGE(AN242:AQ242)*8.76))</f>
        <v>0.93</v>
      </c>
      <c r="AS244" s="1914">
        <f>I244</f>
        <v>0.89</v>
      </c>
      <c r="AT244" s="921">
        <f>AS244</f>
        <v>0.89</v>
      </c>
      <c r="AU244" s="921">
        <f t="shared" ref="AU244" si="687">AT244</f>
        <v>0.89</v>
      </c>
      <c r="AV244" s="922">
        <f>AU244</f>
        <v>0.89</v>
      </c>
      <c r="AW244" s="923">
        <f>IF(AVERAGE(AS242:AV242)=0,0,AW245/(AVERAGE(AS242:AV242)*8.76))</f>
        <v>0.89000000000000012</v>
      </c>
      <c r="AX244" s="920">
        <f>+AV244</f>
        <v>0.89</v>
      </c>
      <c r="AY244" s="921">
        <f>+AT244</f>
        <v>0.89</v>
      </c>
      <c r="AZ244" s="921">
        <f>+AU244</f>
        <v>0.89</v>
      </c>
      <c r="BA244" s="922">
        <f>+AV244</f>
        <v>0.89</v>
      </c>
      <c r="BB244" s="923">
        <f>IF(AVERAGE(AX242:BA242)=0,0,BB245/(AVERAGE(AX242:BA242)*8.76))</f>
        <v>0.89000000000000012</v>
      </c>
      <c r="BC244" s="1914">
        <f>I244</f>
        <v>0.89</v>
      </c>
      <c r="BD244" s="921">
        <f>BC244</f>
        <v>0.89</v>
      </c>
      <c r="BE244" s="921">
        <f>BD244</f>
        <v>0.89</v>
      </c>
      <c r="BF244" s="922">
        <f>BE244</f>
        <v>0.89</v>
      </c>
      <c r="BG244" s="923">
        <f>IF(AVERAGE(BC242:BF242)=0,0,BG245/(AVERAGE(BC242:BF242)*8.76))</f>
        <v>0.89000000000000012</v>
      </c>
      <c r="BH244" s="920">
        <f>+BF244</f>
        <v>0.89</v>
      </c>
      <c r="BI244" s="921">
        <f>+BD244</f>
        <v>0.89</v>
      </c>
      <c r="BJ244" s="921">
        <f>+BE244</f>
        <v>0.89</v>
      </c>
      <c r="BK244" s="922">
        <f>+BF244</f>
        <v>0.89</v>
      </c>
      <c r="BL244" s="923">
        <f>IF(AVERAGE(BH242:BK242)=0,0,BL245/(AVERAGE(BH242:BK242)*8.76))</f>
        <v>0.89000000000000012</v>
      </c>
      <c r="BM244" s="920">
        <f>+BK244</f>
        <v>0.89</v>
      </c>
      <c r="BN244" s="921">
        <f>+BI244</f>
        <v>0.89</v>
      </c>
      <c r="BO244" s="921">
        <f>+BJ244</f>
        <v>0.89</v>
      </c>
      <c r="BP244" s="922">
        <f>+BK244</f>
        <v>0.89</v>
      </c>
      <c r="BQ244" s="923">
        <f>IF(AVERAGE(BM242:BP242)=0,0,BQ245/(AVERAGE(BM242:BP242)*8.76))</f>
        <v>0.89000000000000012</v>
      </c>
      <c r="BR244" s="923"/>
      <c r="BS244" s="1503"/>
      <c r="BT244" s="1503"/>
      <c r="BU244" s="1503"/>
      <c r="BV244" s="1503"/>
      <c r="BW244" s="1493"/>
      <c r="BX244"/>
      <c r="BY244"/>
      <c r="BZ244"/>
      <c r="CA244"/>
      <c r="CB244"/>
      <c r="CC244"/>
    </row>
    <row r="245" spans="1:81" s="19" customFormat="1">
      <c r="A245" s="108"/>
      <c r="B245" s="5"/>
      <c r="C245" s="1128" t="s">
        <v>549</v>
      </c>
      <c r="D245" s="36"/>
      <c r="E245" s="122"/>
      <c r="F245" s="123"/>
      <c r="G245" s="123"/>
      <c r="H245" s="915"/>
      <c r="I245" s="36"/>
      <c r="J245" s="122"/>
      <c r="K245" s="123"/>
      <c r="L245" s="123"/>
      <c r="M245" s="915"/>
      <c r="N245" s="928"/>
      <c r="O245" s="122"/>
      <c r="P245" s="123"/>
      <c r="Q245" s="123"/>
      <c r="R245" s="915"/>
      <c r="S245" s="36"/>
      <c r="T245" s="200"/>
      <c r="U245" s="201"/>
      <c r="V245" s="201"/>
      <c r="W245" s="202"/>
      <c r="X245" s="86"/>
      <c r="Y245" s="200">
        <f>(Y242*Y244*(8760/1000))/4</f>
        <v>1555.3818000000001</v>
      </c>
      <c r="Z245" s="201">
        <f>(Z242*Z244*(8760/1000))/4</f>
        <v>1555.3818000000001</v>
      </c>
      <c r="AA245" s="201">
        <f>(AA242*AA244*(8760/1000))/4</f>
        <v>1555.3818000000001</v>
      </c>
      <c r="AB245" s="202">
        <f>(AB242*AB244*(8760/1000))/4</f>
        <v>1555.3818000000001</v>
      </c>
      <c r="AC245" s="86">
        <f>SUM(Y245:AB245)</f>
        <v>6221.5272000000004</v>
      </c>
      <c r="AD245" s="200">
        <f>(AD242*AD244*(8760/1000))/4</f>
        <v>1555.3818000000001</v>
      </c>
      <c r="AE245" s="201">
        <f>(AE242*AE244*(8760/1000))/4</f>
        <v>1555.3818000000001</v>
      </c>
      <c r="AF245" s="201">
        <f>(AF242*AF244*(8760/1000))/4</f>
        <v>1555.3818000000001</v>
      </c>
      <c r="AG245" s="202">
        <f>(AG242*AG244*(8760/1000))/4</f>
        <v>1555.3818000000001</v>
      </c>
      <c r="AH245" s="86">
        <f>SUM(AD245:AG245)</f>
        <v>6221.5272000000004</v>
      </c>
      <c r="AI245" s="200">
        <f>(AI242*AI244*(8760/1000))/4</f>
        <v>1555.3818000000001</v>
      </c>
      <c r="AJ245" s="201">
        <f>(AJ242*AJ244*(8760/1000))/4</f>
        <v>1555.3818000000001</v>
      </c>
      <c r="AK245" s="201">
        <f>(AK242*AK244*(8760/1000))/4</f>
        <v>1555.3818000000001</v>
      </c>
      <c r="AL245" s="202">
        <f>(AL242*AL244*(8760/1000))/4</f>
        <v>1555.3818000000001</v>
      </c>
      <c r="AM245" s="86">
        <f>SUM(AI245:AL245)</f>
        <v>6221.5272000000004</v>
      </c>
      <c r="AN245" s="200">
        <f>(AN242*AN244*(8760/1000))/4</f>
        <v>1625.2865999999999</v>
      </c>
      <c r="AO245" s="201">
        <f>(AO242*AO244*(8760/1000))/4</f>
        <v>1625.2865999999999</v>
      </c>
      <c r="AP245" s="201">
        <f>(AP242*AP244*(8760/1000))/4</f>
        <v>1625.2865999999999</v>
      </c>
      <c r="AQ245" s="202">
        <f>(AQ242*AQ244*(8760/1000))/4</f>
        <v>1625.2865999999999</v>
      </c>
      <c r="AR245" s="86">
        <f>SUM(AN245:AQ245)</f>
        <v>6501.1463999999996</v>
      </c>
      <c r="AS245" s="200">
        <f>(AS242*AS244*(8760/1000))/4</f>
        <v>1555.3818000000001</v>
      </c>
      <c r="AT245" s="201">
        <f>(AT242*AT244*(8760/1000))/4</f>
        <v>1555.3818000000001</v>
      </c>
      <c r="AU245" s="201">
        <f t="shared" ref="AU245" si="688">(AU242*AU244*(8760/1000))/4</f>
        <v>1555.3818000000001</v>
      </c>
      <c r="AV245" s="202">
        <f>(AV242*AV244*(8760/1000))/4</f>
        <v>1555.3818000000001</v>
      </c>
      <c r="AW245" s="86">
        <f>SUM(AS245:AV245)</f>
        <v>6221.5272000000004</v>
      </c>
      <c r="AX245" s="200">
        <f>(AX242*AX244*(8760/1000))/4</f>
        <v>1555.3818000000001</v>
      </c>
      <c r="AY245" s="201">
        <f>(AY242*AY244*(8760/1000))/4</f>
        <v>1555.3818000000001</v>
      </c>
      <c r="AZ245" s="201">
        <f>(AZ242*AZ244*(8760/1000))/4</f>
        <v>1555.3818000000001</v>
      </c>
      <c r="BA245" s="202">
        <f>(BA242*BA244*(8760/1000))/4</f>
        <v>1555.3818000000001</v>
      </c>
      <c r="BB245" s="86">
        <f>SUM(AX245:BA245)</f>
        <v>6221.5272000000004</v>
      </c>
      <c r="BC245" s="200">
        <f>(BC242*BC244*(8760/1000))/4</f>
        <v>1555.3818000000001</v>
      </c>
      <c r="BD245" s="201">
        <f>(BD242*BD244*(8760/1000))/4</f>
        <v>1555.3818000000001</v>
      </c>
      <c r="BE245" s="201">
        <f>(BE242*BE244*(8760/1000))/4</f>
        <v>1555.3818000000001</v>
      </c>
      <c r="BF245" s="202">
        <f>(BF242*BF244*(8760/1000))/4</f>
        <v>1555.3818000000001</v>
      </c>
      <c r="BG245" s="86">
        <f>SUM(BC245:BF245)</f>
        <v>6221.5272000000004</v>
      </c>
      <c r="BH245" s="200">
        <f>(BH242*BH244*(8760/1000))/4</f>
        <v>1555.3818000000001</v>
      </c>
      <c r="BI245" s="201">
        <f>(BI242*BI244*(8760/1000))/4</f>
        <v>1555.3818000000001</v>
      </c>
      <c r="BJ245" s="201">
        <f>(BJ242*BJ244*(8760/1000))/4</f>
        <v>1555.3818000000001</v>
      </c>
      <c r="BK245" s="202">
        <f>(BK242*BK244*(8760/1000))/4</f>
        <v>1555.3818000000001</v>
      </c>
      <c r="BL245" s="86">
        <f>SUM(BH245:BK245)</f>
        <v>6221.5272000000004</v>
      </c>
      <c r="BM245" s="200">
        <f>(BM242*BM244*(8760/1000))/4</f>
        <v>1555.3818000000001</v>
      </c>
      <c r="BN245" s="201">
        <f>(BN242*BN244*(8760/1000))/4</f>
        <v>1555.3818000000001</v>
      </c>
      <c r="BO245" s="201">
        <f>(BO242*BO244*(8760/1000))/4</f>
        <v>1555.3818000000001</v>
      </c>
      <c r="BP245" s="202">
        <f>(BP242*BP244*(8760/1000))/4</f>
        <v>1555.3818000000001</v>
      </c>
      <c r="BQ245" s="86">
        <f>SUM(BM245:BP245)</f>
        <v>6221.5272000000004</v>
      </c>
      <c r="BR245" s="86"/>
      <c r="BS245" s="1503"/>
      <c r="BT245" s="1503"/>
      <c r="BU245" s="1503"/>
      <c r="BV245" s="1503"/>
      <c r="BW245" s="1493"/>
      <c r="BX245"/>
      <c r="BY245"/>
      <c r="BZ245"/>
      <c r="CA245"/>
      <c r="CB245"/>
      <c r="CC245"/>
    </row>
    <row r="246" spans="1:81" s="19" customFormat="1">
      <c r="A246" s="108"/>
      <c r="B246" s="5"/>
      <c r="C246" s="1125"/>
      <c r="D246" s="5"/>
      <c r="E246" s="146"/>
      <c r="F246" s="7"/>
      <c r="G246" s="7"/>
      <c r="H246" s="147"/>
      <c r="I246" s="31"/>
      <c r="J246" s="146"/>
      <c r="K246" s="7"/>
      <c r="L246" s="7"/>
      <c r="M246" s="147"/>
      <c r="N246" s="5"/>
      <c r="O246" s="146"/>
      <c r="P246" s="7"/>
      <c r="Q246" s="7"/>
      <c r="R246" s="147"/>
      <c r="S246" s="5"/>
      <c r="T246" s="146"/>
      <c r="U246" s="7"/>
      <c r="V246" s="7"/>
      <c r="W246" s="147"/>
      <c r="X246" s="5"/>
      <c r="Y246" s="146"/>
      <c r="Z246" s="7"/>
      <c r="AA246" s="7"/>
      <c r="AB246" s="147"/>
      <c r="AC246" s="5"/>
      <c r="AD246" s="146"/>
      <c r="AE246" s="7"/>
      <c r="AF246" s="7"/>
      <c r="AG246" s="147"/>
      <c r="AH246" s="5"/>
      <c r="AI246" s="146"/>
      <c r="AJ246" s="7"/>
      <c r="AK246" s="7"/>
      <c r="AL246" s="147"/>
      <c r="AM246" s="5"/>
      <c r="AN246" s="146"/>
      <c r="AO246" s="7"/>
      <c r="AP246" s="7"/>
      <c r="AQ246" s="147"/>
      <c r="AR246" s="5"/>
      <c r="AS246" s="146"/>
      <c r="AT246" s="7"/>
      <c r="AU246" s="7"/>
      <c r="AV246" s="147"/>
      <c r="AW246" s="5"/>
      <c r="AX246" s="146"/>
      <c r="AY246" s="7"/>
      <c r="AZ246" s="7"/>
      <c r="BA246" s="147"/>
      <c r="BB246" s="5"/>
      <c r="BC246" s="146"/>
      <c r="BD246" s="7"/>
      <c r="BE246" s="7"/>
      <c r="BF246" s="147"/>
      <c r="BG246" s="5"/>
      <c r="BH246" s="146"/>
      <c r="BI246" s="7"/>
      <c r="BJ246" s="7"/>
      <c r="BK246" s="147"/>
      <c r="BL246" s="5"/>
      <c r="BM246" s="146"/>
      <c r="BN246" s="7"/>
      <c r="BO246" s="7"/>
      <c r="BP246" s="147"/>
      <c r="BQ246" s="5"/>
      <c r="BR246" s="5"/>
      <c r="BS246" s="1503"/>
      <c r="BT246" s="1503"/>
      <c r="BU246" s="1503"/>
      <c r="BV246" s="1503"/>
      <c r="BW246" s="1493"/>
      <c r="BX246"/>
      <c r="BY246"/>
      <c r="BZ246"/>
      <c r="CA246"/>
      <c r="CB246"/>
      <c r="CC246"/>
    </row>
    <row r="247" spans="1:81" s="19" customFormat="1">
      <c r="A247" s="108"/>
      <c r="B247" s="5"/>
      <c r="C247" s="1127" t="s">
        <v>546</v>
      </c>
      <c r="D247" s="5"/>
      <c r="E247" s="146"/>
      <c r="F247" s="7"/>
      <c r="G247" s="7"/>
      <c r="H247" s="147"/>
      <c r="I247" s="31"/>
      <c r="J247" s="146"/>
      <c r="K247" s="7"/>
      <c r="L247" s="7"/>
      <c r="M247" s="147"/>
      <c r="N247" s="5"/>
      <c r="O247" s="146"/>
      <c r="P247" s="7"/>
      <c r="Q247" s="7"/>
      <c r="R247" s="147"/>
      <c r="S247" s="5"/>
      <c r="T247" s="885"/>
      <c r="U247" s="886"/>
      <c r="V247" s="886"/>
      <c r="W247" s="887"/>
      <c r="X247" s="832"/>
      <c r="Y247" s="885">
        <f>(Y239/1000*Y245)</f>
        <v>73.880635500000011</v>
      </c>
      <c r="Z247" s="886">
        <f>(Z239/1000*Z245)</f>
        <v>73.880635500000011</v>
      </c>
      <c r="AA247" s="886">
        <f>(AA239/1000*AA245)</f>
        <v>73.880635500000011</v>
      </c>
      <c r="AB247" s="887">
        <f>(AB239/1000*AB245)</f>
        <v>73.880635500000011</v>
      </c>
      <c r="AC247" s="832">
        <f>SUM(Y247:AB247)</f>
        <v>295.52254200000004</v>
      </c>
      <c r="AD247" s="885">
        <f>(AD239/1000*AD245)</f>
        <v>74.619441855000005</v>
      </c>
      <c r="AE247" s="886">
        <f>(AE239/1000*AE245)</f>
        <v>74.619441855000005</v>
      </c>
      <c r="AF247" s="886">
        <f>(AF239/1000*AF245)</f>
        <v>74.619441855000005</v>
      </c>
      <c r="AG247" s="887">
        <f>(AG239/1000*AG245)</f>
        <v>74.619441855000005</v>
      </c>
      <c r="AH247" s="832">
        <f>SUM(AD247:AG247)</f>
        <v>298.47776742000002</v>
      </c>
      <c r="AI247" s="885">
        <f>(AI239/1000*AI245)</f>
        <v>75.36563627355001</v>
      </c>
      <c r="AJ247" s="886">
        <f>(AJ239/1000*AJ245)</f>
        <v>75.36563627355001</v>
      </c>
      <c r="AK247" s="886">
        <f>(AK239/1000*AK245)</f>
        <v>75.36563627355001</v>
      </c>
      <c r="AL247" s="887">
        <f>(AL239/1000*AL245)</f>
        <v>75.36563627355001</v>
      </c>
      <c r="AM247" s="832">
        <f>SUM(AI247:AL247)</f>
        <v>301.46254509420004</v>
      </c>
      <c r="AN247" s="885">
        <f>(AN239/1000*AN245)</f>
        <v>85.327546499999997</v>
      </c>
      <c r="AO247" s="886">
        <f>(AO239/1000*AO245)</f>
        <v>85.327546499999997</v>
      </c>
      <c r="AP247" s="886">
        <f>(AP239/1000*AP245)</f>
        <v>85.327546499999997</v>
      </c>
      <c r="AQ247" s="887">
        <f>(AQ239/1000*AQ245)</f>
        <v>85.327546499999997</v>
      </c>
      <c r="AR247" s="832">
        <f>SUM(AN247:AQ247)</f>
        <v>341.31018599999999</v>
      </c>
      <c r="AS247" s="885">
        <f>(AS239/1000*AS245)</f>
        <v>83.990617200000003</v>
      </c>
      <c r="AT247" s="886">
        <f>(AT239/1000*AT245)</f>
        <v>83.990617200000003</v>
      </c>
      <c r="AU247" s="886">
        <f t="shared" ref="AU247" si="689">(AU239/1000*AU245)</f>
        <v>83.990617200000003</v>
      </c>
      <c r="AV247" s="887">
        <f>(AV239/1000*AV245)</f>
        <v>83.990617200000003</v>
      </c>
      <c r="AW247" s="832">
        <f>SUM(AS247:AV247)</f>
        <v>335.96246880000001</v>
      </c>
      <c r="AX247" s="885">
        <f>(AX239/1000*AX245)</f>
        <v>86.323689900000005</v>
      </c>
      <c r="AY247" s="886">
        <f>(AY239/1000*AY245)</f>
        <v>86.323689900000005</v>
      </c>
      <c r="AZ247" s="886">
        <f>(AZ239/1000*AZ245)</f>
        <v>86.323689900000005</v>
      </c>
      <c r="BA247" s="887">
        <f>(BA239/1000*BA245)</f>
        <v>86.323689900000005</v>
      </c>
      <c r="BB247" s="832">
        <f>SUM(AX247:BA247)</f>
        <v>345.29475960000002</v>
      </c>
      <c r="BC247" s="885">
        <f>(BC239/1000*BC245)</f>
        <v>87.186926799000005</v>
      </c>
      <c r="BD247" s="886">
        <f>(BD239/1000*BD245)</f>
        <v>87.186926799000005</v>
      </c>
      <c r="BE247" s="886">
        <f>(BE239/1000*BE245)</f>
        <v>87.186926799000005</v>
      </c>
      <c r="BF247" s="887">
        <f>(BF239/1000*BF245)</f>
        <v>87.186926799000005</v>
      </c>
      <c r="BG247" s="832">
        <f>SUM(BC247:BF247)</f>
        <v>348.74770719600002</v>
      </c>
      <c r="BH247" s="885">
        <f>(BH239/1000*BH245)</f>
        <v>88.058796066990013</v>
      </c>
      <c r="BI247" s="886">
        <f>(BI239/1000*BI245)</f>
        <v>88.058796066990013</v>
      </c>
      <c r="BJ247" s="886">
        <f>(BJ239/1000*BJ245)</f>
        <v>88.058796066990013</v>
      </c>
      <c r="BK247" s="887">
        <f>(BK239/1000*BK245)</f>
        <v>88.058796066990013</v>
      </c>
      <c r="BL247" s="832">
        <f>SUM(BH247:BK247)</f>
        <v>352.23518426796005</v>
      </c>
      <c r="BM247" s="885">
        <f>(BM239/1000*BM245)</f>
        <v>88.939384027659898</v>
      </c>
      <c r="BN247" s="886">
        <f>(BN239/1000*BN245)</f>
        <v>88.939384027659898</v>
      </c>
      <c r="BO247" s="886">
        <f>(BO239/1000*BO245)</f>
        <v>88.939384027659898</v>
      </c>
      <c r="BP247" s="887">
        <f>(BP239/1000*BP245)</f>
        <v>88.939384027659898</v>
      </c>
      <c r="BQ247" s="832">
        <f>SUM(BM247:BP247)</f>
        <v>355.75753611063959</v>
      </c>
      <c r="BR247" s="832"/>
      <c r="BS247" s="1503"/>
      <c r="BT247" s="1503"/>
      <c r="BU247" s="1503"/>
      <c r="BV247" s="1503"/>
      <c r="BW247" s="1493"/>
      <c r="BX247"/>
      <c r="BY247"/>
      <c r="BZ247"/>
      <c r="CA247"/>
      <c r="CB247"/>
      <c r="CC247"/>
    </row>
    <row r="248" spans="1:81" s="19" customFormat="1">
      <c r="A248" s="108"/>
      <c r="B248" s="5"/>
      <c r="C248" s="1127" t="s">
        <v>633</v>
      </c>
      <c r="D248" s="5"/>
      <c r="E248" s="146"/>
      <c r="F248" s="7"/>
      <c r="G248" s="7"/>
      <c r="H248" s="147"/>
      <c r="I248" s="31"/>
      <c r="J248" s="146"/>
      <c r="K248" s="7"/>
      <c r="L248" s="7"/>
      <c r="M248" s="147"/>
      <c r="N248" s="5"/>
      <c r="O248" s="146"/>
      <c r="P248" s="7"/>
      <c r="Q248" s="7"/>
      <c r="R248" s="147"/>
      <c r="S248" s="5"/>
      <c r="T248" s="885"/>
      <c r="U248" s="886"/>
      <c r="V248" s="886"/>
      <c r="W248" s="887"/>
      <c r="X248" s="832"/>
      <c r="Y248" s="885">
        <f>Y240/1000*Y245</f>
        <v>10.094427882000002</v>
      </c>
      <c r="Z248" s="886">
        <f>Z240/1000*Z245</f>
        <v>10.094427882000002</v>
      </c>
      <c r="AA248" s="886">
        <f>AA240/1000*AA245</f>
        <v>10.094427882000002</v>
      </c>
      <c r="AB248" s="887">
        <f>AB240/1000*AB245</f>
        <v>10.094427882000002</v>
      </c>
      <c r="AC248" s="832">
        <f>SUM(Y248:AB248)</f>
        <v>40.377711528000006</v>
      </c>
      <c r="AD248" s="885">
        <f>AD240/1000*AD245</f>
        <v>9.5484888702000035</v>
      </c>
      <c r="AE248" s="886">
        <f>AE240/1000*AE245</f>
        <v>9.5484888702000035</v>
      </c>
      <c r="AF248" s="886">
        <f>AF240/1000*AF245</f>
        <v>9.5484888702000035</v>
      </c>
      <c r="AG248" s="887">
        <f>AG240/1000*AG245</f>
        <v>9.5484888702000035</v>
      </c>
      <c r="AH248" s="832">
        <f>SUM(AD248:AG248)</f>
        <v>38.193955480800014</v>
      </c>
      <c r="AI248" s="885">
        <f>AI240/1000*AI245</f>
        <v>9.9544435200000017</v>
      </c>
      <c r="AJ248" s="886">
        <f>AJ240/1000*AJ245</f>
        <v>9.9544435200000017</v>
      </c>
      <c r="AK248" s="886">
        <f>AK240/1000*AK245</f>
        <v>9.9544435200000017</v>
      </c>
      <c r="AL248" s="887">
        <f>AL240/1000*AL245</f>
        <v>9.9544435200000017</v>
      </c>
      <c r="AM248" s="832">
        <f>SUM(AI248:AL248)</f>
        <v>39.817774080000007</v>
      </c>
      <c r="AN248" s="885">
        <f>AN240/1000*AN245</f>
        <v>10.401834239999999</v>
      </c>
      <c r="AO248" s="886">
        <f>AO240/1000*AO245</f>
        <v>10.401834239999999</v>
      </c>
      <c r="AP248" s="886">
        <f>AP240/1000*AP245</f>
        <v>10.401834239999999</v>
      </c>
      <c r="AQ248" s="887">
        <f>AQ240/1000*AQ245</f>
        <v>10.401834239999999</v>
      </c>
      <c r="AR248" s="832">
        <f>SUM(AN248:AQ248)</f>
        <v>41.607336959999998</v>
      </c>
      <c r="AS248" s="885">
        <f>AS240/1000*AS245</f>
        <v>1.5553818000000001</v>
      </c>
      <c r="AT248" s="886">
        <f>AT240/1000*AT245</f>
        <v>1.5553818000000001</v>
      </c>
      <c r="AU248" s="886">
        <f t="shared" ref="AU248" si="690">AU240/1000*AU245</f>
        <v>1.5553818000000001</v>
      </c>
      <c r="AV248" s="887">
        <f>AV240/1000*AV245</f>
        <v>1.5553818000000001</v>
      </c>
      <c r="AW248" s="832">
        <f>SUM(AS248:AV248)</f>
        <v>6.2215272000000006</v>
      </c>
      <c r="AX248" s="885">
        <f>AX240/1000*AX245</f>
        <v>1.5553818000000001</v>
      </c>
      <c r="AY248" s="886">
        <f>AY240/1000*AY245</f>
        <v>1.5553818000000001</v>
      </c>
      <c r="AZ248" s="886">
        <f>AZ240/1000*AZ245</f>
        <v>1.5553818000000001</v>
      </c>
      <c r="BA248" s="887">
        <f>BA240/1000*BA245</f>
        <v>1.5553818000000001</v>
      </c>
      <c r="BB248" s="832">
        <f>SUM(AX248:BA248)</f>
        <v>6.2215272000000006</v>
      </c>
      <c r="BC248" s="885">
        <f>BC240/1000*BC245</f>
        <v>3.1107636000000003</v>
      </c>
      <c r="BD248" s="886">
        <f>BD240/1000*BD245</f>
        <v>3.1107636000000003</v>
      </c>
      <c r="BE248" s="886">
        <f>BE240/1000*BE245</f>
        <v>3.1107636000000003</v>
      </c>
      <c r="BF248" s="887">
        <f>BF240/1000*BF245</f>
        <v>3.1107636000000003</v>
      </c>
      <c r="BG248" s="832">
        <f>SUM(BC248:BF248)</f>
        <v>12.443054400000001</v>
      </c>
      <c r="BH248" s="885">
        <f>BH240/1000*BH245</f>
        <v>3.1107636000000003</v>
      </c>
      <c r="BI248" s="886">
        <f>BI240/1000*BI245</f>
        <v>3.1107636000000003</v>
      </c>
      <c r="BJ248" s="886">
        <f>BJ240/1000*BJ245</f>
        <v>3.1107636000000003</v>
      </c>
      <c r="BK248" s="887">
        <f>BK240/1000*BK245</f>
        <v>3.1107636000000003</v>
      </c>
      <c r="BL248" s="832">
        <f>SUM(BH248:BK248)</f>
        <v>12.443054400000001</v>
      </c>
      <c r="BM248" s="885">
        <f>BM240/1000*BM245</f>
        <v>6.2215272000000006</v>
      </c>
      <c r="BN248" s="886">
        <f>BN240/1000*BN245</f>
        <v>6.2215272000000006</v>
      </c>
      <c r="BO248" s="886">
        <f>BO240/1000*BO245</f>
        <v>6.2215272000000006</v>
      </c>
      <c r="BP248" s="887">
        <f>BP240/1000*BP245</f>
        <v>6.2215272000000006</v>
      </c>
      <c r="BQ248" s="832">
        <f>SUM(BM248:BP248)</f>
        <v>24.886108800000002</v>
      </c>
      <c r="BR248" s="832"/>
      <c r="BS248" s="1503"/>
      <c r="BT248" s="1503"/>
      <c r="BU248" s="1503"/>
      <c r="BV248" s="1503"/>
      <c r="BW248" s="1493"/>
      <c r="BX248"/>
      <c r="BY248"/>
      <c r="BZ248"/>
      <c r="CA248"/>
      <c r="CB248"/>
      <c r="CC248"/>
    </row>
    <row r="249" spans="1:81" s="19" customFormat="1">
      <c r="A249" s="108"/>
      <c r="B249" s="5"/>
      <c r="C249" s="1128" t="s">
        <v>547</v>
      </c>
      <c r="D249" s="36"/>
      <c r="E249" s="122"/>
      <c r="F249" s="123"/>
      <c r="G249" s="123"/>
      <c r="H249" s="915"/>
      <c r="I249" s="31"/>
      <c r="J249" s="122"/>
      <c r="K249" s="123"/>
      <c r="L249" s="123"/>
      <c r="M249" s="915"/>
      <c r="N249" s="36"/>
      <c r="O249" s="122"/>
      <c r="P249" s="123"/>
      <c r="Q249" s="123"/>
      <c r="R249" s="915"/>
      <c r="S249" s="36"/>
      <c r="T249" s="180"/>
      <c r="U249" s="181"/>
      <c r="V249" s="181"/>
      <c r="W249" s="182"/>
      <c r="X249" s="110"/>
      <c r="Y249" s="180">
        <f t="shared" ref="Y249:AR249" si="691">Y247-Y248</f>
        <v>63.786207618000006</v>
      </c>
      <c r="Z249" s="181">
        <f t="shared" si="691"/>
        <v>63.786207618000006</v>
      </c>
      <c r="AA249" s="181">
        <f t="shared" si="691"/>
        <v>63.786207618000006</v>
      </c>
      <c r="AB249" s="182">
        <f t="shared" si="691"/>
        <v>63.786207618000006</v>
      </c>
      <c r="AC249" s="110">
        <f t="shared" si="691"/>
        <v>255.14483047200002</v>
      </c>
      <c r="AD249" s="180">
        <f t="shared" si="691"/>
        <v>65.070952984800002</v>
      </c>
      <c r="AE249" s="181">
        <f t="shared" si="691"/>
        <v>65.070952984800002</v>
      </c>
      <c r="AF249" s="181">
        <f t="shared" si="691"/>
        <v>65.070952984800002</v>
      </c>
      <c r="AG249" s="182">
        <f t="shared" si="691"/>
        <v>65.070952984800002</v>
      </c>
      <c r="AH249" s="110">
        <f t="shared" si="691"/>
        <v>260.28381193920001</v>
      </c>
      <c r="AI249" s="180">
        <f t="shared" si="691"/>
        <v>65.411192753550012</v>
      </c>
      <c r="AJ249" s="181">
        <f t="shared" si="691"/>
        <v>65.411192753550012</v>
      </c>
      <c r="AK249" s="181">
        <f t="shared" si="691"/>
        <v>65.411192753550012</v>
      </c>
      <c r="AL249" s="182">
        <f t="shared" si="691"/>
        <v>65.411192753550012</v>
      </c>
      <c r="AM249" s="110">
        <f t="shared" si="691"/>
        <v>261.64477101420005</v>
      </c>
      <c r="AN249" s="180">
        <f t="shared" ref="AN249" si="692">AN247-AN248</f>
        <v>74.925712259999997</v>
      </c>
      <c r="AO249" s="181">
        <f t="shared" si="691"/>
        <v>74.925712259999997</v>
      </c>
      <c r="AP249" s="181">
        <f t="shared" si="691"/>
        <v>74.925712259999997</v>
      </c>
      <c r="AQ249" s="182">
        <f t="shared" si="691"/>
        <v>74.925712259999997</v>
      </c>
      <c r="AR249" s="110">
        <f t="shared" si="691"/>
        <v>299.70284903999999</v>
      </c>
      <c r="AS249" s="180">
        <f t="shared" ref="AS249:BB249" si="693">AS247-AS248</f>
        <v>82.435235399999996</v>
      </c>
      <c r="AT249" s="181">
        <f t="shared" si="693"/>
        <v>82.435235399999996</v>
      </c>
      <c r="AU249" s="181">
        <f t="shared" ref="AU249" si="694">AU247-AU248</f>
        <v>82.435235399999996</v>
      </c>
      <c r="AV249" s="182">
        <f t="shared" si="693"/>
        <v>82.435235399999996</v>
      </c>
      <c r="AW249" s="110">
        <f t="shared" si="693"/>
        <v>329.74094159999999</v>
      </c>
      <c r="AX249" s="180">
        <f t="shared" si="693"/>
        <v>84.768308099999999</v>
      </c>
      <c r="AY249" s="181">
        <f t="shared" si="693"/>
        <v>84.768308099999999</v>
      </c>
      <c r="AZ249" s="181">
        <f t="shared" si="693"/>
        <v>84.768308099999999</v>
      </c>
      <c r="BA249" s="182">
        <f t="shared" si="693"/>
        <v>84.768308099999999</v>
      </c>
      <c r="BB249" s="110">
        <f t="shared" si="693"/>
        <v>339.07323239999999</v>
      </c>
      <c r="BC249" s="180">
        <f t="shared" ref="BC249:BL249" si="695">BC247-BC248</f>
        <v>84.076163199000007</v>
      </c>
      <c r="BD249" s="181">
        <f t="shared" si="695"/>
        <v>84.076163199000007</v>
      </c>
      <c r="BE249" s="181">
        <f t="shared" si="695"/>
        <v>84.076163199000007</v>
      </c>
      <c r="BF249" s="182">
        <f t="shared" si="695"/>
        <v>84.076163199000007</v>
      </c>
      <c r="BG249" s="110">
        <f t="shared" si="695"/>
        <v>336.30465279600003</v>
      </c>
      <c r="BH249" s="180">
        <f t="shared" si="695"/>
        <v>84.948032466990014</v>
      </c>
      <c r="BI249" s="181">
        <f t="shared" si="695"/>
        <v>84.948032466990014</v>
      </c>
      <c r="BJ249" s="181">
        <f t="shared" si="695"/>
        <v>84.948032466990014</v>
      </c>
      <c r="BK249" s="182">
        <f t="shared" si="695"/>
        <v>84.948032466990014</v>
      </c>
      <c r="BL249" s="110">
        <f t="shared" si="695"/>
        <v>339.79212986796006</v>
      </c>
      <c r="BM249" s="180">
        <f t="shared" ref="BM249:BQ249" si="696">BM247-BM248</f>
        <v>82.717856827659901</v>
      </c>
      <c r="BN249" s="181">
        <f t="shared" si="696"/>
        <v>82.717856827659901</v>
      </c>
      <c r="BO249" s="181">
        <f t="shared" si="696"/>
        <v>82.717856827659901</v>
      </c>
      <c r="BP249" s="182">
        <f t="shared" si="696"/>
        <v>82.717856827659901</v>
      </c>
      <c r="BQ249" s="110">
        <f t="shared" si="696"/>
        <v>330.8714273106396</v>
      </c>
      <c r="BR249" s="110"/>
      <c r="BS249" s="1503"/>
      <c r="BT249" s="1503"/>
      <c r="BU249" s="1503"/>
      <c r="BV249" s="1503"/>
      <c r="BW249" s="1493"/>
      <c r="BX249"/>
      <c r="BY249"/>
      <c r="BZ249"/>
      <c r="CA249"/>
      <c r="CB249"/>
      <c r="CC249"/>
    </row>
    <row r="250" spans="1:81" s="19" customFormat="1">
      <c r="A250" s="108"/>
      <c r="B250" s="5"/>
      <c r="C250" s="1155"/>
      <c r="E250" s="122"/>
      <c r="F250" s="123"/>
      <c r="G250" s="123"/>
      <c r="H250" s="915"/>
      <c r="I250" s="31"/>
      <c r="J250" s="122"/>
      <c r="K250" s="123"/>
      <c r="L250" s="123"/>
      <c r="M250" s="915"/>
      <c r="N250" s="36"/>
      <c r="O250" s="122"/>
      <c r="P250" s="123"/>
      <c r="Q250" s="123"/>
      <c r="R250" s="915"/>
      <c r="T250" s="171"/>
      <c r="U250" s="172"/>
      <c r="V250" s="172"/>
      <c r="W250" s="173"/>
      <c r="X250" s="408"/>
      <c r="Y250" s="171"/>
      <c r="Z250" s="172"/>
      <c r="AA250" s="172"/>
      <c r="AB250" s="173"/>
      <c r="AC250" s="408"/>
      <c r="AD250" s="171"/>
      <c r="AE250" s="172"/>
      <c r="AF250" s="172"/>
      <c r="AG250" s="173"/>
      <c r="AH250" s="408"/>
      <c r="AI250" s="171"/>
      <c r="AJ250" s="172"/>
      <c r="AK250" s="172"/>
      <c r="AL250" s="173"/>
      <c r="AM250" s="408"/>
      <c r="AN250" s="171"/>
      <c r="AO250" s="172"/>
      <c r="AP250" s="172"/>
      <c r="AQ250" s="173"/>
      <c r="AR250" s="408"/>
      <c r="AS250" s="171"/>
      <c r="AT250" s="172"/>
      <c r="AU250" s="172"/>
      <c r="AV250" s="173"/>
      <c r="AW250" s="408"/>
      <c r="AX250" s="171"/>
      <c r="AY250" s="172"/>
      <c r="AZ250" s="172"/>
      <c r="BA250" s="173"/>
      <c r="BB250" s="408"/>
      <c r="BC250" s="171"/>
      <c r="BD250" s="172"/>
      <c r="BE250" s="172"/>
      <c r="BF250" s="173"/>
      <c r="BG250" s="408"/>
      <c r="BH250" s="171"/>
      <c r="BI250" s="172"/>
      <c r="BJ250" s="172"/>
      <c r="BK250" s="173"/>
      <c r="BL250" s="408"/>
      <c r="BM250" s="171"/>
      <c r="BN250" s="172"/>
      <c r="BO250" s="172"/>
      <c r="BP250" s="173"/>
      <c r="BQ250" s="408"/>
      <c r="BR250" s="408"/>
      <c r="BS250" s="1503"/>
      <c r="BT250" s="1503"/>
      <c r="BU250" s="1503"/>
      <c r="BV250" s="1503"/>
      <c r="BW250" s="1493"/>
      <c r="BX250"/>
      <c r="BY250"/>
      <c r="BZ250"/>
      <c r="CA250"/>
      <c r="CB250"/>
      <c r="CC250"/>
    </row>
    <row r="251" spans="1:81" s="19" customFormat="1">
      <c r="A251" s="108"/>
      <c r="B251" s="5"/>
      <c r="C251" s="1125"/>
      <c r="D251" s="5"/>
      <c r="E251" s="171"/>
      <c r="F251" s="172"/>
      <c r="G251" s="172"/>
      <c r="H251" s="173"/>
      <c r="I251" s="408"/>
      <c r="J251" s="171"/>
      <c r="K251" s="172"/>
      <c r="L251" s="172"/>
      <c r="M251" s="173"/>
      <c r="N251" s="408"/>
      <c r="O251" s="171"/>
      <c r="P251" s="172"/>
      <c r="Q251" s="172"/>
      <c r="R251" s="173"/>
      <c r="S251" s="408"/>
      <c r="T251" s="171"/>
      <c r="U251" s="172"/>
      <c r="V251" s="172"/>
      <c r="W251" s="173"/>
      <c r="X251" s="408"/>
      <c r="Y251" s="171"/>
      <c r="Z251" s="172"/>
      <c r="AA251" s="172"/>
      <c r="AB251" s="173"/>
      <c r="AC251" s="408"/>
      <c r="AD251" s="171"/>
      <c r="AE251" s="172"/>
      <c r="AF251" s="172"/>
      <c r="AG251" s="173"/>
      <c r="AH251" s="408"/>
      <c r="AI251" s="171"/>
      <c r="AJ251" s="172"/>
      <c r="AK251" s="172"/>
      <c r="AL251" s="173"/>
      <c r="AM251" s="408"/>
      <c r="AN251" s="171"/>
      <c r="AO251" s="172"/>
      <c r="AP251" s="172"/>
      <c r="AQ251" s="173"/>
      <c r="AR251" s="408"/>
      <c r="AS251" s="171"/>
      <c r="AT251" s="172"/>
      <c r="AU251" s="172"/>
      <c r="AV251" s="173"/>
      <c r="AW251" s="408"/>
      <c r="AX251" s="171"/>
      <c r="AY251" s="172"/>
      <c r="AZ251" s="172"/>
      <c r="BA251" s="173"/>
      <c r="BB251" s="408"/>
      <c r="BC251" s="171"/>
      <c r="BD251" s="172"/>
      <c r="BE251" s="172"/>
      <c r="BF251" s="173"/>
      <c r="BG251" s="408"/>
      <c r="BH251" s="171"/>
      <c r="BI251" s="172"/>
      <c r="BJ251" s="172"/>
      <c r="BK251" s="173"/>
      <c r="BL251" s="408"/>
      <c r="BM251" s="171"/>
      <c r="BN251" s="172"/>
      <c r="BO251" s="172"/>
      <c r="BP251" s="173"/>
      <c r="BQ251" s="408"/>
      <c r="BR251" s="408"/>
      <c r="BS251" s="1503"/>
      <c r="BT251" s="1503"/>
      <c r="BU251" s="1503"/>
      <c r="BV251" s="1503"/>
      <c r="BW251" s="1493"/>
      <c r="BX251"/>
      <c r="BY251"/>
      <c r="BZ251"/>
      <c r="CA251"/>
      <c r="CB251"/>
      <c r="CC251"/>
    </row>
    <row r="252" spans="1:81" s="19" customFormat="1">
      <c r="A252" s="108"/>
      <c r="B252" s="91" t="s">
        <v>566</v>
      </c>
      <c r="C252" s="1144"/>
      <c r="D252" s="92"/>
      <c r="E252" s="146"/>
      <c r="F252" s="7"/>
      <c r="G252" s="7"/>
      <c r="H252" s="147"/>
      <c r="I252" s="31"/>
      <c r="J252" s="146"/>
      <c r="K252" s="7"/>
      <c r="L252" s="7"/>
      <c r="M252" s="147"/>
      <c r="N252" s="5"/>
      <c r="O252" s="146"/>
      <c r="P252" s="7"/>
      <c r="Q252" s="7"/>
      <c r="R252" s="147"/>
      <c r="S252" s="5"/>
      <c r="T252" s="146"/>
      <c r="U252" s="7"/>
      <c r="V252" s="7"/>
      <c r="W252" s="147"/>
      <c r="X252" s="5"/>
      <c r="Y252" s="146"/>
      <c r="Z252" s="7"/>
      <c r="AA252" s="7"/>
      <c r="AB252" s="147"/>
      <c r="AC252" s="5"/>
      <c r="AD252" s="146"/>
      <c r="AE252" s="7"/>
      <c r="AF252" s="7"/>
      <c r="AG252" s="147"/>
      <c r="AH252" s="5"/>
      <c r="AI252" s="146"/>
      <c r="AJ252" s="7"/>
      <c r="AK252" s="7"/>
      <c r="AL252" s="147"/>
      <c r="AM252" s="5"/>
      <c r="AN252" s="146"/>
      <c r="AO252" s="7"/>
      <c r="AP252" s="7"/>
      <c r="AQ252" s="147"/>
      <c r="AR252" s="5"/>
      <c r="AS252" s="146"/>
      <c r="AT252" s="7"/>
      <c r="AU252" s="7"/>
      <c r="AV252" s="147"/>
      <c r="AW252" s="5"/>
      <c r="AX252" s="146"/>
      <c r="AY252" s="7"/>
      <c r="AZ252" s="7"/>
      <c r="BA252" s="147"/>
      <c r="BB252" s="5"/>
      <c r="BC252" s="146"/>
      <c r="BD252" s="7"/>
      <c r="BE252" s="7"/>
      <c r="BF252" s="147"/>
      <c r="BG252" s="5"/>
      <c r="BH252" s="146"/>
      <c r="BI252" s="7"/>
      <c r="BJ252" s="7"/>
      <c r="BK252" s="147"/>
      <c r="BL252" s="5"/>
      <c r="BM252" s="146"/>
      <c r="BN252" s="7"/>
      <c r="BO252" s="7"/>
      <c r="BP252" s="147"/>
      <c r="BQ252" s="5"/>
      <c r="BR252" s="5"/>
      <c r="BS252" s="1503"/>
      <c r="BT252" s="1503"/>
      <c r="BU252" s="1503"/>
      <c r="BV252" s="1503"/>
      <c r="BW252" s="1493"/>
      <c r="BX252"/>
      <c r="BY252"/>
      <c r="BZ252"/>
      <c r="CA252"/>
      <c r="CB252"/>
      <c r="CC252"/>
    </row>
    <row r="253" spans="1:81" s="19" customFormat="1">
      <c r="A253" s="108"/>
      <c r="B253" s="5"/>
      <c r="C253" s="1125"/>
      <c r="D253" s="5"/>
      <c r="E253" s="146"/>
      <c r="F253" s="7"/>
      <c r="G253" s="7"/>
      <c r="H253" s="147"/>
      <c r="I253" s="31"/>
      <c r="J253" s="146"/>
      <c r="K253" s="7"/>
      <c r="L253" s="7"/>
      <c r="M253" s="147"/>
      <c r="N253" s="5"/>
      <c r="O253" s="146"/>
      <c r="P253" s="7"/>
      <c r="Q253" s="7"/>
      <c r="R253" s="147"/>
      <c r="S253" s="5"/>
      <c r="T253" s="146"/>
      <c r="U253" s="7"/>
      <c r="V253" s="7"/>
      <c r="W253" s="147"/>
      <c r="X253" s="5"/>
      <c r="Y253" s="146"/>
      <c r="Z253" s="7"/>
      <c r="AA253" s="7"/>
      <c r="AB253" s="147"/>
      <c r="AC253" s="5"/>
      <c r="AD253" s="146"/>
      <c r="AE253" s="7"/>
      <c r="AF253" s="7"/>
      <c r="AG253" s="147"/>
      <c r="AH253" s="5"/>
      <c r="AI253" s="146"/>
      <c r="AJ253" s="7"/>
      <c r="AK253" s="7"/>
      <c r="AL253" s="147"/>
      <c r="AM253" s="5"/>
      <c r="AN253" s="146"/>
      <c r="AO253" s="7"/>
      <c r="AP253" s="7"/>
      <c r="AQ253" s="147"/>
      <c r="AR253" s="5"/>
      <c r="AS253" s="146"/>
      <c r="AT253" s="7"/>
      <c r="AU253" s="7"/>
      <c r="AV253" s="147"/>
      <c r="AW253" s="5"/>
      <c r="AX253" s="146"/>
      <c r="AY253" s="7"/>
      <c r="AZ253" s="7"/>
      <c r="BA253" s="147"/>
      <c r="BB253" s="5"/>
      <c r="BC253" s="146"/>
      <c r="BD253" s="7"/>
      <c r="BE253" s="7"/>
      <c r="BF253" s="147"/>
      <c r="BG253" s="5"/>
      <c r="BH253" s="146"/>
      <c r="BI253" s="7"/>
      <c r="BJ253" s="7"/>
      <c r="BK253" s="147"/>
      <c r="BL253" s="5"/>
      <c r="BM253" s="146"/>
      <c r="BN253" s="7"/>
      <c r="BO253" s="7"/>
      <c r="BP253" s="147"/>
      <c r="BQ253" s="5"/>
      <c r="BR253" s="5"/>
      <c r="BS253" s="1503"/>
      <c r="BT253" s="1503"/>
      <c r="BU253" s="1503"/>
      <c r="BV253" s="1503"/>
      <c r="BW253" s="1493"/>
      <c r="BX253"/>
      <c r="BY253"/>
      <c r="BZ253"/>
      <c r="CA253"/>
      <c r="CB253"/>
      <c r="CC253"/>
    </row>
    <row r="254" spans="1:81" s="19" customFormat="1">
      <c r="A254" s="108"/>
      <c r="B254" s="5"/>
      <c r="C254" s="1153" t="s">
        <v>567</v>
      </c>
      <c r="D254" s="5"/>
      <c r="E254" s="146"/>
      <c r="F254" s="7"/>
      <c r="G254" s="7"/>
      <c r="H254" s="147"/>
      <c r="I254" s="31"/>
      <c r="J254" s="146"/>
      <c r="K254" s="7"/>
      <c r="L254" s="7"/>
      <c r="M254" s="147"/>
      <c r="N254" s="5"/>
      <c r="O254" s="146"/>
      <c r="P254" s="7"/>
      <c r="Q254" s="7"/>
      <c r="R254" s="147"/>
      <c r="S254" s="5"/>
      <c r="T254" s="146"/>
      <c r="U254" s="7"/>
      <c r="V254" s="7"/>
      <c r="W254" s="147"/>
      <c r="X254" s="5"/>
      <c r="Y254" s="146"/>
      <c r="Z254" s="7"/>
      <c r="AA254" s="7"/>
      <c r="AB254" s="147"/>
      <c r="AC254" s="5"/>
      <c r="AD254" s="146"/>
      <c r="AE254" s="7"/>
      <c r="AF254" s="7"/>
      <c r="AG254" s="147"/>
      <c r="AH254" s="5"/>
      <c r="AI254" s="146"/>
      <c r="AJ254" s="7"/>
      <c r="AK254" s="7"/>
      <c r="AL254" s="147"/>
      <c r="AM254" s="5"/>
      <c r="AN254" s="146"/>
      <c r="AO254" s="7"/>
      <c r="AP254" s="7"/>
      <c r="AQ254" s="147"/>
      <c r="AR254" s="5"/>
      <c r="AS254" s="146"/>
      <c r="AT254" s="7"/>
      <c r="AU254" s="7"/>
      <c r="AV254" s="147"/>
      <c r="AW254" s="5"/>
      <c r="AX254" s="146"/>
      <c r="AY254" s="7"/>
      <c r="AZ254" s="7"/>
      <c r="BA254" s="147"/>
      <c r="BB254" s="5"/>
      <c r="BC254" s="146"/>
      <c r="BD254" s="7"/>
      <c r="BE254" s="7"/>
      <c r="BF254" s="147"/>
      <c r="BG254" s="5"/>
      <c r="BH254" s="146"/>
      <c r="BI254" s="7"/>
      <c r="BJ254" s="7"/>
      <c r="BK254" s="147"/>
      <c r="BL254" s="5"/>
      <c r="BM254" s="146"/>
      <c r="BN254" s="7"/>
      <c r="BO254" s="7"/>
      <c r="BP254" s="147"/>
      <c r="BQ254" s="5"/>
      <c r="BR254" s="5"/>
      <c r="BS254" s="1503"/>
      <c r="BT254" s="1503"/>
      <c r="BU254" s="1503"/>
      <c r="BV254" s="1503"/>
      <c r="BW254" s="1493"/>
      <c r="BX254"/>
      <c r="BY254"/>
      <c r="BZ254"/>
      <c r="CA254"/>
      <c r="CB254"/>
      <c r="CC254"/>
    </row>
    <row r="255" spans="1:81" s="19" customFormat="1">
      <c r="A255" s="108"/>
      <c r="B255" s="5"/>
      <c r="C255" s="1127" t="s">
        <v>546</v>
      </c>
      <c r="D255" s="5"/>
      <c r="E255" s="146"/>
      <c r="F255" s="7"/>
      <c r="G255" s="7"/>
      <c r="H255" s="147"/>
      <c r="I255" s="31"/>
      <c r="J255" s="146"/>
      <c r="K255" s="7"/>
      <c r="L255" s="7"/>
      <c r="M255" s="147"/>
      <c r="N255" s="5"/>
      <c r="O255" s="146"/>
      <c r="P255" s="7"/>
      <c r="Q255" s="7"/>
      <c r="R255" s="147"/>
      <c r="S255" s="5"/>
      <c r="T255" s="885"/>
      <c r="U255" s="886"/>
      <c r="V255" s="886"/>
      <c r="W255" s="887"/>
      <c r="X255" s="832"/>
      <c r="Y255" s="885">
        <f t="shared" ref="Y255:AR255" si="697">Y279+Y299+Y313</f>
        <v>79.308614965413938</v>
      </c>
      <c r="Z255" s="886">
        <f t="shared" si="697"/>
        <v>36.414137259458705</v>
      </c>
      <c r="AA255" s="886">
        <f t="shared" si="697"/>
        <v>57.992939284340402</v>
      </c>
      <c r="AB255" s="887">
        <f t="shared" si="697"/>
        <v>64.446849015325043</v>
      </c>
      <c r="AC255" s="832">
        <f t="shared" si="697"/>
        <v>238.16254052453809</v>
      </c>
      <c r="AD255" s="885">
        <f t="shared" si="697"/>
        <v>155.91696081369531</v>
      </c>
      <c r="AE255" s="886">
        <f t="shared" si="697"/>
        <v>36.62308004258049</v>
      </c>
      <c r="AF255" s="886">
        <f t="shared" si="697"/>
        <v>33.783462668345777</v>
      </c>
      <c r="AG255" s="887">
        <f t="shared" si="697"/>
        <v>36.99596546258725</v>
      </c>
      <c r="AH255" s="832">
        <f t="shared" si="697"/>
        <v>263.31946898720889</v>
      </c>
      <c r="AI255" s="885">
        <f t="shared" si="697"/>
        <v>82.192319632287152</v>
      </c>
      <c r="AJ255" s="886">
        <f t="shared" si="697"/>
        <v>34.247161194666852</v>
      </c>
      <c r="AK255" s="886">
        <f t="shared" si="697"/>
        <v>44.081471645192309</v>
      </c>
      <c r="AL255" s="887">
        <f t="shared" si="697"/>
        <v>35.091295909255685</v>
      </c>
      <c r="AM255" s="832">
        <f t="shared" si="697"/>
        <v>195.612248381402</v>
      </c>
      <c r="AN255" s="885">
        <f t="shared" ref="AN255" si="698">AN279+AN299+AN313</f>
        <v>17.122527467822479</v>
      </c>
      <c r="AO255" s="886">
        <f t="shared" si="697"/>
        <v>17.122527467822479</v>
      </c>
      <c r="AP255" s="886">
        <f t="shared" ref="AP255" si="699">AP279+AP299+AP313</f>
        <v>5.7353590201339273</v>
      </c>
      <c r="AQ255" s="887">
        <f t="shared" si="697"/>
        <v>5.7353590201339273</v>
      </c>
      <c r="AR255" s="832">
        <f t="shared" si="697"/>
        <v>45.715772975912813</v>
      </c>
      <c r="AS255" s="885">
        <f t="shared" ref="AS255:AW256" si="700">AS279+AS299+AS313</f>
        <v>5.8036429916015644</v>
      </c>
      <c r="AT255" s="886">
        <f t="shared" si="700"/>
        <v>7.0593688431738268</v>
      </c>
      <c r="AU255" s="886">
        <f t="shared" ref="AU255" si="701">AU279+AU299+AU313</f>
        <v>15.579116343363101</v>
      </c>
      <c r="AV255" s="887">
        <f t="shared" si="700"/>
        <v>15.791083129032739</v>
      </c>
      <c r="AW255" s="832">
        <f t="shared" si="700"/>
        <v>44.233211307171231</v>
      </c>
      <c r="AX255" s="885">
        <f t="shared" ref="AX255:BB256" si="702">AX279+AX299+AX313</f>
        <v>18.628233923222055</v>
      </c>
      <c r="AY255" s="886">
        <f t="shared" si="702"/>
        <v>19.096303599999995</v>
      </c>
      <c r="AZ255" s="886">
        <f t="shared" si="702"/>
        <v>17.168859050000002</v>
      </c>
      <c r="BA255" s="887">
        <f t="shared" si="702"/>
        <v>19.241254224999999</v>
      </c>
      <c r="BB255" s="832">
        <f t="shared" si="702"/>
        <v>74.134650798222054</v>
      </c>
      <c r="BC255" s="885">
        <f t="shared" ref="BC255:BL255" si="703">BC279+BC299+BC313</f>
        <v>27.260090564819144</v>
      </c>
      <c r="BD255" s="886">
        <f t="shared" si="703"/>
        <v>17.878321461047328</v>
      </c>
      <c r="BE255" s="886">
        <f t="shared" si="703"/>
        <v>16.107176664046683</v>
      </c>
      <c r="BF255" s="887">
        <f t="shared" si="703"/>
        <v>7.6748958562603944</v>
      </c>
      <c r="BG255" s="832">
        <f t="shared" si="703"/>
        <v>68.920484546173554</v>
      </c>
      <c r="BH255" s="885">
        <f t="shared" si="703"/>
        <v>27.041489705600597</v>
      </c>
      <c r="BI255" s="886">
        <f t="shared" si="703"/>
        <v>17.735133192020115</v>
      </c>
      <c r="BJ255" s="886">
        <f t="shared" si="703"/>
        <v>15.97845750067178</v>
      </c>
      <c r="BK255" s="887">
        <f t="shared" si="703"/>
        <v>7.6113548475127928</v>
      </c>
      <c r="BL255" s="832">
        <f t="shared" si="703"/>
        <v>68.366435245805292</v>
      </c>
      <c r="BM255" s="885">
        <f t="shared" ref="BM255:BQ255" si="704">BM279+BM299+BM313</f>
        <v>18.967954826035609</v>
      </c>
      <c r="BN255" s="886">
        <f t="shared" si="704"/>
        <v>18.967954826035609</v>
      </c>
      <c r="BO255" s="886">
        <f t="shared" si="704"/>
        <v>18.967954826035609</v>
      </c>
      <c r="BP255" s="887">
        <f t="shared" si="704"/>
        <v>18.967954826035609</v>
      </c>
      <c r="BQ255" s="832">
        <f t="shared" si="704"/>
        <v>75.871819304142434</v>
      </c>
      <c r="BR255" s="832"/>
      <c r="BS255" s="1503"/>
      <c r="BT255" s="1503"/>
      <c r="BU255" s="1503"/>
      <c r="BV255" s="1503"/>
      <c r="BW255" s="1493"/>
      <c r="BX255"/>
      <c r="BY255"/>
      <c r="BZ255"/>
      <c r="CA255"/>
      <c r="CB255"/>
      <c r="CC255"/>
    </row>
    <row r="256" spans="1:81" s="19" customFormat="1">
      <c r="A256" s="108"/>
      <c r="B256" s="5"/>
      <c r="C256" s="1127" t="s">
        <v>633</v>
      </c>
      <c r="D256" s="5"/>
      <c r="E256" s="146"/>
      <c r="F256" s="7"/>
      <c r="G256" s="7"/>
      <c r="H256" s="147"/>
      <c r="I256" s="31"/>
      <c r="J256" s="146"/>
      <c r="K256" s="7"/>
      <c r="L256" s="7"/>
      <c r="M256" s="147"/>
      <c r="N256" s="5"/>
      <c r="O256" s="146"/>
      <c r="P256" s="7"/>
      <c r="Q256" s="7"/>
      <c r="R256" s="147"/>
      <c r="S256" s="5"/>
      <c r="T256" s="885"/>
      <c r="U256" s="886"/>
      <c r="V256" s="886"/>
      <c r="W256" s="887"/>
      <c r="X256" s="832"/>
      <c r="Y256" s="885">
        <f t="shared" ref="Y256:AR256" si="705">Y280+Y300+Y314</f>
        <v>36.536254511220001</v>
      </c>
      <c r="Z256" s="886">
        <f t="shared" si="705"/>
        <v>25.75985409217266</v>
      </c>
      <c r="AA256" s="886">
        <f t="shared" si="705"/>
        <v>33.301945720846881</v>
      </c>
      <c r="AB256" s="887">
        <f t="shared" si="705"/>
        <v>36.651304325315628</v>
      </c>
      <c r="AC256" s="832">
        <f t="shared" si="705"/>
        <v>132.24935864955518</v>
      </c>
      <c r="AD256" s="885">
        <f t="shared" si="705"/>
        <v>105.14145488142296</v>
      </c>
      <c r="AE256" s="886">
        <f t="shared" si="705"/>
        <v>24.656033648685934</v>
      </c>
      <c r="AF256" s="886">
        <f t="shared" si="705"/>
        <v>18.297085662703122</v>
      </c>
      <c r="AG256" s="887">
        <f t="shared" si="705"/>
        <v>20.872942987563288</v>
      </c>
      <c r="AH256" s="832">
        <f t="shared" si="705"/>
        <v>168.9675171803753</v>
      </c>
      <c r="AI256" s="885">
        <f>AI280+AI300+AI314</f>
        <v>55.842061400070989</v>
      </c>
      <c r="AJ256" s="886">
        <f t="shared" si="705"/>
        <v>23.130907823347616</v>
      </c>
      <c r="AK256" s="886">
        <f t="shared" si="705"/>
        <v>23.572410477290628</v>
      </c>
      <c r="AL256" s="887">
        <f t="shared" si="705"/>
        <v>17.878383186490481</v>
      </c>
      <c r="AM256" s="832">
        <f t="shared" si="705"/>
        <v>120.42376288719973</v>
      </c>
      <c r="AN256" s="885">
        <f>AN280+AN300+AN314</f>
        <v>9.842945368790625</v>
      </c>
      <c r="AO256" s="886">
        <f t="shared" si="705"/>
        <v>9.842945368790625</v>
      </c>
      <c r="AP256" s="886">
        <f t="shared" ref="AP256" si="706">AP280+AP300+AP314</f>
        <v>4.5176770449362911</v>
      </c>
      <c r="AQ256" s="887">
        <f t="shared" si="705"/>
        <v>4.5176770449362911</v>
      </c>
      <c r="AR256" s="832">
        <f t="shared" si="705"/>
        <v>28.72124482745383</v>
      </c>
      <c r="AS256" s="885">
        <f t="shared" si="700"/>
        <v>4.4857782839758062</v>
      </c>
      <c r="AT256" s="886">
        <f t="shared" si="700"/>
        <v>4.5846393530273435</v>
      </c>
      <c r="AU256" s="886">
        <f t="shared" ref="AU256" si="707">AU280+AU300+AU314</f>
        <v>12.145033481840475</v>
      </c>
      <c r="AV256" s="887">
        <f t="shared" si="700"/>
        <v>11.881708323866128</v>
      </c>
      <c r="AW256" s="832">
        <f t="shared" si="700"/>
        <v>33.097159442709753</v>
      </c>
      <c r="AX256" s="885">
        <f t="shared" si="702"/>
        <v>14.335061194062298</v>
      </c>
      <c r="AY256" s="886">
        <f t="shared" si="702"/>
        <v>12.348317204600001</v>
      </c>
      <c r="AZ256" s="886">
        <f t="shared" si="702"/>
        <v>12.971954073000001</v>
      </c>
      <c r="BA256" s="887">
        <f t="shared" si="702"/>
        <v>13.371327437000001</v>
      </c>
      <c r="BB256" s="832">
        <f t="shared" si="702"/>
        <v>53.026659908662296</v>
      </c>
      <c r="BC256" s="885">
        <f t="shared" ref="BC256:BL256" si="708">BC280+BC300+BC314</f>
        <v>13.376063226167643</v>
      </c>
      <c r="BD256" s="886">
        <f t="shared" si="708"/>
        <v>11.723968959150904</v>
      </c>
      <c r="BE256" s="886">
        <f t="shared" si="708"/>
        <v>11.878852796683725</v>
      </c>
      <c r="BF256" s="887">
        <f t="shared" si="708"/>
        <v>5.9879891774423415</v>
      </c>
      <c r="BG256" s="832">
        <f t="shared" si="708"/>
        <v>42.966874159444615</v>
      </c>
      <c r="BH256" s="885">
        <f t="shared" si="708"/>
        <v>13.576013437466578</v>
      </c>
      <c r="BI256" s="886">
        <f t="shared" si="708"/>
        <v>11.899223070245295</v>
      </c>
      <c r="BJ256" s="886">
        <f t="shared" si="708"/>
        <v>12.056422167172292</v>
      </c>
      <c r="BK256" s="887">
        <f t="shared" si="708"/>
        <v>6.0774997966014253</v>
      </c>
      <c r="BL256" s="832">
        <f t="shared" si="708"/>
        <v>43.609158471485586</v>
      </c>
      <c r="BM256" s="885">
        <f t="shared" ref="BM256:BQ256" si="709">BM280+BM300+BM314</f>
        <v>12.793676107387499</v>
      </c>
      <c r="BN256" s="886">
        <f t="shared" si="709"/>
        <v>12.793676107387499</v>
      </c>
      <c r="BO256" s="886">
        <f t="shared" si="709"/>
        <v>12.793676107387499</v>
      </c>
      <c r="BP256" s="887">
        <f t="shared" si="709"/>
        <v>12.793676107387499</v>
      </c>
      <c r="BQ256" s="832">
        <f t="shared" si="709"/>
        <v>51.174704429549998</v>
      </c>
      <c r="BR256" s="832"/>
      <c r="BS256" s="1503"/>
      <c r="BT256" s="1503"/>
      <c r="BU256" s="1503"/>
      <c r="BV256" s="1503"/>
      <c r="BW256" s="1493"/>
      <c r="BX256"/>
      <c r="BY256"/>
      <c r="BZ256"/>
      <c r="CA256"/>
      <c r="CB256"/>
      <c r="CC256"/>
    </row>
    <row r="257" spans="1:81" s="19" customFormat="1">
      <c r="A257" s="108"/>
      <c r="B257" s="5"/>
      <c r="C257" s="1128" t="s">
        <v>547</v>
      </c>
      <c r="D257" s="36"/>
      <c r="E257" s="122"/>
      <c r="F257" s="123"/>
      <c r="G257" s="123"/>
      <c r="H257" s="915"/>
      <c r="I257" s="31"/>
      <c r="J257" s="122"/>
      <c r="K257" s="123"/>
      <c r="L257" s="123"/>
      <c r="M257" s="915"/>
      <c r="N257" s="36"/>
      <c r="O257" s="122"/>
      <c r="P257" s="123"/>
      <c r="Q257" s="123"/>
      <c r="R257" s="915"/>
      <c r="S257" s="36"/>
      <c r="T257" s="180"/>
      <c r="U257" s="181"/>
      <c r="V257" s="181"/>
      <c r="W257" s="182"/>
      <c r="X257" s="110"/>
      <c r="Y257" s="180">
        <f t="shared" ref="Y257:AR257" si="710">Y255-Y256</f>
        <v>42.772360454193937</v>
      </c>
      <c r="Z257" s="181">
        <f t="shared" si="710"/>
        <v>10.654283167286046</v>
      </c>
      <c r="AA257" s="181">
        <f t="shared" si="710"/>
        <v>24.690993563493521</v>
      </c>
      <c r="AB257" s="182">
        <f t="shared" si="710"/>
        <v>27.795544690009415</v>
      </c>
      <c r="AC257" s="110">
        <f t="shared" si="710"/>
        <v>105.91318187498291</v>
      </c>
      <c r="AD257" s="180">
        <f t="shared" si="710"/>
        <v>50.775505932272353</v>
      </c>
      <c r="AE257" s="181">
        <f t="shared" si="710"/>
        <v>11.967046393894556</v>
      </c>
      <c r="AF257" s="181">
        <f t="shared" si="710"/>
        <v>15.486377005642655</v>
      </c>
      <c r="AG257" s="182">
        <f t="shared" si="710"/>
        <v>16.123022475023962</v>
      </c>
      <c r="AH257" s="110">
        <f t="shared" si="710"/>
        <v>94.351951806833597</v>
      </c>
      <c r="AI257" s="180">
        <f t="shared" si="710"/>
        <v>26.350258232216163</v>
      </c>
      <c r="AJ257" s="181">
        <f t="shared" si="710"/>
        <v>11.116253371319235</v>
      </c>
      <c r="AK257" s="181">
        <f t="shared" si="710"/>
        <v>20.509061167901681</v>
      </c>
      <c r="AL257" s="182">
        <f t="shared" si="710"/>
        <v>17.212912722765203</v>
      </c>
      <c r="AM257" s="110">
        <f t="shared" si="710"/>
        <v>75.188485494202268</v>
      </c>
      <c r="AN257" s="180">
        <f t="shared" ref="AN257" si="711">AN255-AN256</f>
        <v>7.2795820990318543</v>
      </c>
      <c r="AO257" s="181">
        <f t="shared" si="710"/>
        <v>7.2795820990318543</v>
      </c>
      <c r="AP257" s="181">
        <f t="shared" ref="AP257" si="712">AP255-AP256</f>
        <v>1.2176819751976362</v>
      </c>
      <c r="AQ257" s="182">
        <f t="shared" si="710"/>
        <v>1.2176819751976362</v>
      </c>
      <c r="AR257" s="110">
        <f t="shared" si="710"/>
        <v>16.994528148458983</v>
      </c>
      <c r="AS257" s="180">
        <f t="shared" ref="AS257:BB257" si="713">AS255-AS256</f>
        <v>1.3178647076257581</v>
      </c>
      <c r="AT257" s="181">
        <f t="shared" si="713"/>
        <v>2.4747294901464834</v>
      </c>
      <c r="AU257" s="181">
        <f t="shared" ref="AU257" si="714">AU255-AU256</f>
        <v>3.4340828615226258</v>
      </c>
      <c r="AV257" s="182">
        <f t="shared" si="713"/>
        <v>3.9093748051666104</v>
      </c>
      <c r="AW257" s="110">
        <f t="shared" si="713"/>
        <v>11.136051864461479</v>
      </c>
      <c r="AX257" s="180">
        <f t="shared" si="713"/>
        <v>4.2931727291597568</v>
      </c>
      <c r="AY257" s="181">
        <f t="shared" si="713"/>
        <v>6.7479863953999946</v>
      </c>
      <c r="AZ257" s="181">
        <f t="shared" si="713"/>
        <v>4.1969049770000009</v>
      </c>
      <c r="BA257" s="182">
        <f t="shared" si="713"/>
        <v>5.8699267879999972</v>
      </c>
      <c r="BB257" s="110">
        <f t="shared" si="713"/>
        <v>21.107990889559758</v>
      </c>
      <c r="BC257" s="180">
        <f t="shared" ref="BC257:BL257" si="715">BC255-BC256</f>
        <v>13.884027338651501</v>
      </c>
      <c r="BD257" s="181">
        <f t="shared" si="715"/>
        <v>6.1543525018964242</v>
      </c>
      <c r="BE257" s="181">
        <f t="shared" si="715"/>
        <v>4.228323867362958</v>
      </c>
      <c r="BF257" s="182">
        <f t="shared" si="715"/>
        <v>1.6869066788180529</v>
      </c>
      <c r="BG257" s="110">
        <f t="shared" si="715"/>
        <v>25.95361038672894</v>
      </c>
      <c r="BH257" s="180">
        <f t="shared" si="715"/>
        <v>13.465476268134019</v>
      </c>
      <c r="BI257" s="181">
        <f t="shared" si="715"/>
        <v>5.8359101217748197</v>
      </c>
      <c r="BJ257" s="181">
        <f t="shared" si="715"/>
        <v>3.9220353334994886</v>
      </c>
      <c r="BK257" s="182">
        <f t="shared" si="715"/>
        <v>1.5338550509113675</v>
      </c>
      <c r="BL257" s="110">
        <f t="shared" si="715"/>
        <v>24.757276774319706</v>
      </c>
      <c r="BM257" s="180">
        <f t="shared" ref="BM257:BQ257" si="716">BM255-BM256</f>
        <v>6.1742787186481092</v>
      </c>
      <c r="BN257" s="181">
        <f t="shared" si="716"/>
        <v>6.1742787186481092</v>
      </c>
      <c r="BO257" s="181">
        <f t="shared" si="716"/>
        <v>6.1742787186481092</v>
      </c>
      <c r="BP257" s="182">
        <f t="shared" si="716"/>
        <v>6.1742787186481092</v>
      </c>
      <c r="BQ257" s="110">
        <f t="shared" si="716"/>
        <v>24.697114874592437</v>
      </c>
      <c r="BR257" s="110"/>
      <c r="BS257" s="1503"/>
      <c r="BT257" s="1503"/>
      <c r="BU257" s="1503"/>
      <c r="BV257" s="1503"/>
      <c r="BW257" s="1493"/>
      <c r="BX257"/>
      <c r="BY257"/>
      <c r="BZ257"/>
      <c r="CA257"/>
      <c r="CB257"/>
      <c r="CC257"/>
    </row>
    <row r="258" spans="1:81" s="19" customFormat="1">
      <c r="A258" s="108"/>
      <c r="B258" s="5"/>
      <c r="C258" s="1125"/>
      <c r="D258" s="5"/>
      <c r="E258" s="146"/>
      <c r="F258" s="7"/>
      <c r="G258" s="7"/>
      <c r="H258" s="147"/>
      <c r="I258" s="31"/>
      <c r="J258" s="146"/>
      <c r="K258" s="7"/>
      <c r="L258" s="7"/>
      <c r="M258" s="147"/>
      <c r="N258" s="5"/>
      <c r="O258" s="146"/>
      <c r="P258" s="7"/>
      <c r="Q258" s="7"/>
      <c r="R258" s="147"/>
      <c r="S258" s="5"/>
      <c r="T258" s="146"/>
      <c r="U258" s="7"/>
      <c r="V258" s="7"/>
      <c r="W258" s="147"/>
      <c r="X258" s="5"/>
      <c r="Y258" s="146"/>
      <c r="Z258" s="7"/>
      <c r="AA258" s="7"/>
      <c r="AB258" s="147"/>
      <c r="AC258" s="5"/>
      <c r="AD258" s="146"/>
      <c r="AE258" s="7"/>
      <c r="AF258" s="7"/>
      <c r="AG258" s="147"/>
      <c r="AH258" s="5"/>
      <c r="AI258" s="146"/>
      <c r="AJ258" s="7"/>
      <c r="AK258" s="7"/>
      <c r="AL258" s="147"/>
      <c r="AM258" s="5"/>
      <c r="AN258" s="146"/>
      <c r="AO258" s="7"/>
      <c r="AP258" s="7"/>
      <c r="AQ258" s="147"/>
      <c r="AR258" s="5"/>
      <c r="AS258" s="146"/>
      <c r="AT258" s="7"/>
      <c r="AU258" s="7"/>
      <c r="AV258" s="147"/>
      <c r="AW258" s="5"/>
      <c r="AX258" s="146"/>
      <c r="AY258" s="7"/>
      <c r="AZ258" s="7"/>
      <c r="BA258" s="147"/>
      <c r="BB258" s="5"/>
      <c r="BC258" s="146"/>
      <c r="BD258" s="7"/>
      <c r="BE258" s="7"/>
      <c r="BF258" s="147"/>
      <c r="BG258" s="5"/>
      <c r="BH258" s="146"/>
      <c r="BI258" s="7"/>
      <c r="BJ258" s="7"/>
      <c r="BK258" s="147"/>
      <c r="BL258" s="5"/>
      <c r="BM258" s="146"/>
      <c r="BN258" s="7"/>
      <c r="BO258" s="7"/>
      <c r="BP258" s="147"/>
      <c r="BQ258" s="5"/>
      <c r="BR258" s="5"/>
      <c r="BS258" s="1503"/>
      <c r="BT258" s="1503"/>
      <c r="BU258" s="1503"/>
      <c r="BV258" s="1503"/>
      <c r="BW258" s="1493"/>
      <c r="BX258"/>
      <c r="BY258"/>
      <c r="BZ258"/>
      <c r="CA258"/>
      <c r="CB258"/>
      <c r="CC258"/>
    </row>
    <row r="259" spans="1:81" s="19" customFormat="1">
      <c r="A259" s="108"/>
      <c r="B259" s="31"/>
      <c r="C259" s="1127" t="s">
        <v>548</v>
      </c>
      <c r="D259" s="31"/>
      <c r="E259" s="177"/>
      <c r="F259" s="178"/>
      <c r="G259" s="178"/>
      <c r="H259" s="179"/>
      <c r="I259" s="31"/>
      <c r="J259" s="177"/>
      <c r="K259" s="178"/>
      <c r="L259" s="178"/>
      <c r="M259" s="179"/>
      <c r="N259" s="44"/>
      <c r="O259" s="177"/>
      <c r="P259" s="178"/>
      <c r="Q259" s="178"/>
      <c r="R259" s="179"/>
      <c r="S259" s="44"/>
      <c r="T259" s="177"/>
      <c r="U259" s="178"/>
      <c r="V259" s="178"/>
      <c r="W259" s="179"/>
      <c r="X259" s="44"/>
      <c r="Y259" s="177">
        <f t="shared" ref="Y259:AR259" si="717">Y268+Y288+Y308</f>
        <v>1307</v>
      </c>
      <c r="Z259" s="178">
        <f t="shared" si="717"/>
        <v>1307</v>
      </c>
      <c r="AA259" s="178">
        <f t="shared" si="717"/>
        <v>1307</v>
      </c>
      <c r="AB259" s="179">
        <f t="shared" si="717"/>
        <v>1307</v>
      </c>
      <c r="AC259" s="44">
        <f t="shared" si="717"/>
        <v>1307</v>
      </c>
      <c r="AD259" s="177">
        <f t="shared" si="717"/>
        <v>1307</v>
      </c>
      <c r="AE259" s="178">
        <f t="shared" si="717"/>
        <v>1307</v>
      </c>
      <c r="AF259" s="178">
        <f t="shared" si="717"/>
        <v>1307</v>
      </c>
      <c r="AG259" s="179">
        <f t="shared" si="717"/>
        <v>1307</v>
      </c>
      <c r="AH259" s="44">
        <f t="shared" si="717"/>
        <v>1307</v>
      </c>
      <c r="AI259" s="177">
        <f t="shared" si="717"/>
        <v>1307</v>
      </c>
      <c r="AJ259" s="178">
        <f t="shared" si="717"/>
        <v>1307</v>
      </c>
      <c r="AK259" s="178">
        <f t="shared" si="717"/>
        <v>1307</v>
      </c>
      <c r="AL259" s="179">
        <f t="shared" si="717"/>
        <v>1307</v>
      </c>
      <c r="AM259" s="44">
        <f t="shared" si="717"/>
        <v>1307</v>
      </c>
      <c r="AN259" s="177">
        <f t="shared" ref="AN259" si="718">AN268+AN288+AN308</f>
        <v>757</v>
      </c>
      <c r="AO259" s="178">
        <f t="shared" si="717"/>
        <v>757</v>
      </c>
      <c r="AP259" s="178">
        <f t="shared" ref="AP259" si="719">AP268+AP288+AP308</f>
        <v>757</v>
      </c>
      <c r="AQ259" s="179">
        <f t="shared" si="717"/>
        <v>757</v>
      </c>
      <c r="AR259" s="44">
        <f t="shared" si="717"/>
        <v>757</v>
      </c>
      <c r="AS259" s="177">
        <f t="shared" ref="AS259:BB259" si="720">AS268+AS288+AS308</f>
        <v>757</v>
      </c>
      <c r="AT259" s="178">
        <f t="shared" si="720"/>
        <v>757</v>
      </c>
      <c r="AU259" s="178">
        <f t="shared" ref="AU259" si="721">AU268+AU288+AU308</f>
        <v>757</v>
      </c>
      <c r="AV259" s="179">
        <f t="shared" si="720"/>
        <v>757</v>
      </c>
      <c r="AW259" s="44">
        <f t="shared" si="720"/>
        <v>757</v>
      </c>
      <c r="AX259" s="177">
        <f t="shared" si="720"/>
        <v>757</v>
      </c>
      <c r="AY259" s="178">
        <f t="shared" si="720"/>
        <v>757</v>
      </c>
      <c r="AZ259" s="178">
        <f t="shared" si="720"/>
        <v>757</v>
      </c>
      <c r="BA259" s="179">
        <f t="shared" si="720"/>
        <v>757</v>
      </c>
      <c r="BB259" s="44">
        <f t="shared" si="720"/>
        <v>757</v>
      </c>
      <c r="BC259" s="177">
        <f t="shared" ref="BC259:BL259" si="722">BC268+BC288+BC308</f>
        <v>757</v>
      </c>
      <c r="BD259" s="178">
        <f t="shared" si="722"/>
        <v>757</v>
      </c>
      <c r="BE259" s="178">
        <f t="shared" si="722"/>
        <v>757</v>
      </c>
      <c r="BF259" s="179">
        <f t="shared" si="722"/>
        <v>757</v>
      </c>
      <c r="BG259" s="44">
        <f t="shared" si="722"/>
        <v>757</v>
      </c>
      <c r="BH259" s="177">
        <f t="shared" si="722"/>
        <v>757</v>
      </c>
      <c r="BI259" s="178">
        <f t="shared" si="722"/>
        <v>757</v>
      </c>
      <c r="BJ259" s="178">
        <f t="shared" si="722"/>
        <v>757</v>
      </c>
      <c r="BK259" s="179">
        <f t="shared" si="722"/>
        <v>757</v>
      </c>
      <c r="BL259" s="44">
        <f t="shared" si="722"/>
        <v>757</v>
      </c>
      <c r="BM259" s="177">
        <f t="shared" ref="BM259:BQ259" si="723">BM268+BM288+BM308</f>
        <v>757</v>
      </c>
      <c r="BN259" s="178">
        <f t="shared" si="723"/>
        <v>757</v>
      </c>
      <c r="BO259" s="178">
        <f t="shared" si="723"/>
        <v>757</v>
      </c>
      <c r="BP259" s="179">
        <f t="shared" si="723"/>
        <v>757</v>
      </c>
      <c r="BQ259" s="44">
        <f t="shared" si="723"/>
        <v>757</v>
      </c>
      <c r="BR259" s="44"/>
      <c r="BS259" s="1503"/>
      <c r="BT259" s="1503"/>
      <c r="BU259" s="1503"/>
      <c r="BV259" s="1503"/>
      <c r="BW259" s="1493"/>
      <c r="BX259"/>
      <c r="BY259"/>
      <c r="BZ259"/>
      <c r="CA259"/>
      <c r="CB259"/>
      <c r="CC259"/>
    </row>
    <row r="260" spans="1:81" s="19" customFormat="1">
      <c r="A260" s="108"/>
      <c r="B260" s="31"/>
      <c r="C260" s="1127" t="s">
        <v>549</v>
      </c>
      <c r="D260" s="31"/>
      <c r="E260" s="917"/>
      <c r="F260" s="113"/>
      <c r="G260" s="113"/>
      <c r="H260" s="918"/>
      <c r="I260" s="31"/>
      <c r="J260" s="917"/>
      <c r="K260" s="113"/>
      <c r="L260" s="113"/>
      <c r="M260" s="918"/>
      <c r="N260" s="919"/>
      <c r="O260" s="917"/>
      <c r="P260" s="113"/>
      <c r="Q260" s="113"/>
      <c r="R260" s="918"/>
      <c r="S260" s="31"/>
      <c r="T260" s="220"/>
      <c r="U260" s="221"/>
      <c r="V260" s="221"/>
      <c r="W260" s="222"/>
      <c r="X260" s="916"/>
      <c r="Y260" s="220">
        <f t="shared" ref="Y260:AR260" si="724">Y277+Y297+Y311</f>
        <v>1180.6289999999999</v>
      </c>
      <c r="Z260" s="221">
        <f t="shared" si="724"/>
        <v>872.38650000000007</v>
      </c>
      <c r="AA260" s="221">
        <f t="shared" si="724"/>
        <v>1180.6289999999999</v>
      </c>
      <c r="AB260" s="222">
        <f t="shared" si="724"/>
        <v>1180.6289999999999</v>
      </c>
      <c r="AC260" s="916">
        <f t="shared" si="724"/>
        <v>4414.2735000000002</v>
      </c>
      <c r="AD260" s="220">
        <f t="shared" si="724"/>
        <v>1180.6289999999999</v>
      </c>
      <c r="AE260" s="221">
        <f t="shared" si="724"/>
        <v>872.38650000000007</v>
      </c>
      <c r="AF260" s="221">
        <f t="shared" si="724"/>
        <v>872.38650000000007</v>
      </c>
      <c r="AG260" s="222">
        <f t="shared" si="724"/>
        <v>872.38650000000007</v>
      </c>
      <c r="AH260" s="916">
        <f t="shared" si="724"/>
        <v>3797.7885000000001</v>
      </c>
      <c r="AI260" s="220">
        <f t="shared" si="724"/>
        <v>1180.6289999999999</v>
      </c>
      <c r="AJ260" s="221">
        <f t="shared" si="724"/>
        <v>1110.6585</v>
      </c>
      <c r="AK260" s="221">
        <f t="shared" si="724"/>
        <v>1180.6289999999999</v>
      </c>
      <c r="AL260" s="222">
        <f t="shared" si="724"/>
        <v>1110.6585</v>
      </c>
      <c r="AM260" s="916">
        <f t="shared" si="724"/>
        <v>4582.5749999999998</v>
      </c>
      <c r="AN260" s="220">
        <f t="shared" ref="AN260" si="725">AN277+AN297+AN311</f>
        <v>518.154</v>
      </c>
      <c r="AO260" s="221">
        <f t="shared" si="724"/>
        <v>518.154</v>
      </c>
      <c r="AP260" s="221">
        <f t="shared" ref="AP260" si="726">AP277+AP297+AP311</f>
        <v>209.91150000000002</v>
      </c>
      <c r="AQ260" s="222">
        <f t="shared" si="724"/>
        <v>209.91150000000002</v>
      </c>
      <c r="AR260" s="916">
        <f t="shared" si="724"/>
        <v>1456.1310000000001</v>
      </c>
      <c r="AS260" s="220">
        <f t="shared" ref="AS260:BB260" si="727">AS277+AS297+AS311</f>
        <v>209.91150000000002</v>
      </c>
      <c r="AT260" s="221">
        <f t="shared" si="727"/>
        <v>209.91150000000002</v>
      </c>
      <c r="AU260" s="221">
        <f t="shared" ref="AU260" si="728">AU277+AU297+AU311</f>
        <v>448.18350000000004</v>
      </c>
      <c r="AV260" s="222">
        <f t="shared" si="727"/>
        <v>448.18350000000004</v>
      </c>
      <c r="AW260" s="916">
        <f t="shared" si="727"/>
        <v>1316.19</v>
      </c>
      <c r="AX260" s="220">
        <f t="shared" si="727"/>
        <v>518.154</v>
      </c>
      <c r="AY260" s="221">
        <f t="shared" si="727"/>
        <v>518.154</v>
      </c>
      <c r="AZ260" s="221">
        <f t="shared" si="727"/>
        <v>518.154</v>
      </c>
      <c r="BA260" s="222">
        <f t="shared" si="727"/>
        <v>518.154</v>
      </c>
      <c r="BB260" s="916">
        <f t="shared" si="727"/>
        <v>2072.616</v>
      </c>
      <c r="BC260" s="220">
        <f t="shared" ref="BC260:BL260" si="729">BC277+BC297+BC311</f>
        <v>518.154</v>
      </c>
      <c r="BD260" s="221">
        <f t="shared" si="729"/>
        <v>518.154</v>
      </c>
      <c r="BE260" s="221">
        <f t="shared" si="729"/>
        <v>518.154</v>
      </c>
      <c r="BF260" s="222">
        <f t="shared" si="729"/>
        <v>279.88200000000001</v>
      </c>
      <c r="BG260" s="916">
        <f t="shared" si="729"/>
        <v>1834.3440000000001</v>
      </c>
      <c r="BH260" s="220">
        <f t="shared" si="729"/>
        <v>518.154</v>
      </c>
      <c r="BI260" s="221">
        <f t="shared" si="729"/>
        <v>518.154</v>
      </c>
      <c r="BJ260" s="221">
        <f t="shared" si="729"/>
        <v>518.154</v>
      </c>
      <c r="BK260" s="222">
        <f t="shared" si="729"/>
        <v>279.88200000000001</v>
      </c>
      <c r="BL260" s="916">
        <f t="shared" si="729"/>
        <v>1834.3440000000001</v>
      </c>
      <c r="BM260" s="220">
        <f t="shared" ref="BM260:BQ260" si="730">BM277+BM297+BM311</f>
        <v>518.154</v>
      </c>
      <c r="BN260" s="221">
        <f t="shared" si="730"/>
        <v>518.154</v>
      </c>
      <c r="BO260" s="221">
        <f t="shared" si="730"/>
        <v>518.154</v>
      </c>
      <c r="BP260" s="222">
        <f t="shared" si="730"/>
        <v>518.154</v>
      </c>
      <c r="BQ260" s="916">
        <f t="shared" si="730"/>
        <v>2072.616</v>
      </c>
      <c r="BR260" s="916"/>
      <c r="BS260" s="1503"/>
      <c r="BT260" s="1503"/>
      <c r="BU260" s="1503"/>
      <c r="BV260" s="1503"/>
      <c r="BW260" s="1493"/>
      <c r="BX260"/>
      <c r="BY260"/>
      <c r="BZ260"/>
      <c r="CA260"/>
      <c r="CB260"/>
      <c r="CC260"/>
    </row>
    <row r="261" spans="1:81" s="19" customFormat="1">
      <c r="A261" s="108"/>
      <c r="B261" s="5"/>
      <c r="C261" s="1127" t="s">
        <v>550</v>
      </c>
      <c r="D261" s="5"/>
      <c r="E261" s="146"/>
      <c r="F261" s="7"/>
      <c r="G261" s="7"/>
      <c r="H261" s="147"/>
      <c r="I261" s="31"/>
      <c r="J261" s="146"/>
      <c r="K261" s="7"/>
      <c r="L261" s="7"/>
      <c r="M261" s="147"/>
      <c r="N261" s="5"/>
      <c r="O261" s="146"/>
      <c r="P261" s="7"/>
      <c r="Q261" s="7"/>
      <c r="R261" s="147"/>
      <c r="S261" s="5"/>
      <c r="T261" s="920"/>
      <c r="U261" s="921"/>
      <c r="V261" s="921"/>
      <c r="W261" s="922"/>
      <c r="X261" s="923"/>
      <c r="Y261" s="920">
        <f>Y260/(Y259*8.76/4)</f>
        <v>0.41247130833970924</v>
      </c>
      <c r="Z261" s="921">
        <f>Z260/(Z259*8.76/4)</f>
        <v>0.30478194338179038</v>
      </c>
      <c r="AA261" s="921">
        <f>AA260/(AA259*8.76/4)</f>
        <v>0.41247130833970924</v>
      </c>
      <c r="AB261" s="922">
        <f>AB260/(AB259*8.76/4)</f>
        <v>0.41247130833970924</v>
      </c>
      <c r="AC261" s="923">
        <f>AC260/(AC259*8.76)</f>
        <v>0.38554896710022957</v>
      </c>
      <c r="AD261" s="920">
        <f>AD260/(AD259*8.76/4)</f>
        <v>0.41247130833970924</v>
      </c>
      <c r="AE261" s="921">
        <f>AE260/(AE259*8.76/4)</f>
        <v>0.30478194338179038</v>
      </c>
      <c r="AF261" s="921">
        <f>AF260/(AF259*8.76/4)</f>
        <v>0.30478194338179038</v>
      </c>
      <c r="AG261" s="922">
        <f>AG260/(AG259*8.76/4)</f>
        <v>0.30478194338179038</v>
      </c>
      <c r="AH261" s="923">
        <f>AH260/(AH259*8.76)</f>
        <v>0.33170428462127011</v>
      </c>
      <c r="AI261" s="920">
        <f>AI260/(AI259*8.76/4)</f>
        <v>0.41247130833970924</v>
      </c>
      <c r="AJ261" s="921">
        <f>AJ260/(AJ259*8.76/4)</f>
        <v>0.38802601377199697</v>
      </c>
      <c r="AK261" s="921">
        <f>AK260/(AK259*8.76/4)</f>
        <v>0.41247130833970924</v>
      </c>
      <c r="AL261" s="922">
        <f>AL260/(AL259*8.76/4)</f>
        <v>0.38802601377199697</v>
      </c>
      <c r="AM261" s="923">
        <f>AM260/(AM259*8.76)</f>
        <v>0.40024866105585311</v>
      </c>
      <c r="AN261" s="920">
        <f>AN260/(AN259*8.76/4)</f>
        <v>0.31254953764861299</v>
      </c>
      <c r="AO261" s="921">
        <f>AO260/(AO259*8.76/4)</f>
        <v>0.31254953764861299</v>
      </c>
      <c r="AP261" s="921">
        <f>AP260/(AP259*8.76/4)</f>
        <v>0.12661822985468957</v>
      </c>
      <c r="AQ261" s="922">
        <f>AQ260/(AQ259*8.76/4)</f>
        <v>0.12661822985468957</v>
      </c>
      <c r="AR261" s="923">
        <f>AR260/(AR259*8.76)</f>
        <v>0.21958388375165128</v>
      </c>
      <c r="AS261" s="920">
        <f>AS260/(AS259*8.76/4)</f>
        <v>0.12661822985468957</v>
      </c>
      <c r="AT261" s="921">
        <f>AT260/(AT259*8.76/4)</f>
        <v>0.12661822985468957</v>
      </c>
      <c r="AU261" s="921">
        <f t="shared" ref="AU261" si="731">AU260/(AU259*8.76/4)</f>
        <v>0.27034346103038315</v>
      </c>
      <c r="AV261" s="922">
        <f>AV260/(AV259*8.76/4)</f>
        <v>0.27034346103038315</v>
      </c>
      <c r="AW261" s="923">
        <f>AW260/(AW259*8.76)</f>
        <v>0.19848084544253636</v>
      </c>
      <c r="AX261" s="920">
        <f>AX260/(AX259*8.76/4)</f>
        <v>0.31254953764861299</v>
      </c>
      <c r="AY261" s="921">
        <f>AY260/(AY259*8.76/4)</f>
        <v>0.31254953764861299</v>
      </c>
      <c r="AZ261" s="921">
        <f>AZ260/(AZ259*8.76/4)</f>
        <v>0.31254953764861299</v>
      </c>
      <c r="BA261" s="922">
        <f>BA260/(BA259*8.76/4)</f>
        <v>0.31254953764861299</v>
      </c>
      <c r="BB261" s="923">
        <f>BB260/(BB259*8.76)</f>
        <v>0.31254953764861299</v>
      </c>
      <c r="BC261" s="920">
        <f>BC260/(BC259*8.76/4)</f>
        <v>0.31254953764861299</v>
      </c>
      <c r="BD261" s="921">
        <f>BD260/(BD259*8.76/4)</f>
        <v>0.31254953764861299</v>
      </c>
      <c r="BE261" s="921">
        <f>BE260/(BE259*8.76/4)</f>
        <v>0.31254953764861299</v>
      </c>
      <c r="BF261" s="922">
        <f>BF260/(BF259*8.76/4)</f>
        <v>0.16882430647291943</v>
      </c>
      <c r="BG261" s="923">
        <f>BG260/(BG259*8.76)</f>
        <v>0.27661822985468959</v>
      </c>
      <c r="BH261" s="920">
        <f>BH260/(BH259*8.76/4)</f>
        <v>0.31254953764861299</v>
      </c>
      <c r="BI261" s="921">
        <f>BI260/(BI259*8.76/4)</f>
        <v>0.31254953764861299</v>
      </c>
      <c r="BJ261" s="921">
        <f>BJ260/(BJ259*8.76/4)</f>
        <v>0.31254953764861299</v>
      </c>
      <c r="BK261" s="922">
        <f>BK260/(BK259*8.76/4)</f>
        <v>0.16882430647291943</v>
      </c>
      <c r="BL261" s="923">
        <f>BL260/(BL259*8.76)</f>
        <v>0.27661822985468959</v>
      </c>
      <c r="BM261" s="920">
        <f>BM260/(BM259*8.76/4)</f>
        <v>0.31254953764861299</v>
      </c>
      <c r="BN261" s="921">
        <f>BN260/(BN259*8.76/4)</f>
        <v>0.31254953764861299</v>
      </c>
      <c r="BO261" s="921">
        <f>BO260/(BO259*8.76/4)</f>
        <v>0.31254953764861299</v>
      </c>
      <c r="BP261" s="922">
        <f>BP260/(BP259*8.76/4)</f>
        <v>0.31254953764861299</v>
      </c>
      <c r="BQ261" s="923">
        <f>BQ260/(BQ259*8.76)</f>
        <v>0.31254953764861299</v>
      </c>
      <c r="BR261" s="923"/>
      <c r="BS261" s="1503"/>
      <c r="BT261" s="1503"/>
      <c r="BU261" s="1503"/>
      <c r="BV261" s="1503"/>
      <c r="BW261" s="1493"/>
      <c r="BX261"/>
      <c r="BY261"/>
      <c r="BZ261"/>
      <c r="CA261"/>
      <c r="CB261"/>
      <c r="CC261"/>
    </row>
    <row r="262" spans="1:81" s="19" customFormat="1">
      <c r="A262" s="108"/>
      <c r="B262" s="5"/>
      <c r="C262" s="1125"/>
      <c r="D262" s="5"/>
      <c r="E262" s="146"/>
      <c r="F262" s="7"/>
      <c r="G262" s="7"/>
      <c r="H262" s="147"/>
      <c r="I262" s="31"/>
      <c r="J262" s="146"/>
      <c r="K262" s="7"/>
      <c r="L262" s="7"/>
      <c r="M262" s="147"/>
      <c r="N262" s="5"/>
      <c r="O262" s="146"/>
      <c r="P262" s="7"/>
      <c r="Q262" s="7"/>
      <c r="R262" s="147"/>
      <c r="S262" s="5"/>
      <c r="T262" s="146"/>
      <c r="U262" s="7"/>
      <c r="V262" s="7"/>
      <c r="W262" s="147"/>
      <c r="X262" s="5"/>
      <c r="Y262" s="146"/>
      <c r="Z262" s="7"/>
      <c r="AA262" s="7"/>
      <c r="AB262" s="147"/>
      <c r="AC262" s="5"/>
      <c r="AD262" s="146"/>
      <c r="AE262" s="7"/>
      <c r="AF262" s="7"/>
      <c r="AG262" s="147"/>
      <c r="AH262" s="5"/>
      <c r="AI262" s="146"/>
      <c r="AJ262" s="7"/>
      <c r="AK262" s="7"/>
      <c r="AL262" s="147"/>
      <c r="AM262" s="5"/>
      <c r="AN262" s="146"/>
      <c r="AO262" s="7"/>
      <c r="AP262" s="7"/>
      <c r="AQ262" s="147"/>
      <c r="AR262" s="5"/>
      <c r="AS262" s="146"/>
      <c r="AT262" s="7"/>
      <c r="AU262" s="7"/>
      <c r="AV262" s="147"/>
      <c r="AW262" s="5"/>
      <c r="AX262" s="146"/>
      <c r="AY262" s="7"/>
      <c r="AZ262" s="7"/>
      <c r="BA262" s="147"/>
      <c r="BB262" s="5"/>
      <c r="BC262" s="146"/>
      <c r="BD262" s="7"/>
      <c r="BE262" s="7"/>
      <c r="BF262" s="147"/>
      <c r="BG262" s="5"/>
      <c r="BH262" s="146"/>
      <c r="BI262" s="7"/>
      <c r="BJ262" s="7"/>
      <c r="BK262" s="147"/>
      <c r="BL262" s="5"/>
      <c r="BM262" s="146"/>
      <c r="BN262" s="7"/>
      <c r="BO262" s="7"/>
      <c r="BP262" s="147"/>
      <c r="BQ262" s="5"/>
      <c r="BR262" s="5"/>
      <c r="BS262" s="1503"/>
      <c r="BT262" s="1503"/>
      <c r="BU262" s="1503"/>
      <c r="BV262" s="1503"/>
      <c r="BW262" s="1493"/>
      <c r="BX262"/>
      <c r="BY262"/>
      <c r="BZ262"/>
      <c r="CA262"/>
      <c r="CB262"/>
      <c r="CC262"/>
    </row>
    <row r="263" spans="1:81" s="19" customFormat="1">
      <c r="A263" s="108"/>
      <c r="B263" s="5"/>
      <c r="C263" s="1154" t="s">
        <v>582</v>
      </c>
      <c r="D263" s="5"/>
      <c r="E263" s="146"/>
      <c r="F263" s="7"/>
      <c r="G263" s="7"/>
      <c r="H263" s="147"/>
      <c r="I263" s="494"/>
      <c r="J263" s="146"/>
      <c r="K263" s="7"/>
      <c r="L263" s="7"/>
      <c r="M263" s="147"/>
      <c r="N263" s="5"/>
      <c r="O263" s="146"/>
      <c r="P263" s="7"/>
      <c r="Q263" s="7"/>
      <c r="R263" s="147"/>
      <c r="S263" s="5"/>
      <c r="T263" s="146"/>
      <c r="U263" s="7"/>
      <c r="V263" s="7"/>
      <c r="W263" s="147"/>
      <c r="X263" s="5"/>
      <c r="Y263" s="146"/>
      <c r="Z263" s="7"/>
      <c r="AA263" s="7"/>
      <c r="AB263" s="147"/>
      <c r="AC263" s="5"/>
      <c r="AD263" s="146"/>
      <c r="AE263" s="7"/>
      <c r="AF263" s="7"/>
      <c r="AG263" s="147"/>
      <c r="AH263" s="5"/>
      <c r="AI263" s="146"/>
      <c r="AJ263" s="7"/>
      <c r="AK263" s="7"/>
      <c r="AL263" s="147"/>
      <c r="AM263" s="5"/>
      <c r="AN263" s="146"/>
      <c r="AO263" s="7"/>
      <c r="AP263" s="7"/>
      <c r="AQ263" s="147"/>
      <c r="AR263" s="5"/>
      <c r="AS263" s="146"/>
      <c r="AT263" s="7"/>
      <c r="AU263" s="7"/>
      <c r="AV263" s="147"/>
      <c r="AW263" s="5"/>
      <c r="AX263" s="146"/>
      <c r="AY263" s="7"/>
      <c r="AZ263" s="7"/>
      <c r="BA263" s="147"/>
      <c r="BB263" s="5"/>
      <c r="BC263" s="146"/>
      <c r="BD263" s="7"/>
      <c r="BE263" s="7"/>
      <c r="BF263" s="147"/>
      <c r="BG263" s="5"/>
      <c r="BH263" s="146"/>
      <c r="BI263" s="7"/>
      <c r="BJ263" s="7"/>
      <c r="BK263" s="147"/>
      <c r="BL263" s="5"/>
      <c r="BM263" s="146"/>
      <c r="BN263" s="7"/>
      <c r="BO263" s="7"/>
      <c r="BP263" s="147"/>
      <c r="BQ263" s="5"/>
      <c r="BR263" s="5"/>
      <c r="BS263" s="1503"/>
      <c r="BT263" s="1503"/>
      <c r="BU263" s="1503"/>
      <c r="BV263" s="1503"/>
      <c r="BW263" s="1493"/>
      <c r="BX263"/>
      <c r="BY263"/>
      <c r="BZ263"/>
      <c r="CA263"/>
      <c r="CB263"/>
      <c r="CC263"/>
    </row>
    <row r="264" spans="1:81" s="19" customFormat="1">
      <c r="A264" s="108"/>
      <c r="B264" s="5"/>
      <c r="C264" s="1127" t="s">
        <v>568</v>
      </c>
      <c r="D264" s="5"/>
      <c r="E264" s="146"/>
      <c r="F264" s="7"/>
      <c r="G264" s="7"/>
      <c r="H264" s="147"/>
      <c r="I264" s="31"/>
      <c r="J264" s="146"/>
      <c r="K264" s="7"/>
      <c r="L264" s="7"/>
      <c r="M264" s="147"/>
      <c r="N264" s="5"/>
      <c r="O264" s="146"/>
      <c r="P264" s="7"/>
      <c r="Q264" s="7"/>
      <c r="R264" s="147"/>
      <c r="S264" s="5"/>
      <c r="T264" s="881"/>
      <c r="U264" s="882"/>
      <c r="V264" s="882"/>
      <c r="W264" s="883"/>
      <c r="X264" s="403"/>
      <c r="Y264" s="881">
        <f t="shared" ref="Y264:BB264" si="732">Y76</f>
        <v>89.765515873015843</v>
      </c>
      <c r="Z264" s="882">
        <f t="shared" si="732"/>
        <v>45.06300781249999</v>
      </c>
      <c r="AA264" s="882">
        <f t="shared" si="732"/>
        <v>54.984013671875005</v>
      </c>
      <c r="AB264" s="883">
        <f t="shared" si="732"/>
        <v>67.341074218749995</v>
      </c>
      <c r="AC264" s="403">
        <f t="shared" si="732"/>
        <v>64.288402894035215</v>
      </c>
      <c r="AD264" s="881">
        <f t="shared" si="732"/>
        <v>167.3350595238096</v>
      </c>
      <c r="AE264" s="882">
        <f t="shared" si="732"/>
        <v>44.335244140625001</v>
      </c>
      <c r="AF264" s="882">
        <f t="shared" si="732"/>
        <v>41.33302734374999</v>
      </c>
      <c r="AG264" s="883">
        <f t="shared" si="732"/>
        <v>48.027636718750003</v>
      </c>
      <c r="AH264" s="403">
        <f t="shared" si="732"/>
        <v>75.257741931733648</v>
      </c>
      <c r="AI264" s="881">
        <f t="shared" si="732"/>
        <v>87.659980158730164</v>
      </c>
      <c r="AJ264" s="882">
        <f t="shared" si="732"/>
        <v>28.370332031249998</v>
      </c>
      <c r="AK264" s="882">
        <f t="shared" si="732"/>
        <v>42.395605769230762</v>
      </c>
      <c r="AL264" s="883">
        <f t="shared" si="732"/>
        <v>33.06513671874999</v>
      </c>
      <c r="AM264" s="403">
        <f t="shared" si="732"/>
        <v>47.872763669490226</v>
      </c>
      <c r="AN264" s="881">
        <f t="shared" ref="AN264" si="733">AN76</f>
        <v>28.207148437500003</v>
      </c>
      <c r="AO264" s="882">
        <f t="shared" si="732"/>
        <v>28.207148437500003</v>
      </c>
      <c r="AP264" s="882">
        <f t="shared" ref="AP264" si="734">AP76</f>
        <v>38.680972222222231</v>
      </c>
      <c r="AQ264" s="883">
        <f t="shared" si="732"/>
        <v>38.680972222222231</v>
      </c>
      <c r="AR264" s="403">
        <f t="shared" si="732"/>
        <v>33.444060329861117</v>
      </c>
      <c r="AS264" s="881">
        <f t="shared" si="732"/>
        <v>33.978535156249976</v>
      </c>
      <c r="AT264" s="882">
        <f t="shared" ref="AT264:AU264" si="735">AT76</f>
        <v>33.298916015625025</v>
      </c>
      <c r="AU264" s="882">
        <f t="shared" si="735"/>
        <v>31.712827380952373</v>
      </c>
      <c r="AV264" s="883">
        <f t="shared" si="732"/>
        <v>52.552301587301585</v>
      </c>
      <c r="AW264" s="403">
        <f t="shared" si="732"/>
        <v>37.88564503503224</v>
      </c>
      <c r="AX264" s="881">
        <f t="shared" si="732"/>
        <v>62.437333984375016</v>
      </c>
      <c r="AY264" s="882">
        <f t="shared" si="732"/>
        <v>32.65</v>
      </c>
      <c r="AZ264" s="882">
        <f t="shared" si="732"/>
        <v>35.383333333333326</v>
      </c>
      <c r="BA264" s="883">
        <f t="shared" si="732"/>
        <v>42.35</v>
      </c>
      <c r="BB264" s="403">
        <f t="shared" si="732"/>
        <v>43.205166829427085</v>
      </c>
      <c r="BC264" s="881">
        <f t="shared" ref="BC264:BL264" si="736">BC76</f>
        <v>73.199444871908241</v>
      </c>
      <c r="BD264" s="882">
        <f t="shared" si="736"/>
        <v>31.598138616301913</v>
      </c>
      <c r="BE264" s="882">
        <f t="shared" si="736"/>
        <v>36.852856695587477</v>
      </c>
      <c r="BF264" s="883">
        <f t="shared" si="736"/>
        <v>38.566226482602353</v>
      </c>
      <c r="BG264" s="403">
        <f t="shared" si="736"/>
        <v>45.054166666599997</v>
      </c>
      <c r="BH264" s="881">
        <f t="shared" si="736"/>
        <v>73.199444871908241</v>
      </c>
      <c r="BI264" s="882">
        <f t="shared" si="736"/>
        <v>31.598138616301917</v>
      </c>
      <c r="BJ264" s="882">
        <f t="shared" si="736"/>
        <v>36.852856695587484</v>
      </c>
      <c r="BK264" s="883">
        <f t="shared" si="736"/>
        <v>38.566226482602353</v>
      </c>
      <c r="BL264" s="403">
        <f t="shared" si="736"/>
        <v>45.054166666600004</v>
      </c>
      <c r="BM264" s="881">
        <f t="shared" ref="BM264:BQ264" si="737">BM76</f>
        <v>61.505255853650482</v>
      </c>
      <c r="BN264" s="882">
        <f t="shared" si="737"/>
        <v>28.226192365355416</v>
      </c>
      <c r="BO264" s="882">
        <f t="shared" si="737"/>
        <v>26.404635639874044</v>
      </c>
      <c r="BP264" s="883">
        <f t="shared" si="737"/>
        <v>60.202600375579976</v>
      </c>
      <c r="BQ264" s="403">
        <f t="shared" si="737"/>
        <v>44.08467105861498</v>
      </c>
      <c r="BR264" s="403"/>
      <c r="BS264" s="1503"/>
      <c r="BT264" s="1503"/>
      <c r="BU264" s="1503"/>
      <c r="BV264" s="1503"/>
      <c r="BW264" s="1493"/>
      <c r="BX264"/>
      <c r="BY264"/>
      <c r="BZ264"/>
      <c r="CA264"/>
      <c r="CB264"/>
      <c r="CC264"/>
    </row>
    <row r="265" spans="1:81" s="19" customFormat="1">
      <c r="A265" s="108"/>
      <c r="B265" s="5"/>
      <c r="C265" s="1127" t="s">
        <v>571</v>
      </c>
      <c r="D265" s="5"/>
      <c r="E265" s="146"/>
      <c r="F265" s="7"/>
      <c r="G265" s="7"/>
      <c r="H265" s="147"/>
      <c r="I265" s="31"/>
      <c r="J265" s="146"/>
      <c r="K265" s="7"/>
      <c r="L265" s="7"/>
      <c r="M265" s="147"/>
      <c r="N265" s="5"/>
      <c r="O265" s="146"/>
      <c r="P265" s="7"/>
      <c r="Q265" s="7"/>
      <c r="R265" s="147"/>
      <c r="S265" s="5"/>
      <c r="T265" s="881"/>
      <c r="U265" s="882"/>
      <c r="V265" s="882"/>
      <c r="W265" s="883"/>
      <c r="X265" s="403"/>
      <c r="Y265" s="881">
        <f t="shared" ref="Y265:BB265" si="738">Y77</f>
        <v>72.617844806763287</v>
      </c>
      <c r="Z265" s="882">
        <f t="shared" si="738"/>
        <v>34.133154761904763</v>
      </c>
      <c r="AA265" s="882">
        <f t="shared" si="738"/>
        <v>30.454148550724629</v>
      </c>
      <c r="AB265" s="883">
        <f t="shared" si="738"/>
        <v>51.12213387681161</v>
      </c>
      <c r="AC265" s="403">
        <f t="shared" si="738"/>
        <v>47.081820499051069</v>
      </c>
      <c r="AD265" s="881">
        <f t="shared" si="738"/>
        <v>125.17613546698867</v>
      </c>
      <c r="AE265" s="882">
        <f t="shared" si="738"/>
        <v>32.324491758241756</v>
      </c>
      <c r="AF265" s="882">
        <f t="shared" si="738"/>
        <v>26.776259057971</v>
      </c>
      <c r="AG265" s="883">
        <f t="shared" si="738"/>
        <v>31.050057065217374</v>
      </c>
      <c r="AH265" s="403">
        <f t="shared" si="738"/>
        <v>53.831735837104702</v>
      </c>
      <c r="AI265" s="881">
        <f t="shared" si="738"/>
        <v>74.709404790660244</v>
      </c>
      <c r="AJ265" s="882">
        <f t="shared" si="738"/>
        <v>18.747051282051284</v>
      </c>
      <c r="AK265" s="882">
        <f t="shared" si="738"/>
        <v>22.344044384057977</v>
      </c>
      <c r="AL265" s="883">
        <f t="shared" si="738"/>
        <v>20.198206884057964</v>
      </c>
      <c r="AM265" s="403">
        <f t="shared" si="738"/>
        <v>33.99967683520687</v>
      </c>
      <c r="AN265" s="881">
        <f t="shared" ref="AN265" si="739">AN77</f>
        <v>18.611707875457874</v>
      </c>
      <c r="AO265" s="882">
        <f t="shared" si="738"/>
        <v>18.611707875457874</v>
      </c>
      <c r="AP265" s="882">
        <f t="shared" ref="AP265" si="740">AP77</f>
        <v>28.745413949275392</v>
      </c>
      <c r="AQ265" s="883">
        <f t="shared" si="738"/>
        <v>28.745413949275392</v>
      </c>
      <c r="AR265" s="403">
        <f t="shared" si="738"/>
        <v>23.678560912366631</v>
      </c>
      <c r="AS265" s="881">
        <f t="shared" si="738"/>
        <v>30.265937600644126</v>
      </c>
      <c r="AT265" s="882">
        <f t="shared" ref="AT265:AU265" si="741">AT77</f>
        <v>22.968333333333337</v>
      </c>
      <c r="AU265" s="882">
        <f t="shared" si="741"/>
        <v>19.421938405797103</v>
      </c>
      <c r="AV265" s="883">
        <f t="shared" si="738"/>
        <v>41.756125543478234</v>
      </c>
      <c r="AW265" s="403">
        <f t="shared" si="738"/>
        <v>28.603083720813199</v>
      </c>
      <c r="AX265" s="881">
        <f t="shared" si="738"/>
        <v>55.496529991948492</v>
      </c>
      <c r="AY265" s="882">
        <f t="shared" si="738"/>
        <v>24.166666666666671</v>
      </c>
      <c r="AZ265" s="882">
        <f t="shared" si="738"/>
        <v>23.300000000000004</v>
      </c>
      <c r="BA265" s="883">
        <f t="shared" si="738"/>
        <v>33.700000000000003</v>
      </c>
      <c r="BB265" s="403">
        <f t="shared" si="738"/>
        <v>34.165799164653791</v>
      </c>
      <c r="BC265" s="881">
        <f t="shared" ref="BC265:BL265" si="742">BC77</f>
        <v>56.863680246618706</v>
      </c>
      <c r="BD265" s="882">
        <f t="shared" si="742"/>
        <v>22.402357917897522</v>
      </c>
      <c r="BE265" s="882">
        <f t="shared" si="742"/>
        <v>23.701528116853666</v>
      </c>
      <c r="BF265" s="883">
        <f t="shared" si="742"/>
        <v>32.932400385030085</v>
      </c>
      <c r="BG265" s="403">
        <f t="shared" si="742"/>
        <v>33.974991666599998</v>
      </c>
      <c r="BH265" s="881">
        <f t="shared" si="742"/>
        <v>56.696324969164479</v>
      </c>
      <c r="BI265" s="882">
        <f t="shared" si="742"/>
        <v>22.336425624934453</v>
      </c>
      <c r="BJ265" s="882">
        <f t="shared" si="742"/>
        <v>23.631772241101654</v>
      </c>
      <c r="BK265" s="883">
        <f t="shared" si="742"/>
        <v>32.8354771647994</v>
      </c>
      <c r="BL265" s="403">
        <f t="shared" si="742"/>
        <v>33.875</v>
      </c>
      <c r="BM265" s="881">
        <f t="shared" ref="BM265:BQ265" si="743">BM77</f>
        <v>46.414055670142126</v>
      </c>
      <c r="BN265" s="882">
        <f t="shared" si="743"/>
        <v>21.300489618628092</v>
      </c>
      <c r="BO265" s="882">
        <f t="shared" si="743"/>
        <v>19.925878065690437</v>
      </c>
      <c r="BP265" s="883">
        <f t="shared" si="743"/>
        <v>45.431025471518993</v>
      </c>
      <c r="BQ265" s="403">
        <f t="shared" si="743"/>
        <v>33.267862206494911</v>
      </c>
      <c r="BR265" s="403"/>
      <c r="BS265" s="1503"/>
      <c r="BT265" s="1503"/>
      <c r="BU265" s="1503"/>
      <c r="BV265" s="1503"/>
      <c r="BW265" s="1493"/>
      <c r="BX265"/>
      <c r="BY265"/>
      <c r="BZ265"/>
      <c r="CA265"/>
      <c r="CB265"/>
      <c r="CC265"/>
    </row>
    <row r="266" spans="1:81" s="19" customFormat="1">
      <c r="A266" s="108"/>
      <c r="B266" s="5"/>
      <c r="C266" s="1127" t="s">
        <v>552</v>
      </c>
      <c r="D266" s="5"/>
      <c r="E266" s="146"/>
      <c r="F266" s="7"/>
      <c r="G266" s="7"/>
      <c r="H266" s="147"/>
      <c r="I266" s="941">
        <v>7200</v>
      </c>
      <c r="J266" s="146"/>
      <c r="K266" s="7"/>
      <c r="L266" s="7"/>
      <c r="M266" s="147"/>
      <c r="N266" s="5"/>
      <c r="O266" s="146"/>
      <c r="P266" s="7"/>
      <c r="Q266" s="7"/>
      <c r="R266" s="147"/>
      <c r="S266" s="5"/>
      <c r="T266" s="881"/>
      <c r="U266" s="882"/>
      <c r="V266" s="882"/>
      <c r="W266" s="883"/>
      <c r="X266" s="403"/>
      <c r="Y266" s="881">
        <f>$I266/1000*(Y$65+Y$71)</f>
        <v>30.950639999999996</v>
      </c>
      <c r="Z266" s="882">
        <f>$I266/1000*(Z$65+Z$71)</f>
        <v>29.830724999999997</v>
      </c>
      <c r="AA266" s="882">
        <f>$I266/1000*(AA$65+AA$71)</f>
        <v>25.520849999999996</v>
      </c>
      <c r="AB266" s="883">
        <f>$I266/1000*(AB$65+AB$71)</f>
        <v>28.638787500000003</v>
      </c>
      <c r="AC266" s="403">
        <f>AVERAGE(Y266:AB266)</f>
        <v>28.735250624999999</v>
      </c>
      <c r="AD266" s="881">
        <f>$I266/1000*(AD$65+AD$73)</f>
        <v>122.70393442622951</v>
      </c>
      <c r="AE266" s="882">
        <f>$I266/1000*(AE$65+AE$73)</f>
        <v>26.853749999999998</v>
      </c>
      <c r="AF266" s="882">
        <f>$I266/1000*(AF$65+AF$73)</f>
        <v>18.690074999999993</v>
      </c>
      <c r="AG266" s="883">
        <f>$I266/1000*(AG$65+AG$73)</f>
        <v>23.012887500000009</v>
      </c>
      <c r="AH266" s="403">
        <f>AVERAGE(AD266:AG266)</f>
        <v>47.815161731557374</v>
      </c>
      <c r="AI266" s="881">
        <f>$I266/1000*(AI$65+AI$73)</f>
        <v>64.16767741935486</v>
      </c>
      <c r="AJ266" s="882">
        <f>$I266/1000*(AJ$65+AJ$73)</f>
        <v>17.906742857142859</v>
      </c>
      <c r="AK266" s="882">
        <f>$I266/1000*(AK$65+AK$73)</f>
        <v>16.353112500000002</v>
      </c>
      <c r="AL266" s="883">
        <f>$I266/1000*(AL$65+AL$73)</f>
        <v>13.749028571428571</v>
      </c>
      <c r="AM266" s="403">
        <f>AVERAGE(AI266:AL266)</f>
        <v>28.04414033698157</v>
      </c>
      <c r="AN266" s="881">
        <f>$I266/1000*(AN$65+AN$73)</f>
        <v>12.218737500000001</v>
      </c>
      <c r="AO266" s="882">
        <f>$I266/1000*(AO$65+AO$73)</f>
        <v>12.218737500000001</v>
      </c>
      <c r="AP266" s="882">
        <f>$I266/1000*(AP$65+AP$73)</f>
        <v>19.294141935483871</v>
      </c>
      <c r="AQ266" s="883">
        <f>$I266/1000*(AQ$65+AQ$73)</f>
        <v>19.294141935483871</v>
      </c>
      <c r="AR266" s="403">
        <f>AVERAGE(AN266:AQ266)</f>
        <v>15.756439717741936</v>
      </c>
      <c r="AS266" s="881">
        <f>$I266/1000*(AS$65+AS$73)</f>
        <v>23.8347870967742</v>
      </c>
      <c r="AT266" s="882">
        <f>$I266/1000*(AT$65+AT$73)</f>
        <v>19.351575000000008</v>
      </c>
      <c r="AU266" s="882">
        <f t="shared" ref="AU266" si="744">$I266/1000*(AU$65+AU$73)</f>
        <v>17.35942857142858</v>
      </c>
      <c r="AV266" s="883">
        <f>$I266/1000*(AV$65+AV$73)</f>
        <v>25.351432258064523</v>
      </c>
      <c r="AW266" s="403">
        <f>AVERAGE(AS266:AV266)</f>
        <v>21.474305731566826</v>
      </c>
      <c r="AX266" s="881">
        <f>$I266/1000*(AX$65+AX$73)</f>
        <v>56.230229508196729</v>
      </c>
      <c r="AY266" s="882">
        <f>$I266/1000*(AY$65+AY$73)</f>
        <v>17.913599999999999</v>
      </c>
      <c r="AZ266" s="882">
        <f>$I266/1000*(AZ$65+AZ$73)</f>
        <v>18.036000000000001</v>
      </c>
      <c r="BA266" s="883">
        <f>$I266/1000*(BA$65+BA$73)</f>
        <v>22.74</v>
      </c>
      <c r="BB266" s="403">
        <f>AVERAGE(AX266:BA266)</f>
        <v>28.729957377049182</v>
      </c>
      <c r="BC266" s="881">
        <f>$I266/1000*(BC$65+BC$73)</f>
        <v>32.691089029516874</v>
      </c>
      <c r="BD266" s="882">
        <f>$I266/1000*(BD$65+BD$73)</f>
        <v>13.301333668035255</v>
      </c>
      <c r="BE266" s="882">
        <f>$I266/1000*(BE$65+BE$73)</f>
        <v>12.617782212888686</v>
      </c>
      <c r="BF266" s="883">
        <f>$I266/1000*(BF$65+BF$73)</f>
        <v>32.816835086679184</v>
      </c>
      <c r="BG266" s="403">
        <f>AVERAGE(BC266:BF266)</f>
        <v>22.856759999280001</v>
      </c>
      <c r="BH266" s="881">
        <f>$I266/1000*(BH$65+BH$73)</f>
        <v>33.229538674648879</v>
      </c>
      <c r="BI266" s="882">
        <f>$I266/1000*(BI$65+BI$73)</f>
        <v>13.520417785632848</v>
      </c>
      <c r="BJ266" s="882">
        <f>$I266/1000*(BJ$65+BJ$73)</f>
        <v>12.825607664917786</v>
      </c>
      <c r="BK266" s="883">
        <f>$I266/1000*(BK$65+BK$73)</f>
        <v>33.357355874800483</v>
      </c>
      <c r="BL266" s="403">
        <f>AVERAGE(BH266:BK266)</f>
        <v>23.233229999999999</v>
      </c>
      <c r="BM266" s="881">
        <f>$I266/1000*(BM$65+BM$73)</f>
        <v>32.685045084272815</v>
      </c>
      <c r="BN266" s="882">
        <f>$I266/1000*(BN$65+BN$73)</f>
        <v>14.999927359285048</v>
      </c>
      <c r="BO266" s="882">
        <f>$I266/1000*(BO$65+BO$73)</f>
        <v>14.031917993750715</v>
      </c>
      <c r="BP266" s="883">
        <f>$I266/1000*(BP$65+BP$73)</f>
        <v>31.992789561731438</v>
      </c>
      <c r="BQ266" s="403">
        <f>AVERAGE(BM266:BP266)</f>
        <v>23.427419999760005</v>
      </c>
      <c r="BR266" s="403"/>
      <c r="BS266" s="1503"/>
      <c r="BT266" s="1503"/>
      <c r="BU266" s="1503"/>
      <c r="BV266" s="1503"/>
      <c r="BW266" s="1493"/>
      <c r="BX266"/>
      <c r="BY266"/>
      <c r="BZ266"/>
      <c r="CA266"/>
      <c r="CB266"/>
      <c r="CC266"/>
    </row>
    <row r="267" spans="1:81" s="19" customFormat="1">
      <c r="A267" s="108"/>
      <c r="B267" s="5"/>
      <c r="C267" s="1127"/>
      <c r="D267" s="5"/>
      <c r="E267" s="146"/>
      <c r="F267" s="7"/>
      <c r="G267" s="7"/>
      <c r="H267" s="147"/>
      <c r="I267" s="518"/>
      <c r="J267" s="146"/>
      <c r="K267" s="7"/>
      <c r="L267" s="7"/>
      <c r="M267" s="147"/>
      <c r="N267" s="5"/>
      <c r="O267" s="146"/>
      <c r="P267" s="7"/>
      <c r="Q267" s="7"/>
      <c r="R267" s="147"/>
      <c r="S267" s="5"/>
      <c r="T267" s="881"/>
      <c r="U267" s="882"/>
      <c r="V267" s="882"/>
      <c r="W267" s="883"/>
      <c r="X267" s="403"/>
      <c r="Y267" s="881"/>
      <c r="Z267" s="882"/>
      <c r="AA267" s="882"/>
      <c r="AB267" s="883"/>
      <c r="AC267" s="403"/>
      <c r="AD267" s="881"/>
      <c r="AE267" s="882"/>
      <c r="AF267" s="882"/>
      <c r="AG267" s="883"/>
      <c r="AH267" s="403"/>
      <c r="AI267" s="881"/>
      <c r="AJ267" s="882"/>
      <c r="AK267" s="882"/>
      <c r="AL267" s="883"/>
      <c r="AM267" s="403"/>
      <c r="AN267" s="881"/>
      <c r="AO267" s="882"/>
      <c r="AP267" s="882"/>
      <c r="AQ267" s="883"/>
      <c r="AR267" s="403"/>
      <c r="AS267" s="881"/>
      <c r="AT267" s="882"/>
      <c r="AU267" s="882"/>
      <c r="AV267" s="883"/>
      <c r="AW267" s="403"/>
      <c r="AX267" s="881"/>
      <c r="AY267" s="882"/>
      <c r="AZ267" s="882"/>
      <c r="BA267" s="883"/>
      <c r="BB267" s="403"/>
      <c r="BC267" s="881"/>
      <c r="BD267" s="882"/>
      <c r="BE267" s="882"/>
      <c r="BF267" s="883"/>
      <c r="BG267" s="403"/>
      <c r="BH267" s="881"/>
      <c r="BI267" s="882"/>
      <c r="BJ267" s="882"/>
      <c r="BK267" s="883"/>
      <c r="BL267" s="403"/>
      <c r="BM267" s="881"/>
      <c r="BN267" s="882"/>
      <c r="BO267" s="882"/>
      <c r="BP267" s="883"/>
      <c r="BQ267" s="403"/>
      <c r="BR267" s="403"/>
      <c r="BS267" s="1503"/>
      <c r="BT267" s="1503"/>
      <c r="BU267" s="1503"/>
      <c r="BV267" s="1503"/>
      <c r="BW267" s="1493"/>
      <c r="BX267"/>
      <c r="BY267"/>
      <c r="BZ267"/>
      <c r="CA267"/>
      <c r="CB267"/>
      <c r="CC267"/>
    </row>
    <row r="268" spans="1:81" s="19" customFormat="1">
      <c r="A268" s="108"/>
      <c r="B268" s="5"/>
      <c r="C268" s="1128" t="s">
        <v>553</v>
      </c>
      <c r="D268" s="36"/>
      <c r="E268" s="180"/>
      <c r="F268" s="181"/>
      <c r="G268" s="181"/>
      <c r="H268" s="182"/>
      <c r="I268" s="926">
        <v>550</v>
      </c>
      <c r="J268" s="180"/>
      <c r="K268" s="181"/>
      <c r="L268" s="181"/>
      <c r="M268" s="182"/>
      <c r="N268" s="110"/>
      <c r="O268" s="180"/>
      <c r="P268" s="181"/>
      <c r="Q268" s="181"/>
      <c r="R268" s="182"/>
      <c r="S268" s="110"/>
      <c r="T268" s="180"/>
      <c r="U268" s="181"/>
      <c r="V268" s="181"/>
      <c r="W268" s="182"/>
      <c r="X268" s="110"/>
      <c r="Y268" s="180">
        <f>++I268</f>
        <v>550</v>
      </c>
      <c r="Z268" s="181">
        <f>Y268</f>
        <v>550</v>
      </c>
      <c r="AA268" s="181">
        <f>Z268</f>
        <v>550</v>
      </c>
      <c r="AB268" s="182">
        <f>AA268</f>
        <v>550</v>
      </c>
      <c r="AC268" s="110">
        <f t="shared" ref="AC268:AR268" si="745">AB268</f>
        <v>550</v>
      </c>
      <c r="AD268" s="180">
        <f t="shared" si="745"/>
        <v>550</v>
      </c>
      <c r="AE268" s="181">
        <f t="shared" si="745"/>
        <v>550</v>
      </c>
      <c r="AF268" s="181">
        <f t="shared" si="745"/>
        <v>550</v>
      </c>
      <c r="AG268" s="182">
        <f>AF268</f>
        <v>550</v>
      </c>
      <c r="AH268" s="110">
        <f t="shared" si="745"/>
        <v>550</v>
      </c>
      <c r="AI268" s="180">
        <f t="shared" si="745"/>
        <v>550</v>
      </c>
      <c r="AJ268" s="181">
        <f t="shared" si="745"/>
        <v>550</v>
      </c>
      <c r="AK268" s="181">
        <f t="shared" si="745"/>
        <v>550</v>
      </c>
      <c r="AL268" s="182">
        <f>AK268</f>
        <v>550</v>
      </c>
      <c r="AM268" s="110">
        <f t="shared" si="745"/>
        <v>550</v>
      </c>
      <c r="AN268" s="1725">
        <v>0</v>
      </c>
      <c r="AO268" s="181">
        <f>AN268</f>
        <v>0</v>
      </c>
      <c r="AP268" s="181">
        <f t="shared" si="745"/>
        <v>0</v>
      </c>
      <c r="AQ268" s="182">
        <f t="shared" si="745"/>
        <v>0</v>
      </c>
      <c r="AR268" s="110">
        <f t="shared" si="745"/>
        <v>0</v>
      </c>
      <c r="AS268" s="180">
        <f t="shared" ref="AS268:BB268" si="746">AR268</f>
        <v>0</v>
      </c>
      <c r="AT268" s="181">
        <f>AS268</f>
        <v>0</v>
      </c>
      <c r="AU268" s="181">
        <f t="shared" ref="AU268" si="747">AT268</f>
        <v>0</v>
      </c>
      <c r="AV268" s="182">
        <f t="shared" si="746"/>
        <v>0</v>
      </c>
      <c r="AW268" s="110">
        <f t="shared" si="746"/>
        <v>0</v>
      </c>
      <c r="AX268" s="180">
        <f t="shared" si="746"/>
        <v>0</v>
      </c>
      <c r="AY268" s="181">
        <f t="shared" si="746"/>
        <v>0</v>
      </c>
      <c r="AZ268" s="181">
        <f t="shared" si="746"/>
        <v>0</v>
      </c>
      <c r="BA268" s="182">
        <f t="shared" si="746"/>
        <v>0</v>
      </c>
      <c r="BB268" s="110">
        <f t="shared" si="746"/>
        <v>0</v>
      </c>
      <c r="BC268" s="180">
        <f t="shared" ref="BC268" si="748">BB268</f>
        <v>0</v>
      </c>
      <c r="BD268" s="181">
        <f t="shared" ref="BD268" si="749">BC268</f>
        <v>0</v>
      </c>
      <c r="BE268" s="181">
        <f t="shared" ref="BE268" si="750">BD268</f>
        <v>0</v>
      </c>
      <c r="BF268" s="182">
        <f t="shared" ref="BF268" si="751">BE268</f>
        <v>0</v>
      </c>
      <c r="BG268" s="110">
        <f t="shared" ref="BG268" si="752">BF268</f>
        <v>0</v>
      </c>
      <c r="BH268" s="180">
        <f t="shared" ref="BH268" si="753">BG268</f>
        <v>0</v>
      </c>
      <c r="BI268" s="181">
        <f t="shared" ref="BI268" si="754">BH268</f>
        <v>0</v>
      </c>
      <c r="BJ268" s="181">
        <f t="shared" ref="BJ268" si="755">BI268</f>
        <v>0</v>
      </c>
      <c r="BK268" s="182">
        <f t="shared" ref="BK268" si="756">BJ268</f>
        <v>0</v>
      </c>
      <c r="BL268" s="110">
        <f t="shared" ref="BL268" si="757">BK268</f>
        <v>0</v>
      </c>
      <c r="BM268" s="180">
        <f t="shared" ref="BM268" si="758">BL268</f>
        <v>0</v>
      </c>
      <c r="BN268" s="181">
        <f t="shared" ref="BN268" si="759">BM268</f>
        <v>0</v>
      </c>
      <c r="BO268" s="181">
        <f t="shared" ref="BO268" si="760">BN268</f>
        <v>0</v>
      </c>
      <c r="BP268" s="182">
        <f t="shared" ref="BP268" si="761">BO268</f>
        <v>0</v>
      </c>
      <c r="BQ268" s="110">
        <f t="shared" ref="BQ268" si="762">BP268</f>
        <v>0</v>
      </c>
      <c r="BR268" s="110"/>
      <c r="BS268" s="1503"/>
      <c r="BT268" s="1503"/>
      <c r="BU268" s="1503"/>
      <c r="BV268" s="1503"/>
      <c r="BW268" s="1493"/>
      <c r="BX268"/>
      <c r="BY268"/>
      <c r="BZ268"/>
      <c r="CA268"/>
      <c r="CB268"/>
      <c r="CC268"/>
    </row>
    <row r="269" spans="1:81" s="19" customFormat="1">
      <c r="A269" s="108"/>
      <c r="B269" s="5"/>
      <c r="C269" s="1125"/>
      <c r="D269" s="5"/>
      <c r="E269" s="146"/>
      <c r="F269" s="7"/>
      <c r="G269" s="7"/>
      <c r="H269" s="147"/>
      <c r="I269" s="31"/>
      <c r="J269" s="146"/>
      <c r="K269" s="7"/>
      <c r="L269" s="7"/>
      <c r="M269" s="147"/>
      <c r="N269" s="5"/>
      <c r="O269" s="146"/>
      <c r="P269" s="7"/>
      <c r="Q269" s="7"/>
      <c r="R269" s="147"/>
      <c r="S269" s="5"/>
      <c r="T269" s="146"/>
      <c r="U269" s="7"/>
      <c r="V269" s="7"/>
      <c r="W269" s="147"/>
      <c r="X269" s="5"/>
      <c r="Y269" s="146"/>
      <c r="Z269" s="7"/>
      <c r="AA269" s="7"/>
      <c r="AB269" s="147"/>
      <c r="AC269" s="5"/>
      <c r="AD269" s="146"/>
      <c r="AE269" s="7"/>
      <c r="AF269" s="7"/>
      <c r="AG269" s="147"/>
      <c r="AH269" s="5"/>
      <c r="AI269" s="146"/>
      <c r="AJ269" s="7"/>
      <c r="AK269" s="7"/>
      <c r="AL269" s="147"/>
      <c r="AM269" s="5"/>
      <c r="AN269" s="146"/>
      <c r="AO269" s="7"/>
      <c r="AP269" s="7"/>
      <c r="AQ269" s="147"/>
      <c r="AR269" s="5"/>
      <c r="AS269" s="146"/>
      <c r="AT269" s="7"/>
      <c r="AU269" s="7"/>
      <c r="AV269" s="147"/>
      <c r="AW269" s="5"/>
      <c r="AX269" s="146"/>
      <c r="AY269" s="7"/>
      <c r="AZ269" s="7"/>
      <c r="BA269" s="147"/>
      <c r="BB269" s="5"/>
      <c r="BC269" s="146"/>
      <c r="BD269" s="7"/>
      <c r="BE269" s="7"/>
      <c r="BF269" s="147"/>
      <c r="BG269" s="5"/>
      <c r="BH269" s="146"/>
      <c r="BI269" s="7"/>
      <c r="BJ269" s="7"/>
      <c r="BK269" s="147"/>
      <c r="BL269" s="5"/>
      <c r="BM269" s="146"/>
      <c r="BN269" s="7"/>
      <c r="BO269" s="7"/>
      <c r="BP269" s="147"/>
      <c r="BQ269" s="5"/>
      <c r="BR269" s="5"/>
      <c r="BS269" s="1503"/>
      <c r="BT269" s="1503"/>
      <c r="BU269" s="1503"/>
      <c r="BV269" s="1503"/>
      <c r="BW269" s="1493"/>
      <c r="BX269"/>
      <c r="BY269"/>
      <c r="BZ269"/>
      <c r="CA269"/>
      <c r="CB269"/>
      <c r="CC269"/>
    </row>
    <row r="270" spans="1:81" s="19" customFormat="1">
      <c r="A270" s="108"/>
      <c r="B270" s="5"/>
      <c r="C270" s="1127" t="s">
        <v>569</v>
      </c>
      <c r="D270" s="5"/>
      <c r="E270" s="146"/>
      <c r="F270" s="7"/>
      <c r="G270" s="7"/>
      <c r="H270" s="147"/>
      <c r="I270" s="927">
        <v>0.4</v>
      </c>
      <c r="J270" s="146"/>
      <c r="K270" s="7"/>
      <c r="L270" s="7"/>
      <c r="M270" s="147"/>
      <c r="N270" s="5"/>
      <c r="O270" s="146"/>
      <c r="P270" s="7"/>
      <c r="Q270" s="7"/>
      <c r="R270" s="147"/>
      <c r="S270" s="5"/>
      <c r="T270" s="920"/>
      <c r="U270" s="921"/>
      <c r="V270" s="921"/>
      <c r="W270" s="922"/>
      <c r="X270" s="106"/>
      <c r="Y270" s="920">
        <f>+I270</f>
        <v>0.4</v>
      </c>
      <c r="Z270" s="921">
        <f>Y270</f>
        <v>0.4</v>
      </c>
      <c r="AA270" s="921">
        <f>Z270</f>
        <v>0.4</v>
      </c>
      <c r="AB270" s="922">
        <f>AA270</f>
        <v>0.4</v>
      </c>
      <c r="AC270" s="106">
        <f>AVERAGE(Y270:AB270)</f>
        <v>0.4</v>
      </c>
      <c r="AD270" s="920">
        <f>AC270</f>
        <v>0.4</v>
      </c>
      <c r="AE270" s="921">
        <f>I270</f>
        <v>0.4</v>
      </c>
      <c r="AF270" s="921">
        <f>AE270</f>
        <v>0.4</v>
      </c>
      <c r="AG270" s="922">
        <f>AF270</f>
        <v>0.4</v>
      </c>
      <c r="AH270" s="106">
        <f>AVERAGE(AD270:AG270)</f>
        <v>0.4</v>
      </c>
      <c r="AI270" s="920">
        <f>AH270</f>
        <v>0.4</v>
      </c>
      <c r="AJ270" s="921">
        <f>AI270</f>
        <v>0.4</v>
      </c>
      <c r="AK270" s="921">
        <f>AJ270</f>
        <v>0.4</v>
      </c>
      <c r="AL270" s="922">
        <f>AK270</f>
        <v>0.4</v>
      </c>
      <c r="AM270" s="106">
        <f>AVERAGE(AI270:AL270)</f>
        <v>0.4</v>
      </c>
      <c r="AN270" s="920">
        <f>AM270</f>
        <v>0.4</v>
      </c>
      <c r="AO270" s="921">
        <f>AN270</f>
        <v>0.4</v>
      </c>
      <c r="AP270" s="921">
        <f>AO270</f>
        <v>0.4</v>
      </c>
      <c r="AQ270" s="922">
        <f>AP270</f>
        <v>0.4</v>
      </c>
      <c r="AR270" s="106">
        <f>AVERAGE(AN270:AQ270)</f>
        <v>0.4</v>
      </c>
      <c r="AS270" s="920">
        <f>AR270</f>
        <v>0.4</v>
      </c>
      <c r="AT270" s="921">
        <f>AS270</f>
        <v>0.4</v>
      </c>
      <c r="AU270" s="921">
        <f t="shared" ref="AU270" si="763">AT270</f>
        <v>0.4</v>
      </c>
      <c r="AV270" s="922">
        <f>AU270</f>
        <v>0.4</v>
      </c>
      <c r="AW270" s="106">
        <f>AVERAGE(AS270:AV270)</f>
        <v>0.4</v>
      </c>
      <c r="AX270" s="920">
        <f>AW270</f>
        <v>0.4</v>
      </c>
      <c r="AY270" s="921">
        <f>AX270</f>
        <v>0.4</v>
      </c>
      <c r="AZ270" s="921">
        <f>AY270</f>
        <v>0.4</v>
      </c>
      <c r="BA270" s="922">
        <f>AZ270</f>
        <v>0.4</v>
      </c>
      <c r="BB270" s="106">
        <f>AVERAGE(AX270:BA270)</f>
        <v>0.4</v>
      </c>
      <c r="BC270" s="920">
        <f>BB270</f>
        <v>0.4</v>
      </c>
      <c r="BD270" s="921">
        <f>BC270</f>
        <v>0.4</v>
      </c>
      <c r="BE270" s="921">
        <f>BD270</f>
        <v>0.4</v>
      </c>
      <c r="BF270" s="922">
        <f>BE270</f>
        <v>0.4</v>
      </c>
      <c r="BG270" s="106">
        <f>AVERAGE(BC270:BF270)</f>
        <v>0.4</v>
      </c>
      <c r="BH270" s="920">
        <f>BG270</f>
        <v>0.4</v>
      </c>
      <c r="BI270" s="921">
        <f>BH270</f>
        <v>0.4</v>
      </c>
      <c r="BJ270" s="921">
        <f>BI270</f>
        <v>0.4</v>
      </c>
      <c r="BK270" s="922">
        <f>BJ270</f>
        <v>0.4</v>
      </c>
      <c r="BL270" s="106">
        <f>AVERAGE(BH270:BK270)</f>
        <v>0.4</v>
      </c>
      <c r="BM270" s="920">
        <f>BL270</f>
        <v>0.4</v>
      </c>
      <c r="BN270" s="921">
        <f>BM270</f>
        <v>0.4</v>
      </c>
      <c r="BO270" s="921">
        <f>BN270</f>
        <v>0.4</v>
      </c>
      <c r="BP270" s="922">
        <f>BO270</f>
        <v>0.4</v>
      </c>
      <c r="BQ270" s="106">
        <f>AVERAGE(BM270:BP270)</f>
        <v>0.4</v>
      </c>
      <c r="BR270" s="106"/>
      <c r="BS270" s="1503"/>
      <c r="BT270" s="1503"/>
      <c r="BU270" s="1503"/>
      <c r="BV270" s="1503"/>
      <c r="BW270" s="1493"/>
      <c r="BX270"/>
      <c r="BY270"/>
      <c r="BZ270"/>
      <c r="CA270"/>
      <c r="CB270"/>
      <c r="CC270"/>
    </row>
    <row r="271" spans="1:81" s="19" customFormat="1">
      <c r="A271" s="108"/>
      <c r="B271" s="5"/>
      <c r="C271" s="1127" t="s">
        <v>572</v>
      </c>
      <c r="D271" s="5"/>
      <c r="E271" s="146"/>
      <c r="F271" s="7"/>
      <c r="G271" s="7"/>
      <c r="H271" s="147"/>
      <c r="I271" s="31"/>
      <c r="J271" s="146"/>
      <c r="K271" s="7"/>
      <c r="L271" s="7"/>
      <c r="M271" s="147"/>
      <c r="N271" s="5"/>
      <c r="O271" s="146"/>
      <c r="P271" s="7"/>
      <c r="Q271" s="7"/>
      <c r="R271" s="147"/>
      <c r="S271" s="5"/>
      <c r="T271" s="912"/>
      <c r="U271" s="913"/>
      <c r="V271" s="913"/>
      <c r="W271" s="914"/>
      <c r="X271" s="911"/>
      <c r="Y271" s="912">
        <f>(Y268*Y270*(8760/1000))/4</f>
        <v>481.8</v>
      </c>
      <c r="Z271" s="913">
        <f>(Z268*Z270*(8760/1000))/4</f>
        <v>481.8</v>
      </c>
      <c r="AA271" s="913">
        <f>(AA268*AA270*(8760/1000))/4</f>
        <v>481.8</v>
      </c>
      <c r="AB271" s="914">
        <f>(AB268*AB270*(8760/1000))/4</f>
        <v>481.8</v>
      </c>
      <c r="AC271" s="911">
        <f>SUM(Y271:AB271)</f>
        <v>1927.2</v>
      </c>
      <c r="AD271" s="912">
        <f>(AD268*AD270*(8760/1000))/4</f>
        <v>481.8</v>
      </c>
      <c r="AE271" s="913">
        <f>(AE268*AE270*(8760/1000))/4</f>
        <v>481.8</v>
      </c>
      <c r="AF271" s="913">
        <f>(AF268*AF270*(8760/1000))/4</f>
        <v>481.8</v>
      </c>
      <c r="AG271" s="914">
        <f>(AG268*AG270*(8760/1000))/4</f>
        <v>481.8</v>
      </c>
      <c r="AH271" s="911">
        <f>SUM(AD271:AG271)</f>
        <v>1927.2</v>
      </c>
      <c r="AI271" s="912">
        <f>(AI268*AI270*(8760/1000))/4</f>
        <v>481.8</v>
      </c>
      <c r="AJ271" s="913">
        <f>(AJ268*AJ270*(8760/1000))/4</f>
        <v>481.8</v>
      </c>
      <c r="AK271" s="913">
        <f>(AK268*AK270*(8760/1000))/4</f>
        <v>481.8</v>
      </c>
      <c r="AL271" s="914">
        <f>(AL268*AL270*(8760/1000))/4</f>
        <v>481.8</v>
      </c>
      <c r="AM271" s="911">
        <f>SUM(AI271:AL271)</f>
        <v>1927.2</v>
      </c>
      <c r="AN271" s="912">
        <f>(AN268*AN270*(8760/1000))/4</f>
        <v>0</v>
      </c>
      <c r="AO271" s="913">
        <f>(AO268*AO270*(8760/1000))/4</f>
        <v>0</v>
      </c>
      <c r="AP271" s="913">
        <f>(AP268*AP270*(8760/1000))/4</f>
        <v>0</v>
      </c>
      <c r="AQ271" s="914">
        <f>(AQ268*AQ270*(8760/1000))/4</f>
        <v>0</v>
      </c>
      <c r="AR271" s="911">
        <f>SUM(AN271:AQ271)</f>
        <v>0</v>
      </c>
      <c r="AS271" s="912">
        <f>(AS268*AS270*(8760/1000))/4</f>
        <v>0</v>
      </c>
      <c r="AT271" s="913">
        <f>(AT268*AT270*(8760/1000))/4</f>
        <v>0</v>
      </c>
      <c r="AU271" s="913">
        <f t="shared" ref="AU271" si="764">(AU268*AU270*(8760/1000))/4</f>
        <v>0</v>
      </c>
      <c r="AV271" s="914">
        <f>(AV268*AV270*(8760/1000))/4</f>
        <v>0</v>
      </c>
      <c r="AW271" s="911">
        <f>SUM(AS271:AV271)</f>
        <v>0</v>
      </c>
      <c r="AX271" s="912">
        <f>(AX268*AX270*(8760/1000))/4</f>
        <v>0</v>
      </c>
      <c r="AY271" s="913">
        <f>(AY268*AY270*(8760/1000))/4</f>
        <v>0</v>
      </c>
      <c r="AZ271" s="913">
        <f>(AZ268*AZ270*(8760/1000))/4</f>
        <v>0</v>
      </c>
      <c r="BA271" s="914">
        <f>(BA268*BA270*(8760/1000))/4</f>
        <v>0</v>
      </c>
      <c r="BB271" s="911">
        <f>SUM(AX271:BA271)</f>
        <v>0</v>
      </c>
      <c r="BC271" s="912">
        <f>(BC268*BC270*(8760/1000))/4</f>
        <v>0</v>
      </c>
      <c r="BD271" s="913">
        <f>(BD268*BD270*(8760/1000))/4</f>
        <v>0</v>
      </c>
      <c r="BE271" s="913">
        <f>(BE268*BE270*(8760/1000))/4</f>
        <v>0</v>
      </c>
      <c r="BF271" s="914">
        <f>(BF268*BF270*(8760/1000))/4</f>
        <v>0</v>
      </c>
      <c r="BG271" s="911">
        <f>SUM(BC271:BF271)</f>
        <v>0</v>
      </c>
      <c r="BH271" s="912">
        <f>(BH268*BH270*(8760/1000))/4</f>
        <v>0</v>
      </c>
      <c r="BI271" s="913">
        <f>(BI268*BI270*(8760/1000))/4</f>
        <v>0</v>
      </c>
      <c r="BJ271" s="913">
        <f>(BJ268*BJ270*(8760/1000))/4</f>
        <v>0</v>
      </c>
      <c r="BK271" s="914">
        <f>(BK268*BK270*(8760/1000))/4</f>
        <v>0</v>
      </c>
      <c r="BL271" s="911">
        <f>SUM(BH271:BK271)</f>
        <v>0</v>
      </c>
      <c r="BM271" s="912">
        <f>(BM268*BM270*(8760/1000))/4</f>
        <v>0</v>
      </c>
      <c r="BN271" s="913">
        <f>(BN268*BN270*(8760/1000))/4</f>
        <v>0</v>
      </c>
      <c r="BO271" s="913">
        <f>(BO268*BO270*(8760/1000))/4</f>
        <v>0</v>
      </c>
      <c r="BP271" s="914">
        <f>(BP268*BP270*(8760/1000))/4</f>
        <v>0</v>
      </c>
      <c r="BQ271" s="911">
        <f>SUM(BM271:BP271)</f>
        <v>0</v>
      </c>
      <c r="BR271" s="911"/>
      <c r="BS271" s="1503"/>
      <c r="BT271" s="1503"/>
      <c r="BU271" s="1503"/>
      <c r="BV271" s="1503"/>
      <c r="BW271" s="1493"/>
      <c r="BX271"/>
      <c r="BY271"/>
      <c r="BZ271"/>
      <c r="CA271"/>
      <c r="CB271"/>
      <c r="CC271"/>
    </row>
    <row r="272" spans="1:81" s="19" customFormat="1">
      <c r="A272" s="108"/>
      <c r="B272" s="5"/>
      <c r="C272" s="1127"/>
      <c r="D272" s="5"/>
      <c r="E272" s="146"/>
      <c r="F272" s="7"/>
      <c r="G272" s="7"/>
      <c r="H272" s="147"/>
      <c r="I272" s="31"/>
      <c r="J272" s="146"/>
      <c r="K272" s="7"/>
      <c r="L272" s="7"/>
      <c r="M272" s="147"/>
      <c r="N272" s="5"/>
      <c r="O272" s="146"/>
      <c r="P272" s="7"/>
      <c r="Q272" s="7"/>
      <c r="R272" s="147"/>
      <c r="S272" s="5"/>
      <c r="T272" s="146"/>
      <c r="U272" s="7"/>
      <c r="V272" s="7"/>
      <c r="W272" s="147"/>
      <c r="X272" s="5"/>
      <c r="Y272" s="146"/>
      <c r="Z272" s="7"/>
      <c r="AA272" s="7"/>
      <c r="AB272" s="147"/>
      <c r="AC272" s="5"/>
      <c r="AD272" s="146"/>
      <c r="AE272" s="7"/>
      <c r="AF272" s="7"/>
      <c r="AG272" s="147"/>
      <c r="AH272" s="5"/>
      <c r="AI272" s="146"/>
      <c r="AJ272" s="7"/>
      <c r="AK272" s="7"/>
      <c r="AL272" s="147"/>
      <c r="AM272" s="5"/>
      <c r="AN272" s="146"/>
      <c r="AO272" s="7"/>
      <c r="AP272" s="7"/>
      <c r="AQ272" s="147"/>
      <c r="AR272" s="5"/>
      <c r="AS272" s="146"/>
      <c r="AT272" s="7"/>
      <c r="AU272" s="7"/>
      <c r="AV272" s="147"/>
      <c r="AW272" s="5"/>
      <c r="AX272" s="146"/>
      <c r="AY272" s="7"/>
      <c r="AZ272" s="7"/>
      <c r="BA272" s="147"/>
      <c r="BB272" s="5"/>
      <c r="BC272" s="146"/>
      <c r="BD272" s="7"/>
      <c r="BE272" s="7"/>
      <c r="BF272" s="147"/>
      <c r="BG272" s="5"/>
      <c r="BH272" s="146"/>
      <c r="BI272" s="7"/>
      <c r="BJ272" s="7"/>
      <c r="BK272" s="147"/>
      <c r="BL272" s="5"/>
      <c r="BM272" s="146"/>
      <c r="BN272" s="7"/>
      <c r="BO272" s="7"/>
      <c r="BP272" s="147"/>
      <c r="BQ272" s="5"/>
      <c r="BR272" s="5"/>
      <c r="BS272" s="1503"/>
      <c r="BT272" s="1503"/>
      <c r="BU272" s="1503"/>
      <c r="BV272" s="1503"/>
      <c r="BW272" s="1493"/>
      <c r="BX272"/>
      <c r="BY272"/>
      <c r="BZ272"/>
      <c r="CA272"/>
      <c r="CB272"/>
      <c r="CC272"/>
    </row>
    <row r="273" spans="1:81" s="19" customFormat="1">
      <c r="A273" s="108"/>
      <c r="B273" s="5"/>
      <c r="C273" s="1127" t="s">
        <v>573</v>
      </c>
      <c r="D273" s="5"/>
      <c r="E273" s="146"/>
      <c r="F273" s="7"/>
      <c r="G273" s="7"/>
      <c r="H273" s="147"/>
      <c r="I273" s="927">
        <v>0.15</v>
      </c>
      <c r="J273" s="146"/>
      <c r="K273" s="7"/>
      <c r="L273" s="7"/>
      <c r="M273" s="147"/>
      <c r="N273" s="5"/>
      <c r="O273" s="146"/>
      <c r="P273" s="7"/>
      <c r="Q273" s="7"/>
      <c r="R273" s="147"/>
      <c r="S273" s="5"/>
      <c r="T273" s="920"/>
      <c r="U273" s="921"/>
      <c r="V273" s="921"/>
      <c r="W273" s="922"/>
      <c r="X273" s="106"/>
      <c r="Y273" s="920">
        <f>IF(Y265&gt;Y266,$I273,0%)</f>
        <v>0.15</v>
      </c>
      <c r="Z273" s="921">
        <f>IF(Z265&gt;Z266,$I273,0%)</f>
        <v>0.15</v>
      </c>
      <c r="AA273" s="921">
        <f>IF(AA265&gt;AA266,$I273,0%)</f>
        <v>0.15</v>
      </c>
      <c r="AB273" s="922">
        <f>IF(AB265&gt;AB266,$I273,0%)</f>
        <v>0.15</v>
      </c>
      <c r="AC273" s="106">
        <f>AVERAGE(Y273:AB273)</f>
        <v>0.15</v>
      </c>
      <c r="AD273" s="920">
        <f>IF(AD265&gt;AD266,$I273,0%)</f>
        <v>0.15</v>
      </c>
      <c r="AE273" s="921">
        <f>I273</f>
        <v>0.15</v>
      </c>
      <c r="AF273" s="921">
        <f>IF(AF265&gt;AF266,$I273,0%)</f>
        <v>0.15</v>
      </c>
      <c r="AG273" s="922">
        <f>IF(AG265&gt;AG266,$I273,0%)</f>
        <v>0.15</v>
      </c>
      <c r="AH273" s="106">
        <f>AVERAGE(AD273:AG273)</f>
        <v>0.15</v>
      </c>
      <c r="AI273" s="920">
        <f>IF(AI265&gt;AI266,$I273,0%)</f>
        <v>0.15</v>
      </c>
      <c r="AJ273" s="921">
        <f>IF(AJ265&gt;AJ266,$I273,0%)</f>
        <v>0.15</v>
      </c>
      <c r="AK273" s="921">
        <f>IF(AK265&gt;AK266,$I273,0%)</f>
        <v>0.15</v>
      </c>
      <c r="AL273" s="922">
        <f>IF(AL265&gt;AL266,$I273,0%)</f>
        <v>0.15</v>
      </c>
      <c r="AM273" s="106">
        <f>AVERAGE(AI273:AL273)</f>
        <v>0.15</v>
      </c>
      <c r="AN273" s="920">
        <f>IF(AN265&gt;AN266,$I273,0%)</f>
        <v>0.15</v>
      </c>
      <c r="AO273" s="921">
        <f>IF(AO265&gt;AO266,$I273,0%)</f>
        <v>0.15</v>
      </c>
      <c r="AP273" s="921">
        <f>IF(AP265&gt;AP266,$I273,0%)</f>
        <v>0.15</v>
      </c>
      <c r="AQ273" s="922">
        <f>IF(AQ265&gt;AQ266,$I273,0%)</f>
        <v>0.15</v>
      </c>
      <c r="AR273" s="106">
        <f>AVERAGE(AN273:AQ273)</f>
        <v>0.15</v>
      </c>
      <c r="AS273" s="920">
        <f>IF(AS265&gt;AS266,$I273,0%)</f>
        <v>0.15</v>
      </c>
      <c r="AT273" s="921">
        <f>IF(AT265&gt;AT266,$I273,0%)</f>
        <v>0.15</v>
      </c>
      <c r="AU273" s="921">
        <f t="shared" ref="AU273" si="765">IF(AU265&gt;AU266,$I273,0%)</f>
        <v>0.15</v>
      </c>
      <c r="AV273" s="922">
        <f>IF(AV265&gt;AV266,$I273,0%)</f>
        <v>0.15</v>
      </c>
      <c r="AW273" s="106">
        <f>AVERAGE(AS273:AV273)</f>
        <v>0.15</v>
      </c>
      <c r="AX273" s="920">
        <f>IF(AX265&gt;AX266,$I273,0%)</f>
        <v>0</v>
      </c>
      <c r="AY273" s="921">
        <f>IF(AY265&gt;AY266,$I273,0%)</f>
        <v>0.15</v>
      </c>
      <c r="AZ273" s="921">
        <f>IF(AZ265&gt;AZ266,$I273,0%)</f>
        <v>0.15</v>
      </c>
      <c r="BA273" s="922">
        <f>IF(BA265&gt;BA266,$I273,0%)</f>
        <v>0.15</v>
      </c>
      <c r="BB273" s="106">
        <f>AVERAGE(AX273:BA273)</f>
        <v>0.11249999999999999</v>
      </c>
      <c r="BC273" s="920">
        <f>IF(BC265&gt;BC266,$I273,0%)</f>
        <v>0.15</v>
      </c>
      <c r="BD273" s="921">
        <f>IF(BD265&gt;BD266,$I273,0%)</f>
        <v>0.15</v>
      </c>
      <c r="BE273" s="921">
        <f>IF(BE265&gt;BE266,$I273,0%)</f>
        <v>0.15</v>
      </c>
      <c r="BF273" s="922">
        <f>IF(BF265&gt;BF266,$I273,0%)</f>
        <v>0.15</v>
      </c>
      <c r="BG273" s="106">
        <f>AVERAGE(BC273:BF273)</f>
        <v>0.15</v>
      </c>
      <c r="BH273" s="920">
        <f>IF(BH265&gt;BH266,$I273,0%)</f>
        <v>0.15</v>
      </c>
      <c r="BI273" s="921">
        <f>IF(BI265&gt;BI266,$I273,0%)</f>
        <v>0.15</v>
      </c>
      <c r="BJ273" s="921">
        <f>IF(BJ265&gt;BJ266,$I273,0%)</f>
        <v>0.15</v>
      </c>
      <c r="BK273" s="922">
        <f>IF(BK265&gt;BK266,$I273,0%)</f>
        <v>0</v>
      </c>
      <c r="BL273" s="106">
        <f>AVERAGE(BH273:BK273)</f>
        <v>0.11249999999999999</v>
      </c>
      <c r="BM273" s="920">
        <f>IF(BM265&gt;BM266,$I273,0%)</f>
        <v>0.15</v>
      </c>
      <c r="BN273" s="921">
        <f>IF(BN265&gt;BN266,$I273,0%)</f>
        <v>0.15</v>
      </c>
      <c r="BO273" s="921">
        <f>IF(BO265&gt;BO266,$I273,0%)</f>
        <v>0.15</v>
      </c>
      <c r="BP273" s="922">
        <f>IF(BP265&gt;BP266,$I273,0%)</f>
        <v>0.15</v>
      </c>
      <c r="BQ273" s="106">
        <f>AVERAGE(BM273:BP273)</f>
        <v>0.15</v>
      </c>
      <c r="BR273" s="106"/>
      <c r="BS273" s="1503"/>
      <c r="BT273" s="1503"/>
      <c r="BU273" s="1503"/>
      <c r="BV273" s="1503"/>
      <c r="BW273" s="1493"/>
      <c r="BX273"/>
      <c r="BY273"/>
      <c r="BZ273"/>
      <c r="CA273"/>
      <c r="CB273"/>
      <c r="CC273"/>
    </row>
    <row r="274" spans="1:81" s="19" customFormat="1">
      <c r="A274" s="108"/>
      <c r="B274" s="5"/>
      <c r="C274" s="1127" t="s">
        <v>579</v>
      </c>
      <c r="D274" s="5"/>
      <c r="E274" s="146"/>
      <c r="F274" s="7"/>
      <c r="G274" s="7"/>
      <c r="H274" s="147"/>
      <c r="I274" s="24"/>
      <c r="J274" s="146"/>
      <c r="K274" s="7"/>
      <c r="L274" s="7"/>
      <c r="M274" s="147"/>
      <c r="N274" s="5"/>
      <c r="O274" s="146"/>
      <c r="P274" s="7"/>
      <c r="Q274" s="7"/>
      <c r="R274" s="147"/>
      <c r="S274" s="5"/>
      <c r="T274" s="912"/>
      <c r="U274" s="913"/>
      <c r="V274" s="913"/>
      <c r="W274" s="914"/>
      <c r="X274" s="911"/>
      <c r="Y274" s="912">
        <f>(Y268*Y273*(8760/1000))/4</f>
        <v>180.67499999999998</v>
      </c>
      <c r="Z274" s="913">
        <f>(Z268*Z273*(8760/1000))/4</f>
        <v>180.67499999999998</v>
      </c>
      <c r="AA274" s="913">
        <f>(AA268*AA273*(8760/1000))/4</f>
        <v>180.67499999999998</v>
      </c>
      <c r="AB274" s="914">
        <f>(AB268*AB273*(8760/1000))/4</f>
        <v>180.67499999999998</v>
      </c>
      <c r="AC274" s="911">
        <f>SUM(Y274:AB274)</f>
        <v>722.69999999999993</v>
      </c>
      <c r="AD274" s="912">
        <f>(AD268*AD273*(8760/1000))/4</f>
        <v>180.67499999999998</v>
      </c>
      <c r="AE274" s="913">
        <f>(AE268*AE273*(8760/1000))/4</f>
        <v>180.67499999999998</v>
      </c>
      <c r="AF274" s="913">
        <f>(AF268*AF273*(8760/1000))/4</f>
        <v>180.67499999999998</v>
      </c>
      <c r="AG274" s="914">
        <f>(AG268*AG273*(8760/1000))/4</f>
        <v>180.67499999999998</v>
      </c>
      <c r="AH274" s="911">
        <f>SUM(AD274:AG274)</f>
        <v>722.69999999999993</v>
      </c>
      <c r="AI274" s="912">
        <f>(AI268*AI273*(8760/1000))/4</f>
        <v>180.67499999999998</v>
      </c>
      <c r="AJ274" s="913">
        <f>(AJ268*AJ273*(8760/1000))/4</f>
        <v>180.67499999999998</v>
      </c>
      <c r="AK274" s="913">
        <f>(AK268*AK273*(8760/1000))/4</f>
        <v>180.67499999999998</v>
      </c>
      <c r="AL274" s="914">
        <f>(AL268*AL273*(8760/1000))/4</f>
        <v>180.67499999999998</v>
      </c>
      <c r="AM274" s="911">
        <f>SUM(AI274:AL274)</f>
        <v>722.69999999999993</v>
      </c>
      <c r="AN274" s="912">
        <f>(AN268*AN273*(8760/1000))/4</f>
        <v>0</v>
      </c>
      <c r="AO274" s="913">
        <f>(AO268*AO273*(8760/1000))/4</f>
        <v>0</v>
      </c>
      <c r="AP274" s="913">
        <f>(AP268*AP273*(8760/1000))/4</f>
        <v>0</v>
      </c>
      <c r="AQ274" s="914">
        <f>(AQ268*AQ273*(8760/1000))/4</f>
        <v>0</v>
      </c>
      <c r="AR274" s="911">
        <f>SUM(AN274:AQ274)</f>
        <v>0</v>
      </c>
      <c r="AS274" s="912">
        <f>(AS268*AS273*(8760/1000))/4</f>
        <v>0</v>
      </c>
      <c r="AT274" s="913">
        <f>(AT268*AT273*(8760/1000))/4</f>
        <v>0</v>
      </c>
      <c r="AU274" s="913">
        <f t="shared" ref="AU274" si="766">(AU268*AU273*(8760/1000))/4</f>
        <v>0</v>
      </c>
      <c r="AV274" s="914">
        <f>(AV268*AV273*(8760/1000))/4</f>
        <v>0</v>
      </c>
      <c r="AW274" s="911">
        <f>SUM(AS274:AV274)</f>
        <v>0</v>
      </c>
      <c r="AX274" s="912">
        <f>(AX268*AX273*(8760/1000))/4</f>
        <v>0</v>
      </c>
      <c r="AY274" s="913">
        <f>(AY268*AY273*(8760/1000))/4</f>
        <v>0</v>
      </c>
      <c r="AZ274" s="913">
        <f>(AZ268*AZ273*(8760/1000))/4</f>
        <v>0</v>
      </c>
      <c r="BA274" s="914">
        <f>(BA268*BA273*(8760/1000))/4</f>
        <v>0</v>
      </c>
      <c r="BB274" s="911">
        <f>SUM(AX274:BA274)</f>
        <v>0</v>
      </c>
      <c r="BC274" s="912">
        <f>(BC268*BC273*(8760/1000))/4</f>
        <v>0</v>
      </c>
      <c r="BD274" s="913">
        <f>(BD268*BD273*(8760/1000))/4</f>
        <v>0</v>
      </c>
      <c r="BE274" s="913">
        <f>(BE268*BE273*(8760/1000))/4</f>
        <v>0</v>
      </c>
      <c r="BF274" s="914">
        <f>(BF268*BF273*(8760/1000))/4</f>
        <v>0</v>
      </c>
      <c r="BG274" s="911">
        <f>SUM(BC274:BF274)</f>
        <v>0</v>
      </c>
      <c r="BH274" s="912">
        <f>(BH268*BH273*(8760/1000))/4</f>
        <v>0</v>
      </c>
      <c r="BI274" s="913">
        <f>(BI268*BI273*(8760/1000))/4</f>
        <v>0</v>
      </c>
      <c r="BJ274" s="913">
        <f>(BJ268*BJ273*(8760/1000))/4</f>
        <v>0</v>
      </c>
      <c r="BK274" s="914">
        <f>(BK268*BK273*(8760/1000))/4</f>
        <v>0</v>
      </c>
      <c r="BL274" s="911">
        <f>SUM(BH274:BK274)</f>
        <v>0</v>
      </c>
      <c r="BM274" s="912">
        <f>(BM268*BM273*(8760/1000))/4</f>
        <v>0</v>
      </c>
      <c r="BN274" s="913">
        <f>(BN268*BN273*(8760/1000))/4</f>
        <v>0</v>
      </c>
      <c r="BO274" s="913">
        <f>(BO268*BO273*(8760/1000))/4</f>
        <v>0</v>
      </c>
      <c r="BP274" s="914">
        <f>(BP268*BP273*(8760/1000))/4</f>
        <v>0</v>
      </c>
      <c r="BQ274" s="911">
        <f>SUM(BM274:BP274)</f>
        <v>0</v>
      </c>
      <c r="BR274" s="911"/>
      <c r="BS274" s="1503"/>
      <c r="BT274" s="1503"/>
      <c r="BU274" s="1503"/>
      <c r="BV274" s="1503"/>
      <c r="BW274" s="1493"/>
      <c r="BX274"/>
      <c r="BY274"/>
      <c r="BZ274"/>
      <c r="CA274"/>
      <c r="CB274"/>
      <c r="CC274"/>
    </row>
    <row r="275" spans="1:81" s="19" customFormat="1">
      <c r="A275" s="108"/>
      <c r="B275" s="5"/>
      <c r="C275" s="1127"/>
      <c r="D275" s="5"/>
      <c r="E275" s="146"/>
      <c r="F275" s="7"/>
      <c r="G275" s="7"/>
      <c r="H275" s="147"/>
      <c r="I275" s="31"/>
      <c r="J275" s="146"/>
      <c r="K275" s="7"/>
      <c r="L275" s="7"/>
      <c r="M275" s="147"/>
      <c r="N275" s="5"/>
      <c r="O275" s="146"/>
      <c r="P275" s="7"/>
      <c r="Q275" s="7"/>
      <c r="R275" s="147"/>
      <c r="S275" s="5"/>
      <c r="T275" s="146"/>
      <c r="U275" s="7"/>
      <c r="V275" s="7"/>
      <c r="W275" s="147"/>
      <c r="X275" s="5"/>
      <c r="Y275" s="146"/>
      <c r="Z275" s="7"/>
      <c r="AA275" s="7"/>
      <c r="AB275" s="147"/>
      <c r="AC275" s="5"/>
      <c r="AD275" s="146"/>
      <c r="AE275" s="7"/>
      <c r="AF275" s="7"/>
      <c r="AG275" s="147"/>
      <c r="AH275" s="5"/>
      <c r="AI275" s="146"/>
      <c r="AJ275" s="7"/>
      <c r="AK275" s="7"/>
      <c r="AL275" s="147"/>
      <c r="AM275" s="5"/>
      <c r="AN275" s="146"/>
      <c r="AO275" s="7"/>
      <c r="AP275" s="7"/>
      <c r="AQ275" s="147"/>
      <c r="AR275" s="5"/>
      <c r="AS275" s="146"/>
      <c r="AT275" s="7"/>
      <c r="AU275" s="7"/>
      <c r="AV275" s="147"/>
      <c r="AW275" s="5"/>
      <c r="AX275" s="146"/>
      <c r="AY275" s="7"/>
      <c r="AZ275" s="7"/>
      <c r="BA275" s="147"/>
      <c r="BB275" s="5"/>
      <c r="BC275" s="146"/>
      <c r="BD275" s="7"/>
      <c r="BE275" s="7"/>
      <c r="BF275" s="147"/>
      <c r="BG275" s="5"/>
      <c r="BH275" s="146"/>
      <c r="BI275" s="7"/>
      <c r="BJ275" s="7"/>
      <c r="BK275" s="147"/>
      <c r="BL275" s="5"/>
      <c r="BM275" s="146"/>
      <c r="BN275" s="7"/>
      <c r="BO275" s="7"/>
      <c r="BP275" s="147"/>
      <c r="BQ275" s="5"/>
      <c r="BR275" s="5"/>
      <c r="BS275" s="1503"/>
      <c r="BT275" s="1503"/>
      <c r="BU275" s="1503"/>
      <c r="BV275" s="1503"/>
      <c r="BW275" s="1493"/>
      <c r="BX275"/>
      <c r="BY275"/>
      <c r="BZ275"/>
      <c r="CA275"/>
      <c r="CB275"/>
      <c r="CC275"/>
    </row>
    <row r="276" spans="1:81" s="19" customFormat="1">
      <c r="A276" s="108"/>
      <c r="B276" s="5"/>
      <c r="C276" s="1127" t="s">
        <v>580</v>
      </c>
      <c r="D276" s="5"/>
      <c r="E276" s="146"/>
      <c r="F276" s="7"/>
      <c r="G276" s="7"/>
      <c r="H276" s="147"/>
      <c r="I276" s="31"/>
      <c r="J276" s="146"/>
      <c r="K276" s="7"/>
      <c r="L276" s="7"/>
      <c r="M276" s="147"/>
      <c r="N276" s="5"/>
      <c r="O276" s="146"/>
      <c r="P276" s="7"/>
      <c r="Q276" s="7"/>
      <c r="R276" s="147"/>
      <c r="S276" s="5"/>
      <c r="T276" s="920"/>
      <c r="U276" s="921"/>
      <c r="V276" s="921"/>
      <c r="W276" s="922"/>
      <c r="X276" s="106"/>
      <c r="Y276" s="920">
        <f>(Y274+Y271)/(8.76*Y268/4)</f>
        <v>0.55000000000000004</v>
      </c>
      <c r="Z276" s="921">
        <f>(Z274+Z271)/(8.76*Z268/4)</f>
        <v>0.55000000000000004</v>
      </c>
      <c r="AA276" s="921">
        <f>(AA274+AA271)/(8.76*AA268/4)</f>
        <v>0.55000000000000004</v>
      </c>
      <c r="AB276" s="922">
        <f>(AB274+AB271)/(8.76*AB268/4)</f>
        <v>0.55000000000000004</v>
      </c>
      <c r="AC276" s="106">
        <f>AVERAGE(Y276:AB276)</f>
        <v>0.55000000000000004</v>
      </c>
      <c r="AD276" s="920">
        <f>(AD274+AD271)/(8.76*AD268/4)</f>
        <v>0.55000000000000004</v>
      </c>
      <c r="AE276" s="921">
        <f>(AE274+AE271)/(8.76*AE268/4)</f>
        <v>0.55000000000000004</v>
      </c>
      <c r="AF276" s="921">
        <f>(AF274+AF271)/(8.76*AF268/4)</f>
        <v>0.55000000000000004</v>
      </c>
      <c r="AG276" s="922">
        <f>(AG274+AG271)/(8.76*AG268/4)</f>
        <v>0.55000000000000004</v>
      </c>
      <c r="AH276" s="106">
        <f>AVERAGE(AD276:AG276)</f>
        <v>0.55000000000000004</v>
      </c>
      <c r="AI276" s="920">
        <f>(AI274+AI271)/(8.76*AI268/4)</f>
        <v>0.55000000000000004</v>
      </c>
      <c r="AJ276" s="921">
        <f>(AJ274+AJ271)/(8.76*AJ268/4)</f>
        <v>0.55000000000000004</v>
      </c>
      <c r="AK276" s="921">
        <f>(AK274+AK271)/(8.76*AK268/4)</f>
        <v>0.55000000000000004</v>
      </c>
      <c r="AL276" s="922">
        <f>(AL274+AL271)/(8.76*AL268/4)</f>
        <v>0.55000000000000004</v>
      </c>
      <c r="AM276" s="106">
        <f>AVERAGE(AI276:AL276)</f>
        <v>0.55000000000000004</v>
      </c>
      <c r="AN276" s="920">
        <f>IF(AN268=0,0, (AN274+AN271)/(8.76*AN268/4))</f>
        <v>0</v>
      </c>
      <c r="AO276" s="921">
        <f t="shared" ref="AO276:AQ276" si="767">IF(AO268=0,0, (AO274+AO271)/(8.76*AO268/4))</f>
        <v>0</v>
      </c>
      <c r="AP276" s="921">
        <f t="shared" si="767"/>
        <v>0</v>
      </c>
      <c r="AQ276" s="922">
        <f t="shared" si="767"/>
        <v>0</v>
      </c>
      <c r="AR276" s="106">
        <f>AVERAGE(AN276:AQ276)</f>
        <v>0</v>
      </c>
      <c r="AS276" s="920">
        <f>IF(AS268=0,0, (AS274+AS271)/(8.76*AS268/4))</f>
        <v>0</v>
      </c>
      <c r="AT276" s="921">
        <f t="shared" ref="AT276:AU276" si="768">IF(AT268=0,0, (AT274+AT271)/(8.76*AT268/4))</f>
        <v>0</v>
      </c>
      <c r="AU276" s="921">
        <f t="shared" si="768"/>
        <v>0</v>
      </c>
      <c r="AV276" s="922">
        <f t="shared" ref="AV276" si="769">IF(AV268=0,0, (AV274+AV271)/(8.76*AV268/4))</f>
        <v>0</v>
      </c>
      <c r="AW276" s="106">
        <f>AVERAGE(AS276:AV276)</f>
        <v>0</v>
      </c>
      <c r="AX276" s="920">
        <f>IF(AX268=0,0, (AX274+AX271)/(8.76*AX268/4))</f>
        <v>0</v>
      </c>
      <c r="AY276" s="921">
        <f t="shared" ref="AY276:BA276" si="770">IF(AY268=0,0, (AY274+AY271)/(8.76*AY268/4))</f>
        <v>0</v>
      </c>
      <c r="AZ276" s="921">
        <f t="shared" si="770"/>
        <v>0</v>
      </c>
      <c r="BA276" s="922">
        <f t="shared" si="770"/>
        <v>0</v>
      </c>
      <c r="BB276" s="106">
        <f>AVERAGE(AX276:BA276)</f>
        <v>0</v>
      </c>
      <c r="BC276" s="920">
        <f>IF(BC268=0,0, (BC274+BC271)/(8.76*BC268/4))</f>
        <v>0</v>
      </c>
      <c r="BD276" s="921">
        <f t="shared" ref="BD276:BF276" si="771">IF(BD268=0,0, (BD274+BD271)/(8.76*BD268/4))</f>
        <v>0</v>
      </c>
      <c r="BE276" s="921">
        <f t="shared" si="771"/>
        <v>0</v>
      </c>
      <c r="BF276" s="922">
        <f t="shared" si="771"/>
        <v>0</v>
      </c>
      <c r="BG276" s="106">
        <f>AVERAGE(BC276:BF276)</f>
        <v>0</v>
      </c>
      <c r="BH276" s="920">
        <f>IF(BH268=0,0, (BH274+BH271)/(8.76*BH268/4))</f>
        <v>0</v>
      </c>
      <c r="BI276" s="921">
        <f t="shared" ref="BI276:BK276" si="772">IF(BI268=0,0, (BI274+BI271)/(8.76*BI268/4))</f>
        <v>0</v>
      </c>
      <c r="BJ276" s="921">
        <f t="shared" si="772"/>
        <v>0</v>
      </c>
      <c r="BK276" s="922">
        <f t="shared" si="772"/>
        <v>0</v>
      </c>
      <c r="BL276" s="106">
        <f>AVERAGE(BH276:BK276)</f>
        <v>0</v>
      </c>
      <c r="BM276" s="920">
        <f>IF(BM268=0,0, (BM274+BM271)/(8.76*BM268/4))</f>
        <v>0</v>
      </c>
      <c r="BN276" s="921">
        <f t="shared" ref="BN276:BP276" si="773">IF(BN268=0,0, (BN274+BN271)/(8.76*BN268/4))</f>
        <v>0</v>
      </c>
      <c r="BO276" s="921">
        <f t="shared" si="773"/>
        <v>0</v>
      </c>
      <c r="BP276" s="922">
        <f t="shared" si="773"/>
        <v>0</v>
      </c>
      <c r="BQ276" s="106">
        <f>AVERAGE(BM276:BP276)</f>
        <v>0</v>
      </c>
      <c r="BR276" s="106"/>
      <c r="BS276" s="1503"/>
      <c r="BT276" s="1503"/>
      <c r="BU276" s="1503"/>
      <c r="BV276" s="1503"/>
      <c r="BW276" s="1493"/>
      <c r="BX276"/>
      <c r="BY276"/>
      <c r="BZ276"/>
      <c r="CA276"/>
      <c r="CB276"/>
      <c r="CC276"/>
    </row>
    <row r="277" spans="1:81" s="19" customFormat="1">
      <c r="A277" s="108"/>
      <c r="B277" s="5"/>
      <c r="C277" s="1128" t="s">
        <v>581</v>
      </c>
      <c r="D277" s="36"/>
      <c r="E277" s="122"/>
      <c r="F277" s="123"/>
      <c r="G277" s="123"/>
      <c r="H277" s="915"/>
      <c r="I277" s="36"/>
      <c r="J277" s="122"/>
      <c r="K277" s="123"/>
      <c r="L277" s="123"/>
      <c r="M277" s="915"/>
      <c r="N277" s="36"/>
      <c r="O277" s="122"/>
      <c r="P277" s="123"/>
      <c r="Q277" s="123"/>
      <c r="R277" s="915"/>
      <c r="S277" s="36"/>
      <c r="T277" s="180"/>
      <c r="U277" s="181"/>
      <c r="V277" s="181"/>
      <c r="W277" s="182"/>
      <c r="X277" s="327"/>
      <c r="Y277" s="180">
        <f>+Y274+Y271</f>
        <v>662.47500000000002</v>
      </c>
      <c r="Z277" s="181">
        <f>+Z274+Z271</f>
        <v>662.47500000000002</v>
      </c>
      <c r="AA277" s="181">
        <f>+AA274+AA271</f>
        <v>662.47500000000002</v>
      </c>
      <c r="AB277" s="182">
        <f>+AB274+AB271</f>
        <v>662.47500000000002</v>
      </c>
      <c r="AC277" s="327">
        <f>SUM(Y277:AB277)</f>
        <v>2649.9</v>
      </c>
      <c r="AD277" s="180">
        <f>+AD274+AD271</f>
        <v>662.47500000000002</v>
      </c>
      <c r="AE277" s="181">
        <f>+AE274+AE271</f>
        <v>662.47500000000002</v>
      </c>
      <c r="AF277" s="181">
        <f>+AF274+AF271</f>
        <v>662.47500000000002</v>
      </c>
      <c r="AG277" s="182">
        <f>+AG274+AG271</f>
        <v>662.47500000000002</v>
      </c>
      <c r="AH277" s="327">
        <f>SUM(AD277:AG277)</f>
        <v>2649.9</v>
      </c>
      <c r="AI277" s="180">
        <f>+AI274+AI271</f>
        <v>662.47500000000002</v>
      </c>
      <c r="AJ277" s="181">
        <f>+AJ274+AJ271</f>
        <v>662.47500000000002</v>
      </c>
      <c r="AK277" s="181">
        <f>+AK274+AK271</f>
        <v>662.47500000000002</v>
      </c>
      <c r="AL277" s="182">
        <f>+AL274+AL271</f>
        <v>662.47500000000002</v>
      </c>
      <c r="AM277" s="327">
        <f>SUM(AI277:AL277)</f>
        <v>2649.9</v>
      </c>
      <c r="AN277" s="180">
        <f>+AN274+AN271</f>
        <v>0</v>
      </c>
      <c r="AO277" s="181">
        <f>+AO274+AO271</f>
        <v>0</v>
      </c>
      <c r="AP277" s="181">
        <f>+AP274+AP271</f>
        <v>0</v>
      </c>
      <c r="AQ277" s="182">
        <f>+AQ274+AQ271</f>
        <v>0</v>
      </c>
      <c r="AR277" s="327">
        <f>SUM(AN277:AQ277)</f>
        <v>0</v>
      </c>
      <c r="AS277" s="180">
        <f>+AS274+AS271</f>
        <v>0</v>
      </c>
      <c r="AT277" s="181">
        <f>+AT274+AT271</f>
        <v>0</v>
      </c>
      <c r="AU277" s="181">
        <f t="shared" ref="AU277" si="774">+AU274+AU271</f>
        <v>0</v>
      </c>
      <c r="AV277" s="182">
        <f>+AV274+AV271</f>
        <v>0</v>
      </c>
      <c r="AW277" s="327">
        <f>SUM(AS277:AV277)</f>
        <v>0</v>
      </c>
      <c r="AX277" s="180">
        <f>+AX274+AX271</f>
        <v>0</v>
      </c>
      <c r="AY277" s="181">
        <f>+AY274+AY271</f>
        <v>0</v>
      </c>
      <c r="AZ277" s="181">
        <f>+AZ274+AZ271</f>
        <v>0</v>
      </c>
      <c r="BA277" s="182">
        <f>+BA274+BA271</f>
        <v>0</v>
      </c>
      <c r="BB277" s="327">
        <f>SUM(AX277:BA277)</f>
        <v>0</v>
      </c>
      <c r="BC277" s="180">
        <f>+BC274+BC271</f>
        <v>0</v>
      </c>
      <c r="BD277" s="181">
        <f>+BD274+BD271</f>
        <v>0</v>
      </c>
      <c r="BE277" s="181">
        <f>+BE274+BE271</f>
        <v>0</v>
      </c>
      <c r="BF277" s="182">
        <f>+BF274+BF271</f>
        <v>0</v>
      </c>
      <c r="BG277" s="327">
        <f>SUM(BC277:BF277)</f>
        <v>0</v>
      </c>
      <c r="BH277" s="180">
        <f>+BH274+BH271</f>
        <v>0</v>
      </c>
      <c r="BI277" s="181">
        <f>+BI274+BI271</f>
        <v>0</v>
      </c>
      <c r="BJ277" s="181">
        <f>+BJ274+BJ271</f>
        <v>0</v>
      </c>
      <c r="BK277" s="182">
        <f>+BK274+BK271</f>
        <v>0</v>
      </c>
      <c r="BL277" s="327">
        <f>SUM(BH277:BK277)</f>
        <v>0</v>
      </c>
      <c r="BM277" s="180">
        <f>+BM274+BM271</f>
        <v>0</v>
      </c>
      <c r="BN277" s="181">
        <f>+BN274+BN271</f>
        <v>0</v>
      </c>
      <c r="BO277" s="181">
        <f>+BO274+BO271</f>
        <v>0</v>
      </c>
      <c r="BP277" s="182">
        <f>+BP274+BP271</f>
        <v>0</v>
      </c>
      <c r="BQ277" s="327">
        <f>SUM(BM277:BP277)</f>
        <v>0</v>
      </c>
      <c r="BR277" s="327"/>
      <c r="BS277" s="1503"/>
      <c r="BT277" s="1503"/>
      <c r="BU277" s="1503"/>
      <c r="BV277" s="1503"/>
      <c r="BW277" s="1493"/>
      <c r="BX277"/>
      <c r="BY277"/>
      <c r="BZ277"/>
      <c r="CA277"/>
      <c r="CB277"/>
      <c r="CC277"/>
    </row>
    <row r="278" spans="1:81" s="19" customFormat="1">
      <c r="A278" s="108"/>
      <c r="B278" s="5"/>
      <c r="C278" s="1127"/>
      <c r="D278" s="5"/>
      <c r="E278" s="146"/>
      <c r="F278" s="7"/>
      <c r="G278" s="7"/>
      <c r="H278" s="147"/>
      <c r="I278" s="31"/>
      <c r="J278" s="146"/>
      <c r="K278" s="7"/>
      <c r="L278" s="7"/>
      <c r="M278" s="147"/>
      <c r="N278" s="5"/>
      <c r="O278" s="146"/>
      <c r="P278" s="7"/>
      <c r="Q278" s="7"/>
      <c r="R278" s="147"/>
      <c r="S278" s="5"/>
      <c r="T278" s="146"/>
      <c r="U278" s="7"/>
      <c r="V278" s="7"/>
      <c r="W278" s="147"/>
      <c r="X278" s="5"/>
      <c r="Y278" s="146"/>
      <c r="Z278" s="7"/>
      <c r="AA278" s="7"/>
      <c r="AB278" s="147"/>
      <c r="AC278" s="5"/>
      <c r="AD278" s="146"/>
      <c r="AE278" s="7"/>
      <c r="AF278" s="7"/>
      <c r="AG278" s="147"/>
      <c r="AH278" s="5"/>
      <c r="AI278" s="146"/>
      <c r="AJ278" s="7"/>
      <c r="AK278" s="7"/>
      <c r="AL278" s="147"/>
      <c r="AM278" s="5"/>
      <c r="AN278" s="146"/>
      <c r="AO278" s="7"/>
      <c r="AP278" s="7"/>
      <c r="AQ278" s="147"/>
      <c r="AR278" s="5"/>
      <c r="AS278" s="146"/>
      <c r="AT278" s="7"/>
      <c r="AU278" s="7"/>
      <c r="AV278" s="147"/>
      <c r="AW278" s="5"/>
      <c r="AX278" s="146"/>
      <c r="AY278" s="7"/>
      <c r="AZ278" s="7"/>
      <c r="BA278" s="147"/>
      <c r="BB278" s="5"/>
      <c r="BC278" s="146"/>
      <c r="BD278" s="7"/>
      <c r="BE278" s="7"/>
      <c r="BF278" s="147"/>
      <c r="BG278" s="5"/>
      <c r="BH278" s="146"/>
      <c r="BI278" s="7"/>
      <c r="BJ278" s="7"/>
      <c r="BK278" s="147"/>
      <c r="BL278" s="5"/>
      <c r="BM278" s="146"/>
      <c r="BN278" s="7"/>
      <c r="BO278" s="7"/>
      <c r="BP278" s="147"/>
      <c r="BQ278" s="5"/>
      <c r="BR278" s="5"/>
      <c r="BS278" s="1503"/>
      <c r="BT278" s="1503"/>
      <c r="BU278" s="1503"/>
      <c r="BV278" s="1503"/>
      <c r="BW278" s="1493"/>
      <c r="BX278"/>
      <c r="BY278"/>
      <c r="BZ278"/>
      <c r="CA278"/>
      <c r="CB278"/>
      <c r="CC278"/>
    </row>
    <row r="279" spans="1:81" s="19" customFormat="1">
      <c r="A279" s="108"/>
      <c r="B279" s="5"/>
      <c r="C279" s="1127" t="s">
        <v>546</v>
      </c>
      <c r="D279" s="5"/>
      <c r="E279" s="146"/>
      <c r="F279" s="7"/>
      <c r="G279" s="7"/>
      <c r="H279" s="147"/>
      <c r="I279" s="31"/>
      <c r="J279" s="146"/>
      <c r="K279" s="7"/>
      <c r="L279" s="7"/>
      <c r="M279" s="147"/>
      <c r="N279" s="5"/>
      <c r="O279" s="146"/>
      <c r="P279" s="7"/>
      <c r="Q279" s="7"/>
      <c r="R279" s="147"/>
      <c r="S279" s="5"/>
      <c r="T279" s="885"/>
      <c r="U279" s="886"/>
      <c r="V279" s="886"/>
      <c r="W279" s="887"/>
      <c r="X279" s="832"/>
      <c r="Y279" s="885">
        <f>(Y264/1000*Y271)+(Y265/1000*Y274)</f>
        <v>56.36925465808099</v>
      </c>
      <c r="Z279" s="886">
        <f>(Z264/1000*Z271)+(Z265/1000*Z274)</f>
        <v>27.878364900669641</v>
      </c>
      <c r="AA279" s="886">
        <f>(AA264/1000*AA271)+(AA265/1000*AA274)</f>
        <v>31.993601076511549</v>
      </c>
      <c r="AB279" s="887">
        <f>(AB264/1000*AB271)+(AB265/1000*AB274)</f>
        <v>41.681421096786686</v>
      </c>
      <c r="AC279" s="832">
        <f>SUM(Y279:AB279)</f>
        <v>157.92264173204887</v>
      </c>
      <c r="AD279" s="885">
        <f>(AD264/1000*AD271)+(AD265/1000*AD274)</f>
        <v>103.23822995406965</v>
      </c>
      <c r="AE279" s="886">
        <f>(AE264/1000*AE271)+(AE265/1000*AE274)</f>
        <v>27.200948175373455</v>
      </c>
      <c r="AF279" s="886">
        <f>(AF264/1000*AF271)+(AF265/1000*AF274)</f>
        <v>24.752053179517652</v>
      </c>
      <c r="AG279" s="887">
        <f>(AG264/1000*AG271)+(AG265/1000*AG274)</f>
        <v>28.749684431351898</v>
      </c>
      <c r="AH279" s="832">
        <f>SUM(AD279:AG279)</f>
        <v>183.94091574031268</v>
      </c>
      <c r="AI279" s="885">
        <f>(AI264/1000*AI271)+(AI265/1000*AI274)</f>
        <v>55.732700151028737</v>
      </c>
      <c r="AJ279" s="886">
        <f>(AJ264/1000*AJ271)+(AJ265/1000*AJ274)</f>
        <v>17.055949463040864</v>
      </c>
      <c r="AK279" s="886">
        <f>(AK264/1000*AK271)+(AK265/1000*AK274)</f>
        <v>24.46321307870506</v>
      </c>
      <c r="AL279" s="887">
        <f>(AL264/1000*AL271)+(AL265/1000*AL274)</f>
        <v>19.580093899870917</v>
      </c>
      <c r="AM279" s="832">
        <f>SUM(AI279:AL279)</f>
        <v>116.83195659264558</v>
      </c>
      <c r="AN279" s="885">
        <f>(AN264/1000*AN271)+(AN265/1000*AN274)</f>
        <v>0</v>
      </c>
      <c r="AO279" s="886">
        <f>(AO264/1000*AO271)+(AO265/1000*AO274)</f>
        <v>0</v>
      </c>
      <c r="AP279" s="886">
        <f>(AP264/1000*AP271)+(AP265/1000*AP274)</f>
        <v>0</v>
      </c>
      <c r="AQ279" s="887">
        <f>(AQ264/1000*AQ271)+(AQ265/1000*AQ274)</f>
        <v>0</v>
      </c>
      <c r="AR279" s="832">
        <f>SUM(AN279:AQ279)</f>
        <v>0</v>
      </c>
      <c r="AS279" s="885">
        <f>(AS264/1000*AS271)+(AS265/1000*AS274)</f>
        <v>0</v>
      </c>
      <c r="AT279" s="886">
        <f>(AT264/1000*AT271)+(AT265/1000*AT274)</f>
        <v>0</v>
      </c>
      <c r="AU279" s="886">
        <f t="shared" ref="AU279" si="775">(AU264/1000*AU271)+(AU265/1000*AU274)</f>
        <v>0</v>
      </c>
      <c r="AV279" s="887">
        <f>(AV264/1000*AV271)+(AV265/1000*AV274)</f>
        <v>0</v>
      </c>
      <c r="AW279" s="832">
        <f>SUM(AS279:AV279)</f>
        <v>0</v>
      </c>
      <c r="AX279" s="885">
        <f>(AX264/1000*AX271)+(AX265/1000*AX274)</f>
        <v>0</v>
      </c>
      <c r="AY279" s="886">
        <f>(AY264/1000*AY271)+(AY265/1000*AY274)</f>
        <v>0</v>
      </c>
      <c r="AZ279" s="886">
        <f>(AZ264/1000*AZ271)+(AZ265/1000*AZ274)</f>
        <v>0</v>
      </c>
      <c r="BA279" s="887">
        <f>(BA264/1000*BA271)+(BA265/1000*BA274)</f>
        <v>0</v>
      </c>
      <c r="BB279" s="832">
        <f>SUM(AX279:BA279)</f>
        <v>0</v>
      </c>
      <c r="BC279" s="885">
        <f>(BC264/1000*BC271)+(BC265/1000*BC274)</f>
        <v>0</v>
      </c>
      <c r="BD279" s="886">
        <f>(BD264/1000*BD271)+(BD265/1000*BD274)</f>
        <v>0</v>
      </c>
      <c r="BE279" s="886">
        <f>(BE264/1000*BE271)+(BE265/1000*BE274)</f>
        <v>0</v>
      </c>
      <c r="BF279" s="887">
        <f>(BF264/1000*BF271)+(BF265/1000*BF274)</f>
        <v>0</v>
      </c>
      <c r="BG279" s="832">
        <f>SUM(BC279:BF279)</f>
        <v>0</v>
      </c>
      <c r="BH279" s="885">
        <f>(BH264/1000*BH271)+(BH265/1000*BH274)</f>
        <v>0</v>
      </c>
      <c r="BI279" s="886">
        <f>(BI264/1000*BI271)+(BI265/1000*BI274)</f>
        <v>0</v>
      </c>
      <c r="BJ279" s="886">
        <f>(BJ264/1000*BJ271)+(BJ265/1000*BJ274)</f>
        <v>0</v>
      </c>
      <c r="BK279" s="887">
        <f>(BK264/1000*BK271)+(BK265/1000*BK274)</f>
        <v>0</v>
      </c>
      <c r="BL279" s="832">
        <f>SUM(BH279:BK279)</f>
        <v>0</v>
      </c>
      <c r="BM279" s="885">
        <f>(BM264/1000*BM271)+(BM265/1000*BM274)</f>
        <v>0</v>
      </c>
      <c r="BN279" s="886">
        <f>(BN264/1000*BN271)+(BN265/1000*BN274)</f>
        <v>0</v>
      </c>
      <c r="BO279" s="886">
        <f>(BO264/1000*BO271)+(BO265/1000*BO274)</f>
        <v>0</v>
      </c>
      <c r="BP279" s="887">
        <f>(BP264/1000*BP271)+(BP265/1000*BP274)</f>
        <v>0</v>
      </c>
      <c r="BQ279" s="832">
        <f>SUM(BM279:BP279)</f>
        <v>0</v>
      </c>
      <c r="BR279" s="832"/>
      <c r="BS279" s="1503"/>
      <c r="BT279" s="1503"/>
      <c r="BU279" s="1503"/>
      <c r="BV279" s="1503"/>
      <c r="BW279" s="1493"/>
      <c r="BX279"/>
      <c r="BY279"/>
      <c r="BZ279"/>
      <c r="CA279"/>
      <c r="CB279"/>
      <c r="CC279"/>
    </row>
    <row r="280" spans="1:81" s="19" customFormat="1">
      <c r="A280" s="108"/>
      <c r="B280" s="5"/>
      <c r="C280" s="1127" t="s">
        <v>633</v>
      </c>
      <c r="D280" s="5"/>
      <c r="E280" s="146"/>
      <c r="F280" s="7"/>
      <c r="G280" s="7"/>
      <c r="H280" s="147"/>
      <c r="I280" s="31"/>
      <c r="J280" s="146"/>
      <c r="K280" s="7"/>
      <c r="L280" s="7"/>
      <c r="M280" s="147"/>
      <c r="N280" s="5"/>
      <c r="O280" s="146"/>
      <c r="P280" s="7"/>
      <c r="Q280" s="7"/>
      <c r="R280" s="147"/>
      <c r="S280" s="5"/>
      <c r="T280" s="885"/>
      <c r="U280" s="886"/>
      <c r="V280" s="886"/>
      <c r="W280" s="887"/>
      <c r="X280" s="832"/>
      <c r="Y280" s="885">
        <f>Y266/1000*Y277</f>
        <v>20.504025234</v>
      </c>
      <c r="Z280" s="886">
        <f>Z266/1000*Z277</f>
        <v>19.762109544375001</v>
      </c>
      <c r="AA280" s="886">
        <f>AA266/1000*AA277</f>
        <v>16.906925103749998</v>
      </c>
      <c r="AB280" s="887">
        <f>AB266/1000*AB277</f>
        <v>18.972480749062502</v>
      </c>
      <c r="AC280" s="832">
        <f>SUM(Y280:AB280)</f>
        <v>76.145540631187501</v>
      </c>
      <c r="AD280" s="885">
        <f>AD266/1000*AD277</f>
        <v>81.288288959016398</v>
      </c>
      <c r="AE280" s="886">
        <f>AE266/1000*AE277</f>
        <v>17.789938031249999</v>
      </c>
      <c r="AF280" s="886">
        <f>AF266/1000*AF277</f>
        <v>12.381707435624996</v>
      </c>
      <c r="AG280" s="887">
        <f>AG266/1000*AG277</f>
        <v>15.245462646562506</v>
      </c>
      <c r="AH280" s="832">
        <f>SUM(AD280:AG280)</f>
        <v>126.70539707245389</v>
      </c>
      <c r="AI280" s="885">
        <f>AI266/1000*AI277</f>
        <v>42.509482098387117</v>
      </c>
      <c r="AJ280" s="886">
        <f>AJ266/1000*AJ277</f>
        <v>11.862769474285717</v>
      </c>
      <c r="AK280" s="886">
        <f>AK266/1000*AK277</f>
        <v>10.833528203437503</v>
      </c>
      <c r="AL280" s="887">
        <f>AL266/1000*AL277</f>
        <v>9.1083877028571436</v>
      </c>
      <c r="AM280" s="832">
        <f>SUM(AI280:AL280)</f>
        <v>74.314167478967491</v>
      </c>
      <c r="AN280" s="885">
        <f>AN266/1000*AN277</f>
        <v>0</v>
      </c>
      <c r="AO280" s="886">
        <f>AO266/1000*AO277</f>
        <v>0</v>
      </c>
      <c r="AP280" s="886">
        <f>AP266/1000*AP277</f>
        <v>0</v>
      </c>
      <c r="AQ280" s="887">
        <f>AQ266/1000*AQ277</f>
        <v>0</v>
      </c>
      <c r="AR280" s="832">
        <f>SUM(AN280:AQ280)</f>
        <v>0</v>
      </c>
      <c r="AS280" s="885">
        <f>AS266/1000*AS277</f>
        <v>0</v>
      </c>
      <c r="AT280" s="886">
        <f>AT266/1000*AT277</f>
        <v>0</v>
      </c>
      <c r="AU280" s="886">
        <f t="shared" ref="AU280" si="776">AU266/1000*AU277</f>
        <v>0</v>
      </c>
      <c r="AV280" s="887">
        <f>AV266/1000*AV277</f>
        <v>0</v>
      </c>
      <c r="AW280" s="832">
        <f>SUM(AS280:AV280)</f>
        <v>0</v>
      </c>
      <c r="AX280" s="885">
        <f>AX266/1000*AX277</f>
        <v>0</v>
      </c>
      <c r="AY280" s="886">
        <f>AY266/1000*AY277</f>
        <v>0</v>
      </c>
      <c r="AZ280" s="886">
        <f>AZ266/1000*AZ277</f>
        <v>0</v>
      </c>
      <c r="BA280" s="887">
        <f>BA266/1000*BA277</f>
        <v>0</v>
      </c>
      <c r="BB280" s="832">
        <f>SUM(AX280:BA280)</f>
        <v>0</v>
      </c>
      <c r="BC280" s="885">
        <f>BC266/1000*BC277</f>
        <v>0</v>
      </c>
      <c r="BD280" s="886">
        <f>BD266/1000*BD277</f>
        <v>0</v>
      </c>
      <c r="BE280" s="886">
        <f>BE266/1000*BE277</f>
        <v>0</v>
      </c>
      <c r="BF280" s="887">
        <f>BF266/1000*BF277</f>
        <v>0</v>
      </c>
      <c r="BG280" s="832">
        <f>SUM(BC280:BF280)</f>
        <v>0</v>
      </c>
      <c r="BH280" s="885">
        <f>BH266/1000*BH277</f>
        <v>0</v>
      </c>
      <c r="BI280" s="886">
        <f>BI266/1000*BI277</f>
        <v>0</v>
      </c>
      <c r="BJ280" s="886">
        <f>BJ266/1000*BJ277</f>
        <v>0</v>
      </c>
      <c r="BK280" s="887">
        <f>BK266/1000*BK277</f>
        <v>0</v>
      </c>
      <c r="BL280" s="832">
        <f>SUM(BH280:BK280)</f>
        <v>0</v>
      </c>
      <c r="BM280" s="885">
        <f>BM266/1000*BM277</f>
        <v>0</v>
      </c>
      <c r="BN280" s="886">
        <f>BN266/1000*BN277</f>
        <v>0</v>
      </c>
      <c r="BO280" s="886">
        <f>BO266/1000*BO277</f>
        <v>0</v>
      </c>
      <c r="BP280" s="887">
        <f>BP266/1000*BP277</f>
        <v>0</v>
      </c>
      <c r="BQ280" s="832">
        <f>SUM(BM280:BP280)</f>
        <v>0</v>
      </c>
      <c r="BR280" s="832"/>
      <c r="BS280" s="1503"/>
      <c r="BT280" s="1503"/>
      <c r="BU280" s="1503"/>
      <c r="BV280" s="1503"/>
      <c r="BW280" s="1493"/>
      <c r="BX280"/>
      <c r="BY280"/>
      <c r="BZ280"/>
      <c r="CA280"/>
      <c r="CB280"/>
      <c r="CC280"/>
    </row>
    <row r="281" spans="1:81" s="19" customFormat="1">
      <c r="A281" s="108"/>
      <c r="B281" s="5"/>
      <c r="C281" s="1128" t="s">
        <v>547</v>
      </c>
      <c r="D281" s="36"/>
      <c r="E281" s="122"/>
      <c r="F281" s="123"/>
      <c r="G281" s="123"/>
      <c r="H281" s="915"/>
      <c r="I281" s="31"/>
      <c r="J281" s="122"/>
      <c r="K281" s="123"/>
      <c r="L281" s="123"/>
      <c r="M281" s="915"/>
      <c r="N281" s="36"/>
      <c r="O281" s="122"/>
      <c r="P281" s="123"/>
      <c r="Q281" s="123"/>
      <c r="R281" s="915"/>
      <c r="S281" s="36"/>
      <c r="T281" s="180"/>
      <c r="U281" s="181"/>
      <c r="V281" s="181"/>
      <c r="W281" s="182"/>
      <c r="X281" s="110"/>
      <c r="Y281" s="180">
        <f t="shared" ref="Y281:AR281" si="777">Y279-Y280</f>
        <v>35.865229424080994</v>
      </c>
      <c r="Z281" s="181">
        <f t="shared" si="777"/>
        <v>8.1162553562946407</v>
      </c>
      <c r="AA281" s="181">
        <f t="shared" si="777"/>
        <v>15.086675972761551</v>
      </c>
      <c r="AB281" s="182">
        <f t="shared" si="777"/>
        <v>22.708940347724184</v>
      </c>
      <c r="AC281" s="110">
        <f t="shared" si="777"/>
        <v>81.777101100861373</v>
      </c>
      <c r="AD281" s="180">
        <f t="shared" si="777"/>
        <v>21.949940995053254</v>
      </c>
      <c r="AE281" s="181">
        <f t="shared" si="777"/>
        <v>9.4110101441234555</v>
      </c>
      <c r="AF281" s="181">
        <f t="shared" si="777"/>
        <v>12.370345743892656</v>
      </c>
      <c r="AG281" s="182">
        <f t="shared" si="777"/>
        <v>13.504221784789392</v>
      </c>
      <c r="AH281" s="110">
        <f t="shared" si="777"/>
        <v>57.235518667858784</v>
      </c>
      <c r="AI281" s="180">
        <f t="shared" si="777"/>
        <v>13.22321805264162</v>
      </c>
      <c r="AJ281" s="181">
        <f t="shared" si="777"/>
        <v>5.1931799887551477</v>
      </c>
      <c r="AK281" s="181">
        <f t="shared" si="777"/>
        <v>13.629684875267557</v>
      </c>
      <c r="AL281" s="182">
        <f t="shared" si="777"/>
        <v>10.471706197013773</v>
      </c>
      <c r="AM281" s="110">
        <f t="shared" si="777"/>
        <v>42.517789113678091</v>
      </c>
      <c r="AN281" s="180">
        <f t="shared" ref="AN281" si="778">AN279-AN280</f>
        <v>0</v>
      </c>
      <c r="AO281" s="181">
        <f t="shared" si="777"/>
        <v>0</v>
      </c>
      <c r="AP281" s="181">
        <f t="shared" ref="AP281" si="779">AP279-AP280</f>
        <v>0</v>
      </c>
      <c r="AQ281" s="182">
        <f t="shared" si="777"/>
        <v>0</v>
      </c>
      <c r="AR281" s="110">
        <f t="shared" si="777"/>
        <v>0</v>
      </c>
      <c r="AS281" s="180">
        <f t="shared" ref="AS281:BB281" si="780">AS279-AS280</f>
        <v>0</v>
      </c>
      <c r="AT281" s="181">
        <f t="shared" si="780"/>
        <v>0</v>
      </c>
      <c r="AU281" s="181">
        <f t="shared" ref="AU281" si="781">AU279-AU280</f>
        <v>0</v>
      </c>
      <c r="AV281" s="182">
        <f t="shared" si="780"/>
        <v>0</v>
      </c>
      <c r="AW281" s="110">
        <f t="shared" si="780"/>
        <v>0</v>
      </c>
      <c r="AX281" s="180">
        <f t="shared" si="780"/>
        <v>0</v>
      </c>
      <c r="AY281" s="181">
        <f t="shared" si="780"/>
        <v>0</v>
      </c>
      <c r="AZ281" s="181">
        <f t="shared" si="780"/>
        <v>0</v>
      </c>
      <c r="BA281" s="182">
        <f t="shared" si="780"/>
        <v>0</v>
      </c>
      <c r="BB281" s="110">
        <f t="shared" si="780"/>
        <v>0</v>
      </c>
      <c r="BC281" s="180">
        <f t="shared" ref="BC281:BL281" si="782">BC279-BC280</f>
        <v>0</v>
      </c>
      <c r="BD281" s="181">
        <f t="shared" si="782"/>
        <v>0</v>
      </c>
      <c r="BE281" s="181">
        <f t="shared" si="782"/>
        <v>0</v>
      </c>
      <c r="BF281" s="182">
        <f t="shared" si="782"/>
        <v>0</v>
      </c>
      <c r="BG281" s="110">
        <f t="shared" si="782"/>
        <v>0</v>
      </c>
      <c r="BH281" s="180">
        <f t="shared" si="782"/>
        <v>0</v>
      </c>
      <c r="BI281" s="181">
        <f t="shared" si="782"/>
        <v>0</v>
      </c>
      <c r="BJ281" s="181">
        <f t="shared" si="782"/>
        <v>0</v>
      </c>
      <c r="BK281" s="182">
        <f t="shared" si="782"/>
        <v>0</v>
      </c>
      <c r="BL281" s="110">
        <f t="shared" si="782"/>
        <v>0</v>
      </c>
      <c r="BM281" s="180">
        <f t="shared" ref="BM281:BQ281" si="783">BM279-BM280</f>
        <v>0</v>
      </c>
      <c r="BN281" s="181">
        <f t="shared" si="783"/>
        <v>0</v>
      </c>
      <c r="BO281" s="181">
        <f t="shared" si="783"/>
        <v>0</v>
      </c>
      <c r="BP281" s="182">
        <f t="shared" si="783"/>
        <v>0</v>
      </c>
      <c r="BQ281" s="110">
        <f t="shared" si="783"/>
        <v>0</v>
      </c>
      <c r="BR281" s="110"/>
      <c r="BS281" s="1503"/>
      <c r="BT281" s="1503"/>
      <c r="BU281" s="1503"/>
      <c r="BV281" s="1503"/>
      <c r="BW281" s="1493"/>
      <c r="BX281"/>
      <c r="BY281"/>
      <c r="BZ281"/>
      <c r="CA281"/>
      <c r="CB281"/>
      <c r="CC281"/>
    </row>
    <row r="282" spans="1:81" s="19" customFormat="1">
      <c r="A282" s="108"/>
      <c r="B282" s="5"/>
      <c r="C282" s="1125"/>
      <c r="D282" s="5"/>
      <c r="E282" s="146"/>
      <c r="F282" s="7"/>
      <c r="G282" s="7"/>
      <c r="H282" s="147"/>
      <c r="I282" s="31"/>
      <c r="J282" s="146"/>
      <c r="K282" s="7"/>
      <c r="L282" s="7"/>
      <c r="M282" s="147"/>
      <c r="N282" s="5"/>
      <c r="O282" s="146"/>
      <c r="P282" s="7"/>
      <c r="Q282" s="7"/>
      <c r="R282" s="147"/>
      <c r="S282" s="5"/>
      <c r="T282" s="146"/>
      <c r="U282" s="7"/>
      <c r="V282" s="7"/>
      <c r="W282" s="147"/>
      <c r="X282" s="5"/>
      <c r="Y282" s="146"/>
      <c r="Z282" s="7"/>
      <c r="AA282" s="7"/>
      <c r="AB282" s="147"/>
      <c r="AC282" s="5"/>
      <c r="AD282" s="146"/>
      <c r="AE282" s="7"/>
      <c r="AF282" s="7"/>
      <c r="AG282" s="147"/>
      <c r="AH282" s="5"/>
      <c r="AI282" s="146"/>
      <c r="AJ282" s="7"/>
      <c r="AK282" s="7"/>
      <c r="AL282" s="147"/>
      <c r="AM282" s="5"/>
      <c r="AN282" s="146"/>
      <c r="AO282" s="7"/>
      <c r="AP282" s="7"/>
      <c r="AQ282" s="147"/>
      <c r="AR282" s="5"/>
      <c r="AS282" s="146"/>
      <c r="AT282" s="7"/>
      <c r="AU282" s="7"/>
      <c r="AV282" s="147"/>
      <c r="AW282" s="5"/>
      <c r="AX282" s="146"/>
      <c r="AY282" s="7"/>
      <c r="AZ282" s="7"/>
      <c r="BA282" s="147"/>
      <c r="BB282" s="5"/>
      <c r="BC282" s="146"/>
      <c r="BD282" s="7"/>
      <c r="BE282" s="7"/>
      <c r="BF282" s="147"/>
      <c r="BG282" s="5"/>
      <c r="BH282" s="146"/>
      <c r="BI282" s="7"/>
      <c r="BJ282" s="7"/>
      <c r="BK282" s="147"/>
      <c r="BL282" s="5"/>
      <c r="BM282" s="146"/>
      <c r="BN282" s="7"/>
      <c r="BO282" s="7"/>
      <c r="BP282" s="147"/>
      <c r="BQ282" s="5"/>
      <c r="BR282" s="5"/>
      <c r="BS282" s="1503"/>
      <c r="BT282" s="1503"/>
      <c r="BU282" s="1503"/>
      <c r="BV282" s="1503"/>
      <c r="BW282" s="1493"/>
      <c r="BX282"/>
      <c r="BY282"/>
      <c r="BZ282"/>
      <c r="CA282"/>
      <c r="CB282"/>
      <c r="CC282"/>
    </row>
    <row r="283" spans="1:81" s="19" customFormat="1">
      <c r="A283" s="108"/>
      <c r="B283" s="5"/>
      <c r="C283" s="1154" t="s">
        <v>583</v>
      </c>
      <c r="D283" s="5"/>
      <c r="E283" s="146"/>
      <c r="F283" s="7"/>
      <c r="G283" s="7"/>
      <c r="H283" s="147"/>
      <c r="I283" s="494"/>
      <c r="J283" s="146"/>
      <c r="K283" s="7"/>
      <c r="L283" s="7"/>
      <c r="M283" s="147"/>
      <c r="N283" s="5"/>
      <c r="O283" s="146"/>
      <c r="P283" s="7"/>
      <c r="Q283" s="7"/>
      <c r="R283" s="147"/>
      <c r="S283" s="5"/>
      <c r="T283" s="146"/>
      <c r="U283" s="7"/>
      <c r="V283" s="7"/>
      <c r="W283" s="147"/>
      <c r="X283" s="5"/>
      <c r="Y283" s="146"/>
      <c r="Z283" s="7"/>
      <c r="AA283" s="7"/>
      <c r="AB283" s="147"/>
      <c r="AC283" s="5"/>
      <c r="AD283" s="146"/>
      <c r="AE283" s="7"/>
      <c r="AF283" s="7"/>
      <c r="AG283" s="147"/>
      <c r="AH283" s="5"/>
      <c r="AI283" s="146"/>
      <c r="AJ283" s="7"/>
      <c r="AK283" s="7"/>
      <c r="AL283" s="147"/>
      <c r="AM283" s="5"/>
      <c r="AN283" s="146"/>
      <c r="AO283" s="7"/>
      <c r="AP283" s="7"/>
      <c r="AQ283" s="147"/>
      <c r="AR283" s="5"/>
      <c r="AS283" s="146"/>
      <c r="AT283" s="7"/>
      <c r="AU283" s="7"/>
      <c r="AV283" s="147"/>
      <c r="AW283" s="5"/>
      <c r="AX283" s="146"/>
      <c r="AY283" s="7"/>
      <c r="AZ283" s="7"/>
      <c r="BA283" s="147"/>
      <c r="BB283" s="5"/>
      <c r="BC283" s="146"/>
      <c r="BD283" s="7"/>
      <c r="BE283" s="7"/>
      <c r="BF283" s="147"/>
      <c r="BG283" s="5"/>
      <c r="BH283" s="146"/>
      <c r="BI283" s="7"/>
      <c r="BJ283" s="7"/>
      <c r="BK283" s="147"/>
      <c r="BL283" s="5"/>
      <c r="BM283" s="146"/>
      <c r="BN283" s="7"/>
      <c r="BO283" s="7"/>
      <c r="BP283" s="147"/>
      <c r="BQ283" s="5"/>
      <c r="BR283" s="5"/>
      <c r="BS283" s="1503"/>
      <c r="BT283" s="1503"/>
      <c r="BU283" s="1503"/>
      <c r="BV283" s="1503"/>
      <c r="BW283" s="1493"/>
      <c r="BX283"/>
      <c r="BY283"/>
      <c r="BZ283"/>
      <c r="CA283"/>
      <c r="CB283"/>
      <c r="CC283"/>
    </row>
    <row r="284" spans="1:81" s="19" customFormat="1">
      <c r="A284" s="108"/>
      <c r="B284" s="5"/>
      <c r="C284" s="1127" t="s">
        <v>568</v>
      </c>
      <c r="D284" s="5"/>
      <c r="E284" s="146"/>
      <c r="F284" s="7"/>
      <c r="G284" s="7"/>
      <c r="H284" s="147"/>
      <c r="I284" s="31"/>
      <c r="J284" s="146"/>
      <c r="K284" s="7"/>
      <c r="L284" s="7"/>
      <c r="M284" s="147"/>
      <c r="N284" s="5"/>
      <c r="O284" s="146"/>
      <c r="P284" s="7"/>
      <c r="Q284" s="7"/>
      <c r="R284" s="147"/>
      <c r="S284" s="5"/>
      <c r="T284" s="881"/>
      <c r="U284" s="882"/>
      <c r="V284" s="882"/>
      <c r="W284" s="883"/>
      <c r="X284" s="403"/>
      <c r="Y284" s="881">
        <f>Y80</f>
        <v>45.623531746031752</v>
      </c>
      <c r="Z284" s="882">
        <f t="shared" ref="Z284:AW284" si="784">Z80</f>
        <v>40.663671874999991</v>
      </c>
      <c r="AA284" s="882">
        <f t="shared" si="784"/>
        <v>53.937705078124999</v>
      </c>
      <c r="AB284" s="883">
        <f t="shared" si="784"/>
        <v>46.228017578124991</v>
      </c>
      <c r="AC284" s="403">
        <f t="shared" si="784"/>
        <v>46.613231569320433</v>
      </c>
      <c r="AD284" s="881">
        <f t="shared" si="784"/>
        <v>105.87010912698418</v>
      </c>
      <c r="AE284" s="882">
        <f t="shared" si="784"/>
        <v>44.886210937500003</v>
      </c>
      <c r="AF284" s="882">
        <f t="shared" si="784"/>
        <v>43.024843750000009</v>
      </c>
      <c r="AG284" s="883">
        <f t="shared" si="784"/>
        <v>39.284560546874999</v>
      </c>
      <c r="AH284" s="403">
        <f t="shared" si="784"/>
        <v>58.266431090339793</v>
      </c>
      <c r="AI284" s="881">
        <f t="shared" si="784"/>
        <v>53.16058531746031</v>
      </c>
      <c r="AJ284" s="882">
        <f t="shared" si="784"/>
        <v>38.357529296875022</v>
      </c>
      <c r="AK284" s="882">
        <f t="shared" si="784"/>
        <v>40.580288461538458</v>
      </c>
      <c r="AL284" s="883">
        <f t="shared" si="784"/>
        <v>34.609042968750003</v>
      </c>
      <c r="AM284" s="403">
        <f t="shared" si="784"/>
        <v>41.676861511155948</v>
      </c>
      <c r="AN284" s="881">
        <f t="shared" ref="AN284" si="785">AN80</f>
        <v>35.76955078124999</v>
      </c>
      <c r="AO284" s="882">
        <f t="shared" si="784"/>
        <v>35.76955078124999</v>
      </c>
      <c r="AP284" s="882">
        <f t="shared" ref="AP284" si="786">AP80</f>
        <v>27.32274801587301</v>
      </c>
      <c r="AQ284" s="883">
        <f t="shared" si="784"/>
        <v>27.32274801587301</v>
      </c>
      <c r="AR284" s="403">
        <f t="shared" si="784"/>
        <v>31.546149398561496</v>
      </c>
      <c r="AS284" s="881">
        <f t="shared" si="784"/>
        <v>27.648046875000006</v>
      </c>
      <c r="AT284" s="882">
        <f t="shared" ref="AT284:AU284" si="787">AT80</f>
        <v>33.630214843749989</v>
      </c>
      <c r="AU284" s="882">
        <f t="shared" si="787"/>
        <v>34.760575396825409</v>
      </c>
      <c r="AV284" s="883">
        <f t="shared" si="784"/>
        <v>35.233521825396821</v>
      </c>
      <c r="AW284" s="403">
        <f t="shared" si="784"/>
        <v>32.818089735243056</v>
      </c>
      <c r="AX284" s="881">
        <f t="shared" ref="AX284:BB285" si="788">AX80</f>
        <v>36.453183593749984</v>
      </c>
      <c r="AY284" s="882">
        <f t="shared" si="788"/>
        <v>37.466666666666654</v>
      </c>
      <c r="AZ284" s="882">
        <f t="shared" si="788"/>
        <v>33.733333333333327</v>
      </c>
      <c r="BA284" s="883">
        <f t="shared" si="788"/>
        <v>37.766666666666666</v>
      </c>
      <c r="BB284" s="403">
        <f t="shared" si="788"/>
        <v>36.354962565104159</v>
      </c>
      <c r="BC284" s="881">
        <f t="shared" ref="BC284:BL284" si="789">BC80</f>
        <v>52.984877086683944</v>
      </c>
      <c r="BD284" s="882">
        <f t="shared" si="789"/>
        <v>34.892480032694301</v>
      </c>
      <c r="BE284" s="882">
        <f t="shared" si="789"/>
        <v>31.661694844481875</v>
      </c>
      <c r="BF284" s="883">
        <f t="shared" si="789"/>
        <v>28.460948036139868</v>
      </c>
      <c r="BG284" s="403">
        <f t="shared" si="789"/>
        <v>37</v>
      </c>
      <c r="BH284" s="881">
        <f t="shared" si="789"/>
        <v>52.579137036825585</v>
      </c>
      <c r="BI284" s="882">
        <f t="shared" si="789"/>
        <v>34.625285365714404</v>
      </c>
      <c r="BJ284" s="882">
        <f t="shared" si="789"/>
        <v>31.41924042444456</v>
      </c>
      <c r="BK284" s="883">
        <f t="shared" si="789"/>
        <v>28.243003839415444</v>
      </c>
      <c r="BL284" s="403">
        <f t="shared" si="789"/>
        <v>36.716666666599998</v>
      </c>
      <c r="BM284" s="881">
        <f t="shared" ref="BM284:BQ284" si="790">BM80</f>
        <v>37.120146633691817</v>
      </c>
      <c r="BN284" s="882">
        <f t="shared" si="790"/>
        <v>37.120146633691817</v>
      </c>
      <c r="BO284" s="882">
        <f t="shared" si="790"/>
        <v>37.120146633691817</v>
      </c>
      <c r="BP284" s="883">
        <f t="shared" si="790"/>
        <v>37.120146633691817</v>
      </c>
      <c r="BQ284" s="403">
        <f t="shared" si="790"/>
        <v>37.120146633691817</v>
      </c>
      <c r="BR284" s="403"/>
      <c r="BS284" s="1503"/>
      <c r="BT284" s="1503"/>
      <c r="BU284" s="1503"/>
      <c r="BV284" s="1503"/>
      <c r="BW284" s="1493"/>
      <c r="BX284"/>
      <c r="BY284"/>
      <c r="BZ284"/>
      <c r="CA284"/>
      <c r="CB284"/>
      <c r="CC284"/>
    </row>
    <row r="285" spans="1:81" s="19" customFormat="1">
      <c r="A285" s="108"/>
      <c r="B285" s="5"/>
      <c r="C285" s="1127" t="s">
        <v>571</v>
      </c>
      <c r="D285" s="5"/>
      <c r="E285" s="146"/>
      <c r="F285" s="7"/>
      <c r="G285" s="7"/>
      <c r="H285" s="147"/>
      <c r="I285" s="31"/>
      <c r="J285" s="146"/>
      <c r="K285" s="7"/>
      <c r="L285" s="7"/>
      <c r="M285" s="147"/>
      <c r="N285" s="5"/>
      <c r="O285" s="146"/>
      <c r="P285" s="7"/>
      <c r="Q285" s="7"/>
      <c r="R285" s="147"/>
      <c r="S285" s="5"/>
      <c r="T285" s="881"/>
      <c r="U285" s="882"/>
      <c r="V285" s="882"/>
      <c r="W285" s="883"/>
      <c r="X285" s="403"/>
      <c r="Y285" s="881">
        <f>Y81</f>
        <v>35.609952294685982</v>
      </c>
      <c r="Z285" s="882">
        <f t="shared" ref="Z285:AW285" si="791">Z81</f>
        <v>28.352330586080591</v>
      </c>
      <c r="AA285" s="882">
        <f t="shared" si="791"/>
        <v>26.087404891304349</v>
      </c>
      <c r="AB285" s="883">
        <f t="shared" si="791"/>
        <v>29.252230615942018</v>
      </c>
      <c r="AC285" s="403">
        <f t="shared" si="791"/>
        <v>29.825479597003238</v>
      </c>
      <c r="AD285" s="881">
        <f t="shared" si="791"/>
        <v>74.738565619967801</v>
      </c>
      <c r="AE285" s="882">
        <f t="shared" si="791"/>
        <v>27.261304945054935</v>
      </c>
      <c r="AF285" s="882">
        <f t="shared" si="791"/>
        <v>23.849180253623189</v>
      </c>
      <c r="AG285" s="883">
        <f t="shared" si="791"/>
        <v>21.799227355072475</v>
      </c>
      <c r="AH285" s="403">
        <f t="shared" si="791"/>
        <v>36.912069543429595</v>
      </c>
      <c r="AI285" s="881">
        <f t="shared" si="791"/>
        <v>37.643325281803563</v>
      </c>
      <c r="AJ285" s="882">
        <f t="shared" si="791"/>
        <v>18.227133699633701</v>
      </c>
      <c r="AK285" s="882">
        <f t="shared" si="791"/>
        <v>20.449230072463756</v>
      </c>
      <c r="AL285" s="883">
        <f t="shared" si="791"/>
        <v>14.298236956521746</v>
      </c>
      <c r="AM285" s="403">
        <f t="shared" si="791"/>
        <v>22.654481502605691</v>
      </c>
      <c r="AN285" s="881">
        <f t="shared" ref="AN285" si="792">AN81</f>
        <v>15.5952152014652</v>
      </c>
      <c r="AO285" s="882">
        <f t="shared" si="791"/>
        <v>15.5952152014652</v>
      </c>
      <c r="AP285" s="882">
        <f t="shared" ref="AP285" si="793">AP81</f>
        <v>17.24411086956523</v>
      </c>
      <c r="AQ285" s="883">
        <f t="shared" si="791"/>
        <v>17.24411086956523</v>
      </c>
      <c r="AR285" s="403">
        <f t="shared" si="791"/>
        <v>16.419663035515214</v>
      </c>
      <c r="AS285" s="881">
        <f t="shared" si="791"/>
        <v>19.385393719806771</v>
      </c>
      <c r="AT285" s="882">
        <f t="shared" ref="AT285:AU285" si="794">AT81</f>
        <v>14.500613553113544</v>
      </c>
      <c r="AU285" s="882">
        <f t="shared" si="794"/>
        <v>17.318980978260868</v>
      </c>
      <c r="AV285" s="883">
        <f t="shared" si="791"/>
        <v>19.652653804347828</v>
      </c>
      <c r="AW285" s="403">
        <f t="shared" si="791"/>
        <v>17.714410513882253</v>
      </c>
      <c r="AX285" s="881">
        <f t="shared" si="788"/>
        <v>32.735488727858289</v>
      </c>
      <c r="AY285" s="882">
        <f t="shared" si="788"/>
        <v>32.93333333333333</v>
      </c>
      <c r="AZ285" s="882">
        <f t="shared" si="788"/>
        <v>29.3</v>
      </c>
      <c r="BA285" s="883">
        <f t="shared" si="788"/>
        <v>33.083333333333336</v>
      </c>
      <c r="BB285" s="403">
        <f t="shared" si="788"/>
        <v>32.01303884863124</v>
      </c>
      <c r="BC285" s="881">
        <f t="shared" ref="BC285:BL285" si="795">BC81</f>
        <v>50.208915257706195</v>
      </c>
      <c r="BD285" s="882">
        <f t="shared" si="795"/>
        <v>32.014743875122768</v>
      </c>
      <c r="BE285" s="882">
        <f t="shared" si="795"/>
        <v>27.396223447236203</v>
      </c>
      <c r="BF285" s="883">
        <f t="shared" si="795"/>
        <v>24.304750753134822</v>
      </c>
      <c r="BG285" s="403">
        <f t="shared" si="795"/>
        <v>33.481158333299994</v>
      </c>
      <c r="BH285" s="881">
        <f t="shared" si="795"/>
        <v>49.68362440537765</v>
      </c>
      <c r="BI285" s="882">
        <f t="shared" si="795"/>
        <v>31.679802321198984</v>
      </c>
      <c r="BJ285" s="882">
        <f t="shared" si="795"/>
        <v>27.109601330599784</v>
      </c>
      <c r="BK285" s="883">
        <f t="shared" si="795"/>
        <v>24.050471942823588</v>
      </c>
      <c r="BL285" s="403">
        <f t="shared" si="795"/>
        <v>33.130875000000003</v>
      </c>
      <c r="BM285" s="881">
        <f t="shared" ref="BM285:BQ285" si="796">BM81</f>
        <v>33.31857836137219</v>
      </c>
      <c r="BN285" s="882">
        <f t="shared" si="796"/>
        <v>33.31857836137219</v>
      </c>
      <c r="BO285" s="882">
        <f t="shared" si="796"/>
        <v>33.31857836137219</v>
      </c>
      <c r="BP285" s="883">
        <f t="shared" si="796"/>
        <v>33.31857836137219</v>
      </c>
      <c r="BQ285" s="403">
        <f t="shared" si="796"/>
        <v>33.31857836137219</v>
      </c>
      <c r="BR285" s="403"/>
      <c r="BS285" s="1503"/>
      <c r="BT285" s="1503"/>
      <c r="BU285" s="1503"/>
      <c r="BV285" s="1503"/>
      <c r="BW285" s="1493"/>
      <c r="BX285"/>
      <c r="BY285"/>
      <c r="BZ285"/>
      <c r="CA285"/>
      <c r="CB285"/>
      <c r="CC285"/>
    </row>
    <row r="286" spans="1:81" s="19" customFormat="1">
      <c r="A286" s="108"/>
      <c r="B286" s="5"/>
      <c r="C286" s="1127" t="s">
        <v>552</v>
      </c>
      <c r="D286" s="5"/>
      <c r="E286" s="146"/>
      <c r="F286" s="7"/>
      <c r="G286" s="7"/>
      <c r="H286" s="147"/>
      <c r="I286" s="941">
        <v>7100</v>
      </c>
      <c r="J286" s="146"/>
      <c r="K286" s="7"/>
      <c r="L286" s="7"/>
      <c r="M286" s="147"/>
      <c r="N286" s="5"/>
      <c r="O286" s="146"/>
      <c r="P286" s="7"/>
      <c r="Q286" s="7"/>
      <c r="R286" s="147"/>
      <c r="S286" s="5"/>
      <c r="T286" s="881"/>
      <c r="U286" s="882"/>
      <c r="V286" s="882"/>
      <c r="W286" s="883"/>
      <c r="X286" s="403"/>
      <c r="Y286" s="881">
        <f t="shared" ref="Y286:BP286" si="797">$I286/1000*(Y$65)</f>
        <v>24.701610000000002</v>
      </c>
      <c r="Z286" s="882">
        <f t="shared" si="797"/>
        <v>28.572729687500008</v>
      </c>
      <c r="AA286" s="882">
        <f t="shared" si="797"/>
        <v>25.260579687500002</v>
      </c>
      <c r="AB286" s="883">
        <f t="shared" si="797"/>
        <v>27.238595312499996</v>
      </c>
      <c r="AC286" s="403">
        <f>AVERAGE(Y286:AB286)</f>
        <v>26.443378671875003</v>
      </c>
      <c r="AD286" s="881">
        <f t="shared" si="797"/>
        <v>36.751695081967213</v>
      </c>
      <c r="AE286" s="882">
        <f t="shared" si="797"/>
        <v>32.70947812499999</v>
      </c>
      <c r="AF286" s="882">
        <f t="shared" si="797"/>
        <v>28.180343750000002</v>
      </c>
      <c r="AG286" s="883">
        <f t="shared" si="797"/>
        <v>26.808823437499992</v>
      </c>
      <c r="AH286" s="403">
        <f>AVERAGE(AD286:AG286)</f>
        <v>31.112585098616801</v>
      </c>
      <c r="AI286" s="881">
        <f t="shared" si="797"/>
        <v>20.542132258064516</v>
      </c>
      <c r="AJ286" s="882">
        <f t="shared" si="797"/>
        <v>19.459184126984116</v>
      </c>
      <c r="AK286" s="882">
        <f t="shared" si="797"/>
        <v>19.627395312499996</v>
      </c>
      <c r="AL286" s="883">
        <f t="shared" si="797"/>
        <v>15.145088888888891</v>
      </c>
      <c r="AM286" s="403">
        <f>AVERAGE(AI286:AL286)</f>
        <v>18.693450146609379</v>
      </c>
      <c r="AN286" s="881">
        <f t="shared" si="797"/>
        <v>15.165489062499999</v>
      </c>
      <c r="AO286" s="882">
        <f t="shared" si="797"/>
        <v>15.165489062499999</v>
      </c>
      <c r="AP286" s="882">
        <f t="shared" si="797"/>
        <v>21.521817741935482</v>
      </c>
      <c r="AQ286" s="883">
        <f t="shared" si="797"/>
        <v>21.521817741935482</v>
      </c>
      <c r="AR286" s="403">
        <f>AVERAGE(AN286:AQ286)</f>
        <v>18.34365340221774</v>
      </c>
      <c r="AS286" s="881">
        <f t="shared" si="797"/>
        <v>21.369854838709674</v>
      </c>
      <c r="AT286" s="882">
        <f t="shared" si="797"/>
        <v>21.8408203125</v>
      </c>
      <c r="AU286" s="882">
        <f t="shared" si="797"/>
        <v>20.973512698412694</v>
      </c>
      <c r="AV286" s="883">
        <f t="shared" si="797"/>
        <v>20.518770967741933</v>
      </c>
      <c r="AW286" s="403">
        <f>AVERAGE(AS286:AV286)</f>
        <v>21.175739704341073</v>
      </c>
      <c r="AX286" s="881">
        <f t="shared" si="797"/>
        <v>22.086703278688525</v>
      </c>
      <c r="AY286" s="882">
        <f t="shared" si="797"/>
        <v>19.025633333333332</v>
      </c>
      <c r="AZ286" s="882">
        <f t="shared" si="797"/>
        <v>19.986499999999999</v>
      </c>
      <c r="BA286" s="883">
        <f t="shared" si="797"/>
        <v>20.601833333333335</v>
      </c>
      <c r="BB286" s="403">
        <f>AVERAGE(AX286:BA286)</f>
        <v>20.425167486338797</v>
      </c>
      <c r="BC286" s="881">
        <f t="shared" si="797"/>
        <v>20.609129986533492</v>
      </c>
      <c r="BD286" s="882">
        <f t="shared" si="797"/>
        <v>18.063670614575226</v>
      </c>
      <c r="BE286" s="882">
        <f t="shared" si="797"/>
        <v>18.302307430696317</v>
      </c>
      <c r="BF286" s="883">
        <f t="shared" si="797"/>
        <v>21.394691968194959</v>
      </c>
      <c r="BG286" s="403">
        <f>AVERAGE(BC286:BF286)</f>
        <v>19.592449999999999</v>
      </c>
      <c r="BH286" s="881">
        <f t="shared" si="797"/>
        <v>20.917202685190677</v>
      </c>
      <c r="BI286" s="882">
        <f t="shared" si="797"/>
        <v>18.333692869639993</v>
      </c>
      <c r="BJ286" s="882">
        <f t="shared" si="797"/>
        <v>18.575896914847874</v>
      </c>
      <c r="BK286" s="883">
        <f t="shared" si="797"/>
        <v>21.714507530321441</v>
      </c>
      <c r="BL286" s="403">
        <f>AVERAGE(BH286:BK286)</f>
        <v>19.885324999999995</v>
      </c>
      <c r="BM286" s="881">
        <f t="shared" si="797"/>
        <v>19.711818749999999</v>
      </c>
      <c r="BN286" s="882">
        <f t="shared" si="797"/>
        <v>19.711818749999999</v>
      </c>
      <c r="BO286" s="882">
        <f t="shared" si="797"/>
        <v>19.711818749999999</v>
      </c>
      <c r="BP286" s="883">
        <f t="shared" si="797"/>
        <v>19.711818749999999</v>
      </c>
      <c r="BQ286" s="403">
        <f>AVERAGE(BM286:BP286)</f>
        <v>19.711818749999999</v>
      </c>
      <c r="BR286" s="403"/>
      <c r="BS286" s="1503"/>
      <c r="BT286" s="1503"/>
      <c r="BU286" s="1503"/>
      <c r="BV286" s="1503"/>
      <c r="BW286" s="1493"/>
      <c r="BX286"/>
      <c r="BY286"/>
      <c r="BZ286"/>
      <c r="CA286"/>
      <c r="CB286"/>
      <c r="CC286"/>
    </row>
    <row r="287" spans="1:81" s="19" customFormat="1">
      <c r="A287" s="108"/>
      <c r="B287" s="5"/>
      <c r="C287" s="1127"/>
      <c r="D287" s="5"/>
      <c r="E287" s="146"/>
      <c r="F287" s="7"/>
      <c r="G287" s="7"/>
      <c r="H287" s="147"/>
      <c r="I287" s="518"/>
      <c r="J287" s="146"/>
      <c r="K287" s="7"/>
      <c r="L287" s="7"/>
      <c r="M287" s="147"/>
      <c r="N287" s="5"/>
      <c r="O287" s="146"/>
      <c r="P287" s="7"/>
      <c r="Q287" s="7"/>
      <c r="R287" s="147"/>
      <c r="S287" s="5"/>
      <c r="T287" s="881"/>
      <c r="U287" s="882"/>
      <c r="V287" s="882"/>
      <c r="W287" s="883"/>
      <c r="X287" s="403"/>
      <c r="Y287" s="881"/>
      <c r="Z287" s="882"/>
      <c r="AA287" s="882"/>
      <c r="AB287" s="883"/>
      <c r="AC287" s="403"/>
      <c r="AD287" s="881"/>
      <c r="AE287" s="882"/>
      <c r="AF287" s="882"/>
      <c r="AG287" s="883"/>
      <c r="AH287" s="403"/>
      <c r="AI287" s="881"/>
      <c r="AJ287" s="882"/>
      <c r="AK287" s="882"/>
      <c r="AL287" s="883"/>
      <c r="AM287" s="403"/>
      <c r="AN287" s="881"/>
      <c r="AO287" s="882"/>
      <c r="AP287" s="882"/>
      <c r="AQ287" s="883"/>
      <c r="AR287" s="403"/>
      <c r="AS287" s="881"/>
      <c r="AT287" s="882"/>
      <c r="AU287" s="882"/>
      <c r="AV287" s="883"/>
      <c r="AW287" s="403"/>
      <c r="AX287" s="881"/>
      <c r="AY287" s="882"/>
      <c r="AZ287" s="882"/>
      <c r="BA287" s="883"/>
      <c r="BB287" s="403"/>
      <c r="BC287" s="881"/>
      <c r="BD287" s="882"/>
      <c r="BE287" s="882"/>
      <c r="BF287" s="883"/>
      <c r="BG287" s="403"/>
      <c r="BH287" s="881"/>
      <c r="BI287" s="882"/>
      <c r="BJ287" s="882"/>
      <c r="BK287" s="883"/>
      <c r="BL287" s="403"/>
      <c r="BM287" s="881"/>
      <c r="BN287" s="882"/>
      <c r="BO287" s="882"/>
      <c r="BP287" s="883"/>
      <c r="BQ287" s="403"/>
      <c r="BR287" s="403"/>
      <c r="BS287" s="1503"/>
      <c r="BT287" s="1503"/>
      <c r="BU287" s="1503"/>
      <c r="BV287" s="1503"/>
      <c r="BW287" s="1493"/>
      <c r="BX287"/>
      <c r="BY287"/>
      <c r="BZ287"/>
      <c r="CA287"/>
      <c r="CB287"/>
      <c r="CC287"/>
    </row>
    <row r="288" spans="1:81" s="19" customFormat="1">
      <c r="A288" s="108"/>
      <c r="B288" s="5"/>
      <c r="C288" s="1128" t="s">
        <v>553</v>
      </c>
      <c r="D288" s="36"/>
      <c r="E288" s="180"/>
      <c r="F288" s="181"/>
      <c r="G288" s="181"/>
      <c r="H288" s="182"/>
      <c r="I288" s="926">
        <v>213</v>
      </c>
      <c r="J288" s="180"/>
      <c r="K288" s="181"/>
      <c r="L288" s="181"/>
      <c r="M288" s="182"/>
      <c r="N288" s="110"/>
      <c r="O288" s="180"/>
      <c r="P288" s="181"/>
      <c r="Q288" s="181"/>
      <c r="R288" s="182"/>
      <c r="S288" s="110"/>
      <c r="T288" s="180"/>
      <c r="U288" s="181"/>
      <c r="V288" s="181"/>
      <c r="W288" s="182"/>
      <c r="X288" s="110"/>
      <c r="Y288" s="180">
        <f>+I288</f>
        <v>213</v>
      </c>
      <c r="Z288" s="181">
        <f t="shared" ref="Z288:AT288" si="798">Y288</f>
        <v>213</v>
      </c>
      <c r="AA288" s="181">
        <f t="shared" si="798"/>
        <v>213</v>
      </c>
      <c r="AB288" s="182">
        <f t="shared" si="798"/>
        <v>213</v>
      </c>
      <c r="AC288" s="110">
        <f t="shared" si="798"/>
        <v>213</v>
      </c>
      <c r="AD288" s="180">
        <f t="shared" si="798"/>
        <v>213</v>
      </c>
      <c r="AE288" s="181">
        <f t="shared" si="798"/>
        <v>213</v>
      </c>
      <c r="AF288" s="181">
        <f t="shared" si="798"/>
        <v>213</v>
      </c>
      <c r="AG288" s="182">
        <f t="shared" si="798"/>
        <v>213</v>
      </c>
      <c r="AH288" s="110">
        <f t="shared" si="798"/>
        <v>213</v>
      </c>
      <c r="AI288" s="180">
        <f t="shared" si="798"/>
        <v>213</v>
      </c>
      <c r="AJ288" s="181">
        <f t="shared" si="798"/>
        <v>213</v>
      </c>
      <c r="AK288" s="181">
        <f t="shared" si="798"/>
        <v>213</v>
      </c>
      <c r="AL288" s="182">
        <f t="shared" si="798"/>
        <v>213</v>
      </c>
      <c r="AM288" s="110">
        <f t="shared" si="798"/>
        <v>213</v>
      </c>
      <c r="AN288" s="180">
        <f t="shared" si="798"/>
        <v>213</v>
      </c>
      <c r="AO288" s="181">
        <f t="shared" si="798"/>
        <v>213</v>
      </c>
      <c r="AP288" s="181">
        <f t="shared" si="798"/>
        <v>213</v>
      </c>
      <c r="AQ288" s="182">
        <f t="shared" si="798"/>
        <v>213</v>
      </c>
      <c r="AR288" s="110">
        <f t="shared" si="798"/>
        <v>213</v>
      </c>
      <c r="AS288" s="180">
        <f t="shared" ref="AS288:BB288" si="799">AR288</f>
        <v>213</v>
      </c>
      <c r="AT288" s="181">
        <f t="shared" si="798"/>
        <v>213</v>
      </c>
      <c r="AU288" s="181">
        <f t="shared" ref="AU288" si="800">AT288</f>
        <v>213</v>
      </c>
      <c r="AV288" s="182">
        <f t="shared" si="799"/>
        <v>213</v>
      </c>
      <c r="AW288" s="110">
        <f t="shared" si="799"/>
        <v>213</v>
      </c>
      <c r="AX288" s="180">
        <f t="shared" si="799"/>
        <v>213</v>
      </c>
      <c r="AY288" s="181">
        <f t="shared" si="799"/>
        <v>213</v>
      </c>
      <c r="AZ288" s="181">
        <f t="shared" si="799"/>
        <v>213</v>
      </c>
      <c r="BA288" s="182">
        <f t="shared" si="799"/>
        <v>213</v>
      </c>
      <c r="BB288" s="110">
        <f t="shared" si="799"/>
        <v>213</v>
      </c>
      <c r="BC288" s="180">
        <f t="shared" ref="BC288" si="801">BB288</f>
        <v>213</v>
      </c>
      <c r="BD288" s="181">
        <f t="shared" ref="BD288" si="802">BC288</f>
        <v>213</v>
      </c>
      <c r="BE288" s="181">
        <f t="shared" ref="BE288" si="803">BD288</f>
        <v>213</v>
      </c>
      <c r="BF288" s="182">
        <f t="shared" ref="BF288" si="804">BE288</f>
        <v>213</v>
      </c>
      <c r="BG288" s="110">
        <f t="shared" ref="BG288" si="805">BF288</f>
        <v>213</v>
      </c>
      <c r="BH288" s="180">
        <f t="shared" ref="BH288" si="806">BG288</f>
        <v>213</v>
      </c>
      <c r="BI288" s="181">
        <f t="shared" ref="BI288" si="807">BH288</f>
        <v>213</v>
      </c>
      <c r="BJ288" s="181">
        <f t="shared" ref="BJ288" si="808">BI288</f>
        <v>213</v>
      </c>
      <c r="BK288" s="182">
        <f t="shared" ref="BK288" si="809">BJ288</f>
        <v>213</v>
      </c>
      <c r="BL288" s="110">
        <f t="shared" ref="BL288" si="810">BK288</f>
        <v>213</v>
      </c>
      <c r="BM288" s="180">
        <f t="shared" ref="BM288" si="811">BL288</f>
        <v>213</v>
      </c>
      <c r="BN288" s="181">
        <f t="shared" ref="BN288" si="812">BM288</f>
        <v>213</v>
      </c>
      <c r="BO288" s="181">
        <f t="shared" ref="BO288" si="813">BN288</f>
        <v>213</v>
      </c>
      <c r="BP288" s="182">
        <f t="shared" ref="BP288" si="814">BO288</f>
        <v>213</v>
      </c>
      <c r="BQ288" s="110">
        <f t="shared" ref="BQ288" si="815">BP288</f>
        <v>213</v>
      </c>
      <c r="BR288" s="110"/>
      <c r="BS288" s="1503"/>
      <c r="BT288" s="1503"/>
      <c r="BU288" s="1503"/>
      <c r="BV288" s="1503"/>
      <c r="BW288" s="1493"/>
      <c r="BX288"/>
      <c r="BY288"/>
      <c r="BZ288"/>
      <c r="CA288"/>
      <c r="CB288"/>
      <c r="CC288"/>
    </row>
    <row r="289" spans="1:81" s="19" customFormat="1">
      <c r="A289" s="108"/>
      <c r="B289" s="5"/>
      <c r="C289" s="1125"/>
      <c r="D289" s="5"/>
      <c r="E289" s="146"/>
      <c r="F289" s="7"/>
      <c r="G289" s="7"/>
      <c r="H289" s="147"/>
      <c r="I289" s="31"/>
      <c r="J289" s="146"/>
      <c r="K289" s="7"/>
      <c r="L289" s="7"/>
      <c r="M289" s="147"/>
      <c r="N289" s="5"/>
      <c r="O289" s="146"/>
      <c r="P289" s="7"/>
      <c r="Q289" s="7"/>
      <c r="R289" s="147"/>
      <c r="S289" s="5"/>
      <c r="T289" s="146"/>
      <c r="U289" s="7"/>
      <c r="V289" s="7"/>
      <c r="W289" s="147"/>
      <c r="X289" s="5"/>
      <c r="Y289" s="146"/>
      <c r="Z289" s="7"/>
      <c r="AA289" s="7"/>
      <c r="AB289" s="147"/>
      <c r="AC289" s="5"/>
      <c r="AD289" s="146"/>
      <c r="AE289" s="7"/>
      <c r="AF289" s="7"/>
      <c r="AG289" s="147"/>
      <c r="AH289" s="5"/>
      <c r="AI289" s="146"/>
      <c r="AJ289" s="7"/>
      <c r="AK289" s="7"/>
      <c r="AL289" s="147"/>
      <c r="AM289" s="5"/>
      <c r="AN289" s="146"/>
      <c r="AO289" s="7"/>
      <c r="AP289" s="7"/>
      <c r="AQ289" s="147"/>
      <c r="AR289" s="5"/>
      <c r="AS289" s="146"/>
      <c r="AT289" s="7"/>
      <c r="AU289" s="7"/>
      <c r="AV289" s="147"/>
      <c r="AW289" s="5"/>
      <c r="AX289" s="146"/>
      <c r="AY289" s="7"/>
      <c r="AZ289" s="7"/>
      <c r="BA289" s="147"/>
      <c r="BB289" s="5"/>
      <c r="BC289" s="146"/>
      <c r="BD289" s="7"/>
      <c r="BE289" s="7"/>
      <c r="BF289" s="147"/>
      <c r="BG289" s="5"/>
      <c r="BH289" s="146"/>
      <c r="BI289" s="7"/>
      <c r="BJ289" s="7"/>
      <c r="BK289" s="147"/>
      <c r="BL289" s="5"/>
      <c r="BM289" s="146"/>
      <c r="BN289" s="7"/>
      <c r="BO289" s="7"/>
      <c r="BP289" s="147"/>
      <c r="BQ289" s="5"/>
      <c r="BR289" s="5"/>
      <c r="BS289" s="1503"/>
      <c r="BT289" s="1503"/>
      <c r="BU289" s="1503"/>
      <c r="BV289" s="1503"/>
      <c r="BW289" s="1493"/>
      <c r="BX289"/>
      <c r="BY289"/>
      <c r="BZ289"/>
      <c r="CA289"/>
      <c r="CB289"/>
      <c r="CC289"/>
    </row>
    <row r="290" spans="1:81" s="19" customFormat="1">
      <c r="A290" s="108"/>
      <c r="B290" s="5"/>
      <c r="C290" s="1127" t="s">
        <v>569</v>
      </c>
      <c r="D290" s="5"/>
      <c r="E290" s="146"/>
      <c r="F290" s="7"/>
      <c r="G290" s="7"/>
      <c r="H290" s="147"/>
      <c r="I290" s="927">
        <v>0.45</v>
      </c>
      <c r="J290" s="146"/>
      <c r="K290" s="7"/>
      <c r="L290" s="7"/>
      <c r="M290" s="147"/>
      <c r="N290" s="5"/>
      <c r="O290" s="146"/>
      <c r="P290" s="7"/>
      <c r="Q290" s="7"/>
      <c r="R290" s="147"/>
      <c r="S290" s="5"/>
      <c r="T290" s="920"/>
      <c r="U290" s="921"/>
      <c r="V290" s="921"/>
      <c r="W290" s="922"/>
      <c r="X290" s="106"/>
      <c r="Y290" s="920">
        <f>+I290</f>
        <v>0.45</v>
      </c>
      <c r="Z290" s="921">
        <f>Y290</f>
        <v>0.45</v>
      </c>
      <c r="AA290" s="921">
        <f>Z290</f>
        <v>0.45</v>
      </c>
      <c r="AB290" s="922">
        <f>AA290</f>
        <v>0.45</v>
      </c>
      <c r="AC290" s="106">
        <f>AVERAGE(Y290:AB290)</f>
        <v>0.45</v>
      </c>
      <c r="AD290" s="920">
        <f>AC290</f>
        <v>0.45</v>
      </c>
      <c r="AE290" s="921">
        <f>AD290</f>
        <v>0.45</v>
      </c>
      <c r="AF290" s="921">
        <f>AE290</f>
        <v>0.45</v>
      </c>
      <c r="AG290" s="922">
        <f>AF290</f>
        <v>0.45</v>
      </c>
      <c r="AH290" s="106">
        <f>AVERAGE(AD290:AG290)</f>
        <v>0.45</v>
      </c>
      <c r="AI290" s="920">
        <f>AH290</f>
        <v>0.45</v>
      </c>
      <c r="AJ290" s="921">
        <f>AI290</f>
        <v>0.45</v>
      </c>
      <c r="AK290" s="921">
        <f>AJ290</f>
        <v>0.45</v>
      </c>
      <c r="AL290" s="922">
        <f>AK290</f>
        <v>0.45</v>
      </c>
      <c r="AM290" s="106">
        <f>AVERAGE(AI290:AL290)</f>
        <v>0.45</v>
      </c>
      <c r="AN290" s="920">
        <f>AM290</f>
        <v>0.45</v>
      </c>
      <c r="AO290" s="921">
        <f>AN290</f>
        <v>0.45</v>
      </c>
      <c r="AP290" s="921">
        <f>AO290</f>
        <v>0.45</v>
      </c>
      <c r="AQ290" s="922">
        <f>AP290</f>
        <v>0.45</v>
      </c>
      <c r="AR290" s="106">
        <f>AVERAGE(AN290:AQ290)</f>
        <v>0.45</v>
      </c>
      <c r="AS290" s="920">
        <f>AR290</f>
        <v>0.45</v>
      </c>
      <c r="AT290" s="921">
        <f>AS290</f>
        <v>0.45</v>
      </c>
      <c r="AU290" s="921">
        <f t="shared" ref="AU290" si="816">AT290</f>
        <v>0.45</v>
      </c>
      <c r="AV290" s="922">
        <f>AU290</f>
        <v>0.45</v>
      </c>
      <c r="AW290" s="106">
        <f>AVERAGE(AS290:AV290)</f>
        <v>0.45</v>
      </c>
      <c r="AX290" s="920">
        <f>AW290</f>
        <v>0.45</v>
      </c>
      <c r="AY290" s="921">
        <f>AX290</f>
        <v>0.45</v>
      </c>
      <c r="AZ290" s="921">
        <f>AY290</f>
        <v>0.45</v>
      </c>
      <c r="BA290" s="922">
        <f>AZ290</f>
        <v>0.45</v>
      </c>
      <c r="BB290" s="106">
        <f>AVERAGE(AX290:BA290)</f>
        <v>0.45</v>
      </c>
      <c r="BC290" s="920">
        <f>BB290</f>
        <v>0.45</v>
      </c>
      <c r="BD290" s="921">
        <f>BC290</f>
        <v>0.45</v>
      </c>
      <c r="BE290" s="921">
        <f>BD290</f>
        <v>0.45</v>
      </c>
      <c r="BF290" s="922">
        <f>BE290</f>
        <v>0.45</v>
      </c>
      <c r="BG290" s="106">
        <f>AVERAGE(BC290:BF290)</f>
        <v>0.45</v>
      </c>
      <c r="BH290" s="920">
        <f>BG290</f>
        <v>0.45</v>
      </c>
      <c r="BI290" s="921">
        <f>BH290</f>
        <v>0.45</v>
      </c>
      <c r="BJ290" s="921">
        <f>BI290</f>
        <v>0.45</v>
      </c>
      <c r="BK290" s="922">
        <f>BJ290</f>
        <v>0.45</v>
      </c>
      <c r="BL290" s="106">
        <f>AVERAGE(BH290:BK290)</f>
        <v>0.45</v>
      </c>
      <c r="BM290" s="920">
        <f>BL290</f>
        <v>0.45</v>
      </c>
      <c r="BN290" s="921">
        <f>BM290</f>
        <v>0.45</v>
      </c>
      <c r="BO290" s="921">
        <f>BN290</f>
        <v>0.45</v>
      </c>
      <c r="BP290" s="922">
        <f>BO290</f>
        <v>0.45</v>
      </c>
      <c r="BQ290" s="106">
        <f>AVERAGE(BM290:BP290)</f>
        <v>0.45</v>
      </c>
      <c r="BR290" s="106"/>
      <c r="BS290" s="1503"/>
      <c r="BT290" s="1503"/>
      <c r="BU290" s="1503"/>
      <c r="BV290" s="1503"/>
      <c r="BW290" s="1493"/>
      <c r="BX290"/>
      <c r="BY290"/>
      <c r="BZ290"/>
      <c r="CA290"/>
      <c r="CB290"/>
      <c r="CC290"/>
    </row>
    <row r="291" spans="1:81" s="19" customFormat="1">
      <c r="A291" s="108"/>
      <c r="B291" s="5"/>
      <c r="C291" s="1127" t="s">
        <v>572</v>
      </c>
      <c r="D291" s="5"/>
      <c r="E291" s="146"/>
      <c r="F291" s="7"/>
      <c r="G291" s="7"/>
      <c r="H291" s="147"/>
      <c r="I291" s="31"/>
      <c r="J291" s="146"/>
      <c r="K291" s="7"/>
      <c r="L291" s="7"/>
      <c r="M291" s="147"/>
      <c r="N291" s="5"/>
      <c r="O291" s="146"/>
      <c r="P291" s="7"/>
      <c r="Q291" s="7"/>
      <c r="R291" s="147"/>
      <c r="S291" s="5"/>
      <c r="T291" s="912"/>
      <c r="U291" s="913"/>
      <c r="V291" s="913"/>
      <c r="W291" s="914"/>
      <c r="X291" s="911"/>
      <c r="Y291" s="912">
        <f>(Y288*Y290*(8760/1000))/4</f>
        <v>209.91150000000002</v>
      </c>
      <c r="Z291" s="913">
        <f>(Z288*Z290*(8760/1000))/4</f>
        <v>209.91150000000002</v>
      </c>
      <c r="AA291" s="913">
        <f>(AA288*AA290*(8760/1000))/4</f>
        <v>209.91150000000002</v>
      </c>
      <c r="AB291" s="914">
        <f>(AB288*AB290*(8760/1000))/4</f>
        <v>209.91150000000002</v>
      </c>
      <c r="AC291" s="911">
        <f>SUM(Y291:AB291)</f>
        <v>839.64600000000007</v>
      </c>
      <c r="AD291" s="912">
        <f>(AD288*AD290*(8760/1000))/4</f>
        <v>209.91150000000002</v>
      </c>
      <c r="AE291" s="913">
        <f>(AE288*AE290*(8760/1000))/4</f>
        <v>209.91150000000002</v>
      </c>
      <c r="AF291" s="913">
        <f>(AF288*AF290*(8760/1000))/4</f>
        <v>209.91150000000002</v>
      </c>
      <c r="AG291" s="914">
        <f>(AG288*AG290*(8760/1000))/4</f>
        <v>209.91150000000002</v>
      </c>
      <c r="AH291" s="911">
        <f>SUM(AD291:AG291)</f>
        <v>839.64600000000007</v>
      </c>
      <c r="AI291" s="912">
        <f>(AI288*AI290*(8760/1000))/4</f>
        <v>209.91150000000002</v>
      </c>
      <c r="AJ291" s="913">
        <f>(AJ288*AJ290*(8760/1000))/4</f>
        <v>209.91150000000002</v>
      </c>
      <c r="AK291" s="913">
        <f>(AK288*AK290*(8760/1000))/4</f>
        <v>209.91150000000002</v>
      </c>
      <c r="AL291" s="914">
        <f>(AL288*AL290*(8760/1000))/4</f>
        <v>209.91150000000002</v>
      </c>
      <c r="AM291" s="911">
        <f>SUM(AI291:AL291)</f>
        <v>839.64600000000007</v>
      </c>
      <c r="AN291" s="912">
        <f>(AN288*AN290*(8760/1000))/4</f>
        <v>209.91150000000002</v>
      </c>
      <c r="AO291" s="913">
        <f>(AO288*AO290*(8760/1000))/4</f>
        <v>209.91150000000002</v>
      </c>
      <c r="AP291" s="913">
        <f>(AP288*AP290*(8760/1000))/4</f>
        <v>209.91150000000002</v>
      </c>
      <c r="AQ291" s="914">
        <f>(AQ288*AQ290*(8760/1000))/4</f>
        <v>209.91150000000002</v>
      </c>
      <c r="AR291" s="911">
        <f>SUM(AN291:AQ291)</f>
        <v>839.64600000000007</v>
      </c>
      <c r="AS291" s="912">
        <f>(AS288*AS290*(8760/1000))/4</f>
        <v>209.91150000000002</v>
      </c>
      <c r="AT291" s="913">
        <f>(AT288*AT290*(8760/1000))/4</f>
        <v>209.91150000000002</v>
      </c>
      <c r="AU291" s="913">
        <f t="shared" ref="AU291" si="817">(AU288*AU290*(8760/1000))/4</f>
        <v>209.91150000000002</v>
      </c>
      <c r="AV291" s="914">
        <f>(AV288*AV290*(8760/1000))/4</f>
        <v>209.91150000000002</v>
      </c>
      <c r="AW291" s="911">
        <f>SUM(AS291:AV291)</f>
        <v>839.64600000000007</v>
      </c>
      <c r="AX291" s="912">
        <f>(AX288*AX290*(8760/1000))/4</f>
        <v>209.91150000000002</v>
      </c>
      <c r="AY291" s="913">
        <f>(AY288*AY290*(8760/1000))/4</f>
        <v>209.91150000000002</v>
      </c>
      <c r="AZ291" s="913">
        <f>(AZ288*AZ290*(8760/1000))/4</f>
        <v>209.91150000000002</v>
      </c>
      <c r="BA291" s="914">
        <f>(BA288*BA290*(8760/1000))/4</f>
        <v>209.91150000000002</v>
      </c>
      <c r="BB291" s="911">
        <f>SUM(AX291:BA291)</f>
        <v>839.64600000000007</v>
      </c>
      <c r="BC291" s="912">
        <f>(BC288*BC290*(8760/1000))/4</f>
        <v>209.91150000000002</v>
      </c>
      <c r="BD291" s="913">
        <f>(BD288*BD290*(8760/1000))/4</f>
        <v>209.91150000000002</v>
      </c>
      <c r="BE291" s="913">
        <f>(BE288*BE290*(8760/1000))/4</f>
        <v>209.91150000000002</v>
      </c>
      <c r="BF291" s="914">
        <f>(BF288*BF290*(8760/1000))/4</f>
        <v>209.91150000000002</v>
      </c>
      <c r="BG291" s="911">
        <f>SUM(BC291:BF291)</f>
        <v>839.64600000000007</v>
      </c>
      <c r="BH291" s="912">
        <f>(BH288*BH290*(8760/1000))/4</f>
        <v>209.91150000000002</v>
      </c>
      <c r="BI291" s="913">
        <f>(BI288*BI290*(8760/1000))/4</f>
        <v>209.91150000000002</v>
      </c>
      <c r="BJ291" s="913">
        <f>(BJ288*BJ290*(8760/1000))/4</f>
        <v>209.91150000000002</v>
      </c>
      <c r="BK291" s="914">
        <f>(BK288*BK290*(8760/1000))/4</f>
        <v>209.91150000000002</v>
      </c>
      <c r="BL291" s="911">
        <f>SUM(BH291:BK291)</f>
        <v>839.64600000000007</v>
      </c>
      <c r="BM291" s="912">
        <f>(BM288*BM290*(8760/1000))/4</f>
        <v>209.91150000000002</v>
      </c>
      <c r="BN291" s="913">
        <f>(BN288*BN290*(8760/1000))/4</f>
        <v>209.91150000000002</v>
      </c>
      <c r="BO291" s="913">
        <f>(BO288*BO290*(8760/1000))/4</f>
        <v>209.91150000000002</v>
      </c>
      <c r="BP291" s="914">
        <f>(BP288*BP290*(8760/1000))/4</f>
        <v>209.91150000000002</v>
      </c>
      <c r="BQ291" s="911">
        <f>SUM(BM291:BP291)</f>
        <v>839.64600000000007</v>
      </c>
      <c r="BR291" s="911"/>
      <c r="BS291" s="1503"/>
      <c r="BT291" s="1503"/>
      <c r="BU291" s="1503"/>
      <c r="BV291" s="1503"/>
      <c r="BW291" s="1493"/>
      <c r="BX291"/>
      <c r="BY291"/>
      <c r="BZ291"/>
      <c r="CA291"/>
      <c r="CB291"/>
      <c r="CC291"/>
    </row>
    <row r="292" spans="1:81" s="19" customFormat="1">
      <c r="A292" s="108"/>
      <c r="B292" s="5"/>
      <c r="C292" s="1127"/>
      <c r="D292" s="5"/>
      <c r="E292" s="146"/>
      <c r="F292" s="7"/>
      <c r="G292" s="7"/>
      <c r="H292" s="147"/>
      <c r="I292" s="31"/>
      <c r="J292" s="146"/>
      <c r="K292" s="7"/>
      <c r="L292" s="7"/>
      <c r="M292" s="147"/>
      <c r="N292" s="5"/>
      <c r="O292" s="146"/>
      <c r="P292" s="7"/>
      <c r="Q292" s="7"/>
      <c r="R292" s="147"/>
      <c r="S292" s="5"/>
      <c r="T292" s="146"/>
      <c r="U292" s="7"/>
      <c r="V292" s="7"/>
      <c r="W292" s="147"/>
      <c r="X292" s="5"/>
      <c r="Y292" s="146"/>
      <c r="Z292" s="7"/>
      <c r="AA292" s="7"/>
      <c r="AB292" s="147"/>
      <c r="AC292" s="5"/>
      <c r="AD292" s="146"/>
      <c r="AE292" s="7"/>
      <c r="AF292" s="7"/>
      <c r="AG292" s="147"/>
      <c r="AH292" s="5"/>
      <c r="AI292" s="146"/>
      <c r="AJ292" s="7"/>
      <c r="AK292" s="7"/>
      <c r="AL292" s="147"/>
      <c r="AM292" s="5"/>
      <c r="AN292" s="146"/>
      <c r="AO292" s="7"/>
      <c r="AP292" s="7"/>
      <c r="AQ292" s="147"/>
      <c r="AR292" s="5"/>
      <c r="AS292" s="146"/>
      <c r="AT292" s="7"/>
      <c r="AU292" s="7"/>
      <c r="AV292" s="147"/>
      <c r="AW292" s="5"/>
      <c r="AX292" s="146"/>
      <c r="AY292" s="7"/>
      <c r="AZ292" s="7"/>
      <c r="BA292" s="147"/>
      <c r="BB292" s="5"/>
      <c r="BC292" s="146"/>
      <c r="BD292" s="7"/>
      <c r="BE292" s="7"/>
      <c r="BF292" s="147"/>
      <c r="BG292" s="5"/>
      <c r="BH292" s="146"/>
      <c r="BI292" s="7"/>
      <c r="BJ292" s="7"/>
      <c r="BK292" s="147"/>
      <c r="BL292" s="5"/>
      <c r="BM292" s="146"/>
      <c r="BN292" s="7"/>
      <c r="BO292" s="7"/>
      <c r="BP292" s="147"/>
      <c r="BQ292" s="5"/>
      <c r="BR292" s="5"/>
      <c r="BS292" s="1503"/>
      <c r="BT292" s="1503"/>
      <c r="BU292" s="1503"/>
      <c r="BV292" s="1503"/>
      <c r="BW292" s="1493"/>
      <c r="BX292"/>
      <c r="BY292"/>
      <c r="BZ292"/>
      <c r="CA292"/>
      <c r="CB292"/>
      <c r="CC292"/>
    </row>
    <row r="293" spans="1:81" s="19" customFormat="1">
      <c r="A293" s="108"/>
      <c r="B293" s="5"/>
      <c r="C293" s="1127" t="s">
        <v>573</v>
      </c>
      <c r="D293" s="5"/>
      <c r="E293" s="146"/>
      <c r="F293" s="7"/>
      <c r="G293" s="7"/>
      <c r="H293" s="147"/>
      <c r="I293" s="927">
        <v>0.15</v>
      </c>
      <c r="J293" s="146"/>
      <c r="K293" s="7"/>
      <c r="L293" s="7"/>
      <c r="M293" s="147"/>
      <c r="N293" s="5"/>
      <c r="O293" s="146"/>
      <c r="P293" s="7"/>
      <c r="Q293" s="7"/>
      <c r="R293" s="147"/>
      <c r="S293" s="5"/>
      <c r="T293" s="920"/>
      <c r="U293" s="921"/>
      <c r="V293" s="921"/>
      <c r="W293" s="922"/>
      <c r="X293" s="106"/>
      <c r="Y293" s="920">
        <f>IF(Y285&gt;Y286,$I293,0%)</f>
        <v>0.15</v>
      </c>
      <c r="Z293" s="921">
        <f>IF(Z285&gt;Z286,$I293,0%)</f>
        <v>0</v>
      </c>
      <c r="AA293" s="921">
        <f>IF(AA285&gt;AA286,$I293,0%)</f>
        <v>0.15</v>
      </c>
      <c r="AB293" s="922">
        <f>IF(AB285&gt;AB286,$I293,0%)</f>
        <v>0.15</v>
      </c>
      <c r="AC293" s="106">
        <f>AVERAGE(Y293:AB293)</f>
        <v>0.11249999999999999</v>
      </c>
      <c r="AD293" s="920">
        <f>IF(AD285&gt;AD286,$I293,0%)</f>
        <v>0.15</v>
      </c>
      <c r="AE293" s="921">
        <f>IF(AE285&gt;AE286,$I293,0%)</f>
        <v>0</v>
      </c>
      <c r="AF293" s="921">
        <f>IF(AF285&gt;AF286,$I293,0%)</f>
        <v>0</v>
      </c>
      <c r="AG293" s="922">
        <f>IF(AG285&gt;AG286,$I293,0%)</f>
        <v>0</v>
      </c>
      <c r="AH293" s="106">
        <f>AVERAGE(AD293:AG293)</f>
        <v>3.7499999999999999E-2</v>
      </c>
      <c r="AI293" s="920">
        <f>IF(AI285&gt;AI286,$I293,0%)</f>
        <v>0.15</v>
      </c>
      <c r="AJ293" s="921">
        <f>IF(AJ285&gt;AJ286,$I293,0%)</f>
        <v>0</v>
      </c>
      <c r="AK293" s="921">
        <f>IF(AK285&gt;AK286,$I293,0%)</f>
        <v>0.15</v>
      </c>
      <c r="AL293" s="922">
        <f>IF(AL285&gt;AL286,$I293,0%)</f>
        <v>0</v>
      </c>
      <c r="AM293" s="106">
        <f>AVERAGE(AI293:AL293)</f>
        <v>7.4999999999999997E-2</v>
      </c>
      <c r="AN293" s="920">
        <f>IF(AN285&gt;AN286,$I293,0%)</f>
        <v>0.15</v>
      </c>
      <c r="AO293" s="921">
        <f>IF(AO285&gt;AO286,$I293,0%)</f>
        <v>0.15</v>
      </c>
      <c r="AP293" s="921">
        <f>IF(AP285&gt;AP286,$I293,0%)</f>
        <v>0</v>
      </c>
      <c r="AQ293" s="922">
        <f>IF(AQ285&gt;AQ286,$I293,0%)</f>
        <v>0</v>
      </c>
      <c r="AR293" s="106">
        <f>AVERAGE(AN293:AQ293)</f>
        <v>7.4999999999999997E-2</v>
      </c>
      <c r="AS293" s="920">
        <f>IF(AS285&gt;AS286,$I293,0%)</f>
        <v>0</v>
      </c>
      <c r="AT293" s="921">
        <f>IF(AT285&gt;AT286,$I293,0%)</f>
        <v>0</v>
      </c>
      <c r="AU293" s="921">
        <f t="shared" ref="AU293" si="818">IF(AU285&gt;AU286,$I293,0%)</f>
        <v>0</v>
      </c>
      <c r="AV293" s="922">
        <f>IF(AV285&gt;AV286,$I293,0%)</f>
        <v>0</v>
      </c>
      <c r="AW293" s="106">
        <f>AVERAGE(AS293:AV293)</f>
        <v>0</v>
      </c>
      <c r="AX293" s="920">
        <f>IF(AX285&gt;AX286,$I293,0%)</f>
        <v>0.15</v>
      </c>
      <c r="AY293" s="921">
        <f>IF(AY285&gt;AY286,$I293,0%)</f>
        <v>0.15</v>
      </c>
      <c r="AZ293" s="921">
        <f>IF(AZ285&gt;AZ286,$I293,0%)</f>
        <v>0.15</v>
      </c>
      <c r="BA293" s="922">
        <f>IF(BA285&gt;BA286,$I293,0%)</f>
        <v>0.15</v>
      </c>
      <c r="BB293" s="106">
        <f>AVERAGE(AX293:BA293)</f>
        <v>0.15</v>
      </c>
      <c r="BC293" s="920">
        <f>IF(BC285&gt;BC286,$I293,0%)</f>
        <v>0.15</v>
      </c>
      <c r="BD293" s="921">
        <f>IF(BD285&gt;BD286,$I293,0%)</f>
        <v>0.15</v>
      </c>
      <c r="BE293" s="921">
        <f>IF(BE285&gt;BE286,$I293,0%)</f>
        <v>0.15</v>
      </c>
      <c r="BF293" s="922">
        <f>IF(BF285&gt;BF286,$I293,0%)</f>
        <v>0.15</v>
      </c>
      <c r="BG293" s="106">
        <f>AVERAGE(BC293:BF293)</f>
        <v>0.15</v>
      </c>
      <c r="BH293" s="920">
        <f>IF(BH285&gt;BH286,$I293,0%)</f>
        <v>0.15</v>
      </c>
      <c r="BI293" s="921">
        <f>IF(BI285&gt;BI286,$I293,0%)</f>
        <v>0.15</v>
      </c>
      <c r="BJ293" s="921">
        <f>IF(BJ285&gt;BJ286,$I293,0%)</f>
        <v>0.15</v>
      </c>
      <c r="BK293" s="922">
        <f>IF(BK285&gt;BK286,$I293,0%)</f>
        <v>0.15</v>
      </c>
      <c r="BL293" s="106">
        <f>AVERAGE(BH293:BK293)</f>
        <v>0.15</v>
      </c>
      <c r="BM293" s="920">
        <f>IF(BM285&gt;BM286,$I293,0%)</f>
        <v>0.15</v>
      </c>
      <c r="BN293" s="921">
        <f>IF(BN285&gt;BN286,$I293,0%)</f>
        <v>0.15</v>
      </c>
      <c r="BO293" s="921">
        <f>IF(BO285&gt;BO286,$I293,0%)</f>
        <v>0.15</v>
      </c>
      <c r="BP293" s="922">
        <f>IF(BP285&gt;BP286,$I293,0%)</f>
        <v>0.15</v>
      </c>
      <c r="BQ293" s="106">
        <f>AVERAGE(BM293:BP293)</f>
        <v>0.15</v>
      </c>
      <c r="BR293" s="106"/>
      <c r="BS293" s="1503"/>
      <c r="BT293" s="1503"/>
      <c r="BU293" s="1503"/>
      <c r="BV293" s="1503"/>
      <c r="BW293" s="1493"/>
      <c r="BX293"/>
      <c r="BY293"/>
      <c r="BZ293"/>
      <c r="CA293"/>
      <c r="CB293"/>
      <c r="CC293"/>
    </row>
    <row r="294" spans="1:81" s="19" customFormat="1">
      <c r="A294" s="108"/>
      <c r="B294" s="5"/>
      <c r="C294" s="1127" t="s">
        <v>579</v>
      </c>
      <c r="D294" s="5"/>
      <c r="E294" s="146"/>
      <c r="F294" s="7"/>
      <c r="G294" s="7"/>
      <c r="H294" s="147"/>
      <c r="I294" s="24"/>
      <c r="J294" s="146"/>
      <c r="K294" s="7"/>
      <c r="L294" s="7"/>
      <c r="M294" s="147"/>
      <c r="N294" s="5"/>
      <c r="O294" s="146"/>
      <c r="P294" s="7"/>
      <c r="Q294" s="7"/>
      <c r="R294" s="147"/>
      <c r="S294" s="5"/>
      <c r="T294" s="912"/>
      <c r="U294" s="913"/>
      <c r="V294" s="913"/>
      <c r="W294" s="914"/>
      <c r="X294" s="911"/>
      <c r="Y294" s="912">
        <f>(Y288*Y293*(8760/1000))/4</f>
        <v>69.970500000000001</v>
      </c>
      <c r="Z294" s="913">
        <f>(Z288*Z293*(8760/1000))/4</f>
        <v>0</v>
      </c>
      <c r="AA294" s="913">
        <f>(AA288*AA293*(8760/1000))/4</f>
        <v>69.970500000000001</v>
      </c>
      <c r="AB294" s="914">
        <f>(AB288*AB293*(8760/1000))/4</f>
        <v>69.970500000000001</v>
      </c>
      <c r="AC294" s="911">
        <f>SUM(Y294:AB294)</f>
        <v>209.91149999999999</v>
      </c>
      <c r="AD294" s="912">
        <f>(AD288*AD293*(8760/1000))/4</f>
        <v>69.970500000000001</v>
      </c>
      <c r="AE294" s="913">
        <f>(AE288*AE293*(8760/1000))/4</f>
        <v>0</v>
      </c>
      <c r="AF294" s="913">
        <f>(AF288*AF293*(8760/1000))/4</f>
        <v>0</v>
      </c>
      <c r="AG294" s="914">
        <f>(AG288*AG293*(8760/1000))/4</f>
        <v>0</v>
      </c>
      <c r="AH294" s="911">
        <f>SUM(AD294:AG294)</f>
        <v>69.970500000000001</v>
      </c>
      <c r="AI294" s="912">
        <f>(AI288*AI293*(8760/1000))/4</f>
        <v>69.970500000000001</v>
      </c>
      <c r="AJ294" s="913">
        <f>(AJ288*AJ293*(8760/1000))/4</f>
        <v>0</v>
      </c>
      <c r="AK294" s="913">
        <f>(AK288*AK293*(8760/1000))/4</f>
        <v>69.970500000000001</v>
      </c>
      <c r="AL294" s="914">
        <f>(AL288*AL293*(8760/1000))/4</f>
        <v>0</v>
      </c>
      <c r="AM294" s="911">
        <f>SUM(AI294:AL294)</f>
        <v>139.941</v>
      </c>
      <c r="AN294" s="912">
        <f>(AN288*AN293*(8760/1000))/4</f>
        <v>69.970500000000001</v>
      </c>
      <c r="AO294" s="913">
        <f>(AO288*AO293*(8760/1000))/4</f>
        <v>69.970500000000001</v>
      </c>
      <c r="AP294" s="913">
        <f>(AP288*AP293*(8760/1000))/4</f>
        <v>0</v>
      </c>
      <c r="AQ294" s="914">
        <f>(AQ288*AQ293*(8760/1000))/4</f>
        <v>0</v>
      </c>
      <c r="AR294" s="911">
        <f>SUM(AN294:AQ294)</f>
        <v>139.941</v>
      </c>
      <c r="AS294" s="912">
        <f>(AS288*AS293*(8760/1000))/4</f>
        <v>0</v>
      </c>
      <c r="AT294" s="913">
        <f>(AT288*AT293*(8760/1000))/4</f>
        <v>0</v>
      </c>
      <c r="AU294" s="913">
        <f t="shared" ref="AU294" si="819">(AU288*AU293*(8760/1000))/4</f>
        <v>0</v>
      </c>
      <c r="AV294" s="914">
        <f>(AV288*AV293*(8760/1000))/4</f>
        <v>0</v>
      </c>
      <c r="AW294" s="911">
        <f>SUM(AS294:AV294)</f>
        <v>0</v>
      </c>
      <c r="AX294" s="912">
        <f>(AX288*AX293*(8760/1000))/4</f>
        <v>69.970500000000001</v>
      </c>
      <c r="AY294" s="913">
        <f>(AY288*AY293*(8760/1000))/4</f>
        <v>69.970500000000001</v>
      </c>
      <c r="AZ294" s="913">
        <f>(AZ288*AZ293*(8760/1000))/4</f>
        <v>69.970500000000001</v>
      </c>
      <c r="BA294" s="914">
        <f>(BA288*BA293*(8760/1000))/4</f>
        <v>69.970500000000001</v>
      </c>
      <c r="BB294" s="911">
        <f>SUM(AX294:BA294)</f>
        <v>279.88200000000001</v>
      </c>
      <c r="BC294" s="912">
        <f>(BC288*BC293*(8760/1000))/4</f>
        <v>69.970500000000001</v>
      </c>
      <c r="BD294" s="913">
        <f>(BD288*BD293*(8760/1000))/4</f>
        <v>69.970500000000001</v>
      </c>
      <c r="BE294" s="913">
        <f>(BE288*BE293*(8760/1000))/4</f>
        <v>69.970500000000001</v>
      </c>
      <c r="BF294" s="914">
        <f>(BF288*BF293*(8760/1000))/4</f>
        <v>69.970500000000001</v>
      </c>
      <c r="BG294" s="911">
        <f>SUM(BC294:BF294)</f>
        <v>279.88200000000001</v>
      </c>
      <c r="BH294" s="912">
        <f>(BH288*BH293*(8760/1000))/4</f>
        <v>69.970500000000001</v>
      </c>
      <c r="BI294" s="913">
        <f>(BI288*BI293*(8760/1000))/4</f>
        <v>69.970500000000001</v>
      </c>
      <c r="BJ294" s="913">
        <f>(BJ288*BJ293*(8760/1000))/4</f>
        <v>69.970500000000001</v>
      </c>
      <c r="BK294" s="914">
        <f>(BK288*BK293*(8760/1000))/4</f>
        <v>69.970500000000001</v>
      </c>
      <c r="BL294" s="911">
        <f>SUM(BH294:BK294)</f>
        <v>279.88200000000001</v>
      </c>
      <c r="BM294" s="912">
        <f>(BM288*BM293*(8760/1000))/4</f>
        <v>69.970500000000001</v>
      </c>
      <c r="BN294" s="913">
        <f>(BN288*BN293*(8760/1000))/4</f>
        <v>69.970500000000001</v>
      </c>
      <c r="BO294" s="913">
        <f>(BO288*BO293*(8760/1000))/4</f>
        <v>69.970500000000001</v>
      </c>
      <c r="BP294" s="914">
        <f>(BP288*BP293*(8760/1000))/4</f>
        <v>69.970500000000001</v>
      </c>
      <c r="BQ294" s="911">
        <f>SUM(BM294:BP294)</f>
        <v>279.88200000000001</v>
      </c>
      <c r="BR294" s="911"/>
      <c r="BS294" s="1503"/>
      <c r="BT294" s="1503"/>
      <c r="BU294" s="1503"/>
      <c r="BV294" s="1503"/>
      <c r="BW294" s="1493"/>
      <c r="BX294"/>
      <c r="BY294"/>
      <c r="BZ294"/>
      <c r="CA294"/>
      <c r="CB294"/>
      <c r="CC294"/>
    </row>
    <row r="295" spans="1:81" s="19" customFormat="1">
      <c r="A295" s="108"/>
      <c r="B295" s="5"/>
      <c r="C295" s="1127"/>
      <c r="D295" s="5"/>
      <c r="E295" s="146"/>
      <c r="F295" s="7"/>
      <c r="G295" s="7"/>
      <c r="H295" s="147"/>
      <c r="I295" s="31"/>
      <c r="J295" s="146"/>
      <c r="K295" s="7"/>
      <c r="L295" s="7"/>
      <c r="M295" s="147"/>
      <c r="N295" s="5"/>
      <c r="O295" s="146"/>
      <c r="P295" s="7"/>
      <c r="Q295" s="7"/>
      <c r="R295" s="147"/>
      <c r="S295" s="5"/>
      <c r="T295" s="146"/>
      <c r="U295" s="7"/>
      <c r="V295" s="7"/>
      <c r="W295" s="147"/>
      <c r="X295" s="5"/>
      <c r="Y295" s="146"/>
      <c r="Z295" s="7"/>
      <c r="AA295" s="7"/>
      <c r="AB295" s="147"/>
      <c r="AC295" s="5"/>
      <c r="AD295" s="146"/>
      <c r="AE295" s="7"/>
      <c r="AF295" s="7"/>
      <c r="AG295" s="147"/>
      <c r="AH295" s="5"/>
      <c r="AI295" s="146"/>
      <c r="AJ295" s="7"/>
      <c r="AK295" s="7"/>
      <c r="AL295" s="147"/>
      <c r="AM295" s="5"/>
      <c r="AN295" s="146"/>
      <c r="AO295" s="7"/>
      <c r="AP295" s="7"/>
      <c r="AQ295" s="147"/>
      <c r="AR295" s="5"/>
      <c r="AS295" s="146"/>
      <c r="AT295" s="7"/>
      <c r="AU295" s="7"/>
      <c r="AV295" s="147"/>
      <c r="AW295" s="5"/>
      <c r="AX295" s="146"/>
      <c r="AY295" s="7"/>
      <c r="AZ295" s="7"/>
      <c r="BA295" s="147"/>
      <c r="BB295" s="5"/>
      <c r="BC295" s="146"/>
      <c r="BD295" s="7"/>
      <c r="BE295" s="7"/>
      <c r="BF295" s="147"/>
      <c r="BG295" s="5"/>
      <c r="BH295" s="146"/>
      <c r="BI295" s="7"/>
      <c r="BJ295" s="7"/>
      <c r="BK295" s="147"/>
      <c r="BL295" s="5"/>
      <c r="BM295" s="146"/>
      <c r="BN295" s="7"/>
      <c r="BO295" s="7"/>
      <c r="BP295" s="147"/>
      <c r="BQ295" s="5"/>
      <c r="BR295" s="5"/>
      <c r="BS295" s="1503"/>
      <c r="BT295" s="1503"/>
      <c r="BU295" s="1503"/>
      <c r="BV295" s="1503"/>
      <c r="BW295" s="1493"/>
      <c r="BX295"/>
      <c r="BY295"/>
      <c r="BZ295"/>
      <c r="CA295"/>
      <c r="CB295"/>
      <c r="CC295"/>
    </row>
    <row r="296" spans="1:81" s="19" customFormat="1">
      <c r="A296" s="108"/>
      <c r="B296" s="5"/>
      <c r="C296" s="1127" t="s">
        <v>580</v>
      </c>
      <c r="D296" s="5"/>
      <c r="E296" s="146"/>
      <c r="F296" s="7"/>
      <c r="G296" s="7"/>
      <c r="H296" s="147"/>
      <c r="I296" s="31"/>
      <c r="J296" s="146"/>
      <c r="K296" s="7"/>
      <c r="L296" s="7"/>
      <c r="M296" s="147"/>
      <c r="N296" s="5"/>
      <c r="O296" s="146"/>
      <c r="P296" s="7"/>
      <c r="Q296" s="7"/>
      <c r="R296" s="147"/>
      <c r="S296" s="5"/>
      <c r="T296" s="920"/>
      <c r="U296" s="921"/>
      <c r="V296" s="921"/>
      <c r="W296" s="922"/>
      <c r="X296" s="106"/>
      <c r="Y296" s="920">
        <f>(Y294+Y291)/(8.76*Y288/4)</f>
        <v>0.60000000000000009</v>
      </c>
      <c r="Z296" s="921">
        <f>(Z294+Z291)/(8.76*Z288/4)</f>
        <v>0.45000000000000007</v>
      </c>
      <c r="AA296" s="921">
        <f>(AA294+AA291)/(8.76*AA288/4)</f>
        <v>0.60000000000000009</v>
      </c>
      <c r="AB296" s="922">
        <f>(AB294+AB291)/(8.76*AB288/4)</f>
        <v>0.60000000000000009</v>
      </c>
      <c r="AC296" s="106">
        <f>AVERAGE(Y296:AB296)</f>
        <v>0.56250000000000011</v>
      </c>
      <c r="AD296" s="920">
        <f>(AD294+AD291)/(8.76*AD288/4)</f>
        <v>0.60000000000000009</v>
      </c>
      <c r="AE296" s="921">
        <f>(AE294+AE291)/(8.76*AE288/4)</f>
        <v>0.45000000000000007</v>
      </c>
      <c r="AF296" s="921">
        <f>(AF294+AF291)/(8.76*AF288/4)</f>
        <v>0.45000000000000007</v>
      </c>
      <c r="AG296" s="922">
        <f>(AG294+AG291)/(8.76*AG288/4)</f>
        <v>0.45000000000000007</v>
      </c>
      <c r="AH296" s="106">
        <f>AVERAGE(AD296:AG296)</f>
        <v>0.48750000000000016</v>
      </c>
      <c r="AI296" s="920">
        <f>(AI294+AI291)/(8.76*AI288/4)</f>
        <v>0.60000000000000009</v>
      </c>
      <c r="AJ296" s="921">
        <f>(AJ294+AJ291)/(8.76*AJ288/4)</f>
        <v>0.45000000000000007</v>
      </c>
      <c r="AK296" s="921">
        <f>(AK294+AK291)/(8.76*AK288/4)</f>
        <v>0.60000000000000009</v>
      </c>
      <c r="AL296" s="922">
        <f>(AL294+AL291)/(8.76*AL288/4)</f>
        <v>0.45000000000000007</v>
      </c>
      <c r="AM296" s="106">
        <f>AVERAGE(AI296:AL296)</f>
        <v>0.52500000000000013</v>
      </c>
      <c r="AN296" s="920">
        <f>(AN294+AN291)/(8.76*AN288/4)</f>
        <v>0.60000000000000009</v>
      </c>
      <c r="AO296" s="921">
        <f>(AO294+AO291)/(8.76*AO288/4)</f>
        <v>0.60000000000000009</v>
      </c>
      <c r="AP296" s="921">
        <f>(AP294+AP291)/(8.76*AP288/4)</f>
        <v>0.45000000000000007</v>
      </c>
      <c r="AQ296" s="922">
        <f>(AQ294+AQ291)/(8.76*AQ288/4)</f>
        <v>0.45000000000000007</v>
      </c>
      <c r="AR296" s="106">
        <f>AVERAGE(AN296:AQ296)</f>
        <v>0.52500000000000013</v>
      </c>
      <c r="AS296" s="920">
        <f>(AS294+AS291)/(8.76*AS288/4)</f>
        <v>0.45000000000000007</v>
      </c>
      <c r="AT296" s="921">
        <f>(AT294+AT291)/(8.76*AT288/4)</f>
        <v>0.45000000000000007</v>
      </c>
      <c r="AU296" s="921">
        <f t="shared" ref="AU296" si="820">(AU294+AU291)/(8.76*AU288/4)</f>
        <v>0.45000000000000007</v>
      </c>
      <c r="AV296" s="922">
        <f>(AV294+AV291)/(8.76*AV288/4)</f>
        <v>0.45000000000000007</v>
      </c>
      <c r="AW296" s="106">
        <f>AVERAGE(AS296:AV296)</f>
        <v>0.45000000000000007</v>
      </c>
      <c r="AX296" s="920">
        <f>(AX294+AX291)/(8.76*AX288/4)</f>
        <v>0.60000000000000009</v>
      </c>
      <c r="AY296" s="921">
        <f>(AY294+AY291)/(8.76*AY288/4)</f>
        <v>0.60000000000000009</v>
      </c>
      <c r="AZ296" s="921">
        <f>(AZ294+AZ291)/(8.76*AZ288/4)</f>
        <v>0.60000000000000009</v>
      </c>
      <c r="BA296" s="922">
        <f>(BA294+BA291)/(8.76*BA288/4)</f>
        <v>0.60000000000000009</v>
      </c>
      <c r="BB296" s="106">
        <f>AVERAGE(AX296:BA296)</f>
        <v>0.60000000000000009</v>
      </c>
      <c r="BC296" s="920">
        <f>(BC294+BC291)/(8.76*BC288/4)</f>
        <v>0.60000000000000009</v>
      </c>
      <c r="BD296" s="921">
        <f>(BD294+BD291)/(8.76*BD288/4)</f>
        <v>0.60000000000000009</v>
      </c>
      <c r="BE296" s="921">
        <f>(BE294+BE291)/(8.76*BE288/4)</f>
        <v>0.60000000000000009</v>
      </c>
      <c r="BF296" s="922">
        <f>(BF294+BF291)/(8.76*BF288/4)</f>
        <v>0.60000000000000009</v>
      </c>
      <c r="BG296" s="106">
        <f>AVERAGE(BC296:BF296)</f>
        <v>0.60000000000000009</v>
      </c>
      <c r="BH296" s="920">
        <f>(BH294+BH291)/(8.76*BH288/4)</f>
        <v>0.60000000000000009</v>
      </c>
      <c r="BI296" s="921">
        <f>(BI294+BI291)/(8.76*BI288/4)</f>
        <v>0.60000000000000009</v>
      </c>
      <c r="BJ296" s="921">
        <f>(BJ294+BJ291)/(8.76*BJ288/4)</f>
        <v>0.60000000000000009</v>
      </c>
      <c r="BK296" s="922">
        <f>(BK294+BK291)/(8.76*BK288/4)</f>
        <v>0.60000000000000009</v>
      </c>
      <c r="BL296" s="106">
        <f>AVERAGE(BH296:BK296)</f>
        <v>0.60000000000000009</v>
      </c>
      <c r="BM296" s="920">
        <f>(BM294+BM291)/(8.76*BM288/4)</f>
        <v>0.60000000000000009</v>
      </c>
      <c r="BN296" s="921">
        <f>(BN294+BN291)/(8.76*BN288/4)</f>
        <v>0.60000000000000009</v>
      </c>
      <c r="BO296" s="921">
        <f>(BO294+BO291)/(8.76*BO288/4)</f>
        <v>0.60000000000000009</v>
      </c>
      <c r="BP296" s="922">
        <f>(BP294+BP291)/(8.76*BP288/4)</f>
        <v>0.60000000000000009</v>
      </c>
      <c r="BQ296" s="106">
        <f>AVERAGE(BM296:BP296)</f>
        <v>0.60000000000000009</v>
      </c>
      <c r="BR296" s="106"/>
      <c r="BS296" s="1503"/>
      <c r="BT296" s="1503"/>
      <c r="BU296" s="1503"/>
      <c r="BV296" s="1503"/>
      <c r="BW296" s="1493"/>
      <c r="BX296"/>
      <c r="BY296"/>
      <c r="BZ296"/>
      <c r="CA296"/>
      <c r="CB296"/>
      <c r="CC296"/>
    </row>
    <row r="297" spans="1:81" s="19" customFormat="1">
      <c r="A297" s="108"/>
      <c r="B297" s="5"/>
      <c r="C297" s="1128" t="s">
        <v>581</v>
      </c>
      <c r="D297" s="36"/>
      <c r="E297" s="122"/>
      <c r="F297" s="123"/>
      <c r="G297" s="123"/>
      <c r="H297" s="915"/>
      <c r="I297" s="36"/>
      <c r="J297" s="122"/>
      <c r="K297" s="123"/>
      <c r="L297" s="123"/>
      <c r="M297" s="915"/>
      <c r="N297" s="36"/>
      <c r="O297" s="122"/>
      <c r="P297" s="123"/>
      <c r="Q297" s="123"/>
      <c r="R297" s="915"/>
      <c r="S297" s="36"/>
      <c r="T297" s="180"/>
      <c r="U297" s="181"/>
      <c r="V297" s="181"/>
      <c r="W297" s="182"/>
      <c r="X297" s="327"/>
      <c r="Y297" s="180">
        <f>+Y294+Y291</f>
        <v>279.88200000000001</v>
      </c>
      <c r="Z297" s="181">
        <f>+Z294+Z291</f>
        <v>209.91150000000002</v>
      </c>
      <c r="AA297" s="181">
        <f>+AA294+AA291</f>
        <v>279.88200000000001</v>
      </c>
      <c r="AB297" s="182">
        <f>+AB294+AB291</f>
        <v>279.88200000000001</v>
      </c>
      <c r="AC297" s="327">
        <f>SUM(Y297:AB297)</f>
        <v>1049.5575000000001</v>
      </c>
      <c r="AD297" s="180">
        <f>+AD294+AD291</f>
        <v>279.88200000000001</v>
      </c>
      <c r="AE297" s="181">
        <f>+AE294+AE291</f>
        <v>209.91150000000002</v>
      </c>
      <c r="AF297" s="181">
        <f>+AF294+AF291</f>
        <v>209.91150000000002</v>
      </c>
      <c r="AG297" s="182">
        <f>+AG294+AG291</f>
        <v>209.91150000000002</v>
      </c>
      <c r="AH297" s="327">
        <f>SUM(AD297:AG297)</f>
        <v>909.61650000000009</v>
      </c>
      <c r="AI297" s="180">
        <f>+AI294+AI291</f>
        <v>279.88200000000001</v>
      </c>
      <c r="AJ297" s="181">
        <f>+AJ294+AJ291</f>
        <v>209.91150000000002</v>
      </c>
      <c r="AK297" s="181">
        <f>+AK294+AK291</f>
        <v>279.88200000000001</v>
      </c>
      <c r="AL297" s="182">
        <f>+AL294+AL291</f>
        <v>209.91150000000002</v>
      </c>
      <c r="AM297" s="327">
        <f>SUM(AI297:AL297)</f>
        <v>979.5870000000001</v>
      </c>
      <c r="AN297" s="180">
        <f>+AN294+AN291</f>
        <v>279.88200000000001</v>
      </c>
      <c r="AO297" s="181">
        <f>+AO294+AO291</f>
        <v>279.88200000000001</v>
      </c>
      <c r="AP297" s="181">
        <f>+AP294+AP291</f>
        <v>209.91150000000002</v>
      </c>
      <c r="AQ297" s="182">
        <f>+AQ294+AQ291</f>
        <v>209.91150000000002</v>
      </c>
      <c r="AR297" s="327">
        <f>SUM(AN297:AQ297)</f>
        <v>979.5870000000001</v>
      </c>
      <c r="AS297" s="180">
        <f>+AS294+AS291</f>
        <v>209.91150000000002</v>
      </c>
      <c r="AT297" s="181">
        <f>+AT294+AT291</f>
        <v>209.91150000000002</v>
      </c>
      <c r="AU297" s="181">
        <f t="shared" ref="AU297" si="821">+AU294+AU291</f>
        <v>209.91150000000002</v>
      </c>
      <c r="AV297" s="182">
        <f>+AV294+AV291</f>
        <v>209.91150000000002</v>
      </c>
      <c r="AW297" s="327">
        <f>SUM(AS297:AV297)</f>
        <v>839.64600000000007</v>
      </c>
      <c r="AX297" s="180">
        <f>+AX294+AX291</f>
        <v>279.88200000000001</v>
      </c>
      <c r="AY297" s="181">
        <f>+AY294+AY291</f>
        <v>279.88200000000001</v>
      </c>
      <c r="AZ297" s="181">
        <f>+AZ294+AZ291</f>
        <v>279.88200000000001</v>
      </c>
      <c r="BA297" s="182">
        <f>+BA294+BA291</f>
        <v>279.88200000000001</v>
      </c>
      <c r="BB297" s="327">
        <f>SUM(AX297:BA297)</f>
        <v>1119.528</v>
      </c>
      <c r="BC297" s="180">
        <f>+BC294+BC291</f>
        <v>279.88200000000001</v>
      </c>
      <c r="BD297" s="181">
        <f>+BD294+BD291</f>
        <v>279.88200000000001</v>
      </c>
      <c r="BE297" s="181">
        <f>+BE294+BE291</f>
        <v>279.88200000000001</v>
      </c>
      <c r="BF297" s="182">
        <f>+BF294+BF291</f>
        <v>279.88200000000001</v>
      </c>
      <c r="BG297" s="327">
        <f>SUM(BC297:BF297)</f>
        <v>1119.528</v>
      </c>
      <c r="BH297" s="180">
        <f>+BH294+BH291</f>
        <v>279.88200000000001</v>
      </c>
      <c r="BI297" s="181">
        <f>+BI294+BI291</f>
        <v>279.88200000000001</v>
      </c>
      <c r="BJ297" s="181">
        <f>+BJ294+BJ291</f>
        <v>279.88200000000001</v>
      </c>
      <c r="BK297" s="182">
        <f>+BK294+BK291</f>
        <v>279.88200000000001</v>
      </c>
      <c r="BL297" s="327">
        <f>SUM(BH297:BK297)</f>
        <v>1119.528</v>
      </c>
      <c r="BM297" s="180">
        <f>+BM294+BM291</f>
        <v>279.88200000000001</v>
      </c>
      <c r="BN297" s="181">
        <f>+BN294+BN291</f>
        <v>279.88200000000001</v>
      </c>
      <c r="BO297" s="181">
        <f>+BO294+BO291</f>
        <v>279.88200000000001</v>
      </c>
      <c r="BP297" s="182">
        <f>+BP294+BP291</f>
        <v>279.88200000000001</v>
      </c>
      <c r="BQ297" s="327">
        <f>SUM(BM297:BP297)</f>
        <v>1119.528</v>
      </c>
      <c r="BR297" s="327"/>
      <c r="BS297" s="1503"/>
      <c r="BT297" s="1503"/>
      <c r="BU297" s="1503"/>
      <c r="BV297" s="1503"/>
      <c r="BW297" s="1493"/>
      <c r="BX297"/>
      <c r="BY297"/>
      <c r="BZ297"/>
      <c r="CA297"/>
      <c r="CB297"/>
      <c r="CC297"/>
    </row>
    <row r="298" spans="1:81" s="19" customFormat="1">
      <c r="A298" s="108"/>
      <c r="B298" s="5"/>
      <c r="C298" s="1127"/>
      <c r="D298" s="5"/>
      <c r="E298" s="146"/>
      <c r="F298" s="7"/>
      <c r="G298" s="7"/>
      <c r="H298" s="147"/>
      <c r="I298" s="31"/>
      <c r="J298" s="146"/>
      <c r="K298" s="7"/>
      <c r="L298" s="7"/>
      <c r="M298" s="147"/>
      <c r="N298" s="5"/>
      <c r="O298" s="146"/>
      <c r="P298" s="7"/>
      <c r="Q298" s="7"/>
      <c r="R298" s="147"/>
      <c r="S298" s="5"/>
      <c r="T298" s="146"/>
      <c r="U298" s="7"/>
      <c r="V298" s="7"/>
      <c r="W298" s="147"/>
      <c r="X298" s="5"/>
      <c r="Y298" s="146"/>
      <c r="Z298" s="7"/>
      <c r="AA298" s="7"/>
      <c r="AB298" s="147"/>
      <c r="AC298" s="5"/>
      <c r="AD298" s="146"/>
      <c r="AE298" s="7"/>
      <c r="AF298" s="7"/>
      <c r="AG298" s="147"/>
      <c r="AH298" s="5"/>
      <c r="AI298" s="146"/>
      <c r="AJ298" s="7"/>
      <c r="AK298" s="7"/>
      <c r="AL298" s="147"/>
      <c r="AM298" s="5"/>
      <c r="AN298" s="146"/>
      <c r="AO298" s="7"/>
      <c r="AP298" s="7"/>
      <c r="AQ298" s="147"/>
      <c r="AR298" s="5"/>
      <c r="AS298" s="146"/>
      <c r="AT298" s="7"/>
      <c r="AU298" s="7"/>
      <c r="AV298" s="147"/>
      <c r="AW298" s="5"/>
      <c r="AX298" s="146"/>
      <c r="AY298" s="7"/>
      <c r="AZ298" s="7"/>
      <c r="BA298" s="147"/>
      <c r="BB298" s="5"/>
      <c r="BC298" s="146"/>
      <c r="BD298" s="7"/>
      <c r="BE298" s="7"/>
      <c r="BF298" s="147"/>
      <c r="BG298" s="5"/>
      <c r="BH298" s="146"/>
      <c r="BI298" s="7"/>
      <c r="BJ298" s="7"/>
      <c r="BK298" s="147"/>
      <c r="BL298" s="5"/>
      <c r="BM298" s="146"/>
      <c r="BN298" s="7"/>
      <c r="BO298" s="7"/>
      <c r="BP298" s="147"/>
      <c r="BQ298" s="5"/>
      <c r="BR298" s="5"/>
      <c r="BS298" s="1503"/>
      <c r="BT298" s="1503"/>
      <c r="BU298" s="1503"/>
      <c r="BV298" s="1503"/>
      <c r="BW298" s="1493"/>
      <c r="BX298"/>
      <c r="BY298"/>
      <c r="BZ298"/>
      <c r="CA298"/>
      <c r="CB298"/>
      <c r="CC298"/>
    </row>
    <row r="299" spans="1:81" s="19" customFormat="1">
      <c r="A299" s="108"/>
      <c r="B299" s="5"/>
      <c r="C299" s="1127" t="s">
        <v>546</v>
      </c>
      <c r="D299" s="5"/>
      <c r="E299" s="146"/>
      <c r="F299" s="7"/>
      <c r="G299" s="7"/>
      <c r="H299" s="147"/>
      <c r="I299" s="31"/>
      <c r="J299" s="146"/>
      <c r="K299" s="7"/>
      <c r="L299" s="7"/>
      <c r="M299" s="147"/>
      <c r="N299" s="5"/>
      <c r="O299" s="146"/>
      <c r="P299" s="7"/>
      <c r="Q299" s="7"/>
      <c r="R299" s="147"/>
      <c r="S299" s="5"/>
      <c r="T299" s="885"/>
      <c r="U299" s="886"/>
      <c r="V299" s="886"/>
      <c r="W299" s="887"/>
      <c r="X299" s="832"/>
      <c r="Y299" s="885">
        <f>(Y284/1000*Y291)+(Y285/1000*Y294)</f>
        <v>12.068550151142471</v>
      </c>
      <c r="Z299" s="886">
        <f>(Z284/1000*Z291)+(Z285/1000*Z294)</f>
        <v>8.5357723587890622</v>
      </c>
      <c r="AA299" s="886">
        <f>(AA284/1000*AA291)+(AA285/1000*AA294)</f>
        <v>13.147493343453847</v>
      </c>
      <c r="AB299" s="887">
        <f>(AB284/1000*AB291)+(AB285/1000*AB294)</f>
        <v>11.750585714163357</v>
      </c>
      <c r="AC299" s="832">
        <f>SUM(Y299:AB299)</f>
        <v>45.502401567548738</v>
      </c>
      <c r="AD299" s="885">
        <f>(AD284/1000*AD291)+(AD285/1000*AD294)</f>
        <v>27.452848217720899</v>
      </c>
      <c r="AE299" s="886">
        <f>(AE284/1000*AE291)+(AE285/1000*AE294)</f>
        <v>9.4221318672070336</v>
      </c>
      <c r="AF299" s="886">
        <f>(AF284/1000*AF291)+(AF285/1000*AF294)</f>
        <v>9.0314094888281264</v>
      </c>
      <c r="AG299" s="887">
        <f>(AG284/1000*AG291)+(AG285/1000*AG294)</f>
        <v>8.2462810312353518</v>
      </c>
      <c r="AH299" s="832">
        <f>SUM(AD299:AG299)</f>
        <v>54.152670604991414</v>
      </c>
      <c r="AI299" s="885">
        <f>(AI284/1000*AI291)+(AI285/1000*AI294)</f>
        <v>13.792940496496506</v>
      </c>
      <c r="AJ299" s="886">
        <f>(AJ284/1000*AJ291)+(AJ285/1000*AJ294)</f>
        <v>8.0516865110009821</v>
      </c>
      <c r="AK299" s="886">
        <f>(AK284/1000*AK291)+(AK285/1000*AK294)</f>
        <v>9.9491120741795562</v>
      </c>
      <c r="AL299" s="887">
        <f>(AL284/1000*AL291)+(AL285/1000*AL294)</f>
        <v>7.2648361231347671</v>
      </c>
      <c r="AM299" s="832">
        <f>SUM(AI299:AL299)</f>
        <v>39.05857520481181</v>
      </c>
      <c r="AN299" s="885">
        <f>(AN284/1000*AN291)+(AN285/1000*AN294)</f>
        <v>8.5996450640724795</v>
      </c>
      <c r="AO299" s="886">
        <f>(AO284/1000*AO291)+(AO285/1000*AO294)</f>
        <v>8.5996450640724795</v>
      </c>
      <c r="AP299" s="886">
        <f>(AP284/1000*AP291)+(AP285/1000*AP294)</f>
        <v>5.7353590201339273</v>
      </c>
      <c r="AQ299" s="887">
        <f>(AQ284/1000*AQ291)+(AQ285/1000*AQ294)</f>
        <v>5.7353590201339273</v>
      </c>
      <c r="AR299" s="832">
        <f>SUM(AN299:AQ299)</f>
        <v>28.670008168412814</v>
      </c>
      <c r="AS299" s="885">
        <f>(AS284/1000*AS291)+(AS285/1000*AS294)</f>
        <v>5.8036429916015644</v>
      </c>
      <c r="AT299" s="886">
        <f>(AT284/1000*AT291)+(AT285/1000*AT294)</f>
        <v>7.0593688431738268</v>
      </c>
      <c r="AU299" s="886">
        <f t="shared" ref="AU299" si="822">(AU284/1000*AU291)+(AU285/1000*AU294)</f>
        <v>7.296644522410717</v>
      </c>
      <c r="AV299" s="887">
        <f>(AV284/1000*AV291)+(AV285/1000*AV294)</f>
        <v>7.3959214166517864</v>
      </c>
      <c r="AW299" s="832">
        <f>SUM(AS299:AV299)</f>
        <v>27.555577773837896</v>
      </c>
      <c r="AX299" s="885">
        <f>(AX284/1000*AX291)+(AX285/1000*AX294)</f>
        <v>9.9424609619720599</v>
      </c>
      <c r="AY299" s="886">
        <f>(AY284/1000*AY291)+(AY285/1000*AY294)</f>
        <v>10.169045999999998</v>
      </c>
      <c r="AZ299" s="886">
        <f>(AZ284/1000*AZ291)+(AZ285/1000*AZ294)</f>
        <v>9.1311502499999992</v>
      </c>
      <c r="BA299" s="887">
        <f>(BA284/1000*BA291)+(BA285/1000*BA294)</f>
        <v>10.242515024999999</v>
      </c>
      <c r="BB299" s="832">
        <f>SUM(AX299:BA299)</f>
        <v>39.485172236972062</v>
      </c>
      <c r="BC299" s="885">
        <f>(BC284/1000*BC291)+(BC285/1000*BC294)</f>
        <v>14.635277931620788</v>
      </c>
      <c r="BD299" s="886">
        <f>(BD284/1000*BD291)+(BD285/1000*BD294)</f>
        <v>9.5644204586971888</v>
      </c>
      <c r="BE299" s="886">
        <f>(BE284/1000*BE291)+(BE285/1000*BE294)</f>
        <v>8.563081310062298</v>
      </c>
      <c r="BF299" s="887">
        <f>(BF284/1000*BF291)+(BF285/1000*BF294)</f>
        <v>7.6748958562603944</v>
      </c>
      <c r="BG299" s="832">
        <f>SUM(BC299:BF299)</f>
        <v>40.43767555664067</v>
      </c>
      <c r="BH299" s="885">
        <f>(BH284/1000*BH291)+(BH285/1000*BH294)</f>
        <v>14.513353565562092</v>
      </c>
      <c r="BI299" s="886">
        <f>(BI284/1000*BI291)+(BI285/1000*BI294)</f>
        <v>9.4848971973606133</v>
      </c>
      <c r="BJ299" s="886">
        <f>(BJ284/1000*BJ291)+(BJ285/1000*BJ294)</f>
        <v>8.4921322462585263</v>
      </c>
      <c r="BK299" s="887">
        <f>(BK284/1000*BK291)+(BK285/1000*BK294)</f>
        <v>7.6113548475127928</v>
      </c>
      <c r="BL299" s="832">
        <f>SUM(BH299:BK299)</f>
        <v>40.101737856694022</v>
      </c>
      <c r="BM299" s="885">
        <f>(BM284/1000*BM291)+(BM285/1000*BM294)</f>
        <v>10.123263247332593</v>
      </c>
      <c r="BN299" s="886">
        <f>(BN284/1000*BN291)+(BN285/1000*BN294)</f>
        <v>10.123263247332593</v>
      </c>
      <c r="BO299" s="886">
        <f>(BO284/1000*BO291)+(BO285/1000*BO294)</f>
        <v>10.123263247332593</v>
      </c>
      <c r="BP299" s="887">
        <f>(BP284/1000*BP291)+(BP285/1000*BP294)</f>
        <v>10.123263247332593</v>
      </c>
      <c r="BQ299" s="832">
        <f>SUM(BM299:BP299)</f>
        <v>40.493052989330373</v>
      </c>
      <c r="BR299" s="832"/>
      <c r="BS299" s="1503"/>
      <c r="BT299" s="1503"/>
      <c r="BU299" s="1503"/>
      <c r="BV299" s="1503"/>
      <c r="BW299" s="1493"/>
      <c r="BX299"/>
      <c r="BY299"/>
      <c r="BZ299"/>
      <c r="CA299"/>
      <c r="CB299"/>
      <c r="CC299"/>
    </row>
    <row r="300" spans="1:81" s="19" customFormat="1">
      <c r="A300" s="108"/>
      <c r="B300" s="5"/>
      <c r="C300" s="1127" t="s">
        <v>633</v>
      </c>
      <c r="D300" s="5"/>
      <c r="E300" s="146"/>
      <c r="F300" s="7"/>
      <c r="G300" s="7"/>
      <c r="H300" s="147"/>
      <c r="I300" s="31"/>
      <c r="J300" s="146"/>
      <c r="K300" s="7"/>
      <c r="L300" s="7"/>
      <c r="M300" s="147"/>
      <c r="N300" s="5"/>
      <c r="O300" s="146"/>
      <c r="P300" s="7"/>
      <c r="Q300" s="7"/>
      <c r="R300" s="147"/>
      <c r="S300" s="5"/>
      <c r="T300" s="885"/>
      <c r="U300" s="886"/>
      <c r="V300" s="886"/>
      <c r="W300" s="887"/>
      <c r="X300" s="832"/>
      <c r="Y300" s="885">
        <f>Y286/1000*Y297</f>
        <v>6.9135360100200005</v>
      </c>
      <c r="Z300" s="886">
        <f>Z286/1000*Z297</f>
        <v>5.9977445477976579</v>
      </c>
      <c r="AA300" s="886">
        <f>AA286/1000*AA297</f>
        <v>7.0699815640968762</v>
      </c>
      <c r="AB300" s="887">
        <f>AB286/1000*AB297</f>
        <v>7.6235925332531238</v>
      </c>
      <c r="AC300" s="832">
        <f>SUM(Y300:AB300)</f>
        <v>27.604854655167657</v>
      </c>
      <c r="AD300" s="885">
        <f>AD286/1000*AD297</f>
        <v>10.286137922931147</v>
      </c>
      <c r="AE300" s="886">
        <f>AE286/1000*AE297</f>
        <v>6.8660956174359358</v>
      </c>
      <c r="AF300" s="886">
        <f>AF286/1000*AF297</f>
        <v>5.9153782270781265</v>
      </c>
      <c r="AG300" s="887">
        <f>AG286/1000*AG297</f>
        <v>5.6274803410007808</v>
      </c>
      <c r="AH300" s="832">
        <f>SUM(AD300:AG300)</f>
        <v>28.695092108445987</v>
      </c>
      <c r="AI300" s="885">
        <f>AI286/1000*AI297</f>
        <v>5.7493730606516129</v>
      </c>
      <c r="AJ300" s="886">
        <f>AJ286/1000*AJ297</f>
        <v>4.0847065288714264</v>
      </c>
      <c r="AK300" s="886">
        <f>AK286/1000*AK297</f>
        <v>5.4933546548531247</v>
      </c>
      <c r="AL300" s="887">
        <f>AL286/1000*AL297</f>
        <v>3.1791283263000008</v>
      </c>
      <c r="AM300" s="832">
        <f>SUM(AI300:AL300)</f>
        <v>18.506562570676167</v>
      </c>
      <c r="AN300" s="885">
        <f>AN286/1000*AN297</f>
        <v>4.2445474097906244</v>
      </c>
      <c r="AO300" s="886">
        <f>AO286/1000*AO297</f>
        <v>4.2445474097906244</v>
      </c>
      <c r="AP300" s="886">
        <f>AP286/1000*AP297</f>
        <v>4.5176770449362911</v>
      </c>
      <c r="AQ300" s="887">
        <f>AQ286/1000*AQ297</f>
        <v>4.5176770449362911</v>
      </c>
      <c r="AR300" s="832">
        <f>SUM(AN300:AQ300)</f>
        <v>17.524448909453831</v>
      </c>
      <c r="AS300" s="885">
        <f>AS286/1000*AS297</f>
        <v>4.4857782839758062</v>
      </c>
      <c r="AT300" s="886">
        <f>AT286/1000*AT297</f>
        <v>4.5846393530273435</v>
      </c>
      <c r="AU300" s="886">
        <f t="shared" ref="AU300" si="823">AU286/1000*AU297</f>
        <v>4.4025815107928565</v>
      </c>
      <c r="AV300" s="887">
        <f>AV286/1000*AV297</f>
        <v>4.3071259919951617</v>
      </c>
      <c r="AW300" s="832">
        <f>SUM(AS300:AV300)</f>
        <v>17.780125139791167</v>
      </c>
      <c r="AX300" s="885">
        <f>AX286/1000*AX297</f>
        <v>6.1816706870459024</v>
      </c>
      <c r="AY300" s="886">
        <f>AY286/1000*AY297</f>
        <v>5.3249323086000002</v>
      </c>
      <c r="AZ300" s="886">
        <f>AZ286/1000*AZ297</f>
        <v>5.5938615930000006</v>
      </c>
      <c r="BA300" s="887">
        <f>BA286/1000*BA297</f>
        <v>5.7660823170000013</v>
      </c>
      <c r="BB300" s="832">
        <f>SUM(AX300:BA300)</f>
        <v>22.866546905645905</v>
      </c>
      <c r="BC300" s="885">
        <f>BC286/1000*BC297</f>
        <v>5.7681245188909678</v>
      </c>
      <c r="BD300" s="886">
        <f>BD286/1000*BD297</f>
        <v>5.0556962589485437</v>
      </c>
      <c r="BE300" s="886">
        <f>BE286/1000*BE297</f>
        <v>5.1224864083181467</v>
      </c>
      <c r="BF300" s="887">
        <f>BF286/1000*BF297</f>
        <v>5.9879891774423415</v>
      </c>
      <c r="BG300" s="832">
        <f>SUM(BC300:BF300)</f>
        <v>21.934296363599998</v>
      </c>
      <c r="BH300" s="885">
        <f>BH286/1000*BH297</f>
        <v>5.8543485219365374</v>
      </c>
      <c r="BI300" s="886">
        <f>BI286/1000*BI297</f>
        <v>5.1312706277405811</v>
      </c>
      <c r="BJ300" s="886">
        <f>BJ286/1000*BJ297</f>
        <v>5.1990591803214521</v>
      </c>
      <c r="BK300" s="887">
        <f>BK286/1000*BK297</f>
        <v>6.0774997966014253</v>
      </c>
      <c r="BL300" s="832">
        <f>SUM(BH300:BK300)</f>
        <v>22.262178126599995</v>
      </c>
      <c r="BM300" s="885">
        <f>BM286/1000*BM297</f>
        <v>5.5169832553874993</v>
      </c>
      <c r="BN300" s="886">
        <f>BN286/1000*BN297</f>
        <v>5.5169832553874993</v>
      </c>
      <c r="BO300" s="886">
        <f>BO286/1000*BO297</f>
        <v>5.5169832553874993</v>
      </c>
      <c r="BP300" s="887">
        <f>BP286/1000*BP297</f>
        <v>5.5169832553874993</v>
      </c>
      <c r="BQ300" s="832">
        <f>SUM(BM300:BP300)</f>
        <v>22.067933021549997</v>
      </c>
      <c r="BR300" s="832"/>
      <c r="BS300" s="1503"/>
      <c r="BT300" s="1503"/>
      <c r="BU300" s="1503"/>
      <c r="BV300" s="1503"/>
      <c r="BW300" s="1493"/>
      <c r="BX300"/>
      <c r="BY300"/>
      <c r="BZ300"/>
      <c r="CA300"/>
      <c r="CB300"/>
      <c r="CC300"/>
    </row>
    <row r="301" spans="1:81" s="19" customFormat="1">
      <c r="A301" s="108"/>
      <c r="B301" s="5"/>
      <c r="C301" s="1128" t="s">
        <v>547</v>
      </c>
      <c r="D301" s="36"/>
      <c r="E301" s="122"/>
      <c r="F301" s="123"/>
      <c r="G301" s="123"/>
      <c r="H301" s="915"/>
      <c r="I301" s="31"/>
      <c r="J301" s="122"/>
      <c r="K301" s="123"/>
      <c r="L301" s="123"/>
      <c r="M301" s="915"/>
      <c r="N301" s="36"/>
      <c r="O301" s="122"/>
      <c r="P301" s="123"/>
      <c r="Q301" s="123"/>
      <c r="R301" s="915"/>
      <c r="S301" s="36"/>
      <c r="T301" s="180"/>
      <c r="U301" s="181"/>
      <c r="V301" s="181"/>
      <c r="W301" s="182"/>
      <c r="X301" s="110"/>
      <c r="Y301" s="180">
        <f t="shared" ref="Y301:AR301" si="824">Y299-Y300</f>
        <v>5.1550141411224706</v>
      </c>
      <c r="Z301" s="181">
        <f t="shared" si="824"/>
        <v>2.5380278109914043</v>
      </c>
      <c r="AA301" s="181">
        <f t="shared" si="824"/>
        <v>6.0775117793569713</v>
      </c>
      <c r="AB301" s="182">
        <f t="shared" si="824"/>
        <v>4.1269931809102331</v>
      </c>
      <c r="AC301" s="110">
        <f t="shared" si="824"/>
        <v>17.897546912381081</v>
      </c>
      <c r="AD301" s="180">
        <f t="shared" si="824"/>
        <v>17.166710294789752</v>
      </c>
      <c r="AE301" s="181">
        <f t="shared" si="824"/>
        <v>2.5560362497710978</v>
      </c>
      <c r="AF301" s="181">
        <f t="shared" si="824"/>
        <v>3.1160312617499999</v>
      </c>
      <c r="AG301" s="182">
        <f t="shared" si="824"/>
        <v>2.6188006902345711</v>
      </c>
      <c r="AH301" s="110">
        <f t="shared" si="824"/>
        <v>25.457578496545427</v>
      </c>
      <c r="AI301" s="180">
        <f t="shared" si="824"/>
        <v>8.0435674358448921</v>
      </c>
      <c r="AJ301" s="181">
        <f t="shared" si="824"/>
        <v>3.9669799821295557</v>
      </c>
      <c r="AK301" s="181">
        <f t="shared" si="824"/>
        <v>4.4557574193264315</v>
      </c>
      <c r="AL301" s="182">
        <f t="shared" si="824"/>
        <v>4.0857077968347664</v>
      </c>
      <c r="AM301" s="110">
        <f t="shared" si="824"/>
        <v>20.552012634135643</v>
      </c>
      <c r="AN301" s="180">
        <f t="shared" ref="AN301" si="825">AN299-AN300</f>
        <v>4.3550976542818551</v>
      </c>
      <c r="AO301" s="181">
        <f t="shared" si="824"/>
        <v>4.3550976542818551</v>
      </c>
      <c r="AP301" s="181">
        <f t="shared" ref="AP301" si="826">AP299-AP300</f>
        <v>1.2176819751976362</v>
      </c>
      <c r="AQ301" s="182">
        <f t="shared" si="824"/>
        <v>1.2176819751976362</v>
      </c>
      <c r="AR301" s="110">
        <f t="shared" si="824"/>
        <v>11.145559258958983</v>
      </c>
      <c r="AS301" s="180">
        <f t="shared" ref="AS301:BB301" si="827">AS299-AS300</f>
        <v>1.3178647076257581</v>
      </c>
      <c r="AT301" s="181">
        <f t="shared" si="827"/>
        <v>2.4747294901464834</v>
      </c>
      <c r="AU301" s="181">
        <f t="shared" ref="AU301" si="828">AU299-AU300</f>
        <v>2.8940630116178605</v>
      </c>
      <c r="AV301" s="182">
        <f t="shared" si="827"/>
        <v>3.0887954246566247</v>
      </c>
      <c r="AW301" s="110">
        <f t="shared" si="827"/>
        <v>9.7754526340467294</v>
      </c>
      <c r="AX301" s="180">
        <f t="shared" si="827"/>
        <v>3.7607902749261575</v>
      </c>
      <c r="AY301" s="181">
        <f t="shared" si="827"/>
        <v>4.8441136913999978</v>
      </c>
      <c r="AZ301" s="181">
        <f t="shared" si="827"/>
        <v>3.5372886569999986</v>
      </c>
      <c r="BA301" s="182">
        <f t="shared" si="827"/>
        <v>4.4764327079999982</v>
      </c>
      <c r="BB301" s="110">
        <f t="shared" si="827"/>
        <v>16.618625331326157</v>
      </c>
      <c r="BC301" s="180">
        <f t="shared" ref="BC301:BL301" si="829">BC299-BC300</f>
        <v>8.8671534127298202</v>
      </c>
      <c r="BD301" s="181">
        <f t="shared" si="829"/>
        <v>4.5087241997486451</v>
      </c>
      <c r="BE301" s="181">
        <f t="shared" si="829"/>
        <v>3.4405949017441513</v>
      </c>
      <c r="BF301" s="182">
        <f t="shared" si="829"/>
        <v>1.6869066788180529</v>
      </c>
      <c r="BG301" s="110">
        <f t="shared" si="829"/>
        <v>18.503379193040672</v>
      </c>
      <c r="BH301" s="180">
        <f t="shared" si="829"/>
        <v>8.6590050436255552</v>
      </c>
      <c r="BI301" s="181">
        <f t="shared" si="829"/>
        <v>4.3536265696200322</v>
      </c>
      <c r="BJ301" s="181">
        <f t="shared" si="829"/>
        <v>3.2930730659370742</v>
      </c>
      <c r="BK301" s="182">
        <f t="shared" si="829"/>
        <v>1.5338550509113675</v>
      </c>
      <c r="BL301" s="110">
        <f t="shared" si="829"/>
        <v>17.839559730094027</v>
      </c>
      <c r="BM301" s="180">
        <f t="shared" ref="BM301:BQ301" si="830">BM299-BM300</f>
        <v>4.6062799919450939</v>
      </c>
      <c r="BN301" s="181">
        <f t="shared" si="830"/>
        <v>4.6062799919450939</v>
      </c>
      <c r="BO301" s="181">
        <f t="shared" si="830"/>
        <v>4.6062799919450939</v>
      </c>
      <c r="BP301" s="182">
        <f t="shared" si="830"/>
        <v>4.6062799919450939</v>
      </c>
      <c r="BQ301" s="110">
        <f t="shared" si="830"/>
        <v>18.425119967780375</v>
      </c>
      <c r="BR301" s="110"/>
      <c r="BS301" s="1503"/>
      <c r="BT301" s="1503"/>
      <c r="BU301" s="1503"/>
      <c r="BV301" s="1503"/>
      <c r="BW301" s="1493"/>
      <c r="BX301"/>
      <c r="BY301"/>
      <c r="BZ301"/>
      <c r="CA301"/>
      <c r="CB301"/>
      <c r="CC301"/>
    </row>
    <row r="302" spans="1:81" s="19" customFormat="1">
      <c r="A302" s="108"/>
      <c r="B302" s="5"/>
      <c r="C302" s="1125"/>
      <c r="D302" s="5"/>
      <c r="E302" s="146"/>
      <c r="F302" s="7"/>
      <c r="G302" s="7"/>
      <c r="H302" s="147"/>
      <c r="I302" s="31"/>
      <c r="J302" s="146"/>
      <c r="K302" s="7"/>
      <c r="L302" s="7"/>
      <c r="M302" s="147"/>
      <c r="N302" s="5"/>
      <c r="O302" s="146"/>
      <c r="P302" s="7"/>
      <c r="Q302" s="7"/>
      <c r="R302" s="147"/>
      <c r="S302" s="5"/>
      <c r="T302" s="146"/>
      <c r="U302" s="7"/>
      <c r="V302" s="7"/>
      <c r="W302" s="147"/>
      <c r="X302" s="5"/>
      <c r="Y302" s="146"/>
      <c r="Z302" s="7"/>
      <c r="AA302" s="7"/>
      <c r="AB302" s="147"/>
      <c r="AC302" s="5"/>
      <c r="AD302" s="146"/>
      <c r="AE302" s="7"/>
      <c r="AF302" s="7"/>
      <c r="AG302" s="147"/>
      <c r="AH302" s="5"/>
      <c r="AI302" s="146"/>
      <c r="AJ302" s="7"/>
      <c r="AK302" s="7"/>
      <c r="AL302" s="147"/>
      <c r="AM302" s="5"/>
      <c r="AN302" s="146"/>
      <c r="AO302" s="7"/>
      <c r="AP302" s="7"/>
      <c r="AQ302" s="147"/>
      <c r="AR302" s="5"/>
      <c r="AS302" s="146"/>
      <c r="AT302" s="7"/>
      <c r="AU302" s="7"/>
      <c r="AV302" s="147"/>
      <c r="AW302" s="5"/>
      <c r="AX302" s="146"/>
      <c r="AY302" s="7"/>
      <c r="AZ302" s="7"/>
      <c r="BA302" s="147"/>
      <c r="BB302" s="5"/>
      <c r="BC302" s="146"/>
      <c r="BD302" s="7"/>
      <c r="BE302" s="7"/>
      <c r="BF302" s="147"/>
      <c r="BG302" s="5"/>
      <c r="BH302" s="146"/>
      <c r="BI302" s="7"/>
      <c r="BJ302" s="7"/>
      <c r="BK302" s="147"/>
      <c r="BL302" s="5"/>
      <c r="BM302" s="146"/>
      <c r="BN302" s="7"/>
      <c r="BO302" s="7"/>
      <c r="BP302" s="147"/>
      <c r="BQ302" s="5"/>
      <c r="BR302" s="5"/>
      <c r="BS302" s="1503"/>
      <c r="BT302" s="1503"/>
      <c r="BU302" s="1503"/>
      <c r="BV302" s="1503"/>
      <c r="BW302" s="1493"/>
      <c r="BX302"/>
      <c r="BY302"/>
      <c r="BZ302"/>
      <c r="CA302"/>
      <c r="CB302"/>
      <c r="CC302"/>
    </row>
    <row r="303" spans="1:81" s="19" customFormat="1">
      <c r="A303" s="108"/>
      <c r="B303" s="5"/>
      <c r="C303" s="1125"/>
      <c r="D303" s="5"/>
      <c r="E303" s="146"/>
      <c r="F303" s="7"/>
      <c r="G303" s="7"/>
      <c r="H303" s="147"/>
      <c r="I303" s="31"/>
      <c r="J303" s="146"/>
      <c r="K303" s="7"/>
      <c r="L303" s="7"/>
      <c r="M303" s="147"/>
      <c r="N303" s="5"/>
      <c r="O303" s="146"/>
      <c r="P303" s="7"/>
      <c r="Q303" s="7"/>
      <c r="R303" s="147"/>
      <c r="S303" s="5"/>
      <c r="T303" s="146"/>
      <c r="U303" s="7"/>
      <c r="V303" s="7"/>
      <c r="W303" s="147"/>
      <c r="X303" s="5"/>
      <c r="Y303" s="146"/>
      <c r="Z303" s="7"/>
      <c r="AA303" s="7"/>
      <c r="AB303" s="147"/>
      <c r="AC303" s="5"/>
      <c r="AD303" s="146"/>
      <c r="AE303" s="7"/>
      <c r="AF303" s="7"/>
      <c r="AG303" s="147"/>
      <c r="AH303" s="5"/>
      <c r="AI303" s="146"/>
      <c r="AJ303" s="7"/>
      <c r="AK303" s="7"/>
      <c r="AL303" s="147"/>
      <c r="AM303" s="5"/>
      <c r="AN303" s="146"/>
      <c r="AO303" s="7"/>
      <c r="AP303" s="7"/>
      <c r="AQ303" s="147"/>
      <c r="AR303" s="5"/>
      <c r="AS303" s="146"/>
      <c r="AT303" s="7"/>
      <c r="AU303" s="7"/>
      <c r="AV303" s="147"/>
      <c r="AW303" s="5"/>
      <c r="AX303" s="146"/>
      <c r="AY303" s="7"/>
      <c r="AZ303" s="7"/>
      <c r="BA303" s="147"/>
      <c r="BB303" s="5"/>
      <c r="BC303" s="146"/>
      <c r="BD303" s="7"/>
      <c r="BE303" s="7"/>
      <c r="BF303" s="147"/>
      <c r="BG303" s="5"/>
      <c r="BH303" s="146"/>
      <c r="BI303" s="7"/>
      <c r="BJ303" s="7"/>
      <c r="BK303" s="147"/>
      <c r="BL303" s="5"/>
      <c r="BM303" s="146"/>
      <c r="BN303" s="7"/>
      <c r="BO303" s="7"/>
      <c r="BP303" s="147"/>
      <c r="BQ303" s="5"/>
      <c r="BR303" s="5"/>
      <c r="BS303" s="1503"/>
      <c r="BT303" s="1503"/>
      <c r="BU303" s="1503"/>
      <c r="BV303" s="1503"/>
      <c r="BW303" s="1493"/>
      <c r="BX303"/>
      <c r="BY303"/>
      <c r="BZ303"/>
      <c r="CA303"/>
      <c r="CB303"/>
      <c r="CC303"/>
    </row>
    <row r="304" spans="1:81" s="19" customFormat="1">
      <c r="A304" s="108"/>
      <c r="B304" s="5"/>
      <c r="C304" s="1154" t="s">
        <v>584</v>
      </c>
      <c r="D304" s="5"/>
      <c r="E304" s="146"/>
      <c r="F304" s="7"/>
      <c r="G304" s="7"/>
      <c r="H304" s="147"/>
      <c r="I304" s="494"/>
      <c r="J304" s="146"/>
      <c r="K304" s="7"/>
      <c r="L304" s="7"/>
      <c r="M304" s="147"/>
      <c r="N304" s="5"/>
      <c r="O304" s="146"/>
      <c r="P304" s="7"/>
      <c r="Q304" s="7"/>
      <c r="R304" s="147"/>
      <c r="S304" s="5"/>
      <c r="T304" s="146"/>
      <c r="U304" s="7"/>
      <c r="V304" s="7"/>
      <c r="W304" s="147"/>
      <c r="X304" s="5"/>
      <c r="Y304" s="146"/>
      <c r="Z304" s="7"/>
      <c r="AA304" s="7"/>
      <c r="AB304" s="147"/>
      <c r="AC304" s="5"/>
      <c r="AD304" s="146"/>
      <c r="AE304" s="7"/>
      <c r="AF304" s="7"/>
      <c r="AG304" s="147"/>
      <c r="AH304" s="5"/>
      <c r="AI304" s="146"/>
      <c r="AJ304" s="7"/>
      <c r="AK304" s="7"/>
      <c r="AL304" s="147"/>
      <c r="AM304" s="5"/>
      <c r="AN304" s="146"/>
      <c r="AO304" s="7"/>
      <c r="AP304" s="7"/>
      <c r="AQ304" s="147"/>
      <c r="AR304" s="5"/>
      <c r="AS304" s="146"/>
      <c r="AT304" s="7"/>
      <c r="AU304" s="7"/>
      <c r="AV304" s="147"/>
      <c r="AW304" s="5"/>
      <c r="AX304" s="146"/>
      <c r="AY304" s="7"/>
      <c r="AZ304" s="7"/>
      <c r="BA304" s="147"/>
      <c r="BB304" s="5"/>
      <c r="BC304" s="146"/>
      <c r="BD304" s="7"/>
      <c r="BE304" s="7"/>
      <c r="BF304" s="147"/>
      <c r="BG304" s="5"/>
      <c r="BH304" s="146"/>
      <c r="BI304" s="7"/>
      <c r="BJ304" s="7"/>
      <c r="BK304" s="147"/>
      <c r="BL304" s="5"/>
      <c r="BM304" s="146"/>
      <c r="BN304" s="7"/>
      <c r="BO304" s="7"/>
      <c r="BP304" s="147"/>
      <c r="BQ304" s="5"/>
      <c r="BR304" s="5"/>
      <c r="BS304" s="1503"/>
      <c r="BT304" s="1503"/>
      <c r="BU304" s="1503"/>
      <c r="BV304" s="1503"/>
      <c r="BW304" s="1493"/>
      <c r="BX304"/>
      <c r="BY304"/>
      <c r="BZ304"/>
      <c r="CA304"/>
      <c r="CB304"/>
      <c r="CC304"/>
    </row>
    <row r="305" spans="1:81" s="19" customFormat="1">
      <c r="A305" s="108"/>
      <c r="B305" s="5"/>
      <c r="C305" s="1127" t="s">
        <v>568</v>
      </c>
      <c r="D305" s="5"/>
      <c r="E305" s="146"/>
      <c r="F305" s="7"/>
      <c r="G305" s="7"/>
      <c r="H305" s="147"/>
      <c r="I305" s="31"/>
      <c r="J305" s="146"/>
      <c r="K305" s="7"/>
      <c r="L305" s="7"/>
      <c r="M305" s="147"/>
      <c r="N305" s="5"/>
      <c r="O305" s="146"/>
      <c r="P305" s="7"/>
      <c r="Q305" s="7"/>
      <c r="R305" s="147"/>
      <c r="S305" s="5"/>
      <c r="T305" s="881"/>
      <c r="U305" s="882"/>
      <c r="V305" s="882"/>
      <c r="W305" s="883"/>
      <c r="X305" s="403"/>
      <c r="Y305" s="881">
        <f>Y$80</f>
        <v>45.623531746031752</v>
      </c>
      <c r="Z305" s="882">
        <f t="shared" ref="Z305:BQ305" si="831">Z$80</f>
        <v>40.663671874999991</v>
      </c>
      <c r="AA305" s="882">
        <f t="shared" si="831"/>
        <v>53.937705078124999</v>
      </c>
      <c r="AB305" s="883">
        <f t="shared" si="831"/>
        <v>46.228017578124991</v>
      </c>
      <c r="AC305" s="403">
        <f t="shared" si="831"/>
        <v>46.613231569320433</v>
      </c>
      <c r="AD305" s="881">
        <f t="shared" si="831"/>
        <v>105.87010912698418</v>
      </c>
      <c r="AE305" s="882">
        <f t="shared" si="831"/>
        <v>44.886210937500003</v>
      </c>
      <c r="AF305" s="882">
        <f t="shared" si="831"/>
        <v>43.024843750000009</v>
      </c>
      <c r="AG305" s="883">
        <f t="shared" si="831"/>
        <v>39.284560546874999</v>
      </c>
      <c r="AH305" s="403">
        <f t="shared" si="831"/>
        <v>58.266431090339793</v>
      </c>
      <c r="AI305" s="881">
        <f t="shared" si="831"/>
        <v>53.16058531746031</v>
      </c>
      <c r="AJ305" s="882">
        <f t="shared" si="831"/>
        <v>38.357529296875022</v>
      </c>
      <c r="AK305" s="882">
        <f t="shared" si="831"/>
        <v>40.580288461538458</v>
      </c>
      <c r="AL305" s="883">
        <f t="shared" si="831"/>
        <v>34.609042968750003</v>
      </c>
      <c r="AM305" s="403">
        <f t="shared" si="831"/>
        <v>41.676861511155948</v>
      </c>
      <c r="AN305" s="881">
        <f t="shared" si="831"/>
        <v>35.76955078124999</v>
      </c>
      <c r="AO305" s="882">
        <f t="shared" si="831"/>
        <v>35.76955078124999</v>
      </c>
      <c r="AP305" s="882">
        <f t="shared" si="831"/>
        <v>27.32274801587301</v>
      </c>
      <c r="AQ305" s="883">
        <f t="shared" si="831"/>
        <v>27.32274801587301</v>
      </c>
      <c r="AR305" s="403">
        <f t="shared" si="831"/>
        <v>31.546149398561496</v>
      </c>
      <c r="AS305" s="881">
        <f t="shared" si="831"/>
        <v>27.648046875000006</v>
      </c>
      <c r="AT305" s="882">
        <f t="shared" si="831"/>
        <v>33.630214843749989</v>
      </c>
      <c r="AU305" s="882">
        <f t="shared" si="831"/>
        <v>34.760575396825409</v>
      </c>
      <c r="AV305" s="883">
        <f t="shared" si="831"/>
        <v>35.233521825396821</v>
      </c>
      <c r="AW305" s="403">
        <f t="shared" si="831"/>
        <v>32.818089735243056</v>
      </c>
      <c r="AX305" s="881">
        <f t="shared" si="831"/>
        <v>36.453183593749984</v>
      </c>
      <c r="AY305" s="882">
        <f t="shared" si="831"/>
        <v>37.466666666666654</v>
      </c>
      <c r="AZ305" s="882">
        <f t="shared" si="831"/>
        <v>33.733333333333327</v>
      </c>
      <c r="BA305" s="883">
        <f t="shared" si="831"/>
        <v>37.766666666666666</v>
      </c>
      <c r="BB305" s="403">
        <f t="shared" si="831"/>
        <v>36.354962565104159</v>
      </c>
      <c r="BC305" s="881">
        <f t="shared" si="831"/>
        <v>52.984877086683944</v>
      </c>
      <c r="BD305" s="882">
        <f t="shared" si="831"/>
        <v>34.892480032694301</v>
      </c>
      <c r="BE305" s="882">
        <f t="shared" si="831"/>
        <v>31.661694844481875</v>
      </c>
      <c r="BF305" s="883">
        <f t="shared" si="831"/>
        <v>28.460948036139868</v>
      </c>
      <c r="BG305" s="403">
        <f t="shared" si="831"/>
        <v>37</v>
      </c>
      <c r="BH305" s="881">
        <f t="shared" si="831"/>
        <v>52.579137036825585</v>
      </c>
      <c r="BI305" s="882">
        <f t="shared" si="831"/>
        <v>34.625285365714404</v>
      </c>
      <c r="BJ305" s="882">
        <f t="shared" si="831"/>
        <v>31.41924042444456</v>
      </c>
      <c r="BK305" s="883">
        <f t="shared" si="831"/>
        <v>28.243003839415444</v>
      </c>
      <c r="BL305" s="403">
        <f t="shared" si="831"/>
        <v>36.716666666599998</v>
      </c>
      <c r="BM305" s="881">
        <f t="shared" si="831"/>
        <v>37.120146633691817</v>
      </c>
      <c r="BN305" s="882">
        <f t="shared" si="831"/>
        <v>37.120146633691817</v>
      </c>
      <c r="BO305" s="882">
        <f t="shared" si="831"/>
        <v>37.120146633691817</v>
      </c>
      <c r="BP305" s="883">
        <f t="shared" si="831"/>
        <v>37.120146633691817</v>
      </c>
      <c r="BQ305" s="403">
        <f t="shared" si="831"/>
        <v>37.120146633691817</v>
      </c>
      <c r="BR305" s="403"/>
      <c r="BS305" s="1503"/>
      <c r="BT305" s="1503"/>
      <c r="BU305" s="1503"/>
      <c r="BV305" s="1503"/>
      <c r="BW305" s="1493"/>
      <c r="BX305"/>
      <c r="BY305"/>
      <c r="BZ305"/>
      <c r="CA305"/>
      <c r="CB305"/>
      <c r="CC305"/>
    </row>
    <row r="306" spans="1:81" s="19" customFormat="1">
      <c r="A306" s="108"/>
      <c r="B306" s="5"/>
      <c r="C306" s="1127" t="s">
        <v>552</v>
      </c>
      <c r="D306" s="5"/>
      <c r="E306" s="146"/>
      <c r="F306" s="7"/>
      <c r="G306" s="7"/>
      <c r="H306" s="147"/>
      <c r="I306" s="941">
        <v>11000</v>
      </c>
      <c r="J306" s="146"/>
      <c r="K306" s="7"/>
      <c r="L306" s="7"/>
      <c r="M306" s="147"/>
      <c r="N306" s="5"/>
      <c r="O306" s="146"/>
      <c r="P306" s="7"/>
      <c r="Q306" s="7"/>
      <c r="R306" s="147"/>
      <c r="S306" s="5"/>
      <c r="T306" s="881"/>
      <c r="U306" s="882"/>
      <c r="V306" s="882"/>
      <c r="W306" s="883"/>
      <c r="X306" s="403"/>
      <c r="Y306" s="881">
        <f>$I306/1000*(Y$65)</f>
        <v>38.270100000000006</v>
      </c>
      <c r="Z306" s="882">
        <f t="shared" ref="Z306:BP306" si="832">$I306/1000*(Z$65)</f>
        <v>44.267609375000013</v>
      </c>
      <c r="AA306" s="882">
        <f t="shared" si="832"/>
        <v>39.136109375000004</v>
      </c>
      <c r="AB306" s="883">
        <f t="shared" si="832"/>
        <v>42.200640624999998</v>
      </c>
      <c r="AC306" s="403">
        <f>AVERAGE(Y306:AB306)</f>
        <v>40.968614843750004</v>
      </c>
      <c r="AD306" s="881">
        <f t="shared" si="832"/>
        <v>56.939245901639346</v>
      </c>
      <c r="AE306" s="882">
        <f t="shared" si="832"/>
        <v>50.676656249999994</v>
      </c>
      <c r="AF306" s="882">
        <f t="shared" si="832"/>
        <v>43.659687500000004</v>
      </c>
      <c r="AG306" s="883">
        <f t="shared" si="832"/>
        <v>41.534796874999984</v>
      </c>
      <c r="AH306" s="403">
        <f>AVERAGE(AD306:AG306)</f>
        <v>48.20259663165983</v>
      </c>
      <c r="AI306" s="881">
        <f t="shared" si="832"/>
        <v>31.82583870967742</v>
      </c>
      <c r="AJ306" s="882">
        <f t="shared" si="832"/>
        <v>30.148031746031734</v>
      </c>
      <c r="AK306" s="882">
        <f t="shared" si="832"/>
        <v>30.408640624999997</v>
      </c>
      <c r="AL306" s="883">
        <f t="shared" si="832"/>
        <v>23.464222222222226</v>
      </c>
      <c r="AM306" s="403">
        <f>AVERAGE(AI306:AL306)</f>
        <v>28.961683325732842</v>
      </c>
      <c r="AN306" s="881">
        <f t="shared" si="832"/>
        <v>23.495828124999999</v>
      </c>
      <c r="AO306" s="882">
        <f t="shared" si="832"/>
        <v>23.495828124999999</v>
      </c>
      <c r="AP306" s="882">
        <f t="shared" si="832"/>
        <v>33.343661290322579</v>
      </c>
      <c r="AQ306" s="883">
        <f t="shared" si="832"/>
        <v>33.343661290322579</v>
      </c>
      <c r="AR306" s="403">
        <f>AVERAGE(AN306:AQ306)</f>
        <v>28.419744707661287</v>
      </c>
      <c r="AS306" s="881">
        <f t="shared" si="832"/>
        <v>33.108225806451607</v>
      </c>
      <c r="AT306" s="882">
        <f t="shared" si="832"/>
        <v>33.837890625</v>
      </c>
      <c r="AU306" s="882">
        <f t="shared" si="832"/>
        <v>32.494174603174599</v>
      </c>
      <c r="AV306" s="883">
        <f t="shared" si="832"/>
        <v>31.78964516129032</v>
      </c>
      <c r="AW306" s="403">
        <f>AVERAGE(AS306:AV306)</f>
        <v>32.807484048979127</v>
      </c>
      <c r="AX306" s="881">
        <f t="shared" si="832"/>
        <v>34.218836065573775</v>
      </c>
      <c r="AY306" s="882">
        <f t="shared" si="832"/>
        <v>29.476333333333329</v>
      </c>
      <c r="AZ306" s="882">
        <f t="shared" si="832"/>
        <v>30.965</v>
      </c>
      <c r="BA306" s="883">
        <f t="shared" si="832"/>
        <v>31.918333333333337</v>
      </c>
      <c r="BB306" s="403">
        <f>AVERAGE(AX306:BA306)</f>
        <v>31.644625683060109</v>
      </c>
      <c r="BC306" s="881">
        <f t="shared" si="832"/>
        <v>31.92963800730541</v>
      </c>
      <c r="BD306" s="882">
        <f t="shared" si="832"/>
        <v>27.985968557792603</v>
      </c>
      <c r="BE306" s="882">
        <f t="shared" si="832"/>
        <v>28.355687568684438</v>
      </c>
      <c r="BF306" s="883">
        <f t="shared" si="832"/>
        <v>33.146705866217545</v>
      </c>
      <c r="BG306" s="403">
        <f>AVERAGE(BC306:BF306)</f>
        <v>30.354499999999998</v>
      </c>
      <c r="BH306" s="881">
        <f t="shared" si="832"/>
        <v>32.406933737619362</v>
      </c>
      <c r="BI306" s="882">
        <f t="shared" si="832"/>
        <v>28.404312896625342</v>
      </c>
      <c r="BJ306" s="882">
        <f t="shared" si="832"/>
        <v>28.779558600468537</v>
      </c>
      <c r="BK306" s="883">
        <f t="shared" si="832"/>
        <v>33.642194765286746</v>
      </c>
      <c r="BL306" s="403">
        <f>AVERAGE(BH306:BK306)</f>
        <v>30.808249999999997</v>
      </c>
      <c r="BM306" s="881">
        <f t="shared" si="832"/>
        <v>30.539437499999998</v>
      </c>
      <c r="BN306" s="882">
        <f t="shared" si="832"/>
        <v>30.539437499999998</v>
      </c>
      <c r="BO306" s="882">
        <f t="shared" si="832"/>
        <v>30.539437499999998</v>
      </c>
      <c r="BP306" s="883">
        <f t="shared" si="832"/>
        <v>30.539437499999998</v>
      </c>
      <c r="BQ306" s="403">
        <f>AVERAGE(BM306:BP306)</f>
        <v>30.539437499999998</v>
      </c>
      <c r="BR306" s="403"/>
      <c r="BS306" s="1503"/>
      <c r="BT306" s="1503"/>
      <c r="BU306" s="1503"/>
      <c r="BV306" s="1503"/>
      <c r="BW306" s="1493"/>
      <c r="BX306"/>
      <c r="BY306"/>
      <c r="BZ306"/>
      <c r="CA306"/>
      <c r="CB306"/>
      <c r="CC306"/>
    </row>
    <row r="307" spans="1:81" s="19" customFormat="1">
      <c r="A307" s="108"/>
      <c r="B307" s="5"/>
      <c r="C307" s="1127"/>
      <c r="D307" s="5"/>
      <c r="E307" s="146"/>
      <c r="F307" s="7"/>
      <c r="G307" s="7"/>
      <c r="H307" s="147"/>
      <c r="I307" s="518"/>
      <c r="J307" s="146"/>
      <c r="K307" s="7"/>
      <c r="L307" s="7"/>
      <c r="M307" s="147"/>
      <c r="N307" s="5"/>
      <c r="O307" s="146"/>
      <c r="P307" s="7"/>
      <c r="Q307" s="7"/>
      <c r="R307" s="147"/>
      <c r="S307" s="5"/>
      <c r="T307" s="881"/>
      <c r="U307" s="882"/>
      <c r="V307" s="882"/>
      <c r="W307" s="883"/>
      <c r="X307" s="403"/>
      <c r="Y307" s="881"/>
      <c r="Z307" s="882"/>
      <c r="AA307" s="882"/>
      <c r="AB307" s="883"/>
      <c r="AC307" s="403"/>
      <c r="AD307" s="881"/>
      <c r="AE307" s="882"/>
      <c r="AF307" s="882"/>
      <c r="AG307" s="883"/>
      <c r="AH307" s="403"/>
      <c r="AI307" s="881"/>
      <c r="AJ307" s="882"/>
      <c r="AK307" s="882"/>
      <c r="AL307" s="883"/>
      <c r="AM307" s="403"/>
      <c r="AN307" s="881"/>
      <c r="AO307" s="882"/>
      <c r="AP307" s="882"/>
      <c r="AQ307" s="883"/>
      <c r="AR307" s="403"/>
      <c r="AS307" s="881"/>
      <c r="AT307" s="882"/>
      <c r="AU307" s="882"/>
      <c r="AV307" s="883"/>
      <c r="AW307" s="403"/>
      <c r="AX307" s="881"/>
      <c r="AY307" s="882"/>
      <c r="AZ307" s="882"/>
      <c r="BA307" s="883"/>
      <c r="BB307" s="403"/>
      <c r="BC307" s="881"/>
      <c r="BD307" s="882"/>
      <c r="BE307" s="882"/>
      <c r="BF307" s="883"/>
      <c r="BG307" s="403"/>
      <c r="BH307" s="881"/>
      <c r="BI307" s="882"/>
      <c r="BJ307" s="882"/>
      <c r="BK307" s="883"/>
      <c r="BL307" s="403"/>
      <c r="BM307" s="881"/>
      <c r="BN307" s="882"/>
      <c r="BO307" s="882"/>
      <c r="BP307" s="883"/>
      <c r="BQ307" s="403"/>
      <c r="BR307" s="403"/>
      <c r="BS307" s="1503"/>
      <c r="BT307" s="1503"/>
      <c r="BU307" s="1503"/>
      <c r="BV307" s="1503"/>
      <c r="BW307" s="1493"/>
      <c r="BX307"/>
      <c r="BY307"/>
      <c r="BZ307"/>
      <c r="CA307"/>
      <c r="CB307"/>
      <c r="CC307"/>
    </row>
    <row r="308" spans="1:81" s="19" customFormat="1">
      <c r="A308" s="108"/>
      <c r="B308" s="36"/>
      <c r="C308" s="1128" t="s">
        <v>553</v>
      </c>
      <c r="D308" s="36"/>
      <c r="E308" s="180"/>
      <c r="F308" s="181"/>
      <c r="G308" s="181"/>
      <c r="H308" s="182"/>
      <c r="I308" s="926">
        <v>544</v>
      </c>
      <c r="J308" s="180"/>
      <c r="K308" s="181"/>
      <c r="L308" s="181"/>
      <c r="M308" s="182"/>
      <c r="N308" s="110"/>
      <c r="O308" s="180"/>
      <c r="P308" s="181"/>
      <c r="Q308" s="181"/>
      <c r="R308" s="182"/>
      <c r="S308" s="110"/>
      <c r="T308" s="180"/>
      <c r="U308" s="181"/>
      <c r="V308" s="181"/>
      <c r="W308" s="182"/>
      <c r="X308" s="110"/>
      <c r="Y308" s="180">
        <f>+I308</f>
        <v>544</v>
      </c>
      <c r="Z308" s="181">
        <f t="shared" ref="Z308:AR308" si="833">Y308</f>
        <v>544</v>
      </c>
      <c r="AA308" s="181">
        <f t="shared" si="833"/>
        <v>544</v>
      </c>
      <c r="AB308" s="182">
        <f>AA308</f>
        <v>544</v>
      </c>
      <c r="AC308" s="110">
        <f t="shared" si="833"/>
        <v>544</v>
      </c>
      <c r="AD308" s="180">
        <f t="shared" si="833"/>
        <v>544</v>
      </c>
      <c r="AE308" s="181">
        <f t="shared" si="833"/>
        <v>544</v>
      </c>
      <c r="AF308" s="181">
        <f t="shared" si="833"/>
        <v>544</v>
      </c>
      <c r="AG308" s="182">
        <f>AF308</f>
        <v>544</v>
      </c>
      <c r="AH308" s="110">
        <f t="shared" si="833"/>
        <v>544</v>
      </c>
      <c r="AI308" s="180">
        <f t="shared" si="833"/>
        <v>544</v>
      </c>
      <c r="AJ308" s="181">
        <f t="shared" si="833"/>
        <v>544</v>
      </c>
      <c r="AK308" s="181">
        <f t="shared" si="833"/>
        <v>544</v>
      </c>
      <c r="AL308" s="182">
        <f>AK308</f>
        <v>544</v>
      </c>
      <c r="AM308" s="110">
        <f t="shared" si="833"/>
        <v>544</v>
      </c>
      <c r="AN308" s="180">
        <f t="shared" si="833"/>
        <v>544</v>
      </c>
      <c r="AO308" s="181">
        <f>AN308</f>
        <v>544</v>
      </c>
      <c r="AP308" s="181">
        <f t="shared" si="833"/>
        <v>544</v>
      </c>
      <c r="AQ308" s="182">
        <f t="shared" si="833"/>
        <v>544</v>
      </c>
      <c r="AR308" s="110">
        <f t="shared" si="833"/>
        <v>544</v>
      </c>
      <c r="AS308" s="180">
        <f t="shared" ref="AS308:BB308" si="834">AR308</f>
        <v>544</v>
      </c>
      <c r="AT308" s="181">
        <f>AS308</f>
        <v>544</v>
      </c>
      <c r="AU308" s="181">
        <f t="shared" ref="AU308" si="835">AT308</f>
        <v>544</v>
      </c>
      <c r="AV308" s="182">
        <f t="shared" si="834"/>
        <v>544</v>
      </c>
      <c r="AW308" s="110">
        <f t="shared" si="834"/>
        <v>544</v>
      </c>
      <c r="AX308" s="180">
        <f t="shared" si="834"/>
        <v>544</v>
      </c>
      <c r="AY308" s="181">
        <f t="shared" si="834"/>
        <v>544</v>
      </c>
      <c r="AZ308" s="181">
        <f t="shared" si="834"/>
        <v>544</v>
      </c>
      <c r="BA308" s="182">
        <f t="shared" si="834"/>
        <v>544</v>
      </c>
      <c r="BB308" s="110">
        <f t="shared" si="834"/>
        <v>544</v>
      </c>
      <c r="BC308" s="180">
        <f t="shared" ref="BC308" si="836">BB308</f>
        <v>544</v>
      </c>
      <c r="BD308" s="181">
        <f t="shared" ref="BD308" si="837">BC308</f>
        <v>544</v>
      </c>
      <c r="BE308" s="181">
        <f t="shared" ref="BE308" si="838">BD308</f>
        <v>544</v>
      </c>
      <c r="BF308" s="182">
        <f t="shared" ref="BF308" si="839">BE308</f>
        <v>544</v>
      </c>
      <c r="BG308" s="110">
        <f t="shared" ref="BG308" si="840">BF308</f>
        <v>544</v>
      </c>
      <c r="BH308" s="180">
        <f t="shared" ref="BH308" si="841">BG308</f>
        <v>544</v>
      </c>
      <c r="BI308" s="181">
        <f t="shared" ref="BI308" si="842">BH308</f>
        <v>544</v>
      </c>
      <c r="BJ308" s="181">
        <f t="shared" ref="BJ308" si="843">BI308</f>
        <v>544</v>
      </c>
      <c r="BK308" s="182">
        <f t="shared" ref="BK308" si="844">BJ308</f>
        <v>544</v>
      </c>
      <c r="BL308" s="110">
        <f t="shared" ref="BL308" si="845">BK308</f>
        <v>544</v>
      </c>
      <c r="BM308" s="180">
        <f t="shared" ref="BM308" si="846">BL308</f>
        <v>544</v>
      </c>
      <c r="BN308" s="181">
        <f t="shared" ref="BN308" si="847">BM308</f>
        <v>544</v>
      </c>
      <c r="BO308" s="181">
        <f t="shared" ref="BO308" si="848">BN308</f>
        <v>544</v>
      </c>
      <c r="BP308" s="182">
        <f t="shared" ref="BP308" si="849">BO308</f>
        <v>544</v>
      </c>
      <c r="BQ308" s="110">
        <f t="shared" ref="BQ308" si="850">BP308</f>
        <v>544</v>
      </c>
      <c r="BR308" s="110"/>
      <c r="BS308" s="1503"/>
      <c r="BT308" s="1503"/>
      <c r="BU308" s="1503"/>
      <c r="BV308" s="1503"/>
      <c r="BW308" s="1493"/>
      <c r="BX308"/>
      <c r="BY308"/>
      <c r="BZ308"/>
      <c r="CA308"/>
      <c r="CB308"/>
      <c r="CC308"/>
    </row>
    <row r="309" spans="1:81" s="19" customFormat="1">
      <c r="A309" s="108"/>
      <c r="B309" s="5"/>
      <c r="C309" s="1125"/>
      <c r="D309" s="5"/>
      <c r="E309" s="146"/>
      <c r="F309" s="7"/>
      <c r="G309" s="7"/>
      <c r="H309" s="147"/>
      <c r="I309" s="31"/>
      <c r="J309" s="146"/>
      <c r="K309" s="7"/>
      <c r="L309" s="7"/>
      <c r="M309" s="147"/>
      <c r="N309" s="5"/>
      <c r="O309" s="146"/>
      <c r="P309" s="7"/>
      <c r="Q309" s="7"/>
      <c r="R309" s="147"/>
      <c r="S309" s="5"/>
      <c r="T309" s="146"/>
      <c r="U309" s="7"/>
      <c r="V309" s="7"/>
      <c r="W309" s="147"/>
      <c r="X309" s="5"/>
      <c r="Y309" s="146"/>
      <c r="Z309" s="7"/>
      <c r="AA309" s="7"/>
      <c r="AB309" s="147"/>
      <c r="AC309" s="5"/>
      <c r="AD309" s="146"/>
      <c r="AE309" s="7"/>
      <c r="AF309" s="7"/>
      <c r="AG309" s="147"/>
      <c r="AH309" s="5"/>
      <c r="AI309" s="146"/>
      <c r="AJ309" s="7"/>
      <c r="AK309" s="7"/>
      <c r="AL309" s="147"/>
      <c r="AM309" s="5"/>
      <c r="AN309" s="146"/>
      <c r="AO309" s="7"/>
      <c r="AP309" s="7"/>
      <c r="AQ309" s="147"/>
      <c r="AR309" s="5"/>
      <c r="AS309" s="146"/>
      <c r="AT309" s="7"/>
      <c r="AU309" s="7"/>
      <c r="AV309" s="147"/>
      <c r="AW309" s="5"/>
      <c r="AX309" s="146"/>
      <c r="AY309" s="7"/>
      <c r="AZ309" s="7"/>
      <c r="BA309" s="147"/>
      <c r="BB309" s="5"/>
      <c r="BC309" s="146"/>
      <c r="BD309" s="7"/>
      <c r="BE309" s="7"/>
      <c r="BF309" s="147"/>
      <c r="BG309" s="5"/>
      <c r="BH309" s="146"/>
      <c r="BI309" s="7"/>
      <c r="BJ309" s="7"/>
      <c r="BK309" s="147"/>
      <c r="BL309" s="5"/>
      <c r="BM309" s="146"/>
      <c r="BN309" s="7"/>
      <c r="BO309" s="7"/>
      <c r="BP309" s="147"/>
      <c r="BQ309" s="5"/>
      <c r="BR309" s="5"/>
      <c r="BS309" s="1503"/>
      <c r="BT309" s="1503"/>
      <c r="BU309" s="1503"/>
      <c r="BV309" s="1503"/>
      <c r="BW309" s="1493"/>
      <c r="BX309"/>
      <c r="BY309"/>
      <c r="BZ309"/>
      <c r="CA309"/>
      <c r="CB309"/>
      <c r="CC309"/>
    </row>
    <row r="310" spans="1:81" s="19" customFormat="1">
      <c r="A310" s="108"/>
      <c r="B310" s="5"/>
      <c r="C310" s="1127" t="s">
        <v>569</v>
      </c>
      <c r="D310" s="5"/>
      <c r="E310" s="146"/>
      <c r="F310" s="7"/>
      <c r="G310" s="7"/>
      <c r="H310" s="147"/>
      <c r="I310" s="927">
        <v>0.2</v>
      </c>
      <c r="J310" s="146"/>
      <c r="K310" s="7"/>
      <c r="L310" s="7"/>
      <c r="M310" s="147"/>
      <c r="N310" s="5"/>
      <c r="O310" s="146"/>
      <c r="P310" s="7"/>
      <c r="Q310" s="7"/>
      <c r="R310" s="147"/>
      <c r="S310" s="5"/>
      <c r="T310" s="920"/>
      <c r="U310" s="921"/>
      <c r="V310" s="921"/>
      <c r="W310" s="922"/>
      <c r="X310" s="106"/>
      <c r="Y310" s="920">
        <f>IF(Y305&gt;Y306,$I310,0%)</f>
        <v>0.2</v>
      </c>
      <c r="Z310" s="921">
        <f>IF(Z305&gt;Z306,$I310,0%)</f>
        <v>0</v>
      </c>
      <c r="AA310" s="921">
        <f>IF(AA305&gt;AA306,$I310,0%)</f>
        <v>0.2</v>
      </c>
      <c r="AB310" s="922">
        <f>IF(AB305&gt;AB306,$I310,0%)</f>
        <v>0.2</v>
      </c>
      <c r="AC310" s="106">
        <f>AVERAGE(Y310:AB310)</f>
        <v>0.15000000000000002</v>
      </c>
      <c r="AD310" s="920">
        <f>IF(AD305&gt;AD306,$I310,0%)</f>
        <v>0.2</v>
      </c>
      <c r="AE310" s="921">
        <f>IF(AE305&gt;AE306,$I310,0%)</f>
        <v>0</v>
      </c>
      <c r="AF310" s="921">
        <f>IF(AF305&gt;AF306,$I310,0%)</f>
        <v>0</v>
      </c>
      <c r="AG310" s="922">
        <f>IF(AG305&gt;AG306,$I310,0%)</f>
        <v>0</v>
      </c>
      <c r="AH310" s="106">
        <f>AVERAGE(AD310:AG310)</f>
        <v>0.05</v>
      </c>
      <c r="AI310" s="920">
        <f>IF(AI305&gt;AI306,$I310,0%)</f>
        <v>0.2</v>
      </c>
      <c r="AJ310" s="921">
        <f>IF(AJ305&gt;AJ306,$I310,0%)</f>
        <v>0.2</v>
      </c>
      <c r="AK310" s="921">
        <f>IF(AK305&gt;AK306,$I310,0%)</f>
        <v>0.2</v>
      </c>
      <c r="AL310" s="922">
        <f>IF(AL305&gt;AL306,$I310,0%)</f>
        <v>0.2</v>
      </c>
      <c r="AM310" s="106">
        <f>AVERAGE(AI310:AL310)</f>
        <v>0.2</v>
      </c>
      <c r="AN310" s="920">
        <f>IF(AN305&gt;AN306,$I310,0%)</f>
        <v>0.2</v>
      </c>
      <c r="AO310" s="921">
        <f>IF(AO305&gt;AO306,$I310,0%)</f>
        <v>0.2</v>
      </c>
      <c r="AP310" s="921">
        <f>IF(AP305&gt;AP306,$I310,0%)</f>
        <v>0</v>
      </c>
      <c r="AQ310" s="922">
        <f>IF(AQ305&gt;AQ306,$I310,0%)</f>
        <v>0</v>
      </c>
      <c r="AR310" s="106">
        <f>AVERAGE(AN310:AQ310)</f>
        <v>0.1</v>
      </c>
      <c r="AS310" s="920">
        <f>IF(AS305&gt;AS306,$I310,0%)</f>
        <v>0</v>
      </c>
      <c r="AT310" s="921">
        <f>IF(AT305&gt;AT306,$I310,0%)</f>
        <v>0</v>
      </c>
      <c r="AU310" s="921">
        <f t="shared" ref="AU310" si="851">IF(AU305&gt;AU306,$I310,0%)</f>
        <v>0.2</v>
      </c>
      <c r="AV310" s="922">
        <f>IF(AV305&gt;AV306,$I310,0%)</f>
        <v>0.2</v>
      </c>
      <c r="AW310" s="106">
        <f>AVERAGE(AS310:AV310)</f>
        <v>0.1</v>
      </c>
      <c r="AX310" s="920">
        <f>IF(AX305&gt;AX306,$I310,0%)</f>
        <v>0.2</v>
      </c>
      <c r="AY310" s="921">
        <f>IF(AY305&gt;AY306,$I310,0%)</f>
        <v>0.2</v>
      </c>
      <c r="AZ310" s="921">
        <f>IF(AZ305&gt;AZ306,$I310,0%)</f>
        <v>0.2</v>
      </c>
      <c r="BA310" s="922">
        <f>IF(BA305&gt;BA306,$I310,0%)</f>
        <v>0.2</v>
      </c>
      <c r="BB310" s="106">
        <f>AVERAGE(AX310:BA310)</f>
        <v>0.2</v>
      </c>
      <c r="BC310" s="920">
        <f>IF(BC305&gt;BC306,$I310,0%)</f>
        <v>0.2</v>
      </c>
      <c r="BD310" s="921">
        <f>IF(BD305&gt;BD306,$I310,0%)</f>
        <v>0.2</v>
      </c>
      <c r="BE310" s="921">
        <f>IF(BE305&gt;BE306,$I310,0%)</f>
        <v>0.2</v>
      </c>
      <c r="BF310" s="922">
        <f>IF(BF305&gt;BF306,$I310,0%)</f>
        <v>0</v>
      </c>
      <c r="BG310" s="106">
        <f>AVERAGE(BC310:BF310)</f>
        <v>0.15000000000000002</v>
      </c>
      <c r="BH310" s="920">
        <f>IF(BH305&gt;BH306,$I310,0%)</f>
        <v>0.2</v>
      </c>
      <c r="BI310" s="921">
        <f>IF(BI305&gt;BI306,$I310,0%)</f>
        <v>0.2</v>
      </c>
      <c r="BJ310" s="921">
        <f>IF(BJ305&gt;BJ306,$I310,0%)</f>
        <v>0.2</v>
      </c>
      <c r="BK310" s="922">
        <f>IF(BK305&gt;BK306,$I310,0%)</f>
        <v>0</v>
      </c>
      <c r="BL310" s="106">
        <f>AVERAGE(BH310:BK310)</f>
        <v>0.15000000000000002</v>
      </c>
      <c r="BM310" s="920">
        <f>IF(BM305&gt;BM306,$I310,0%)</f>
        <v>0.2</v>
      </c>
      <c r="BN310" s="921">
        <f>IF(BN305&gt;BN306,$I310,0%)</f>
        <v>0.2</v>
      </c>
      <c r="BO310" s="921">
        <f>IF(BO305&gt;BO306,$I310,0%)</f>
        <v>0.2</v>
      </c>
      <c r="BP310" s="922">
        <f>IF(BP305&gt;BP306,$I310,0%)</f>
        <v>0.2</v>
      </c>
      <c r="BQ310" s="106">
        <f>AVERAGE(BM310:BP310)</f>
        <v>0.2</v>
      </c>
      <c r="BR310" s="106"/>
      <c r="BS310" s="1503"/>
      <c r="BT310" s="1503"/>
      <c r="BU310" s="1503"/>
      <c r="BV310" s="1503"/>
      <c r="BW310" s="1493"/>
      <c r="BX310"/>
      <c r="BY310"/>
      <c r="BZ310"/>
      <c r="CA310"/>
      <c r="CB310"/>
      <c r="CC310"/>
    </row>
    <row r="311" spans="1:81" s="19" customFormat="1">
      <c r="A311" s="108"/>
      <c r="B311" s="36"/>
      <c r="C311" s="1128" t="s">
        <v>549</v>
      </c>
      <c r="D311" s="36"/>
      <c r="E311" s="122"/>
      <c r="F311" s="123"/>
      <c r="G311" s="123"/>
      <c r="H311" s="915"/>
      <c r="I311" s="36"/>
      <c r="J311" s="122"/>
      <c r="K311" s="123"/>
      <c r="L311" s="123"/>
      <c r="M311" s="915"/>
      <c r="N311" s="36"/>
      <c r="O311" s="122"/>
      <c r="P311" s="123"/>
      <c r="Q311" s="123"/>
      <c r="R311" s="915"/>
      <c r="S311" s="36"/>
      <c r="T311" s="200"/>
      <c r="U311" s="201"/>
      <c r="V311" s="201"/>
      <c r="W311" s="202"/>
      <c r="X311" s="86"/>
      <c r="Y311" s="200">
        <f>(Y308*Y310*(8760/1000))/4</f>
        <v>238.27200000000002</v>
      </c>
      <c r="Z311" s="201">
        <f>(Z308*Z310*(8760/1000))/4</f>
        <v>0</v>
      </c>
      <c r="AA311" s="201">
        <f>(AA308*AA310*(8760/1000))/4</f>
        <v>238.27200000000002</v>
      </c>
      <c r="AB311" s="202">
        <f>(AB308*AB310*(8760/1000))/4</f>
        <v>238.27200000000002</v>
      </c>
      <c r="AC311" s="86">
        <f>SUM(Y311:AB311)</f>
        <v>714.81600000000003</v>
      </c>
      <c r="AD311" s="200">
        <f>(AD308*AD310*(8760/1000))/4</f>
        <v>238.27200000000002</v>
      </c>
      <c r="AE311" s="201">
        <f>(AE308*AE310*(8760/1000))/4</f>
        <v>0</v>
      </c>
      <c r="AF311" s="201">
        <f>(AF308*AF310*(8760/1000))/4</f>
        <v>0</v>
      </c>
      <c r="AG311" s="202">
        <f>(AG308*AG310*(8760/1000))/4</f>
        <v>0</v>
      </c>
      <c r="AH311" s="86">
        <f>SUM(AD311:AG311)</f>
        <v>238.27200000000002</v>
      </c>
      <c r="AI311" s="200">
        <f>(AI308*AI310*(8760/1000))/4</f>
        <v>238.27200000000002</v>
      </c>
      <c r="AJ311" s="201">
        <f>(AJ308*AJ310*(8760/1000))/4</f>
        <v>238.27200000000002</v>
      </c>
      <c r="AK311" s="201">
        <f>(AK308*AK310*(8760/1000))/4</f>
        <v>238.27200000000002</v>
      </c>
      <c r="AL311" s="202">
        <f>(AL308*AL310*(8760/1000))/4</f>
        <v>238.27200000000002</v>
      </c>
      <c r="AM311" s="86">
        <f>SUM(AI311:AL311)</f>
        <v>953.08800000000008</v>
      </c>
      <c r="AN311" s="200">
        <f>(AN308*AN310*(8760/1000))/4</f>
        <v>238.27200000000002</v>
      </c>
      <c r="AO311" s="201">
        <f>(AO308*AO310*(8760/1000))/4</f>
        <v>238.27200000000002</v>
      </c>
      <c r="AP311" s="201">
        <f>(AP308*AP310*(8760/1000))/4</f>
        <v>0</v>
      </c>
      <c r="AQ311" s="202">
        <f>(AQ308*AQ310*(8760/1000))/4</f>
        <v>0</v>
      </c>
      <c r="AR311" s="86">
        <f>SUM(AN311:AQ311)</f>
        <v>476.54400000000004</v>
      </c>
      <c r="AS311" s="200">
        <f>(AS308*AS310*(8760/1000))/4</f>
        <v>0</v>
      </c>
      <c r="AT311" s="201">
        <f>(AT308*AT310*(8760/1000))/4</f>
        <v>0</v>
      </c>
      <c r="AU311" s="201">
        <f t="shared" ref="AU311" si="852">(AU308*AU310*(8760/1000))/4</f>
        <v>238.27200000000002</v>
      </c>
      <c r="AV311" s="202">
        <f>(AV308*AV310*(8760/1000))/4</f>
        <v>238.27200000000002</v>
      </c>
      <c r="AW311" s="86">
        <f>SUM(AS311:AV311)</f>
        <v>476.54400000000004</v>
      </c>
      <c r="AX311" s="200">
        <f>(AX308*AX310*(8760/1000))/4</f>
        <v>238.27200000000002</v>
      </c>
      <c r="AY311" s="201">
        <f>(AY308*AY310*(8760/1000))/4</f>
        <v>238.27200000000002</v>
      </c>
      <c r="AZ311" s="201">
        <f>(AZ308*AZ310*(8760/1000))/4</f>
        <v>238.27200000000002</v>
      </c>
      <c r="BA311" s="202">
        <f>(BA308*BA310*(8760/1000))/4</f>
        <v>238.27200000000002</v>
      </c>
      <c r="BB311" s="86">
        <f>SUM(AX311:BA311)</f>
        <v>953.08800000000008</v>
      </c>
      <c r="BC311" s="200">
        <f>(BC308*BC310*(8760/1000))/4</f>
        <v>238.27200000000002</v>
      </c>
      <c r="BD311" s="201">
        <f>(BD308*BD310*(8760/1000))/4</f>
        <v>238.27200000000002</v>
      </c>
      <c r="BE311" s="201">
        <f>(BE308*BE310*(8760/1000))/4</f>
        <v>238.27200000000002</v>
      </c>
      <c r="BF311" s="202">
        <f>(BF308*BF310*(8760/1000))/4</f>
        <v>0</v>
      </c>
      <c r="BG311" s="86">
        <f>SUM(BC311:BF311)</f>
        <v>714.81600000000003</v>
      </c>
      <c r="BH311" s="200">
        <f>(BH308*BH310*(8760/1000))/4</f>
        <v>238.27200000000002</v>
      </c>
      <c r="BI311" s="201">
        <f>(BI308*BI310*(8760/1000))/4</f>
        <v>238.27200000000002</v>
      </c>
      <c r="BJ311" s="201">
        <f>(BJ308*BJ310*(8760/1000))/4</f>
        <v>238.27200000000002</v>
      </c>
      <c r="BK311" s="202">
        <f>(BK308*BK310*(8760/1000))/4</f>
        <v>0</v>
      </c>
      <c r="BL311" s="86">
        <f>SUM(BH311:BK311)</f>
        <v>714.81600000000003</v>
      </c>
      <c r="BM311" s="200">
        <f>(BM308*BM310*(8760/1000))/4</f>
        <v>238.27200000000002</v>
      </c>
      <c r="BN311" s="201">
        <f>(BN308*BN310*(8760/1000))/4</f>
        <v>238.27200000000002</v>
      </c>
      <c r="BO311" s="201">
        <f>(BO308*BO310*(8760/1000))/4</f>
        <v>238.27200000000002</v>
      </c>
      <c r="BP311" s="202">
        <f>(BP308*BP310*(8760/1000))/4</f>
        <v>238.27200000000002</v>
      </c>
      <c r="BQ311" s="86">
        <f>SUM(BM311:BP311)</f>
        <v>953.08800000000008</v>
      </c>
      <c r="BR311" s="86"/>
      <c r="BS311" s="1503"/>
      <c r="BT311" s="1503"/>
      <c r="BU311" s="1503"/>
      <c r="BV311" s="1503"/>
      <c r="BW311" s="1493"/>
      <c r="BX311"/>
      <c r="BY311"/>
      <c r="BZ311"/>
      <c r="CA311"/>
      <c r="CB311"/>
      <c r="CC311"/>
    </row>
    <row r="312" spans="1:81" s="19" customFormat="1">
      <c r="A312" s="108"/>
      <c r="B312" s="5"/>
      <c r="C312" s="1127"/>
      <c r="D312" s="5"/>
      <c r="E312" s="122"/>
      <c r="F312" s="123"/>
      <c r="G312" s="123"/>
      <c r="H312" s="915"/>
      <c r="I312" s="36"/>
      <c r="J312" s="122"/>
      <c r="K312" s="123"/>
      <c r="L312" s="123"/>
      <c r="M312" s="915"/>
      <c r="N312" s="5"/>
      <c r="O312" s="146"/>
      <c r="P312" s="7"/>
      <c r="Q312" s="7"/>
      <c r="R312" s="147"/>
      <c r="S312" s="5"/>
      <c r="T312" s="146"/>
      <c r="U312" s="7"/>
      <c r="V312" s="7"/>
      <c r="W312" s="147"/>
      <c r="X312" s="5"/>
      <c r="Y312" s="146"/>
      <c r="Z312" s="7"/>
      <c r="AA312" s="7"/>
      <c r="AB312" s="147"/>
      <c r="AC312" s="5"/>
      <c r="AD312" s="146"/>
      <c r="AE312" s="7"/>
      <c r="AF312" s="7"/>
      <c r="AG312" s="147"/>
      <c r="AH312" s="5"/>
      <c r="AI312" s="146"/>
      <c r="AJ312" s="7"/>
      <c r="AK312" s="7"/>
      <c r="AL312" s="147"/>
      <c r="AM312" s="5"/>
      <c r="AN312" s="146"/>
      <c r="AO312" s="7"/>
      <c r="AP312" s="7"/>
      <c r="AQ312" s="147"/>
      <c r="AR312" s="5"/>
      <c r="AS312" s="146"/>
      <c r="AT312" s="7"/>
      <c r="AU312" s="7"/>
      <c r="AV312" s="147"/>
      <c r="AW312" s="5"/>
      <c r="AX312" s="146"/>
      <c r="AY312" s="7"/>
      <c r="AZ312" s="7"/>
      <c r="BA312" s="147"/>
      <c r="BB312" s="5"/>
      <c r="BC312" s="146"/>
      <c r="BD312" s="7"/>
      <c r="BE312" s="7"/>
      <c r="BF312" s="147"/>
      <c r="BG312" s="5"/>
      <c r="BH312" s="146"/>
      <c r="BI312" s="7"/>
      <c r="BJ312" s="7"/>
      <c r="BK312" s="147"/>
      <c r="BL312" s="5"/>
      <c r="BM312" s="146"/>
      <c r="BN312" s="7"/>
      <c r="BO312" s="7"/>
      <c r="BP312" s="147"/>
      <c r="BQ312" s="5"/>
      <c r="BR312" s="5"/>
      <c r="BS312" s="1503"/>
      <c r="BT312" s="1503"/>
      <c r="BU312" s="1503"/>
      <c r="BV312" s="1503"/>
      <c r="BW312" s="1493"/>
      <c r="BX312"/>
      <c r="BY312"/>
      <c r="BZ312"/>
      <c r="CA312"/>
      <c r="CB312"/>
      <c r="CC312"/>
    </row>
    <row r="313" spans="1:81" s="19" customFormat="1">
      <c r="A313" s="108"/>
      <c r="B313" s="5"/>
      <c r="C313" s="1127" t="s">
        <v>570</v>
      </c>
      <c r="D313" s="5"/>
      <c r="E313" s="122"/>
      <c r="F313" s="123"/>
      <c r="G313" s="123"/>
      <c r="H313" s="915"/>
      <c r="I313" s="36"/>
      <c r="J313" s="122"/>
      <c r="K313" s="123"/>
      <c r="L313" s="123"/>
      <c r="M313" s="915"/>
      <c r="N313" s="5"/>
      <c r="O313" s="146"/>
      <c r="P313" s="7"/>
      <c r="Q313" s="7"/>
      <c r="R313" s="147"/>
      <c r="S313" s="5"/>
      <c r="T313" s="885"/>
      <c r="U313" s="886"/>
      <c r="V313" s="886"/>
      <c r="W313" s="887"/>
      <c r="X313" s="832"/>
      <c r="Y313" s="885">
        <f>(Y305/1000*Y311)</f>
        <v>10.870810156190478</v>
      </c>
      <c r="Z313" s="886">
        <f>(Z305/1000*Z311)</f>
        <v>0</v>
      </c>
      <c r="AA313" s="886">
        <f>(AA305/1000*AA311)</f>
        <v>12.851844864375002</v>
      </c>
      <c r="AB313" s="887">
        <f>(AB305/1000*AB311)</f>
        <v>11.014842204374999</v>
      </c>
      <c r="AC313" s="832">
        <f>SUM(Y313:AB313)</f>
        <v>34.737497224940476</v>
      </c>
      <c r="AD313" s="885">
        <f>(AD305/1000*AD311)</f>
        <v>25.225882641904775</v>
      </c>
      <c r="AE313" s="886">
        <f>(AE305/1000*AE311)</f>
        <v>0</v>
      </c>
      <c r="AF313" s="886">
        <f>(AF305/1000*AF311)</f>
        <v>0</v>
      </c>
      <c r="AG313" s="887">
        <f>(AG305/1000*AG311)</f>
        <v>0</v>
      </c>
      <c r="AH313" s="832">
        <f>SUM(AD313:AG313)</f>
        <v>25.225882641904775</v>
      </c>
      <c r="AI313" s="885">
        <f>(AI305/1000*AI311)</f>
        <v>12.666678984761905</v>
      </c>
      <c r="AJ313" s="886">
        <f>(AJ305/1000*AJ311)</f>
        <v>9.1395252206250053</v>
      </c>
      <c r="AK313" s="886">
        <f>(AK305/1000*AK311)</f>
        <v>9.6691464923076929</v>
      </c>
      <c r="AL313" s="887">
        <f>(AL305/1000*AL311)</f>
        <v>8.2463658862500022</v>
      </c>
      <c r="AM313" s="832">
        <f>SUM(AI313:AL313)</f>
        <v>39.721716583944605</v>
      </c>
      <c r="AN313" s="885">
        <f>(AN305/1000*AN311)</f>
        <v>8.5228824037499997</v>
      </c>
      <c r="AO313" s="886">
        <f>(AO305/1000*AO311)</f>
        <v>8.5228824037499997</v>
      </c>
      <c r="AP313" s="886">
        <f>(AP305/1000*AP311)</f>
        <v>0</v>
      </c>
      <c r="AQ313" s="887">
        <f>(AQ305/1000*AQ311)</f>
        <v>0</v>
      </c>
      <c r="AR313" s="832">
        <f>SUM(AN313:AQ313)</f>
        <v>17.045764807499999</v>
      </c>
      <c r="AS313" s="885">
        <f>(AS305/1000*AS311)</f>
        <v>0</v>
      </c>
      <c r="AT313" s="886">
        <f>(AT305/1000*AT311)</f>
        <v>0</v>
      </c>
      <c r="AU313" s="886">
        <f t="shared" ref="AU313" si="853">(AU305/1000*AU311)</f>
        <v>8.2824718209523844</v>
      </c>
      <c r="AV313" s="887">
        <f>(AV305/1000*AV311)</f>
        <v>8.3951617123809523</v>
      </c>
      <c r="AW313" s="832">
        <f>SUM(AS313:AV313)</f>
        <v>16.677633533333335</v>
      </c>
      <c r="AX313" s="885">
        <f>(AX305/1000*AX311)</f>
        <v>8.685772961249997</v>
      </c>
      <c r="AY313" s="886">
        <f>(AY305/1000*AY311)</f>
        <v>8.9272575999999972</v>
      </c>
      <c r="AZ313" s="886">
        <f>(AZ305/1000*AZ311)</f>
        <v>8.0377088000000008</v>
      </c>
      <c r="BA313" s="887">
        <f>(BA305/1000*BA311)</f>
        <v>8.9987391999999993</v>
      </c>
      <c r="BB313" s="832">
        <f>SUM(AX313:BA313)</f>
        <v>34.649478561249992</v>
      </c>
      <c r="BC313" s="885">
        <f>(BC305/1000*BC311)</f>
        <v>12.624812633198358</v>
      </c>
      <c r="BD313" s="886">
        <f>(BD305/1000*BD311)</f>
        <v>8.3139010023501374</v>
      </c>
      <c r="BE313" s="886">
        <f>(BE305/1000*BE311)</f>
        <v>7.5440953539843862</v>
      </c>
      <c r="BF313" s="887">
        <f>(BF305/1000*BF311)</f>
        <v>0</v>
      </c>
      <c r="BG313" s="832">
        <f>SUM(BC313:BF313)</f>
        <v>28.482808989532881</v>
      </c>
      <c r="BH313" s="885">
        <f>(BH305/1000*BH311)</f>
        <v>12.528136140038507</v>
      </c>
      <c r="BI313" s="886">
        <f>(BI305/1000*BI311)</f>
        <v>8.2502359946595032</v>
      </c>
      <c r="BJ313" s="886">
        <f>(BJ305/1000*BJ311)</f>
        <v>7.4863252544132539</v>
      </c>
      <c r="BK313" s="887">
        <f>(BK305/1000*BK311)</f>
        <v>0</v>
      </c>
      <c r="BL313" s="832">
        <f>SUM(BH313:BK313)</f>
        <v>28.264697389111262</v>
      </c>
      <c r="BM313" s="885">
        <f>(BM305/1000*BM311)</f>
        <v>8.8446915787030171</v>
      </c>
      <c r="BN313" s="886">
        <f>(BN305/1000*BN311)</f>
        <v>8.8446915787030171</v>
      </c>
      <c r="BO313" s="886">
        <f>(BO305/1000*BO311)</f>
        <v>8.8446915787030171</v>
      </c>
      <c r="BP313" s="887">
        <f>(BP305/1000*BP311)</f>
        <v>8.8446915787030171</v>
      </c>
      <c r="BQ313" s="832">
        <f>SUM(BM313:BP313)</f>
        <v>35.378766314812069</v>
      </c>
      <c r="BR313" s="832"/>
      <c r="BS313" s="1503"/>
      <c r="BT313" s="1503"/>
      <c r="BU313" s="1503"/>
      <c r="BV313" s="1503"/>
      <c r="BW313" s="1493"/>
      <c r="BX313"/>
      <c r="BY313"/>
      <c r="BZ313"/>
      <c r="CA313"/>
      <c r="CB313"/>
      <c r="CC313"/>
    </row>
    <row r="314" spans="1:81" s="19" customFormat="1">
      <c r="A314" s="108"/>
      <c r="B314" s="5"/>
      <c r="C314" s="1127" t="s">
        <v>633</v>
      </c>
      <c r="D314" s="5"/>
      <c r="E314" s="122"/>
      <c r="F314" s="123"/>
      <c r="G314" s="123"/>
      <c r="H314" s="915"/>
      <c r="I314" s="36"/>
      <c r="J314" s="122"/>
      <c r="K314" s="123"/>
      <c r="L314" s="123"/>
      <c r="M314" s="915"/>
      <c r="N314" s="5"/>
      <c r="O314" s="146"/>
      <c r="P314" s="7"/>
      <c r="Q314" s="7"/>
      <c r="R314" s="147"/>
      <c r="S314" s="5"/>
      <c r="T314" s="885"/>
      <c r="U314" s="886"/>
      <c r="V314" s="886"/>
      <c r="W314" s="887"/>
      <c r="X314" s="832"/>
      <c r="Y314" s="885">
        <f>Y306/1000*Y311</f>
        <v>9.1186932672000029</v>
      </c>
      <c r="Z314" s="886">
        <f>Z306/1000*Z311</f>
        <v>0</v>
      </c>
      <c r="AA314" s="886">
        <f>AA306/1000*AA311</f>
        <v>9.3250390530000029</v>
      </c>
      <c r="AB314" s="887">
        <f>AB306/1000*AB311</f>
        <v>10.055231043000001</v>
      </c>
      <c r="AC314" s="832">
        <f>SUM(Y314:AB314)</f>
        <v>28.498963363200005</v>
      </c>
      <c r="AD314" s="885">
        <f>AD306/1000*AD311</f>
        <v>13.567027999475412</v>
      </c>
      <c r="AE314" s="886">
        <f>AE306/1000*AE311</f>
        <v>0</v>
      </c>
      <c r="AF314" s="886">
        <f>AF306/1000*AF311</f>
        <v>0</v>
      </c>
      <c r="AG314" s="887">
        <f>AG306/1000*AG311</f>
        <v>0</v>
      </c>
      <c r="AH314" s="832">
        <f>SUM(AD314:AG314)</f>
        <v>13.567027999475412</v>
      </c>
      <c r="AI314" s="885">
        <f>AI306/1000*AI311</f>
        <v>7.5832062410322596</v>
      </c>
      <c r="AJ314" s="886">
        <f>AJ306/1000*AJ311</f>
        <v>7.1834318201904743</v>
      </c>
      <c r="AK314" s="886">
        <f>AK306/1000*AK311</f>
        <v>7.2455276189999998</v>
      </c>
      <c r="AL314" s="887">
        <f>AL306/1000*AL311</f>
        <v>5.5908671573333351</v>
      </c>
      <c r="AM314" s="832">
        <f>SUM(AI314:AL314)</f>
        <v>27.603032837556068</v>
      </c>
      <c r="AN314" s="885">
        <f>AN306/1000*AN311</f>
        <v>5.5983979590000006</v>
      </c>
      <c r="AO314" s="886">
        <f>AO306/1000*AO311</f>
        <v>5.5983979590000006</v>
      </c>
      <c r="AP314" s="886">
        <f>AP306/1000*AP311</f>
        <v>0</v>
      </c>
      <c r="AQ314" s="887">
        <f>AQ306/1000*AQ311</f>
        <v>0</v>
      </c>
      <c r="AR314" s="832">
        <f>SUM(AN314:AQ314)</f>
        <v>11.196795918000001</v>
      </c>
      <c r="AS314" s="885">
        <f>AS306/1000*AS311</f>
        <v>0</v>
      </c>
      <c r="AT314" s="886">
        <f>AT306/1000*AT311</f>
        <v>0</v>
      </c>
      <c r="AU314" s="886">
        <f t="shared" ref="AU314" si="854">AU306/1000*AU311</f>
        <v>7.7424519710476192</v>
      </c>
      <c r="AV314" s="887">
        <f>AV306/1000*AV311</f>
        <v>7.5745823318709675</v>
      </c>
      <c r="AW314" s="832">
        <f>SUM(AS314:AV314)</f>
        <v>15.317034302918586</v>
      </c>
      <c r="AX314" s="885">
        <f>AX306/1000*AX311</f>
        <v>8.1533905070163968</v>
      </c>
      <c r="AY314" s="886">
        <f>AY306/1000*AY311</f>
        <v>7.0233848959999996</v>
      </c>
      <c r="AZ314" s="886">
        <f>AZ306/1000*AZ311</f>
        <v>7.3780924800000003</v>
      </c>
      <c r="BA314" s="887">
        <f>BA306/1000*BA311</f>
        <v>7.6052451200000002</v>
      </c>
      <c r="BB314" s="832">
        <f>SUM(AX314:BA314)</f>
        <v>30.160113003016395</v>
      </c>
      <c r="BC314" s="885">
        <f>BC306/1000*BC311</f>
        <v>7.6079387072766753</v>
      </c>
      <c r="BD314" s="886">
        <f>BD306/1000*BD311</f>
        <v>6.6682727002023601</v>
      </c>
      <c r="BE314" s="886">
        <f>BE306/1000*BE311</f>
        <v>6.7563663883655787</v>
      </c>
      <c r="BF314" s="887">
        <f>BF306/1000*BF311</f>
        <v>0</v>
      </c>
      <c r="BG314" s="832">
        <f>SUM(BC314:BF314)</f>
        <v>21.032577795844613</v>
      </c>
      <c r="BH314" s="885">
        <f>BH306/1000*BH311</f>
        <v>7.7216649155300408</v>
      </c>
      <c r="BI314" s="886">
        <f>BI306/1000*BI311</f>
        <v>6.767952442504714</v>
      </c>
      <c r="BJ314" s="886">
        <f>BJ306/1000*BJ311</f>
        <v>6.8573629868508394</v>
      </c>
      <c r="BK314" s="887">
        <f>BK306/1000*BK311</f>
        <v>0</v>
      </c>
      <c r="BL314" s="832">
        <f>SUM(BH314:BK314)</f>
        <v>21.346980344885594</v>
      </c>
      <c r="BM314" s="885">
        <f>BM306/1000*BM311</f>
        <v>7.276692852</v>
      </c>
      <c r="BN314" s="886">
        <f>BN306/1000*BN311</f>
        <v>7.276692852</v>
      </c>
      <c r="BO314" s="886">
        <f>BO306/1000*BO311</f>
        <v>7.276692852</v>
      </c>
      <c r="BP314" s="887">
        <f>BP306/1000*BP311</f>
        <v>7.276692852</v>
      </c>
      <c r="BQ314" s="832">
        <f>SUM(BM314:BP314)</f>
        <v>29.106771408</v>
      </c>
      <c r="BR314" s="832"/>
      <c r="BS314" s="1503"/>
      <c r="BT314" s="1503"/>
      <c r="BU314" s="1503"/>
      <c r="BV314" s="1503"/>
      <c r="BW314" s="1493"/>
      <c r="BX314"/>
      <c r="BY314"/>
      <c r="BZ314"/>
      <c r="CA314"/>
      <c r="CB314"/>
      <c r="CC314"/>
    </row>
    <row r="315" spans="1:81" s="19" customFormat="1">
      <c r="A315" s="108"/>
      <c r="B315" s="36"/>
      <c r="C315" s="1128" t="s">
        <v>547</v>
      </c>
      <c r="D315" s="36"/>
      <c r="E315" s="122"/>
      <c r="F315" s="123"/>
      <c r="G315" s="123"/>
      <c r="H315" s="915"/>
      <c r="I315" s="36"/>
      <c r="J315" s="122"/>
      <c r="K315" s="123"/>
      <c r="L315" s="123"/>
      <c r="M315" s="915"/>
      <c r="N315" s="36"/>
      <c r="O315" s="122"/>
      <c r="P315" s="123"/>
      <c r="Q315" s="123"/>
      <c r="R315" s="915"/>
      <c r="S315" s="36"/>
      <c r="T315" s="180"/>
      <c r="U315" s="181"/>
      <c r="V315" s="181"/>
      <c r="W315" s="182"/>
      <c r="X315" s="110"/>
      <c r="Y315" s="180">
        <f t="shared" ref="Y315:AR315" si="855">Y313-Y314</f>
        <v>1.752116888990475</v>
      </c>
      <c r="Z315" s="181">
        <f t="shared" si="855"/>
        <v>0</v>
      </c>
      <c r="AA315" s="181">
        <f t="shared" si="855"/>
        <v>3.5268058113749987</v>
      </c>
      <c r="AB315" s="182">
        <f t="shared" si="855"/>
        <v>0.95961116137499758</v>
      </c>
      <c r="AC315" s="110">
        <f t="shared" si="855"/>
        <v>6.2385338617404713</v>
      </c>
      <c r="AD315" s="180">
        <f t="shared" si="855"/>
        <v>11.658854642429363</v>
      </c>
      <c r="AE315" s="181">
        <f t="shared" si="855"/>
        <v>0</v>
      </c>
      <c r="AF315" s="181">
        <f t="shared" si="855"/>
        <v>0</v>
      </c>
      <c r="AG315" s="182">
        <f t="shared" si="855"/>
        <v>0</v>
      </c>
      <c r="AH315" s="110">
        <f t="shared" si="855"/>
        <v>11.658854642429363</v>
      </c>
      <c r="AI315" s="180">
        <f t="shared" si="855"/>
        <v>5.0834727437296454</v>
      </c>
      <c r="AJ315" s="181">
        <f t="shared" si="855"/>
        <v>1.9560934004345309</v>
      </c>
      <c r="AK315" s="181">
        <f t="shared" si="855"/>
        <v>2.4236188733076931</v>
      </c>
      <c r="AL315" s="182">
        <f t="shared" si="855"/>
        <v>2.6554987289166672</v>
      </c>
      <c r="AM315" s="110">
        <f t="shared" si="855"/>
        <v>12.118683746388538</v>
      </c>
      <c r="AN315" s="180">
        <f t="shared" ref="AN315" si="856">AN313-AN314</f>
        <v>2.9244844447499991</v>
      </c>
      <c r="AO315" s="181">
        <f t="shared" si="855"/>
        <v>2.9244844447499991</v>
      </c>
      <c r="AP315" s="181">
        <f t="shared" ref="AP315" si="857">AP313-AP314</f>
        <v>0</v>
      </c>
      <c r="AQ315" s="182">
        <f t="shared" si="855"/>
        <v>0</v>
      </c>
      <c r="AR315" s="110">
        <f t="shared" si="855"/>
        <v>5.8489688894999983</v>
      </c>
      <c r="AS315" s="180">
        <f t="shared" ref="AS315:BB315" si="858">AS313-AS314</f>
        <v>0</v>
      </c>
      <c r="AT315" s="181">
        <f t="shared" si="858"/>
        <v>0</v>
      </c>
      <c r="AU315" s="181">
        <f t="shared" ref="AU315" si="859">AU313-AU314</f>
        <v>0.54001984990476526</v>
      </c>
      <c r="AV315" s="182">
        <f t="shared" si="858"/>
        <v>0.8205793805099848</v>
      </c>
      <c r="AW315" s="110">
        <f t="shared" si="858"/>
        <v>1.3605992304147492</v>
      </c>
      <c r="AX315" s="180">
        <f t="shared" si="858"/>
        <v>0.5323824542336002</v>
      </c>
      <c r="AY315" s="181">
        <f t="shared" si="858"/>
        <v>1.9038727039999976</v>
      </c>
      <c r="AZ315" s="181">
        <f t="shared" si="858"/>
        <v>0.65961632000000048</v>
      </c>
      <c r="BA315" s="182">
        <f t="shared" si="858"/>
        <v>1.3934940799999991</v>
      </c>
      <c r="BB315" s="110">
        <f t="shared" si="858"/>
        <v>4.4893655582335974</v>
      </c>
      <c r="BC315" s="180">
        <f t="shared" ref="BC315:BL315" si="860">BC313-BC314</f>
        <v>5.0168739259216828</v>
      </c>
      <c r="BD315" s="181">
        <f t="shared" si="860"/>
        <v>1.6456283021477773</v>
      </c>
      <c r="BE315" s="181">
        <f t="shared" si="860"/>
        <v>0.78772896561880756</v>
      </c>
      <c r="BF315" s="182">
        <f t="shared" si="860"/>
        <v>0</v>
      </c>
      <c r="BG315" s="110">
        <f t="shared" si="860"/>
        <v>7.4502311936882677</v>
      </c>
      <c r="BH315" s="180">
        <f t="shared" si="860"/>
        <v>4.8064712245084662</v>
      </c>
      <c r="BI315" s="181">
        <f t="shared" si="860"/>
        <v>1.4822835521547892</v>
      </c>
      <c r="BJ315" s="181">
        <f t="shared" si="860"/>
        <v>0.62896226756241447</v>
      </c>
      <c r="BK315" s="182">
        <f t="shared" si="860"/>
        <v>0</v>
      </c>
      <c r="BL315" s="110">
        <f t="shared" si="860"/>
        <v>6.9177170442256681</v>
      </c>
      <c r="BM315" s="180">
        <f t="shared" ref="BM315:BQ315" si="861">BM313-BM314</f>
        <v>1.5679987267030171</v>
      </c>
      <c r="BN315" s="181">
        <f t="shared" si="861"/>
        <v>1.5679987267030171</v>
      </c>
      <c r="BO315" s="181">
        <f t="shared" si="861"/>
        <v>1.5679987267030171</v>
      </c>
      <c r="BP315" s="182">
        <f t="shared" si="861"/>
        <v>1.5679987267030171</v>
      </c>
      <c r="BQ315" s="110">
        <f t="shared" si="861"/>
        <v>6.2719949068120684</v>
      </c>
      <c r="BR315" s="110"/>
      <c r="BS315" s="1503"/>
      <c r="BT315" s="1503"/>
      <c r="BU315" s="1503"/>
      <c r="BV315" s="1503"/>
      <c r="BW315" s="1493"/>
      <c r="BX315"/>
      <c r="BY315"/>
      <c r="BZ315"/>
      <c r="CA315"/>
      <c r="CB315"/>
      <c r="CC315"/>
    </row>
    <row r="316" spans="1:81">
      <c r="A316" s="108"/>
      <c r="B316" s="108"/>
      <c r="C316" s="1128"/>
      <c r="D316" s="36"/>
      <c r="E316" s="122"/>
      <c r="F316" s="123"/>
      <c r="G316" s="123"/>
      <c r="H316" s="915"/>
      <c r="I316" s="36"/>
      <c r="J316" s="122"/>
      <c r="K316" s="123"/>
      <c r="L316" s="123"/>
      <c r="M316" s="915"/>
      <c r="N316" s="36"/>
      <c r="O316" s="122"/>
      <c r="P316" s="123"/>
      <c r="Q316" s="123"/>
      <c r="R316" s="915"/>
      <c r="S316" s="36"/>
      <c r="T316" s="180"/>
      <c r="U316" s="181"/>
      <c r="V316" s="181"/>
      <c r="W316" s="182"/>
      <c r="X316" s="110"/>
      <c r="Y316" s="180"/>
      <c r="Z316" s="181"/>
      <c r="AA316" s="181"/>
      <c r="AB316" s="182"/>
      <c r="AC316" s="110"/>
      <c r="AD316" s="180"/>
      <c r="AE316" s="181"/>
      <c r="AF316" s="181"/>
      <c r="AG316" s="182"/>
      <c r="AH316" s="110"/>
      <c r="AI316" s="180"/>
      <c r="AJ316" s="181"/>
      <c r="AK316" s="181"/>
      <c r="AL316" s="182"/>
      <c r="AM316" s="110"/>
      <c r="AN316" s="180"/>
      <c r="AO316" s="181"/>
      <c r="AP316" s="181"/>
      <c r="AQ316" s="182"/>
      <c r="AR316" s="110"/>
      <c r="AS316" s="180"/>
      <c r="AT316" s="181"/>
      <c r="AU316" s="181"/>
      <c r="AV316" s="182"/>
      <c r="AW316" s="110"/>
      <c r="AX316" s="180"/>
      <c r="AY316" s="181"/>
      <c r="AZ316" s="181"/>
      <c r="BA316" s="182"/>
      <c r="BB316" s="110"/>
      <c r="BC316" s="180"/>
      <c r="BD316" s="181"/>
      <c r="BE316" s="181"/>
      <c r="BF316" s="182"/>
      <c r="BG316" s="110"/>
      <c r="BH316" s="180"/>
      <c r="BI316" s="181"/>
      <c r="BJ316" s="181"/>
      <c r="BK316" s="182"/>
      <c r="BL316" s="110"/>
      <c r="BM316" s="180"/>
      <c r="BN316" s="181"/>
      <c r="BO316" s="181"/>
      <c r="BP316" s="182"/>
      <c r="BQ316" s="110"/>
      <c r="BR316" s="110"/>
      <c r="BS316" s="1503"/>
      <c r="BT316" s="1503"/>
      <c r="BU316" s="1503"/>
      <c r="BV316" s="1503"/>
    </row>
    <row r="317" spans="1:81">
      <c r="A317" s="108"/>
      <c r="B317" s="108"/>
      <c r="C317" s="1145"/>
      <c r="E317" s="122"/>
      <c r="F317" s="123"/>
      <c r="G317" s="123"/>
      <c r="H317" s="915"/>
      <c r="I317" s="36"/>
      <c r="J317" s="122"/>
      <c r="K317" s="123"/>
      <c r="L317" s="123"/>
      <c r="M317" s="915"/>
      <c r="O317" s="122"/>
      <c r="P317" s="123"/>
      <c r="Q317" s="123"/>
      <c r="R317" s="915"/>
      <c r="T317" s="180"/>
      <c r="U317" s="181"/>
      <c r="V317" s="181"/>
      <c r="W317" s="182"/>
      <c r="X317" s="110"/>
      <c r="Y317" s="180"/>
      <c r="Z317" s="181"/>
      <c r="AA317" s="181"/>
      <c r="AB317" s="182"/>
      <c r="AC317" s="110"/>
      <c r="AD317" s="180"/>
      <c r="AE317" s="181"/>
      <c r="AF317" s="181"/>
      <c r="AG317" s="182"/>
      <c r="AH317" s="110"/>
      <c r="AI317" s="180"/>
      <c r="AJ317" s="181"/>
      <c r="AK317" s="181"/>
      <c r="AL317" s="182"/>
      <c r="AM317" s="110"/>
      <c r="AN317" s="180"/>
      <c r="AO317" s="181"/>
      <c r="AP317" s="181"/>
      <c r="AQ317" s="182"/>
      <c r="AS317" s="180"/>
      <c r="AT317" s="181"/>
      <c r="AU317" s="181"/>
      <c r="AV317" s="182"/>
      <c r="AX317" s="180"/>
      <c r="AY317" s="181"/>
      <c r="AZ317" s="181"/>
      <c r="BA317" s="182"/>
      <c r="BC317" s="180"/>
      <c r="BD317" s="181"/>
      <c r="BE317" s="181"/>
      <c r="BF317" s="182"/>
      <c r="BH317" s="180"/>
      <c r="BI317" s="181"/>
      <c r="BJ317" s="181"/>
      <c r="BK317" s="182"/>
      <c r="BM317" s="180"/>
      <c r="BN317" s="181"/>
      <c r="BO317" s="181"/>
      <c r="BP317" s="182"/>
      <c r="BS317" s="1503"/>
      <c r="BT317" s="1503"/>
      <c r="BU317" s="1503"/>
      <c r="BV317" s="1503"/>
    </row>
    <row r="318" spans="1:81">
      <c r="A318" s="108"/>
      <c r="B318" s="108"/>
      <c r="C318" s="1154" t="s">
        <v>585</v>
      </c>
      <c r="D318" s="5"/>
      <c r="E318" s="122"/>
      <c r="F318" s="123"/>
      <c r="G318" s="123"/>
      <c r="H318" s="915"/>
      <c r="I318" s="36"/>
      <c r="J318" s="122"/>
      <c r="K318" s="123"/>
      <c r="L318" s="123"/>
      <c r="M318" s="915"/>
      <c r="N318" s="5"/>
      <c r="O318" s="146"/>
      <c r="P318" s="7"/>
      <c r="Q318" s="7"/>
      <c r="R318" s="147"/>
      <c r="S318" s="5"/>
      <c r="T318" s="146"/>
      <c r="U318" s="7"/>
      <c r="V318" s="7"/>
      <c r="W318" s="147"/>
      <c r="X318" s="5"/>
      <c r="Y318" s="146"/>
      <c r="Z318" s="7"/>
      <c r="AA318" s="7"/>
      <c r="AB318" s="147"/>
      <c r="AC318" s="5"/>
      <c r="AD318" s="146"/>
      <c r="AE318" s="7"/>
      <c r="AF318" s="7"/>
      <c r="AG318" s="147"/>
      <c r="AH318" s="5"/>
      <c r="AI318" s="146"/>
      <c r="AJ318" s="7"/>
      <c r="AK318" s="7"/>
      <c r="AL318" s="147"/>
      <c r="AM318" s="5"/>
      <c r="AN318" s="146"/>
      <c r="AO318" s="7"/>
      <c r="AP318" s="7"/>
      <c r="AQ318" s="147"/>
      <c r="AR318" s="5"/>
      <c r="AS318" s="146"/>
      <c r="AT318" s="7"/>
      <c r="AU318" s="7"/>
      <c r="AV318" s="147"/>
      <c r="AW318" s="5"/>
      <c r="AX318" s="146"/>
      <c r="AY318" s="7"/>
      <c r="AZ318" s="7"/>
      <c r="BA318" s="147"/>
      <c r="BB318" s="5"/>
      <c r="BC318" s="146"/>
      <c r="BD318" s="7"/>
      <c r="BE318" s="7"/>
      <c r="BF318" s="147"/>
      <c r="BG318" s="5"/>
      <c r="BH318" s="146"/>
      <c r="BI318" s="7"/>
      <c r="BJ318" s="7"/>
      <c r="BK318" s="147"/>
      <c r="BL318" s="5"/>
      <c r="BM318" s="146"/>
      <c r="BN318" s="7"/>
      <c r="BO318" s="7"/>
      <c r="BP318" s="147"/>
      <c r="BQ318" s="5"/>
      <c r="BR318" s="5"/>
      <c r="BS318" s="1503"/>
      <c r="BT318" s="1503"/>
      <c r="BU318" s="1503"/>
      <c r="BV318" s="1503"/>
    </row>
    <row r="319" spans="1:81">
      <c r="A319" s="108"/>
      <c r="B319" s="108"/>
      <c r="C319" s="1127" t="s">
        <v>568</v>
      </c>
      <c r="D319" s="5"/>
      <c r="E319" s="146"/>
      <c r="F319" s="7"/>
      <c r="G319" s="7"/>
      <c r="H319" s="147"/>
      <c r="I319" s="31"/>
      <c r="J319" s="146"/>
      <c r="K319" s="7"/>
      <c r="L319" s="7"/>
      <c r="M319" s="147"/>
      <c r="N319" s="5"/>
      <c r="O319" s="146"/>
      <c r="P319" s="7"/>
      <c r="Q319" s="7"/>
      <c r="R319" s="147"/>
      <c r="S319" s="5"/>
      <c r="T319" s="881"/>
      <c r="U319" s="882"/>
      <c r="V319" s="882"/>
      <c r="W319" s="883"/>
      <c r="X319" s="403"/>
      <c r="Y319" s="881">
        <f>Y$80</f>
        <v>45.623531746031752</v>
      </c>
      <c r="Z319" s="882">
        <f t="shared" ref="Z319:BQ319" si="862">Z$80</f>
        <v>40.663671874999991</v>
      </c>
      <c r="AA319" s="882">
        <f t="shared" si="862"/>
        <v>53.937705078124999</v>
      </c>
      <c r="AB319" s="883">
        <f t="shared" si="862"/>
        <v>46.228017578124991</v>
      </c>
      <c r="AC319" s="403">
        <f t="shared" si="862"/>
        <v>46.613231569320433</v>
      </c>
      <c r="AD319" s="881">
        <f t="shared" si="862"/>
        <v>105.87010912698418</v>
      </c>
      <c r="AE319" s="882">
        <f t="shared" si="862"/>
        <v>44.886210937500003</v>
      </c>
      <c r="AF319" s="882">
        <f t="shared" si="862"/>
        <v>43.024843750000009</v>
      </c>
      <c r="AG319" s="883">
        <f t="shared" si="862"/>
        <v>39.284560546874999</v>
      </c>
      <c r="AH319" s="403">
        <f t="shared" si="862"/>
        <v>58.266431090339793</v>
      </c>
      <c r="AI319" s="881">
        <f t="shared" si="862"/>
        <v>53.16058531746031</v>
      </c>
      <c r="AJ319" s="882">
        <f t="shared" si="862"/>
        <v>38.357529296875022</v>
      </c>
      <c r="AK319" s="882">
        <f t="shared" si="862"/>
        <v>40.580288461538458</v>
      </c>
      <c r="AL319" s="883">
        <f t="shared" si="862"/>
        <v>34.609042968750003</v>
      </c>
      <c r="AM319" s="403">
        <f t="shared" si="862"/>
        <v>41.676861511155948</v>
      </c>
      <c r="AN319" s="881">
        <f t="shared" si="862"/>
        <v>35.76955078124999</v>
      </c>
      <c r="AO319" s="882">
        <f t="shared" si="862"/>
        <v>35.76955078124999</v>
      </c>
      <c r="AP319" s="882">
        <f t="shared" si="862"/>
        <v>27.32274801587301</v>
      </c>
      <c r="AQ319" s="883">
        <f t="shared" si="862"/>
        <v>27.32274801587301</v>
      </c>
      <c r="AR319" s="403">
        <f t="shared" si="862"/>
        <v>31.546149398561496</v>
      </c>
      <c r="AS319" s="881">
        <f t="shared" si="862"/>
        <v>27.648046875000006</v>
      </c>
      <c r="AT319" s="882">
        <f t="shared" si="862"/>
        <v>33.630214843749989</v>
      </c>
      <c r="AU319" s="882">
        <f t="shared" si="862"/>
        <v>34.760575396825409</v>
      </c>
      <c r="AV319" s="883">
        <f t="shared" si="862"/>
        <v>35.233521825396821</v>
      </c>
      <c r="AW319" s="403">
        <f t="shared" si="862"/>
        <v>32.818089735243056</v>
      </c>
      <c r="AX319" s="881">
        <f t="shared" si="862"/>
        <v>36.453183593749984</v>
      </c>
      <c r="AY319" s="882">
        <f t="shared" si="862"/>
        <v>37.466666666666654</v>
      </c>
      <c r="AZ319" s="882">
        <f t="shared" si="862"/>
        <v>33.733333333333327</v>
      </c>
      <c r="BA319" s="883">
        <f t="shared" si="862"/>
        <v>37.766666666666666</v>
      </c>
      <c r="BB319" s="403">
        <f t="shared" si="862"/>
        <v>36.354962565104159</v>
      </c>
      <c r="BC319" s="881">
        <f t="shared" si="862"/>
        <v>52.984877086683944</v>
      </c>
      <c r="BD319" s="882">
        <f t="shared" si="862"/>
        <v>34.892480032694301</v>
      </c>
      <c r="BE319" s="882">
        <f t="shared" si="862"/>
        <v>31.661694844481875</v>
      </c>
      <c r="BF319" s="883">
        <f t="shared" si="862"/>
        <v>28.460948036139868</v>
      </c>
      <c r="BG319" s="403">
        <f t="shared" si="862"/>
        <v>37</v>
      </c>
      <c r="BH319" s="881">
        <f t="shared" si="862"/>
        <v>52.579137036825585</v>
      </c>
      <c r="BI319" s="882">
        <f t="shared" si="862"/>
        <v>34.625285365714404</v>
      </c>
      <c r="BJ319" s="882">
        <f t="shared" si="862"/>
        <v>31.41924042444456</v>
      </c>
      <c r="BK319" s="883">
        <f t="shared" si="862"/>
        <v>28.243003839415444</v>
      </c>
      <c r="BL319" s="403">
        <f t="shared" si="862"/>
        <v>36.716666666599998</v>
      </c>
      <c r="BM319" s="881">
        <f t="shared" si="862"/>
        <v>37.120146633691817</v>
      </c>
      <c r="BN319" s="882">
        <f t="shared" si="862"/>
        <v>37.120146633691817</v>
      </c>
      <c r="BO319" s="882">
        <f t="shared" si="862"/>
        <v>37.120146633691817</v>
      </c>
      <c r="BP319" s="883">
        <f t="shared" si="862"/>
        <v>37.120146633691817</v>
      </c>
      <c r="BQ319" s="403">
        <f t="shared" si="862"/>
        <v>37.120146633691817</v>
      </c>
      <c r="BR319" s="403"/>
      <c r="BS319" s="1503"/>
      <c r="BT319" s="1503"/>
      <c r="BU319" s="1503"/>
      <c r="BV319" s="1503"/>
    </row>
    <row r="320" spans="1:81">
      <c r="A320" s="108"/>
      <c r="B320" s="108"/>
      <c r="C320" s="1127" t="s">
        <v>571</v>
      </c>
      <c r="D320" s="5"/>
      <c r="E320" s="146"/>
      <c r="F320" s="7"/>
      <c r="G320" s="7"/>
      <c r="H320" s="147"/>
      <c r="I320" s="31"/>
      <c r="J320" s="146"/>
      <c r="K320" s="7"/>
      <c r="L320" s="7"/>
      <c r="M320" s="147"/>
      <c r="N320" s="5"/>
      <c r="O320" s="146"/>
      <c r="P320" s="7"/>
      <c r="Q320" s="7"/>
      <c r="R320" s="147"/>
      <c r="S320" s="5"/>
      <c r="T320" s="881"/>
      <c r="U320" s="882"/>
      <c r="V320" s="882"/>
      <c r="W320" s="883"/>
      <c r="X320" s="403"/>
      <c r="Y320" s="881">
        <f>Y$81</f>
        <v>35.609952294685982</v>
      </c>
      <c r="Z320" s="882">
        <f t="shared" ref="Z320:BQ320" si="863">Z$81</f>
        <v>28.352330586080591</v>
      </c>
      <c r="AA320" s="882">
        <f t="shared" si="863"/>
        <v>26.087404891304349</v>
      </c>
      <c r="AB320" s="883">
        <f t="shared" si="863"/>
        <v>29.252230615942018</v>
      </c>
      <c r="AC320" s="403">
        <f t="shared" si="863"/>
        <v>29.825479597003238</v>
      </c>
      <c r="AD320" s="881">
        <f t="shared" si="863"/>
        <v>74.738565619967801</v>
      </c>
      <c r="AE320" s="882">
        <f t="shared" si="863"/>
        <v>27.261304945054935</v>
      </c>
      <c r="AF320" s="882">
        <f t="shared" si="863"/>
        <v>23.849180253623189</v>
      </c>
      <c r="AG320" s="883">
        <f t="shared" si="863"/>
        <v>21.799227355072475</v>
      </c>
      <c r="AH320" s="403">
        <f t="shared" si="863"/>
        <v>36.912069543429595</v>
      </c>
      <c r="AI320" s="881">
        <f t="shared" si="863"/>
        <v>37.643325281803563</v>
      </c>
      <c r="AJ320" s="882">
        <f t="shared" si="863"/>
        <v>18.227133699633701</v>
      </c>
      <c r="AK320" s="882">
        <f t="shared" si="863"/>
        <v>20.449230072463756</v>
      </c>
      <c r="AL320" s="883">
        <f t="shared" si="863"/>
        <v>14.298236956521746</v>
      </c>
      <c r="AM320" s="403">
        <f t="shared" si="863"/>
        <v>22.654481502605691</v>
      </c>
      <c r="AN320" s="881">
        <f t="shared" si="863"/>
        <v>15.5952152014652</v>
      </c>
      <c r="AO320" s="882">
        <f t="shared" si="863"/>
        <v>15.5952152014652</v>
      </c>
      <c r="AP320" s="882">
        <f t="shared" si="863"/>
        <v>17.24411086956523</v>
      </c>
      <c r="AQ320" s="883">
        <f t="shared" si="863"/>
        <v>17.24411086956523</v>
      </c>
      <c r="AR320" s="403">
        <f t="shared" si="863"/>
        <v>16.419663035515214</v>
      </c>
      <c r="AS320" s="881">
        <f t="shared" si="863"/>
        <v>19.385393719806771</v>
      </c>
      <c r="AT320" s="882">
        <f t="shared" si="863"/>
        <v>14.500613553113544</v>
      </c>
      <c r="AU320" s="882">
        <f t="shared" si="863"/>
        <v>17.318980978260868</v>
      </c>
      <c r="AV320" s="883">
        <f t="shared" si="863"/>
        <v>19.652653804347828</v>
      </c>
      <c r="AW320" s="403">
        <f t="shared" si="863"/>
        <v>17.714410513882253</v>
      </c>
      <c r="AX320" s="881">
        <f t="shared" si="863"/>
        <v>32.735488727858289</v>
      </c>
      <c r="AY320" s="882">
        <f t="shared" si="863"/>
        <v>32.93333333333333</v>
      </c>
      <c r="AZ320" s="882">
        <f t="shared" si="863"/>
        <v>29.3</v>
      </c>
      <c r="BA320" s="883">
        <f t="shared" si="863"/>
        <v>33.083333333333336</v>
      </c>
      <c r="BB320" s="403">
        <f t="shared" si="863"/>
        <v>32.01303884863124</v>
      </c>
      <c r="BC320" s="881">
        <f t="shared" si="863"/>
        <v>50.208915257706195</v>
      </c>
      <c r="BD320" s="882">
        <f t="shared" si="863"/>
        <v>32.014743875122768</v>
      </c>
      <c r="BE320" s="882">
        <f t="shared" si="863"/>
        <v>27.396223447236203</v>
      </c>
      <c r="BF320" s="883">
        <f t="shared" si="863"/>
        <v>24.304750753134822</v>
      </c>
      <c r="BG320" s="403">
        <f t="shared" si="863"/>
        <v>33.481158333299994</v>
      </c>
      <c r="BH320" s="881">
        <f t="shared" si="863"/>
        <v>49.68362440537765</v>
      </c>
      <c r="BI320" s="882">
        <f t="shared" si="863"/>
        <v>31.679802321198984</v>
      </c>
      <c r="BJ320" s="882">
        <f t="shared" si="863"/>
        <v>27.109601330599784</v>
      </c>
      <c r="BK320" s="883">
        <f t="shared" si="863"/>
        <v>24.050471942823588</v>
      </c>
      <c r="BL320" s="403">
        <f t="shared" si="863"/>
        <v>33.130875000000003</v>
      </c>
      <c r="BM320" s="881">
        <f t="shared" si="863"/>
        <v>33.31857836137219</v>
      </c>
      <c r="BN320" s="882">
        <f t="shared" si="863"/>
        <v>33.31857836137219</v>
      </c>
      <c r="BO320" s="882">
        <f t="shared" si="863"/>
        <v>33.31857836137219</v>
      </c>
      <c r="BP320" s="883">
        <f t="shared" si="863"/>
        <v>33.31857836137219</v>
      </c>
      <c r="BQ320" s="403">
        <f t="shared" si="863"/>
        <v>33.31857836137219</v>
      </c>
      <c r="BR320" s="403"/>
      <c r="BS320" s="1503"/>
      <c r="BT320" s="1503"/>
      <c r="BU320" s="1503"/>
      <c r="BV320" s="1503"/>
    </row>
    <row r="321" spans="1:74">
      <c r="A321" s="108"/>
      <c r="B321" s="108"/>
      <c r="C321" s="1127" t="s">
        <v>552</v>
      </c>
      <c r="D321" s="5"/>
      <c r="E321" s="146"/>
      <c r="F321" s="7"/>
      <c r="G321" s="7"/>
      <c r="H321" s="147"/>
      <c r="I321" s="941">
        <v>10500</v>
      </c>
      <c r="J321" s="146"/>
      <c r="K321" s="7"/>
      <c r="L321" s="7"/>
      <c r="M321" s="147"/>
      <c r="N321" s="5"/>
      <c r="O321" s="146"/>
      <c r="P321" s="7"/>
      <c r="Q321" s="7"/>
      <c r="R321" s="147"/>
      <c r="S321" s="5"/>
      <c r="T321" s="881"/>
      <c r="U321" s="882"/>
      <c r="V321" s="882"/>
      <c r="W321" s="883"/>
      <c r="X321" s="403"/>
      <c r="Y321" s="881">
        <f>Y108/(8.8*2)*$I321/1000</f>
        <v>21.022945804195803</v>
      </c>
      <c r="Z321" s="882">
        <f>Z108/(8.8*2)*$I321/1000</f>
        <v>21.187237762237761</v>
      </c>
      <c r="AA321" s="882">
        <f>AA108/(8.8*2)*$I321/1000</f>
        <v>21.121612762237756</v>
      </c>
      <c r="AB321" s="883">
        <f>AB108/(8.8*2)*$I321/1000</f>
        <v>21.466717657342659</v>
      </c>
      <c r="AC321" s="403">
        <f>AVERAGE(Y321:AB321)</f>
        <v>21.199628496503493</v>
      </c>
      <c r="AD321" s="881">
        <f>AD108/(8.8*2)*$I321/1000</f>
        <v>22.28634178321678</v>
      </c>
      <c r="AE321" s="882">
        <f>AE108/(8.8*2)*$I321/1000</f>
        <v>22.662194055944056</v>
      </c>
      <c r="AF321" s="882">
        <f>AF108/(8.8*2)*$I321/1000</f>
        <v>22.05321241258741</v>
      </c>
      <c r="AG321" s="883">
        <f>AG108/(8.8*2)*$I321/1000</f>
        <v>21.79163024475524</v>
      </c>
      <c r="AH321" s="403">
        <f>AVERAGE(AD321:AG321)</f>
        <v>22.198344624125873</v>
      </c>
      <c r="AI321" s="881">
        <f>AI108/(8.8*2)*$I321/1000</f>
        <v>21.830638111888106</v>
      </c>
      <c r="AJ321" s="882">
        <f>AJ108/(8.8*2)*$I321/1000</f>
        <v>21.80539772727272</v>
      </c>
      <c r="AK321" s="882">
        <f>AK108/(8.8*2)*$I321/1000</f>
        <v>21.830638111888106</v>
      </c>
      <c r="AL321" s="883">
        <f>AL108/(8.8*2)*$I321/1000</f>
        <v>21.68149038461538</v>
      </c>
      <c r="AM321" s="403">
        <f>AVERAGE(AI321:AL321)</f>
        <v>21.78704108391608</v>
      </c>
      <c r="AN321" s="881">
        <f>AN108/(8.8*2)*$I321/1000</f>
        <v>20.391936188811187</v>
      </c>
      <c r="AO321" s="882">
        <f>AO108/(8.8*2)*$I321/1000</f>
        <v>20.391936188811187</v>
      </c>
      <c r="AP321" s="882">
        <f>AP108/(8.8*2)*$I321/1000</f>
        <v>20.071022727272727</v>
      </c>
      <c r="AQ321" s="883">
        <f>AQ108/(8.8*2)*$I321/1000</f>
        <v>20.490603146853147</v>
      </c>
      <c r="AR321" s="403">
        <f>AVERAGE(AN321:AQ321)</f>
        <v>20.33637456293706</v>
      </c>
      <c r="AS321" s="881">
        <f>AS108/(8.8*2)*$I321/1000</f>
        <v>21.759506118881113</v>
      </c>
      <c r="AT321" s="882">
        <f>AT108/(8.8*2)*$I321/1000</f>
        <v>21.833850524475526</v>
      </c>
      <c r="AU321" s="882">
        <f t="shared" ref="AU321" si="864">AU108/(8.8*2)*$I321/1000</f>
        <v>21.785205419580418</v>
      </c>
      <c r="AV321" s="883">
        <f>AV108/(8.8*2)*$I321/1000</f>
        <v>22.027972027972023</v>
      </c>
      <c r="AW321" s="403">
        <f>AVERAGE(AS321:AV321)</f>
        <v>21.851633522727273</v>
      </c>
      <c r="AX321" s="881">
        <f>AX108/(8.8*2)*$I321/1000</f>
        <v>22.25054632867133</v>
      </c>
      <c r="AY321" s="882">
        <f>AY108/(8.8*2)*$I321/1000</f>
        <v>21.477272727272727</v>
      </c>
      <c r="AZ321" s="882">
        <f>AZ108/(8.8*2)*$I321/1000</f>
        <v>21.686079545454547</v>
      </c>
      <c r="BA321" s="883">
        <f>BA108/(8.8*2)*$I321/1000</f>
        <v>21.865056818181817</v>
      </c>
      <c r="BB321" s="403">
        <f>AVERAGE(AX321:BA321)</f>
        <v>21.819738854895103</v>
      </c>
      <c r="BC321" s="881">
        <f>BC108/(8.8*2)*$I321/1000</f>
        <v>21.911980151228729</v>
      </c>
      <c r="BD321" s="882">
        <f>BD108/(8.8*2)*$I321/1000</f>
        <v>21.911980151228729</v>
      </c>
      <c r="BE321" s="882">
        <f>BE108/(8.8*2)*$I321/1000</f>
        <v>21.911980151228729</v>
      </c>
      <c r="BF321" s="883">
        <f>BF108/(8.8*2)*$I321/1000</f>
        <v>21.724286819041073</v>
      </c>
      <c r="BG321" s="403">
        <f>AVERAGE(BC321:BF321)</f>
        <v>21.865056818181813</v>
      </c>
      <c r="BH321" s="881">
        <f>BH108/(8.8*2)*$I321/1000</f>
        <v>21.911980151228729</v>
      </c>
      <c r="BI321" s="882">
        <f>BI108/(8.8*2)*$I321/1000</f>
        <v>21.911980151228729</v>
      </c>
      <c r="BJ321" s="882">
        <f>BJ108/(8.8*2)*$I321/1000</f>
        <v>21.911980151228729</v>
      </c>
      <c r="BK321" s="883">
        <f>BK108/(8.8*2)*$I321/1000</f>
        <v>21.724286819041073</v>
      </c>
      <c r="BL321" s="403">
        <f>AVERAGE(BH321:BK321)</f>
        <v>21.865056818181813</v>
      </c>
      <c r="BM321" s="881">
        <f>BM108/(8.8*2)*$I321/1000</f>
        <v>21.911980151228729</v>
      </c>
      <c r="BN321" s="882">
        <f>BN108/(8.8*2)*$I321/1000</f>
        <v>21.911980151228729</v>
      </c>
      <c r="BO321" s="882">
        <f>BO108/(8.8*2)*$I321/1000</f>
        <v>21.911980151228729</v>
      </c>
      <c r="BP321" s="883">
        <f>BP108/(8.8*2)*$I321/1000</f>
        <v>21.724286819041073</v>
      </c>
      <c r="BQ321" s="403">
        <f>AVERAGE(BM321:BP321)</f>
        <v>21.865056818181813</v>
      </c>
      <c r="BR321" s="403"/>
      <c r="BS321" s="1503"/>
      <c r="BT321" s="1503"/>
      <c r="BU321" s="1503"/>
      <c r="BV321" s="1503"/>
    </row>
    <row r="322" spans="1:74">
      <c r="A322" s="108"/>
      <c r="B322" s="108"/>
      <c r="C322" s="1125"/>
      <c r="D322" s="5"/>
      <c r="E322" s="146"/>
      <c r="F322" s="7"/>
      <c r="G322" s="7"/>
      <c r="H322" s="147"/>
      <c r="I322" s="31"/>
      <c r="J322" s="146"/>
      <c r="K322" s="7"/>
      <c r="L322" s="7"/>
      <c r="M322" s="147"/>
      <c r="N322" s="5"/>
      <c r="O322" s="146"/>
      <c r="P322" s="7"/>
      <c r="Q322" s="7"/>
      <c r="R322" s="147"/>
      <c r="S322" s="5"/>
      <c r="T322" s="146"/>
      <c r="U322" s="7"/>
      <c r="V322" s="7"/>
      <c r="W322" s="147"/>
      <c r="X322" s="5"/>
      <c r="Y322" s="146"/>
      <c r="Z322" s="7"/>
      <c r="AA322" s="7"/>
      <c r="AB322" s="147"/>
      <c r="AC322" s="5"/>
      <c r="AD322" s="146"/>
      <c r="AE322" s="7"/>
      <c r="AF322" s="7"/>
      <c r="AG322" s="147"/>
      <c r="AH322" s="5"/>
      <c r="AI322" s="146"/>
      <c r="AJ322" s="7"/>
      <c r="AK322" s="7"/>
      <c r="AL322" s="147"/>
      <c r="AM322" s="5"/>
      <c r="AN322" s="146"/>
      <c r="AO322" s="7"/>
      <c r="AP322" s="7"/>
      <c r="AQ322" s="147"/>
      <c r="AR322" s="5"/>
      <c r="AS322" s="146"/>
      <c r="AT322" s="7"/>
      <c r="AU322" s="7"/>
      <c r="AV322" s="147"/>
      <c r="AW322" s="5"/>
      <c r="AX322" s="146"/>
      <c r="AY322" s="7"/>
      <c r="AZ322" s="7"/>
      <c r="BA322" s="147"/>
      <c r="BB322" s="5"/>
      <c r="BC322" s="146"/>
      <c r="BD322" s="7"/>
      <c r="BE322" s="7"/>
      <c r="BF322" s="147"/>
      <c r="BG322" s="5"/>
      <c r="BH322" s="146"/>
      <c r="BI322" s="7"/>
      <c r="BJ322" s="7"/>
      <c r="BK322" s="147"/>
      <c r="BL322" s="5"/>
      <c r="BM322" s="146"/>
      <c r="BN322" s="7"/>
      <c r="BO322" s="7"/>
      <c r="BP322" s="147"/>
      <c r="BQ322" s="5"/>
      <c r="BR322" s="5"/>
      <c r="BS322" s="1503"/>
      <c r="BT322" s="1503"/>
      <c r="BU322" s="1503"/>
      <c r="BV322" s="1503"/>
    </row>
    <row r="323" spans="1:74">
      <c r="A323" s="108"/>
      <c r="B323" s="108"/>
      <c r="C323" s="1128" t="s">
        <v>553</v>
      </c>
      <c r="D323" s="36"/>
      <c r="E323" s="122"/>
      <c r="F323" s="123"/>
      <c r="G323" s="123"/>
      <c r="H323" s="915"/>
      <c r="I323" s="926">
        <v>181</v>
      </c>
      <c r="J323" s="122"/>
      <c r="K323" s="123"/>
      <c r="L323" s="123"/>
      <c r="M323" s="915"/>
      <c r="N323" s="36"/>
      <c r="O323" s="180"/>
      <c r="P323" s="181"/>
      <c r="Q323" s="181"/>
      <c r="R323" s="182"/>
      <c r="S323" s="110"/>
      <c r="T323" s="180"/>
      <c r="U323" s="181"/>
      <c r="V323" s="181"/>
      <c r="W323" s="182"/>
      <c r="X323" s="110"/>
      <c r="Y323" s="180">
        <f>+I323</f>
        <v>181</v>
      </c>
      <c r="Z323" s="181">
        <f t="shared" ref="Z323:AT323" si="865">Y323</f>
        <v>181</v>
      </c>
      <c r="AA323" s="181">
        <f t="shared" si="865"/>
        <v>181</v>
      </c>
      <c r="AB323" s="182">
        <f t="shared" si="865"/>
        <v>181</v>
      </c>
      <c r="AC323" s="110">
        <f t="shared" si="865"/>
        <v>181</v>
      </c>
      <c r="AD323" s="180">
        <f t="shared" si="865"/>
        <v>181</v>
      </c>
      <c r="AE323" s="181">
        <f t="shared" si="865"/>
        <v>181</v>
      </c>
      <c r="AF323" s="181">
        <f t="shared" si="865"/>
        <v>181</v>
      </c>
      <c r="AG323" s="182">
        <f t="shared" si="865"/>
        <v>181</v>
      </c>
      <c r="AH323" s="110">
        <f t="shared" si="865"/>
        <v>181</v>
      </c>
      <c r="AI323" s="180">
        <f t="shared" si="865"/>
        <v>181</v>
      </c>
      <c r="AJ323" s="181">
        <f t="shared" si="865"/>
        <v>181</v>
      </c>
      <c r="AK323" s="181">
        <f t="shared" si="865"/>
        <v>181</v>
      </c>
      <c r="AL323" s="182">
        <f t="shared" si="865"/>
        <v>181</v>
      </c>
      <c r="AM323" s="110">
        <f t="shared" si="865"/>
        <v>181</v>
      </c>
      <c r="AN323" s="180">
        <f t="shared" si="865"/>
        <v>181</v>
      </c>
      <c r="AO323" s="181">
        <f t="shared" si="865"/>
        <v>181</v>
      </c>
      <c r="AP323" s="181">
        <f t="shared" si="865"/>
        <v>181</v>
      </c>
      <c r="AQ323" s="182">
        <f t="shared" si="865"/>
        <v>181</v>
      </c>
      <c r="AR323" s="110">
        <f t="shared" si="865"/>
        <v>181</v>
      </c>
      <c r="AS323" s="180">
        <f t="shared" ref="AS323:BB323" si="866">AR323</f>
        <v>181</v>
      </c>
      <c r="AT323" s="181">
        <f t="shared" si="865"/>
        <v>181</v>
      </c>
      <c r="AU323" s="181">
        <f t="shared" ref="AU323" si="867">AT323</f>
        <v>181</v>
      </c>
      <c r="AV323" s="182">
        <f t="shared" si="866"/>
        <v>181</v>
      </c>
      <c r="AW323" s="110">
        <f t="shared" si="866"/>
        <v>181</v>
      </c>
      <c r="AX323" s="180">
        <f t="shared" si="866"/>
        <v>181</v>
      </c>
      <c r="AY323" s="181">
        <f t="shared" si="866"/>
        <v>181</v>
      </c>
      <c r="AZ323" s="181">
        <f t="shared" si="866"/>
        <v>181</v>
      </c>
      <c r="BA323" s="182">
        <f t="shared" si="866"/>
        <v>181</v>
      </c>
      <c r="BB323" s="110">
        <f t="shared" si="866"/>
        <v>181</v>
      </c>
      <c r="BC323" s="180">
        <f t="shared" ref="BC323" si="868">BB323</f>
        <v>181</v>
      </c>
      <c r="BD323" s="181">
        <f t="shared" ref="BD323" si="869">BC323</f>
        <v>181</v>
      </c>
      <c r="BE323" s="181">
        <f t="shared" ref="BE323" si="870">BD323</f>
        <v>181</v>
      </c>
      <c r="BF323" s="182">
        <f t="shared" ref="BF323" si="871">BE323</f>
        <v>181</v>
      </c>
      <c r="BG323" s="110">
        <f t="shared" ref="BG323" si="872">BF323</f>
        <v>181</v>
      </c>
      <c r="BH323" s="180">
        <f t="shared" ref="BH323" si="873">BG323</f>
        <v>181</v>
      </c>
      <c r="BI323" s="181">
        <f t="shared" ref="BI323" si="874">BH323</f>
        <v>181</v>
      </c>
      <c r="BJ323" s="181">
        <f t="shared" ref="BJ323" si="875">BI323</f>
        <v>181</v>
      </c>
      <c r="BK323" s="182">
        <f t="shared" ref="BK323" si="876">BJ323</f>
        <v>181</v>
      </c>
      <c r="BL323" s="110">
        <f t="shared" ref="BL323" si="877">BK323</f>
        <v>181</v>
      </c>
      <c r="BM323" s="180">
        <f t="shared" ref="BM323" si="878">BL323</f>
        <v>181</v>
      </c>
      <c r="BN323" s="181">
        <f t="shared" ref="BN323" si="879">BM323</f>
        <v>181</v>
      </c>
      <c r="BO323" s="181">
        <f t="shared" ref="BO323" si="880">BN323</f>
        <v>181</v>
      </c>
      <c r="BP323" s="182">
        <f t="shared" ref="BP323" si="881">BO323</f>
        <v>181</v>
      </c>
      <c r="BQ323" s="110">
        <f t="shared" ref="BQ323" si="882">BP323</f>
        <v>181</v>
      </c>
      <c r="BR323" s="110"/>
      <c r="BS323" s="1503"/>
      <c r="BT323" s="1503"/>
      <c r="BU323" s="1503"/>
      <c r="BV323" s="1503"/>
    </row>
    <row r="324" spans="1:74">
      <c r="A324" s="108"/>
      <c r="B324" s="108"/>
      <c r="C324" s="1125"/>
      <c r="D324" s="5"/>
      <c r="E324" s="146"/>
      <c r="F324" s="7"/>
      <c r="G324" s="7"/>
      <c r="H324" s="147"/>
      <c r="I324" s="31"/>
      <c r="J324" s="146"/>
      <c r="K324" s="7"/>
      <c r="L324" s="7"/>
      <c r="M324" s="147"/>
      <c r="N324" s="5"/>
      <c r="O324" s="146"/>
      <c r="P324" s="7"/>
      <c r="Q324" s="7"/>
      <c r="R324" s="147"/>
      <c r="S324" s="5"/>
      <c r="T324" s="146"/>
      <c r="U324" s="7"/>
      <c r="V324" s="7"/>
      <c r="W324" s="147"/>
      <c r="X324" s="5"/>
      <c r="Y324" s="146"/>
      <c r="Z324" s="7"/>
      <c r="AA324" s="7"/>
      <c r="AB324" s="147"/>
      <c r="AC324" s="5"/>
      <c r="AD324" s="146"/>
      <c r="AE324" s="7"/>
      <c r="AF324" s="7"/>
      <c r="AG324" s="147"/>
      <c r="AH324" s="5"/>
      <c r="AI324" s="146"/>
      <c r="AJ324" s="7"/>
      <c r="AK324" s="7"/>
      <c r="AL324" s="147"/>
      <c r="AM324" s="5"/>
      <c r="AN324" s="146"/>
      <c r="AO324" s="7"/>
      <c r="AP324" s="7"/>
      <c r="AQ324" s="147"/>
      <c r="AR324" s="5"/>
      <c r="AS324" s="146"/>
      <c r="AT324" s="7"/>
      <c r="AU324" s="7"/>
      <c r="AV324" s="147"/>
      <c r="AW324" s="5"/>
      <c r="AX324" s="146"/>
      <c r="AY324" s="7"/>
      <c r="AZ324" s="7"/>
      <c r="BA324" s="147"/>
      <c r="BB324" s="5"/>
      <c r="BC324" s="146"/>
      <c r="BD324" s="7"/>
      <c r="BE324" s="7"/>
      <c r="BF324" s="147"/>
      <c r="BG324" s="5"/>
      <c r="BH324" s="146"/>
      <c r="BI324" s="7"/>
      <c r="BJ324" s="7"/>
      <c r="BK324" s="147"/>
      <c r="BL324" s="5"/>
      <c r="BM324" s="146"/>
      <c r="BN324" s="7"/>
      <c r="BO324" s="7"/>
      <c r="BP324" s="147"/>
      <c r="BQ324" s="5"/>
      <c r="BR324" s="5"/>
      <c r="BS324" s="1503"/>
      <c r="BT324" s="1503"/>
      <c r="BU324" s="1503"/>
      <c r="BV324" s="1503"/>
    </row>
    <row r="325" spans="1:74">
      <c r="A325" s="108"/>
      <c r="B325" s="108"/>
      <c r="C325" s="1127" t="s">
        <v>569</v>
      </c>
      <c r="D325" s="5"/>
      <c r="E325" s="146"/>
      <c r="F325" s="7"/>
      <c r="G325" s="7"/>
      <c r="H325" s="147"/>
      <c r="I325" s="927">
        <v>0.4</v>
      </c>
      <c r="J325" s="146"/>
      <c r="K325" s="7"/>
      <c r="L325" s="7"/>
      <c r="M325" s="147"/>
      <c r="N325" s="5"/>
      <c r="O325" s="146"/>
      <c r="P325" s="7"/>
      <c r="Q325" s="7"/>
      <c r="R325" s="147"/>
      <c r="S325" s="5"/>
      <c r="T325" s="920"/>
      <c r="U325" s="921"/>
      <c r="V325" s="921"/>
      <c r="W325" s="922"/>
      <c r="X325" s="923"/>
      <c r="Y325" s="920">
        <f>IF(Y319&gt;Y321,$I325,0%)</f>
        <v>0.4</v>
      </c>
      <c r="Z325" s="921">
        <f>IF(Z319&gt;Z321,$I325,0%)</f>
        <v>0.4</v>
      </c>
      <c r="AA325" s="921">
        <f>IF(AA319&gt;AA321,$I325,0%)</f>
        <v>0.4</v>
      </c>
      <c r="AB325" s="922">
        <f>IF(AB319&gt;AB321,$I325,0%)</f>
        <v>0.4</v>
      </c>
      <c r="AC325" s="923">
        <f>IF(AVERAGE(Y323:AB323)=0,0,AC326/(AVERAGE(Y323:AB323)*8.76))</f>
        <v>0.4</v>
      </c>
      <c r="AD325" s="920">
        <f>IF(AD319&gt;AD321,$I325,0%)</f>
        <v>0.4</v>
      </c>
      <c r="AE325" s="921">
        <f>IF(AE319&gt;AE321,$I325,0%)</f>
        <v>0.4</v>
      </c>
      <c r="AF325" s="921">
        <f>IF(AF319&gt;AF321,$I325,0%)</f>
        <v>0.4</v>
      </c>
      <c r="AG325" s="922">
        <f>IF(AG319&gt;AG321,$I325,0%)</f>
        <v>0.4</v>
      </c>
      <c r="AH325" s="923">
        <f>IF(AVERAGE(AD323:AG323)=0,0,AH326/(AVERAGE(AD323:AG323)*8.76))</f>
        <v>0.4</v>
      </c>
      <c r="AI325" s="920">
        <f>IF(AI319&gt;AI321,$I325,0%)</f>
        <v>0.4</v>
      </c>
      <c r="AJ325" s="921">
        <f>IF(AJ319&gt;AJ321,$I325,0%)</f>
        <v>0.4</v>
      </c>
      <c r="AK325" s="921">
        <f>IF(AK319&gt;AK321,$I325,0%)</f>
        <v>0.4</v>
      </c>
      <c r="AL325" s="922">
        <f>IF(AL319&gt;AL321,$I325,0%)</f>
        <v>0.4</v>
      </c>
      <c r="AM325" s="923">
        <f>IF(AVERAGE(AI323:AL323)=0,0,AM326/(AVERAGE(AI323:AL323)*8.76))</f>
        <v>0.4</v>
      </c>
      <c r="AN325" s="920">
        <f>IF(AN319&gt;AN321,$I325,0%)</f>
        <v>0.4</v>
      </c>
      <c r="AO325" s="921">
        <f>IF(AO319&gt;AO321,$I325,0%)</f>
        <v>0.4</v>
      </c>
      <c r="AP325" s="921">
        <f>IF(AP319&gt;AP321,$I325,0%)</f>
        <v>0.4</v>
      </c>
      <c r="AQ325" s="922">
        <f>IF(AQ319&gt;AQ321,$I325,0%)</f>
        <v>0.4</v>
      </c>
      <c r="AR325" s="923">
        <f>IF(AVERAGE(AN323:AQ323)=0,0,AR326/(AVERAGE(AN323:AQ323)*8.76))</f>
        <v>0.4</v>
      </c>
      <c r="AS325" s="920">
        <f>IF(AS319&gt;AS321,$I325,0%)</f>
        <v>0.4</v>
      </c>
      <c r="AT325" s="921">
        <f>IF(AT319&gt;AT321,$I325,0%)</f>
        <v>0.4</v>
      </c>
      <c r="AU325" s="921">
        <f t="shared" ref="AU325" si="883">IF(AU319&gt;AU321,$I325,0%)</f>
        <v>0.4</v>
      </c>
      <c r="AV325" s="922">
        <f>IF(AV319&gt;AV321,$I325,0%)</f>
        <v>0.4</v>
      </c>
      <c r="AW325" s="923">
        <f>IF(AVERAGE(AS323:AV323)=0,0,AW326/(AVERAGE(AS323:AV323)*8.76))</f>
        <v>0.4</v>
      </c>
      <c r="AX325" s="920">
        <f>IF(AX319&gt;AX321,$I325,0%)</f>
        <v>0.4</v>
      </c>
      <c r="AY325" s="921">
        <f>IF(AY319&gt;AY321,$I325,0%)</f>
        <v>0.4</v>
      </c>
      <c r="AZ325" s="921">
        <f>IF(AZ319&gt;AZ321,$I325,0%)</f>
        <v>0.4</v>
      </c>
      <c r="BA325" s="922">
        <f>IF(BA319&gt;BA321,$I325,0%)</f>
        <v>0.4</v>
      </c>
      <c r="BB325" s="923">
        <f>IF(AVERAGE(AX323:BA323)=0,0,BB326/(AVERAGE(AX323:BA323)*8.76))</f>
        <v>0.4</v>
      </c>
      <c r="BC325" s="920">
        <f>IF(BC319&gt;BC321,$I325,0%)</f>
        <v>0.4</v>
      </c>
      <c r="BD325" s="921">
        <f>IF(BD319&gt;BD321,$I325,0%)</f>
        <v>0.4</v>
      </c>
      <c r="BE325" s="921">
        <f>IF(BE319&gt;BE321,$I325,0%)</f>
        <v>0.4</v>
      </c>
      <c r="BF325" s="922">
        <f>IF(BF319&gt;BF321,$I325,0%)</f>
        <v>0.4</v>
      </c>
      <c r="BG325" s="923">
        <f>IF(AVERAGE(BC323:BF323)=0,0,BG326/(AVERAGE(BC323:BF323)*8.76))</f>
        <v>0.4</v>
      </c>
      <c r="BH325" s="920">
        <f>IF(BH319&gt;BH321,$I325,0%)</f>
        <v>0.4</v>
      </c>
      <c r="BI325" s="921">
        <f>IF(BI319&gt;BI321,$I325,0%)</f>
        <v>0.4</v>
      </c>
      <c r="BJ325" s="921">
        <f>IF(BJ319&gt;BJ321,$I325,0%)</f>
        <v>0.4</v>
      </c>
      <c r="BK325" s="922">
        <f>IF(BK319&gt;BK321,$I325,0%)</f>
        <v>0.4</v>
      </c>
      <c r="BL325" s="923">
        <f>IF(AVERAGE(BH323:BK323)=0,0,BL326/(AVERAGE(BH323:BK323)*8.76))</f>
        <v>0.4</v>
      </c>
      <c r="BM325" s="920">
        <f>IF(BM319&gt;BM321,$I325,0%)</f>
        <v>0.4</v>
      </c>
      <c r="BN325" s="921">
        <f>IF(BN319&gt;BN321,$I325,0%)</f>
        <v>0.4</v>
      </c>
      <c r="BO325" s="921">
        <f>IF(BO319&gt;BO321,$I325,0%)</f>
        <v>0.4</v>
      </c>
      <c r="BP325" s="922">
        <f>IF(BP319&gt;BP321,$I325,0%)</f>
        <v>0.4</v>
      </c>
      <c r="BQ325" s="923">
        <f>IF(AVERAGE(BM323:BP323)=0,0,BQ326/(AVERAGE(BM323:BP323)*8.76))</f>
        <v>0.4</v>
      </c>
      <c r="BR325" s="923"/>
      <c r="BS325" s="1503"/>
      <c r="BT325" s="1503"/>
      <c r="BU325" s="1503"/>
      <c r="BV325" s="1503"/>
    </row>
    <row r="326" spans="1:74">
      <c r="A326" s="108"/>
      <c r="B326" s="108"/>
      <c r="C326" s="1127" t="s">
        <v>572</v>
      </c>
      <c r="D326" s="36"/>
      <c r="E326" s="122"/>
      <c r="F326" s="123"/>
      <c r="G326" s="123"/>
      <c r="H326" s="915"/>
      <c r="I326" s="36"/>
      <c r="J326" s="122"/>
      <c r="K326" s="123"/>
      <c r="L326" s="123"/>
      <c r="M326" s="915"/>
      <c r="N326" s="36"/>
      <c r="O326" s="122"/>
      <c r="P326" s="123"/>
      <c r="Q326" s="123"/>
      <c r="R326" s="915"/>
      <c r="S326" s="110"/>
      <c r="T326" s="912"/>
      <c r="U326" s="178"/>
      <c r="V326" s="178"/>
      <c r="W326" s="179"/>
      <c r="X326" s="44"/>
      <c r="Y326" s="912">
        <f>(Y323*Y325*(8760/1000))/4</f>
        <v>158.55600000000001</v>
      </c>
      <c r="Z326" s="178">
        <f>(Z323*Z325*(8760/1000))/4</f>
        <v>158.55600000000001</v>
      </c>
      <c r="AA326" s="178">
        <f>(AA323*AA325*(8760/1000))/4</f>
        <v>158.55600000000001</v>
      </c>
      <c r="AB326" s="179">
        <f>(AB323*AB325*(8760/1000))/4</f>
        <v>158.55600000000001</v>
      </c>
      <c r="AC326" s="44">
        <f>SUM(Y326:AB326)</f>
        <v>634.22400000000005</v>
      </c>
      <c r="AD326" s="912">
        <f>(AD323*AD325*(8760/1000))/4</f>
        <v>158.55600000000001</v>
      </c>
      <c r="AE326" s="178">
        <f>(AE323*AE325*(8760/1000))/4</f>
        <v>158.55600000000001</v>
      </c>
      <c r="AF326" s="178">
        <f>(AF323*AF325*(8760/1000))/4</f>
        <v>158.55600000000001</v>
      </c>
      <c r="AG326" s="179">
        <f>(AG323*AG325*(8760/1000))/4</f>
        <v>158.55600000000001</v>
      </c>
      <c r="AH326" s="44">
        <f>SUM(AD326:AG326)</f>
        <v>634.22400000000005</v>
      </c>
      <c r="AI326" s="912">
        <f>(AI323*AI325*(8760/1000))/4</f>
        <v>158.55600000000001</v>
      </c>
      <c r="AJ326" s="178">
        <f>(AJ323*AJ325*(8760/1000))/4</f>
        <v>158.55600000000001</v>
      </c>
      <c r="AK326" s="178">
        <f>(AK323*AK325*(8760/1000))/4</f>
        <v>158.55600000000001</v>
      </c>
      <c r="AL326" s="179">
        <f>(AL323*AL325*(8760/1000))/4</f>
        <v>158.55600000000001</v>
      </c>
      <c r="AM326" s="44">
        <f>SUM(AI326:AL326)</f>
        <v>634.22400000000005</v>
      </c>
      <c r="AN326" s="912">
        <f>(AN323*AN325*(8760/1000))/4</f>
        <v>158.55600000000001</v>
      </c>
      <c r="AO326" s="178">
        <f>(AO323*AO325*(8760/1000))/4</f>
        <v>158.55600000000001</v>
      </c>
      <c r="AP326" s="178">
        <f>(AP323*AP325*(8760/1000))/4</f>
        <v>158.55600000000001</v>
      </c>
      <c r="AQ326" s="179">
        <f>(AQ323*AQ325*(8760/1000))/4</f>
        <v>158.55600000000001</v>
      </c>
      <c r="AR326" s="44">
        <f>SUM(AN326:AQ326)</f>
        <v>634.22400000000005</v>
      </c>
      <c r="AS326" s="912">
        <f>(AS323*AS325*(8760/1000))/4</f>
        <v>158.55600000000001</v>
      </c>
      <c r="AT326" s="178">
        <f>(AT323*AT325*(8760/1000))/4</f>
        <v>158.55600000000001</v>
      </c>
      <c r="AU326" s="178">
        <f t="shared" ref="AU326" si="884">(AU323*AU325*(8760/1000))/4</f>
        <v>158.55600000000001</v>
      </c>
      <c r="AV326" s="179">
        <f>(AV323*AV325*(8760/1000))/4</f>
        <v>158.55600000000001</v>
      </c>
      <c r="AW326" s="44">
        <f>SUM(AS326:AV326)</f>
        <v>634.22400000000005</v>
      </c>
      <c r="AX326" s="912">
        <f>(AX323*AX325*(8760/1000))/4</f>
        <v>158.55600000000001</v>
      </c>
      <c r="AY326" s="178">
        <f>(AY323*AY325*(8760/1000))/4</f>
        <v>158.55600000000001</v>
      </c>
      <c r="AZ326" s="178">
        <f>(AZ323*AZ325*(8760/1000))/4</f>
        <v>158.55600000000001</v>
      </c>
      <c r="BA326" s="179">
        <f>(BA323*BA325*(8760/1000))/4</f>
        <v>158.55600000000001</v>
      </c>
      <c r="BB326" s="44">
        <f>SUM(AX326:BA326)</f>
        <v>634.22400000000005</v>
      </c>
      <c r="BC326" s="912">
        <f>(BC323*BC325*(8760/1000))/4</f>
        <v>158.55600000000001</v>
      </c>
      <c r="BD326" s="178">
        <f>(BD323*BD325*(8760/1000))/4</f>
        <v>158.55600000000001</v>
      </c>
      <c r="BE326" s="178">
        <f>(BE323*BE325*(8760/1000))/4</f>
        <v>158.55600000000001</v>
      </c>
      <c r="BF326" s="179">
        <f>(BF323*BF325*(8760/1000))/4</f>
        <v>158.55600000000001</v>
      </c>
      <c r="BG326" s="44">
        <f>SUM(BC326:BF326)</f>
        <v>634.22400000000005</v>
      </c>
      <c r="BH326" s="912">
        <f>(BH323*BH325*(8760/1000))/4</f>
        <v>158.55600000000001</v>
      </c>
      <c r="BI326" s="178">
        <f>(BI323*BI325*(8760/1000))/4</f>
        <v>158.55600000000001</v>
      </c>
      <c r="BJ326" s="178">
        <f>(BJ323*BJ325*(8760/1000))/4</f>
        <v>158.55600000000001</v>
      </c>
      <c r="BK326" s="179">
        <f>(BK323*BK325*(8760/1000))/4</f>
        <v>158.55600000000001</v>
      </c>
      <c r="BL326" s="44">
        <f>SUM(BH326:BK326)</f>
        <v>634.22400000000005</v>
      </c>
      <c r="BM326" s="912">
        <f>(BM323*BM325*(8760/1000))/4</f>
        <v>158.55600000000001</v>
      </c>
      <c r="BN326" s="178">
        <f>(BN323*BN325*(8760/1000))/4</f>
        <v>158.55600000000001</v>
      </c>
      <c r="BO326" s="178">
        <f>(BO323*BO325*(8760/1000))/4</f>
        <v>158.55600000000001</v>
      </c>
      <c r="BP326" s="179">
        <f>(BP323*BP325*(8760/1000))/4</f>
        <v>158.55600000000001</v>
      </c>
      <c r="BQ326" s="44">
        <f>SUM(BM326:BP326)</f>
        <v>634.22400000000005</v>
      </c>
      <c r="BR326" s="44"/>
      <c r="BS326" s="1503"/>
      <c r="BT326" s="1503"/>
      <c r="BU326" s="1503"/>
      <c r="BV326" s="1503"/>
    </row>
    <row r="327" spans="1:74">
      <c r="A327" s="108"/>
      <c r="B327" s="108"/>
      <c r="C327" s="1127"/>
      <c r="D327" s="36"/>
      <c r="E327" s="122"/>
      <c r="F327" s="123"/>
      <c r="G327" s="123"/>
      <c r="H327" s="915"/>
      <c r="I327" s="36"/>
      <c r="J327" s="122"/>
      <c r="K327" s="123"/>
      <c r="L327" s="123"/>
      <c r="M327" s="915"/>
      <c r="N327" s="36"/>
      <c r="O327" s="122"/>
      <c r="P327" s="123"/>
      <c r="Q327" s="123"/>
      <c r="R327" s="915"/>
      <c r="S327" s="110"/>
      <c r="T327" s="146"/>
      <c r="U327" s="181"/>
      <c r="V327" s="181"/>
      <c r="W327" s="182"/>
      <c r="X327" s="110"/>
      <c r="Y327" s="146"/>
      <c r="Z327" s="181"/>
      <c r="AA327" s="181"/>
      <c r="AB327" s="182"/>
      <c r="AC327" s="110"/>
      <c r="AD327" s="146"/>
      <c r="AE327" s="181"/>
      <c r="AF327" s="181"/>
      <c r="AG327" s="182"/>
      <c r="AH327" s="110"/>
      <c r="AI327" s="146"/>
      <c r="AJ327" s="181"/>
      <c r="AK327" s="181"/>
      <c r="AL327" s="182"/>
      <c r="AM327" s="110"/>
      <c r="AN327" s="146"/>
      <c r="AO327" s="181"/>
      <c r="AP327" s="181"/>
      <c r="AQ327" s="182"/>
      <c r="AR327" s="110"/>
      <c r="AS327" s="146"/>
      <c r="AT327" s="181"/>
      <c r="AU327" s="181"/>
      <c r="AV327" s="182"/>
      <c r="AW327" s="110"/>
      <c r="AX327" s="146"/>
      <c r="AY327" s="181"/>
      <c r="AZ327" s="181"/>
      <c r="BA327" s="182"/>
      <c r="BB327" s="110"/>
      <c r="BC327" s="146"/>
      <c r="BD327" s="181"/>
      <c r="BE327" s="181"/>
      <c r="BF327" s="182"/>
      <c r="BG327" s="110"/>
      <c r="BH327" s="146"/>
      <c r="BI327" s="181"/>
      <c r="BJ327" s="181"/>
      <c r="BK327" s="182"/>
      <c r="BL327" s="110"/>
      <c r="BM327" s="146"/>
      <c r="BN327" s="181"/>
      <c r="BO327" s="181"/>
      <c r="BP327" s="182"/>
      <c r="BQ327" s="110"/>
      <c r="BR327" s="110"/>
      <c r="BS327" s="1503"/>
      <c r="BT327" s="1503"/>
      <c r="BU327" s="1503"/>
      <c r="BV327" s="1503"/>
    </row>
    <row r="328" spans="1:74">
      <c r="A328" s="108"/>
      <c r="B328" s="108"/>
      <c r="C328" s="1127" t="s">
        <v>573</v>
      </c>
      <c r="D328" s="36"/>
      <c r="E328" s="122"/>
      <c r="F328" s="123"/>
      <c r="G328" s="123"/>
      <c r="H328" s="915"/>
      <c r="I328" s="927">
        <v>0.25</v>
      </c>
      <c r="J328" s="122"/>
      <c r="K328" s="123"/>
      <c r="L328" s="123"/>
      <c r="M328" s="915"/>
      <c r="N328" s="36"/>
      <c r="O328" s="122"/>
      <c r="P328" s="123"/>
      <c r="Q328" s="123"/>
      <c r="R328" s="915"/>
      <c r="S328" s="110"/>
      <c r="T328" s="920"/>
      <c r="U328" s="958"/>
      <c r="V328" s="958"/>
      <c r="W328" s="959"/>
      <c r="X328" s="923"/>
      <c r="Y328" s="920">
        <f>IF(Y320&gt;Y321,$I328,0%)</f>
        <v>0.25</v>
      </c>
      <c r="Z328" s="958">
        <f>IF(Z320&gt;Z321,$I328,0%)</f>
        <v>0.25</v>
      </c>
      <c r="AA328" s="958">
        <f>IF(AA320&gt;AA321,$I328,0%)</f>
        <v>0.25</v>
      </c>
      <c r="AB328" s="959">
        <f>IF(AB320&gt;AB321,$I328,0%)</f>
        <v>0.25</v>
      </c>
      <c r="AC328" s="923">
        <f>AVERAGE(Y328:AB328)</f>
        <v>0.25</v>
      </c>
      <c r="AD328" s="920">
        <f>IF(AD320&gt;AD321,$I328,0%)</f>
        <v>0.25</v>
      </c>
      <c r="AE328" s="958">
        <f>IF(AE320&gt;AE321,$I328,0%)</f>
        <v>0.25</v>
      </c>
      <c r="AF328" s="958">
        <f>IF(AF320&gt;AF321,$I328,0%)</f>
        <v>0.25</v>
      </c>
      <c r="AG328" s="959">
        <f>IF(AG320&gt;AG321,$I328,0%)</f>
        <v>0.25</v>
      </c>
      <c r="AH328" s="923">
        <f>AVERAGE(AD328:AG328)</f>
        <v>0.25</v>
      </c>
      <c r="AI328" s="920">
        <f>IF(AI320&gt;AI321,$I328,0%)</f>
        <v>0.25</v>
      </c>
      <c r="AJ328" s="958">
        <f>IF(AJ320&gt;AJ321,$I328,0%)</f>
        <v>0</v>
      </c>
      <c r="AK328" s="958">
        <f>IF(AK320&gt;AK321,$I328,0%)</f>
        <v>0</v>
      </c>
      <c r="AL328" s="959">
        <f>IF(AL320&gt;AL321,$I328,0%)</f>
        <v>0</v>
      </c>
      <c r="AM328" s="923">
        <f>AVERAGE(AI328:AL328)</f>
        <v>6.25E-2</v>
      </c>
      <c r="AN328" s="920">
        <f>IF(AN320&gt;AN321,$I328,0%)</f>
        <v>0</v>
      </c>
      <c r="AO328" s="958">
        <f>IF(AO320&gt;AO321,$I328,0%)</f>
        <v>0</v>
      </c>
      <c r="AP328" s="958">
        <f>IF(AP320&gt;AP321,$I328,0%)</f>
        <v>0</v>
      </c>
      <c r="AQ328" s="959">
        <f>IF(AQ320&gt;AQ321,$I328,0%)</f>
        <v>0</v>
      </c>
      <c r="AR328" s="923">
        <f>AVERAGE(AN328:AQ328)</f>
        <v>0</v>
      </c>
      <c r="AS328" s="920">
        <f>IF(AS320&gt;AS321,$I328,0%)</f>
        <v>0</v>
      </c>
      <c r="AT328" s="958">
        <f>IF(AT320&gt;AT321,$I328,0%)</f>
        <v>0</v>
      </c>
      <c r="AU328" s="958">
        <f t="shared" ref="AU328" si="885">IF(AU320&gt;AU321,$I328,0%)</f>
        <v>0</v>
      </c>
      <c r="AV328" s="959">
        <f>IF(AV320&gt;AV321,$I328,0%)</f>
        <v>0</v>
      </c>
      <c r="AW328" s="923">
        <f>AVERAGE(AS328:AV328)</f>
        <v>0</v>
      </c>
      <c r="AX328" s="920">
        <f>IF(AX320&gt;AX321,$I328,0%)</f>
        <v>0.25</v>
      </c>
      <c r="AY328" s="958">
        <f>IF(AY320&gt;AY321,$I328,0%)</f>
        <v>0.25</v>
      </c>
      <c r="AZ328" s="958">
        <f>IF(AZ320&gt;AZ321,$I328,0%)</f>
        <v>0.25</v>
      </c>
      <c r="BA328" s="959">
        <f>IF(BA320&gt;BA321,$I328,0%)</f>
        <v>0.25</v>
      </c>
      <c r="BB328" s="923">
        <f>AVERAGE(AX328:BA328)</f>
        <v>0.25</v>
      </c>
      <c r="BC328" s="920">
        <f>IF(BC320&gt;BC321,$I328,0%)</f>
        <v>0.25</v>
      </c>
      <c r="BD328" s="958">
        <f>IF(BD320&gt;BD321,$I328,0%)</f>
        <v>0.25</v>
      </c>
      <c r="BE328" s="958">
        <f>IF(BE320&gt;BE321,$I328,0%)</f>
        <v>0.25</v>
      </c>
      <c r="BF328" s="959">
        <f>IF(BF320&gt;BF321,$I328,0%)</f>
        <v>0.25</v>
      </c>
      <c r="BG328" s="923">
        <f>AVERAGE(BC328:BF328)</f>
        <v>0.25</v>
      </c>
      <c r="BH328" s="920">
        <f>IF(BH320&gt;BH321,$I328,0%)</f>
        <v>0.25</v>
      </c>
      <c r="BI328" s="958">
        <f>IF(BI320&gt;BI321,$I328,0%)</f>
        <v>0.25</v>
      </c>
      <c r="BJ328" s="958">
        <f>IF(BJ320&gt;BJ321,$I328,0%)</f>
        <v>0.25</v>
      </c>
      <c r="BK328" s="959">
        <f>IF(BK320&gt;BK321,$I328,0%)</f>
        <v>0.25</v>
      </c>
      <c r="BL328" s="923">
        <f>AVERAGE(BH328:BK328)</f>
        <v>0.25</v>
      </c>
      <c r="BM328" s="920">
        <f>IF(BM320&gt;BM321,$I328,0%)</f>
        <v>0.25</v>
      </c>
      <c r="BN328" s="958">
        <f>IF(BN320&gt;BN321,$I328,0%)</f>
        <v>0.25</v>
      </c>
      <c r="BO328" s="958">
        <f>IF(BO320&gt;BO321,$I328,0%)</f>
        <v>0.25</v>
      </c>
      <c r="BP328" s="959">
        <f>IF(BP320&gt;BP321,$I328,0%)</f>
        <v>0.25</v>
      </c>
      <c r="BQ328" s="923">
        <f>AVERAGE(BM328:BP328)</f>
        <v>0.25</v>
      </c>
      <c r="BR328" s="923"/>
      <c r="BS328" s="1503"/>
      <c r="BT328" s="1503"/>
      <c r="BU328" s="1503"/>
      <c r="BV328" s="1503"/>
    </row>
    <row r="329" spans="1:74">
      <c r="A329" s="108"/>
      <c r="B329" s="108"/>
      <c r="C329" s="1127" t="s">
        <v>579</v>
      </c>
      <c r="D329" s="36"/>
      <c r="E329" s="122"/>
      <c r="F329" s="123"/>
      <c r="G329" s="123"/>
      <c r="H329" s="915"/>
      <c r="I329" s="36"/>
      <c r="J329" s="122"/>
      <c r="K329" s="123"/>
      <c r="L329" s="123"/>
      <c r="M329" s="915"/>
      <c r="N329" s="36"/>
      <c r="O329" s="122"/>
      <c r="P329" s="123"/>
      <c r="Q329" s="123"/>
      <c r="R329" s="915"/>
      <c r="S329" s="110"/>
      <c r="T329" s="912"/>
      <c r="U329" s="178"/>
      <c r="V329" s="178"/>
      <c r="W329" s="179"/>
      <c r="X329" s="44"/>
      <c r="Y329" s="912">
        <f>(Y323*Y328*(8760/1000))/4</f>
        <v>99.097499999999997</v>
      </c>
      <c r="Z329" s="178">
        <f>(Z323*Z328*(8760/1000))/4</f>
        <v>99.097499999999997</v>
      </c>
      <c r="AA329" s="178">
        <f>(AA323*AA328*(8760/1000))/4</f>
        <v>99.097499999999997</v>
      </c>
      <c r="AB329" s="179">
        <f>(AB323*AB328*(8760/1000))/4</f>
        <v>99.097499999999997</v>
      </c>
      <c r="AC329" s="44">
        <f>SUM(Y329:AB329)</f>
        <v>396.39</v>
      </c>
      <c r="AD329" s="912">
        <f>(AD323*AD328*(8760/1000))/4</f>
        <v>99.097499999999997</v>
      </c>
      <c r="AE329" s="178">
        <f>(AE323*AE328*(8760/1000))/4</f>
        <v>99.097499999999997</v>
      </c>
      <c r="AF329" s="178">
        <f>(AF323*AF328*(8760/1000))/4</f>
        <v>99.097499999999997</v>
      </c>
      <c r="AG329" s="179">
        <f>(AG323*AG328*(8760/1000))/4</f>
        <v>99.097499999999997</v>
      </c>
      <c r="AH329" s="44">
        <f>SUM(AD329:AG329)</f>
        <v>396.39</v>
      </c>
      <c r="AI329" s="912">
        <f>(AI323*AI328*(8760/1000))/4</f>
        <v>99.097499999999997</v>
      </c>
      <c r="AJ329" s="178">
        <f>(AJ323*AJ328*(8760/1000))/4</f>
        <v>0</v>
      </c>
      <c r="AK329" s="178">
        <f>(AK323*AK328*(8760/1000))/4</f>
        <v>0</v>
      </c>
      <c r="AL329" s="179">
        <f>(AL323*AL328*(8760/1000))/4</f>
        <v>0</v>
      </c>
      <c r="AM329" s="44">
        <f>SUM(AI329:AL329)</f>
        <v>99.097499999999997</v>
      </c>
      <c r="AN329" s="912">
        <f>(AN323*AN328*(8760/1000))/4</f>
        <v>0</v>
      </c>
      <c r="AO329" s="178">
        <f>(AO323*AO328*(8760/1000))/4</f>
        <v>0</v>
      </c>
      <c r="AP329" s="178">
        <f>(AP323*AP328*(8760/1000))/4</f>
        <v>0</v>
      </c>
      <c r="AQ329" s="179">
        <f>(AQ323*AQ328*(8760/1000))/4</f>
        <v>0</v>
      </c>
      <c r="AR329" s="44">
        <f>SUM(AN329:AQ329)</f>
        <v>0</v>
      </c>
      <c r="AS329" s="912">
        <f>(AS323*AS328*(8760/1000))/4</f>
        <v>0</v>
      </c>
      <c r="AT329" s="178">
        <f>(AT323*AT328*(8760/1000))/4</f>
        <v>0</v>
      </c>
      <c r="AU329" s="178">
        <f t="shared" ref="AU329" si="886">(AU323*AU328*(8760/1000))/4</f>
        <v>0</v>
      </c>
      <c r="AV329" s="179">
        <f>(AV323*AV328*(8760/1000))/4</f>
        <v>0</v>
      </c>
      <c r="AW329" s="44">
        <f>SUM(AS329:AV329)</f>
        <v>0</v>
      </c>
      <c r="AX329" s="912">
        <f>(AX323*AX328*(8760/1000))/4</f>
        <v>99.097499999999997</v>
      </c>
      <c r="AY329" s="178">
        <f>(AY323*AY328*(8760/1000))/4</f>
        <v>99.097499999999997</v>
      </c>
      <c r="AZ329" s="178">
        <f>(AZ323*AZ328*(8760/1000))/4</f>
        <v>99.097499999999997</v>
      </c>
      <c r="BA329" s="179">
        <f>(BA323*BA328*(8760/1000))/4</f>
        <v>99.097499999999997</v>
      </c>
      <c r="BB329" s="44">
        <f>SUM(AX329:BA329)</f>
        <v>396.39</v>
      </c>
      <c r="BC329" s="912">
        <f>(BC323*BC328*(8760/1000))/4</f>
        <v>99.097499999999997</v>
      </c>
      <c r="BD329" s="178">
        <f>(BD323*BD328*(8760/1000))/4</f>
        <v>99.097499999999997</v>
      </c>
      <c r="BE329" s="178">
        <f>(BE323*BE328*(8760/1000))/4</f>
        <v>99.097499999999997</v>
      </c>
      <c r="BF329" s="179">
        <f>(BF323*BF328*(8760/1000))/4</f>
        <v>99.097499999999997</v>
      </c>
      <c r="BG329" s="44">
        <f>SUM(BC329:BF329)</f>
        <v>396.39</v>
      </c>
      <c r="BH329" s="912">
        <f>(BH323*BH328*(8760/1000))/4</f>
        <v>99.097499999999997</v>
      </c>
      <c r="BI329" s="178">
        <f>(BI323*BI328*(8760/1000))/4</f>
        <v>99.097499999999997</v>
      </c>
      <c r="BJ329" s="178">
        <f>(BJ323*BJ328*(8760/1000))/4</f>
        <v>99.097499999999997</v>
      </c>
      <c r="BK329" s="179">
        <f>(BK323*BK328*(8760/1000))/4</f>
        <v>99.097499999999997</v>
      </c>
      <c r="BL329" s="44">
        <f>SUM(BH329:BK329)</f>
        <v>396.39</v>
      </c>
      <c r="BM329" s="912">
        <f>(BM323*BM328*(8760/1000))/4</f>
        <v>99.097499999999997</v>
      </c>
      <c r="BN329" s="178">
        <f>(BN323*BN328*(8760/1000))/4</f>
        <v>99.097499999999997</v>
      </c>
      <c r="BO329" s="178">
        <f>(BO323*BO328*(8760/1000))/4</f>
        <v>99.097499999999997</v>
      </c>
      <c r="BP329" s="179">
        <f>(BP323*BP328*(8760/1000))/4</f>
        <v>99.097499999999997</v>
      </c>
      <c r="BQ329" s="44">
        <f>SUM(BM329:BP329)</f>
        <v>396.39</v>
      </c>
      <c r="BR329" s="44"/>
      <c r="BS329" s="1503"/>
      <c r="BT329" s="1503"/>
      <c r="BU329" s="1503"/>
      <c r="BV329" s="1503"/>
    </row>
    <row r="330" spans="1:74">
      <c r="A330" s="108"/>
      <c r="B330" s="108"/>
      <c r="C330" s="1127"/>
      <c r="D330" s="36"/>
      <c r="E330" s="122"/>
      <c r="F330" s="123"/>
      <c r="G330" s="123"/>
      <c r="H330" s="915"/>
      <c r="I330" s="36"/>
      <c r="J330" s="122"/>
      <c r="K330" s="123"/>
      <c r="L330" s="123"/>
      <c r="M330" s="915"/>
      <c r="N330" s="36"/>
      <c r="O330" s="122"/>
      <c r="P330" s="123"/>
      <c r="Q330" s="123"/>
      <c r="R330" s="915"/>
      <c r="S330" s="110"/>
      <c r="T330" s="912"/>
      <c r="U330" s="178"/>
      <c r="V330" s="178"/>
      <c r="W330" s="179"/>
      <c r="X330" s="110"/>
      <c r="Y330" s="912"/>
      <c r="Z330" s="178"/>
      <c r="AA330" s="178"/>
      <c r="AB330" s="179"/>
      <c r="AC330" s="110"/>
      <c r="AD330" s="912"/>
      <c r="AE330" s="178"/>
      <c r="AF330" s="178"/>
      <c r="AG330" s="179"/>
      <c r="AH330" s="110"/>
      <c r="AI330" s="912"/>
      <c r="AJ330" s="178"/>
      <c r="AK330" s="178"/>
      <c r="AL330" s="179"/>
      <c r="AM330" s="110"/>
      <c r="AN330" s="912"/>
      <c r="AO330" s="178"/>
      <c r="AP330" s="178"/>
      <c r="AQ330" s="179"/>
      <c r="AR330" s="110"/>
      <c r="AS330" s="912"/>
      <c r="AT330" s="178"/>
      <c r="AU330" s="178"/>
      <c r="AV330" s="179"/>
      <c r="AW330" s="110"/>
      <c r="AX330" s="912"/>
      <c r="AY330" s="178"/>
      <c r="AZ330" s="178"/>
      <c r="BA330" s="179"/>
      <c r="BB330" s="110"/>
      <c r="BC330" s="912"/>
      <c r="BD330" s="178"/>
      <c r="BE330" s="178"/>
      <c r="BF330" s="179"/>
      <c r="BG330" s="110"/>
      <c r="BH330" s="912"/>
      <c r="BI330" s="178"/>
      <c r="BJ330" s="178"/>
      <c r="BK330" s="179"/>
      <c r="BL330" s="110"/>
      <c r="BM330" s="912"/>
      <c r="BN330" s="178"/>
      <c r="BO330" s="178"/>
      <c r="BP330" s="179"/>
      <c r="BQ330" s="110"/>
      <c r="BR330" s="110"/>
      <c r="BS330" s="1503"/>
      <c r="BT330" s="1503"/>
      <c r="BU330" s="1503"/>
      <c r="BV330" s="1503"/>
    </row>
    <row r="331" spans="1:74">
      <c r="A331" s="108"/>
      <c r="B331" s="108"/>
      <c r="C331" s="1127" t="s">
        <v>580</v>
      </c>
      <c r="D331" s="36"/>
      <c r="E331" s="122"/>
      <c r="F331" s="123"/>
      <c r="G331" s="123"/>
      <c r="H331" s="915"/>
      <c r="I331" s="36"/>
      <c r="J331" s="122"/>
      <c r="K331" s="123"/>
      <c r="L331" s="123"/>
      <c r="M331" s="915"/>
      <c r="N331" s="36"/>
      <c r="O331" s="122"/>
      <c r="P331" s="123"/>
      <c r="Q331" s="123"/>
      <c r="R331" s="915"/>
      <c r="S331" s="110"/>
      <c r="T331" s="920"/>
      <c r="U331" s="958"/>
      <c r="V331" s="958"/>
      <c r="W331" s="959"/>
      <c r="X331" s="923"/>
      <c r="Y331" s="920">
        <f>(Y329+Y326)/(8.76*Y323/4)</f>
        <v>0.65</v>
      </c>
      <c r="Z331" s="958">
        <f>(Z329+Z326)/(8.76*Z323/4)</f>
        <v>0.65</v>
      </c>
      <c r="AA331" s="958">
        <f>(AA329+AA326)/(8.76*AA323/4)</f>
        <v>0.65</v>
      </c>
      <c r="AB331" s="959">
        <f>(AB329+AB326)/(8.76*AB323/4)</f>
        <v>0.65</v>
      </c>
      <c r="AC331" s="923">
        <f>AVERAGE(Y331:AB331)</f>
        <v>0.65</v>
      </c>
      <c r="AD331" s="920">
        <f>(AD329+AD326)/(8.76*AD323/4)</f>
        <v>0.65</v>
      </c>
      <c r="AE331" s="958">
        <f>(AE329+AE326)/(8.76*AE323/4)</f>
        <v>0.65</v>
      </c>
      <c r="AF331" s="958">
        <f>(AF329+AF326)/(8.76*AF323/4)</f>
        <v>0.65</v>
      </c>
      <c r="AG331" s="959">
        <f>(AG329+AG326)/(8.76*AG323/4)</f>
        <v>0.65</v>
      </c>
      <c r="AH331" s="923">
        <f>AVERAGE(AD331:AG331)</f>
        <v>0.65</v>
      </c>
      <c r="AI331" s="920">
        <f>(AI329+AI326)/(8.76*AI323/4)</f>
        <v>0.65</v>
      </c>
      <c r="AJ331" s="958">
        <f>(AJ329+AJ326)/(8.76*AJ323/4)</f>
        <v>0.4</v>
      </c>
      <c r="AK331" s="958">
        <f>(AK329+AK326)/(8.76*AK323/4)</f>
        <v>0.4</v>
      </c>
      <c r="AL331" s="959">
        <f>(AL329+AL326)/(8.76*AL323/4)</f>
        <v>0.4</v>
      </c>
      <c r="AM331" s="923">
        <f>AVERAGE(AI331:AL331)</f>
        <v>0.46250000000000002</v>
      </c>
      <c r="AN331" s="920">
        <f>(AN329+AN326)/(8.76*AN323/4)</f>
        <v>0.4</v>
      </c>
      <c r="AO331" s="958">
        <f>(AO329+AO326)/(8.76*AO323/4)</f>
        <v>0.4</v>
      </c>
      <c r="AP331" s="958">
        <f>(AP329+AP326)/(8.76*AP323/4)</f>
        <v>0.4</v>
      </c>
      <c r="AQ331" s="959">
        <f>(AQ329+AQ326)/(8.76*AQ323/4)</f>
        <v>0.4</v>
      </c>
      <c r="AR331" s="923">
        <f>AVERAGE(AN331:AQ331)</f>
        <v>0.4</v>
      </c>
      <c r="AS331" s="920">
        <f>(AS329+AS326)/(8.76*AS323/4)</f>
        <v>0.4</v>
      </c>
      <c r="AT331" s="958">
        <f>(AT329+AT326)/(8.76*AT323/4)</f>
        <v>0.4</v>
      </c>
      <c r="AU331" s="958">
        <f t="shared" ref="AU331" si="887">(AU329+AU326)/(8.76*AU323/4)</f>
        <v>0.4</v>
      </c>
      <c r="AV331" s="959">
        <f>(AV329+AV326)/(8.76*AV323/4)</f>
        <v>0.4</v>
      </c>
      <c r="AW331" s="923">
        <f>AVERAGE(AS331:AV331)</f>
        <v>0.4</v>
      </c>
      <c r="AX331" s="920">
        <f>(AX329+AX326)/(8.76*AX323/4)</f>
        <v>0.65</v>
      </c>
      <c r="AY331" s="958">
        <f>(AY329+AY326)/(8.76*AY323/4)</f>
        <v>0.65</v>
      </c>
      <c r="AZ331" s="958">
        <f>(AZ329+AZ326)/(8.76*AZ323/4)</f>
        <v>0.65</v>
      </c>
      <c r="BA331" s="959">
        <f>(BA329+BA326)/(8.76*BA323/4)</f>
        <v>0.65</v>
      </c>
      <c r="BB331" s="923">
        <f>AVERAGE(AX331:BA331)</f>
        <v>0.65</v>
      </c>
      <c r="BC331" s="920">
        <f>(BC329+BC326)/(8.76*BC323/4)</f>
        <v>0.65</v>
      </c>
      <c r="BD331" s="958">
        <f>(BD329+BD326)/(8.76*BD323/4)</f>
        <v>0.65</v>
      </c>
      <c r="BE331" s="958">
        <f>(BE329+BE326)/(8.76*BE323/4)</f>
        <v>0.65</v>
      </c>
      <c r="BF331" s="959">
        <f>(BF329+BF326)/(8.76*BF323/4)</f>
        <v>0.65</v>
      </c>
      <c r="BG331" s="923">
        <f>AVERAGE(BC331:BF331)</f>
        <v>0.65</v>
      </c>
      <c r="BH331" s="920">
        <f>(BH329+BH326)/(8.76*BH323/4)</f>
        <v>0.65</v>
      </c>
      <c r="BI331" s="958">
        <f>(BI329+BI326)/(8.76*BI323/4)</f>
        <v>0.65</v>
      </c>
      <c r="BJ331" s="958">
        <f>(BJ329+BJ326)/(8.76*BJ323/4)</f>
        <v>0.65</v>
      </c>
      <c r="BK331" s="959">
        <f>(BK329+BK326)/(8.76*BK323/4)</f>
        <v>0.65</v>
      </c>
      <c r="BL331" s="923">
        <f>AVERAGE(BH331:BK331)</f>
        <v>0.65</v>
      </c>
      <c r="BM331" s="920">
        <f>(BM329+BM326)/(8.76*BM323/4)</f>
        <v>0.65</v>
      </c>
      <c r="BN331" s="958">
        <f>(BN329+BN326)/(8.76*BN323/4)</f>
        <v>0.65</v>
      </c>
      <c r="BO331" s="958">
        <f>(BO329+BO326)/(8.76*BO323/4)</f>
        <v>0.65</v>
      </c>
      <c r="BP331" s="959">
        <f>(BP329+BP326)/(8.76*BP323/4)</f>
        <v>0.65</v>
      </c>
      <c r="BQ331" s="923">
        <f>AVERAGE(BM331:BP331)</f>
        <v>0.65</v>
      </c>
      <c r="BR331" s="923"/>
      <c r="BS331" s="1503"/>
      <c r="BT331" s="1503"/>
      <c r="BU331" s="1503"/>
      <c r="BV331" s="1503"/>
    </row>
    <row r="332" spans="1:74">
      <c r="A332" s="108"/>
      <c r="B332" s="108"/>
      <c r="C332" s="1128" t="s">
        <v>581</v>
      </c>
      <c r="D332" s="36"/>
      <c r="E332" s="122"/>
      <c r="F332" s="123"/>
      <c r="G332" s="123"/>
      <c r="H332" s="915"/>
      <c r="I332" s="36"/>
      <c r="J332" s="122"/>
      <c r="K332" s="123"/>
      <c r="L332" s="123"/>
      <c r="M332" s="915"/>
      <c r="N332" s="36"/>
      <c r="O332" s="122"/>
      <c r="P332" s="123"/>
      <c r="Q332" s="123"/>
      <c r="R332" s="915"/>
      <c r="S332" s="110"/>
      <c r="T332" s="180"/>
      <c r="U332" s="181"/>
      <c r="V332" s="181"/>
      <c r="W332" s="182"/>
      <c r="X332" s="110"/>
      <c r="Y332" s="180">
        <f>+Y329+Y326</f>
        <v>257.65350000000001</v>
      </c>
      <c r="Z332" s="181">
        <f>+Z329+Z326</f>
        <v>257.65350000000001</v>
      </c>
      <c r="AA332" s="181">
        <f>+AA329+AA326</f>
        <v>257.65350000000001</v>
      </c>
      <c r="AB332" s="182">
        <f>+AB329+AB326</f>
        <v>257.65350000000001</v>
      </c>
      <c r="AC332" s="110">
        <f>SUM(Y332:AB332)</f>
        <v>1030.614</v>
      </c>
      <c r="AD332" s="180">
        <f>+AD329+AD326</f>
        <v>257.65350000000001</v>
      </c>
      <c r="AE332" s="181">
        <f>+AE329+AE326</f>
        <v>257.65350000000001</v>
      </c>
      <c r="AF332" s="181">
        <f>+AF329+AF326</f>
        <v>257.65350000000001</v>
      </c>
      <c r="AG332" s="182">
        <f>+AG329+AG326</f>
        <v>257.65350000000001</v>
      </c>
      <c r="AH332" s="110">
        <f>SUM(AD332:AG332)</f>
        <v>1030.614</v>
      </c>
      <c r="AI332" s="180">
        <f>+AI329+AI326</f>
        <v>257.65350000000001</v>
      </c>
      <c r="AJ332" s="181">
        <f>+AJ329+AJ326</f>
        <v>158.55600000000001</v>
      </c>
      <c r="AK332" s="181">
        <f>+AK329+AK326</f>
        <v>158.55600000000001</v>
      </c>
      <c r="AL332" s="182">
        <f>+AL329+AL326</f>
        <v>158.55600000000001</v>
      </c>
      <c r="AM332" s="110">
        <f>SUM(AI332:AL332)</f>
        <v>733.32150000000013</v>
      </c>
      <c r="AN332" s="180">
        <f>+AN329+AN326</f>
        <v>158.55600000000001</v>
      </c>
      <c r="AO332" s="181">
        <f>+AO329+AO326</f>
        <v>158.55600000000001</v>
      </c>
      <c r="AP332" s="181">
        <f>+AP329+AP326</f>
        <v>158.55600000000001</v>
      </c>
      <c r="AQ332" s="182">
        <f>+AQ329+AQ326</f>
        <v>158.55600000000001</v>
      </c>
      <c r="AR332" s="110">
        <f>SUM(AN332:AQ332)</f>
        <v>634.22400000000005</v>
      </c>
      <c r="AS332" s="180">
        <f>+AS329+AS326</f>
        <v>158.55600000000001</v>
      </c>
      <c r="AT332" s="181">
        <f>+AT329+AT326</f>
        <v>158.55600000000001</v>
      </c>
      <c r="AU332" s="181">
        <f t="shared" ref="AU332" si="888">+AU329+AU326</f>
        <v>158.55600000000001</v>
      </c>
      <c r="AV332" s="182">
        <f>+AV329+AV326</f>
        <v>158.55600000000001</v>
      </c>
      <c r="AW332" s="110">
        <f>SUM(AS332:AV332)</f>
        <v>634.22400000000005</v>
      </c>
      <c r="AX332" s="180">
        <f>+AX329+AX326</f>
        <v>257.65350000000001</v>
      </c>
      <c r="AY332" s="181">
        <f>+AY329+AY326</f>
        <v>257.65350000000001</v>
      </c>
      <c r="AZ332" s="181">
        <f>+AZ329+AZ326</f>
        <v>257.65350000000001</v>
      </c>
      <c r="BA332" s="182">
        <f>+BA329+BA326</f>
        <v>257.65350000000001</v>
      </c>
      <c r="BB332" s="110">
        <f>SUM(AX332:BA332)</f>
        <v>1030.614</v>
      </c>
      <c r="BC332" s="180">
        <f>+BC329+BC326</f>
        <v>257.65350000000001</v>
      </c>
      <c r="BD332" s="181">
        <f>+BD329+BD326</f>
        <v>257.65350000000001</v>
      </c>
      <c r="BE332" s="181">
        <f>+BE329+BE326</f>
        <v>257.65350000000001</v>
      </c>
      <c r="BF332" s="182">
        <f>+BF329+BF326</f>
        <v>257.65350000000001</v>
      </c>
      <c r="BG332" s="110">
        <f>SUM(BC332:BF332)</f>
        <v>1030.614</v>
      </c>
      <c r="BH332" s="180">
        <f>+BH329+BH326</f>
        <v>257.65350000000001</v>
      </c>
      <c r="BI332" s="181">
        <f>+BI329+BI326</f>
        <v>257.65350000000001</v>
      </c>
      <c r="BJ332" s="181">
        <f>+BJ329+BJ326</f>
        <v>257.65350000000001</v>
      </c>
      <c r="BK332" s="182">
        <f>+BK329+BK326</f>
        <v>257.65350000000001</v>
      </c>
      <c r="BL332" s="110">
        <f>SUM(BH332:BK332)</f>
        <v>1030.614</v>
      </c>
      <c r="BM332" s="180">
        <f>+BM329+BM326</f>
        <v>257.65350000000001</v>
      </c>
      <c r="BN332" s="181">
        <f>+BN329+BN326</f>
        <v>257.65350000000001</v>
      </c>
      <c r="BO332" s="181">
        <f>+BO329+BO326</f>
        <v>257.65350000000001</v>
      </c>
      <c r="BP332" s="182">
        <f>+BP329+BP326</f>
        <v>257.65350000000001</v>
      </c>
      <c r="BQ332" s="110">
        <f>SUM(BM332:BP332)</f>
        <v>1030.614</v>
      </c>
      <c r="BR332" s="110"/>
      <c r="BS332" s="1503"/>
      <c r="BT332" s="1503"/>
      <c r="BU332" s="1503"/>
      <c r="BV332" s="1503"/>
    </row>
    <row r="333" spans="1:74">
      <c r="A333" s="108"/>
      <c r="B333" s="108"/>
      <c r="C333" s="1128"/>
      <c r="D333" s="36"/>
      <c r="E333" s="122"/>
      <c r="F333" s="123"/>
      <c r="G333" s="123"/>
      <c r="H333" s="915"/>
      <c r="I333" s="36"/>
      <c r="J333" s="122"/>
      <c r="K333" s="123"/>
      <c r="L333" s="123"/>
      <c r="M333" s="915"/>
      <c r="N333" s="36"/>
      <c r="O333" s="122"/>
      <c r="P333" s="123"/>
      <c r="Q333" s="123"/>
      <c r="R333" s="915"/>
      <c r="S333" s="110"/>
      <c r="T333" s="180"/>
      <c r="U333" s="181"/>
      <c r="V333" s="181"/>
      <c r="W333" s="182"/>
      <c r="X333" s="110"/>
      <c r="Y333" s="180"/>
      <c r="Z333" s="181"/>
      <c r="AA333" s="181"/>
      <c r="AB333" s="182"/>
      <c r="AC333" s="110"/>
      <c r="AD333" s="180"/>
      <c r="AE333" s="181"/>
      <c r="AF333" s="181"/>
      <c r="AG333" s="182"/>
      <c r="AH333" s="110"/>
      <c r="AI333" s="180"/>
      <c r="AJ333" s="181"/>
      <c r="AK333" s="181"/>
      <c r="AL333" s="182"/>
      <c r="AM333" s="110"/>
      <c r="AN333" s="180"/>
      <c r="AO333" s="181"/>
      <c r="AP333" s="181"/>
      <c r="AQ333" s="182"/>
      <c r="AR333" s="110"/>
      <c r="AS333" s="180"/>
      <c r="AT333" s="181"/>
      <c r="AU333" s="181"/>
      <c r="AV333" s="182"/>
      <c r="AW333" s="110"/>
      <c r="AX333" s="180"/>
      <c r="AY333" s="181"/>
      <c r="AZ333" s="181"/>
      <c r="BA333" s="182"/>
      <c r="BB333" s="110"/>
      <c r="BC333" s="180"/>
      <c r="BD333" s="181"/>
      <c r="BE333" s="181"/>
      <c r="BF333" s="182"/>
      <c r="BG333" s="110"/>
      <c r="BH333" s="180"/>
      <c r="BI333" s="181"/>
      <c r="BJ333" s="181"/>
      <c r="BK333" s="182"/>
      <c r="BL333" s="110"/>
      <c r="BM333" s="180"/>
      <c r="BN333" s="181"/>
      <c r="BO333" s="181"/>
      <c r="BP333" s="182"/>
      <c r="BQ333" s="110"/>
      <c r="BR333" s="110"/>
      <c r="BS333" s="1503"/>
      <c r="BT333" s="1503"/>
      <c r="BU333" s="1503"/>
      <c r="BV333" s="1503"/>
    </row>
    <row r="334" spans="1:74">
      <c r="A334" s="108"/>
      <c r="B334" s="108"/>
      <c r="C334" s="1127" t="s">
        <v>546</v>
      </c>
      <c r="D334" s="5"/>
      <c r="E334" s="146"/>
      <c r="F334" s="7"/>
      <c r="G334" s="7"/>
      <c r="H334" s="147"/>
      <c r="I334" s="31"/>
      <c r="J334" s="146"/>
      <c r="K334" s="7"/>
      <c r="L334" s="7"/>
      <c r="M334" s="147"/>
      <c r="N334" s="5"/>
      <c r="O334" s="146"/>
      <c r="P334" s="7"/>
      <c r="Q334" s="7"/>
      <c r="R334" s="147"/>
      <c r="S334" s="5"/>
      <c r="T334" s="885"/>
      <c r="U334" s="886"/>
      <c r="V334" s="886"/>
      <c r="W334" s="887"/>
      <c r="X334" s="832"/>
      <c r="Y334" s="885">
        <f>(Y319/1000*Y326)+(Y320/1000*Y329)</f>
        <v>10.762741947046456</v>
      </c>
      <c r="Z334" s="886">
        <f>(Z319/1000*Z326)+(Z320/1000*Z329)</f>
        <v>9.2571142380666203</v>
      </c>
      <c r="AA334" s="886">
        <f>(AA319/1000*AA326)+(AA320/1000*AA329)</f>
        <v>11.137343372583221</v>
      </c>
      <c r="AB334" s="887">
        <f>(AB319/1000*AB326)+(AB320/1000*AB329)</f>
        <v>10.2285524785805</v>
      </c>
      <c r="AC334" s="832">
        <f>SUM(Y334:AB334)</f>
        <v>41.385752036276799</v>
      </c>
      <c r="AD334" s="885">
        <f>(AD319/1000*AD326)+(AD320/1000*AD329)</f>
        <v>24.192746029262864</v>
      </c>
      <c r="AE334" s="886">
        <f>(AE319/1000*AE326)+(AE320/1000*AE329)</f>
        <v>9.8185052281988323</v>
      </c>
      <c r="AF334" s="886">
        <f>(AF319/1000*AF326)+(AF320/1000*AF329)</f>
        <v>9.1852412658084255</v>
      </c>
      <c r="AG334" s="887">
        <f>(AG319/1000*AG326)+(AG320/1000*AG329)</f>
        <v>8.3890517148896073</v>
      </c>
      <c r="AH334" s="832">
        <f>SUM(AD334:AG334)</f>
        <v>51.585544238159727</v>
      </c>
      <c r="AI334" s="885">
        <f>(AI319/1000*AI326)+(AI320/1000*AI329)</f>
        <v>12.159289192708766</v>
      </c>
      <c r="AJ334" s="886">
        <f>(AJ319/1000*AJ326)+(AJ320/1000*AJ329)</f>
        <v>6.0818164151953162</v>
      </c>
      <c r="AK334" s="886">
        <f>(AK319/1000*AK326)+(AK320/1000*AK329)</f>
        <v>6.434248217307692</v>
      </c>
      <c r="AL334" s="887">
        <f>(AL319/1000*AL326)+(AL320/1000*AL329)</f>
        <v>5.4874714169531256</v>
      </c>
      <c r="AM334" s="832">
        <f>SUM(AI334:AL334)</f>
        <v>30.162825242164899</v>
      </c>
      <c r="AN334" s="885">
        <f>(AN319/1000*AN326)+(AN320/1000*AN329)</f>
        <v>5.6714768936718745</v>
      </c>
      <c r="AO334" s="886">
        <f>(AO319/1000*AO326)+(AO320/1000*AO329)</f>
        <v>5.6714768936718745</v>
      </c>
      <c r="AP334" s="886">
        <f>(AP319/1000*AP326)+(AP320/1000*AP329)</f>
        <v>4.3321856344047607</v>
      </c>
      <c r="AQ334" s="887">
        <f>(AQ319/1000*AQ326)+(AQ320/1000*AQ329)</f>
        <v>4.3321856344047607</v>
      </c>
      <c r="AR334" s="832">
        <f>SUM(AN334:AQ334)</f>
        <v>20.00732505615327</v>
      </c>
      <c r="AS334" s="885">
        <f>(AS319/1000*AS326)+(AS320/1000*AS329)</f>
        <v>4.3837637203125013</v>
      </c>
      <c r="AT334" s="886">
        <f>(AT319/1000*AT326)+(AT320/1000*AT329)</f>
        <v>5.3322723447656237</v>
      </c>
      <c r="AU334" s="886">
        <f t="shared" ref="AU334" si="889">(AU319/1000*AU326)+(AU320/1000*AU329)</f>
        <v>5.5114977926190498</v>
      </c>
      <c r="AV334" s="887">
        <f>(AV319/1000*AV326)+(AV320/1000*AV329)</f>
        <v>5.5864862865476193</v>
      </c>
      <c r="AW334" s="832">
        <f>SUM(AS334:AV334)</f>
        <v>20.814020144244793</v>
      </c>
      <c r="AX334" s="885">
        <f>(AX319/1000*AX326)+(AX320/1000*AX329)</f>
        <v>9.0238760720995597</v>
      </c>
      <c r="AY334" s="886">
        <f>(AY319/1000*AY326)+(AY320/1000*AY329)</f>
        <v>9.204175799999998</v>
      </c>
      <c r="AZ334" s="886">
        <f>(AZ319/1000*AZ326)+(AZ320/1000*AZ329)</f>
        <v>8.2521791499999999</v>
      </c>
      <c r="BA334" s="887">
        <f>(BA319/1000*BA326)+(BA320/1000*BA329)</f>
        <v>9.2666072249999996</v>
      </c>
      <c r="BB334" s="832">
        <f>SUM(AX334:BA334)</f>
        <v>35.746838247099554</v>
      </c>
      <c r="BC334" s="885">
        <f>(BC319/1000*BC326)+(BC320/1000*BC329)</f>
        <v>13.376648151106799</v>
      </c>
      <c r="BD334" s="886">
        <f>(BD319/1000*BD326)+(BD320/1000*BD329)</f>
        <v>8.7049931452288583</v>
      </c>
      <c r="BE334" s="886">
        <f>(BE319/1000*BE326)+(BE320/1000*BE329)</f>
        <v>7.7350489408241589</v>
      </c>
      <c r="BF334" s="887">
        <f>(BF319/1000*BF326)+(BF320/1000*BF329)</f>
        <v>6.9211941145769709</v>
      </c>
      <c r="BG334" s="832">
        <f>SUM(BC334:BF334)</f>
        <v>36.737884351736788</v>
      </c>
      <c r="BH334" s="885">
        <f>(BH319/1000*BH326)+(BH320/1000*BH329)</f>
        <v>13.260260621522828</v>
      </c>
      <c r="BI334" s="886">
        <f>(BI319/1000*BI326)+(BI320/1000*BI329)</f>
        <v>8.6294359569712284</v>
      </c>
      <c r="BJ334" s="886">
        <f>(BJ319/1000*BJ326)+(BJ320/1000*BJ329)</f>
        <v>7.6682028025973441</v>
      </c>
      <c r="BK334" s="887">
        <f>(BK319/1000*BK326)+(BK320/1000*BK329)</f>
        <v>6.8614393601163162</v>
      </c>
      <c r="BL334" s="832">
        <f>SUM(BH334:BK334)</f>
        <v>36.419338741207717</v>
      </c>
      <c r="BM334" s="885">
        <f>(BM319/1000*BM326)+(BM320/1000*BM329)</f>
        <v>9.1874097888177193</v>
      </c>
      <c r="BN334" s="886">
        <f>(BN319/1000*BN326)+(BN320/1000*BN329)</f>
        <v>9.1874097888177193</v>
      </c>
      <c r="BO334" s="886">
        <f>(BO319/1000*BO326)+(BO320/1000*BO329)</f>
        <v>9.1874097888177193</v>
      </c>
      <c r="BP334" s="887">
        <f>(BP319/1000*BP326)+(BP320/1000*BP329)</f>
        <v>9.1874097888177193</v>
      </c>
      <c r="BQ334" s="832">
        <f>SUM(BM334:BP334)</f>
        <v>36.749639155270877</v>
      </c>
      <c r="BR334" s="832"/>
      <c r="BS334" s="1503"/>
      <c r="BT334" s="1503"/>
      <c r="BU334" s="1503"/>
      <c r="BV334" s="1503"/>
    </row>
    <row r="335" spans="1:74">
      <c r="A335" s="108"/>
      <c r="B335" s="108"/>
      <c r="C335" s="1127" t="s">
        <v>633</v>
      </c>
      <c r="D335" s="5"/>
      <c r="E335" s="146"/>
      <c r="F335" s="7"/>
      <c r="G335" s="7"/>
      <c r="H335" s="147"/>
      <c r="I335" s="31"/>
      <c r="J335" s="146"/>
      <c r="K335" s="7"/>
      <c r="L335" s="7"/>
      <c r="M335" s="147"/>
      <c r="N335" s="5"/>
      <c r="O335" s="146"/>
      <c r="P335" s="7"/>
      <c r="Q335" s="7"/>
      <c r="R335" s="147"/>
      <c r="S335" s="5"/>
      <c r="T335" s="885"/>
      <c r="U335" s="886"/>
      <c r="V335" s="886"/>
      <c r="W335" s="887"/>
      <c r="X335" s="832"/>
      <c r="Y335" s="885">
        <f>Y321/1000*Y332</f>
        <v>5.4166355667613644</v>
      </c>
      <c r="Z335" s="886">
        <f>Z321/1000*Z332</f>
        <v>5.4589659647727267</v>
      </c>
      <c r="AA335" s="886">
        <f>AA321/1000*AA332</f>
        <v>5.4420574538352264</v>
      </c>
      <c r="AB335" s="887">
        <f>AB321/1000*AB332</f>
        <v>5.5309749379261373</v>
      </c>
      <c r="AC335" s="832">
        <f>SUM(Y335:AB335)</f>
        <v>21.848633923295452</v>
      </c>
      <c r="AD335" s="885">
        <f>AD321/1000*AD332</f>
        <v>5.7421539626420453</v>
      </c>
      <c r="AE335" s="886">
        <f>AE321/1000*AE332</f>
        <v>5.8389936161931821</v>
      </c>
      <c r="AF335" s="886">
        <f>AF321/1000*AF332</f>
        <v>5.6820873643465903</v>
      </c>
      <c r="AG335" s="887">
        <f>AG321/1000*AG332</f>
        <v>5.6146898032670443</v>
      </c>
      <c r="AH335" s="832">
        <f>SUM(AD335:AG335)</f>
        <v>22.877924746448862</v>
      </c>
      <c r="AI335" s="885">
        <f>AI321/1000*AI332</f>
        <v>5.6247403167613621</v>
      </c>
      <c r="AJ335" s="886">
        <f>AJ321/1000*AJ332</f>
        <v>3.4573766420454533</v>
      </c>
      <c r="AK335" s="886">
        <f>AK321/1000*AK332</f>
        <v>3.4613786564685309</v>
      </c>
      <c r="AL335" s="887">
        <f>AL321/1000*AL332</f>
        <v>3.4377303894230762</v>
      </c>
      <c r="AM335" s="832">
        <f>SUM(AI335:AL335)</f>
        <v>15.981226004698421</v>
      </c>
      <c r="AN335" s="885">
        <f>AN321/1000*AN332</f>
        <v>3.2332638343531466</v>
      </c>
      <c r="AO335" s="886">
        <f>AO321/1000*AO332</f>
        <v>3.2332638343531466</v>
      </c>
      <c r="AP335" s="886">
        <f>AP321/1000*AP332</f>
        <v>3.1823810795454546</v>
      </c>
      <c r="AQ335" s="887">
        <f>AQ321/1000*AQ332</f>
        <v>3.2489080725524477</v>
      </c>
      <c r="AR335" s="832">
        <f>SUM(AN335:AQ335)</f>
        <v>12.897816820804195</v>
      </c>
      <c r="AS335" s="885">
        <f>AS321/1000*AS332</f>
        <v>3.4501002521853144</v>
      </c>
      <c r="AT335" s="886">
        <f>AT321/1000*AT332</f>
        <v>3.4618880037587418</v>
      </c>
      <c r="AU335" s="886">
        <f t="shared" ref="AU335" si="890">AU321/1000*AU332</f>
        <v>3.4541750305069927</v>
      </c>
      <c r="AV335" s="887">
        <f>AV321/1000*AV332</f>
        <v>3.4926671328671324</v>
      </c>
      <c r="AW335" s="832">
        <f>SUM(AS335:AV335)</f>
        <v>13.858830419318181</v>
      </c>
      <c r="AX335" s="885">
        <f>AX321/1000*AX332</f>
        <v>5.7329311384943189</v>
      </c>
      <c r="AY335" s="886">
        <f>AY321/1000*AY332</f>
        <v>5.5336944886363639</v>
      </c>
      <c r="AZ335" s="886">
        <f>AZ321/1000*AZ332</f>
        <v>5.5874942961647731</v>
      </c>
      <c r="BA335" s="887">
        <f>BA321/1000*BA332</f>
        <v>5.6336084169034093</v>
      </c>
      <c r="BB335" s="832">
        <f>SUM(AX335:BA335)</f>
        <v>22.487728340198867</v>
      </c>
      <c r="BC335" s="885">
        <f>BC321/1000*BC332</f>
        <v>5.645698377894611</v>
      </c>
      <c r="BD335" s="886">
        <f>BD321/1000*BD332</f>
        <v>5.645698377894611</v>
      </c>
      <c r="BE335" s="886">
        <f>BE321/1000*BE332</f>
        <v>5.645698377894611</v>
      </c>
      <c r="BF335" s="887">
        <f>BF321/1000*BF332</f>
        <v>5.5973385339297996</v>
      </c>
      <c r="BG335" s="832">
        <f>SUM(BC335:BF335)</f>
        <v>22.534433667613634</v>
      </c>
      <c r="BH335" s="885">
        <f>BH321/1000*BH332</f>
        <v>5.645698377894611</v>
      </c>
      <c r="BI335" s="886">
        <f>BI321/1000*BI332</f>
        <v>5.645698377894611</v>
      </c>
      <c r="BJ335" s="886">
        <f>BJ321/1000*BJ332</f>
        <v>5.645698377894611</v>
      </c>
      <c r="BK335" s="887">
        <f>BK321/1000*BK332</f>
        <v>5.5973385339297996</v>
      </c>
      <c r="BL335" s="832">
        <f>SUM(BH335:BK335)</f>
        <v>22.534433667613634</v>
      </c>
      <c r="BM335" s="885">
        <f>BM321/1000*BM332</f>
        <v>5.645698377894611</v>
      </c>
      <c r="BN335" s="886">
        <f>BN321/1000*BN332</f>
        <v>5.645698377894611</v>
      </c>
      <c r="BO335" s="886">
        <f>BO321/1000*BO332</f>
        <v>5.645698377894611</v>
      </c>
      <c r="BP335" s="887">
        <f>BP321/1000*BP332</f>
        <v>5.5973385339297996</v>
      </c>
      <c r="BQ335" s="832">
        <f>SUM(BM335:BP335)</f>
        <v>22.534433667613634</v>
      </c>
      <c r="BR335" s="832"/>
      <c r="BS335" s="1503"/>
      <c r="BT335" s="1503"/>
      <c r="BU335" s="1503"/>
      <c r="BV335" s="1503"/>
    </row>
    <row r="336" spans="1:74" ht="13.5" customHeight="1">
      <c r="A336" s="108"/>
      <c r="B336" s="108"/>
      <c r="C336" s="1128" t="s">
        <v>547</v>
      </c>
      <c r="D336" s="36"/>
      <c r="E336" s="122"/>
      <c r="F336" s="123"/>
      <c r="G336" s="123"/>
      <c r="H336" s="915"/>
      <c r="I336" s="31"/>
      <c r="J336" s="122"/>
      <c r="K336" s="123"/>
      <c r="L336" s="123"/>
      <c r="M336" s="915"/>
      <c r="N336" s="36"/>
      <c r="O336" s="122"/>
      <c r="P336" s="123"/>
      <c r="Q336" s="123"/>
      <c r="R336" s="915"/>
      <c r="S336" s="36"/>
      <c r="T336" s="180"/>
      <c r="U336" s="181"/>
      <c r="V336" s="181"/>
      <c r="W336" s="182"/>
      <c r="X336" s="110"/>
      <c r="Y336" s="180">
        <f t="shared" ref="Y336:AR336" si="891">Y334-Y335</f>
        <v>5.3461063802850912</v>
      </c>
      <c r="Z336" s="181">
        <f t="shared" si="891"/>
        <v>3.7981482732938936</v>
      </c>
      <c r="AA336" s="181">
        <f t="shared" si="891"/>
        <v>5.6952859187479943</v>
      </c>
      <c r="AB336" s="182">
        <f t="shared" si="891"/>
        <v>4.6975775406543629</v>
      </c>
      <c r="AC336" s="110">
        <f t="shared" si="891"/>
        <v>19.537118112981346</v>
      </c>
      <c r="AD336" s="180">
        <f t="shared" si="891"/>
        <v>18.450592066620818</v>
      </c>
      <c r="AE336" s="181">
        <f t="shared" si="891"/>
        <v>3.9795116120056502</v>
      </c>
      <c r="AF336" s="181">
        <f t="shared" si="891"/>
        <v>3.5031539014618351</v>
      </c>
      <c r="AG336" s="182">
        <f t="shared" si="891"/>
        <v>2.7743619116225631</v>
      </c>
      <c r="AH336" s="110">
        <f t="shared" si="891"/>
        <v>28.707619491710865</v>
      </c>
      <c r="AI336" s="180">
        <f t="shared" si="891"/>
        <v>6.5345488759474035</v>
      </c>
      <c r="AJ336" s="181">
        <f t="shared" si="891"/>
        <v>2.624439773149863</v>
      </c>
      <c r="AK336" s="181">
        <f t="shared" si="891"/>
        <v>2.9728695608391611</v>
      </c>
      <c r="AL336" s="182">
        <f t="shared" si="891"/>
        <v>2.0497410275300494</v>
      </c>
      <c r="AM336" s="110">
        <f t="shared" si="891"/>
        <v>14.181599237466479</v>
      </c>
      <c r="AN336" s="180">
        <f t="shared" ref="AN336" si="892">AN334-AN335</f>
        <v>2.4382130593187279</v>
      </c>
      <c r="AO336" s="181">
        <f t="shared" si="891"/>
        <v>2.4382130593187279</v>
      </c>
      <c r="AP336" s="181">
        <f t="shared" ref="AP336" si="893">AP334-AP335</f>
        <v>1.1498045548593061</v>
      </c>
      <c r="AQ336" s="182">
        <f t="shared" si="891"/>
        <v>1.0832775618523129</v>
      </c>
      <c r="AR336" s="110">
        <f t="shared" si="891"/>
        <v>7.1095082353490753</v>
      </c>
      <c r="AS336" s="180">
        <f t="shared" ref="AS336:BB336" si="894">AS334-AS335</f>
        <v>0.93366346812718692</v>
      </c>
      <c r="AT336" s="181">
        <f t="shared" si="894"/>
        <v>1.8703843410068819</v>
      </c>
      <c r="AU336" s="181">
        <f t="shared" ref="AU336" si="895">AU334-AU335</f>
        <v>2.0573227621120571</v>
      </c>
      <c r="AV336" s="182">
        <f t="shared" si="894"/>
        <v>2.0938191536804869</v>
      </c>
      <c r="AW336" s="110">
        <f t="shared" si="894"/>
        <v>6.9551897249266119</v>
      </c>
      <c r="AX336" s="180">
        <f t="shared" si="894"/>
        <v>3.2909449336052408</v>
      </c>
      <c r="AY336" s="181">
        <f t="shared" si="894"/>
        <v>3.6704813113636341</v>
      </c>
      <c r="AZ336" s="181">
        <f t="shared" si="894"/>
        <v>2.6646848538352268</v>
      </c>
      <c r="BA336" s="182">
        <f t="shared" si="894"/>
        <v>3.6329988080965903</v>
      </c>
      <c r="BB336" s="110">
        <f t="shared" si="894"/>
        <v>13.259109906900687</v>
      </c>
      <c r="BC336" s="180">
        <f t="shared" ref="BC336:BL336" si="896">BC334-BC335</f>
        <v>7.7309497732121883</v>
      </c>
      <c r="BD336" s="181">
        <f t="shared" si="896"/>
        <v>3.0592947673342472</v>
      </c>
      <c r="BE336" s="181">
        <f t="shared" si="896"/>
        <v>2.0893505629295479</v>
      </c>
      <c r="BF336" s="182">
        <f t="shared" si="896"/>
        <v>1.3238555806471712</v>
      </c>
      <c r="BG336" s="110">
        <f t="shared" si="896"/>
        <v>14.203450684123155</v>
      </c>
      <c r="BH336" s="180">
        <f t="shared" si="896"/>
        <v>7.6145622436282174</v>
      </c>
      <c r="BI336" s="181">
        <f t="shared" si="896"/>
        <v>2.9837375790766174</v>
      </c>
      <c r="BJ336" s="181">
        <f t="shared" si="896"/>
        <v>2.0225044247027331</v>
      </c>
      <c r="BK336" s="182">
        <f t="shared" si="896"/>
        <v>1.2641008261865165</v>
      </c>
      <c r="BL336" s="110">
        <f t="shared" si="896"/>
        <v>13.884905073594084</v>
      </c>
      <c r="BM336" s="180">
        <f t="shared" ref="BM336:BQ336" si="897">BM334-BM335</f>
        <v>3.5417114109231083</v>
      </c>
      <c r="BN336" s="181">
        <f t="shared" si="897"/>
        <v>3.5417114109231083</v>
      </c>
      <c r="BO336" s="181">
        <f t="shared" si="897"/>
        <v>3.5417114109231083</v>
      </c>
      <c r="BP336" s="182">
        <f t="shared" si="897"/>
        <v>3.5900712548879197</v>
      </c>
      <c r="BQ336" s="110">
        <f t="shared" si="897"/>
        <v>14.215205487657244</v>
      </c>
      <c r="BR336" s="110"/>
      <c r="BS336" s="1503"/>
      <c r="BT336" s="1503"/>
      <c r="BU336" s="1503"/>
      <c r="BV336" s="1503"/>
    </row>
    <row r="337" spans="1:74" ht="13.5" customHeight="1">
      <c r="A337" s="108"/>
      <c r="B337" s="108"/>
      <c r="C337" s="1128"/>
      <c r="D337" s="36"/>
      <c r="E337" s="122"/>
      <c r="F337" s="123"/>
      <c r="G337" s="123"/>
      <c r="H337" s="915"/>
      <c r="I337" s="31"/>
      <c r="J337" s="122"/>
      <c r="K337" s="123"/>
      <c r="L337" s="123"/>
      <c r="M337" s="915"/>
      <c r="N337" s="36"/>
      <c r="O337" s="122"/>
      <c r="P337" s="123"/>
      <c r="Q337" s="123"/>
      <c r="R337" s="915"/>
      <c r="S337" s="36"/>
      <c r="T337" s="180"/>
      <c r="U337" s="181"/>
      <c r="V337" s="181"/>
      <c r="W337" s="182"/>
      <c r="X337" s="110"/>
      <c r="Y337" s="180"/>
      <c r="Z337" s="181"/>
      <c r="AA337" s="181"/>
      <c r="AB337" s="182"/>
      <c r="AC337" s="110"/>
      <c r="AD337" s="180"/>
      <c r="AE337" s="181"/>
      <c r="AF337" s="181"/>
      <c r="AG337" s="182"/>
      <c r="AH337" s="110"/>
      <c r="AI337" s="180"/>
      <c r="AJ337" s="181"/>
      <c r="AK337" s="181"/>
      <c r="AL337" s="182"/>
      <c r="AM337" s="110"/>
      <c r="AN337" s="180"/>
      <c r="AO337" s="181"/>
      <c r="AP337" s="181"/>
      <c r="AQ337" s="182"/>
      <c r="AR337" s="110"/>
      <c r="AS337" s="180"/>
      <c r="AT337" s="181"/>
      <c r="AU337" s="181"/>
      <c r="AV337" s="182"/>
      <c r="AW337" s="110"/>
      <c r="AX337" s="180"/>
      <c r="AY337" s="181"/>
      <c r="AZ337" s="181"/>
      <c r="BA337" s="182"/>
      <c r="BB337" s="110"/>
      <c r="BC337" s="180"/>
      <c r="BD337" s="181"/>
      <c r="BE337" s="181"/>
      <c r="BF337" s="182"/>
      <c r="BG337" s="110"/>
      <c r="BH337" s="180"/>
      <c r="BI337" s="181"/>
      <c r="BJ337" s="181"/>
      <c r="BK337" s="182"/>
      <c r="BL337" s="110"/>
      <c r="BM337" s="180"/>
      <c r="BN337" s="181"/>
      <c r="BO337" s="181"/>
      <c r="BP337" s="182"/>
      <c r="BQ337" s="110"/>
      <c r="BR337" s="110"/>
      <c r="BS337" s="1503"/>
      <c r="BT337" s="1503"/>
      <c r="BU337" s="1503"/>
      <c r="BV337" s="1503"/>
    </row>
    <row r="338" spans="1:74" ht="13.5" customHeight="1">
      <c r="A338" s="108"/>
      <c r="B338" s="108"/>
      <c r="C338" s="1128"/>
      <c r="D338" s="36"/>
      <c r="E338" s="122"/>
      <c r="F338" s="123"/>
      <c r="G338" s="123"/>
      <c r="H338" s="915"/>
      <c r="I338" s="31"/>
      <c r="J338" s="122"/>
      <c r="K338" s="123"/>
      <c r="L338" s="123"/>
      <c r="M338" s="915"/>
      <c r="N338" s="36"/>
      <c r="O338" s="122"/>
      <c r="P338" s="123"/>
      <c r="Q338" s="123"/>
      <c r="R338" s="915"/>
      <c r="S338" s="36"/>
      <c r="T338" s="180"/>
      <c r="U338" s="181"/>
      <c r="V338" s="181"/>
      <c r="W338" s="182"/>
      <c r="X338" s="110"/>
      <c r="Y338" s="180"/>
      <c r="Z338" s="181"/>
      <c r="AA338" s="181"/>
      <c r="AB338" s="182"/>
      <c r="AC338" s="110"/>
      <c r="AD338" s="180"/>
      <c r="AE338" s="181"/>
      <c r="AF338" s="181"/>
      <c r="AG338" s="182"/>
      <c r="AH338" s="110"/>
      <c r="AI338" s="180"/>
      <c r="AJ338" s="181"/>
      <c r="AK338" s="181"/>
      <c r="AL338" s="182"/>
      <c r="AM338" s="110"/>
      <c r="AN338" s="180"/>
      <c r="AO338" s="181"/>
      <c r="AP338" s="181"/>
      <c r="AQ338" s="182"/>
      <c r="AR338" s="110"/>
      <c r="AS338" s="180"/>
      <c r="AT338" s="181"/>
      <c r="AU338" s="181"/>
      <c r="AV338" s="182"/>
      <c r="AW338" s="110"/>
      <c r="AX338" s="180"/>
      <c r="AY338" s="181"/>
      <c r="AZ338" s="181"/>
      <c r="BA338" s="182"/>
      <c r="BB338" s="110"/>
      <c r="BC338" s="180"/>
      <c r="BD338" s="181"/>
      <c r="BE338" s="181"/>
      <c r="BF338" s="182"/>
      <c r="BG338" s="110"/>
      <c r="BH338" s="180"/>
      <c r="BI338" s="181"/>
      <c r="BJ338" s="181"/>
      <c r="BK338" s="182"/>
      <c r="BL338" s="110"/>
      <c r="BM338" s="180"/>
      <c r="BN338" s="181"/>
      <c r="BO338" s="181"/>
      <c r="BP338" s="182"/>
      <c r="BQ338" s="110"/>
      <c r="BR338" s="110"/>
      <c r="BS338" s="1503"/>
      <c r="BT338" s="1503"/>
      <c r="BU338" s="1503"/>
      <c r="BV338" s="1503"/>
    </row>
    <row r="339" spans="1:74" ht="13.5" customHeight="1">
      <c r="A339" s="108"/>
      <c r="B339" s="91" t="s">
        <v>589</v>
      </c>
      <c r="C339" s="1144"/>
      <c r="D339" s="92"/>
      <c r="E339" s="122"/>
      <c r="F339" s="123"/>
      <c r="G339" s="123"/>
      <c r="H339" s="915"/>
      <c r="I339" s="36"/>
      <c r="J339" s="122"/>
      <c r="K339" s="123"/>
      <c r="L339" s="123"/>
      <c r="M339" s="915"/>
      <c r="N339" s="36"/>
      <c r="O339" s="122"/>
      <c r="P339" s="123"/>
      <c r="Q339" s="123"/>
      <c r="R339" s="915"/>
      <c r="S339" s="36"/>
      <c r="T339" s="180"/>
      <c r="U339" s="181"/>
      <c r="V339" s="181"/>
      <c r="W339" s="182"/>
      <c r="X339" s="327"/>
      <c r="Y339" s="180"/>
      <c r="Z339" s="181"/>
      <c r="AA339" s="181"/>
      <c r="AB339" s="182"/>
      <c r="AC339" s="327"/>
      <c r="AD339" s="180"/>
      <c r="AE339" s="181"/>
      <c r="AF339" s="181"/>
      <c r="AG339" s="182"/>
      <c r="AH339" s="327"/>
      <c r="AI339" s="180"/>
      <c r="AJ339" s="181"/>
      <c r="AK339" s="181"/>
      <c r="AL339" s="182"/>
      <c r="AM339" s="327"/>
      <c r="AN339" s="180"/>
      <c r="AO339" s="181"/>
      <c r="AP339" s="181"/>
      <c r="AQ339" s="182"/>
      <c r="AR339" s="327"/>
      <c r="AS339" s="180"/>
      <c r="AT339" s="181"/>
      <c r="AU339" s="181"/>
      <c r="AV339" s="182"/>
      <c r="AW339" s="327"/>
      <c r="AX339" s="180"/>
      <c r="AY339" s="181"/>
      <c r="AZ339" s="181"/>
      <c r="BA339" s="182"/>
      <c r="BB339" s="327"/>
      <c r="BC339" s="180"/>
      <c r="BD339" s="181"/>
      <c r="BE339" s="181"/>
      <c r="BF339" s="182"/>
      <c r="BG339" s="327"/>
      <c r="BH339" s="180"/>
      <c r="BI339" s="181"/>
      <c r="BJ339" s="181"/>
      <c r="BK339" s="182"/>
      <c r="BL339" s="327"/>
      <c r="BM339" s="180"/>
      <c r="BN339" s="181"/>
      <c r="BO339" s="181"/>
      <c r="BP339" s="182"/>
      <c r="BQ339" s="327"/>
      <c r="BR339" s="327"/>
      <c r="BS339" s="1503"/>
      <c r="BT339" s="1503"/>
      <c r="BU339" s="1503"/>
      <c r="BV339" s="1503"/>
    </row>
    <row r="340" spans="1:74" ht="13.5" customHeight="1">
      <c r="A340" s="108"/>
      <c r="B340" s="36"/>
      <c r="C340" s="1128"/>
      <c r="D340" s="36"/>
      <c r="E340" s="122"/>
      <c r="F340" s="123"/>
      <c r="G340" s="123"/>
      <c r="H340" s="915"/>
      <c r="I340" s="36"/>
      <c r="J340" s="122"/>
      <c r="K340" s="123"/>
      <c r="L340" s="123"/>
      <c r="M340" s="915"/>
      <c r="N340" s="36"/>
      <c r="O340" s="122"/>
      <c r="P340" s="123"/>
      <c r="Q340" s="123"/>
      <c r="R340" s="915"/>
      <c r="S340" s="36"/>
      <c r="T340" s="180"/>
      <c r="U340" s="181"/>
      <c r="V340" s="181"/>
      <c r="W340" s="182"/>
      <c r="X340" s="327"/>
      <c r="Y340" s="180"/>
      <c r="Z340" s="181"/>
      <c r="AA340" s="181"/>
      <c r="AB340" s="182"/>
      <c r="AC340" s="327"/>
      <c r="AD340" s="180"/>
      <c r="AE340" s="181"/>
      <c r="AF340" s="181"/>
      <c r="AG340" s="182"/>
      <c r="AH340" s="327"/>
      <c r="AI340" s="180"/>
      <c r="AJ340" s="181"/>
      <c r="AK340" s="181"/>
      <c r="AL340" s="182"/>
      <c r="AM340" s="327"/>
      <c r="AN340" s="180"/>
      <c r="AO340" s="181"/>
      <c r="AP340" s="181"/>
      <c r="AQ340" s="182"/>
      <c r="AR340" s="327"/>
      <c r="AS340" s="180"/>
      <c r="AT340" s="181"/>
      <c r="AU340" s="181"/>
      <c r="AV340" s="182"/>
      <c r="AW340" s="327"/>
      <c r="AX340" s="180"/>
      <c r="AY340" s="181"/>
      <c r="AZ340" s="181"/>
      <c r="BA340" s="182"/>
      <c r="BB340" s="327"/>
      <c r="BC340" s="180"/>
      <c r="BD340" s="181"/>
      <c r="BE340" s="181"/>
      <c r="BF340" s="182"/>
      <c r="BG340" s="327"/>
      <c r="BH340" s="180"/>
      <c r="BI340" s="181"/>
      <c r="BJ340" s="181"/>
      <c r="BK340" s="182"/>
      <c r="BL340" s="327"/>
      <c r="BM340" s="180"/>
      <c r="BN340" s="181"/>
      <c r="BO340" s="181"/>
      <c r="BP340" s="182"/>
      <c r="BQ340" s="327"/>
      <c r="BR340" s="327"/>
      <c r="BS340" s="1503"/>
      <c r="BT340" s="1503"/>
      <c r="BU340" s="1503"/>
      <c r="BV340" s="1503"/>
    </row>
    <row r="341" spans="1:74" ht="13.5" customHeight="1">
      <c r="A341" s="108"/>
      <c r="B341" s="36"/>
      <c r="C341" s="1156" t="s">
        <v>494</v>
      </c>
      <c r="D341" s="16"/>
      <c r="E341" s="151"/>
      <c r="F341" s="152"/>
      <c r="G341" s="152"/>
      <c r="H341" s="153"/>
      <c r="I341" s="27"/>
      <c r="J341" s="151"/>
      <c r="K341" s="152"/>
      <c r="L341" s="152"/>
      <c r="M341" s="153"/>
      <c r="N341" s="27"/>
      <c r="O341" s="151"/>
      <c r="P341" s="152"/>
      <c r="Q341" s="152"/>
      <c r="R341" s="153"/>
      <c r="S341" s="27"/>
      <c r="T341" s="151"/>
      <c r="U341" s="152"/>
      <c r="V341" s="152"/>
      <c r="W341" s="153"/>
      <c r="X341" s="27"/>
      <c r="Y341" s="151"/>
      <c r="Z341" s="152"/>
      <c r="AA341" s="152"/>
      <c r="AB341" s="153"/>
      <c r="AC341" s="27"/>
      <c r="AD341" s="151"/>
      <c r="AE341" s="152"/>
      <c r="AF341" s="152"/>
      <c r="AG341" s="153"/>
      <c r="AH341" s="27"/>
      <c r="AI341" s="151"/>
      <c r="AJ341" s="152"/>
      <c r="AK341" s="152"/>
      <c r="AL341" s="153"/>
      <c r="AM341" s="27"/>
      <c r="AN341" s="151"/>
      <c r="AO341" s="152"/>
      <c r="AP341" s="152"/>
      <c r="AQ341" s="153"/>
      <c r="AR341" s="27"/>
      <c r="AS341" s="151"/>
      <c r="AT341" s="152"/>
      <c r="AU341" s="152"/>
      <c r="AV341" s="153"/>
      <c r="AW341" s="27"/>
      <c r="AX341" s="151"/>
      <c r="AY341" s="152"/>
      <c r="AZ341" s="152"/>
      <c r="BA341" s="153"/>
      <c r="BB341" s="27"/>
      <c r="BC341" s="151"/>
      <c r="BD341" s="152"/>
      <c r="BE341" s="152"/>
      <c r="BF341" s="153"/>
      <c r="BG341" s="27"/>
      <c r="BH341" s="151"/>
      <c r="BI341" s="152"/>
      <c r="BJ341" s="152"/>
      <c r="BK341" s="153"/>
      <c r="BL341" s="27"/>
      <c r="BM341" s="151"/>
      <c r="BN341" s="152"/>
      <c r="BO341" s="152"/>
      <c r="BP341" s="153"/>
      <c r="BQ341" s="27"/>
      <c r="BR341" s="27"/>
      <c r="BS341" s="1503"/>
      <c r="BT341" s="1503"/>
      <c r="BU341" s="1503"/>
      <c r="BV341" s="1503"/>
    </row>
    <row r="342" spans="1:74" ht="13.5" customHeight="1">
      <c r="A342" s="108"/>
      <c r="B342" s="36"/>
      <c r="C342" s="1127" t="s">
        <v>590</v>
      </c>
      <c r="D342" s="31"/>
      <c r="E342" s="203"/>
      <c r="F342" s="204"/>
      <c r="G342" s="204"/>
      <c r="H342" s="205"/>
      <c r="I342" s="955">
        <v>35</v>
      </c>
      <c r="J342" s="203"/>
      <c r="K342" s="204"/>
      <c r="L342" s="204"/>
      <c r="M342" s="205"/>
      <c r="N342" s="874"/>
      <c r="O342" s="878"/>
      <c r="P342" s="879"/>
      <c r="Q342" s="879"/>
      <c r="R342" s="880"/>
      <c r="T342" s="878"/>
      <c r="U342" s="879"/>
      <c r="V342" s="879"/>
      <c r="W342" s="880"/>
      <c r="X342" s="126"/>
      <c r="Y342" s="878">
        <f>Z342</f>
        <v>35</v>
      </c>
      <c r="Z342" s="879">
        <f>AA342</f>
        <v>35</v>
      </c>
      <c r="AA342" s="879">
        <f>AB342</f>
        <v>35</v>
      </c>
      <c r="AB342" s="880">
        <f>AC342</f>
        <v>35</v>
      </c>
      <c r="AC342" s="1101">
        <f>+I342</f>
        <v>35</v>
      </c>
      <c r="AD342" s="878">
        <f>AE342</f>
        <v>35.700000000000003</v>
      </c>
      <c r="AE342" s="879">
        <f>AF342</f>
        <v>35.700000000000003</v>
      </c>
      <c r="AF342" s="879">
        <f>AG342</f>
        <v>35.700000000000003</v>
      </c>
      <c r="AG342" s="880">
        <f>AH342</f>
        <v>35.700000000000003</v>
      </c>
      <c r="AH342" s="126">
        <f>+AC342*1.02</f>
        <v>35.700000000000003</v>
      </c>
      <c r="AI342" s="878">
        <f>AJ342</f>
        <v>36.414000000000001</v>
      </c>
      <c r="AJ342" s="879">
        <f>AK342</f>
        <v>36.414000000000001</v>
      </c>
      <c r="AK342" s="879">
        <f>AL342</f>
        <v>36.414000000000001</v>
      </c>
      <c r="AL342" s="880">
        <f>AM342</f>
        <v>36.414000000000001</v>
      </c>
      <c r="AM342" s="126">
        <f>+AH342*1.02</f>
        <v>36.414000000000001</v>
      </c>
      <c r="AN342" s="878">
        <f>AO342</f>
        <v>37.14228</v>
      </c>
      <c r="AO342" s="879">
        <f>AP342</f>
        <v>37.14228</v>
      </c>
      <c r="AP342" s="879">
        <f>AQ342</f>
        <v>37.14228</v>
      </c>
      <c r="AQ342" s="880">
        <f>AR342</f>
        <v>37.14228</v>
      </c>
      <c r="AR342" s="126">
        <f>+AM342*1.02</f>
        <v>37.14228</v>
      </c>
      <c r="AS342" s="878">
        <f>AT342</f>
        <v>37.885125600000002</v>
      </c>
      <c r="AT342" s="879">
        <f>AU342</f>
        <v>37.885125600000002</v>
      </c>
      <c r="AU342" s="879">
        <f t="shared" ref="AU342" si="898">AV342</f>
        <v>37.885125600000002</v>
      </c>
      <c r="AV342" s="880">
        <f>AW342</f>
        <v>37.885125600000002</v>
      </c>
      <c r="AW342" s="126">
        <f>+AR342*1.02</f>
        <v>37.885125600000002</v>
      </c>
      <c r="AX342" s="878">
        <f>AY342</f>
        <v>38.642828112000004</v>
      </c>
      <c r="AY342" s="879">
        <f>AZ342</f>
        <v>38.642828112000004</v>
      </c>
      <c r="AZ342" s="879">
        <f>BA342</f>
        <v>38.642828112000004</v>
      </c>
      <c r="BA342" s="880">
        <f>BB342</f>
        <v>38.642828112000004</v>
      </c>
      <c r="BB342" s="126">
        <f>+AW342*1.02</f>
        <v>38.642828112000004</v>
      </c>
      <c r="BC342" s="878">
        <f>BD342</f>
        <v>39.415684674240005</v>
      </c>
      <c r="BD342" s="879">
        <f>BE342</f>
        <v>39.415684674240005</v>
      </c>
      <c r="BE342" s="879">
        <f>BF342</f>
        <v>39.415684674240005</v>
      </c>
      <c r="BF342" s="880">
        <f>BG342</f>
        <v>39.415684674240005</v>
      </c>
      <c r="BG342" s="126">
        <f>+BB342*1.02</f>
        <v>39.415684674240005</v>
      </c>
      <c r="BH342" s="878">
        <f>BI342</f>
        <v>40.203998367724807</v>
      </c>
      <c r="BI342" s="879">
        <f>BJ342</f>
        <v>40.203998367724807</v>
      </c>
      <c r="BJ342" s="879">
        <f>BK342</f>
        <v>40.203998367724807</v>
      </c>
      <c r="BK342" s="880">
        <f>BL342</f>
        <v>40.203998367724807</v>
      </c>
      <c r="BL342" s="126">
        <f>+BG342*1.02</f>
        <v>40.203998367724807</v>
      </c>
      <c r="BM342" s="878">
        <f>BN342</f>
        <v>41.008078335079304</v>
      </c>
      <c r="BN342" s="879">
        <f>BO342</f>
        <v>41.008078335079304</v>
      </c>
      <c r="BO342" s="879">
        <f>BP342</f>
        <v>41.008078335079304</v>
      </c>
      <c r="BP342" s="880">
        <f>BQ342</f>
        <v>41.008078335079304</v>
      </c>
      <c r="BQ342" s="126">
        <f>+BL342*1.02</f>
        <v>41.008078335079304</v>
      </c>
      <c r="BR342" s="126"/>
      <c r="BS342" s="1503"/>
      <c r="BT342" s="1503"/>
      <c r="BU342" s="1503"/>
      <c r="BV342" s="1503"/>
    </row>
    <row r="343" spans="1:74" ht="13.5" customHeight="1">
      <c r="A343" s="108"/>
      <c r="B343" s="36"/>
      <c r="C343" s="1128" t="s">
        <v>587</v>
      </c>
      <c r="D343" s="36"/>
      <c r="E343" s="151"/>
      <c r="F343" s="152"/>
      <c r="G343" s="152"/>
      <c r="H343" s="153"/>
      <c r="I343" s="926">
        <v>80</v>
      </c>
      <c r="J343" s="151"/>
      <c r="K343" s="152"/>
      <c r="L343" s="152"/>
      <c r="M343" s="153"/>
      <c r="N343" s="347"/>
      <c r="O343" s="180"/>
      <c r="P343" s="181"/>
      <c r="Q343" s="181"/>
      <c r="R343" s="182"/>
      <c r="S343" s="347"/>
      <c r="T343" s="180"/>
      <c r="U343" s="181"/>
      <c r="V343" s="181"/>
      <c r="W343" s="182"/>
      <c r="X343" s="110"/>
      <c r="Y343" s="180">
        <f>+I343</f>
        <v>80</v>
      </c>
      <c r="Z343" s="181">
        <f t="shared" ref="Z343:AT343" si="899">+Y343</f>
        <v>80</v>
      </c>
      <c r="AA343" s="181">
        <f t="shared" si="899"/>
        <v>80</v>
      </c>
      <c r="AB343" s="182">
        <f t="shared" si="899"/>
        <v>80</v>
      </c>
      <c r="AC343" s="110">
        <f t="shared" si="899"/>
        <v>80</v>
      </c>
      <c r="AD343" s="180">
        <f t="shared" si="899"/>
        <v>80</v>
      </c>
      <c r="AE343" s="181">
        <f t="shared" si="899"/>
        <v>80</v>
      </c>
      <c r="AF343" s="181">
        <f t="shared" si="899"/>
        <v>80</v>
      </c>
      <c r="AG343" s="182">
        <f t="shared" si="899"/>
        <v>80</v>
      </c>
      <c r="AH343" s="110">
        <f t="shared" si="899"/>
        <v>80</v>
      </c>
      <c r="AI343" s="180">
        <f t="shared" si="899"/>
        <v>80</v>
      </c>
      <c r="AJ343" s="181">
        <f t="shared" si="899"/>
        <v>80</v>
      </c>
      <c r="AK343" s="181">
        <f t="shared" si="899"/>
        <v>80</v>
      </c>
      <c r="AL343" s="182">
        <f t="shared" si="899"/>
        <v>80</v>
      </c>
      <c r="AM343" s="110">
        <f t="shared" si="899"/>
        <v>80</v>
      </c>
      <c r="AN343" s="180">
        <f t="shared" si="899"/>
        <v>80</v>
      </c>
      <c r="AO343" s="181">
        <f t="shared" si="899"/>
        <v>80</v>
      </c>
      <c r="AP343" s="181">
        <f t="shared" si="899"/>
        <v>80</v>
      </c>
      <c r="AQ343" s="182">
        <f t="shared" si="899"/>
        <v>80</v>
      </c>
      <c r="AR343" s="110">
        <f t="shared" si="899"/>
        <v>80</v>
      </c>
      <c r="AS343" s="180">
        <f t="shared" ref="AS343:BB343" si="900">+AR343</f>
        <v>80</v>
      </c>
      <c r="AT343" s="181">
        <f t="shared" si="899"/>
        <v>80</v>
      </c>
      <c r="AU343" s="181">
        <f t="shared" ref="AU343" si="901">+AT343</f>
        <v>80</v>
      </c>
      <c r="AV343" s="182">
        <f t="shared" si="900"/>
        <v>80</v>
      </c>
      <c r="AW343" s="110">
        <f t="shared" si="900"/>
        <v>80</v>
      </c>
      <c r="AX343" s="180">
        <f t="shared" si="900"/>
        <v>80</v>
      </c>
      <c r="AY343" s="181">
        <f t="shared" si="900"/>
        <v>80</v>
      </c>
      <c r="AZ343" s="181">
        <f t="shared" si="900"/>
        <v>80</v>
      </c>
      <c r="BA343" s="182">
        <f t="shared" si="900"/>
        <v>80</v>
      </c>
      <c r="BB343" s="110">
        <f t="shared" si="900"/>
        <v>80</v>
      </c>
      <c r="BC343" s="180">
        <f t="shared" ref="BC343" si="902">+BB343</f>
        <v>80</v>
      </c>
      <c r="BD343" s="181">
        <f t="shared" ref="BD343" si="903">+BC343</f>
        <v>80</v>
      </c>
      <c r="BE343" s="181">
        <f t="shared" ref="BE343" si="904">+BD343</f>
        <v>80</v>
      </c>
      <c r="BF343" s="182">
        <f t="shared" ref="BF343" si="905">+BE343</f>
        <v>80</v>
      </c>
      <c r="BG343" s="110">
        <f t="shared" ref="BG343" si="906">+BF343</f>
        <v>80</v>
      </c>
      <c r="BH343" s="180">
        <f t="shared" ref="BH343" si="907">+BG343</f>
        <v>80</v>
      </c>
      <c r="BI343" s="181">
        <f t="shared" ref="BI343" si="908">+BH343</f>
        <v>80</v>
      </c>
      <c r="BJ343" s="181">
        <f t="shared" ref="BJ343" si="909">+BI343</f>
        <v>80</v>
      </c>
      <c r="BK343" s="182">
        <f t="shared" ref="BK343" si="910">+BJ343</f>
        <v>80</v>
      </c>
      <c r="BL343" s="110">
        <f t="shared" ref="BL343" si="911">+BK343</f>
        <v>80</v>
      </c>
      <c r="BM343" s="180">
        <f t="shared" ref="BM343" si="912">+BL343</f>
        <v>80</v>
      </c>
      <c r="BN343" s="181">
        <f t="shared" ref="BN343" si="913">+BM343</f>
        <v>80</v>
      </c>
      <c r="BO343" s="181">
        <f t="shared" ref="BO343" si="914">+BN343</f>
        <v>80</v>
      </c>
      <c r="BP343" s="182">
        <f t="shared" ref="BP343" si="915">+BO343</f>
        <v>80</v>
      </c>
      <c r="BQ343" s="110">
        <f t="shared" ref="BQ343" si="916">+BP343</f>
        <v>80</v>
      </c>
      <c r="BR343" s="110"/>
      <c r="BS343" s="1503"/>
      <c r="BT343" s="1503"/>
      <c r="BU343" s="1503"/>
      <c r="BV343" s="1503"/>
    </row>
    <row r="344" spans="1:74" ht="13.5" customHeight="1">
      <c r="A344" s="108"/>
      <c r="B344" s="36"/>
      <c r="C344" s="1127"/>
      <c r="D344" s="31"/>
      <c r="E344" s="203"/>
      <c r="F344" s="204"/>
      <c r="G344" s="204"/>
      <c r="H344" s="205"/>
      <c r="I344" s="944"/>
      <c r="J344" s="203"/>
      <c r="K344" s="204"/>
      <c r="L344" s="204"/>
      <c r="M344" s="205"/>
      <c r="N344" s="944"/>
      <c r="O344" s="203"/>
      <c r="P344" s="204"/>
      <c r="Q344" s="204"/>
      <c r="R344" s="205"/>
      <c r="S344" s="944"/>
      <c r="T344" s="203"/>
      <c r="U344" s="204"/>
      <c r="V344" s="204"/>
      <c r="W344" s="205"/>
      <c r="X344" s="944"/>
      <c r="Y344" s="203"/>
      <c r="Z344" s="204"/>
      <c r="AA344" s="204"/>
      <c r="AB344" s="205"/>
      <c r="AC344" s="944"/>
      <c r="AD344" s="203"/>
      <c r="AE344" s="204"/>
      <c r="AF344" s="204"/>
      <c r="AG344" s="205"/>
      <c r="AH344" s="944"/>
      <c r="AI344" s="203"/>
      <c r="AJ344" s="204"/>
      <c r="AK344" s="204"/>
      <c r="AL344" s="205"/>
      <c r="AM344" s="944"/>
      <c r="AN344" s="203"/>
      <c r="AO344" s="204"/>
      <c r="AP344" s="204"/>
      <c r="AQ344" s="205"/>
      <c r="AR344" s="944"/>
      <c r="AS344" s="203"/>
      <c r="AT344" s="204"/>
      <c r="AU344" s="204"/>
      <c r="AV344" s="205"/>
      <c r="AW344" s="944"/>
      <c r="AX344" s="203"/>
      <c r="AY344" s="204"/>
      <c r="AZ344" s="204"/>
      <c r="BA344" s="205"/>
      <c r="BB344" s="944"/>
      <c r="BC344" s="203"/>
      <c r="BD344" s="204"/>
      <c r="BE344" s="204"/>
      <c r="BF344" s="205"/>
      <c r="BG344" s="944"/>
      <c r="BH344" s="203"/>
      <c r="BI344" s="204"/>
      <c r="BJ344" s="204"/>
      <c r="BK344" s="205"/>
      <c r="BL344" s="944"/>
      <c r="BM344" s="203"/>
      <c r="BN344" s="204"/>
      <c r="BO344" s="204"/>
      <c r="BP344" s="205"/>
      <c r="BQ344" s="944"/>
      <c r="BR344" s="944"/>
      <c r="BS344" s="1503"/>
      <c r="BT344" s="1503"/>
      <c r="BU344" s="1503"/>
      <c r="BV344" s="1503"/>
    </row>
    <row r="345" spans="1:74" ht="13.5" customHeight="1">
      <c r="A345" s="108"/>
      <c r="B345" s="36"/>
      <c r="C345" s="1127" t="s">
        <v>554</v>
      </c>
      <c r="D345" s="31"/>
      <c r="E345" s="203"/>
      <c r="F345" s="204"/>
      <c r="G345" s="204"/>
      <c r="H345" s="205"/>
      <c r="I345" s="927">
        <v>0.35</v>
      </c>
      <c r="J345" s="203"/>
      <c r="K345" s="204"/>
      <c r="L345" s="204"/>
      <c r="M345" s="205"/>
      <c r="N345" s="89"/>
      <c r="O345" s="206"/>
      <c r="P345" s="207"/>
      <c r="Q345" s="207"/>
      <c r="R345" s="208"/>
      <c r="S345" s="36"/>
      <c r="T345" s="206"/>
      <c r="U345" s="207"/>
      <c r="V345" s="207"/>
      <c r="W345" s="208"/>
      <c r="X345" s="24"/>
      <c r="Y345" s="206">
        <f>+I345</f>
        <v>0.35</v>
      </c>
      <c r="Z345" s="207">
        <f>Y345</f>
        <v>0.35</v>
      </c>
      <c r="AA345" s="207">
        <f>Z345</f>
        <v>0.35</v>
      </c>
      <c r="AB345" s="208">
        <f>AA345</f>
        <v>0.35</v>
      </c>
      <c r="AC345" s="24">
        <f>AC346/(AVERAGE(Y343:AB343)*8.76)</f>
        <v>0.35000000000000003</v>
      </c>
      <c r="AD345" s="206">
        <f>AC345</f>
        <v>0.35000000000000003</v>
      </c>
      <c r="AE345" s="207">
        <f>AD345</f>
        <v>0.35000000000000003</v>
      </c>
      <c r="AF345" s="207">
        <f>AE345</f>
        <v>0.35000000000000003</v>
      </c>
      <c r="AG345" s="208">
        <f>AF345</f>
        <v>0.35000000000000003</v>
      </c>
      <c r="AH345" s="24">
        <f>AH346/(AVERAGE(AD343:AG343)*8.76)</f>
        <v>0.35000000000000009</v>
      </c>
      <c r="AI345" s="206">
        <f>AH345</f>
        <v>0.35000000000000009</v>
      </c>
      <c r="AJ345" s="207">
        <f>AI345</f>
        <v>0.35000000000000009</v>
      </c>
      <c r="AK345" s="207">
        <f>AJ345</f>
        <v>0.35000000000000009</v>
      </c>
      <c r="AL345" s="208">
        <f>AK345</f>
        <v>0.35000000000000009</v>
      </c>
      <c r="AM345" s="24">
        <f>AM346/(AVERAGE(AI343:AL343)*8.76)</f>
        <v>0.35000000000000009</v>
      </c>
      <c r="AN345" s="206">
        <f>AM345</f>
        <v>0.35000000000000009</v>
      </c>
      <c r="AO345" s="207">
        <f>AN345</f>
        <v>0.35000000000000009</v>
      </c>
      <c r="AP345" s="207">
        <f>AO345</f>
        <v>0.35000000000000009</v>
      </c>
      <c r="AQ345" s="208">
        <f>AP345</f>
        <v>0.35000000000000009</v>
      </c>
      <c r="AR345" s="24">
        <f>AR346/(AVERAGE(AN343:AQ343)*8.76)</f>
        <v>0.35000000000000009</v>
      </c>
      <c r="AS345" s="206">
        <f>AR345</f>
        <v>0.35000000000000009</v>
      </c>
      <c r="AT345" s="207">
        <f>AS345</f>
        <v>0.35000000000000009</v>
      </c>
      <c r="AU345" s="207">
        <f t="shared" ref="AU345" si="917">AT345</f>
        <v>0.35000000000000009</v>
      </c>
      <c r="AV345" s="208">
        <f>AU345</f>
        <v>0.35000000000000009</v>
      </c>
      <c r="AW345" s="24">
        <f>AW346/(AVERAGE(AS343:AV343)*8.76)</f>
        <v>0.35000000000000009</v>
      </c>
      <c r="AX345" s="206">
        <f>AW345</f>
        <v>0.35000000000000009</v>
      </c>
      <c r="AY345" s="207">
        <f>AX345</f>
        <v>0.35000000000000009</v>
      </c>
      <c r="AZ345" s="207">
        <f>AY345</f>
        <v>0.35000000000000009</v>
      </c>
      <c r="BA345" s="208">
        <f>AZ345</f>
        <v>0.35000000000000009</v>
      </c>
      <c r="BB345" s="24">
        <f>BB346/(AVERAGE(AX343:BA343)*8.76)</f>
        <v>0.35000000000000009</v>
      </c>
      <c r="BC345" s="206">
        <f>BB345</f>
        <v>0.35000000000000009</v>
      </c>
      <c r="BD345" s="207">
        <f>BC345</f>
        <v>0.35000000000000009</v>
      </c>
      <c r="BE345" s="207">
        <f>BD345</f>
        <v>0.35000000000000009</v>
      </c>
      <c r="BF345" s="208">
        <f>BE345</f>
        <v>0.35000000000000009</v>
      </c>
      <c r="BG345" s="24">
        <f>BG346/(AVERAGE(BC343:BF343)*8.76)</f>
        <v>0.35000000000000009</v>
      </c>
      <c r="BH345" s="206">
        <f>BG345</f>
        <v>0.35000000000000009</v>
      </c>
      <c r="BI345" s="207">
        <f>BH345</f>
        <v>0.35000000000000009</v>
      </c>
      <c r="BJ345" s="207">
        <f>BI345</f>
        <v>0.35000000000000009</v>
      </c>
      <c r="BK345" s="208">
        <f>BJ345</f>
        <v>0.35000000000000009</v>
      </c>
      <c r="BL345" s="24">
        <f>BL346/(AVERAGE(BH343:BK343)*8.76)</f>
        <v>0.35000000000000009</v>
      </c>
      <c r="BM345" s="206">
        <f>BL345</f>
        <v>0.35000000000000009</v>
      </c>
      <c r="BN345" s="207">
        <f>BM345</f>
        <v>0.35000000000000009</v>
      </c>
      <c r="BO345" s="207">
        <f>BN345</f>
        <v>0.35000000000000009</v>
      </c>
      <c r="BP345" s="208">
        <f>BO345</f>
        <v>0.35000000000000009</v>
      </c>
      <c r="BQ345" s="24">
        <f>BQ346/(AVERAGE(BM343:BP343)*8.76)</f>
        <v>0.35000000000000009</v>
      </c>
      <c r="BR345" s="24"/>
      <c r="BS345" s="1503"/>
      <c r="BT345" s="1503"/>
      <c r="BU345" s="1503"/>
      <c r="BV345" s="1503"/>
    </row>
    <row r="346" spans="1:74" ht="13.5" customHeight="1">
      <c r="A346" s="108"/>
      <c r="B346" s="36"/>
      <c r="C346" s="1128" t="s">
        <v>549</v>
      </c>
      <c r="D346" s="36"/>
      <c r="E346" s="151"/>
      <c r="F346" s="152"/>
      <c r="G346" s="152"/>
      <c r="H346" s="153"/>
      <c r="I346" s="27"/>
      <c r="J346" s="151"/>
      <c r="K346" s="152"/>
      <c r="L346" s="152"/>
      <c r="M346" s="153"/>
      <c r="N346" s="110"/>
      <c r="O346" s="180"/>
      <c r="P346" s="181"/>
      <c r="Q346" s="181"/>
      <c r="R346" s="182"/>
      <c r="S346" s="110"/>
      <c r="T346" s="180"/>
      <c r="U346" s="181"/>
      <c r="V346" s="181"/>
      <c r="W346" s="182"/>
      <c r="X346" s="110"/>
      <c r="Y346" s="180">
        <f>+Y343*Y345*8.76/4</f>
        <v>61.32</v>
      </c>
      <c r="Z346" s="181">
        <f>+Z343*Z345*8.76/4</f>
        <v>61.32</v>
      </c>
      <c r="AA346" s="181">
        <f>+AA343*AA345*8.76/4</f>
        <v>61.32</v>
      </c>
      <c r="AB346" s="182">
        <f>+AB343*AB345*8.76/4</f>
        <v>61.32</v>
      </c>
      <c r="AC346" s="110">
        <f>SUM(Y346:AB346)</f>
        <v>245.28</v>
      </c>
      <c r="AD346" s="180">
        <f>+AD343*AD345*8.76/4</f>
        <v>61.320000000000007</v>
      </c>
      <c r="AE346" s="181">
        <f>+AE343*AE345*8.76/4</f>
        <v>61.320000000000007</v>
      </c>
      <c r="AF346" s="181">
        <f>+AF343*AF345*8.76/4</f>
        <v>61.320000000000007</v>
      </c>
      <c r="AG346" s="182">
        <f>+AG343*AG345*8.76/4</f>
        <v>61.320000000000007</v>
      </c>
      <c r="AH346" s="110">
        <f>SUM(AD346:AG346)</f>
        <v>245.28000000000003</v>
      </c>
      <c r="AI346" s="180">
        <f>+AI343*AI345*8.76/4</f>
        <v>61.320000000000014</v>
      </c>
      <c r="AJ346" s="181">
        <f>+AJ343*AJ345*8.76/4</f>
        <v>61.320000000000014</v>
      </c>
      <c r="AK346" s="181">
        <f>+AK343*AK345*8.76/4</f>
        <v>61.320000000000014</v>
      </c>
      <c r="AL346" s="182">
        <f>+AL343*AL345*8.76/4</f>
        <v>61.320000000000014</v>
      </c>
      <c r="AM346" s="110">
        <f>SUM(AI346:AL346)</f>
        <v>245.28000000000006</v>
      </c>
      <c r="AN346" s="180">
        <f>+AN343*AN345*8.76/4</f>
        <v>61.320000000000014</v>
      </c>
      <c r="AO346" s="181">
        <f>+AO343*AO345*8.76/4</f>
        <v>61.320000000000014</v>
      </c>
      <c r="AP346" s="181">
        <f>+AP343*AP345*8.76/4</f>
        <v>61.320000000000014</v>
      </c>
      <c r="AQ346" s="182">
        <f>+AQ343*AQ345*8.76/4</f>
        <v>61.320000000000014</v>
      </c>
      <c r="AR346" s="110">
        <f>SUM(AN346:AQ346)</f>
        <v>245.28000000000006</v>
      </c>
      <c r="AS346" s="180">
        <f>+AS343*AS345*8.76/4</f>
        <v>61.320000000000014</v>
      </c>
      <c r="AT346" s="181">
        <f>+AT343*AT345*8.76/4</f>
        <v>61.320000000000014</v>
      </c>
      <c r="AU346" s="181">
        <f t="shared" ref="AU346" si="918">+AU343*AU345*8.76/4</f>
        <v>61.320000000000014</v>
      </c>
      <c r="AV346" s="182">
        <f>+AV343*AV345*8.76/4</f>
        <v>61.320000000000014</v>
      </c>
      <c r="AW346" s="110">
        <f>SUM(AS346:AV346)</f>
        <v>245.28000000000006</v>
      </c>
      <c r="AX346" s="180">
        <f>+AX343*AX345*8.76/4</f>
        <v>61.320000000000014</v>
      </c>
      <c r="AY346" s="181">
        <f>+AY343*AY345*8.76/4</f>
        <v>61.320000000000014</v>
      </c>
      <c r="AZ346" s="181">
        <f>+AZ343*AZ345*8.76/4</f>
        <v>61.320000000000014</v>
      </c>
      <c r="BA346" s="182">
        <f>+BA343*BA345*8.76/4</f>
        <v>61.320000000000014</v>
      </c>
      <c r="BB346" s="110">
        <f>SUM(AX346:BA346)</f>
        <v>245.28000000000006</v>
      </c>
      <c r="BC346" s="180">
        <f>+BC343*BC345*8.76/4</f>
        <v>61.320000000000014</v>
      </c>
      <c r="BD346" s="181">
        <f>+BD343*BD345*8.76/4</f>
        <v>61.320000000000014</v>
      </c>
      <c r="BE346" s="181">
        <f>+BE343*BE345*8.76/4</f>
        <v>61.320000000000014</v>
      </c>
      <c r="BF346" s="182">
        <f>+BF343*BF345*8.76/4</f>
        <v>61.320000000000014</v>
      </c>
      <c r="BG346" s="110">
        <f>SUM(BC346:BF346)</f>
        <v>245.28000000000006</v>
      </c>
      <c r="BH346" s="180">
        <f>+BH343*BH345*8.76/4</f>
        <v>61.320000000000014</v>
      </c>
      <c r="BI346" s="181">
        <f>+BI343*BI345*8.76/4</f>
        <v>61.320000000000014</v>
      </c>
      <c r="BJ346" s="181">
        <f>+BJ343*BJ345*8.76/4</f>
        <v>61.320000000000014</v>
      </c>
      <c r="BK346" s="182">
        <f>+BK343*BK345*8.76/4</f>
        <v>61.320000000000014</v>
      </c>
      <c r="BL346" s="110">
        <f>SUM(BH346:BK346)</f>
        <v>245.28000000000006</v>
      </c>
      <c r="BM346" s="180">
        <f>+BM343*BM345*8.76/4</f>
        <v>61.320000000000014</v>
      </c>
      <c r="BN346" s="181">
        <f>+BN343*BN345*8.76/4</f>
        <v>61.320000000000014</v>
      </c>
      <c r="BO346" s="181">
        <f>+BO343*BO345*8.76/4</f>
        <v>61.320000000000014</v>
      </c>
      <c r="BP346" s="182">
        <f>+BP343*BP345*8.76/4</f>
        <v>61.320000000000014</v>
      </c>
      <c r="BQ346" s="110">
        <f>SUM(BM346:BP346)</f>
        <v>245.28000000000006</v>
      </c>
      <c r="BR346" s="110"/>
      <c r="BS346" s="1503"/>
      <c r="BT346" s="1503"/>
      <c r="BU346" s="1503"/>
      <c r="BV346" s="1503"/>
    </row>
    <row r="347" spans="1:74" ht="13.5" customHeight="1">
      <c r="A347" s="108"/>
      <c r="B347" s="36"/>
      <c r="C347" s="1127"/>
      <c r="D347" s="31"/>
      <c r="E347" s="203"/>
      <c r="F347" s="204"/>
      <c r="G347" s="204"/>
      <c r="H347" s="205"/>
      <c r="I347" s="944"/>
      <c r="J347" s="203"/>
      <c r="K347" s="204"/>
      <c r="L347" s="204"/>
      <c r="M347" s="205"/>
      <c r="N347" s="944"/>
      <c r="O347" s="203"/>
      <c r="P347" s="204"/>
      <c r="Q347" s="204"/>
      <c r="R347" s="205"/>
      <c r="S347" s="944"/>
      <c r="T347" s="203"/>
      <c r="U347" s="204"/>
      <c r="V347" s="204"/>
      <c r="W347" s="205"/>
      <c r="X347" s="944"/>
      <c r="Y347" s="203"/>
      <c r="Z347" s="204"/>
      <c r="AA347" s="204"/>
      <c r="AB347" s="205"/>
      <c r="AC347" s="944"/>
      <c r="AD347" s="203"/>
      <c r="AE347" s="204"/>
      <c r="AF347" s="204"/>
      <c r="AG347" s="205"/>
      <c r="AH347" s="944"/>
      <c r="AI347" s="203"/>
      <c r="AJ347" s="204"/>
      <c r="AK347" s="204"/>
      <c r="AL347" s="205"/>
      <c r="AM347" s="944"/>
      <c r="AN347" s="203"/>
      <c r="AO347" s="204"/>
      <c r="AP347" s="204"/>
      <c r="AQ347" s="205"/>
      <c r="AR347" s="944"/>
      <c r="AS347" s="203"/>
      <c r="AT347" s="204"/>
      <c r="AU347" s="204"/>
      <c r="AV347" s="205"/>
      <c r="AW347" s="944"/>
      <c r="AX347" s="203"/>
      <c r="AY347" s="204"/>
      <c r="AZ347" s="204"/>
      <c r="BA347" s="205"/>
      <c r="BB347" s="944"/>
      <c r="BC347" s="203"/>
      <c r="BD347" s="204"/>
      <c r="BE347" s="204"/>
      <c r="BF347" s="205"/>
      <c r="BG347" s="944"/>
      <c r="BH347" s="203"/>
      <c r="BI347" s="204"/>
      <c r="BJ347" s="204"/>
      <c r="BK347" s="205"/>
      <c r="BL347" s="944"/>
      <c r="BM347" s="203"/>
      <c r="BN347" s="204"/>
      <c r="BO347" s="204"/>
      <c r="BP347" s="205"/>
      <c r="BQ347" s="944"/>
      <c r="BR347" s="944"/>
      <c r="BS347" s="1503"/>
      <c r="BT347" s="1503"/>
      <c r="BU347" s="1503"/>
      <c r="BV347" s="1503"/>
    </row>
    <row r="348" spans="1:74" ht="13.5" customHeight="1">
      <c r="A348" s="108"/>
      <c r="B348" s="36"/>
      <c r="C348" s="1127" t="s">
        <v>570</v>
      </c>
      <c r="D348" s="31"/>
      <c r="E348" s="203"/>
      <c r="F348" s="204"/>
      <c r="G348" s="204"/>
      <c r="H348" s="205"/>
      <c r="I348" s="944"/>
      <c r="J348" s="203"/>
      <c r="K348" s="204"/>
      <c r="L348" s="204"/>
      <c r="M348" s="205"/>
      <c r="N348" s="44"/>
      <c r="O348" s="177"/>
      <c r="P348" s="178"/>
      <c r="Q348" s="178"/>
      <c r="R348" s="179"/>
      <c r="S348" s="44"/>
      <c r="T348" s="177"/>
      <c r="U348" s="178"/>
      <c r="V348" s="178"/>
      <c r="W348" s="179"/>
      <c r="X348" s="44"/>
      <c r="Y348" s="177">
        <f>+Y346*Y342/1000</f>
        <v>2.1461999999999999</v>
      </c>
      <c r="Z348" s="178">
        <f>+Z346*Z342/1000</f>
        <v>2.1461999999999999</v>
      </c>
      <c r="AA348" s="178">
        <f>+AA346*AA342/1000</f>
        <v>2.1461999999999999</v>
      </c>
      <c r="AB348" s="179">
        <f>+AB346*AB342/1000</f>
        <v>2.1461999999999999</v>
      </c>
      <c r="AC348" s="44">
        <f>SUM(Y348:AB348)</f>
        <v>8.5847999999999995</v>
      </c>
      <c r="AD348" s="177">
        <f>+AD346*AD342/1000</f>
        <v>2.1891240000000001</v>
      </c>
      <c r="AE348" s="178">
        <f>+AE346*AE342/1000</f>
        <v>2.1891240000000001</v>
      </c>
      <c r="AF348" s="178">
        <f>+AF346*AF342/1000</f>
        <v>2.1891240000000001</v>
      </c>
      <c r="AG348" s="179">
        <f>+AG346*AG342/1000</f>
        <v>2.1891240000000001</v>
      </c>
      <c r="AH348" s="44">
        <f>SUM(AD348:AG348)</f>
        <v>8.7564960000000003</v>
      </c>
      <c r="AI348" s="177">
        <f>+AI346*AI342/1000</f>
        <v>2.2329064800000005</v>
      </c>
      <c r="AJ348" s="178">
        <f>+AJ346*AJ342/1000</f>
        <v>2.2329064800000005</v>
      </c>
      <c r="AK348" s="178">
        <f>+AK346*AK342/1000</f>
        <v>2.2329064800000005</v>
      </c>
      <c r="AL348" s="179">
        <f>+AL346*AL342/1000</f>
        <v>2.2329064800000005</v>
      </c>
      <c r="AM348" s="44">
        <f>SUM(AI348:AL348)</f>
        <v>8.9316259200000019</v>
      </c>
      <c r="AN348" s="177">
        <f>+AN346*AN342/1000</f>
        <v>2.2775646096000006</v>
      </c>
      <c r="AO348" s="178">
        <f>+AO346*AO342/1000</f>
        <v>2.2775646096000006</v>
      </c>
      <c r="AP348" s="178">
        <f>+AP346*AP342/1000</f>
        <v>2.2775646096000006</v>
      </c>
      <c r="AQ348" s="179">
        <f>+AQ346*AQ342/1000</f>
        <v>2.2775646096000006</v>
      </c>
      <c r="AR348" s="44">
        <f>SUM(AN348:AQ348)</f>
        <v>9.1102584384000025</v>
      </c>
      <c r="AS348" s="177">
        <f>+AS346*AS342/1000</f>
        <v>2.3231159017920007</v>
      </c>
      <c r="AT348" s="178">
        <f>+AT346*AT342/1000</f>
        <v>2.3231159017920007</v>
      </c>
      <c r="AU348" s="178">
        <f t="shared" ref="AU348" si="919">+AU346*AU342/1000</f>
        <v>2.3231159017920007</v>
      </c>
      <c r="AV348" s="179">
        <f>+AV346*AV342/1000</f>
        <v>2.3231159017920007</v>
      </c>
      <c r="AW348" s="44">
        <f>SUM(AS348:AV348)</f>
        <v>9.2924636071680027</v>
      </c>
      <c r="AX348" s="177">
        <f>+AX346*AX342/1000</f>
        <v>2.3695782198278406</v>
      </c>
      <c r="AY348" s="178">
        <f>+AY346*AY342/1000</f>
        <v>2.3695782198278406</v>
      </c>
      <c r="AZ348" s="178">
        <f>+AZ346*AZ342/1000</f>
        <v>2.3695782198278406</v>
      </c>
      <c r="BA348" s="179">
        <f>+BA346*BA342/1000</f>
        <v>2.3695782198278406</v>
      </c>
      <c r="BB348" s="44">
        <f>SUM(AX348:BA348)</f>
        <v>9.4783128793113622</v>
      </c>
      <c r="BC348" s="177">
        <f>+BC346*BC342/1000</f>
        <v>2.4169697842243978</v>
      </c>
      <c r="BD348" s="178">
        <f>+BD346*BD342/1000</f>
        <v>2.4169697842243978</v>
      </c>
      <c r="BE348" s="178">
        <f>+BE346*BE342/1000</f>
        <v>2.4169697842243978</v>
      </c>
      <c r="BF348" s="179">
        <f>+BF346*BF342/1000</f>
        <v>2.4169697842243978</v>
      </c>
      <c r="BG348" s="44">
        <f>SUM(BC348:BF348)</f>
        <v>9.6678791368975912</v>
      </c>
      <c r="BH348" s="177">
        <f>+BH346*BH342/1000</f>
        <v>2.4653091799088855</v>
      </c>
      <c r="BI348" s="178">
        <f>+BI346*BI342/1000</f>
        <v>2.4653091799088855</v>
      </c>
      <c r="BJ348" s="178">
        <f>+BJ346*BJ342/1000</f>
        <v>2.4653091799088855</v>
      </c>
      <c r="BK348" s="179">
        <f>+BK346*BK342/1000</f>
        <v>2.4653091799088855</v>
      </c>
      <c r="BL348" s="44">
        <f>SUM(BH348:BK348)</f>
        <v>9.8612367196355422</v>
      </c>
      <c r="BM348" s="177">
        <f>+BM346*BM342/1000</f>
        <v>2.5146153635070636</v>
      </c>
      <c r="BN348" s="178">
        <f>+BN346*BN342/1000</f>
        <v>2.5146153635070636</v>
      </c>
      <c r="BO348" s="178">
        <f>+BO346*BO342/1000</f>
        <v>2.5146153635070636</v>
      </c>
      <c r="BP348" s="179">
        <f>+BP346*BP342/1000</f>
        <v>2.5146153635070636</v>
      </c>
      <c r="BQ348" s="44">
        <f>SUM(BM348:BP348)</f>
        <v>10.058461454028254</v>
      </c>
      <c r="BR348" s="44"/>
      <c r="BS348" s="1503"/>
      <c r="BT348" s="1503"/>
      <c r="BU348" s="1503"/>
      <c r="BV348" s="1503"/>
    </row>
    <row r="349" spans="1:74" ht="13.5" customHeight="1">
      <c r="A349" s="108"/>
      <c r="B349" s="36"/>
      <c r="C349" s="1127" t="s">
        <v>633</v>
      </c>
      <c r="D349" s="31"/>
      <c r="E349" s="203"/>
      <c r="F349" s="204"/>
      <c r="G349" s="204"/>
      <c r="H349" s="205"/>
      <c r="I349" s="944"/>
      <c r="J349" s="203"/>
      <c r="K349" s="204"/>
      <c r="L349" s="204"/>
      <c r="M349" s="205"/>
      <c r="N349" s="518"/>
      <c r="O349" s="217"/>
      <c r="P349" s="218"/>
      <c r="Q349" s="218"/>
      <c r="R349" s="219"/>
      <c r="S349" s="518"/>
      <c r="T349" s="217"/>
      <c r="U349" s="218"/>
      <c r="V349" s="218"/>
      <c r="W349" s="219"/>
      <c r="X349" s="518"/>
      <c r="Y349" s="217">
        <v>0</v>
      </c>
      <c r="Z349" s="218">
        <v>0</v>
      </c>
      <c r="AA349" s="218">
        <v>0</v>
      </c>
      <c r="AB349" s="219">
        <v>0</v>
      </c>
      <c r="AC349" s="518">
        <v>0</v>
      </c>
      <c r="AD349" s="217">
        <v>0</v>
      </c>
      <c r="AE349" s="218">
        <v>0</v>
      </c>
      <c r="AF349" s="218">
        <v>0</v>
      </c>
      <c r="AG349" s="219">
        <v>0</v>
      </c>
      <c r="AH349" s="518">
        <v>0</v>
      </c>
      <c r="AI349" s="217">
        <v>0</v>
      </c>
      <c r="AJ349" s="218">
        <v>0</v>
      </c>
      <c r="AK349" s="218">
        <v>0</v>
      </c>
      <c r="AL349" s="219">
        <v>0</v>
      </c>
      <c r="AM349" s="518">
        <v>0</v>
      </c>
      <c r="AN349" s="217">
        <v>0</v>
      </c>
      <c r="AO349" s="218">
        <v>0</v>
      </c>
      <c r="AP349" s="218">
        <v>0</v>
      </c>
      <c r="AQ349" s="219">
        <v>0</v>
      </c>
      <c r="AR349" s="518">
        <v>0</v>
      </c>
      <c r="AS349" s="217">
        <v>0</v>
      </c>
      <c r="AT349" s="218">
        <v>0</v>
      </c>
      <c r="AU349" s="218">
        <v>0</v>
      </c>
      <c r="AV349" s="219">
        <v>0</v>
      </c>
      <c r="AW349" s="518">
        <v>0</v>
      </c>
      <c r="AX349" s="217">
        <v>0</v>
      </c>
      <c r="AY349" s="218">
        <v>0</v>
      </c>
      <c r="AZ349" s="218">
        <v>0</v>
      </c>
      <c r="BA349" s="219">
        <v>0</v>
      </c>
      <c r="BB349" s="518">
        <v>0</v>
      </c>
      <c r="BC349" s="217">
        <v>0</v>
      </c>
      <c r="BD349" s="218">
        <v>0</v>
      </c>
      <c r="BE349" s="218">
        <v>0</v>
      </c>
      <c r="BF349" s="219">
        <v>0</v>
      </c>
      <c r="BG349" s="518">
        <v>0</v>
      </c>
      <c r="BH349" s="217">
        <v>0</v>
      </c>
      <c r="BI349" s="218">
        <v>0</v>
      </c>
      <c r="BJ349" s="218">
        <v>0</v>
      </c>
      <c r="BK349" s="219">
        <v>0</v>
      </c>
      <c r="BL349" s="518">
        <v>0</v>
      </c>
      <c r="BM349" s="217">
        <v>0</v>
      </c>
      <c r="BN349" s="218">
        <v>0</v>
      </c>
      <c r="BO349" s="218">
        <v>0</v>
      </c>
      <c r="BP349" s="219">
        <v>0</v>
      </c>
      <c r="BQ349" s="518">
        <v>0</v>
      </c>
      <c r="BR349" s="518"/>
      <c r="BS349" s="1503"/>
      <c r="BT349" s="1503"/>
      <c r="BU349" s="1503"/>
      <c r="BV349" s="1503"/>
    </row>
    <row r="350" spans="1:74" ht="13.5" customHeight="1">
      <c r="A350" s="108"/>
      <c r="B350" s="36"/>
      <c r="C350" s="1128" t="s">
        <v>547</v>
      </c>
      <c r="D350" s="31"/>
      <c r="E350" s="203"/>
      <c r="F350" s="204"/>
      <c r="G350" s="204"/>
      <c r="H350" s="205"/>
      <c r="I350" s="944"/>
      <c r="J350" s="203"/>
      <c r="K350" s="204"/>
      <c r="L350" s="204"/>
      <c r="M350" s="205"/>
      <c r="N350" s="110"/>
      <c r="O350" s="180"/>
      <c r="P350" s="181"/>
      <c r="Q350" s="181"/>
      <c r="R350" s="182"/>
      <c r="S350" s="110"/>
      <c r="T350" s="180"/>
      <c r="U350" s="181"/>
      <c r="V350" s="181"/>
      <c r="W350" s="182"/>
      <c r="X350" s="110"/>
      <c r="Y350" s="180">
        <f>Y348-Y349</f>
        <v>2.1461999999999999</v>
      </c>
      <c r="Z350" s="181">
        <f t="shared" ref="Z350:AR350" si="920">Z348-Z349</f>
        <v>2.1461999999999999</v>
      </c>
      <c r="AA350" s="181">
        <f t="shared" si="920"/>
        <v>2.1461999999999999</v>
      </c>
      <c r="AB350" s="182">
        <f t="shared" si="920"/>
        <v>2.1461999999999999</v>
      </c>
      <c r="AC350" s="110">
        <f t="shared" si="920"/>
        <v>8.5847999999999995</v>
      </c>
      <c r="AD350" s="180">
        <f t="shared" si="920"/>
        <v>2.1891240000000001</v>
      </c>
      <c r="AE350" s="181">
        <f t="shared" si="920"/>
        <v>2.1891240000000001</v>
      </c>
      <c r="AF350" s="181">
        <f t="shared" si="920"/>
        <v>2.1891240000000001</v>
      </c>
      <c r="AG350" s="182">
        <f t="shared" si="920"/>
        <v>2.1891240000000001</v>
      </c>
      <c r="AH350" s="110">
        <f t="shared" si="920"/>
        <v>8.7564960000000003</v>
      </c>
      <c r="AI350" s="180">
        <f t="shared" si="920"/>
        <v>2.2329064800000005</v>
      </c>
      <c r="AJ350" s="181">
        <f t="shared" si="920"/>
        <v>2.2329064800000005</v>
      </c>
      <c r="AK350" s="181">
        <f t="shared" si="920"/>
        <v>2.2329064800000005</v>
      </c>
      <c r="AL350" s="182">
        <f t="shared" si="920"/>
        <v>2.2329064800000005</v>
      </c>
      <c r="AM350" s="110">
        <f t="shared" si="920"/>
        <v>8.9316259200000019</v>
      </c>
      <c r="AN350" s="180">
        <f t="shared" ref="AN350" si="921">AN348-AN349</f>
        <v>2.2775646096000006</v>
      </c>
      <c r="AO350" s="181">
        <f t="shared" si="920"/>
        <v>2.2775646096000006</v>
      </c>
      <c r="AP350" s="181">
        <f t="shared" ref="AP350" si="922">AP348-AP349</f>
        <v>2.2775646096000006</v>
      </c>
      <c r="AQ350" s="182">
        <f t="shared" si="920"/>
        <v>2.2775646096000006</v>
      </c>
      <c r="AR350" s="110">
        <f t="shared" si="920"/>
        <v>9.1102584384000025</v>
      </c>
      <c r="AS350" s="180">
        <f t="shared" ref="AS350:BB350" si="923">AS348-AS349</f>
        <v>2.3231159017920007</v>
      </c>
      <c r="AT350" s="181">
        <f t="shared" si="923"/>
        <v>2.3231159017920007</v>
      </c>
      <c r="AU350" s="181">
        <f t="shared" ref="AU350" si="924">AU348-AU349</f>
        <v>2.3231159017920007</v>
      </c>
      <c r="AV350" s="182">
        <f t="shared" si="923"/>
        <v>2.3231159017920007</v>
      </c>
      <c r="AW350" s="110">
        <f t="shared" si="923"/>
        <v>9.2924636071680027</v>
      </c>
      <c r="AX350" s="180">
        <f t="shared" si="923"/>
        <v>2.3695782198278406</v>
      </c>
      <c r="AY350" s="181">
        <f t="shared" si="923"/>
        <v>2.3695782198278406</v>
      </c>
      <c r="AZ350" s="181">
        <f t="shared" si="923"/>
        <v>2.3695782198278406</v>
      </c>
      <c r="BA350" s="182">
        <f t="shared" si="923"/>
        <v>2.3695782198278406</v>
      </c>
      <c r="BB350" s="110">
        <f t="shared" si="923"/>
        <v>9.4783128793113622</v>
      </c>
      <c r="BC350" s="180">
        <f t="shared" ref="BC350:BL350" si="925">BC348-BC349</f>
        <v>2.4169697842243978</v>
      </c>
      <c r="BD350" s="181">
        <f t="shared" si="925"/>
        <v>2.4169697842243978</v>
      </c>
      <c r="BE350" s="181">
        <f t="shared" si="925"/>
        <v>2.4169697842243978</v>
      </c>
      <c r="BF350" s="182">
        <f t="shared" si="925"/>
        <v>2.4169697842243978</v>
      </c>
      <c r="BG350" s="110">
        <f t="shared" si="925"/>
        <v>9.6678791368975912</v>
      </c>
      <c r="BH350" s="180">
        <f t="shared" si="925"/>
        <v>2.4653091799088855</v>
      </c>
      <c r="BI350" s="181">
        <f t="shared" si="925"/>
        <v>2.4653091799088855</v>
      </c>
      <c r="BJ350" s="181">
        <f t="shared" si="925"/>
        <v>2.4653091799088855</v>
      </c>
      <c r="BK350" s="182">
        <f t="shared" si="925"/>
        <v>2.4653091799088855</v>
      </c>
      <c r="BL350" s="110">
        <f t="shared" si="925"/>
        <v>9.8612367196355422</v>
      </c>
      <c r="BM350" s="180">
        <f t="shared" ref="BM350:BQ350" si="926">BM348-BM349</f>
        <v>2.5146153635070636</v>
      </c>
      <c r="BN350" s="181">
        <f t="shared" si="926"/>
        <v>2.5146153635070636</v>
      </c>
      <c r="BO350" s="181">
        <f t="shared" si="926"/>
        <v>2.5146153635070636</v>
      </c>
      <c r="BP350" s="182">
        <f t="shared" si="926"/>
        <v>2.5146153635070636</v>
      </c>
      <c r="BQ350" s="110">
        <f t="shared" si="926"/>
        <v>10.058461454028254</v>
      </c>
      <c r="BR350" s="110"/>
      <c r="BS350" s="1503"/>
      <c r="BT350" s="1503"/>
      <c r="BU350" s="1503"/>
      <c r="BV350" s="1503"/>
    </row>
    <row r="351" spans="1:74" ht="13.5" customHeight="1">
      <c r="A351" s="108"/>
      <c r="B351" s="36"/>
      <c r="C351" s="1128"/>
      <c r="D351" s="31"/>
      <c r="E351" s="203"/>
      <c r="F351" s="204"/>
      <c r="G351" s="204"/>
      <c r="H351" s="205"/>
      <c r="I351" s="944"/>
      <c r="J351" s="203"/>
      <c r="K351" s="204"/>
      <c r="L351" s="204"/>
      <c r="M351" s="205"/>
      <c r="N351" s="110"/>
      <c r="O351" s="180"/>
      <c r="P351" s="181"/>
      <c r="Q351" s="181"/>
      <c r="R351" s="182"/>
      <c r="S351" s="110"/>
      <c r="T351" s="180"/>
      <c r="U351" s="181"/>
      <c r="V351" s="181"/>
      <c r="W351" s="182"/>
      <c r="X351" s="110"/>
      <c r="Y351" s="180"/>
      <c r="Z351" s="181"/>
      <c r="AA351" s="181"/>
      <c r="AB351" s="182"/>
      <c r="AC351" s="110"/>
      <c r="AD351" s="180"/>
      <c r="AE351" s="181"/>
      <c r="AF351" s="181"/>
      <c r="AG351" s="182"/>
      <c r="AH351" s="110"/>
      <c r="AI351" s="180"/>
      <c r="AJ351" s="181"/>
      <c r="AK351" s="181"/>
      <c r="AL351" s="182"/>
      <c r="AM351" s="110"/>
      <c r="AN351" s="180"/>
      <c r="AO351" s="181"/>
      <c r="AP351" s="181"/>
      <c r="AQ351" s="182"/>
      <c r="AR351" s="110"/>
      <c r="AS351" s="180"/>
      <c r="AT351" s="181"/>
      <c r="AU351" s="181"/>
      <c r="AV351" s="182"/>
      <c r="AW351" s="110"/>
      <c r="AX351" s="180"/>
      <c r="AY351" s="181"/>
      <c r="AZ351" s="181"/>
      <c r="BA351" s="182"/>
      <c r="BB351" s="110"/>
      <c r="BC351" s="180"/>
      <c r="BD351" s="181"/>
      <c r="BE351" s="181"/>
      <c r="BF351" s="182"/>
      <c r="BG351" s="110"/>
      <c r="BH351" s="180"/>
      <c r="BI351" s="181"/>
      <c r="BJ351" s="181"/>
      <c r="BK351" s="182"/>
      <c r="BL351" s="110"/>
      <c r="BM351" s="180"/>
      <c r="BN351" s="181"/>
      <c r="BO351" s="181"/>
      <c r="BP351" s="182"/>
      <c r="BQ351" s="110"/>
      <c r="BR351" s="110"/>
      <c r="BS351" s="1503"/>
      <c r="BT351" s="1503"/>
      <c r="BU351" s="1503"/>
      <c r="BV351" s="1503"/>
    </row>
    <row r="352" spans="1:74" ht="13.5" customHeight="1">
      <c r="A352" s="108"/>
      <c r="B352" s="36"/>
      <c r="C352" s="1156" t="s">
        <v>847</v>
      </c>
      <c r="D352" s="1091"/>
      <c r="E352" s="1092"/>
      <c r="F352" s="1093"/>
      <c r="G352" s="1093"/>
      <c r="H352" s="1094"/>
      <c r="I352" s="1095"/>
      <c r="J352" s="1092"/>
      <c r="K352" s="1093"/>
      <c r="L352" s="1093"/>
      <c r="M352" s="1094"/>
      <c r="N352" s="1096"/>
      <c r="O352" s="1092"/>
      <c r="P352" s="1093"/>
      <c r="Q352" s="1093"/>
      <c r="R352" s="1094"/>
      <c r="S352" s="1096"/>
      <c r="T352" s="180"/>
      <c r="U352" s="181"/>
      <c r="V352" s="181"/>
      <c r="W352" s="182"/>
      <c r="X352" s="110"/>
      <c r="Y352" s="180"/>
      <c r="Z352" s="181"/>
      <c r="AA352" s="181"/>
      <c r="AB352" s="182"/>
      <c r="AC352" s="110"/>
      <c r="AD352" s="180"/>
      <c r="AE352" s="181"/>
      <c r="AF352" s="181"/>
      <c r="AG352" s="182"/>
      <c r="AH352" s="110"/>
      <c r="AI352" s="180"/>
      <c r="AJ352" s="181"/>
      <c r="AK352" s="181"/>
      <c r="AL352" s="182"/>
      <c r="AM352" s="110"/>
      <c r="AN352" s="180"/>
      <c r="AO352" s="181"/>
      <c r="AP352" s="181"/>
      <c r="AQ352" s="182"/>
      <c r="AR352" s="110"/>
      <c r="AS352" s="180"/>
      <c r="AT352" s="181"/>
      <c r="AU352" s="181"/>
      <c r="AV352" s="182"/>
      <c r="AW352" s="110"/>
      <c r="AX352" s="180"/>
      <c r="AY352" s="181"/>
      <c r="AZ352" s="181"/>
      <c r="BA352" s="182"/>
      <c r="BB352" s="110"/>
      <c r="BC352" s="180"/>
      <c r="BD352" s="181"/>
      <c r="BE352" s="181"/>
      <c r="BF352" s="182"/>
      <c r="BG352" s="110"/>
      <c r="BH352" s="180"/>
      <c r="BI352" s="181"/>
      <c r="BJ352" s="181"/>
      <c r="BK352" s="182"/>
      <c r="BL352" s="110"/>
      <c r="BM352" s="180"/>
      <c r="BN352" s="181"/>
      <c r="BO352" s="181"/>
      <c r="BP352" s="182"/>
      <c r="BQ352" s="110"/>
      <c r="BR352" s="110"/>
      <c r="BS352" s="1503"/>
      <c r="BT352" s="1503"/>
      <c r="BU352" s="1503"/>
      <c r="BV352" s="1503"/>
    </row>
    <row r="353" spans="1:74" ht="13.5" customHeight="1">
      <c r="A353" s="108"/>
      <c r="B353" s="36"/>
      <c r="C353" s="1127" t="s">
        <v>848</v>
      </c>
      <c r="D353" s="1097"/>
      <c r="E353" s="1098"/>
      <c r="F353" s="1099"/>
      <c r="G353" s="1099"/>
      <c r="H353" s="1094"/>
      <c r="I353" s="1097"/>
      <c r="J353" s="1098"/>
      <c r="K353" s="1099"/>
      <c r="L353" s="1099"/>
      <c r="M353" s="1100"/>
      <c r="N353" s="1097"/>
      <c r="O353" s="1098"/>
      <c r="P353" s="1099"/>
      <c r="Q353" s="1099"/>
      <c r="R353" s="1100"/>
      <c r="S353" s="1097"/>
      <c r="T353" s="1098"/>
      <c r="U353" s="1099"/>
      <c r="V353" s="1099"/>
      <c r="W353" s="1100"/>
      <c r="X353" s="1097"/>
      <c r="Y353" s="1098">
        <f>Y354*Y346/1000</f>
        <v>1.4103599999999998</v>
      </c>
      <c r="Z353" s="1099">
        <f>Z354*Z346/1000</f>
        <v>1.4103599999999998</v>
      </c>
      <c r="AA353" s="1099">
        <f>AA354*AA346/1000</f>
        <v>1.4103599999999998</v>
      </c>
      <c r="AB353" s="1100">
        <f>AB354*AB346/1000</f>
        <v>1.4103599999999998</v>
      </c>
      <c r="AC353" s="1097">
        <f>SUM(Y353:AB353)</f>
        <v>5.6414399999999993</v>
      </c>
      <c r="AD353" s="1098">
        <f>AD354*AD346/1000</f>
        <v>1.4526708000000004</v>
      </c>
      <c r="AE353" s="1099">
        <f>AE354*AE346/1000</f>
        <v>1.4526708000000004</v>
      </c>
      <c r="AF353" s="1099">
        <f>AF354*AF346/1000</f>
        <v>1.4526708000000004</v>
      </c>
      <c r="AG353" s="1100">
        <f>AG354*AG346/1000</f>
        <v>1.4526708000000004</v>
      </c>
      <c r="AH353" s="1097">
        <f>SUM(AD353:AG353)</f>
        <v>5.8106832000000015</v>
      </c>
      <c r="AI353" s="1098">
        <f>AI354*AI346/1000</f>
        <v>1.4962509240000004</v>
      </c>
      <c r="AJ353" s="1099">
        <f>AJ354*AJ346/1000</f>
        <v>1.4962509240000004</v>
      </c>
      <c r="AK353" s="1099">
        <f>AK354*AK346/1000</f>
        <v>1.4962509240000004</v>
      </c>
      <c r="AL353" s="1100">
        <f>AL354*AL346/1000</f>
        <v>1.4962509240000004</v>
      </c>
      <c r="AM353" s="1097">
        <f>SUM(AI353:AL353)</f>
        <v>5.9850036960000015</v>
      </c>
      <c r="AN353" s="1098">
        <f>AN354*AN346/1000</f>
        <v>1.5411384517200004</v>
      </c>
      <c r="AO353" s="1099">
        <f>AO354*AO346/1000</f>
        <v>1.5411384517200004</v>
      </c>
      <c r="AP353" s="1099">
        <f>AP354*AP346/1000</f>
        <v>1.5411384517200004</v>
      </c>
      <c r="AQ353" s="1100">
        <f>AQ354*AQ346/1000</f>
        <v>1.5411384517200004</v>
      </c>
      <c r="AR353" s="1097">
        <f>SUM(AN353:AQ353)</f>
        <v>6.1645538068800017</v>
      </c>
      <c r="AS353" s="1098">
        <f>AS354*AS346/1000</f>
        <v>1.5873726052716006</v>
      </c>
      <c r="AT353" s="1099">
        <f>AT354*AT346/1000</f>
        <v>1.5873726052716006</v>
      </c>
      <c r="AU353" s="1099">
        <f t="shared" ref="AU353" si="927">AU354*AU346/1000</f>
        <v>1.5873726052716006</v>
      </c>
      <c r="AV353" s="1100">
        <f>AV354*AV346/1000</f>
        <v>1.5873726052716006</v>
      </c>
      <c r="AW353" s="1097">
        <f>SUM(AS353:AV353)</f>
        <v>6.3494904210864025</v>
      </c>
      <c r="AX353" s="1098">
        <f>AX354*AX346/1000</f>
        <v>1.6349937834297485</v>
      </c>
      <c r="AY353" s="1099">
        <f>AY354*AY346/1000</f>
        <v>1.6349937834297485</v>
      </c>
      <c r="AZ353" s="1099">
        <f>AZ354*AZ346/1000</f>
        <v>1.6349937834297485</v>
      </c>
      <c r="BA353" s="1100">
        <f>BA354*BA346/1000</f>
        <v>1.6349937834297485</v>
      </c>
      <c r="BB353" s="1097">
        <f>SUM(AX353:BA353)</f>
        <v>6.5399751337189942</v>
      </c>
      <c r="BC353" s="1098">
        <f>BC354*BC346/1000</f>
        <v>1.6840435969326408</v>
      </c>
      <c r="BD353" s="1099">
        <f>BD354*BD346/1000</f>
        <v>1.6840435969326408</v>
      </c>
      <c r="BE353" s="1099">
        <f>BE354*BE346/1000</f>
        <v>1.6840435969326408</v>
      </c>
      <c r="BF353" s="1100">
        <f>BF354*BF346/1000</f>
        <v>1.6840435969326408</v>
      </c>
      <c r="BG353" s="1097">
        <f>SUM(BC353:BF353)</f>
        <v>6.7361743877305633</v>
      </c>
      <c r="BH353" s="1098">
        <f>BH354*BH346/1000</f>
        <v>1.7345649048406202</v>
      </c>
      <c r="BI353" s="1099">
        <f>BI354*BI346/1000</f>
        <v>1.7345649048406202</v>
      </c>
      <c r="BJ353" s="1099">
        <f>BJ354*BJ346/1000</f>
        <v>1.7345649048406202</v>
      </c>
      <c r="BK353" s="1100">
        <f>BK354*BK346/1000</f>
        <v>1.7345649048406202</v>
      </c>
      <c r="BL353" s="1097">
        <f>SUM(BH353:BK353)</f>
        <v>6.9382596193624808</v>
      </c>
      <c r="BM353" s="1098">
        <f>BM354*BM346/1000</f>
        <v>1.7866018519858389</v>
      </c>
      <c r="BN353" s="1099">
        <f>BN354*BN346/1000</f>
        <v>1.7866018519858389</v>
      </c>
      <c r="BO353" s="1099">
        <f>BO354*BO346/1000</f>
        <v>1.7866018519858389</v>
      </c>
      <c r="BP353" s="1100">
        <f>BP354*BP346/1000</f>
        <v>1.7866018519858389</v>
      </c>
      <c r="BQ353" s="1097">
        <f>SUM(BM353:BP353)</f>
        <v>7.1464074079433555</v>
      </c>
      <c r="BR353" s="1097"/>
      <c r="BS353" s="1503"/>
      <c r="BT353" s="1503"/>
      <c r="BU353" s="1503"/>
      <c r="BV353" s="1503"/>
    </row>
    <row r="354" spans="1:74" ht="13.5" customHeight="1">
      <c r="A354" s="108"/>
      <c r="B354" s="36"/>
      <c r="C354" s="1127" t="s">
        <v>849</v>
      </c>
      <c r="D354" s="1097"/>
      <c r="E354" s="1098"/>
      <c r="F354" s="1099"/>
      <c r="G354" s="1099"/>
      <c r="H354" s="1100"/>
      <c r="I354" s="924">
        <v>23</v>
      </c>
      <c r="J354" s="1098"/>
      <c r="K354" s="1099"/>
      <c r="L354" s="1099"/>
      <c r="M354" s="1100"/>
      <c r="N354" s="1097"/>
      <c r="O354" s="1098"/>
      <c r="P354" s="1099"/>
      <c r="Q354" s="1099"/>
      <c r="R354" s="1100"/>
      <c r="T354" s="878"/>
      <c r="U354" s="879"/>
      <c r="V354" s="879"/>
      <c r="W354" s="880"/>
      <c r="X354" s="126"/>
      <c r="Y354" s="878">
        <f>Z354</f>
        <v>23</v>
      </c>
      <c r="Z354" s="879">
        <f>AA354</f>
        <v>23</v>
      </c>
      <c r="AA354" s="879">
        <f>AB354</f>
        <v>23</v>
      </c>
      <c r="AB354" s="880">
        <f>AC354</f>
        <v>23</v>
      </c>
      <c r="AC354" s="126">
        <f>+I354</f>
        <v>23</v>
      </c>
      <c r="AD354" s="878">
        <f>AE354</f>
        <v>23.69</v>
      </c>
      <c r="AE354" s="879">
        <f>AF354</f>
        <v>23.69</v>
      </c>
      <c r="AF354" s="879">
        <f>AG354</f>
        <v>23.69</v>
      </c>
      <c r="AG354" s="880">
        <f>AH354</f>
        <v>23.69</v>
      </c>
      <c r="AH354" s="126">
        <f>+AC354*1.03</f>
        <v>23.69</v>
      </c>
      <c r="AI354" s="878">
        <f>AJ354</f>
        <v>24.400700000000001</v>
      </c>
      <c r="AJ354" s="879">
        <f>AK354</f>
        <v>24.400700000000001</v>
      </c>
      <c r="AK354" s="879">
        <f>AL354</f>
        <v>24.400700000000001</v>
      </c>
      <c r="AL354" s="880">
        <f>AM354</f>
        <v>24.400700000000001</v>
      </c>
      <c r="AM354" s="126">
        <f>+AH354*1.03</f>
        <v>24.400700000000001</v>
      </c>
      <c r="AN354" s="878">
        <f>AO354</f>
        <v>25.132721</v>
      </c>
      <c r="AO354" s="879">
        <f>AP354</f>
        <v>25.132721</v>
      </c>
      <c r="AP354" s="879">
        <f>AQ354</f>
        <v>25.132721</v>
      </c>
      <c r="AQ354" s="880">
        <f>AR354</f>
        <v>25.132721</v>
      </c>
      <c r="AR354" s="126">
        <f>+AM354*1.03</f>
        <v>25.132721</v>
      </c>
      <c r="AS354" s="878">
        <f>AT354</f>
        <v>25.886702630000002</v>
      </c>
      <c r="AT354" s="879">
        <f>AU354</f>
        <v>25.886702630000002</v>
      </c>
      <c r="AU354" s="879">
        <f t="shared" ref="AU354" si="928">AV354</f>
        <v>25.886702630000002</v>
      </c>
      <c r="AV354" s="880">
        <f>AW354</f>
        <v>25.886702630000002</v>
      </c>
      <c r="AW354" s="126">
        <f>+AR354*1.03</f>
        <v>25.886702630000002</v>
      </c>
      <c r="AX354" s="878">
        <f>AY354</f>
        <v>26.663303708900003</v>
      </c>
      <c r="AY354" s="879">
        <f>AZ354</f>
        <v>26.663303708900003</v>
      </c>
      <c r="AZ354" s="879">
        <f>BA354</f>
        <v>26.663303708900003</v>
      </c>
      <c r="BA354" s="880">
        <f>BB354</f>
        <v>26.663303708900003</v>
      </c>
      <c r="BB354" s="126">
        <f>+AW354*1.03</f>
        <v>26.663303708900003</v>
      </c>
      <c r="BC354" s="878">
        <f>BD354</f>
        <v>27.463202820167002</v>
      </c>
      <c r="BD354" s="879">
        <f>BE354</f>
        <v>27.463202820167002</v>
      </c>
      <c r="BE354" s="879">
        <f>BF354</f>
        <v>27.463202820167002</v>
      </c>
      <c r="BF354" s="880">
        <f>BG354</f>
        <v>27.463202820167002</v>
      </c>
      <c r="BG354" s="126">
        <f>+BB354*1.03</f>
        <v>27.463202820167002</v>
      </c>
      <c r="BH354" s="878">
        <f>BI354</f>
        <v>28.287098904772012</v>
      </c>
      <c r="BI354" s="879">
        <f>BJ354</f>
        <v>28.287098904772012</v>
      </c>
      <c r="BJ354" s="879">
        <f>BK354</f>
        <v>28.287098904772012</v>
      </c>
      <c r="BK354" s="880">
        <f>BL354</f>
        <v>28.287098904772012</v>
      </c>
      <c r="BL354" s="126">
        <f>+BG354*1.03</f>
        <v>28.287098904772012</v>
      </c>
      <c r="BM354" s="878">
        <f>BN354</f>
        <v>29.135711871915174</v>
      </c>
      <c r="BN354" s="879">
        <f>BO354</f>
        <v>29.135711871915174</v>
      </c>
      <c r="BO354" s="879">
        <f>BP354</f>
        <v>29.135711871915174</v>
      </c>
      <c r="BP354" s="880">
        <f>BQ354</f>
        <v>29.135711871915174</v>
      </c>
      <c r="BQ354" s="126">
        <f>+BL354*1.03</f>
        <v>29.135711871915174</v>
      </c>
      <c r="BR354" s="126"/>
      <c r="BS354" s="1503"/>
      <c r="BT354" s="1503"/>
      <c r="BU354" s="1503"/>
      <c r="BV354" s="1503"/>
    </row>
    <row r="355" spans="1:74" ht="13.5" customHeight="1">
      <c r="A355" s="108"/>
      <c r="B355" s="36"/>
      <c r="C355" s="1128"/>
      <c r="D355" s="31"/>
      <c r="E355" s="203"/>
      <c r="F355" s="204"/>
      <c r="G355" s="204"/>
      <c r="H355" s="205"/>
      <c r="I355" s="944"/>
      <c r="J355" s="203"/>
      <c r="K355" s="204"/>
      <c r="L355" s="204"/>
      <c r="M355" s="205"/>
      <c r="N355" s="110"/>
      <c r="O355" s="180"/>
      <c r="P355" s="181"/>
      <c r="Q355" s="181"/>
      <c r="R355" s="182"/>
      <c r="S355" s="110"/>
      <c r="T355" s="180"/>
      <c r="U355" s="181"/>
      <c r="V355" s="181"/>
      <c r="W355" s="182"/>
      <c r="X355" s="110"/>
      <c r="Y355" s="180"/>
      <c r="Z355" s="181"/>
      <c r="AA355" s="181"/>
      <c r="AB355" s="182"/>
      <c r="AC355" s="110"/>
      <c r="AD355" s="180"/>
      <c r="AE355" s="181"/>
      <c r="AF355" s="181"/>
      <c r="AG355" s="182"/>
      <c r="AH355" s="110"/>
      <c r="AI355" s="180"/>
      <c r="AJ355" s="181"/>
      <c r="AK355" s="181"/>
      <c r="AL355" s="182"/>
      <c r="AM355" s="110"/>
      <c r="AN355" s="180"/>
      <c r="AO355" s="181"/>
      <c r="AP355" s="181"/>
      <c r="AQ355" s="182"/>
      <c r="AR355" s="110"/>
      <c r="AS355" s="180"/>
      <c r="AT355" s="181"/>
      <c r="AU355" s="181"/>
      <c r="AV355" s="182"/>
      <c r="AW355" s="110"/>
      <c r="AX355" s="180"/>
      <c r="AY355" s="181"/>
      <c r="AZ355" s="181"/>
      <c r="BA355" s="182"/>
      <c r="BB355" s="110"/>
      <c r="BC355" s="180"/>
      <c r="BD355" s="181"/>
      <c r="BE355" s="181"/>
      <c r="BF355" s="182"/>
      <c r="BG355" s="110"/>
      <c r="BH355" s="180"/>
      <c r="BI355" s="181"/>
      <c r="BJ355" s="181"/>
      <c r="BK355" s="182"/>
      <c r="BL355" s="110"/>
      <c r="BM355" s="180"/>
      <c r="BN355" s="181"/>
      <c r="BO355" s="181"/>
      <c r="BP355" s="182"/>
      <c r="BQ355" s="110"/>
      <c r="BR355" s="110"/>
      <c r="BS355" s="1503"/>
      <c r="BT355" s="1503"/>
      <c r="BU355" s="1503"/>
      <c r="BV355" s="1503"/>
    </row>
    <row r="356" spans="1:74" ht="13.5" customHeight="1">
      <c r="A356" s="108"/>
      <c r="B356" s="36"/>
      <c r="C356" s="1128"/>
      <c r="D356" s="31"/>
      <c r="E356" s="203"/>
      <c r="F356" s="204"/>
      <c r="G356" s="204"/>
      <c r="H356" s="205"/>
      <c r="I356" s="944"/>
      <c r="J356" s="203"/>
      <c r="K356" s="204"/>
      <c r="L356" s="204"/>
      <c r="M356" s="205"/>
      <c r="N356" s="110"/>
      <c r="O356" s="180"/>
      <c r="P356" s="181"/>
      <c r="Q356" s="181"/>
      <c r="R356" s="182"/>
      <c r="S356" s="110"/>
      <c r="T356" s="180"/>
      <c r="U356" s="181"/>
      <c r="V356" s="181"/>
      <c r="W356" s="182"/>
      <c r="X356" s="110"/>
      <c r="Y356" s="180"/>
      <c r="Z356" s="181"/>
      <c r="AA356" s="181"/>
      <c r="AB356" s="182"/>
      <c r="AC356" s="110"/>
      <c r="AD356" s="180"/>
      <c r="AE356" s="181"/>
      <c r="AF356" s="181"/>
      <c r="AG356" s="182"/>
      <c r="AH356" s="110"/>
      <c r="AI356" s="180"/>
      <c r="AJ356" s="181"/>
      <c r="AK356" s="181"/>
      <c r="AL356" s="182"/>
      <c r="AM356" s="110"/>
      <c r="AN356" s="180"/>
      <c r="AO356" s="181"/>
      <c r="AP356" s="181"/>
      <c r="AQ356" s="182"/>
      <c r="AR356" s="110"/>
      <c r="AS356" s="180"/>
      <c r="AT356" s="181"/>
      <c r="AU356" s="181"/>
      <c r="AV356" s="182"/>
      <c r="AW356" s="110"/>
      <c r="AX356" s="180"/>
      <c r="AY356" s="181"/>
      <c r="AZ356" s="181"/>
      <c r="BA356" s="182"/>
      <c r="BB356" s="110"/>
      <c r="BC356" s="180"/>
      <c r="BD356" s="181"/>
      <c r="BE356" s="181"/>
      <c r="BF356" s="182"/>
      <c r="BG356" s="110"/>
      <c r="BH356" s="180"/>
      <c r="BI356" s="181"/>
      <c r="BJ356" s="181"/>
      <c r="BK356" s="182"/>
      <c r="BL356" s="110"/>
      <c r="BM356" s="180"/>
      <c r="BN356" s="181"/>
      <c r="BO356" s="181"/>
      <c r="BP356" s="182"/>
      <c r="BQ356" s="110"/>
      <c r="BR356" s="110"/>
      <c r="BS356" s="1503"/>
      <c r="BT356" s="1503"/>
      <c r="BU356" s="1503"/>
      <c r="BV356" s="1503"/>
    </row>
    <row r="357" spans="1:74">
      <c r="A357" s="108"/>
      <c r="B357" s="91" t="s">
        <v>586</v>
      </c>
      <c r="C357" s="1126"/>
      <c r="D357" s="92"/>
      <c r="E357" s="203"/>
      <c r="F357" s="204"/>
      <c r="G357" s="204"/>
      <c r="H357" s="205"/>
      <c r="I357" s="944"/>
      <c r="J357" s="203"/>
      <c r="K357" s="204"/>
      <c r="L357" s="204"/>
      <c r="M357" s="205"/>
      <c r="N357" s="110"/>
      <c r="O357" s="180"/>
      <c r="P357" s="181"/>
      <c r="Q357" s="181"/>
      <c r="R357" s="182"/>
      <c r="S357" s="110"/>
      <c r="T357" s="180"/>
      <c r="U357" s="181"/>
      <c r="V357" s="181"/>
      <c r="W357" s="182"/>
      <c r="X357" s="110"/>
      <c r="Y357" s="180"/>
      <c r="Z357" s="181"/>
      <c r="AA357" s="181"/>
      <c r="AB357" s="182"/>
      <c r="AC357" s="110"/>
      <c r="AD357" s="180"/>
      <c r="AE357" s="181"/>
      <c r="AF357" s="181"/>
      <c r="AG357" s="182"/>
      <c r="AH357" s="110"/>
      <c r="AI357" s="180"/>
      <c r="AJ357" s="181"/>
      <c r="AK357" s="181"/>
      <c r="AL357" s="182"/>
      <c r="AM357" s="110"/>
      <c r="AN357" s="180"/>
      <c r="AO357" s="181"/>
      <c r="AP357" s="181"/>
      <c r="AQ357" s="182"/>
      <c r="AR357" s="110"/>
      <c r="AS357" s="180"/>
      <c r="AT357" s="181"/>
      <c r="AU357" s="181"/>
      <c r="AV357" s="182"/>
      <c r="AW357" s="110"/>
      <c r="AX357" s="180"/>
      <c r="AY357" s="181"/>
      <c r="AZ357" s="181"/>
      <c r="BA357" s="182"/>
      <c r="BB357" s="110"/>
      <c r="BC357" s="180"/>
      <c r="BD357" s="181"/>
      <c r="BE357" s="181"/>
      <c r="BF357" s="182"/>
      <c r="BG357" s="110"/>
      <c r="BH357" s="180"/>
      <c r="BI357" s="181"/>
      <c r="BJ357" s="181"/>
      <c r="BK357" s="182"/>
      <c r="BL357" s="110"/>
      <c r="BM357" s="180"/>
      <c r="BN357" s="181"/>
      <c r="BO357" s="181"/>
      <c r="BP357" s="182"/>
      <c r="BQ357" s="110"/>
      <c r="BR357" s="110"/>
      <c r="BS357" s="1503"/>
      <c r="BT357" s="1503"/>
      <c r="BU357" s="1503"/>
      <c r="BV357" s="1503"/>
    </row>
    <row r="358" spans="1:74">
      <c r="A358" s="108"/>
      <c r="B358" s="36"/>
      <c r="C358" s="1128"/>
      <c r="D358" s="36" t="s">
        <v>889</v>
      </c>
      <c r="E358" s="203"/>
      <c r="F358" s="204"/>
      <c r="G358" s="204"/>
      <c r="H358" s="205"/>
      <c r="I358" s="1651">
        <v>0.03</v>
      </c>
      <c r="J358" s="203"/>
      <c r="K358" s="204"/>
      <c r="L358" s="204"/>
      <c r="M358" s="205"/>
      <c r="N358" s="110"/>
      <c r="O358" s="180"/>
      <c r="P358" s="181"/>
      <c r="Q358" s="181"/>
      <c r="R358" s="182"/>
      <c r="S358" s="110"/>
      <c r="T358" s="180"/>
      <c r="U358" s="181"/>
      <c r="V358" s="181"/>
      <c r="W358" s="182"/>
      <c r="X358" s="110"/>
      <c r="Y358" s="180"/>
      <c r="Z358" s="181"/>
      <c r="AA358" s="181"/>
      <c r="AB358" s="182"/>
      <c r="AC358" s="110"/>
      <c r="AD358" s="180"/>
      <c r="AE358" s="181"/>
      <c r="AF358" s="181"/>
      <c r="AG358" s="182"/>
      <c r="AH358" s="110"/>
      <c r="AI358" s="180"/>
      <c r="AJ358" s="181"/>
      <c r="AK358" s="181"/>
      <c r="AL358" s="182"/>
      <c r="AM358" s="110"/>
      <c r="AN358" s="180"/>
      <c r="AO358" s="181"/>
      <c r="AP358" s="181"/>
      <c r="AQ358" s="182"/>
      <c r="AR358" s="110"/>
      <c r="AS358" s="180"/>
      <c r="AT358" s="181"/>
      <c r="AU358" s="181"/>
      <c r="AV358" s="182"/>
      <c r="AW358" s="110"/>
      <c r="AX358" s="180"/>
      <c r="AY358" s="181"/>
      <c r="AZ358" s="181"/>
      <c r="BA358" s="182"/>
      <c r="BB358" s="110"/>
      <c r="BC358" s="180"/>
      <c r="BD358" s="181"/>
      <c r="BE358" s="181"/>
      <c r="BF358" s="182"/>
      <c r="BG358" s="110"/>
      <c r="BH358" s="180"/>
      <c r="BI358" s="181"/>
      <c r="BJ358" s="181"/>
      <c r="BK358" s="182"/>
      <c r="BL358" s="110"/>
      <c r="BM358" s="180"/>
      <c r="BN358" s="181"/>
      <c r="BO358" s="181"/>
      <c r="BP358" s="182"/>
      <c r="BQ358" s="110"/>
      <c r="BR358" s="110"/>
      <c r="BS358" s="1503"/>
      <c r="BT358" s="1503"/>
      <c r="BU358" s="1503"/>
      <c r="BV358" s="1503"/>
    </row>
    <row r="359" spans="1:74">
      <c r="A359" s="108"/>
      <c r="B359" s="36"/>
      <c r="C359" s="1156" t="s">
        <v>859</v>
      </c>
      <c r="D359" s="31"/>
      <c r="E359" s="203"/>
      <c r="F359" s="204"/>
      <c r="G359" s="204"/>
      <c r="H359" s="205"/>
      <c r="I359" s="36"/>
      <c r="J359" s="203"/>
      <c r="K359" s="204"/>
      <c r="L359" s="204"/>
      <c r="M359" s="205"/>
      <c r="N359" s="110"/>
      <c r="O359" s="180"/>
      <c r="P359" s="181"/>
      <c r="Q359" s="181"/>
      <c r="R359" s="182"/>
      <c r="S359" s="110"/>
      <c r="T359" s="180"/>
      <c r="U359" s="181"/>
      <c r="V359" s="181"/>
      <c r="W359" s="182"/>
      <c r="X359" s="110"/>
      <c r="Y359" s="180"/>
      <c r="Z359" s="181"/>
      <c r="AA359" s="181"/>
      <c r="AB359" s="182"/>
      <c r="AC359" s="110"/>
      <c r="AD359" s="180"/>
      <c r="AE359" s="181"/>
      <c r="AF359" s="181"/>
      <c r="AG359" s="182"/>
      <c r="AH359" s="110"/>
      <c r="AI359" s="180"/>
      <c r="AJ359" s="181"/>
      <c r="AK359" s="181"/>
      <c r="AL359" s="182"/>
      <c r="AM359" s="110"/>
      <c r="AN359" s="180"/>
      <c r="AO359" s="181"/>
      <c r="AP359" s="181"/>
      <c r="AQ359" s="182"/>
      <c r="AR359" s="110"/>
      <c r="AS359" s="180"/>
      <c r="AT359" s="181"/>
      <c r="AU359" s="181"/>
      <c r="AV359" s="182"/>
      <c r="AW359" s="110"/>
      <c r="AX359" s="180"/>
      <c r="AY359" s="181"/>
      <c r="AZ359" s="181"/>
      <c r="BA359" s="182"/>
      <c r="BB359" s="110"/>
      <c r="BC359" s="180"/>
      <c r="BD359" s="181"/>
      <c r="BE359" s="181"/>
      <c r="BF359" s="182"/>
      <c r="BG359" s="110"/>
      <c r="BH359" s="180"/>
      <c r="BI359" s="181"/>
      <c r="BJ359" s="181"/>
      <c r="BK359" s="182"/>
      <c r="BL359" s="110"/>
      <c r="BM359" s="180"/>
      <c r="BN359" s="181"/>
      <c r="BO359" s="181"/>
      <c r="BP359" s="182"/>
      <c r="BQ359" s="110"/>
      <c r="BR359" s="110"/>
      <c r="BS359" s="1503"/>
      <c r="BT359" s="1503"/>
      <c r="BU359" s="1503"/>
      <c r="BV359" s="1503"/>
    </row>
    <row r="360" spans="1:74">
      <c r="A360" s="108"/>
      <c r="B360" s="31"/>
      <c r="C360" s="1127" t="s">
        <v>587</v>
      </c>
      <c r="D360" s="31"/>
      <c r="E360" s="203"/>
      <c r="F360" s="204"/>
      <c r="G360" s="204"/>
      <c r="H360" s="204"/>
      <c r="I360" s="36"/>
      <c r="J360" s="204"/>
      <c r="K360" s="204"/>
      <c r="L360" s="204"/>
      <c r="M360" s="205"/>
      <c r="N360" s="44"/>
      <c r="O360" s="177"/>
      <c r="P360" s="178"/>
      <c r="Q360" s="178"/>
      <c r="R360" s="179"/>
      <c r="S360" s="44"/>
      <c r="T360" s="945"/>
      <c r="U360" s="946"/>
      <c r="V360" s="946"/>
      <c r="W360" s="947"/>
      <c r="X360" s="127"/>
      <c r="Y360" s="220">
        <f>Y215*(1-$I$358)</f>
        <v>812.86</v>
      </c>
      <c r="Z360" s="221">
        <f t="shared" ref="Z360:BB360" si="929">Z215*(1-$I$358)</f>
        <v>812.86</v>
      </c>
      <c r="AA360" s="221">
        <f t="shared" si="929"/>
        <v>812.86</v>
      </c>
      <c r="AB360" s="222">
        <f t="shared" si="929"/>
        <v>812.86</v>
      </c>
      <c r="AC360" s="127">
        <f t="shared" si="929"/>
        <v>812.86</v>
      </c>
      <c r="AD360" s="220">
        <f t="shared" si="929"/>
        <v>812.86</v>
      </c>
      <c r="AE360" s="221">
        <f t="shared" si="929"/>
        <v>812.86</v>
      </c>
      <c r="AF360" s="221">
        <f t="shared" si="929"/>
        <v>812.86</v>
      </c>
      <c r="AG360" s="222">
        <f t="shared" si="929"/>
        <v>812.86</v>
      </c>
      <c r="AH360" s="127">
        <f t="shared" si="929"/>
        <v>812.86</v>
      </c>
      <c r="AI360" s="220">
        <f t="shared" si="929"/>
        <v>812.86</v>
      </c>
      <c r="AJ360" s="221">
        <f t="shared" si="929"/>
        <v>812.86</v>
      </c>
      <c r="AK360" s="221">
        <f t="shared" si="929"/>
        <v>812.86</v>
      </c>
      <c r="AL360" s="222">
        <f t="shared" si="929"/>
        <v>812.86</v>
      </c>
      <c r="AM360" s="127">
        <f t="shared" si="929"/>
        <v>812.86</v>
      </c>
      <c r="AN360" s="220">
        <f t="shared" ref="AN360" si="930">AN215*(1-$I$358)</f>
        <v>812.86</v>
      </c>
      <c r="AO360" s="221">
        <f t="shared" si="929"/>
        <v>812.86</v>
      </c>
      <c r="AP360" s="221">
        <f t="shared" ref="AP360" si="931">AP215*(1-$I$358)</f>
        <v>812.86</v>
      </c>
      <c r="AQ360" s="222">
        <f t="shared" si="929"/>
        <v>812.86</v>
      </c>
      <c r="AR360" s="127">
        <f t="shared" si="929"/>
        <v>812.86</v>
      </c>
      <c r="AS360" s="220">
        <f t="shared" si="929"/>
        <v>812.86</v>
      </c>
      <c r="AT360" s="221">
        <f t="shared" ref="AT360:AU360" si="932">AT215*(1-$I$358)</f>
        <v>0</v>
      </c>
      <c r="AU360" s="221">
        <f t="shared" si="932"/>
        <v>0</v>
      </c>
      <c r="AV360" s="222">
        <f t="shared" si="929"/>
        <v>0</v>
      </c>
      <c r="AW360" s="127">
        <f t="shared" si="929"/>
        <v>0</v>
      </c>
      <c r="AX360" s="220">
        <f t="shared" si="929"/>
        <v>0</v>
      </c>
      <c r="AY360" s="221">
        <f t="shared" si="929"/>
        <v>0</v>
      </c>
      <c r="AZ360" s="221">
        <f t="shared" si="929"/>
        <v>0</v>
      </c>
      <c r="BA360" s="222">
        <f t="shared" si="929"/>
        <v>0</v>
      </c>
      <c r="BB360" s="127">
        <f t="shared" si="929"/>
        <v>0</v>
      </c>
      <c r="BC360" s="220">
        <f t="shared" ref="BC360:BL360" si="933">BC215*(1-$I$358)</f>
        <v>0</v>
      </c>
      <c r="BD360" s="221">
        <f t="shared" si="933"/>
        <v>0</v>
      </c>
      <c r="BE360" s="221">
        <f t="shared" si="933"/>
        <v>0</v>
      </c>
      <c r="BF360" s="222">
        <f t="shared" si="933"/>
        <v>0</v>
      </c>
      <c r="BG360" s="127">
        <f t="shared" si="933"/>
        <v>0</v>
      </c>
      <c r="BH360" s="220">
        <f t="shared" si="933"/>
        <v>0</v>
      </c>
      <c r="BI360" s="221">
        <f t="shared" si="933"/>
        <v>0</v>
      </c>
      <c r="BJ360" s="221">
        <f t="shared" si="933"/>
        <v>0</v>
      </c>
      <c r="BK360" s="222">
        <f t="shared" si="933"/>
        <v>0</v>
      </c>
      <c r="BL360" s="127">
        <f t="shared" si="933"/>
        <v>0</v>
      </c>
      <c r="BM360" s="220">
        <f t="shared" ref="BM360:BQ360" si="934">BM215*(1-$I$358)</f>
        <v>0</v>
      </c>
      <c r="BN360" s="221">
        <f t="shared" si="934"/>
        <v>0</v>
      </c>
      <c r="BO360" s="221">
        <f t="shared" si="934"/>
        <v>0</v>
      </c>
      <c r="BP360" s="222">
        <f t="shared" si="934"/>
        <v>0</v>
      </c>
      <c r="BQ360" s="127">
        <f t="shared" si="934"/>
        <v>0</v>
      </c>
      <c r="BR360" s="127"/>
      <c r="BS360" s="1503"/>
      <c r="BT360" s="1503"/>
      <c r="BU360" s="1503"/>
      <c r="BV360" s="1503"/>
    </row>
    <row r="361" spans="1:74">
      <c r="A361" s="108"/>
      <c r="B361" s="36"/>
      <c r="C361" s="1127" t="s">
        <v>522</v>
      </c>
      <c r="D361" s="31"/>
      <c r="E361" s="203"/>
      <c r="F361" s="204"/>
      <c r="G361" s="204"/>
      <c r="H361" s="205"/>
      <c r="I361" s="110"/>
      <c r="J361" s="180"/>
      <c r="K361" s="204"/>
      <c r="L361" s="204"/>
      <c r="M361" s="205"/>
      <c r="N361" s="110"/>
      <c r="O361" s="180"/>
      <c r="P361" s="181"/>
      <c r="Q361" s="181"/>
      <c r="R361" s="182"/>
      <c r="S361" s="110"/>
      <c r="T361" s="948"/>
      <c r="U361" s="949"/>
      <c r="V361" s="949"/>
      <c r="W361" s="950"/>
      <c r="X361" s="951"/>
      <c r="Y361" s="952">
        <f t="shared" ref="Y361:AR361" si="935">Y99</f>
        <v>27</v>
      </c>
      <c r="Z361" s="953">
        <f t="shared" si="935"/>
        <v>101</v>
      </c>
      <c r="AA361" s="953">
        <f t="shared" si="935"/>
        <v>138</v>
      </c>
      <c r="AB361" s="954">
        <f t="shared" si="935"/>
        <v>108.66666666666667</v>
      </c>
      <c r="AC361" s="951">
        <f t="shared" si="935"/>
        <v>93.666666666666671</v>
      </c>
      <c r="AD361" s="952">
        <f t="shared" si="935"/>
        <v>94</v>
      </c>
      <c r="AE361" s="953">
        <f t="shared" si="935"/>
        <v>144</v>
      </c>
      <c r="AF361" s="953">
        <f t="shared" si="935"/>
        <v>169</v>
      </c>
      <c r="AG361" s="954">
        <f t="shared" si="935"/>
        <v>108.38812785388127</v>
      </c>
      <c r="AH361" s="951">
        <f t="shared" si="935"/>
        <v>128.84703196347033</v>
      </c>
      <c r="AI361" s="952">
        <f t="shared" si="935"/>
        <v>78.082191780821915</v>
      </c>
      <c r="AJ361" s="953">
        <f t="shared" si="935"/>
        <v>103.83561643835614</v>
      </c>
      <c r="AK361" s="953">
        <f t="shared" si="935"/>
        <v>116.71232876712327</v>
      </c>
      <c r="AL361" s="954">
        <f t="shared" si="935"/>
        <v>63.452054794520535</v>
      </c>
      <c r="AM361" s="951">
        <f t="shared" si="935"/>
        <v>90.520547945205465</v>
      </c>
      <c r="AN361" s="952">
        <f t="shared" ref="AN361" si="936">AN99</f>
        <v>91.61643835616438</v>
      </c>
      <c r="AO361" s="953">
        <f t="shared" si="935"/>
        <v>85.698630136986296</v>
      </c>
      <c r="AP361" s="953">
        <f t="shared" ref="AP361" si="937">AP99</f>
        <v>119.01369863013699</v>
      </c>
      <c r="AQ361" s="954">
        <f t="shared" si="935"/>
        <v>82.410958904109577</v>
      </c>
      <c r="AR361" s="951">
        <f t="shared" si="935"/>
        <v>94.68493150684931</v>
      </c>
      <c r="AS361" s="952">
        <f t="shared" ref="AS361:BB361" si="938">AS99</f>
        <v>24.657534246575342</v>
      </c>
      <c r="AT361" s="953">
        <f t="shared" si="938"/>
        <v>101.36986301369862</v>
      </c>
      <c r="AU361" s="953">
        <f t="shared" ref="AU361" si="939">AU99</f>
        <v>139.72602739726028</v>
      </c>
      <c r="AV361" s="954">
        <f t="shared" si="938"/>
        <v>75.06849315068493</v>
      </c>
      <c r="AW361" s="951">
        <f t="shared" si="938"/>
        <v>85.205479452054789</v>
      </c>
      <c r="AX361" s="952">
        <f t="shared" si="938"/>
        <v>42.739726027397268</v>
      </c>
      <c r="AY361" s="953">
        <f t="shared" si="938"/>
        <v>123.83561643835615</v>
      </c>
      <c r="AZ361" s="953">
        <f t="shared" si="938"/>
        <v>164.38356164383561</v>
      </c>
      <c r="BA361" s="954">
        <f t="shared" si="938"/>
        <v>83.287671232876704</v>
      </c>
      <c r="BB361" s="951">
        <f t="shared" si="938"/>
        <v>103.56164383561642</v>
      </c>
      <c r="BC361" s="952">
        <f t="shared" ref="BC361:BL361" si="940">BC99</f>
        <v>42.739726027397268</v>
      </c>
      <c r="BD361" s="953">
        <f t="shared" si="940"/>
        <v>123.83561643835615</v>
      </c>
      <c r="BE361" s="953">
        <f t="shared" si="940"/>
        <v>164.38356164383561</v>
      </c>
      <c r="BF361" s="954">
        <f t="shared" si="940"/>
        <v>83.287671232876704</v>
      </c>
      <c r="BG361" s="951">
        <f t="shared" si="940"/>
        <v>103.56164383561642</v>
      </c>
      <c r="BH361" s="952">
        <f t="shared" si="940"/>
        <v>42.739726027397268</v>
      </c>
      <c r="BI361" s="953">
        <f t="shared" si="940"/>
        <v>123.83561643835615</v>
      </c>
      <c r="BJ361" s="953">
        <f t="shared" si="940"/>
        <v>164.38356164383561</v>
      </c>
      <c r="BK361" s="954">
        <f t="shared" si="940"/>
        <v>83.287671232876704</v>
      </c>
      <c r="BL361" s="951">
        <f t="shared" si="940"/>
        <v>103.56164383561642</v>
      </c>
      <c r="BM361" s="952">
        <f t="shared" ref="BM361:BQ361" si="941">BM99</f>
        <v>42.739726027397268</v>
      </c>
      <c r="BN361" s="953">
        <f t="shared" si="941"/>
        <v>123.83561643835615</v>
      </c>
      <c r="BO361" s="953">
        <f t="shared" si="941"/>
        <v>164.38356164383561</v>
      </c>
      <c r="BP361" s="954">
        <f t="shared" si="941"/>
        <v>83.287671232876704</v>
      </c>
      <c r="BQ361" s="951">
        <f t="shared" si="941"/>
        <v>103.56164383561642</v>
      </c>
      <c r="BR361" s="951"/>
      <c r="BS361" s="1503"/>
      <c r="BT361" s="1503"/>
      <c r="BU361" s="1503"/>
      <c r="BV361" s="1503"/>
    </row>
    <row r="362" spans="1:74">
      <c r="A362" s="108"/>
      <c r="B362" s="36"/>
      <c r="C362" s="1128" t="s">
        <v>570</v>
      </c>
      <c r="D362" s="36"/>
      <c r="E362" s="151"/>
      <c r="F362" s="152"/>
      <c r="G362" s="152"/>
      <c r="H362" s="153"/>
      <c r="I362" s="110"/>
      <c r="J362" s="180"/>
      <c r="K362" s="152"/>
      <c r="L362" s="152"/>
      <c r="M362" s="153"/>
      <c r="N362" s="110"/>
      <c r="O362" s="180"/>
      <c r="P362" s="181"/>
      <c r="Q362" s="181"/>
      <c r="R362" s="182"/>
      <c r="S362" s="110"/>
      <c r="T362" s="933"/>
      <c r="U362" s="934"/>
      <c r="V362" s="934"/>
      <c r="W362" s="935"/>
      <c r="X362" s="110"/>
      <c r="Y362" s="933">
        <f>Y360*Y361*365/1000000/4</f>
        <v>2.0026838250000001</v>
      </c>
      <c r="Z362" s="934">
        <f>Z360*Z361*365/1000000/4</f>
        <v>7.4915209749999994</v>
      </c>
      <c r="AA362" s="934">
        <f>AA360*AA361*365/1000000/4</f>
        <v>10.235939550000001</v>
      </c>
      <c r="AB362" s="935">
        <f>AB360*AB361*365/1000000/4</f>
        <v>8.0601842833333333</v>
      </c>
      <c r="AC362" s="110">
        <f>SUM(Y362:AB362)</f>
        <v>27.790328633333331</v>
      </c>
      <c r="AD362" s="933">
        <f>AD360*AD361*365/1000000/4</f>
        <v>6.9723066499999993</v>
      </c>
      <c r="AE362" s="934">
        <f>AE360*AE361*365/1000000/4</f>
        <v>10.680980400000001</v>
      </c>
      <c r="AF362" s="934">
        <f>AF360*AF361*365/1000000/4</f>
        <v>12.535317275000001</v>
      </c>
      <c r="AG362" s="935">
        <f>AG360*AG361*365/1000000/4</f>
        <v>8.0395240916666655</v>
      </c>
      <c r="AH362" s="110">
        <f>SUM(AD362:AG362)</f>
        <v>38.228128416666664</v>
      </c>
      <c r="AI362" s="933">
        <f>AI360*AI361*365/1000000/4</f>
        <v>5.7916274999999997</v>
      </c>
      <c r="AJ362" s="934">
        <f>AJ360*AJ361*365/1000000/4</f>
        <v>7.7018484999999988</v>
      </c>
      <c r="AK362" s="934">
        <f>AK360*AK361*365/1000000/4</f>
        <v>8.6569589999999987</v>
      </c>
      <c r="AL362" s="935">
        <f>AL360*AL361*365/1000000/4</f>
        <v>4.7064593999999991</v>
      </c>
      <c r="AM362" s="110">
        <f>SUM(AI362:AL362)</f>
        <v>26.856894399999995</v>
      </c>
      <c r="AN362" s="933">
        <f>AN360*AN361*365/1000000/4</f>
        <v>6.7955095999999999</v>
      </c>
      <c r="AO362" s="934">
        <f>AO360*AO361*365/1000000/4</f>
        <v>6.3565652000000004</v>
      </c>
      <c r="AP362" s="934">
        <f>AP360*AP361*365/1000000/4</f>
        <v>8.8276596000000005</v>
      </c>
      <c r="AQ362" s="935">
        <f>AQ360*AQ361*365/1000000/4</f>
        <v>6.1127071999999991</v>
      </c>
      <c r="AR362" s="110">
        <f>SUM(AN362:AQ362)</f>
        <v>28.092441600000001</v>
      </c>
      <c r="AS362" s="933">
        <f>AS360*AS361*365/1000000/4</f>
        <v>1.8289349999999998</v>
      </c>
      <c r="AT362" s="934">
        <f>AT360*AT361*365/1000000/4</f>
        <v>0</v>
      </c>
      <c r="AU362" s="934">
        <f t="shared" ref="AU362" si="942">AU360*AU361*365/1000000/4</f>
        <v>0</v>
      </c>
      <c r="AV362" s="935">
        <f>AV360*AV361*365/1000000/4</f>
        <v>0</v>
      </c>
      <c r="AW362" s="110">
        <f>SUM(AS362:AV362)</f>
        <v>1.8289349999999998</v>
      </c>
      <c r="AX362" s="933">
        <f>AX360*AX361*365/1000000/4</f>
        <v>0</v>
      </c>
      <c r="AY362" s="934">
        <f>AY360*AY361*365/1000000/4</f>
        <v>0</v>
      </c>
      <c r="AZ362" s="934">
        <f>AZ360*AZ361*365/1000000/4</f>
        <v>0</v>
      </c>
      <c r="BA362" s="935">
        <f>BA360*BA361*365/1000000/4</f>
        <v>0</v>
      </c>
      <c r="BB362" s="110">
        <f>SUM(AX362:BA362)</f>
        <v>0</v>
      </c>
      <c r="BC362" s="933">
        <f>BC360*BC361*365/1000000/4</f>
        <v>0</v>
      </c>
      <c r="BD362" s="934">
        <f>BD360*BD361*365/1000000/4</f>
        <v>0</v>
      </c>
      <c r="BE362" s="934">
        <f>BE360*BE361*365/1000000/4</f>
        <v>0</v>
      </c>
      <c r="BF362" s="935">
        <f>BF360*BF361*365/1000000/4</f>
        <v>0</v>
      </c>
      <c r="BG362" s="110">
        <f>SUM(BC362:BF362)</f>
        <v>0</v>
      </c>
      <c r="BH362" s="933">
        <f>BH360*BH361*365/1000000/4</f>
        <v>0</v>
      </c>
      <c r="BI362" s="934">
        <f>BI360*BI361*365/1000000/4</f>
        <v>0</v>
      </c>
      <c r="BJ362" s="934">
        <f>BJ360*BJ361*365/1000000/4</f>
        <v>0</v>
      </c>
      <c r="BK362" s="935">
        <f>BK360*BK361*365/1000000/4</f>
        <v>0</v>
      </c>
      <c r="BL362" s="110">
        <f>SUM(BH362:BK362)</f>
        <v>0</v>
      </c>
      <c r="BM362" s="933">
        <f>BM360*BM361*365/1000000/4</f>
        <v>0</v>
      </c>
      <c r="BN362" s="934">
        <f>BN360*BN361*365/1000000/4</f>
        <v>0</v>
      </c>
      <c r="BO362" s="934">
        <f>BO360*BO361*365/1000000/4</f>
        <v>0</v>
      </c>
      <c r="BP362" s="935">
        <f>BP360*BP361*365/1000000/4</f>
        <v>0</v>
      </c>
      <c r="BQ362" s="110">
        <f>SUM(BM362:BP362)</f>
        <v>0</v>
      </c>
      <c r="BR362" s="110"/>
      <c r="BS362" s="1503"/>
      <c r="BT362" s="1503"/>
      <c r="BU362" s="1503"/>
      <c r="BV362" s="1503"/>
    </row>
    <row r="363" spans="1:74">
      <c r="A363" s="108"/>
      <c r="B363" s="36"/>
      <c r="C363" s="1127"/>
      <c r="D363" s="31"/>
      <c r="E363" s="203"/>
      <c r="F363" s="204"/>
      <c r="G363" s="204"/>
      <c r="H363" s="205"/>
      <c r="I363" s="110"/>
      <c r="J363" s="180"/>
      <c r="K363" s="204"/>
      <c r="L363" s="204"/>
      <c r="M363" s="205"/>
      <c r="N363" s="110"/>
      <c r="O363" s="180"/>
      <c r="P363" s="181"/>
      <c r="Q363" s="181"/>
      <c r="R363" s="182"/>
      <c r="S363" s="110"/>
      <c r="T363" s="945"/>
      <c r="U363" s="946"/>
      <c r="V363" s="946"/>
      <c r="W363" s="947"/>
      <c r="X363" s="127"/>
      <c r="Y363" s="220"/>
      <c r="Z363" s="221"/>
      <c r="AA363" s="221"/>
      <c r="AB363" s="222"/>
      <c r="AC363" s="127"/>
      <c r="AD363" s="220"/>
      <c r="AE363" s="221"/>
      <c r="AF363" s="221"/>
      <c r="AG363" s="222"/>
      <c r="AH363" s="1554"/>
      <c r="AI363" s="220"/>
      <c r="AJ363" s="221"/>
      <c r="AK363" s="221"/>
      <c r="AL363" s="222"/>
      <c r="AM363" s="127"/>
      <c r="AN363" s="220"/>
      <c r="AO363" s="221"/>
      <c r="AP363" s="221"/>
      <c r="AQ363" s="222"/>
      <c r="AR363" s="127"/>
      <c r="AS363" s="220"/>
      <c r="AT363" s="221"/>
      <c r="AU363" s="221"/>
      <c r="AV363" s="222"/>
      <c r="AW363" s="127"/>
      <c r="AX363" s="220"/>
      <c r="AY363" s="221"/>
      <c r="AZ363" s="221"/>
      <c r="BA363" s="222"/>
      <c r="BB363" s="127"/>
      <c r="BC363" s="220"/>
      <c r="BD363" s="221"/>
      <c r="BE363" s="221"/>
      <c r="BF363" s="222"/>
      <c r="BG363" s="127"/>
      <c r="BH363" s="220"/>
      <c r="BI363" s="221"/>
      <c r="BJ363" s="221"/>
      <c r="BK363" s="222"/>
      <c r="BL363" s="127"/>
      <c r="BM363" s="220"/>
      <c r="BN363" s="221"/>
      <c r="BO363" s="221"/>
      <c r="BP363" s="222"/>
      <c r="BQ363" s="127"/>
      <c r="BR363" s="127"/>
      <c r="BS363" s="1503"/>
      <c r="BT363" s="1503"/>
      <c r="BU363" s="1503"/>
      <c r="BV363" s="1503"/>
    </row>
    <row r="364" spans="1:74">
      <c r="A364" s="108"/>
      <c r="B364" s="36"/>
      <c r="C364" s="1156" t="s">
        <v>857</v>
      </c>
      <c r="D364" s="31"/>
      <c r="E364" s="203"/>
      <c r="F364" s="204"/>
      <c r="G364" s="204"/>
      <c r="H364" s="205"/>
      <c r="I364" s="110"/>
      <c r="J364" s="180"/>
      <c r="K364" s="204"/>
      <c r="L364" s="204"/>
      <c r="M364" s="205"/>
      <c r="N364" s="110"/>
      <c r="O364" s="180"/>
      <c r="P364" s="181"/>
      <c r="Q364" s="181"/>
      <c r="R364" s="182"/>
      <c r="S364" s="110"/>
      <c r="T364" s="945"/>
      <c r="U364" s="946"/>
      <c r="V364" s="946"/>
      <c r="W364" s="947"/>
      <c r="X364" s="127"/>
      <c r="Y364" s="220"/>
      <c r="Z364" s="221"/>
      <c r="AA364" s="221"/>
      <c r="AB364" s="222"/>
      <c r="AC364" s="127"/>
      <c r="AD364" s="220"/>
      <c r="AE364" s="221"/>
      <c r="AF364" s="221"/>
      <c r="AG364" s="222"/>
      <c r="AH364" s="127"/>
      <c r="AI364" s="220"/>
      <c r="AJ364" s="221"/>
      <c r="AK364" s="221"/>
      <c r="AL364" s="222"/>
      <c r="AM364" s="127"/>
      <c r="AN364" s="220"/>
      <c r="AO364" s="221"/>
      <c r="AP364" s="221"/>
      <c r="AQ364" s="222"/>
      <c r="AR364" s="127"/>
      <c r="AS364" s="220"/>
      <c r="AT364" s="221"/>
      <c r="AU364" s="221"/>
      <c r="AV364" s="222"/>
      <c r="AW364" s="127"/>
      <c r="AX364" s="220"/>
      <c r="AY364" s="221"/>
      <c r="AZ364" s="221"/>
      <c r="BA364" s="222"/>
      <c r="BB364" s="127"/>
      <c r="BC364" s="220"/>
      <c r="BD364" s="221"/>
      <c r="BE364" s="221"/>
      <c r="BF364" s="222"/>
      <c r="BG364" s="127"/>
      <c r="BH364" s="220"/>
      <c r="BI364" s="221"/>
      <c r="BJ364" s="221"/>
      <c r="BK364" s="222"/>
      <c r="BL364" s="127"/>
      <c r="BM364" s="220"/>
      <c r="BN364" s="221"/>
      <c r="BO364" s="221"/>
      <c r="BP364" s="222"/>
      <c r="BQ364" s="127"/>
      <c r="BR364" s="127"/>
      <c r="BS364" s="1503"/>
      <c r="BT364" s="1503"/>
      <c r="BU364" s="1503"/>
      <c r="BV364" s="1503"/>
    </row>
    <row r="365" spans="1:74">
      <c r="A365" s="108"/>
      <c r="B365" s="31"/>
      <c r="C365" s="1127" t="s">
        <v>587</v>
      </c>
      <c r="D365" s="31"/>
      <c r="E365" s="203"/>
      <c r="F365" s="204"/>
      <c r="G365" s="204"/>
      <c r="H365" s="205"/>
      <c r="I365" s="110"/>
      <c r="J365" s="180"/>
      <c r="K365" s="204"/>
      <c r="L365" s="204"/>
      <c r="M365" s="205"/>
      <c r="N365" s="44"/>
      <c r="O365" s="177"/>
      <c r="P365" s="178"/>
      <c r="Q365" s="178"/>
      <c r="R365" s="179"/>
      <c r="S365" s="44"/>
      <c r="T365" s="945"/>
      <c r="U365" s="946"/>
      <c r="V365" s="946"/>
      <c r="W365" s="947"/>
      <c r="X365" s="127"/>
      <c r="Y365" s="220">
        <f>Y228*(1-$I$358)</f>
        <v>2006.9299999999998</v>
      </c>
      <c r="Z365" s="221">
        <f t="shared" ref="Z365:BB365" si="943">Z228*(1-$I$358)</f>
        <v>2006.9299999999998</v>
      </c>
      <c r="AA365" s="221">
        <f t="shared" si="943"/>
        <v>2006.9299999999998</v>
      </c>
      <c r="AB365" s="222">
        <f t="shared" si="943"/>
        <v>2006.9299999999998</v>
      </c>
      <c r="AC365" s="127">
        <f t="shared" si="943"/>
        <v>2006.9299999999998</v>
      </c>
      <c r="AD365" s="220">
        <f t="shared" si="943"/>
        <v>2006.9299999999998</v>
      </c>
      <c r="AE365" s="221">
        <f t="shared" si="943"/>
        <v>2006.9299999999998</v>
      </c>
      <c r="AF365" s="221">
        <f t="shared" si="943"/>
        <v>2006.9299999999998</v>
      </c>
      <c r="AG365" s="222">
        <f t="shared" si="943"/>
        <v>2006.9299999999998</v>
      </c>
      <c r="AH365" s="127">
        <f t="shared" si="943"/>
        <v>2006.9299999999998</v>
      </c>
      <c r="AI365" s="220">
        <f t="shared" si="943"/>
        <v>2006.9299999999998</v>
      </c>
      <c r="AJ365" s="221">
        <f t="shared" si="943"/>
        <v>2006.9299999999998</v>
      </c>
      <c r="AK365" s="221">
        <f t="shared" si="943"/>
        <v>2006.9299999999998</v>
      </c>
      <c r="AL365" s="222">
        <f t="shared" si="943"/>
        <v>2006.9299999999998</v>
      </c>
      <c r="AM365" s="127">
        <f t="shared" si="943"/>
        <v>2006.9299999999998</v>
      </c>
      <c r="AN365" s="220">
        <f t="shared" ref="AN365" si="944">AN228*(1-$I$358)</f>
        <v>2006.9299999999998</v>
      </c>
      <c r="AO365" s="221">
        <f t="shared" si="943"/>
        <v>2006.9299999999998</v>
      </c>
      <c r="AP365" s="221">
        <f t="shared" ref="AP365" si="945">AP228*(1-$I$358)</f>
        <v>2006.9299999999998</v>
      </c>
      <c r="AQ365" s="222">
        <f t="shared" si="943"/>
        <v>2006.9299999999998</v>
      </c>
      <c r="AR365" s="127">
        <f t="shared" si="943"/>
        <v>2006.9299999999998</v>
      </c>
      <c r="AS365" s="220">
        <f t="shared" si="943"/>
        <v>2006.9299999999998</v>
      </c>
      <c r="AT365" s="221">
        <f t="shared" ref="AT365:AU365" si="946">AT228*(1-$I$358)</f>
        <v>2006.9299999999998</v>
      </c>
      <c r="AU365" s="221">
        <f t="shared" si="946"/>
        <v>2006.9299999999998</v>
      </c>
      <c r="AV365" s="222">
        <f t="shared" si="943"/>
        <v>2006.9299999999998</v>
      </c>
      <c r="AW365" s="127">
        <f t="shared" si="943"/>
        <v>2006.9299999999998</v>
      </c>
      <c r="AX365" s="220">
        <f t="shared" si="943"/>
        <v>2006.9299999999998</v>
      </c>
      <c r="AY365" s="221">
        <f t="shared" si="943"/>
        <v>2006.9299999999998</v>
      </c>
      <c r="AZ365" s="221">
        <f t="shared" si="943"/>
        <v>2006.9299999999998</v>
      </c>
      <c r="BA365" s="222">
        <f t="shared" si="943"/>
        <v>2006.9299999999998</v>
      </c>
      <c r="BB365" s="127">
        <f t="shared" si="943"/>
        <v>2006.9299999999998</v>
      </c>
      <c r="BC365" s="220">
        <f t="shared" ref="BC365:BL365" si="947">BC228*(1-$I$358)</f>
        <v>2006.9299999999998</v>
      </c>
      <c r="BD365" s="221">
        <f t="shared" si="947"/>
        <v>2006.9299999999998</v>
      </c>
      <c r="BE365" s="221">
        <f t="shared" si="947"/>
        <v>2006.9299999999998</v>
      </c>
      <c r="BF365" s="222">
        <f t="shared" si="947"/>
        <v>2006.9299999999998</v>
      </c>
      <c r="BG365" s="127">
        <f t="shared" si="947"/>
        <v>2006.9299999999998</v>
      </c>
      <c r="BH365" s="220">
        <f t="shared" si="947"/>
        <v>2006.9299999999998</v>
      </c>
      <c r="BI365" s="221">
        <f t="shared" si="947"/>
        <v>1337.9533333333331</v>
      </c>
      <c r="BJ365" s="221">
        <f t="shared" si="947"/>
        <v>1003.4649999999999</v>
      </c>
      <c r="BK365" s="222">
        <f t="shared" si="947"/>
        <v>1003.4649999999999</v>
      </c>
      <c r="BL365" s="127">
        <f t="shared" si="947"/>
        <v>1003.4649999999999</v>
      </c>
      <c r="BM365" s="220">
        <f t="shared" ref="BM365:BQ365" si="948">BM228*(1-$I$358)</f>
        <v>1003.4649999999999</v>
      </c>
      <c r="BN365" s="221">
        <f t="shared" si="948"/>
        <v>668.97666666666657</v>
      </c>
      <c r="BO365" s="221">
        <f t="shared" si="948"/>
        <v>0</v>
      </c>
      <c r="BP365" s="222">
        <f t="shared" si="948"/>
        <v>0</v>
      </c>
      <c r="BQ365" s="127">
        <f t="shared" si="948"/>
        <v>0</v>
      </c>
      <c r="BR365" s="127"/>
      <c r="BS365" s="1503"/>
      <c r="BT365" s="1503"/>
      <c r="BU365" s="1503"/>
      <c r="BV365" s="1503"/>
    </row>
    <row r="366" spans="1:74">
      <c r="A366" s="108"/>
      <c r="B366" s="36"/>
      <c r="C366" s="1127" t="s">
        <v>522</v>
      </c>
      <c r="D366" s="31"/>
      <c r="E366" s="203"/>
      <c r="F366" s="204"/>
      <c r="G366" s="204"/>
      <c r="H366" s="205"/>
      <c r="I366" s="110"/>
      <c r="J366" s="180"/>
      <c r="K366" s="204"/>
      <c r="L366" s="204"/>
      <c r="M366" s="205"/>
      <c r="N366" s="110"/>
      <c r="O366" s="180"/>
      <c r="P366" s="181"/>
      <c r="Q366" s="181"/>
      <c r="R366" s="182"/>
      <c r="S366" s="110"/>
      <c r="T366" s="948"/>
      <c r="U366" s="949"/>
      <c r="V366" s="949"/>
      <c r="W366" s="950"/>
      <c r="X366" s="951"/>
      <c r="Y366" s="952">
        <f t="shared" ref="Y366:AR366" si="949">Y101</f>
        <v>27</v>
      </c>
      <c r="Z366" s="953">
        <f t="shared" si="949"/>
        <v>101</v>
      </c>
      <c r="AA366" s="953">
        <f t="shared" si="949"/>
        <v>138</v>
      </c>
      <c r="AB366" s="954">
        <f t="shared" si="949"/>
        <v>108.66666666666667</v>
      </c>
      <c r="AC366" s="951">
        <f t="shared" si="949"/>
        <v>93.666666666666671</v>
      </c>
      <c r="AD366" s="952">
        <f t="shared" si="949"/>
        <v>246</v>
      </c>
      <c r="AE366" s="953">
        <f t="shared" si="949"/>
        <v>300.30136986301369</v>
      </c>
      <c r="AF366" s="953">
        <f t="shared" si="949"/>
        <v>327.45205479452056</v>
      </c>
      <c r="AG366" s="954">
        <f t="shared" si="949"/>
        <v>238.46575342465755</v>
      </c>
      <c r="AH366" s="951">
        <f t="shared" si="949"/>
        <v>278.05479452054794</v>
      </c>
      <c r="AI366" s="952">
        <f t="shared" si="949"/>
        <v>193.97260273972606</v>
      </c>
      <c r="AJ366" s="953">
        <f t="shared" si="949"/>
        <v>250.95890410958904</v>
      </c>
      <c r="AK366" s="953">
        <f t="shared" si="949"/>
        <v>279.45205479452056</v>
      </c>
      <c r="AL366" s="954">
        <f t="shared" si="949"/>
        <v>174.90410958904107</v>
      </c>
      <c r="AM366" s="951">
        <f t="shared" si="949"/>
        <v>224.82191780821921</v>
      </c>
      <c r="AN366" s="952">
        <f t="shared" ref="AN366" si="950">AN101</f>
        <v>221.69863013698631</v>
      </c>
      <c r="AO366" s="953">
        <f t="shared" si="949"/>
        <v>178.95890410958904</v>
      </c>
      <c r="AP366" s="953">
        <f t="shared" ref="AP366" si="951">AP101</f>
        <v>218.63013698630141</v>
      </c>
      <c r="AQ366" s="954">
        <f t="shared" si="949"/>
        <v>141.91780821917808</v>
      </c>
      <c r="AR366" s="951">
        <f t="shared" si="949"/>
        <v>190.30136986301369</v>
      </c>
      <c r="AS366" s="952">
        <f t="shared" ref="AS366:BB366" si="952">AS101</f>
        <v>115.06849315068493</v>
      </c>
      <c r="AT366" s="953">
        <f t="shared" si="952"/>
        <v>219.17808219178082</v>
      </c>
      <c r="AU366" s="953">
        <f t="shared" ref="AU366" si="953">AU101</f>
        <v>271.23287671232879</v>
      </c>
      <c r="AV366" s="954">
        <f t="shared" si="952"/>
        <v>167.12328767123287</v>
      </c>
      <c r="AW366" s="951">
        <f t="shared" si="952"/>
        <v>193.15068493150687</v>
      </c>
      <c r="AX366" s="952">
        <f t="shared" si="952"/>
        <v>115.06849315068493</v>
      </c>
      <c r="AY366" s="953">
        <f t="shared" si="952"/>
        <v>219.17808219178082</v>
      </c>
      <c r="AZ366" s="953">
        <f t="shared" si="952"/>
        <v>271.23287671232879</v>
      </c>
      <c r="BA366" s="954">
        <f t="shared" si="952"/>
        <v>167.12328767123287</v>
      </c>
      <c r="BB366" s="951">
        <f t="shared" si="952"/>
        <v>193.15068493150687</v>
      </c>
      <c r="BC366" s="952">
        <f t="shared" ref="BC366:BL366" si="954">BC101</f>
        <v>115.06849315068493</v>
      </c>
      <c r="BD366" s="953">
        <f t="shared" si="954"/>
        <v>219.17808219178082</v>
      </c>
      <c r="BE366" s="953">
        <f t="shared" si="954"/>
        <v>271.23287671232879</v>
      </c>
      <c r="BF366" s="954">
        <f t="shared" si="954"/>
        <v>167.12328767123287</v>
      </c>
      <c r="BG366" s="951">
        <f t="shared" si="954"/>
        <v>193.15068493150687</v>
      </c>
      <c r="BH366" s="952">
        <f t="shared" si="954"/>
        <v>115.06849315068493</v>
      </c>
      <c r="BI366" s="953">
        <f t="shared" si="954"/>
        <v>219.17808219178082</v>
      </c>
      <c r="BJ366" s="953">
        <f t="shared" si="954"/>
        <v>271.23287671232879</v>
      </c>
      <c r="BK366" s="954">
        <f t="shared" si="954"/>
        <v>167.12328767123287</v>
      </c>
      <c r="BL366" s="951">
        <f t="shared" si="954"/>
        <v>193.15068493150687</v>
      </c>
      <c r="BM366" s="952">
        <f t="shared" ref="BM366:BQ366" si="955">BM101</f>
        <v>115.06849315068493</v>
      </c>
      <c r="BN366" s="953">
        <f t="shared" si="955"/>
        <v>219.17808219178082</v>
      </c>
      <c r="BO366" s="953">
        <f t="shared" si="955"/>
        <v>271.23287671232879</v>
      </c>
      <c r="BP366" s="954">
        <f t="shared" si="955"/>
        <v>167.12328767123287</v>
      </c>
      <c r="BQ366" s="951">
        <f t="shared" si="955"/>
        <v>193.15068493150687</v>
      </c>
      <c r="BR366" s="951"/>
      <c r="BS366" s="1503"/>
      <c r="BT366" s="1503"/>
      <c r="BU366" s="1503"/>
      <c r="BV366" s="1503"/>
    </row>
    <row r="367" spans="1:74">
      <c r="A367" s="108"/>
      <c r="B367" s="36"/>
      <c r="C367" s="1128" t="s">
        <v>570</v>
      </c>
      <c r="D367" s="36"/>
      <c r="E367" s="151"/>
      <c r="F367" s="152"/>
      <c r="G367" s="152"/>
      <c r="H367" s="153"/>
      <c r="I367" s="110"/>
      <c r="J367" s="180"/>
      <c r="K367" s="204"/>
      <c r="L367" s="204"/>
      <c r="M367" s="205"/>
      <c r="N367" s="110"/>
      <c r="O367" s="180"/>
      <c r="P367" s="181"/>
      <c r="Q367" s="181"/>
      <c r="R367" s="182"/>
      <c r="S367" s="110"/>
      <c r="T367" s="933"/>
      <c r="U367" s="934"/>
      <c r="V367" s="934"/>
      <c r="W367" s="935"/>
      <c r="X367" s="110"/>
      <c r="Y367" s="933">
        <f>Y365*Y366*365/1000000/4</f>
        <v>4.9445737874999995</v>
      </c>
      <c r="Z367" s="934">
        <f>Z365*Z366*365/1000000/4</f>
        <v>18.4963686125</v>
      </c>
      <c r="AA367" s="934">
        <f>AA365*AA366*365/1000000/4</f>
        <v>25.272266024999997</v>
      </c>
      <c r="AB367" s="935">
        <f>AB365*AB366*365/1000000/4</f>
        <v>19.900383391666665</v>
      </c>
      <c r="AC367" s="110">
        <f>SUM(Y367:AB367)</f>
        <v>68.613591816666656</v>
      </c>
      <c r="AD367" s="933">
        <f>AD365*AD366*365/1000000/4</f>
        <v>45.050561174999999</v>
      </c>
      <c r="AE367" s="934">
        <f>AE365*AE366*365/1000000/4</f>
        <v>54.994899324999999</v>
      </c>
      <c r="AF367" s="934">
        <f>AF365*AF366*365/1000000/4</f>
        <v>59.967068399999995</v>
      </c>
      <c r="AG367" s="935">
        <f>AG365*AG366*365/1000000/4</f>
        <v>43.670796799999998</v>
      </c>
      <c r="AH367" s="110">
        <f>SUM(AD367:AG367)</f>
        <v>203.68332569999998</v>
      </c>
      <c r="AI367" s="933">
        <f>AI365*AI366*365/1000000/4</f>
        <v>35.522660999999999</v>
      </c>
      <c r="AJ367" s="934">
        <f>AJ365*AJ366*365/1000000/4</f>
        <v>45.958697000000001</v>
      </c>
      <c r="AK367" s="934">
        <f>AK365*AK366*365/1000000/4</f>
        <v>51.176714999999994</v>
      </c>
      <c r="AL367" s="935">
        <f>AL365*AL366*365/1000000/4</f>
        <v>32.03060279999999</v>
      </c>
      <c r="AM367" s="110">
        <f>SUM(AI367:AL367)</f>
        <v>164.6886758</v>
      </c>
      <c r="AN367" s="933">
        <f>AN365*AN366*365/1000000/4</f>
        <v>40.600193900000001</v>
      </c>
      <c r="AO367" s="934">
        <f>AO365*AO366*365/1000000/4</f>
        <v>32.7731669</v>
      </c>
      <c r="AP367" s="934">
        <f>AP365*AP366*365/1000000/4</f>
        <v>40.038253500000003</v>
      </c>
      <c r="AQ367" s="935">
        <f>AQ365*AQ366*365/1000000/4</f>
        <v>25.989743499999999</v>
      </c>
      <c r="AR367" s="110">
        <f>SUM(AN367:AQ367)</f>
        <v>139.4013578</v>
      </c>
      <c r="AS367" s="933">
        <f>AS365*AS366*365/1000000/4</f>
        <v>21.072764999999997</v>
      </c>
      <c r="AT367" s="934">
        <f>AT365*AT366*365/1000000/4</f>
        <v>40.13859999999999</v>
      </c>
      <c r="AU367" s="934">
        <f t="shared" ref="AU367" si="956">AU365*AU366*365/1000000/4</f>
        <v>49.671517499999993</v>
      </c>
      <c r="AV367" s="935">
        <f>AV365*AV366*365/1000000/4</f>
        <v>30.605682499999997</v>
      </c>
      <c r="AW367" s="110">
        <f>SUM(AS367:AV367)</f>
        <v>141.48856499999997</v>
      </c>
      <c r="AX367" s="933">
        <f>AX365*AX366*365/1000000/4</f>
        <v>21.072764999999997</v>
      </c>
      <c r="AY367" s="934">
        <f>AY365*AY366*365/1000000/4</f>
        <v>40.13859999999999</v>
      </c>
      <c r="AZ367" s="934">
        <f>AZ365*AZ366*365/1000000/4</f>
        <v>49.671517499999993</v>
      </c>
      <c r="BA367" s="935">
        <f>BA365*BA366*365/1000000/4</f>
        <v>30.605682499999997</v>
      </c>
      <c r="BB367" s="110">
        <f>SUM(AX367:BA367)</f>
        <v>141.48856499999997</v>
      </c>
      <c r="BC367" s="933">
        <f>BC365*BC366*365/1000000/4</f>
        <v>21.072764999999997</v>
      </c>
      <c r="BD367" s="934">
        <f>BD365*BD366*365/1000000/4</f>
        <v>40.13859999999999</v>
      </c>
      <c r="BE367" s="934">
        <f>BE365*BE366*365/1000000/4</f>
        <v>49.671517499999993</v>
      </c>
      <c r="BF367" s="935">
        <f>BF365*BF366*365/1000000/4</f>
        <v>30.605682499999997</v>
      </c>
      <c r="BG367" s="110">
        <f>SUM(BC367:BF367)</f>
        <v>141.48856499999997</v>
      </c>
      <c r="BH367" s="933">
        <f>BH365*BH366*365/1000000/4</f>
        <v>21.072764999999997</v>
      </c>
      <c r="BI367" s="934">
        <f>BI365*BI366*365/1000000/4</f>
        <v>26.759066666666666</v>
      </c>
      <c r="BJ367" s="934">
        <f>BJ365*BJ366*365/1000000/4</f>
        <v>24.835758749999997</v>
      </c>
      <c r="BK367" s="935">
        <f>BK365*BK366*365/1000000/4</f>
        <v>15.302841249999998</v>
      </c>
      <c r="BL367" s="110">
        <f>SUM(BH367:BK367)</f>
        <v>87.970431666666656</v>
      </c>
      <c r="BM367" s="933">
        <f>BM365*BM366*365/1000000/4</f>
        <v>10.536382499999998</v>
      </c>
      <c r="BN367" s="934">
        <f>BN365*BN366*365/1000000/4</f>
        <v>13.379533333333333</v>
      </c>
      <c r="BO367" s="934">
        <f>BO365*BO366*365/1000000/4</f>
        <v>0</v>
      </c>
      <c r="BP367" s="935">
        <f>BP365*BP366*365/1000000/4</f>
        <v>0</v>
      </c>
      <c r="BQ367" s="110">
        <f>SUM(BM367:BP367)</f>
        <v>23.915915833333329</v>
      </c>
      <c r="BR367" s="110"/>
      <c r="BS367" s="1503"/>
      <c r="BT367" s="1503"/>
      <c r="BU367" s="1503"/>
      <c r="BV367" s="1503"/>
    </row>
    <row r="368" spans="1:74">
      <c r="A368" s="108"/>
      <c r="B368" s="36"/>
      <c r="C368" s="1128"/>
      <c r="D368" s="31"/>
      <c r="E368" s="203"/>
      <c r="F368" s="204"/>
      <c r="G368" s="204"/>
      <c r="H368" s="205"/>
      <c r="I368" s="110"/>
      <c r="J368" s="180"/>
      <c r="K368" s="204"/>
      <c r="L368" s="204"/>
      <c r="M368" s="205"/>
      <c r="N368" s="110"/>
      <c r="O368" s="180"/>
      <c r="P368" s="181"/>
      <c r="Q368" s="181"/>
      <c r="R368" s="182"/>
      <c r="S368" s="110"/>
      <c r="T368" s="945"/>
      <c r="U368" s="946"/>
      <c r="V368" s="946"/>
      <c r="W368" s="947"/>
      <c r="X368" s="127"/>
      <c r="Y368" s="220"/>
      <c r="Z368" s="221"/>
      <c r="AA368" s="221"/>
      <c r="AB368" s="222"/>
      <c r="AC368" s="127"/>
      <c r="AD368" s="220"/>
      <c r="AE368" s="221"/>
      <c r="AF368" s="221"/>
      <c r="AG368" s="222"/>
      <c r="AH368" s="1554"/>
      <c r="AI368" s="220"/>
      <c r="AJ368" s="221"/>
      <c r="AK368" s="221"/>
      <c r="AL368" s="222"/>
      <c r="AM368" s="127"/>
      <c r="AN368" s="220"/>
      <c r="AO368" s="221"/>
      <c r="AP368" s="221"/>
      <c r="AQ368" s="222"/>
      <c r="AR368" s="127"/>
      <c r="AS368" s="220"/>
      <c r="AT368" s="221"/>
      <c r="AU368" s="221"/>
      <c r="AV368" s="222"/>
      <c r="AW368" s="127"/>
      <c r="AX368" s="220"/>
      <c r="AY368" s="221"/>
      <c r="AZ368" s="221"/>
      <c r="BA368" s="222"/>
      <c r="BB368" s="127"/>
      <c r="BC368" s="220"/>
      <c r="BD368" s="221"/>
      <c r="BE368" s="221"/>
      <c r="BF368" s="222"/>
      <c r="BG368" s="127"/>
      <c r="BH368" s="220"/>
      <c r="BI368" s="221"/>
      <c r="BJ368" s="221"/>
      <c r="BK368" s="222"/>
      <c r="BL368" s="127"/>
      <c r="BM368" s="220"/>
      <c r="BN368" s="221"/>
      <c r="BO368" s="221"/>
      <c r="BP368" s="222"/>
      <c r="BQ368" s="127"/>
      <c r="BR368" s="127"/>
      <c r="BS368" s="1503"/>
      <c r="BT368" s="1503"/>
      <c r="BU368" s="1503"/>
      <c r="BV368" s="1503"/>
    </row>
    <row r="369" spans="1:81">
      <c r="A369" s="108"/>
      <c r="B369" s="36"/>
      <c r="C369" s="1156" t="s">
        <v>588</v>
      </c>
      <c r="D369" s="31"/>
      <c r="E369" s="203"/>
      <c r="F369" s="204"/>
      <c r="G369" s="204"/>
      <c r="H369" s="205"/>
      <c r="I369" s="110"/>
      <c r="J369" s="180"/>
      <c r="K369" s="204"/>
      <c r="L369" s="204"/>
      <c r="M369" s="205"/>
      <c r="N369" s="36"/>
      <c r="O369" s="180"/>
      <c r="P369" s="181"/>
      <c r="Q369" s="181"/>
      <c r="R369" s="182"/>
      <c r="S369" s="36"/>
      <c r="T369" s="945"/>
      <c r="U369" s="946"/>
      <c r="V369" s="946"/>
      <c r="W369" s="947"/>
      <c r="X369" s="127"/>
      <c r="Y369" s="220"/>
      <c r="Z369" s="221"/>
      <c r="AA369" s="221"/>
      <c r="AB369" s="222"/>
      <c r="AC369" s="127"/>
      <c r="AD369" s="220"/>
      <c r="AE369" s="221"/>
      <c r="AF369" s="221"/>
      <c r="AG369" s="222"/>
      <c r="AH369" s="127"/>
      <c r="AI369" s="220"/>
      <c r="AJ369" s="221"/>
      <c r="AK369" s="221"/>
      <c r="AL369" s="222"/>
      <c r="AM369" s="127"/>
      <c r="AN369" s="220"/>
      <c r="AO369" s="221"/>
      <c r="AP369" s="221"/>
      <c r="AQ369" s="222"/>
      <c r="AR369" s="127"/>
      <c r="AS369" s="220"/>
      <c r="AT369" s="221"/>
      <c r="AU369" s="221"/>
      <c r="AV369" s="222"/>
      <c r="AW369" s="127"/>
      <c r="AX369" s="220"/>
      <c r="AY369" s="221"/>
      <c r="AZ369" s="221"/>
      <c r="BA369" s="222"/>
      <c r="BB369" s="127"/>
      <c r="BC369" s="220"/>
      <c r="BD369" s="221"/>
      <c r="BE369" s="221"/>
      <c r="BF369" s="222"/>
      <c r="BG369" s="127"/>
      <c r="BH369" s="220"/>
      <c r="BI369" s="221"/>
      <c r="BJ369" s="221"/>
      <c r="BK369" s="222"/>
      <c r="BL369" s="127"/>
      <c r="BM369" s="220"/>
      <c r="BN369" s="221"/>
      <c r="BO369" s="221"/>
      <c r="BP369" s="222"/>
      <c r="BQ369" s="127"/>
      <c r="BR369" s="127"/>
      <c r="BS369" s="1503"/>
      <c r="BT369" s="1503"/>
      <c r="BU369" s="1503"/>
      <c r="BV369" s="1503"/>
    </row>
    <row r="370" spans="1:81">
      <c r="A370" s="108"/>
      <c r="B370" s="31"/>
      <c r="C370" s="1127" t="s">
        <v>587</v>
      </c>
      <c r="D370" s="31"/>
      <c r="E370" s="203"/>
      <c r="F370" s="204"/>
      <c r="G370" s="204"/>
      <c r="H370" s="205"/>
      <c r="I370" s="110"/>
      <c r="J370" s="180"/>
      <c r="K370" s="204"/>
      <c r="L370" s="204"/>
      <c r="M370" s="205"/>
      <c r="N370" s="44"/>
      <c r="O370" s="177"/>
      <c r="P370" s="178"/>
      <c r="Q370" s="178"/>
      <c r="R370" s="179"/>
      <c r="S370" s="44"/>
      <c r="T370" s="945"/>
      <c r="U370" s="946"/>
      <c r="V370" s="946"/>
      <c r="W370" s="947"/>
      <c r="X370" s="127"/>
      <c r="Y370" s="220">
        <f>(Y268+Y202)*(1-$I$358)</f>
        <v>1787.71</v>
      </c>
      <c r="Z370" s="221">
        <f t="shared" ref="Z370:BB370" si="957">(Z268+Z202)*(1-$I$358)</f>
        <v>1787.71</v>
      </c>
      <c r="AA370" s="221">
        <f t="shared" si="957"/>
        <v>1787.71</v>
      </c>
      <c r="AB370" s="222">
        <f t="shared" si="957"/>
        <v>1787.71</v>
      </c>
      <c r="AC370" s="127">
        <f t="shared" si="957"/>
        <v>1787.71</v>
      </c>
      <c r="AD370" s="220">
        <f t="shared" si="957"/>
        <v>1787.71</v>
      </c>
      <c r="AE370" s="221">
        <f t="shared" si="957"/>
        <v>1787.71</v>
      </c>
      <c r="AF370" s="221">
        <f t="shared" si="957"/>
        <v>1787.71</v>
      </c>
      <c r="AG370" s="222">
        <f t="shared" si="957"/>
        <v>1787.71</v>
      </c>
      <c r="AH370" s="127">
        <f t="shared" si="957"/>
        <v>1787.71</v>
      </c>
      <c r="AI370" s="220">
        <f t="shared" si="957"/>
        <v>1200.8599999999999</v>
      </c>
      <c r="AJ370" s="221">
        <f t="shared" si="957"/>
        <v>1200.8599999999999</v>
      </c>
      <c r="AK370" s="221">
        <f t="shared" si="957"/>
        <v>1200.8599999999999</v>
      </c>
      <c r="AL370" s="222">
        <f t="shared" si="957"/>
        <v>1200.8599999999999</v>
      </c>
      <c r="AM370" s="127">
        <f t="shared" si="957"/>
        <v>1200.8599999999999</v>
      </c>
      <c r="AN370" s="220">
        <f t="shared" ref="AN370" si="958">(AN268+AN202)*(1-$I$358)</f>
        <v>667.36</v>
      </c>
      <c r="AO370" s="221">
        <f t="shared" si="957"/>
        <v>667.36</v>
      </c>
      <c r="AP370" s="221">
        <f t="shared" ref="AP370" si="959">(AP268+AP202)*(1-$I$358)</f>
        <v>667.36</v>
      </c>
      <c r="AQ370" s="222">
        <f t="shared" si="957"/>
        <v>667.36</v>
      </c>
      <c r="AR370" s="127">
        <f t="shared" si="957"/>
        <v>667.36</v>
      </c>
      <c r="AS370" s="220">
        <f t="shared" si="957"/>
        <v>667.36</v>
      </c>
      <c r="AT370" s="221">
        <f t="shared" ref="AT370:AU370" si="960">(AT268+AT202)*(1-$I$358)</f>
        <v>667.36</v>
      </c>
      <c r="AU370" s="221">
        <f t="shared" si="960"/>
        <v>667.36</v>
      </c>
      <c r="AV370" s="222">
        <f t="shared" si="957"/>
        <v>667.36</v>
      </c>
      <c r="AW370" s="127">
        <f t="shared" si="957"/>
        <v>667.36</v>
      </c>
      <c r="AX370" s="220">
        <f t="shared" si="957"/>
        <v>667.36</v>
      </c>
      <c r="AY370" s="221">
        <f t="shared" si="957"/>
        <v>667.36</v>
      </c>
      <c r="AZ370" s="221">
        <f t="shared" si="957"/>
        <v>667.36</v>
      </c>
      <c r="BA370" s="222">
        <f t="shared" si="957"/>
        <v>667.36</v>
      </c>
      <c r="BB370" s="127">
        <f t="shared" si="957"/>
        <v>667.36</v>
      </c>
      <c r="BC370" s="220">
        <f t="shared" ref="BC370:BL370" si="961">(BC268+BC202)*(1-$I$358)</f>
        <v>667.36</v>
      </c>
      <c r="BD370" s="221">
        <f t="shared" si="961"/>
        <v>444.90666666666669</v>
      </c>
      <c r="BE370" s="221">
        <f t="shared" si="961"/>
        <v>0</v>
      </c>
      <c r="BF370" s="222">
        <f t="shared" si="961"/>
        <v>0</v>
      </c>
      <c r="BG370" s="127">
        <f t="shared" si="961"/>
        <v>0</v>
      </c>
      <c r="BH370" s="220">
        <f t="shared" si="961"/>
        <v>0</v>
      </c>
      <c r="BI370" s="221">
        <f t="shared" si="961"/>
        <v>0</v>
      </c>
      <c r="BJ370" s="221">
        <f t="shared" si="961"/>
        <v>0</v>
      </c>
      <c r="BK370" s="222">
        <f t="shared" si="961"/>
        <v>0</v>
      </c>
      <c r="BL370" s="127">
        <f t="shared" si="961"/>
        <v>0</v>
      </c>
      <c r="BM370" s="220">
        <f t="shared" ref="BM370:BQ370" si="962">(BM268+BM202)*(1-$I$358)</f>
        <v>0</v>
      </c>
      <c r="BN370" s="221">
        <f t="shared" si="962"/>
        <v>0</v>
      </c>
      <c r="BO370" s="221">
        <f t="shared" si="962"/>
        <v>0</v>
      </c>
      <c r="BP370" s="222">
        <f t="shared" si="962"/>
        <v>0</v>
      </c>
      <c r="BQ370" s="127">
        <f t="shared" si="962"/>
        <v>0</v>
      </c>
      <c r="BR370" s="127"/>
      <c r="BS370" s="1503"/>
      <c r="BT370" s="1503"/>
      <c r="BU370" s="1503"/>
      <c r="BV370" s="1503"/>
    </row>
    <row r="371" spans="1:81">
      <c r="A371" s="108"/>
      <c r="B371" s="36"/>
      <c r="C371" s="1127" t="s">
        <v>522</v>
      </c>
      <c r="D371" s="31"/>
      <c r="E371" s="203"/>
      <c r="F371" s="204"/>
      <c r="G371" s="204"/>
      <c r="H371" s="205"/>
      <c r="I371" s="110"/>
      <c r="J371" s="180"/>
      <c r="K371" s="204"/>
      <c r="L371" s="204"/>
      <c r="M371" s="205"/>
      <c r="N371" s="110"/>
      <c r="O371" s="180"/>
      <c r="P371" s="181"/>
      <c r="Q371" s="181"/>
      <c r="R371" s="182"/>
      <c r="S371" s="110"/>
      <c r="T371" s="948"/>
      <c r="U371" s="949"/>
      <c r="V371" s="949"/>
      <c r="W371" s="950"/>
      <c r="X371" s="951"/>
      <c r="Y371" s="952">
        <f t="shared" ref="Y371:AR371" si="963">Y102</f>
        <v>83.34</v>
      </c>
      <c r="Z371" s="953">
        <f t="shared" si="963"/>
        <v>83.13333333333334</v>
      </c>
      <c r="AA371" s="953">
        <f t="shared" si="963"/>
        <v>82.72</v>
      </c>
      <c r="AB371" s="954">
        <f t="shared" si="963"/>
        <v>82.72</v>
      </c>
      <c r="AC371" s="951">
        <f t="shared" si="963"/>
        <v>82.978333333333339</v>
      </c>
      <c r="AD371" s="952">
        <f t="shared" si="963"/>
        <v>82.72</v>
      </c>
      <c r="AE371" s="953">
        <f t="shared" si="963"/>
        <v>86.433333333333337</v>
      </c>
      <c r="AF371" s="953">
        <f t="shared" si="963"/>
        <v>93.86</v>
      </c>
      <c r="AG371" s="954">
        <f t="shared" si="963"/>
        <v>93.86</v>
      </c>
      <c r="AH371" s="951">
        <f t="shared" si="963"/>
        <v>89.218333333333334</v>
      </c>
      <c r="AI371" s="952">
        <f t="shared" si="963"/>
        <v>93.86</v>
      </c>
      <c r="AJ371" s="953">
        <f t="shared" si="963"/>
        <v>96.874703196347028</v>
      </c>
      <c r="AK371" s="953">
        <f t="shared" si="963"/>
        <v>102.9041095890411</v>
      </c>
      <c r="AL371" s="954">
        <f t="shared" si="963"/>
        <v>102.9041095890411</v>
      </c>
      <c r="AM371" s="951">
        <f t="shared" si="963"/>
        <v>99.13573059360732</v>
      </c>
      <c r="AN371" s="952">
        <f t="shared" ref="AN371" si="964">AN102</f>
        <v>98.736666666666665</v>
      </c>
      <c r="AO371" s="953">
        <f t="shared" si="963"/>
        <v>98.736666666666665</v>
      </c>
      <c r="AP371" s="953">
        <f t="shared" ref="AP371" si="965">AP102</f>
        <v>90.21</v>
      </c>
      <c r="AQ371" s="954">
        <f t="shared" si="963"/>
        <v>90.21</v>
      </c>
      <c r="AR371" s="951">
        <f t="shared" si="963"/>
        <v>94.473333333333329</v>
      </c>
      <c r="AS371" s="952">
        <f t="shared" ref="AS371:BB371" si="966">AS102</f>
        <v>90.21</v>
      </c>
      <c r="AT371" s="953">
        <f t="shared" si="966"/>
        <v>137.126301369863</v>
      </c>
      <c r="AU371" s="953">
        <f t="shared" ref="AU371" si="967">AU102</f>
        <v>230.95890410958907</v>
      </c>
      <c r="AV371" s="954">
        <f t="shared" si="966"/>
        <v>230.95890410958907</v>
      </c>
      <c r="AW371" s="951">
        <f t="shared" si="966"/>
        <v>172.31352739726029</v>
      </c>
      <c r="AX371" s="952">
        <f t="shared" si="966"/>
        <v>230.95890410958907</v>
      </c>
      <c r="AY371" s="953">
        <f t="shared" si="966"/>
        <v>258.63013698630141</v>
      </c>
      <c r="AZ371" s="953">
        <f t="shared" si="966"/>
        <v>313.97260273972609</v>
      </c>
      <c r="BA371" s="954">
        <f t="shared" si="966"/>
        <v>313.97260273972609</v>
      </c>
      <c r="BB371" s="951">
        <f t="shared" si="966"/>
        <v>279.38356164383566</v>
      </c>
      <c r="BC371" s="952">
        <f t="shared" ref="BC371:BL371" si="968">BC102</f>
        <v>313.97260273972609</v>
      </c>
      <c r="BD371" s="953">
        <f t="shared" si="968"/>
        <v>286.35616438356169</v>
      </c>
      <c r="BE371" s="953">
        <f t="shared" si="968"/>
        <v>231.12328767123287</v>
      </c>
      <c r="BF371" s="954">
        <f t="shared" si="968"/>
        <v>231.12328767123287</v>
      </c>
      <c r="BG371" s="951">
        <f t="shared" si="968"/>
        <v>265.64383561643837</v>
      </c>
      <c r="BH371" s="952">
        <f t="shared" si="968"/>
        <v>231.12328767123287</v>
      </c>
      <c r="BI371" s="953">
        <f t="shared" si="968"/>
        <v>231.12328767123287</v>
      </c>
      <c r="BJ371" s="953">
        <f t="shared" si="968"/>
        <v>231.12328767123287</v>
      </c>
      <c r="BK371" s="954">
        <f t="shared" si="968"/>
        <v>231.12328767123287</v>
      </c>
      <c r="BL371" s="951">
        <f t="shared" si="968"/>
        <v>231.12328767123287</v>
      </c>
      <c r="BM371" s="952">
        <f t="shared" ref="BM371:BQ371" si="969">BM102</f>
        <v>175</v>
      </c>
      <c r="BN371" s="953">
        <f t="shared" si="969"/>
        <v>175</v>
      </c>
      <c r="BO371" s="953">
        <f t="shared" si="969"/>
        <v>175</v>
      </c>
      <c r="BP371" s="954">
        <f t="shared" si="969"/>
        <v>175</v>
      </c>
      <c r="BQ371" s="951">
        <f t="shared" si="969"/>
        <v>175</v>
      </c>
      <c r="BR371" s="951"/>
      <c r="BS371" s="1503"/>
      <c r="BT371" s="1503"/>
      <c r="BU371" s="1503"/>
      <c r="BV371" s="1503"/>
    </row>
    <row r="372" spans="1:81">
      <c r="A372" s="108"/>
      <c r="B372" s="36"/>
      <c r="C372" s="1128" t="s">
        <v>570</v>
      </c>
      <c r="D372" s="36"/>
      <c r="E372" s="151"/>
      <c r="F372" s="152"/>
      <c r="G372" s="152"/>
      <c r="H372" s="153"/>
      <c r="I372" s="110"/>
      <c r="J372" s="180"/>
      <c r="K372" s="204"/>
      <c r="L372" s="204"/>
      <c r="M372" s="205"/>
      <c r="N372" s="110"/>
      <c r="O372" s="180"/>
      <c r="P372" s="181"/>
      <c r="Q372" s="181"/>
      <c r="R372" s="182"/>
      <c r="S372" s="110"/>
      <c r="T372" s="933"/>
      <c r="U372" s="934"/>
      <c r="V372" s="934"/>
      <c r="W372" s="935"/>
      <c r="X372" s="110"/>
      <c r="Y372" s="933">
        <f>Y370*Y371*365/1000000/4</f>
        <v>13.59513231525</v>
      </c>
      <c r="Z372" s="934">
        <f>Z370*Z371*365/1000000/4</f>
        <v>13.561419084166669</v>
      </c>
      <c r="AA372" s="934">
        <f>AA370*AA371*365/1000000/4</f>
        <v>13.493992622</v>
      </c>
      <c r="AB372" s="935">
        <f>AB370*AB371*365/1000000/4</f>
        <v>13.493992622</v>
      </c>
      <c r="AC372" s="110">
        <f>SUM(Y372:AB372)</f>
        <v>54.144536643416671</v>
      </c>
      <c r="AD372" s="933">
        <f>AD370*AD371*365/1000000/4</f>
        <v>13.493992622</v>
      </c>
      <c r="AE372" s="934">
        <f>AE370*AE371*365/1000000/4</f>
        <v>14.099743257916668</v>
      </c>
      <c r="AF372" s="934">
        <f>AF370*AF371*365/1000000/4</f>
        <v>15.311244529749999</v>
      </c>
      <c r="AG372" s="935">
        <f>AG370*AG371*365/1000000/4</f>
        <v>15.311244529749999</v>
      </c>
      <c r="AH372" s="110">
        <f>SUM(AD372:AG372)</f>
        <v>58.216224939416662</v>
      </c>
      <c r="AI372" s="933">
        <f>AI370*AI371*365/1000000/4</f>
        <v>10.2850356635</v>
      </c>
      <c r="AJ372" s="934">
        <f>AJ370*AJ371*365/1000000/4</f>
        <v>10.615382242333332</v>
      </c>
      <c r="AK372" s="934">
        <f>AK370*AK371*365/1000000/4</f>
        <v>11.276075399999998</v>
      </c>
      <c r="AL372" s="935">
        <f>AL370*AL371*365/1000000/4</f>
        <v>11.276075399999998</v>
      </c>
      <c r="AM372" s="110">
        <f>SUM(AI372:AL372)</f>
        <v>43.452568705833329</v>
      </c>
      <c r="AN372" s="933">
        <f>AN370*AN371*365/1000000/4</f>
        <v>6.0127272953333337</v>
      </c>
      <c r="AO372" s="934">
        <f>AO370*AO371*365/1000000/4</f>
        <v>6.0127272953333337</v>
      </c>
      <c r="AP372" s="934">
        <f>AP370*AP371*365/1000000/4</f>
        <v>5.493482285999999</v>
      </c>
      <c r="AQ372" s="935">
        <f>AQ370*AQ371*365/1000000/4</f>
        <v>5.493482285999999</v>
      </c>
      <c r="AR372" s="110">
        <f>SUM(AN372:AQ372)</f>
        <v>23.012419162666664</v>
      </c>
      <c r="AS372" s="933">
        <f>AS370*AS371*365/1000000/4</f>
        <v>5.493482285999999</v>
      </c>
      <c r="AT372" s="934">
        <f>AT370*AT371*365/1000000/4</f>
        <v>8.350525524</v>
      </c>
      <c r="AU372" s="934">
        <f t="shared" ref="AU372" si="970">AU370*AU371*365/1000000/4</f>
        <v>14.064612000000002</v>
      </c>
      <c r="AV372" s="935">
        <f>AV370*AV371*365/1000000/4</f>
        <v>14.064612000000002</v>
      </c>
      <c r="AW372" s="110">
        <f>SUM(AS372:AV372)</f>
        <v>41.973231810000001</v>
      </c>
      <c r="AX372" s="933">
        <f>AX370*AX371*365/1000000/4</f>
        <v>14.064612000000002</v>
      </c>
      <c r="AY372" s="934">
        <f>AY370*AY371*365/1000000/4</f>
        <v>15.749696000000004</v>
      </c>
      <c r="AZ372" s="934">
        <f>AZ370*AZ371*365/1000000/4</f>
        <v>19.119864000000003</v>
      </c>
      <c r="BA372" s="935">
        <f>BA370*BA371*365/1000000/4</f>
        <v>19.119864000000003</v>
      </c>
      <c r="BB372" s="110">
        <f>SUM(AX372:BA372)</f>
        <v>68.054036000000011</v>
      </c>
      <c r="BC372" s="933">
        <f>BC370*BC371*365/1000000/4</f>
        <v>19.119864000000003</v>
      </c>
      <c r="BD372" s="934">
        <f>BD370*BD371*365/1000000/4</f>
        <v>11.625411200000004</v>
      </c>
      <c r="BE372" s="934">
        <f>BE370*BE371*365/1000000/4</f>
        <v>0</v>
      </c>
      <c r="BF372" s="935">
        <f>BF370*BF371*365/1000000/4</f>
        <v>0</v>
      </c>
      <c r="BG372" s="110">
        <f>SUM(BC372:BF372)</f>
        <v>30.745275200000009</v>
      </c>
      <c r="BH372" s="933">
        <f>BH370*BH371*365/1000000/4</f>
        <v>0</v>
      </c>
      <c r="BI372" s="934">
        <f>BI370*BI371*365/1000000/4</f>
        <v>0</v>
      </c>
      <c r="BJ372" s="934">
        <f>BJ370*BJ371*365/1000000/4</f>
        <v>0</v>
      </c>
      <c r="BK372" s="935">
        <f>BK370*BK371*365/1000000/4</f>
        <v>0</v>
      </c>
      <c r="BL372" s="110">
        <f>SUM(BH372:BK372)</f>
        <v>0</v>
      </c>
      <c r="BM372" s="933">
        <f>BM370*BM371*365/1000000/4</f>
        <v>0</v>
      </c>
      <c r="BN372" s="934">
        <f>BN370*BN371*365/1000000/4</f>
        <v>0</v>
      </c>
      <c r="BO372" s="934">
        <f>BO370*BO371*365/1000000/4</f>
        <v>0</v>
      </c>
      <c r="BP372" s="935">
        <f>BP370*BP371*365/1000000/4</f>
        <v>0</v>
      </c>
      <c r="BQ372" s="110">
        <f>SUM(BM372:BP372)</f>
        <v>0</v>
      </c>
      <c r="BR372" s="110"/>
      <c r="BS372" s="1527"/>
      <c r="BT372" s="1527"/>
      <c r="BU372" s="1503"/>
      <c r="BV372" s="1503"/>
      <c r="BX372" s="40"/>
      <c r="BZ372" s="112"/>
      <c r="CA372" s="112"/>
      <c r="CB372" s="112"/>
      <c r="CC372" s="37"/>
    </row>
    <row r="373" spans="1:81">
      <c r="A373" s="108"/>
      <c r="B373" s="36"/>
      <c r="C373" s="1128"/>
      <c r="D373" s="36"/>
      <c r="E373" s="151"/>
      <c r="F373" s="152"/>
      <c r="G373" s="152"/>
      <c r="H373" s="153"/>
      <c r="I373" s="110"/>
      <c r="J373" s="180"/>
      <c r="K373" s="204"/>
      <c r="L373" s="204"/>
      <c r="M373" s="205"/>
      <c r="N373" s="110"/>
      <c r="O373" s="180"/>
      <c r="P373" s="181"/>
      <c r="Q373" s="181"/>
      <c r="R373" s="182"/>
      <c r="S373" s="110"/>
      <c r="T373" s="933"/>
      <c r="U373" s="934"/>
      <c r="V373" s="934"/>
      <c r="W373" s="935"/>
      <c r="X373" s="110"/>
      <c r="Y373" s="933"/>
      <c r="Z373" s="934"/>
      <c r="AA373" s="934"/>
      <c r="AB373" s="935"/>
      <c r="AC373" s="110"/>
      <c r="AD373" s="933"/>
      <c r="AE373" s="934"/>
      <c r="AF373" s="934"/>
      <c r="AG373" s="935"/>
      <c r="AH373" s="110"/>
      <c r="AI373" s="933"/>
      <c r="AJ373" s="934"/>
      <c r="AK373" s="934"/>
      <c r="AL373" s="935"/>
      <c r="AM373" s="110"/>
      <c r="AN373" s="933"/>
      <c r="AO373" s="934"/>
      <c r="AP373" s="934"/>
      <c r="AQ373" s="935"/>
      <c r="AR373" s="110"/>
      <c r="AS373" s="933"/>
      <c r="AT373" s="934"/>
      <c r="AU373" s="934"/>
      <c r="AV373" s="935"/>
      <c r="AW373" s="110"/>
      <c r="AX373" s="933"/>
      <c r="AY373" s="934"/>
      <c r="AZ373" s="934"/>
      <c r="BA373" s="935"/>
      <c r="BB373" s="110"/>
      <c r="BC373" s="933"/>
      <c r="BD373" s="934"/>
      <c r="BE373" s="934"/>
      <c r="BF373" s="935"/>
      <c r="BG373" s="110"/>
      <c r="BH373" s="933"/>
      <c r="BI373" s="934"/>
      <c r="BJ373" s="934"/>
      <c r="BK373" s="935"/>
      <c r="BL373" s="110"/>
      <c r="BM373" s="933"/>
      <c r="BN373" s="934"/>
      <c r="BO373" s="934"/>
      <c r="BP373" s="935"/>
      <c r="BQ373" s="110"/>
      <c r="BR373" s="110"/>
      <c r="BS373" s="1503"/>
      <c r="BT373" s="1503"/>
      <c r="BU373" s="1503"/>
      <c r="BV373" s="1503"/>
      <c r="BX373" s="40"/>
      <c r="BZ373" s="112"/>
      <c r="CA373" s="112"/>
      <c r="CB373" s="112"/>
      <c r="CC373" s="37"/>
    </row>
    <row r="374" spans="1:81">
      <c r="A374" s="108"/>
      <c r="B374" s="36"/>
      <c r="C374" s="1156" t="s">
        <v>99</v>
      </c>
      <c r="D374" s="31"/>
      <c r="E374" s="203"/>
      <c r="F374" s="204"/>
      <c r="G374" s="204"/>
      <c r="H374" s="205"/>
      <c r="I374" s="110"/>
      <c r="J374" s="180"/>
      <c r="K374" s="204"/>
      <c r="L374" s="204"/>
      <c r="M374" s="205"/>
      <c r="N374" s="36"/>
      <c r="O374" s="180"/>
      <c r="P374" s="181"/>
      <c r="Q374" s="181"/>
      <c r="R374" s="182"/>
      <c r="S374" s="36"/>
      <c r="T374" s="945"/>
      <c r="U374" s="946"/>
      <c r="V374" s="946"/>
      <c r="W374" s="947"/>
      <c r="X374" s="127"/>
      <c r="Y374" s="220"/>
      <c r="Z374" s="221"/>
      <c r="AA374" s="221"/>
      <c r="AB374" s="222"/>
      <c r="AC374" s="127"/>
      <c r="AD374" s="220"/>
      <c r="AE374" s="221"/>
      <c r="AF374" s="221"/>
      <c r="AG374" s="222"/>
      <c r="AH374" s="127"/>
      <c r="AI374" s="220"/>
      <c r="AJ374" s="221"/>
      <c r="AK374" s="221"/>
      <c r="AL374" s="222"/>
      <c r="AM374" s="127"/>
      <c r="AN374" s="220"/>
      <c r="AO374" s="221"/>
      <c r="AP374" s="221"/>
      <c r="AQ374" s="222"/>
      <c r="AR374" s="127"/>
      <c r="AS374" s="220"/>
      <c r="AT374" s="221"/>
      <c r="AU374" s="221"/>
      <c r="AV374" s="222"/>
      <c r="AW374" s="127"/>
      <c r="AX374" s="220"/>
      <c r="AY374" s="221"/>
      <c r="AZ374" s="221"/>
      <c r="BA374" s="222"/>
      <c r="BB374" s="127"/>
      <c r="BC374" s="220"/>
      <c r="BD374" s="221"/>
      <c r="BE374" s="221"/>
      <c r="BF374" s="222"/>
      <c r="BG374" s="127"/>
      <c r="BH374" s="220"/>
      <c r="BI374" s="221"/>
      <c r="BJ374" s="221"/>
      <c r="BK374" s="222"/>
      <c r="BL374" s="127"/>
      <c r="BM374" s="220"/>
      <c r="BN374" s="221"/>
      <c r="BO374" s="221"/>
      <c r="BP374" s="222"/>
      <c r="BQ374" s="127"/>
      <c r="BR374" s="127"/>
      <c r="BS374" s="1503"/>
      <c r="BT374" s="1503"/>
      <c r="BU374" s="1503"/>
      <c r="BV374" s="1503"/>
      <c r="BX374" s="40"/>
      <c r="BZ374" s="112"/>
      <c r="CA374" s="112"/>
      <c r="CB374" s="112"/>
      <c r="CC374" s="37"/>
    </row>
    <row r="375" spans="1:81">
      <c r="A375" s="108"/>
      <c r="B375" s="36"/>
      <c r="C375" s="1127" t="s">
        <v>587</v>
      </c>
      <c r="D375" s="31"/>
      <c r="E375" s="203"/>
      <c r="F375" s="204"/>
      <c r="G375" s="204"/>
      <c r="H375" s="205"/>
      <c r="I375" s="110"/>
      <c r="J375" s="180"/>
      <c r="K375" s="204"/>
      <c r="L375" s="204"/>
      <c r="M375" s="205"/>
      <c r="N375" s="44"/>
      <c r="O375" s="177"/>
      <c r="P375" s="178"/>
      <c r="Q375" s="178"/>
      <c r="R375" s="179"/>
      <c r="S375" s="44"/>
      <c r="T375" s="945"/>
      <c r="U375" s="946"/>
      <c r="V375" s="946"/>
      <c r="W375" s="947"/>
      <c r="X375" s="127"/>
      <c r="Y375" s="220">
        <f t="shared" ref="Y375:AR375" si="971">Y242</f>
        <v>798</v>
      </c>
      <c r="Z375" s="221">
        <f t="shared" si="971"/>
        <v>798</v>
      </c>
      <c r="AA375" s="221">
        <f t="shared" si="971"/>
        <v>798</v>
      </c>
      <c r="AB375" s="222">
        <f t="shared" si="971"/>
        <v>798</v>
      </c>
      <c r="AC375" s="127">
        <f t="shared" si="971"/>
        <v>798</v>
      </c>
      <c r="AD375" s="220">
        <f t="shared" si="971"/>
        <v>798</v>
      </c>
      <c r="AE375" s="221">
        <f t="shared" si="971"/>
        <v>798</v>
      </c>
      <c r="AF375" s="221">
        <f t="shared" si="971"/>
        <v>798</v>
      </c>
      <c r="AG375" s="222">
        <f t="shared" si="971"/>
        <v>798</v>
      </c>
      <c r="AH375" s="127">
        <f t="shared" si="971"/>
        <v>798</v>
      </c>
      <c r="AI375" s="220">
        <f t="shared" si="971"/>
        <v>798</v>
      </c>
      <c r="AJ375" s="221">
        <f t="shared" si="971"/>
        <v>798</v>
      </c>
      <c r="AK375" s="221">
        <f t="shared" si="971"/>
        <v>798</v>
      </c>
      <c r="AL375" s="222">
        <f t="shared" si="971"/>
        <v>798</v>
      </c>
      <c r="AM375" s="127">
        <f t="shared" si="971"/>
        <v>798</v>
      </c>
      <c r="AN375" s="220">
        <f t="shared" ref="AN375" si="972">AN242</f>
        <v>798</v>
      </c>
      <c r="AO375" s="221">
        <f t="shared" si="971"/>
        <v>798</v>
      </c>
      <c r="AP375" s="221">
        <f t="shared" ref="AP375" si="973">AP242</f>
        <v>798</v>
      </c>
      <c r="AQ375" s="222">
        <f t="shared" si="971"/>
        <v>798</v>
      </c>
      <c r="AR375" s="127">
        <f t="shared" si="971"/>
        <v>798</v>
      </c>
      <c r="AS375" s="220">
        <f t="shared" ref="AS375:BB375" si="974">AS242</f>
        <v>798</v>
      </c>
      <c r="AT375" s="221">
        <f t="shared" si="974"/>
        <v>798</v>
      </c>
      <c r="AU375" s="221">
        <f t="shared" ref="AU375" si="975">AU242</f>
        <v>798</v>
      </c>
      <c r="AV375" s="222">
        <f t="shared" si="974"/>
        <v>798</v>
      </c>
      <c r="AW375" s="127">
        <f t="shared" si="974"/>
        <v>798</v>
      </c>
      <c r="AX375" s="220">
        <f t="shared" si="974"/>
        <v>798</v>
      </c>
      <c r="AY375" s="221">
        <f t="shared" si="974"/>
        <v>798</v>
      </c>
      <c r="AZ375" s="221">
        <f t="shared" si="974"/>
        <v>798</v>
      </c>
      <c r="BA375" s="222">
        <f t="shared" si="974"/>
        <v>798</v>
      </c>
      <c r="BB375" s="127">
        <f t="shared" si="974"/>
        <v>798</v>
      </c>
      <c r="BC375" s="220">
        <f t="shared" ref="BC375:BL375" si="976">BC242</f>
        <v>798</v>
      </c>
      <c r="BD375" s="221">
        <f t="shared" si="976"/>
        <v>798</v>
      </c>
      <c r="BE375" s="221">
        <f t="shared" si="976"/>
        <v>798</v>
      </c>
      <c r="BF375" s="222">
        <f t="shared" si="976"/>
        <v>798</v>
      </c>
      <c r="BG375" s="127">
        <f t="shared" si="976"/>
        <v>798</v>
      </c>
      <c r="BH375" s="220">
        <f t="shared" si="976"/>
        <v>798</v>
      </c>
      <c r="BI375" s="221">
        <f t="shared" si="976"/>
        <v>798</v>
      </c>
      <c r="BJ375" s="221">
        <f t="shared" si="976"/>
        <v>798</v>
      </c>
      <c r="BK375" s="222">
        <f t="shared" si="976"/>
        <v>798</v>
      </c>
      <c r="BL375" s="127">
        <f t="shared" si="976"/>
        <v>798</v>
      </c>
      <c r="BM375" s="220">
        <f t="shared" ref="BM375:BQ375" si="977">BM242</f>
        <v>798</v>
      </c>
      <c r="BN375" s="221">
        <f t="shared" si="977"/>
        <v>798</v>
      </c>
      <c r="BO375" s="221">
        <f t="shared" si="977"/>
        <v>798</v>
      </c>
      <c r="BP375" s="222">
        <f t="shared" si="977"/>
        <v>798</v>
      </c>
      <c r="BQ375" s="127">
        <f t="shared" si="977"/>
        <v>798</v>
      </c>
      <c r="BR375" s="127"/>
      <c r="BS375" s="1503"/>
      <c r="BT375" s="1503"/>
      <c r="BU375" s="1503"/>
      <c r="BV375" s="1503"/>
      <c r="BX375" s="40"/>
      <c r="BZ375" s="112"/>
      <c r="CA375" s="112"/>
      <c r="CB375" s="112"/>
      <c r="CC375" s="37"/>
    </row>
    <row r="376" spans="1:81">
      <c r="A376" s="108"/>
      <c r="B376" s="36"/>
      <c r="C376" s="1127" t="s">
        <v>522</v>
      </c>
      <c r="D376" s="31"/>
      <c r="E376" s="203"/>
      <c r="F376" s="204"/>
      <c r="G376" s="204"/>
      <c r="H376" s="205"/>
      <c r="I376" s="110"/>
      <c r="J376" s="180"/>
      <c r="K376" s="204"/>
      <c r="L376" s="204"/>
      <c r="M376" s="205"/>
      <c r="N376" s="110"/>
      <c r="O376" s="180"/>
      <c r="P376" s="181"/>
      <c r="Q376" s="181"/>
      <c r="R376" s="182"/>
      <c r="S376" s="110"/>
      <c r="T376" s="948"/>
      <c r="U376" s="949"/>
      <c r="V376" s="949"/>
      <c r="W376" s="950"/>
      <c r="X376" s="951"/>
      <c r="Y376" s="952">
        <f t="shared" ref="Y376:AR376" si="978">Y103</f>
        <v>0</v>
      </c>
      <c r="Z376" s="953">
        <f t="shared" si="978"/>
        <v>0</v>
      </c>
      <c r="AA376" s="953">
        <f t="shared" si="978"/>
        <v>0</v>
      </c>
      <c r="AB376" s="954">
        <f t="shared" si="978"/>
        <v>0</v>
      </c>
      <c r="AC376" s="951">
        <f t="shared" si="978"/>
        <v>0</v>
      </c>
      <c r="AD376" s="952">
        <f t="shared" si="978"/>
        <v>0</v>
      </c>
      <c r="AE376" s="953">
        <f t="shared" si="978"/>
        <v>0</v>
      </c>
      <c r="AF376" s="953">
        <f t="shared" si="978"/>
        <v>0</v>
      </c>
      <c r="AG376" s="954">
        <f t="shared" si="978"/>
        <v>0</v>
      </c>
      <c r="AH376" s="951">
        <f t="shared" si="978"/>
        <v>0</v>
      </c>
      <c r="AI376" s="952">
        <f t="shared" si="978"/>
        <v>0</v>
      </c>
      <c r="AJ376" s="953">
        <f t="shared" si="978"/>
        <v>0</v>
      </c>
      <c r="AK376" s="953">
        <f t="shared" si="978"/>
        <v>0</v>
      </c>
      <c r="AL376" s="954">
        <f t="shared" si="978"/>
        <v>0</v>
      </c>
      <c r="AM376" s="951">
        <f t="shared" si="978"/>
        <v>0</v>
      </c>
      <c r="AN376" s="952">
        <f t="shared" ref="AN376" si="979">AN103</f>
        <v>0</v>
      </c>
      <c r="AO376" s="953">
        <f t="shared" si="978"/>
        <v>0</v>
      </c>
      <c r="AP376" s="953">
        <f t="shared" ref="AP376" si="980">AP103</f>
        <v>0</v>
      </c>
      <c r="AQ376" s="954">
        <f t="shared" si="978"/>
        <v>0</v>
      </c>
      <c r="AR376" s="951">
        <f t="shared" si="978"/>
        <v>0</v>
      </c>
      <c r="AS376" s="952">
        <f t="shared" ref="AS376:BB376" si="981">AS103</f>
        <v>0</v>
      </c>
      <c r="AT376" s="953">
        <f t="shared" si="981"/>
        <v>0</v>
      </c>
      <c r="AU376" s="953">
        <f t="shared" ref="AU376" si="982">AU103</f>
        <v>0</v>
      </c>
      <c r="AV376" s="954">
        <f t="shared" si="981"/>
        <v>0</v>
      </c>
      <c r="AW376" s="951">
        <f t="shared" si="981"/>
        <v>0</v>
      </c>
      <c r="AX376" s="952">
        <f t="shared" si="981"/>
        <v>0</v>
      </c>
      <c r="AY376" s="953">
        <f t="shared" si="981"/>
        <v>0</v>
      </c>
      <c r="AZ376" s="953">
        <f t="shared" si="981"/>
        <v>0</v>
      </c>
      <c r="BA376" s="954">
        <f t="shared" si="981"/>
        <v>0</v>
      </c>
      <c r="BB376" s="951">
        <f t="shared" si="981"/>
        <v>0</v>
      </c>
      <c r="BC376" s="952">
        <f t="shared" ref="BC376:BL376" si="983">BC103</f>
        <v>0</v>
      </c>
      <c r="BD376" s="953">
        <f t="shared" si="983"/>
        <v>0</v>
      </c>
      <c r="BE376" s="953">
        <f t="shared" si="983"/>
        <v>0</v>
      </c>
      <c r="BF376" s="954">
        <f t="shared" si="983"/>
        <v>0</v>
      </c>
      <c r="BG376" s="951">
        <f t="shared" si="983"/>
        <v>0</v>
      </c>
      <c r="BH376" s="952">
        <f t="shared" si="983"/>
        <v>0</v>
      </c>
      <c r="BI376" s="953">
        <f t="shared" si="983"/>
        <v>0</v>
      </c>
      <c r="BJ376" s="953">
        <f t="shared" si="983"/>
        <v>0</v>
      </c>
      <c r="BK376" s="954">
        <f t="shared" si="983"/>
        <v>0</v>
      </c>
      <c r="BL376" s="951">
        <f t="shared" si="983"/>
        <v>0</v>
      </c>
      <c r="BM376" s="952">
        <f t="shared" ref="BM376:BQ376" si="984">BM103</f>
        <v>0</v>
      </c>
      <c r="BN376" s="953">
        <f t="shared" si="984"/>
        <v>0</v>
      </c>
      <c r="BO376" s="953">
        <f t="shared" si="984"/>
        <v>0</v>
      </c>
      <c r="BP376" s="954">
        <f t="shared" si="984"/>
        <v>0</v>
      </c>
      <c r="BQ376" s="951">
        <f t="shared" si="984"/>
        <v>0</v>
      </c>
      <c r="BR376" s="951"/>
      <c r="BS376" s="1503"/>
      <c r="BT376" s="1503"/>
      <c r="BU376" s="1503"/>
      <c r="BV376" s="1503"/>
      <c r="BX376" s="40"/>
      <c r="BZ376" s="112"/>
      <c r="CA376" s="112"/>
      <c r="CB376" s="112"/>
      <c r="CC376" s="37"/>
    </row>
    <row r="377" spans="1:81">
      <c r="A377" s="108"/>
      <c r="B377" s="36"/>
      <c r="C377" s="1128" t="s">
        <v>570</v>
      </c>
      <c r="D377" s="36"/>
      <c r="E377" s="151"/>
      <c r="F377" s="152"/>
      <c r="G377" s="152"/>
      <c r="H377" s="153"/>
      <c r="I377" s="110"/>
      <c r="J377" s="180"/>
      <c r="K377" s="204"/>
      <c r="L377" s="204"/>
      <c r="M377" s="205"/>
      <c r="N377" s="110"/>
      <c r="O377" s="180"/>
      <c r="P377" s="181"/>
      <c r="Q377" s="181"/>
      <c r="R377" s="182"/>
      <c r="S377" s="110"/>
      <c r="T377" s="933"/>
      <c r="U377" s="934"/>
      <c r="V377" s="934"/>
      <c r="W377" s="935"/>
      <c r="X377" s="110"/>
      <c r="Y377" s="933">
        <f>Y375*Y376*365/1000000/4</f>
        <v>0</v>
      </c>
      <c r="Z377" s="934">
        <f>Z375*Z376*365/1000000/4</f>
        <v>0</v>
      </c>
      <c r="AA377" s="934">
        <f>AA375*AA376*365/1000000/4</f>
        <v>0</v>
      </c>
      <c r="AB377" s="935">
        <f>AB375*AB376*365/1000000/4</f>
        <v>0</v>
      </c>
      <c r="AC377" s="110">
        <f>SUM(Y377:AB377)</f>
        <v>0</v>
      </c>
      <c r="AD377" s="933">
        <f>AD375*AD376*365/1000000/4</f>
        <v>0</v>
      </c>
      <c r="AE377" s="934">
        <f>AE375*AE376*365/1000000/4</f>
        <v>0</v>
      </c>
      <c r="AF377" s="934">
        <f>AF375*AF376*365/1000000/4</f>
        <v>0</v>
      </c>
      <c r="AG377" s="935">
        <f>AG375*AG376*365/1000000/4</f>
        <v>0</v>
      </c>
      <c r="AH377" s="110">
        <f>SUM(AD377:AG377)</f>
        <v>0</v>
      </c>
      <c r="AI377" s="933">
        <f>AI375*AI376*365/1000000/4</f>
        <v>0</v>
      </c>
      <c r="AJ377" s="934">
        <f>AJ375*AJ376*365/1000000/4</f>
        <v>0</v>
      </c>
      <c r="AK377" s="934">
        <f>AK375*AK376*365/1000000/4</f>
        <v>0</v>
      </c>
      <c r="AL377" s="935">
        <f>AL375*AL376*365/1000000/4</f>
        <v>0</v>
      </c>
      <c r="AM377" s="110">
        <f>SUM(AI377:AL377)</f>
        <v>0</v>
      </c>
      <c r="AN377" s="933">
        <f>AN375*AN376*365/1000000/4</f>
        <v>0</v>
      </c>
      <c r="AO377" s="934">
        <f>AO375*AO376*365/1000000/4</f>
        <v>0</v>
      </c>
      <c r="AP377" s="934">
        <f>AP375*AP376*365/1000000/4</f>
        <v>0</v>
      </c>
      <c r="AQ377" s="935">
        <f>AQ375*AQ376*365/1000000/4</f>
        <v>0</v>
      </c>
      <c r="AR377" s="110">
        <f>SUM(AN377:AQ377)</f>
        <v>0</v>
      </c>
      <c r="AS377" s="933">
        <f>AS375*AS376*365/1000000/4</f>
        <v>0</v>
      </c>
      <c r="AT377" s="934">
        <f>AT375*AT376*365/1000000/4</f>
        <v>0</v>
      </c>
      <c r="AU377" s="934">
        <f t="shared" ref="AU377" si="985">AU375*AU376*365/1000000/4</f>
        <v>0</v>
      </c>
      <c r="AV377" s="935">
        <f>AV375*AV376*365/1000000/4</f>
        <v>0</v>
      </c>
      <c r="AW377" s="110">
        <f>SUM(AS377:AV377)</f>
        <v>0</v>
      </c>
      <c r="AX377" s="933">
        <f>AX375*AX376*365/1000000/4</f>
        <v>0</v>
      </c>
      <c r="AY377" s="934">
        <f>AY375*AY376*365/1000000/4</f>
        <v>0</v>
      </c>
      <c r="AZ377" s="934">
        <f>AZ375*AZ376*365/1000000/4</f>
        <v>0</v>
      </c>
      <c r="BA377" s="935">
        <f>BA375*BA376*365/1000000/4</f>
        <v>0</v>
      </c>
      <c r="BB377" s="110">
        <f>SUM(AX377:BA377)</f>
        <v>0</v>
      </c>
      <c r="BC377" s="933">
        <f>BC375*BC376*365/1000000/4</f>
        <v>0</v>
      </c>
      <c r="BD377" s="934">
        <f>BD375*BD376*365/1000000/4</f>
        <v>0</v>
      </c>
      <c r="BE377" s="934">
        <f>BE375*BE376*365/1000000/4</f>
        <v>0</v>
      </c>
      <c r="BF377" s="935">
        <f>BF375*BF376*365/1000000/4</f>
        <v>0</v>
      </c>
      <c r="BG377" s="110">
        <f>SUM(BC377:BF377)</f>
        <v>0</v>
      </c>
      <c r="BH377" s="933">
        <f>BH375*BH376*365/1000000/4</f>
        <v>0</v>
      </c>
      <c r="BI377" s="934">
        <f>BI375*BI376*365/1000000/4</f>
        <v>0</v>
      </c>
      <c r="BJ377" s="934">
        <f>BJ375*BJ376*365/1000000/4</f>
        <v>0</v>
      </c>
      <c r="BK377" s="935">
        <f>BK375*BK376*365/1000000/4</f>
        <v>0</v>
      </c>
      <c r="BL377" s="110">
        <f>SUM(BH377:BK377)</f>
        <v>0</v>
      </c>
      <c r="BM377" s="933">
        <f>BM375*BM376*365/1000000/4</f>
        <v>0</v>
      </c>
      <c r="BN377" s="934">
        <f>BN375*BN376*365/1000000/4</f>
        <v>0</v>
      </c>
      <c r="BO377" s="934">
        <f>BO375*BO376*365/1000000/4</f>
        <v>0</v>
      </c>
      <c r="BP377" s="935">
        <f>BP375*BP376*365/1000000/4</f>
        <v>0</v>
      </c>
      <c r="BQ377" s="110">
        <f>SUM(BM377:BP377)</f>
        <v>0</v>
      </c>
      <c r="BR377" s="110"/>
      <c r="BS377" s="1503"/>
      <c r="BT377" s="1503"/>
      <c r="BU377" s="1503"/>
      <c r="BV377" s="1503"/>
      <c r="BX377" s="40"/>
      <c r="BZ377" s="112"/>
      <c r="CA377" s="112"/>
      <c r="CB377" s="112"/>
      <c r="CC377" s="37"/>
    </row>
    <row r="378" spans="1:81">
      <c r="A378" s="5"/>
      <c r="B378" s="5"/>
      <c r="C378" s="1133"/>
      <c r="D378" s="5"/>
      <c r="E378" s="139"/>
      <c r="F378" s="18"/>
      <c r="G378" s="18"/>
      <c r="H378" s="140"/>
      <c r="I378" s="27"/>
      <c r="J378" s="180"/>
      <c r="K378" s="204"/>
      <c r="L378" s="204"/>
      <c r="M378" s="205"/>
      <c r="N378" s="27"/>
      <c r="O378" s="139"/>
      <c r="P378" s="18"/>
      <c r="Q378" s="18"/>
      <c r="R378" s="140"/>
      <c r="S378" s="27"/>
      <c r="T378" s="180"/>
      <c r="U378" s="181"/>
      <c r="V378" s="181"/>
      <c r="W378" s="182"/>
      <c r="X378" s="110"/>
      <c r="Y378" s="180"/>
      <c r="Z378" s="181"/>
      <c r="AA378" s="181"/>
      <c r="AB378" s="182"/>
      <c r="AC378" s="110"/>
      <c r="AD378" s="180"/>
      <c r="AE378" s="181"/>
      <c r="AF378" s="181"/>
      <c r="AG378" s="182"/>
      <c r="AH378" s="110"/>
      <c r="AI378" s="180"/>
      <c r="AJ378" s="181"/>
      <c r="AK378" s="181"/>
      <c r="AL378" s="182"/>
      <c r="AM378" s="110"/>
      <c r="AN378" s="180"/>
      <c r="AO378" s="181"/>
      <c r="AP378" s="181"/>
      <c r="AQ378" s="182"/>
      <c r="AR378" s="27"/>
      <c r="AS378" s="180"/>
      <c r="AT378" s="181"/>
      <c r="AU378" s="181"/>
      <c r="AV378" s="182"/>
      <c r="AW378" s="27"/>
      <c r="AX378" s="180"/>
      <c r="AY378" s="181"/>
      <c r="AZ378" s="181"/>
      <c r="BA378" s="182"/>
      <c r="BB378" s="27"/>
      <c r="BC378" s="180"/>
      <c r="BD378" s="181"/>
      <c r="BE378" s="181"/>
      <c r="BF378" s="182"/>
      <c r="BG378" s="27"/>
      <c r="BH378" s="180"/>
      <c r="BI378" s="181"/>
      <c r="BJ378" s="181"/>
      <c r="BK378" s="182"/>
      <c r="BL378" s="27"/>
      <c r="BM378" s="180"/>
      <c r="BN378" s="181"/>
      <c r="BO378" s="181"/>
      <c r="BP378" s="182"/>
      <c r="BQ378" s="27"/>
      <c r="BR378" s="27"/>
      <c r="BS378" s="1516"/>
      <c r="BT378" s="1516"/>
      <c r="BU378" s="1516"/>
      <c r="BV378" s="1516"/>
    </row>
    <row r="379" spans="1:81">
      <c r="A379" s="5"/>
      <c r="B379" s="5"/>
      <c r="C379" s="1133"/>
      <c r="D379" s="5"/>
      <c r="E379" s="139"/>
      <c r="F379" s="18"/>
      <c r="G379" s="18"/>
      <c r="H379" s="140"/>
      <c r="I379" s="27"/>
      <c r="J379" s="139"/>
      <c r="K379" s="18"/>
      <c r="L379" s="18"/>
      <c r="M379" s="140"/>
      <c r="N379" s="27"/>
      <c r="O379" s="139"/>
      <c r="P379" s="18"/>
      <c r="Q379" s="18"/>
      <c r="R379" s="140"/>
      <c r="S379" s="27"/>
      <c r="T379" s="180"/>
      <c r="U379" s="181"/>
      <c r="V379" s="181"/>
      <c r="W379" s="182"/>
      <c r="X379" s="110"/>
      <c r="Y379" s="180"/>
      <c r="Z379" s="181"/>
      <c r="AA379" s="181"/>
      <c r="AB379" s="182"/>
      <c r="AC379" s="110"/>
      <c r="AD379" s="180"/>
      <c r="AE379" s="181"/>
      <c r="AF379" s="181"/>
      <c r="AG379" s="182"/>
      <c r="AH379" s="1573"/>
      <c r="AI379" s="180"/>
      <c r="AJ379" s="181"/>
      <c r="AK379" s="181"/>
      <c r="AL379" s="182"/>
      <c r="AM379" s="110"/>
      <c r="AN379" s="180"/>
      <c r="AO379" s="181"/>
      <c r="AP379" s="181"/>
      <c r="AQ379" s="182"/>
      <c r="AR379" s="27"/>
      <c r="AS379" s="180"/>
      <c r="AT379" s="181"/>
      <c r="AU379" s="181"/>
      <c r="AV379" s="182"/>
      <c r="AW379" s="27"/>
      <c r="AX379" s="180"/>
      <c r="AY379" s="181"/>
      <c r="AZ379" s="181"/>
      <c r="BA379" s="182"/>
      <c r="BB379" s="27"/>
      <c r="BC379" s="180"/>
      <c r="BD379" s="181"/>
      <c r="BE379" s="181"/>
      <c r="BF379" s="182"/>
      <c r="BG379" s="27"/>
      <c r="BH379" s="180"/>
      <c r="BI379" s="181"/>
      <c r="BJ379" s="181"/>
      <c r="BK379" s="182"/>
      <c r="BL379" s="27"/>
      <c r="BM379" s="180"/>
      <c r="BN379" s="181"/>
      <c r="BO379" s="181"/>
      <c r="BP379" s="182"/>
      <c r="BQ379" s="27"/>
      <c r="BR379" s="27"/>
      <c r="BS379" s="1516"/>
      <c r="BT379" s="1516"/>
      <c r="BU379" s="1516"/>
      <c r="BV379" s="1516"/>
    </row>
    <row r="380" spans="1:81">
      <c r="A380" s="5"/>
      <c r="B380" s="400" t="s">
        <v>381</v>
      </c>
      <c r="C380" s="1157"/>
      <c r="D380" s="404"/>
      <c r="E380" s="139"/>
      <c r="F380" s="18"/>
      <c r="G380" s="18"/>
      <c r="H380" s="140"/>
      <c r="I380" s="5"/>
      <c r="J380" s="139"/>
      <c r="K380" s="18"/>
      <c r="L380" s="18"/>
      <c r="M380" s="140"/>
      <c r="N380" s="5"/>
      <c r="O380" s="139"/>
      <c r="P380" s="18"/>
      <c r="Q380" s="18"/>
      <c r="R380" s="140"/>
      <c r="S380" s="5"/>
      <c r="T380" s="139"/>
      <c r="U380" s="18"/>
      <c r="V380" s="18"/>
      <c r="W380" s="140"/>
      <c r="X380" s="5"/>
      <c r="Y380" s="139"/>
      <c r="Z380" s="18"/>
      <c r="AA380" s="18"/>
      <c r="AB380" s="140"/>
      <c r="AC380" s="5"/>
      <c r="AD380" s="139"/>
      <c r="AE380" s="18"/>
      <c r="AF380" s="18"/>
      <c r="AG380" s="140"/>
      <c r="AH380" s="110"/>
      <c r="AI380" s="139"/>
      <c r="AJ380" s="18"/>
      <c r="AK380" s="18"/>
      <c r="AL380" s="140"/>
      <c r="AM380" s="5"/>
      <c r="AN380" s="139"/>
      <c r="AO380" s="18"/>
      <c r="AP380" s="18"/>
      <c r="AQ380" s="140"/>
      <c r="AR380" s="5"/>
      <c r="AS380" s="139"/>
      <c r="AT380" s="18"/>
      <c r="AU380" s="18"/>
      <c r="AV380" s="140"/>
      <c r="AW380" s="5"/>
      <c r="AX380" s="139"/>
      <c r="AY380" s="18"/>
      <c r="AZ380" s="18"/>
      <c r="BA380" s="140"/>
      <c r="BB380" s="5"/>
      <c r="BC380" s="139"/>
      <c r="BD380" s="18"/>
      <c r="BE380" s="18"/>
      <c r="BF380" s="140"/>
      <c r="BG380" s="107"/>
      <c r="BH380" s="139"/>
      <c r="BI380" s="18"/>
      <c r="BJ380" s="18"/>
      <c r="BK380" s="140"/>
      <c r="BL380" s="5"/>
      <c r="BM380" s="139"/>
      <c r="BN380" s="18"/>
      <c r="BO380" s="18"/>
      <c r="BP380" s="140"/>
      <c r="BQ380" s="5"/>
      <c r="BR380" s="5"/>
      <c r="BS380" s="1499"/>
      <c r="BT380" s="1499"/>
      <c r="BU380" s="1499"/>
      <c r="BV380" s="1499"/>
    </row>
    <row r="381" spans="1:81">
      <c r="A381" s="5"/>
      <c r="B381" s="5"/>
      <c r="C381" s="1134"/>
      <c r="D381" s="495"/>
      <c r="E381" s="427"/>
      <c r="F381" s="428"/>
      <c r="G381" s="428"/>
      <c r="H381" s="429"/>
      <c r="I381" s="495"/>
      <c r="J381" s="427"/>
      <c r="K381" s="428"/>
      <c r="L381" s="428"/>
      <c r="M381" s="429"/>
      <c r="N381" s="495"/>
      <c r="O381" s="427"/>
      <c r="P381" s="428"/>
      <c r="Q381" s="428"/>
      <c r="R381" s="429"/>
      <c r="S381" s="495"/>
      <c r="T381" s="427"/>
      <c r="U381" s="428"/>
      <c r="V381" s="428"/>
      <c r="W381" s="429"/>
      <c r="X381" s="495"/>
      <c r="Y381" s="427"/>
      <c r="Z381" s="428"/>
      <c r="AA381" s="428"/>
      <c r="AB381" s="429"/>
      <c r="AC381" s="1083"/>
      <c r="AD381" s="139"/>
      <c r="AE381" s="428"/>
      <c r="AF381" s="18"/>
      <c r="AG381" s="140"/>
      <c r="AH381" s="27"/>
      <c r="AI381" s="139"/>
      <c r="AJ381" s="18"/>
      <c r="AK381" s="18"/>
      <c r="AL381" s="140"/>
      <c r="AM381" s="27"/>
      <c r="AN381" s="139"/>
      <c r="AO381" s="18"/>
      <c r="AP381" s="18"/>
      <c r="AQ381" s="140"/>
      <c r="AR381" s="27"/>
      <c r="AS381" s="139"/>
      <c r="AT381" s="18"/>
      <c r="AU381" s="18"/>
      <c r="AV381" s="140"/>
      <c r="AW381" s="27"/>
      <c r="AX381" s="139"/>
      <c r="AY381" s="18"/>
      <c r="AZ381" s="18"/>
      <c r="BA381" s="140"/>
      <c r="BB381" s="27"/>
      <c r="BC381" s="139"/>
      <c r="BD381" s="18"/>
      <c r="BE381" s="18"/>
      <c r="BF381" s="140"/>
      <c r="BG381" s="27"/>
      <c r="BH381" s="139"/>
      <c r="BI381" s="18"/>
      <c r="BJ381" s="18"/>
      <c r="BK381" s="140"/>
      <c r="BL381" s="27"/>
      <c r="BM381" s="139"/>
      <c r="BN381" s="18"/>
      <c r="BO381" s="18"/>
      <c r="BP381" s="140"/>
      <c r="BQ381" s="27"/>
      <c r="BR381" s="27"/>
      <c r="BS381" s="1516"/>
      <c r="BT381" s="1516"/>
      <c r="BU381" s="1516"/>
      <c r="BV381" s="1516"/>
    </row>
    <row r="382" spans="1:81">
      <c r="A382" s="327"/>
      <c r="B382" s="110"/>
      <c r="C382" s="1128" t="s">
        <v>169</v>
      </c>
      <c r="D382" s="110"/>
      <c r="E382" s="335">
        <f>E13</f>
        <v>31.689</v>
      </c>
      <c r="F382" s="336">
        <f t="shared" ref="F382:X382" si="986">F13</f>
        <v>34.177999999999997</v>
      </c>
      <c r="G382" s="336">
        <f t="shared" si="986"/>
        <v>35.223999999999997</v>
      </c>
      <c r="H382" s="337">
        <f t="shared" si="986"/>
        <v>35.202000000000027</v>
      </c>
      <c r="I382" s="327">
        <f t="shared" si="986"/>
        <v>136.29300000000001</v>
      </c>
      <c r="J382" s="335">
        <f t="shared" si="986"/>
        <v>34.689</v>
      </c>
      <c r="K382" s="336">
        <f t="shared" si="986"/>
        <v>37.151000000000003</v>
      </c>
      <c r="L382" s="336">
        <f t="shared" si="986"/>
        <v>38.066000000000003</v>
      </c>
      <c r="M382" s="337">
        <f t="shared" si="986"/>
        <v>38.018000000000001</v>
      </c>
      <c r="N382" s="327">
        <f t="shared" si="986"/>
        <v>147.92400000000001</v>
      </c>
      <c r="O382" s="335">
        <f t="shared" si="986"/>
        <v>37.509</v>
      </c>
      <c r="P382" s="336">
        <f t="shared" si="986"/>
        <v>37.612000000000002</v>
      </c>
      <c r="Q382" s="336">
        <f t="shared" si="986"/>
        <v>37.965000000000003</v>
      </c>
      <c r="R382" s="337">
        <f t="shared" si="986"/>
        <v>37.530999999999977</v>
      </c>
      <c r="S382" s="327">
        <f t="shared" si="986"/>
        <v>150.61699999999999</v>
      </c>
      <c r="T382" s="335">
        <f t="shared" si="986"/>
        <v>37.180999999999997</v>
      </c>
      <c r="U382" s="336">
        <f t="shared" si="986"/>
        <v>32.725000000000001</v>
      </c>
      <c r="V382" s="336">
        <f t="shared" si="986"/>
        <v>32.868000000000002</v>
      </c>
      <c r="W382" s="337">
        <f t="shared" si="986"/>
        <v>31.989000000000004</v>
      </c>
      <c r="X382" s="327">
        <f t="shared" si="986"/>
        <v>134.76300000000001</v>
      </c>
      <c r="Y382" s="335">
        <f t="shared" ref="Y382:AD382" si="987">Y13</f>
        <v>30.643000000000001</v>
      </c>
      <c r="Z382" s="336">
        <f t="shared" si="987"/>
        <v>36.729999999999997</v>
      </c>
      <c r="AA382" s="336">
        <f t="shared" si="987"/>
        <v>33.201000000000001</v>
      </c>
      <c r="AB382" s="337">
        <f t="shared" si="987"/>
        <v>31.267000000000024</v>
      </c>
      <c r="AC382" s="327">
        <f t="shared" si="987"/>
        <v>131.84100000000001</v>
      </c>
      <c r="AD382" s="335">
        <f t="shared" si="987"/>
        <v>30.533999999999999</v>
      </c>
      <c r="AE382" s="336">
        <f>AE13</f>
        <v>38.392000000000003</v>
      </c>
      <c r="AF382" s="336">
        <f t="shared" ref="AF382:AG382" si="988">AF13</f>
        <v>40.887999999999998</v>
      </c>
      <c r="AG382" s="337">
        <f t="shared" si="988"/>
        <v>39.507000000000005</v>
      </c>
      <c r="AH382" s="327">
        <f>AH13</f>
        <v>149.321</v>
      </c>
      <c r="AI382" s="335">
        <f t="shared" ref="AI382" si="989">AI13</f>
        <v>35.996000000000002</v>
      </c>
      <c r="AJ382" s="336">
        <f>AJ13</f>
        <v>36.456000000000003</v>
      </c>
      <c r="AK382" s="336">
        <f t="shared" ref="AK382:AL382" si="990">AK13</f>
        <v>38.482999999999997</v>
      </c>
      <c r="AL382" s="337">
        <f t="shared" si="990"/>
        <v>22.835999999999984</v>
      </c>
      <c r="AM382" s="327">
        <f>AM13</f>
        <v>133.77099999999999</v>
      </c>
      <c r="AN382" s="335">
        <f t="shared" ref="AN382" si="991">AN13</f>
        <v>18.797999999999998</v>
      </c>
      <c r="AO382" s="336">
        <f>AO13</f>
        <v>14.183999999999999</v>
      </c>
      <c r="AP382" s="336">
        <f t="shared" ref="AP382:AQ382" si="992">AP13</f>
        <v>24.268999999999998</v>
      </c>
      <c r="AQ382" s="337">
        <f t="shared" si="992"/>
        <v>23.904000000000003</v>
      </c>
      <c r="AR382" s="327">
        <f>AR13</f>
        <v>81.155000000000001</v>
      </c>
      <c r="AS382" s="335">
        <f t="shared" ref="AS382" si="993">AS13</f>
        <v>5.9870000000000001</v>
      </c>
      <c r="AT382" s="336">
        <f>AT13</f>
        <v>3.802</v>
      </c>
      <c r="AU382" s="336">
        <f t="shared" ref="AU382:AV382" si="994">AU13</f>
        <v>2.2349999999999999</v>
      </c>
      <c r="AV382" s="337">
        <f t="shared" si="994"/>
        <v>2.1170000000000009</v>
      </c>
      <c r="AW382" s="327">
        <f>AW13</f>
        <v>14.141</v>
      </c>
      <c r="AX382" s="335">
        <f>SUM(AX383:AX385)</f>
        <v>4.8933810266332802</v>
      </c>
      <c r="AY382" s="336">
        <f>SUM(AY383:AY385)</f>
        <v>3.84002</v>
      </c>
      <c r="AZ382" s="336">
        <f>SUM(AZ383:AZ385)</f>
        <v>2.2573499999999997</v>
      </c>
      <c r="BA382" s="337">
        <f>SUM(BA383:BA385)</f>
        <v>2.138170000000001</v>
      </c>
      <c r="BB382" s="327">
        <f>SUM(AX382:BA382)</f>
        <v>13.128921026633281</v>
      </c>
      <c r="BC382" s="335">
        <f>SUM(BC383:BC385)</f>
        <v>4.9538497266332806</v>
      </c>
      <c r="BD382" s="336">
        <f>SUM(BD383:BD385)</f>
        <v>3.6282230037880918</v>
      </c>
      <c r="BE382" s="336">
        <f>SUM(BE383:BE385)</f>
        <v>1.8386893599156116</v>
      </c>
      <c r="BF382" s="337">
        <f>SUM(BF383:BF385)</f>
        <v>1.7416131431504931</v>
      </c>
      <c r="BG382" s="327">
        <f>SUM(BC382:BF382)</f>
        <v>12.162375233487479</v>
      </c>
      <c r="BH382" s="335">
        <f t="shared" ref="BH382:BK382" si="995">MAX(SUM(BH383:BH385),0)</f>
        <v>3.8211488475697082</v>
      </c>
      <c r="BI382" s="336">
        <f t="shared" si="995"/>
        <v>2.3144193372013415</v>
      </c>
      <c r="BJ382" s="336">
        <f t="shared" si="995"/>
        <v>1.0305968372045897</v>
      </c>
      <c r="BK382" s="337">
        <f t="shared" si="995"/>
        <v>0.97618501313741302</v>
      </c>
      <c r="BL382" s="327">
        <f>SUM(BH382:BK382)</f>
        <v>8.1423500351130507</v>
      </c>
      <c r="BM382" s="335">
        <f>MAX(SUM(BM383:BM385),0)</f>
        <v>1.6348265062696639</v>
      </c>
      <c r="BN382" s="336">
        <f t="shared" ref="BN382:BP382" si="996">MAX(SUM(BN383:BN385),0)</f>
        <v>1.1004158045502792</v>
      </c>
      <c r="BO382" s="336">
        <f t="shared" si="996"/>
        <v>0</v>
      </c>
      <c r="BP382" s="337">
        <f t="shared" si="996"/>
        <v>0</v>
      </c>
      <c r="BQ382" s="327">
        <f>SUM(BM382:BP382)</f>
        <v>2.7352423108199431</v>
      </c>
      <c r="BR382" s="327"/>
      <c r="BS382" s="458"/>
      <c r="BT382" s="458"/>
      <c r="BU382" s="458"/>
      <c r="BV382" s="458"/>
    </row>
    <row r="383" spans="1:81">
      <c r="A383" s="320"/>
      <c r="B383" s="320"/>
      <c r="C383" s="1125" t="s">
        <v>674</v>
      </c>
      <c r="D383" s="348"/>
      <c r="E383" s="393">
        <v>0</v>
      </c>
      <c r="F383" s="190">
        <v>0</v>
      </c>
      <c r="G383" s="190">
        <v>0</v>
      </c>
      <c r="H383" s="251">
        <f>I383-SUM(E383:G383)</f>
        <v>0</v>
      </c>
      <c r="I383" s="348">
        <v>0</v>
      </c>
      <c r="J383" s="393">
        <v>0</v>
      </c>
      <c r="K383" s="190">
        <v>0</v>
      </c>
      <c r="L383" s="190">
        <v>0</v>
      </c>
      <c r="M383" s="251">
        <f>N383-SUM(J383:L383)</f>
        <v>0</v>
      </c>
      <c r="N383" s="348">
        <v>0</v>
      </c>
      <c r="O383" s="393">
        <v>0</v>
      </c>
      <c r="P383" s="190">
        <v>0</v>
      </c>
      <c r="Q383" s="190">
        <v>0</v>
      </c>
      <c r="R383" s="251">
        <f>S383-SUM(O383:Q383)</f>
        <v>0</v>
      </c>
      <c r="S383" s="348">
        <v>0</v>
      </c>
      <c r="T383" s="393">
        <v>0</v>
      </c>
      <c r="U383" s="190">
        <v>0</v>
      </c>
      <c r="V383" s="190">
        <v>0</v>
      </c>
      <c r="W383" s="251">
        <f>X383-SUM(T383:V383)</f>
        <v>0</v>
      </c>
      <c r="X383" s="348">
        <v>0</v>
      </c>
      <c r="Y383" s="393">
        <v>0</v>
      </c>
      <c r="Z383" s="190">
        <v>0</v>
      </c>
      <c r="AA383" s="190">
        <v>0</v>
      </c>
      <c r="AB383" s="251">
        <f>AC383-SUM(Y383:AA383)</f>
        <v>0</v>
      </c>
      <c r="AC383" s="348">
        <v>0</v>
      </c>
      <c r="AD383" s="393">
        <v>0</v>
      </c>
      <c r="AE383" s="190">
        <v>0</v>
      </c>
      <c r="AF383" s="190">
        <v>0</v>
      </c>
      <c r="AG383" s="251">
        <f>AH383-SUM(AD383:AF383)</f>
        <v>0</v>
      </c>
      <c r="AH383" s="348">
        <v>0</v>
      </c>
      <c r="AI383" s="393">
        <v>0</v>
      </c>
      <c r="AJ383" s="190">
        <v>0</v>
      </c>
      <c r="AK383" s="190">
        <v>0</v>
      </c>
      <c r="AL383" s="251">
        <f>AM383-SUM(AI383:AK383)</f>
        <v>0</v>
      </c>
      <c r="AM383" s="348">
        <v>0</v>
      </c>
      <c r="AN383" s="393">
        <v>0</v>
      </c>
      <c r="AO383" s="190">
        <v>0</v>
      </c>
      <c r="AP383" s="190">
        <v>0</v>
      </c>
      <c r="AQ383" s="251">
        <f>AR383-SUM(AN383:AP383)</f>
        <v>0</v>
      </c>
      <c r="AR383" s="348">
        <v>0</v>
      </c>
      <c r="AS383" s="393">
        <v>0</v>
      </c>
      <c r="AT383" s="190">
        <v>0</v>
      </c>
      <c r="AU383" s="190">
        <v>0</v>
      </c>
      <c r="AV383" s="251">
        <f>AW383-SUM(AS383:AU383)</f>
        <v>0</v>
      </c>
      <c r="AW383" s="348">
        <v>0</v>
      </c>
      <c r="AX383" s="183">
        <v>0</v>
      </c>
      <c r="AY383" s="184">
        <v>0</v>
      </c>
      <c r="AZ383" s="184">
        <v>0</v>
      </c>
      <c r="BA383" s="185">
        <v>0</v>
      </c>
      <c r="BB383" s="107">
        <f>SUM(AX383:BA383)</f>
        <v>0</v>
      </c>
      <c r="BC383" s="183">
        <v>0</v>
      </c>
      <c r="BD383" s="184">
        <v>0</v>
      </c>
      <c r="BE383" s="184">
        <v>0</v>
      </c>
      <c r="BF383" s="185">
        <v>0</v>
      </c>
      <c r="BG383" s="107">
        <f>SUM(BC383:BF383)</f>
        <v>0</v>
      </c>
      <c r="BH383" s="183">
        <v>0</v>
      </c>
      <c r="BI383" s="184">
        <v>0</v>
      </c>
      <c r="BJ383" s="184">
        <v>0</v>
      </c>
      <c r="BK383" s="185">
        <v>0</v>
      </c>
      <c r="BL383" s="107">
        <f>SUM(BH383:BK383)</f>
        <v>0</v>
      </c>
      <c r="BM383" s="183">
        <v>0</v>
      </c>
      <c r="BN383" s="184">
        <v>0</v>
      </c>
      <c r="BO383" s="184">
        <v>0</v>
      </c>
      <c r="BP383" s="185">
        <v>0</v>
      </c>
      <c r="BQ383" s="107">
        <f>SUM(BM383:BP383)</f>
        <v>0</v>
      </c>
      <c r="BR383" s="107"/>
      <c r="BS383" s="1496"/>
      <c r="BT383" s="1496"/>
      <c r="BU383" s="1496"/>
      <c r="BV383" s="1496"/>
    </row>
    <row r="384" spans="1:81">
      <c r="A384" s="320"/>
      <c r="B384" s="320"/>
      <c r="C384" s="1125" t="s">
        <v>453</v>
      </c>
      <c r="D384" s="320"/>
      <c r="E384" s="405"/>
      <c r="F384" s="406"/>
      <c r="G384" s="406"/>
      <c r="H384" s="251"/>
      <c r="I384" s="348"/>
      <c r="J384" s="393"/>
      <c r="K384" s="190"/>
      <c r="L384" s="190"/>
      <c r="M384" s="251"/>
      <c r="N384" s="348"/>
      <c r="O384" s="393"/>
      <c r="P384" s="190"/>
      <c r="Q384" s="190"/>
      <c r="R384" s="251"/>
      <c r="S384" s="348"/>
      <c r="T384" s="393"/>
      <c r="U384" s="190"/>
      <c r="V384" s="190"/>
      <c r="W384" s="251"/>
      <c r="X384" s="348"/>
      <c r="Y384" s="393"/>
      <c r="Z384" s="190"/>
      <c r="AA384" s="190"/>
      <c r="AB384" s="251"/>
      <c r="AC384" s="348"/>
      <c r="AD384" s="393"/>
      <c r="AE384" s="190"/>
      <c r="AF384" s="190"/>
      <c r="AG384" s="251"/>
      <c r="AH384" s="348"/>
      <c r="AI384" s="393"/>
      <c r="AJ384" s="190"/>
      <c r="AK384" s="190"/>
      <c r="AL384" s="251"/>
      <c r="AM384" s="348"/>
      <c r="AN384" s="393"/>
      <c r="AO384" s="190"/>
      <c r="AP384" s="190"/>
      <c r="AQ384" s="251"/>
      <c r="AR384" s="348"/>
      <c r="AS384" s="393"/>
      <c r="AT384" s="190"/>
      <c r="AU384" s="190"/>
      <c r="AV384" s="251"/>
      <c r="AW384" s="348"/>
      <c r="AX384" s="183">
        <f t="shared" ref="AX384" si="997">AS385*(1+AX386)*(AX$154/AS$154-1)+AS384</f>
        <v>-1.1534889733667202</v>
      </c>
      <c r="AY384" s="184">
        <f>AT385*(1+AY386)*(AY$154/AT$154-1)+AT384</f>
        <v>0</v>
      </c>
      <c r="AZ384" s="184">
        <f t="shared" ref="AZ384" si="998">AU385*(1+AZ386)*(AZ$154/AU$154-1)+AU384</f>
        <v>0</v>
      </c>
      <c r="BA384" s="185">
        <f t="shared" ref="BA384" si="999">AV385*(1+BA386)*(BA$154/AV$154-1)+AV384</f>
        <v>0</v>
      </c>
      <c r="BB384" s="107">
        <f>SUM(AX384:BA384)</f>
        <v>-1.1534889733667202</v>
      </c>
      <c r="BC384" s="183">
        <f t="shared" ref="BC384" si="1000">AX385*(1+BC386)*(BC$154/AX$154-1)+AX384</f>
        <v>-1.1534889733667202</v>
      </c>
      <c r="BD384" s="184">
        <f>AY385*(1+BD386)*(BD$154/AY$154-1)+AY384</f>
        <v>-0.25019719621190822</v>
      </c>
      <c r="BE384" s="184">
        <f t="shared" ref="BE384" si="1001">AZ385*(1+BE386)*(BE$154/AZ$154-1)+AZ384</f>
        <v>-0.4412341400843881</v>
      </c>
      <c r="BF384" s="185">
        <f t="shared" ref="BF384" si="1002">BA385*(1+BF386)*(BF$154/BA$154-1)+BA384</f>
        <v>-0.41793855684950793</v>
      </c>
      <c r="BG384" s="107">
        <f>SUM(BC384:BF384)</f>
        <v>-2.2628588665125244</v>
      </c>
      <c r="BH384" s="183">
        <f t="shared" ref="BH384" si="1003">BC385*(1+BH386)*(BH$154/BC$154-1)+BC384</f>
        <v>-2.3472632394302928</v>
      </c>
      <c r="BI384" s="184">
        <f>BD385*(1+BI386)*(BI$154/BD$154-1)+BD384</f>
        <v>-1.6027850647986581</v>
      </c>
      <c r="BJ384" s="184">
        <f t="shared" ref="BJ384" si="1004">BE385*(1+BJ386)*(BJ$154/BE$154-1)+BE384</f>
        <v>-1.27212589779541</v>
      </c>
      <c r="BK384" s="185">
        <f t="shared" ref="BK384" si="1005">BF385*(1+BK386)*(BK$154/BF$154-1)+BF384</f>
        <v>-1.2049622038625882</v>
      </c>
      <c r="BL384" s="107">
        <f>SUM(BH384:BK384)</f>
        <v>-6.4271364058869489</v>
      </c>
      <c r="BM384" s="183">
        <f t="shared" ref="BM384" si="1006">BH385*(1+BM386)*(BM$154/BH$154-1)+BH384</f>
        <v>-4.595269701600337</v>
      </c>
      <c r="BN384" s="184">
        <f>BI385*(1+BN386)*(BN$154/BI$154-1)+BI384</f>
        <v>-2.8559606414697205</v>
      </c>
      <c r="BO384" s="184">
        <f t="shared" ref="BO384" si="1007">BJ385*(1+BO386)*(BO$154/BJ$154-1)+BJ384</f>
        <v>-2.5850799693103212</v>
      </c>
      <c r="BP384" s="185">
        <f t="shared" ref="BP384" si="1008">BK385*(1+BP386)*(BP$154/BK$154-1)+BK384</f>
        <v>-2.4485970000134021</v>
      </c>
      <c r="BQ384" s="107">
        <f>SUM(BM384:BP384)</f>
        <v>-12.484907312393782</v>
      </c>
      <c r="BR384" s="107"/>
      <c r="BS384" s="1496"/>
      <c r="BT384" s="1496"/>
      <c r="BU384" s="1496"/>
      <c r="BV384" s="1496"/>
    </row>
    <row r="385" spans="1:75" s="103" customFormat="1">
      <c r="A385" s="331"/>
      <c r="B385" s="44"/>
      <c r="C385" s="1127" t="s">
        <v>171</v>
      </c>
      <c r="D385" s="44"/>
      <c r="E385" s="332">
        <f t="shared" ref="E385:U385" si="1009">E382-E383</f>
        <v>31.689</v>
      </c>
      <c r="F385" s="333">
        <f t="shared" si="1009"/>
        <v>34.177999999999997</v>
      </c>
      <c r="G385" s="333">
        <f t="shared" si="1009"/>
        <v>35.223999999999997</v>
      </c>
      <c r="H385" s="334">
        <f t="shared" si="1009"/>
        <v>35.202000000000027</v>
      </c>
      <c r="I385" s="331">
        <f t="shared" si="1009"/>
        <v>136.29300000000001</v>
      </c>
      <c r="J385" s="332">
        <f t="shared" si="1009"/>
        <v>34.689</v>
      </c>
      <c r="K385" s="333">
        <f t="shared" si="1009"/>
        <v>37.151000000000003</v>
      </c>
      <c r="L385" s="333">
        <f t="shared" si="1009"/>
        <v>38.066000000000003</v>
      </c>
      <c r="M385" s="334">
        <f t="shared" si="1009"/>
        <v>38.018000000000001</v>
      </c>
      <c r="N385" s="331">
        <f t="shared" si="1009"/>
        <v>147.92400000000001</v>
      </c>
      <c r="O385" s="332">
        <f t="shared" si="1009"/>
        <v>37.509</v>
      </c>
      <c r="P385" s="333">
        <f t="shared" si="1009"/>
        <v>37.612000000000002</v>
      </c>
      <c r="Q385" s="333">
        <f t="shared" si="1009"/>
        <v>37.965000000000003</v>
      </c>
      <c r="R385" s="334">
        <f t="shared" si="1009"/>
        <v>37.530999999999977</v>
      </c>
      <c r="S385" s="331">
        <f t="shared" si="1009"/>
        <v>150.61699999999999</v>
      </c>
      <c r="T385" s="332">
        <f t="shared" si="1009"/>
        <v>37.180999999999997</v>
      </c>
      <c r="U385" s="333">
        <f t="shared" si="1009"/>
        <v>32.725000000000001</v>
      </c>
      <c r="V385" s="333">
        <f t="shared" ref="V385:AA385" si="1010">V382-V383</f>
        <v>32.868000000000002</v>
      </c>
      <c r="W385" s="334">
        <f t="shared" si="1010"/>
        <v>31.989000000000004</v>
      </c>
      <c r="X385" s="331">
        <f t="shared" si="1010"/>
        <v>134.76300000000001</v>
      </c>
      <c r="Y385" s="332">
        <f t="shared" si="1010"/>
        <v>30.643000000000001</v>
      </c>
      <c r="Z385" s="333">
        <f t="shared" si="1010"/>
        <v>36.729999999999997</v>
      </c>
      <c r="AA385" s="333">
        <f t="shared" si="1010"/>
        <v>33.201000000000001</v>
      </c>
      <c r="AB385" s="334">
        <f>AB382-AB383</f>
        <v>31.267000000000024</v>
      </c>
      <c r="AC385" s="331">
        <f>AC382-AC383</f>
        <v>131.84100000000001</v>
      </c>
      <c r="AD385" s="332">
        <f>AD382-AD383</f>
        <v>30.533999999999999</v>
      </c>
      <c r="AE385" s="333">
        <f>AE382-AE383</f>
        <v>38.392000000000003</v>
      </c>
      <c r="AF385" s="333">
        <f t="shared" ref="AF385" si="1011">AF382-AF383</f>
        <v>40.887999999999998</v>
      </c>
      <c r="AG385" s="334">
        <f>AG382-AG383</f>
        <v>39.507000000000005</v>
      </c>
      <c r="AH385" s="331">
        <f>AH382-AH383</f>
        <v>149.321</v>
      </c>
      <c r="AI385" s="332">
        <f>AI382-AI383</f>
        <v>35.996000000000002</v>
      </c>
      <c r="AJ385" s="333">
        <f>AJ382-AJ383</f>
        <v>36.456000000000003</v>
      </c>
      <c r="AK385" s="333">
        <f t="shared" ref="AK385" si="1012">AK382-AK383</f>
        <v>38.482999999999997</v>
      </c>
      <c r="AL385" s="334">
        <f>AL382-AL383</f>
        <v>22.835999999999984</v>
      </c>
      <c r="AM385" s="331">
        <f>AM382-AM383</f>
        <v>133.77099999999999</v>
      </c>
      <c r="AN385" s="332">
        <f>AN382-AN383</f>
        <v>18.797999999999998</v>
      </c>
      <c r="AO385" s="333">
        <f>AO382-AO383</f>
        <v>14.183999999999999</v>
      </c>
      <c r="AP385" s="333">
        <f t="shared" ref="AP385" si="1013">AP382-AP383</f>
        <v>24.268999999999998</v>
      </c>
      <c r="AQ385" s="334">
        <f>AQ382-AQ383</f>
        <v>23.904000000000003</v>
      </c>
      <c r="AR385" s="331">
        <f>AR382-AR383</f>
        <v>81.155000000000001</v>
      </c>
      <c r="AS385" s="332">
        <f>AS382-AS383</f>
        <v>5.9870000000000001</v>
      </c>
      <c r="AT385" s="333">
        <f>AT382-AT383</f>
        <v>3.802</v>
      </c>
      <c r="AU385" s="333">
        <f t="shared" ref="AU385" si="1014">AU382-AU383</f>
        <v>2.2349999999999999</v>
      </c>
      <c r="AV385" s="334">
        <f>AV382-AV383</f>
        <v>2.1170000000000009</v>
      </c>
      <c r="AW385" s="331">
        <f>AW382-AW383</f>
        <v>14.141</v>
      </c>
      <c r="AX385" s="332">
        <f>AS385*(1+AX386)</f>
        <v>6.0468700000000002</v>
      </c>
      <c r="AY385" s="333">
        <f>AT385*(1+AY386)</f>
        <v>3.84002</v>
      </c>
      <c r="AZ385" s="333">
        <f>AU385*(1+AZ386)</f>
        <v>2.2573499999999997</v>
      </c>
      <c r="BA385" s="334">
        <f>AV385*(1+BA386)</f>
        <v>2.138170000000001</v>
      </c>
      <c r="BB385" s="331">
        <f>SUM(AX385:BA385)</f>
        <v>14.28241</v>
      </c>
      <c r="BC385" s="332">
        <f>AX385*(1+BC386)</f>
        <v>6.1073387000000006</v>
      </c>
      <c r="BD385" s="333">
        <f>AY385*(1+BD386)</f>
        <v>3.8784201999999999</v>
      </c>
      <c r="BE385" s="333">
        <f>AZ385*(1+BE386)</f>
        <v>2.2799234999999998</v>
      </c>
      <c r="BF385" s="334">
        <f>BA385*(1+BF386)</f>
        <v>2.1595517000000011</v>
      </c>
      <c r="BG385" s="331">
        <f>SUM(BC385:BF385)</f>
        <v>14.425234100000001</v>
      </c>
      <c r="BH385" s="332">
        <f>BC385*(1+BH386)</f>
        <v>6.168412087000001</v>
      </c>
      <c r="BI385" s="333">
        <f>BD385*(1+BI386)</f>
        <v>3.9172044019999999</v>
      </c>
      <c r="BJ385" s="333">
        <f>BE385*(1+BJ386)</f>
        <v>2.3027227349999997</v>
      </c>
      <c r="BK385" s="334">
        <f>BF385*(1+BK386)</f>
        <v>2.1811472170000012</v>
      </c>
      <c r="BL385" s="331">
        <f>SUM(BH385:BK385)</f>
        <v>14.569486441000002</v>
      </c>
      <c r="BM385" s="332">
        <f>BH385*(1+BM386)</f>
        <v>6.2300962078700008</v>
      </c>
      <c r="BN385" s="333">
        <f>BI385*(1+BN386)</f>
        <v>3.9563764460199997</v>
      </c>
      <c r="BO385" s="333">
        <f>BJ385*(1+BO386)</f>
        <v>2.3257499623499998</v>
      </c>
      <c r="BP385" s="334">
        <f>BK385*(1+BP386)</f>
        <v>2.2029586891700013</v>
      </c>
      <c r="BQ385" s="331">
        <f>SUM(BM385:BP385)</f>
        <v>14.715181305410001</v>
      </c>
      <c r="BR385" s="331"/>
      <c r="BS385" s="465"/>
      <c r="BT385" s="465"/>
      <c r="BU385" s="465"/>
      <c r="BV385" s="465"/>
      <c r="BW385" s="1518"/>
    </row>
    <row r="386" spans="1:75">
      <c r="A386" s="370"/>
      <c r="B386" s="370"/>
      <c r="C386" s="1160" t="s">
        <v>676</v>
      </c>
      <c r="D386" s="370"/>
      <c r="E386" s="373"/>
      <c r="F386" s="371"/>
      <c r="G386" s="371"/>
      <c r="H386" s="372"/>
      <c r="I386" s="370"/>
      <c r="J386" s="373">
        <f t="shared" ref="J386:X386" si="1015">J385/E385-1</f>
        <v>9.4670074789359182E-2</v>
      </c>
      <c r="K386" s="371">
        <f t="shared" si="1015"/>
        <v>8.698578032652593E-2</v>
      </c>
      <c r="L386" s="371">
        <f t="shared" si="1015"/>
        <v>8.0683624801272114E-2</v>
      </c>
      <c r="M386" s="372">
        <f t="shared" si="1015"/>
        <v>7.9995454803703625E-2</v>
      </c>
      <c r="N386" s="370">
        <f t="shared" si="1015"/>
        <v>8.5338205190288674E-2</v>
      </c>
      <c r="O386" s="373">
        <f t="shared" si="1015"/>
        <v>8.129378189051284E-2</v>
      </c>
      <c r="P386" s="371">
        <f t="shared" si="1015"/>
        <v>1.2408818066808491E-2</v>
      </c>
      <c r="Q386" s="371">
        <f t="shared" si="1015"/>
        <v>-2.6532863973098841E-3</v>
      </c>
      <c r="R386" s="372">
        <f t="shared" si="1015"/>
        <v>-1.2809721710769217E-2</v>
      </c>
      <c r="S386" s="370">
        <f t="shared" si="1015"/>
        <v>1.8205294610746048E-2</v>
      </c>
      <c r="T386" s="373">
        <f t="shared" si="1015"/>
        <v>-8.7445679703538337E-3</v>
      </c>
      <c r="U386" s="371">
        <f t="shared" si="1015"/>
        <v>-0.12993193661597358</v>
      </c>
      <c r="V386" s="371">
        <f t="shared" si="1015"/>
        <v>-0.13425523508494663</v>
      </c>
      <c r="W386" s="372">
        <f t="shared" si="1015"/>
        <v>-0.14766459726625925</v>
      </c>
      <c r="X386" s="370">
        <f t="shared" si="1015"/>
        <v>-0.10526036237609293</v>
      </c>
      <c r="Y386" s="373">
        <f t="shared" ref="Y386:AD386" si="1016">Y385/T385-1</f>
        <v>-0.17584250020171588</v>
      </c>
      <c r="Z386" s="371">
        <f t="shared" si="1016"/>
        <v>0.12238349885408684</v>
      </c>
      <c r="AA386" s="371">
        <f t="shared" si="1016"/>
        <v>1.0131434830229935E-2</v>
      </c>
      <c r="AB386" s="372">
        <f t="shared" si="1016"/>
        <v>-2.2570258526367848E-2</v>
      </c>
      <c r="AC386" s="370">
        <f t="shared" si="1016"/>
        <v>-2.1682509294094099E-2</v>
      </c>
      <c r="AD386" s="373">
        <f t="shared" si="1016"/>
        <v>-3.5570929739255908E-3</v>
      </c>
      <c r="AE386" s="371">
        <f>AE385/Z385-1</f>
        <v>4.5249115164715636E-2</v>
      </c>
      <c r="AF386" s="371">
        <f t="shared" ref="AF386" si="1017">AF385/AA385-1</f>
        <v>0.2315291708081082</v>
      </c>
      <c r="AG386" s="372">
        <f t="shared" ref="AG386" si="1018">AG385/AB385-1</f>
        <v>0.26353663606997713</v>
      </c>
      <c r="AH386" s="370">
        <f t="shared" ref="AH386" si="1019">AH385/AC385-1</f>
        <v>0.13258394581351762</v>
      </c>
      <c r="AI386" s="373">
        <f t="shared" ref="AI386" si="1020">AI385/AD385-1</f>
        <v>0.17888255714940726</v>
      </c>
      <c r="AJ386" s="371">
        <f>AJ385/AE385-1</f>
        <v>-5.0427172327568215E-2</v>
      </c>
      <c r="AK386" s="371">
        <f t="shared" ref="AK386" si="1021">AK385/AF385-1</f>
        <v>-5.8819213461162256E-2</v>
      </c>
      <c r="AL386" s="372">
        <f t="shared" ref="AL386" si="1022">AL385/AG385-1</f>
        <v>-0.42197585238059121</v>
      </c>
      <c r="AM386" s="370">
        <f t="shared" ref="AM386" si="1023">AM385/AH385-1</f>
        <v>-0.10413806497411626</v>
      </c>
      <c r="AN386" s="373">
        <f t="shared" ref="AN386" si="1024">AN385/AI385-1</f>
        <v>-0.47777530836759652</v>
      </c>
      <c r="AO386" s="371">
        <f>AO385/AJ385-1</f>
        <v>-0.61092824226464781</v>
      </c>
      <c r="AP386" s="371">
        <f t="shared" ref="AP386" si="1025">AP385/AK385-1</f>
        <v>-0.36935789829275267</v>
      </c>
      <c r="AQ386" s="372">
        <f t="shared" ref="AQ386" si="1026">AQ385/AL385-1</f>
        <v>4.6768260641093962E-2</v>
      </c>
      <c r="AR386" s="370">
        <f t="shared" ref="AR386:AS386" si="1027">AR385/AM385-1</f>
        <v>-0.39332889789266723</v>
      </c>
      <c r="AS386" s="373">
        <f t="shared" si="1027"/>
        <v>-0.68150867113522717</v>
      </c>
      <c r="AT386" s="371">
        <f>AT385/AO385-1</f>
        <v>-0.73195149464184994</v>
      </c>
      <c r="AU386" s="371">
        <f t="shared" ref="AU386" si="1028">AU385/AP385-1</f>
        <v>-0.9079072067246281</v>
      </c>
      <c r="AV386" s="372">
        <f t="shared" ref="AV386" si="1029">AV385/AQ385-1</f>
        <v>-0.9114374163319946</v>
      </c>
      <c r="AW386" s="370">
        <f t="shared" ref="AW386" si="1030">AW385/AR385-1</f>
        <v>-0.8257531883432937</v>
      </c>
      <c r="AX386" s="158">
        <f>BB386</f>
        <v>0.01</v>
      </c>
      <c r="AY386" s="159">
        <f>BB386</f>
        <v>0.01</v>
      </c>
      <c r="AZ386" s="159">
        <f>BB386</f>
        <v>0.01</v>
      </c>
      <c r="BA386" s="160">
        <f>BB386</f>
        <v>0.01</v>
      </c>
      <c r="BB386" s="1046">
        <v>0.01</v>
      </c>
      <c r="BC386" s="158">
        <f>BG386</f>
        <v>0.01</v>
      </c>
      <c r="BD386" s="159">
        <f>BG386</f>
        <v>0.01</v>
      </c>
      <c r="BE386" s="159">
        <f>BG386</f>
        <v>0.01</v>
      </c>
      <c r="BF386" s="160">
        <f>BG386</f>
        <v>0.01</v>
      </c>
      <c r="BG386" s="1046">
        <v>0.01</v>
      </c>
      <c r="BH386" s="158">
        <f>BL386</f>
        <v>0.01</v>
      </c>
      <c r="BI386" s="159">
        <f>BL386</f>
        <v>0.01</v>
      </c>
      <c r="BJ386" s="159">
        <f>BL386</f>
        <v>0.01</v>
      </c>
      <c r="BK386" s="160">
        <f>BL386</f>
        <v>0.01</v>
      </c>
      <c r="BL386" s="1046">
        <v>0.01</v>
      </c>
      <c r="BM386" s="158">
        <f>BQ386</f>
        <v>0.01</v>
      </c>
      <c r="BN386" s="159">
        <f>BQ386</f>
        <v>0.01</v>
      </c>
      <c r="BO386" s="159">
        <f>BQ386</f>
        <v>0.01</v>
      </c>
      <c r="BP386" s="160">
        <f>BQ386</f>
        <v>0.01</v>
      </c>
      <c r="BQ386" s="1046">
        <v>0.01</v>
      </c>
      <c r="BR386" s="1046"/>
      <c r="BS386" s="1497"/>
      <c r="BT386" s="1497"/>
      <c r="BU386" s="1497"/>
      <c r="BV386" s="1497"/>
    </row>
    <row r="387" spans="1:75">
      <c r="A387" s="5"/>
      <c r="B387" s="5"/>
      <c r="C387" s="1134"/>
      <c r="D387" s="495"/>
      <c r="E387" s="427"/>
      <c r="F387" s="428"/>
      <c r="G387" s="428"/>
      <c r="H387" s="429"/>
      <c r="I387" s="495"/>
      <c r="J387" s="427"/>
      <c r="K387" s="428"/>
      <c r="L387" s="428"/>
      <c r="M387" s="429"/>
      <c r="N387" s="495"/>
      <c r="O387" s="427"/>
      <c r="P387" s="428"/>
      <c r="Q387" s="428"/>
      <c r="R387" s="429"/>
      <c r="S387" s="495"/>
      <c r="T387" s="427"/>
      <c r="U387" s="428"/>
      <c r="V387" s="428"/>
      <c r="W387" s="429"/>
      <c r="X387" s="495"/>
      <c r="Y387" s="427"/>
      <c r="Z387" s="428"/>
      <c r="AA387" s="428"/>
      <c r="AB387" s="429"/>
      <c r="AC387" s="495"/>
      <c r="AD387" s="427"/>
      <c r="AE387" s="428"/>
      <c r="AF387" s="428"/>
      <c r="AG387" s="429"/>
      <c r="AH387" s="495"/>
      <c r="AI387" s="427"/>
      <c r="AJ387" s="428"/>
      <c r="AK387" s="428"/>
      <c r="AL387" s="140"/>
      <c r="AM387" s="27"/>
      <c r="AN387" s="427"/>
      <c r="AO387" s="428"/>
      <c r="AP387" s="18"/>
      <c r="AQ387" s="140"/>
      <c r="AR387" s="27"/>
      <c r="AS387" s="427"/>
      <c r="AT387" s="18"/>
      <c r="AU387" s="18"/>
      <c r="AV387" s="140"/>
      <c r="AW387" s="27"/>
      <c r="AX387" s="139"/>
      <c r="AY387" s="18"/>
      <c r="AZ387" s="18"/>
      <c r="BA387" s="140"/>
      <c r="BB387" s="27"/>
      <c r="BC387" s="139"/>
      <c r="BD387" s="18"/>
      <c r="BE387" s="18"/>
      <c r="BF387" s="140"/>
      <c r="BG387" s="27"/>
      <c r="BH387" s="139"/>
      <c r="BI387" s="18"/>
      <c r="BJ387" s="18"/>
      <c r="BK387" s="140"/>
      <c r="BL387" s="27"/>
      <c r="BM387" s="139"/>
      <c r="BN387" s="18"/>
      <c r="BO387" s="18"/>
      <c r="BP387" s="140"/>
      <c r="BQ387" s="27"/>
      <c r="BR387" s="27"/>
      <c r="BS387" s="1516"/>
      <c r="BT387" s="1516"/>
      <c r="BU387" s="1516"/>
      <c r="BV387" s="1516"/>
    </row>
    <row r="388" spans="1:75">
      <c r="A388" s="327"/>
      <c r="B388" s="110"/>
      <c r="C388" s="1158" t="s">
        <v>660</v>
      </c>
      <c r="D388" s="110"/>
      <c r="E388" s="335">
        <f>E14</f>
        <v>199.96</v>
      </c>
      <c r="F388" s="336">
        <f t="shared" ref="F388:S388" si="1031">F14</f>
        <v>203.60400000000001</v>
      </c>
      <c r="G388" s="336">
        <f t="shared" si="1031"/>
        <v>211.68299999999999</v>
      </c>
      <c r="H388" s="337">
        <f t="shared" si="1031"/>
        <v>307.03599999999994</v>
      </c>
      <c r="I388" s="327">
        <f t="shared" si="1031"/>
        <v>922.28300000000002</v>
      </c>
      <c r="J388" s="335">
        <f t="shared" si="1031"/>
        <v>259.697</v>
      </c>
      <c r="K388" s="336">
        <f t="shared" si="1031"/>
        <v>250.648</v>
      </c>
      <c r="L388" s="336">
        <f t="shared" si="1031"/>
        <v>299.399</v>
      </c>
      <c r="M388" s="337">
        <f t="shared" si="1031"/>
        <v>237.29699999999991</v>
      </c>
      <c r="N388" s="327">
        <f t="shared" si="1031"/>
        <v>1047.0409999999999</v>
      </c>
      <c r="O388" s="335">
        <f t="shared" si="1031"/>
        <v>209.143</v>
      </c>
      <c r="P388" s="336">
        <f t="shared" si="1031"/>
        <v>231.351</v>
      </c>
      <c r="Q388" s="336">
        <f t="shared" si="1031"/>
        <v>228.88800000000001</v>
      </c>
      <c r="R388" s="337">
        <f t="shared" si="1031"/>
        <v>236.07099999999991</v>
      </c>
      <c r="S388" s="327">
        <f t="shared" si="1031"/>
        <v>905.45299999999997</v>
      </c>
      <c r="T388" s="335">
        <f t="shared" ref="T388:Z388" si="1032">T14</f>
        <v>232.74100000000001</v>
      </c>
      <c r="U388" s="336">
        <f t="shared" si="1032"/>
        <v>248.18299999999999</v>
      </c>
      <c r="V388" s="336">
        <f t="shared" si="1032"/>
        <v>244.947</v>
      </c>
      <c r="W388" s="337">
        <f t="shared" si="1032"/>
        <v>231.96800000000007</v>
      </c>
      <c r="X388" s="327">
        <f t="shared" si="1032"/>
        <v>957.83900000000006</v>
      </c>
      <c r="Y388" s="335">
        <f t="shared" si="1032"/>
        <v>231.35900000000001</v>
      </c>
      <c r="Z388" s="336">
        <f t="shared" si="1032"/>
        <v>252.101</v>
      </c>
      <c r="AA388" s="336">
        <f t="shared" ref="AA388:AH388" si="1033">AA14</f>
        <v>264.13799999999998</v>
      </c>
      <c r="AB388" s="337">
        <f t="shared" si="1033"/>
        <v>300.46299999999997</v>
      </c>
      <c r="AC388" s="327">
        <f t="shared" si="1033"/>
        <v>1048.0609999999999</v>
      </c>
      <c r="AD388" s="335">
        <f t="shared" si="1033"/>
        <v>234.89599999999999</v>
      </c>
      <c r="AE388" s="336">
        <f t="shared" si="1033"/>
        <v>261.13799999999998</v>
      </c>
      <c r="AF388" s="336">
        <f t="shared" si="1033"/>
        <v>254.48699999999999</v>
      </c>
      <c r="AG388" s="337">
        <f t="shared" si="1033"/>
        <v>272.49700000000007</v>
      </c>
      <c r="AH388" s="327">
        <f t="shared" si="1033"/>
        <v>1023.018</v>
      </c>
      <c r="AI388" s="335">
        <f t="shared" ref="AI388:AM388" si="1034">AI14</f>
        <v>212.33</v>
      </c>
      <c r="AJ388" s="336">
        <f t="shared" si="1034"/>
        <v>212.28200000000001</v>
      </c>
      <c r="AK388" s="336">
        <f t="shared" si="1034"/>
        <v>217.173</v>
      </c>
      <c r="AL388" s="337">
        <f t="shared" si="1034"/>
        <v>257.58799999999997</v>
      </c>
      <c r="AM388" s="327">
        <f t="shared" si="1034"/>
        <v>899.37300000000005</v>
      </c>
      <c r="AN388" s="335">
        <f t="shared" ref="AN388:AV388" si="1035">AN14</f>
        <v>213.66499999999999</v>
      </c>
      <c r="AO388" s="336">
        <f t="shared" si="1035"/>
        <v>170.636</v>
      </c>
      <c r="AP388" s="336">
        <f t="shared" si="1035"/>
        <v>236.05</v>
      </c>
      <c r="AQ388" s="337">
        <f t="shared" si="1035"/>
        <v>294.29100000000005</v>
      </c>
      <c r="AR388" s="327">
        <f t="shared" si="1035"/>
        <v>914.64200000000005</v>
      </c>
      <c r="AS388" s="335">
        <f t="shared" ref="AS388" si="1036">AS14</f>
        <v>295.10199999999998</v>
      </c>
      <c r="AT388" s="336">
        <f t="shared" si="1035"/>
        <v>204.404</v>
      </c>
      <c r="AU388" s="336">
        <f t="shared" ref="AU388" si="1037">AU14</f>
        <v>198.96100000000001</v>
      </c>
      <c r="AV388" s="337">
        <f t="shared" si="1035"/>
        <v>230.09699999999998</v>
      </c>
      <c r="AW388" s="327">
        <f>SUM(AS388:AV388)</f>
        <v>928.56399999999996</v>
      </c>
      <c r="AX388" s="335">
        <f>SUM(AX389:AX391)</f>
        <v>182.96776974334168</v>
      </c>
      <c r="AY388" s="336">
        <f>SUM(AY389:AY391)</f>
        <v>182.96776974334168</v>
      </c>
      <c r="AZ388" s="336">
        <f>SUM(AZ389:AZ391)</f>
        <v>182.96776974334168</v>
      </c>
      <c r="BA388" s="337">
        <f>SUM(BA389:BA391)</f>
        <v>182.96776974334168</v>
      </c>
      <c r="BB388" s="327">
        <f>SUM(AX388:BA388)</f>
        <v>731.87107897336671</v>
      </c>
      <c r="BC388" s="335">
        <f>SUM(BC389:BC391)</f>
        <v>164.45940619162812</v>
      </c>
      <c r="BD388" s="336">
        <f>SUM(BD389:BD391)</f>
        <v>164.45940619162812</v>
      </c>
      <c r="BE388" s="336">
        <f>SUM(BE389:BE391)</f>
        <v>164.45940619162812</v>
      </c>
      <c r="BF388" s="337">
        <f>SUM(BF389:BF391)</f>
        <v>164.45940619162812</v>
      </c>
      <c r="BG388" s="327">
        <f>SUM(BC388:BF388)</f>
        <v>657.83762476651248</v>
      </c>
      <c r="BH388" s="335">
        <f>SUM(BH389:BH391)</f>
        <v>125.46441249122174</v>
      </c>
      <c r="BI388" s="336">
        <f>SUM(BI389:BI391)</f>
        <v>125.46441249122174</v>
      </c>
      <c r="BJ388" s="336">
        <f>SUM(BJ389:BJ391)</f>
        <v>125.46441249122174</v>
      </c>
      <c r="BK388" s="337">
        <f>SUM(BK389:BK391)</f>
        <v>125.46441249122174</v>
      </c>
      <c r="BL388" s="327">
        <f>SUM(BH388:BK388)</f>
        <v>501.85764996488695</v>
      </c>
      <c r="BM388" s="335">
        <f>SUM(BM389:BM391)</f>
        <v>86.816189422295011</v>
      </c>
      <c r="BN388" s="336">
        <f>SUM(BN389:BN391)</f>
        <v>86.816189422295011</v>
      </c>
      <c r="BO388" s="336">
        <f>SUM(BO389:BO391)</f>
        <v>86.816189422295011</v>
      </c>
      <c r="BP388" s="337">
        <f>SUM(BP389:BP391)</f>
        <v>86.816189422295011</v>
      </c>
      <c r="BQ388" s="327">
        <f>SUM(BM388:BP388)</f>
        <v>347.26475768918004</v>
      </c>
      <c r="BR388" s="327"/>
      <c r="BS388" s="458"/>
      <c r="BT388" s="458"/>
      <c r="BU388" s="458"/>
      <c r="BV388" s="458"/>
    </row>
    <row r="389" spans="1:75">
      <c r="A389" s="320"/>
      <c r="B389" s="320"/>
      <c r="C389" s="1125" t="s">
        <v>674</v>
      </c>
      <c r="D389" s="320"/>
      <c r="E389" s="405">
        <v>8</v>
      </c>
      <c r="F389" s="406">
        <v>16</v>
      </c>
      <c r="G389" s="406">
        <v>11</v>
      </c>
      <c r="H389" s="251">
        <f>I389-SUM(E389:G389)</f>
        <v>11</v>
      </c>
      <c r="I389" s="348">
        <v>46</v>
      </c>
      <c r="J389" s="393">
        <v>32</v>
      </c>
      <c r="K389" s="190">
        <v>0</v>
      </c>
      <c r="L389" s="190">
        <f>25+12</f>
        <v>37</v>
      </c>
      <c r="M389" s="251">
        <f>N389-SUM(J389:L389)</f>
        <v>11</v>
      </c>
      <c r="N389" s="348">
        <f>64+16</f>
        <v>80</v>
      </c>
      <c r="O389" s="393">
        <v>0</v>
      </c>
      <c r="P389" s="190">
        <v>0</v>
      </c>
      <c r="Q389" s="190">
        <v>0</v>
      </c>
      <c r="R389" s="251">
        <f>S389-SUM(O389:Q389)</f>
        <v>0</v>
      </c>
      <c r="S389" s="348">
        <v>0</v>
      </c>
      <c r="T389" s="393">
        <v>0</v>
      </c>
      <c r="U389" s="190">
        <v>0</v>
      </c>
      <c r="V389" s="190">
        <v>0</v>
      </c>
      <c r="W389" s="251">
        <f>X389-SUM(T389:V389)</f>
        <v>0</v>
      </c>
      <c r="X389" s="348">
        <v>0</v>
      </c>
      <c r="Y389" s="393">
        <v>0</v>
      </c>
      <c r="Z389" s="190">
        <v>0</v>
      </c>
      <c r="AA389" s="190">
        <v>0</v>
      </c>
      <c r="AB389" s="251">
        <f>AC389-SUM(Y389:AA389)</f>
        <v>0</v>
      </c>
      <c r="AC389" s="348">
        <v>0</v>
      </c>
      <c r="AD389" s="393">
        <v>0</v>
      </c>
      <c r="AE389" s="190">
        <v>0</v>
      </c>
      <c r="AF389" s="190">
        <v>0</v>
      </c>
      <c r="AG389" s="251">
        <f>AH389-SUM(AD389:AF389)</f>
        <v>0</v>
      </c>
      <c r="AH389" s="348">
        <v>0</v>
      </c>
      <c r="AI389" s="393">
        <v>0</v>
      </c>
      <c r="AJ389" s="190">
        <v>0</v>
      </c>
      <c r="AK389" s="190">
        <v>0</v>
      </c>
      <c r="AL389" s="251">
        <f>AM389-SUM(AI389:AK389)</f>
        <v>0</v>
      </c>
      <c r="AM389" s="348">
        <v>0</v>
      </c>
      <c r="AN389" s="393">
        <v>11.5</v>
      </c>
      <c r="AO389" s="190">
        <v>-22.7</v>
      </c>
      <c r="AP389" s="190">
        <v>-29.3</v>
      </c>
      <c r="AQ389" s="251">
        <f>AR389-SUM(AN389:AP389)</f>
        <v>-35.099999999999994</v>
      </c>
      <c r="AR389" s="348">
        <v>-75.599999999999994</v>
      </c>
      <c r="AS389" s="393">
        <v>-120.3</v>
      </c>
      <c r="AT389" s="190">
        <v>-37.1</v>
      </c>
      <c r="AU389" s="190">
        <v>-21.6</v>
      </c>
      <c r="AV389" s="251">
        <f>AW389-SUM(AS389:AU389)</f>
        <v>-22.300000000000011</v>
      </c>
      <c r="AW389" s="348">
        <v>-201.3</v>
      </c>
      <c r="AX389" s="183">
        <v>0</v>
      </c>
      <c r="AY389" s="184">
        <v>0</v>
      </c>
      <c r="AZ389" s="184">
        <v>0</v>
      </c>
      <c r="BA389" s="185">
        <v>0</v>
      </c>
      <c r="BB389" s="107">
        <f>SUM(AX389:BA389)</f>
        <v>0</v>
      </c>
      <c r="BC389" s="183">
        <v>0</v>
      </c>
      <c r="BD389" s="184">
        <v>0</v>
      </c>
      <c r="BE389" s="184">
        <v>0</v>
      </c>
      <c r="BF389" s="185">
        <v>0</v>
      </c>
      <c r="BG389" s="107">
        <f>SUM(BC389:BF389)</f>
        <v>0</v>
      </c>
      <c r="BH389" s="183">
        <v>0</v>
      </c>
      <c r="BI389" s="184">
        <v>0</v>
      </c>
      <c r="BJ389" s="184">
        <v>0</v>
      </c>
      <c r="BK389" s="185">
        <v>0</v>
      </c>
      <c r="BL389" s="107">
        <f>SUM(BH389:BK389)</f>
        <v>0</v>
      </c>
      <c r="BM389" s="183">
        <v>0</v>
      </c>
      <c r="BN389" s="184">
        <v>0</v>
      </c>
      <c r="BO389" s="184">
        <v>0</v>
      </c>
      <c r="BP389" s="185">
        <v>0</v>
      </c>
      <c r="BQ389" s="107">
        <f>SUM(BM389:BP389)</f>
        <v>0</v>
      </c>
      <c r="BR389" s="107"/>
      <c r="BS389" s="1496"/>
      <c r="BT389" s="1496"/>
      <c r="BU389" s="1496"/>
      <c r="BV389" s="1496"/>
    </row>
    <row r="390" spans="1:75">
      <c r="A390" s="320"/>
      <c r="B390" s="320"/>
      <c r="C390" s="1125" t="s">
        <v>453</v>
      </c>
      <c r="D390" s="320"/>
      <c r="E390" s="405"/>
      <c r="F390" s="406"/>
      <c r="G390" s="406"/>
      <c r="H390" s="251"/>
      <c r="I390" s="348"/>
      <c r="J390" s="393"/>
      <c r="K390" s="190"/>
      <c r="L390" s="190"/>
      <c r="M390" s="251"/>
      <c r="N390" s="348"/>
      <c r="O390" s="393"/>
      <c r="P390" s="190"/>
      <c r="Q390" s="190"/>
      <c r="R390" s="251"/>
      <c r="S390" s="348"/>
      <c r="T390" s="393"/>
      <c r="U390" s="190"/>
      <c r="V390" s="190"/>
      <c r="W390" s="251"/>
      <c r="X390" s="348"/>
      <c r="Y390" s="393"/>
      <c r="Z390" s="190"/>
      <c r="AA390" s="190"/>
      <c r="AB390" s="251"/>
      <c r="AC390" s="348"/>
      <c r="AD390" s="393"/>
      <c r="AE390" s="190"/>
      <c r="AF390" s="190"/>
      <c r="AG390" s="251"/>
      <c r="AH390" s="348"/>
      <c r="AI390" s="393"/>
      <c r="AJ390" s="190"/>
      <c r="AK390" s="190"/>
      <c r="AL390" s="251"/>
      <c r="AM390" s="348"/>
      <c r="AN390" s="393"/>
      <c r="AO390" s="190"/>
      <c r="AP390" s="190"/>
      <c r="AQ390" s="251"/>
      <c r="AR390" s="348"/>
      <c r="AS390" s="393"/>
      <c r="AT390" s="184"/>
      <c r="AU390" s="184">
        <v>0</v>
      </c>
      <c r="AV390" s="185">
        <v>0</v>
      </c>
      <c r="AW390" s="107">
        <f>SUM(AS390:AV390)</f>
        <v>0</v>
      </c>
      <c r="AX390" s="183">
        <v>0</v>
      </c>
      <c r="AY390" s="184">
        <v>0</v>
      </c>
      <c r="AZ390" s="184">
        <v>0</v>
      </c>
      <c r="BA390" s="185">
        <v>0</v>
      </c>
      <c r="BB390" s="107">
        <f>SUM(AX390:BA390)</f>
        <v>0</v>
      </c>
      <c r="BC390" s="183">
        <v>0</v>
      </c>
      <c r="BD390" s="184">
        <v>0</v>
      </c>
      <c r="BE390" s="184">
        <v>0</v>
      </c>
      <c r="BF390" s="185">
        <v>0</v>
      </c>
      <c r="BG390" s="107">
        <f>SUM(BC390:BF390)</f>
        <v>0</v>
      </c>
      <c r="BH390" s="183">
        <v>0</v>
      </c>
      <c r="BI390" s="184">
        <v>0</v>
      </c>
      <c r="BJ390" s="184">
        <v>0</v>
      </c>
      <c r="BK390" s="185">
        <v>0</v>
      </c>
      <c r="BL390" s="107">
        <f>SUM(BH390:BK390)</f>
        <v>0</v>
      </c>
      <c r="BM390" s="183">
        <v>0</v>
      </c>
      <c r="BN390" s="184">
        <v>0</v>
      </c>
      <c r="BO390" s="184">
        <v>0</v>
      </c>
      <c r="BP390" s="185">
        <v>0</v>
      </c>
      <c r="BQ390" s="107">
        <f>SUM(BM390:BP390)</f>
        <v>0</v>
      </c>
      <c r="BR390" s="107"/>
      <c r="BS390" s="1496"/>
      <c r="BT390" s="1496"/>
      <c r="BU390" s="1496"/>
      <c r="BV390" s="1496"/>
    </row>
    <row r="391" spans="1:75" s="103" customFormat="1">
      <c r="A391" s="331"/>
      <c r="B391" s="44"/>
      <c r="C391" s="1159" t="s">
        <v>675</v>
      </c>
      <c r="D391" s="44"/>
      <c r="E391" s="332">
        <f t="shared" ref="E391:N391" si="1038">E388-E389</f>
        <v>191.96</v>
      </c>
      <c r="F391" s="333">
        <f t="shared" si="1038"/>
        <v>187.60400000000001</v>
      </c>
      <c r="G391" s="333">
        <f t="shared" si="1038"/>
        <v>200.68299999999999</v>
      </c>
      <c r="H391" s="334">
        <f t="shared" si="1038"/>
        <v>296.03599999999994</v>
      </c>
      <c r="I391" s="331">
        <f t="shared" si="1038"/>
        <v>876.28300000000002</v>
      </c>
      <c r="J391" s="332">
        <f t="shared" si="1038"/>
        <v>227.697</v>
      </c>
      <c r="K391" s="333">
        <f t="shared" si="1038"/>
        <v>250.648</v>
      </c>
      <c r="L391" s="333">
        <f t="shared" si="1038"/>
        <v>262.399</v>
      </c>
      <c r="M391" s="334">
        <f t="shared" si="1038"/>
        <v>226.29699999999991</v>
      </c>
      <c r="N391" s="331">
        <f t="shared" si="1038"/>
        <v>967.04099999999994</v>
      </c>
      <c r="O391" s="332">
        <f t="shared" ref="O391:U391" si="1039">O388-O389</f>
        <v>209.143</v>
      </c>
      <c r="P391" s="333">
        <f t="shared" si="1039"/>
        <v>231.351</v>
      </c>
      <c r="Q391" s="333">
        <f t="shared" si="1039"/>
        <v>228.88800000000001</v>
      </c>
      <c r="R391" s="334">
        <f t="shared" si="1039"/>
        <v>236.07099999999991</v>
      </c>
      <c r="S391" s="331">
        <f t="shared" si="1039"/>
        <v>905.45299999999997</v>
      </c>
      <c r="T391" s="332">
        <f t="shared" si="1039"/>
        <v>232.74100000000001</v>
      </c>
      <c r="U391" s="333">
        <f t="shared" si="1039"/>
        <v>248.18299999999999</v>
      </c>
      <c r="V391" s="333">
        <f t="shared" ref="V391:AA391" si="1040">V388-V389</f>
        <v>244.947</v>
      </c>
      <c r="W391" s="334">
        <f t="shared" si="1040"/>
        <v>231.96800000000007</v>
      </c>
      <c r="X391" s="331">
        <f t="shared" si="1040"/>
        <v>957.83900000000006</v>
      </c>
      <c r="Y391" s="332">
        <f t="shared" si="1040"/>
        <v>231.35900000000001</v>
      </c>
      <c r="Z391" s="333">
        <f t="shared" si="1040"/>
        <v>252.101</v>
      </c>
      <c r="AA391" s="333">
        <f t="shared" si="1040"/>
        <v>264.13799999999998</v>
      </c>
      <c r="AB391" s="334">
        <f>AB388-AB389</f>
        <v>300.46299999999997</v>
      </c>
      <c r="AC391" s="331">
        <f>AC388-AC389</f>
        <v>1048.0609999999999</v>
      </c>
      <c r="AD391" s="332">
        <f>AD388-AD389</f>
        <v>234.89599999999999</v>
      </c>
      <c r="AE391" s="333">
        <f>AE388-AE389</f>
        <v>261.13799999999998</v>
      </c>
      <c r="AF391" s="333">
        <f t="shared" ref="AF391" si="1041">AF388-AF389</f>
        <v>254.48699999999999</v>
      </c>
      <c r="AG391" s="334">
        <f>AG388-AG389</f>
        <v>272.49700000000007</v>
      </c>
      <c r="AH391" s="331">
        <f>AH388-AH389</f>
        <v>1023.018</v>
      </c>
      <c r="AI391" s="332">
        <f>AI388-AI389</f>
        <v>212.33</v>
      </c>
      <c r="AJ391" s="333">
        <f>AJ388-AJ389</f>
        <v>212.28200000000001</v>
      </c>
      <c r="AK391" s="333">
        <f t="shared" ref="AK391" si="1042">AK388-AK389</f>
        <v>217.173</v>
      </c>
      <c r="AL391" s="334">
        <f t="shared" ref="AL391:AR391" si="1043">AL388-AL389</f>
        <v>257.58799999999997</v>
      </c>
      <c r="AM391" s="331">
        <f t="shared" si="1043"/>
        <v>899.37300000000005</v>
      </c>
      <c r="AN391" s="332">
        <f t="shared" si="1043"/>
        <v>202.16499999999999</v>
      </c>
      <c r="AO391" s="333">
        <f t="shared" si="1043"/>
        <v>193.33599999999998</v>
      </c>
      <c r="AP391" s="333">
        <f t="shared" si="1043"/>
        <v>265.35000000000002</v>
      </c>
      <c r="AQ391" s="334">
        <f t="shared" si="1043"/>
        <v>329.39100000000008</v>
      </c>
      <c r="AR391" s="331">
        <f t="shared" si="1043"/>
        <v>990.24200000000008</v>
      </c>
      <c r="AS391" s="332">
        <f t="shared" ref="AS391:AT391" si="1044">AS388-AS389</f>
        <v>415.40199999999999</v>
      </c>
      <c r="AT391" s="333">
        <f t="shared" si="1044"/>
        <v>241.50399999999999</v>
      </c>
      <c r="AU391" s="333">
        <f t="shared" ref="AU391:AW391" si="1045">AU388-AU389</f>
        <v>220.56100000000001</v>
      </c>
      <c r="AV391" s="334">
        <f t="shared" si="1045"/>
        <v>252.39699999999999</v>
      </c>
      <c r="AW391" s="331">
        <f t="shared" si="1045"/>
        <v>1129.864</v>
      </c>
      <c r="AX391" s="332">
        <f>BB391/4</f>
        <v>182.96776974334168</v>
      </c>
      <c r="AY391" s="333">
        <f>AX391</f>
        <v>182.96776974334168</v>
      </c>
      <c r="AZ391" s="333">
        <f>AY391</f>
        <v>182.96776974334168</v>
      </c>
      <c r="BA391" s="334">
        <f>AZ391</f>
        <v>182.96776974334168</v>
      </c>
      <c r="BB391" s="1679">
        <f>745-BB382</f>
        <v>731.87107897336671</v>
      </c>
      <c r="BC391" s="332">
        <f>BG391/4</f>
        <v>164.45940619162812</v>
      </c>
      <c r="BD391" s="333">
        <f>BC391</f>
        <v>164.45940619162812</v>
      </c>
      <c r="BE391" s="333">
        <f>BD391</f>
        <v>164.45940619162812</v>
      </c>
      <c r="BF391" s="334">
        <f>BE391</f>
        <v>164.45940619162812</v>
      </c>
      <c r="BG391" s="1679">
        <f>670-BG382</f>
        <v>657.83762476651248</v>
      </c>
      <c r="BH391" s="332">
        <f>BL391/4</f>
        <v>125.46441249122174</v>
      </c>
      <c r="BI391" s="333">
        <f>BH391</f>
        <v>125.46441249122174</v>
      </c>
      <c r="BJ391" s="333">
        <f>BI391</f>
        <v>125.46441249122174</v>
      </c>
      <c r="BK391" s="334">
        <f>BJ391</f>
        <v>125.46441249122174</v>
      </c>
      <c r="BL391" s="1679">
        <f>510-BL382</f>
        <v>501.85764996488695</v>
      </c>
      <c r="BM391" s="332">
        <f>BQ391/4</f>
        <v>86.816189422295011</v>
      </c>
      <c r="BN391" s="333">
        <f>BM391</f>
        <v>86.816189422295011</v>
      </c>
      <c r="BO391" s="333">
        <f>BN391</f>
        <v>86.816189422295011</v>
      </c>
      <c r="BP391" s="334">
        <f>BO391</f>
        <v>86.816189422295011</v>
      </c>
      <c r="BQ391" s="1679">
        <f>350-BQ382</f>
        <v>347.26475768918004</v>
      </c>
      <c r="BR391" s="331"/>
      <c r="BS391" s="465"/>
      <c r="BT391" s="1987"/>
      <c r="BU391" s="465"/>
      <c r="BV391" s="465"/>
      <c r="BW391" s="1518"/>
    </row>
    <row r="392" spans="1:75">
      <c r="A392" s="370"/>
      <c r="B392" s="370"/>
      <c r="C392" s="1160" t="s">
        <v>676</v>
      </c>
      <c r="D392" s="370"/>
      <c r="E392" s="373"/>
      <c r="F392" s="371"/>
      <c r="G392" s="371"/>
      <c r="H392" s="372"/>
      <c r="I392" s="370"/>
      <c r="J392" s="373">
        <f t="shared" ref="J392:S392" si="1046">J391/E391-1</f>
        <v>0.18616899354032079</v>
      </c>
      <c r="K392" s="371">
        <f t="shared" si="1046"/>
        <v>0.33604827189185715</v>
      </c>
      <c r="L392" s="371">
        <f t="shared" si="1046"/>
        <v>0.30752978578155599</v>
      </c>
      <c r="M392" s="372">
        <f t="shared" si="1046"/>
        <v>-0.23557607858503715</v>
      </c>
      <c r="N392" s="370">
        <f t="shared" si="1046"/>
        <v>0.10357156306809556</v>
      </c>
      <c r="O392" s="373">
        <f t="shared" si="1046"/>
        <v>-8.1485482900521267E-2</v>
      </c>
      <c r="P392" s="371">
        <f t="shared" si="1046"/>
        <v>-7.6988445948102502E-2</v>
      </c>
      <c r="Q392" s="371">
        <f t="shared" si="1046"/>
        <v>-0.12771009035857606</v>
      </c>
      <c r="R392" s="372">
        <f t="shared" si="1046"/>
        <v>4.319102772020833E-2</v>
      </c>
      <c r="S392" s="370">
        <f t="shared" si="1046"/>
        <v>-6.3687061872247375E-2</v>
      </c>
      <c r="T392" s="373">
        <f t="shared" ref="T392:AA392" si="1047">T391/O391-1</f>
        <v>0.11283189014215167</v>
      </c>
      <c r="U392" s="371">
        <f t="shared" si="1047"/>
        <v>7.2755250679703121E-2</v>
      </c>
      <c r="V392" s="371">
        <f t="shared" si="1047"/>
        <v>7.01609520813673E-2</v>
      </c>
      <c r="W392" s="372">
        <f t="shared" si="1047"/>
        <v>-1.7380364381901381E-2</v>
      </c>
      <c r="X392" s="370">
        <f t="shared" si="1047"/>
        <v>5.7856122846796199E-2</v>
      </c>
      <c r="Y392" s="373">
        <f t="shared" si="1047"/>
        <v>-5.9379310048509604E-3</v>
      </c>
      <c r="Z392" s="371">
        <f t="shared" si="1047"/>
        <v>1.578673801187036E-2</v>
      </c>
      <c r="AA392" s="371">
        <f t="shared" si="1047"/>
        <v>7.8347560900929425E-2</v>
      </c>
      <c r="AB392" s="372">
        <f>AB391/W391-1</f>
        <v>0.295277796937508</v>
      </c>
      <c r="AC392" s="370">
        <f>AC391/X391-1</f>
        <v>9.4193283004763595E-2</v>
      </c>
      <c r="AD392" s="373">
        <f>AD391/Y391-1</f>
        <v>1.5287929149071289E-2</v>
      </c>
      <c r="AE392" s="371">
        <f>AE391/Z391-1</f>
        <v>3.5846743963728667E-2</v>
      </c>
      <c r="AF392" s="371">
        <f t="shared" ref="AF392" si="1048">AF391/AA391-1</f>
        <v>-3.6537718919655515E-2</v>
      </c>
      <c r="AG392" s="372">
        <f>AG391/AB391-1</f>
        <v>-9.3076352163161236E-2</v>
      </c>
      <c r="AH392" s="370">
        <f>AH391/AC391-1</f>
        <v>-2.3894601554680373E-2</v>
      </c>
      <c r="AI392" s="373">
        <f>AI391/AD391-1</f>
        <v>-9.6068047135753565E-2</v>
      </c>
      <c r="AJ392" s="371">
        <f>AJ391/AE391-1</f>
        <v>-0.18708881893864537</v>
      </c>
      <c r="AK392" s="371">
        <f t="shared" ref="AK392" si="1049">AK391/AF391-1</f>
        <v>-0.14662438552853385</v>
      </c>
      <c r="AL392" s="372">
        <f t="shared" ref="AL392:AT392" si="1050">AL391/AG391-1</f>
        <v>-5.471252894527312E-2</v>
      </c>
      <c r="AM392" s="370">
        <f t="shared" si="1050"/>
        <v>-0.12086297601801721</v>
      </c>
      <c r="AN392" s="373">
        <f t="shared" si="1050"/>
        <v>-4.7873592992040748E-2</v>
      </c>
      <c r="AO392" s="371">
        <f t="shared" si="1050"/>
        <v>-8.9249206244523926E-2</v>
      </c>
      <c r="AP392" s="371">
        <f t="shared" si="1050"/>
        <v>0.22183696868395253</v>
      </c>
      <c r="AQ392" s="372">
        <f t="shared" si="1050"/>
        <v>0.2787513393481067</v>
      </c>
      <c r="AR392" s="370">
        <f t="shared" si="1050"/>
        <v>0.10103594392982673</v>
      </c>
      <c r="AS392" s="373">
        <f t="shared" si="1050"/>
        <v>1.0547671456483565</v>
      </c>
      <c r="AT392" s="371">
        <f t="shared" si="1050"/>
        <v>0.24914139115322542</v>
      </c>
      <c r="AU392" s="371">
        <f t="shared" ref="AU392" si="1051">AU391/AP391-1</f>
        <v>-0.16879216129640107</v>
      </c>
      <c r="AV392" s="372">
        <f t="shared" ref="AV392" si="1052">AV391/AQ391-1</f>
        <v>-0.23374652009314179</v>
      </c>
      <c r="AW392" s="370">
        <f t="shared" ref="AW392" si="1053">AW391/AR391-1</f>
        <v>0.14099785708947898</v>
      </c>
      <c r="AX392" s="373">
        <f t="shared" ref="AX392" si="1054">AX391/AS391-1</f>
        <v>-0.55954046985006889</v>
      </c>
      <c r="AY392" s="371">
        <f t="shared" ref="AY392" si="1055">AY391/AT391-1</f>
        <v>-0.24238203200219588</v>
      </c>
      <c r="AZ392" s="371">
        <f t="shared" ref="AZ392" si="1056">AZ391/AU391-1</f>
        <v>-0.17044368794418929</v>
      </c>
      <c r="BA392" s="372">
        <f t="shared" ref="BA392" si="1057">BA391/AV391-1</f>
        <v>-0.27507945917209131</v>
      </c>
      <c r="BB392" s="370">
        <f t="shared" ref="BB392" si="1058">BB391/AW391-1</f>
        <v>-0.3522485193143895</v>
      </c>
      <c r="BC392" s="373">
        <f t="shared" ref="BC392" si="1059">BC391/AX391-1</f>
        <v>-0.10115641447494383</v>
      </c>
      <c r="BD392" s="371">
        <f t="shared" ref="BD392" si="1060">BD391/AY391-1</f>
        <v>-0.10115641447494383</v>
      </c>
      <c r="BE392" s="371">
        <f t="shared" ref="BE392" si="1061">BE391/AZ391-1</f>
        <v>-0.10115641447494383</v>
      </c>
      <c r="BF392" s="372">
        <f t="shared" ref="BF392" si="1062">BF391/BA391-1</f>
        <v>-0.10115641447494383</v>
      </c>
      <c r="BG392" s="370">
        <f t="shared" ref="BG392" si="1063">BG391/BB391-1</f>
        <v>-0.10115641447494383</v>
      </c>
      <c r="BH392" s="373">
        <f t="shared" ref="BH392" si="1064">BH391/BC391-1</f>
        <v>-0.23711014531433616</v>
      </c>
      <c r="BI392" s="371">
        <f t="shared" ref="BI392" si="1065">BI391/BD391-1</f>
        <v>-0.23711014531433616</v>
      </c>
      <c r="BJ392" s="371">
        <f t="shared" ref="BJ392" si="1066">BJ391/BE391-1</f>
        <v>-0.23711014531433616</v>
      </c>
      <c r="BK392" s="372">
        <f t="shared" ref="BK392" si="1067">BK391/BF391-1</f>
        <v>-0.23711014531433616</v>
      </c>
      <c r="BL392" s="370">
        <f t="shared" ref="BL392" si="1068">BL391/BG391-1</f>
        <v>-0.23711014531433616</v>
      </c>
      <c r="BM392" s="373">
        <f t="shared" ref="BM392" si="1069">BM391/BH391-1</f>
        <v>-0.30804131866182205</v>
      </c>
      <c r="BN392" s="371">
        <f t="shared" ref="BN392" si="1070">BN391/BI391-1</f>
        <v>-0.30804131866182205</v>
      </c>
      <c r="BO392" s="371">
        <f t="shared" ref="BO392" si="1071">BO391/BJ391-1</f>
        <v>-0.30804131866182205</v>
      </c>
      <c r="BP392" s="372">
        <f t="shared" ref="BP392" si="1072">BP391/BK391-1</f>
        <v>-0.30804131866182205</v>
      </c>
      <c r="BQ392" s="370">
        <f t="shared" ref="BQ392" si="1073">BQ391/BL391-1</f>
        <v>-0.30804131866182205</v>
      </c>
      <c r="BR392" s="1046"/>
      <c r="BS392" s="1553"/>
      <c r="BT392" s="1497"/>
      <c r="BU392" s="1497"/>
      <c r="BV392" s="1497"/>
    </row>
    <row r="393" spans="1:75">
      <c r="A393" s="320"/>
      <c r="B393" s="420"/>
      <c r="C393" s="1159"/>
      <c r="D393" s="420"/>
      <c r="E393" s="324"/>
      <c r="F393" s="325"/>
      <c r="G393" s="325"/>
      <c r="H393" s="326"/>
      <c r="I393" s="320"/>
      <c r="J393" s="324"/>
      <c r="K393" s="325"/>
      <c r="L393" s="325"/>
      <c r="M393" s="326"/>
      <c r="N393" s="320"/>
      <c r="O393" s="324"/>
      <c r="P393" s="325"/>
      <c r="Q393" s="325"/>
      <c r="R393" s="326"/>
      <c r="S393" s="320"/>
      <c r="T393" s="324"/>
      <c r="U393" s="325"/>
      <c r="V393" s="325"/>
      <c r="W393" s="326"/>
      <c r="X393" s="320"/>
      <c r="Y393" s="324"/>
      <c r="Z393" s="325"/>
      <c r="AA393" s="325"/>
      <c r="AB393" s="326"/>
      <c r="AC393" s="320"/>
      <c r="AD393" s="324"/>
      <c r="AE393" s="325"/>
      <c r="AF393" s="325"/>
      <c r="AG393" s="326"/>
      <c r="AH393" s="320"/>
      <c r="AI393" s="324"/>
      <c r="AJ393" s="325"/>
      <c r="AK393" s="325"/>
      <c r="AL393" s="326"/>
      <c r="AM393" s="320"/>
      <c r="AN393" s="324"/>
      <c r="AO393" s="325"/>
      <c r="AP393" s="325"/>
      <c r="AQ393" s="326"/>
      <c r="AR393" s="320"/>
      <c r="AS393" s="324"/>
      <c r="AT393" s="325"/>
      <c r="AU393" s="325"/>
      <c r="AV393" s="326"/>
      <c r="AW393" s="320"/>
      <c r="AX393" s="324"/>
      <c r="AY393" s="325"/>
      <c r="AZ393" s="325"/>
      <c r="BA393" s="326"/>
      <c r="BB393" s="320"/>
      <c r="BC393" s="324"/>
      <c r="BD393" s="325"/>
      <c r="BE393" s="325"/>
      <c r="BF393" s="326"/>
      <c r="BG393" s="320"/>
      <c r="BH393" s="324"/>
      <c r="BI393" s="325"/>
      <c r="BJ393" s="325"/>
      <c r="BK393" s="326"/>
      <c r="BL393" s="320"/>
      <c r="BM393" s="324"/>
      <c r="BN393" s="325"/>
      <c r="BO393" s="325"/>
      <c r="BP393" s="326"/>
      <c r="BQ393" s="320"/>
      <c r="BR393" s="320"/>
      <c r="BS393" s="1530"/>
      <c r="BT393" s="1530"/>
      <c r="BU393" s="1530"/>
      <c r="BV393" s="1530"/>
    </row>
    <row r="394" spans="1:75">
      <c r="A394" s="327"/>
      <c r="B394" s="110"/>
      <c r="C394" s="1128" t="s">
        <v>170</v>
      </c>
      <c r="D394" s="110"/>
      <c r="E394" s="335">
        <f t="shared" ref="E394:W394" si="1074">+E15</f>
        <v>23.686</v>
      </c>
      <c r="F394" s="336">
        <f t="shared" si="1074"/>
        <v>24.75</v>
      </c>
      <c r="G394" s="336">
        <f t="shared" si="1074"/>
        <v>25.210999999999999</v>
      </c>
      <c r="H394" s="337">
        <f t="shared" si="1074"/>
        <v>25.733000000000004</v>
      </c>
      <c r="I394" s="327">
        <f t="shared" si="1074"/>
        <v>99.38</v>
      </c>
      <c r="J394" s="335">
        <f t="shared" si="1074"/>
        <v>26.155000000000001</v>
      </c>
      <c r="K394" s="336">
        <f t="shared" si="1074"/>
        <v>26.623000000000001</v>
      </c>
      <c r="L394" s="336">
        <f t="shared" si="1074"/>
        <v>27.103000000000002</v>
      </c>
      <c r="M394" s="337">
        <f t="shared" si="1074"/>
        <v>27.596999999999994</v>
      </c>
      <c r="N394" s="327">
        <f t="shared" si="1074"/>
        <v>107.47799999999999</v>
      </c>
      <c r="O394" s="335">
        <f t="shared" si="1074"/>
        <v>28.103000000000002</v>
      </c>
      <c r="P394" s="336">
        <f t="shared" si="1074"/>
        <v>28.617999999999999</v>
      </c>
      <c r="Q394" s="336">
        <f t="shared" si="1074"/>
        <v>29.14</v>
      </c>
      <c r="R394" s="337">
        <f t="shared" si="1074"/>
        <v>-4.4110000000000014</v>
      </c>
      <c r="S394" s="327">
        <f t="shared" si="1074"/>
        <v>81.45</v>
      </c>
      <c r="T394" s="335">
        <f t="shared" si="1074"/>
        <v>29.672000000000001</v>
      </c>
      <c r="U394" s="336">
        <f t="shared" si="1074"/>
        <v>-16.745999999999999</v>
      </c>
      <c r="V394" s="336">
        <f t="shared" si="1074"/>
        <v>29.138999999999999</v>
      </c>
      <c r="W394" s="337">
        <f t="shared" si="1074"/>
        <v>30.031000000000006</v>
      </c>
      <c r="X394" s="327">
        <f t="shared" ref="X394:AD394" si="1075">+X15</f>
        <v>72.096000000000004</v>
      </c>
      <c r="Y394" s="335">
        <f t="shared" si="1075"/>
        <v>30.577000000000002</v>
      </c>
      <c r="Z394" s="336">
        <f t="shared" si="1075"/>
        <v>30.416</v>
      </c>
      <c r="AA394" s="336">
        <f t="shared" si="1075"/>
        <v>31.422000000000001</v>
      </c>
      <c r="AB394" s="337">
        <f t="shared" si="1075"/>
        <v>32.876999999999995</v>
      </c>
      <c r="AC394" s="327">
        <f t="shared" si="1075"/>
        <v>125.292</v>
      </c>
      <c r="AD394" s="335">
        <f t="shared" si="1075"/>
        <v>34.055999999999997</v>
      </c>
      <c r="AE394" s="336">
        <f>+AE15</f>
        <v>34.649000000000001</v>
      </c>
      <c r="AF394" s="336">
        <f t="shared" ref="AF394:AI394" si="1076">+AF15</f>
        <v>35.24</v>
      </c>
      <c r="AG394" s="337">
        <f t="shared" si="1076"/>
        <v>37.566000000000003</v>
      </c>
      <c r="AH394" s="327">
        <f t="shared" si="1076"/>
        <v>141.511</v>
      </c>
      <c r="AI394" s="335">
        <f t="shared" si="1076"/>
        <v>35.037999999999997</v>
      </c>
      <c r="AJ394" s="336">
        <f>+AJ15</f>
        <v>33.444000000000003</v>
      </c>
      <c r="AK394" s="336">
        <f t="shared" ref="AK394:AN394" si="1077">+AK15</f>
        <v>32.909999999999997</v>
      </c>
      <c r="AL394" s="337">
        <f t="shared" si="1077"/>
        <v>36.135999999999996</v>
      </c>
      <c r="AM394" s="327">
        <f t="shared" si="1077"/>
        <v>137.52799999999999</v>
      </c>
      <c r="AN394" s="335">
        <f t="shared" si="1077"/>
        <v>31.385000000000002</v>
      </c>
      <c r="AO394" s="336">
        <f>+AO15</f>
        <v>38.823</v>
      </c>
      <c r="AP394" s="336">
        <f>+AP15</f>
        <v>46.896000000000001</v>
      </c>
      <c r="AQ394" s="337">
        <f t="shared" ref="AQ394:AS394" si="1078">+AQ15</f>
        <v>57.965999999999994</v>
      </c>
      <c r="AR394" s="327">
        <f t="shared" si="1078"/>
        <v>175.07</v>
      </c>
      <c r="AS394" s="335">
        <f t="shared" si="1078"/>
        <v>74.864000000000004</v>
      </c>
      <c r="AT394" s="336">
        <f>+AT15</f>
        <v>60.191000000000003</v>
      </c>
      <c r="AU394" s="336">
        <f t="shared" ref="AU394:AW394" si="1079">+AU15</f>
        <v>60.07</v>
      </c>
      <c r="AV394" s="337">
        <f t="shared" si="1079"/>
        <v>59.832999999999998</v>
      </c>
      <c r="AW394" s="327">
        <f t="shared" si="1079"/>
        <v>254.958</v>
      </c>
      <c r="AX394" s="335">
        <f>SUM(AX395:AX397)</f>
        <v>69.157357499999932</v>
      </c>
      <c r="AY394" s="336">
        <f>SUM(AY395:AY397)</f>
        <v>69.157357499999932</v>
      </c>
      <c r="AZ394" s="336">
        <f>SUM(AZ395:AZ397)</f>
        <v>69.157357499999932</v>
      </c>
      <c r="BA394" s="337">
        <f>SUM(BA395:BA397)</f>
        <v>69.157357499999932</v>
      </c>
      <c r="BB394" s="327">
        <f>SUM(AX394:BA394)</f>
        <v>276.62942999999973</v>
      </c>
      <c r="BC394" s="335">
        <f>SUM(BC395:BC397)</f>
        <v>75.035732887499989</v>
      </c>
      <c r="BD394" s="336">
        <f>SUM(BD395:BD397)</f>
        <v>75.035732887499989</v>
      </c>
      <c r="BE394" s="336">
        <f>SUM(BE395:BE397)</f>
        <v>75.035732887499989</v>
      </c>
      <c r="BF394" s="337">
        <f>SUM(BF395:BF397)</f>
        <v>75.035732887499989</v>
      </c>
      <c r="BG394" s="327">
        <f>SUM(BC394:BF394)</f>
        <v>300.14293154999996</v>
      </c>
      <c r="BH394" s="335">
        <f>SUM(BH395:BH397)</f>
        <v>81.41377018293754</v>
      </c>
      <c r="BI394" s="336">
        <f>SUM(BI395:BI397)</f>
        <v>81.41377018293754</v>
      </c>
      <c r="BJ394" s="336">
        <f>SUM(BJ395:BJ397)</f>
        <v>81.41377018293754</v>
      </c>
      <c r="BK394" s="337">
        <f>SUM(BK395:BK397)</f>
        <v>81.41377018293754</v>
      </c>
      <c r="BL394" s="327">
        <f>SUM(BH394:BK394)</f>
        <v>325.65508073175016</v>
      </c>
      <c r="BM394" s="335">
        <f>SUM(BM395:BM397)</f>
        <v>88.33394064848703</v>
      </c>
      <c r="BN394" s="336">
        <f>SUM(BN395:BN397)</f>
        <v>88.33394064848703</v>
      </c>
      <c r="BO394" s="336">
        <f>SUM(BO395:BO397)</f>
        <v>88.33394064848703</v>
      </c>
      <c r="BP394" s="337">
        <f>SUM(BP395:BP397)</f>
        <v>88.33394064848703</v>
      </c>
      <c r="BQ394" s="327">
        <f>SUM(BM394:BP394)</f>
        <v>353.33576259394812</v>
      </c>
      <c r="BR394" s="327"/>
      <c r="BS394" s="458"/>
      <c r="BT394" s="458"/>
      <c r="BU394" s="458"/>
      <c r="BV394" s="458"/>
    </row>
    <row r="395" spans="1:75">
      <c r="A395" s="320"/>
      <c r="B395" s="320"/>
      <c r="C395" s="1125" t="s">
        <v>674</v>
      </c>
      <c r="D395" s="348"/>
      <c r="E395" s="393">
        <v>0</v>
      </c>
      <c r="F395" s="190">
        <v>0</v>
      </c>
      <c r="G395" s="190">
        <v>0</v>
      </c>
      <c r="H395" s="251">
        <f>I395-SUM(E395:G395)</f>
        <v>0</v>
      </c>
      <c r="I395" s="348">
        <v>0</v>
      </c>
      <c r="J395" s="393">
        <v>0</v>
      </c>
      <c r="K395" s="190">
        <v>0</v>
      </c>
      <c r="L395" s="190">
        <v>0</v>
      </c>
      <c r="M395" s="251">
        <f>N395-SUM(J395:L395)</f>
        <v>0</v>
      </c>
      <c r="N395" s="348">
        <v>0</v>
      </c>
      <c r="O395" s="393">
        <v>0</v>
      </c>
      <c r="P395" s="190">
        <v>0</v>
      </c>
      <c r="Q395" s="190">
        <v>0</v>
      </c>
      <c r="R395" s="251">
        <f>S395-SUM(O395:Q395)</f>
        <v>0</v>
      </c>
      <c r="S395" s="348">
        <v>0</v>
      </c>
      <c r="T395" s="393">
        <v>0</v>
      </c>
      <c r="U395" s="190">
        <v>0</v>
      </c>
      <c r="V395" s="190">
        <v>0</v>
      </c>
      <c r="W395" s="251">
        <f>X395-SUM(T395:V395)</f>
        <v>0</v>
      </c>
      <c r="X395" s="348">
        <v>0</v>
      </c>
      <c r="Y395" s="393">
        <v>0</v>
      </c>
      <c r="Z395" s="190">
        <v>0</v>
      </c>
      <c r="AA395" s="190">
        <v>0</v>
      </c>
      <c r="AB395" s="251">
        <f>AC395-SUM(Y395:AA395)</f>
        <v>0</v>
      </c>
      <c r="AC395" s="348">
        <v>0</v>
      </c>
      <c r="AD395" s="393">
        <v>0</v>
      </c>
      <c r="AE395" s="190">
        <v>0</v>
      </c>
      <c r="AF395" s="190">
        <v>0</v>
      </c>
      <c r="AG395" s="251">
        <f>AH395-SUM(AD395:AF395)</f>
        <v>0</v>
      </c>
      <c r="AH395" s="348">
        <v>0</v>
      </c>
      <c r="AI395" s="393">
        <v>0</v>
      </c>
      <c r="AJ395" s="190">
        <v>0</v>
      </c>
      <c r="AK395" s="190">
        <v>0</v>
      </c>
      <c r="AL395" s="251">
        <f>AM395-SUM(AI395:AK395)</f>
        <v>0</v>
      </c>
      <c r="AM395" s="348">
        <v>0</v>
      </c>
      <c r="AN395" s="393">
        <v>0</v>
      </c>
      <c r="AO395" s="190">
        <v>0</v>
      </c>
      <c r="AP395" s="190">
        <v>0</v>
      </c>
      <c r="AQ395" s="251">
        <f>AR395-SUM(AN395:AP395)</f>
        <v>0</v>
      </c>
      <c r="AR395" s="348">
        <v>0</v>
      </c>
      <c r="AS395" s="393">
        <v>0</v>
      </c>
      <c r="AT395" s="190">
        <v>0</v>
      </c>
      <c r="AU395" s="190">
        <v>0</v>
      </c>
      <c r="AV395" s="251">
        <f>AW395-SUM(AS395:AU395)</f>
        <v>0</v>
      </c>
      <c r="AW395" s="348">
        <v>0</v>
      </c>
      <c r="AX395" s="183">
        <v>0</v>
      </c>
      <c r="AY395" s="184">
        <v>0</v>
      </c>
      <c r="AZ395" s="184">
        <v>0</v>
      </c>
      <c r="BA395" s="185">
        <v>0</v>
      </c>
      <c r="BB395" s="107">
        <f>SUM(AX395:BA395)</f>
        <v>0</v>
      </c>
      <c r="BC395" s="183">
        <v>0</v>
      </c>
      <c r="BD395" s="184">
        <v>0</v>
      </c>
      <c r="BE395" s="184">
        <v>0</v>
      </c>
      <c r="BF395" s="185">
        <v>0</v>
      </c>
      <c r="BG395" s="107">
        <f>SUM(BC395:BF395)</f>
        <v>0</v>
      </c>
      <c r="BH395" s="183">
        <v>0</v>
      </c>
      <c r="BI395" s="184">
        <v>0</v>
      </c>
      <c r="BJ395" s="184">
        <v>0</v>
      </c>
      <c r="BK395" s="185">
        <v>0</v>
      </c>
      <c r="BL395" s="107">
        <f>SUM(BH395:BK395)</f>
        <v>0</v>
      </c>
      <c r="BM395" s="183">
        <v>0</v>
      </c>
      <c r="BN395" s="184">
        <v>0</v>
      </c>
      <c r="BO395" s="184">
        <v>0</v>
      </c>
      <c r="BP395" s="185">
        <v>0</v>
      </c>
      <c r="BQ395" s="107">
        <f>SUM(BM395:BP395)</f>
        <v>0</v>
      </c>
      <c r="BR395" s="107"/>
      <c r="BS395" s="1496"/>
      <c r="BT395" s="1496"/>
      <c r="BU395" s="1496"/>
      <c r="BV395" s="1496"/>
    </row>
    <row r="396" spans="1:75">
      <c r="A396" s="320"/>
      <c r="B396" s="320"/>
      <c r="C396" s="1125" t="s">
        <v>453</v>
      </c>
      <c r="D396" s="320"/>
      <c r="E396" s="405"/>
      <c r="F396" s="406"/>
      <c r="G396" s="406"/>
      <c r="H396" s="251"/>
      <c r="I396" s="348"/>
      <c r="J396" s="393"/>
      <c r="K396" s="190"/>
      <c r="L396" s="190"/>
      <c r="M396" s="251"/>
      <c r="N396" s="348"/>
      <c r="O396" s="393"/>
      <c r="P396" s="190"/>
      <c r="Q396" s="190"/>
      <c r="R396" s="251"/>
      <c r="S396" s="348"/>
      <c r="T396" s="393"/>
      <c r="U396" s="190"/>
      <c r="V396" s="190"/>
      <c r="W396" s="251"/>
      <c r="X396" s="348"/>
      <c r="Y396" s="393"/>
      <c r="Z396" s="190"/>
      <c r="AA396" s="190"/>
      <c r="AB396" s="251"/>
      <c r="AC396" s="348"/>
      <c r="AD396" s="393"/>
      <c r="AE396" s="190"/>
      <c r="AF396" s="190"/>
      <c r="AG396" s="251"/>
      <c r="AH396" s="348"/>
      <c r="AI396" s="393"/>
      <c r="AJ396" s="190"/>
      <c r="AK396" s="190"/>
      <c r="AL396" s="251"/>
      <c r="AM396" s="348"/>
      <c r="AN396" s="393"/>
      <c r="AO396" s="190"/>
      <c r="AP396" s="190"/>
      <c r="AQ396" s="251"/>
      <c r="AR396" s="348"/>
      <c r="AS396" s="393"/>
      <c r="AT396" s="184"/>
      <c r="AU396" s="184"/>
      <c r="AV396" s="185">
        <v>0</v>
      </c>
      <c r="AW396" s="107">
        <f>SUM(AS396:AV396)</f>
        <v>0</v>
      </c>
      <c r="AX396" s="183">
        <v>0</v>
      </c>
      <c r="AY396" s="184">
        <v>0</v>
      </c>
      <c r="AZ396" s="184">
        <v>0</v>
      </c>
      <c r="BA396" s="185">
        <v>0</v>
      </c>
      <c r="BB396" s="107">
        <f>SUM(AX396:BA396)</f>
        <v>0</v>
      </c>
      <c r="BC396" s="183">
        <v>0</v>
      </c>
      <c r="BD396" s="184">
        <v>0</v>
      </c>
      <c r="BE396" s="184">
        <v>0</v>
      </c>
      <c r="BF396" s="185">
        <v>0</v>
      </c>
      <c r="BG396" s="107">
        <f>SUM(BC396:BF396)</f>
        <v>0</v>
      </c>
      <c r="BH396" s="183">
        <v>0</v>
      </c>
      <c r="BI396" s="184">
        <v>0</v>
      </c>
      <c r="BJ396" s="184">
        <v>0</v>
      </c>
      <c r="BK396" s="185">
        <v>0</v>
      </c>
      <c r="BL396" s="107">
        <f>SUM(BH396:BK396)</f>
        <v>0</v>
      </c>
      <c r="BM396" s="183">
        <v>0</v>
      </c>
      <c r="BN396" s="184">
        <v>0</v>
      </c>
      <c r="BO396" s="184">
        <v>0</v>
      </c>
      <c r="BP396" s="185">
        <v>0</v>
      </c>
      <c r="BQ396" s="107">
        <f>SUM(BM396:BP396)</f>
        <v>0</v>
      </c>
      <c r="BR396" s="107"/>
      <c r="BS396" s="1496"/>
      <c r="BT396" s="1496"/>
      <c r="BU396" s="1496"/>
      <c r="BV396" s="1496"/>
    </row>
    <row r="397" spans="1:75" s="103" customFormat="1">
      <c r="A397" s="331"/>
      <c r="B397" s="44"/>
      <c r="C397" s="1127" t="s">
        <v>172</v>
      </c>
      <c r="D397" s="44"/>
      <c r="E397" s="332">
        <f t="shared" ref="E397:U397" si="1080">E394-E395</f>
        <v>23.686</v>
      </c>
      <c r="F397" s="333">
        <f t="shared" si="1080"/>
        <v>24.75</v>
      </c>
      <c r="G397" s="333">
        <f t="shared" si="1080"/>
        <v>25.210999999999999</v>
      </c>
      <c r="H397" s="334">
        <f t="shared" si="1080"/>
        <v>25.733000000000004</v>
      </c>
      <c r="I397" s="331">
        <f t="shared" si="1080"/>
        <v>99.38</v>
      </c>
      <c r="J397" s="332">
        <f t="shared" si="1080"/>
        <v>26.155000000000001</v>
      </c>
      <c r="K397" s="333">
        <f t="shared" si="1080"/>
        <v>26.623000000000001</v>
      </c>
      <c r="L397" s="333">
        <f t="shared" si="1080"/>
        <v>27.103000000000002</v>
      </c>
      <c r="M397" s="334">
        <f t="shared" si="1080"/>
        <v>27.596999999999994</v>
      </c>
      <c r="N397" s="331">
        <f t="shared" si="1080"/>
        <v>107.47799999999999</v>
      </c>
      <c r="O397" s="332">
        <f t="shared" si="1080"/>
        <v>28.103000000000002</v>
      </c>
      <c r="P397" s="333">
        <f t="shared" si="1080"/>
        <v>28.617999999999999</v>
      </c>
      <c r="Q397" s="333">
        <f t="shared" si="1080"/>
        <v>29.14</v>
      </c>
      <c r="R397" s="334">
        <f t="shared" si="1080"/>
        <v>-4.4110000000000014</v>
      </c>
      <c r="S397" s="331">
        <f t="shared" si="1080"/>
        <v>81.45</v>
      </c>
      <c r="T397" s="332">
        <f t="shared" si="1080"/>
        <v>29.672000000000001</v>
      </c>
      <c r="U397" s="333">
        <f t="shared" si="1080"/>
        <v>-16.745999999999999</v>
      </c>
      <c r="V397" s="333">
        <f t="shared" ref="V397:AA397" si="1081">V394-V395</f>
        <v>29.138999999999999</v>
      </c>
      <c r="W397" s="334">
        <f t="shared" si="1081"/>
        <v>30.031000000000006</v>
      </c>
      <c r="X397" s="331">
        <f t="shared" si="1081"/>
        <v>72.096000000000004</v>
      </c>
      <c r="Y397" s="332">
        <f t="shared" si="1081"/>
        <v>30.577000000000002</v>
      </c>
      <c r="Z397" s="333">
        <f t="shared" si="1081"/>
        <v>30.416</v>
      </c>
      <c r="AA397" s="333">
        <f t="shared" si="1081"/>
        <v>31.422000000000001</v>
      </c>
      <c r="AB397" s="334">
        <f>AB394-AB395</f>
        <v>32.876999999999995</v>
      </c>
      <c r="AC397" s="331">
        <f>AC394-AC395</f>
        <v>125.292</v>
      </c>
      <c r="AD397" s="332">
        <f>AD394-AD395</f>
        <v>34.055999999999997</v>
      </c>
      <c r="AE397" s="333">
        <f>AE394-AE395</f>
        <v>34.649000000000001</v>
      </c>
      <c r="AF397" s="333">
        <f t="shared" ref="AF397" si="1082">AF394-AF395</f>
        <v>35.24</v>
      </c>
      <c r="AG397" s="334">
        <f>AG394-AG395</f>
        <v>37.566000000000003</v>
      </c>
      <c r="AH397" s="331">
        <f>AH394-AH395</f>
        <v>141.511</v>
      </c>
      <c r="AI397" s="332">
        <f>AI394-AI395</f>
        <v>35.037999999999997</v>
      </c>
      <c r="AJ397" s="333">
        <f>AJ394-AJ395</f>
        <v>33.444000000000003</v>
      </c>
      <c r="AK397" s="333">
        <f t="shared" ref="AK397" si="1083">AK394-AK395</f>
        <v>32.909999999999997</v>
      </c>
      <c r="AL397" s="334">
        <f t="shared" ref="AL397:AR397" si="1084">AL394-AL395</f>
        <v>36.135999999999996</v>
      </c>
      <c r="AM397" s="331">
        <f t="shared" si="1084"/>
        <v>137.52799999999999</v>
      </c>
      <c r="AN397" s="332">
        <f t="shared" si="1084"/>
        <v>31.385000000000002</v>
      </c>
      <c r="AO397" s="333">
        <f t="shared" si="1084"/>
        <v>38.823</v>
      </c>
      <c r="AP397" s="333">
        <f t="shared" si="1084"/>
        <v>46.896000000000001</v>
      </c>
      <c r="AQ397" s="334">
        <f t="shared" si="1084"/>
        <v>57.965999999999994</v>
      </c>
      <c r="AR397" s="331">
        <f t="shared" si="1084"/>
        <v>175.07</v>
      </c>
      <c r="AS397" s="332">
        <f t="shared" ref="AS397:AT397" si="1085">AS394-AS395</f>
        <v>74.864000000000004</v>
      </c>
      <c r="AT397" s="333">
        <f t="shared" si="1085"/>
        <v>60.191000000000003</v>
      </c>
      <c r="AU397" s="333">
        <f t="shared" ref="AU397:AW397" si="1086">AU394-AU395</f>
        <v>60.07</v>
      </c>
      <c r="AV397" s="334">
        <f t="shared" si="1086"/>
        <v>59.832999999999998</v>
      </c>
      <c r="AW397" s="331">
        <f t="shared" si="1086"/>
        <v>254.958</v>
      </c>
      <c r="AX397" s="332">
        <f>BB397/4</f>
        <v>69.157357499999932</v>
      </c>
      <c r="AY397" s="333">
        <f>AX397</f>
        <v>69.157357499999932</v>
      </c>
      <c r="AZ397" s="333">
        <f t="shared" ref="AZ397:BA397" si="1087">AY397</f>
        <v>69.157357499999932</v>
      </c>
      <c r="BA397" s="334">
        <f t="shared" si="1087"/>
        <v>69.157357499999932</v>
      </c>
      <c r="BB397" s="331">
        <f>BB401*AW397/AW401</f>
        <v>276.62942999999973</v>
      </c>
      <c r="BC397" s="332">
        <f>BG397/4</f>
        <v>75.035732887499989</v>
      </c>
      <c r="BD397" s="333">
        <f>BC397</f>
        <v>75.035732887499989</v>
      </c>
      <c r="BE397" s="333">
        <f t="shared" ref="BE397:BF397" si="1088">BD397</f>
        <v>75.035732887499989</v>
      </c>
      <c r="BF397" s="334">
        <f t="shared" si="1088"/>
        <v>75.035732887499989</v>
      </c>
      <c r="BG397" s="331">
        <f>BG401*BB397/BB401</f>
        <v>300.14293154999996</v>
      </c>
      <c r="BH397" s="332">
        <f>BL397/4</f>
        <v>81.41377018293754</v>
      </c>
      <c r="BI397" s="333">
        <f>BH397</f>
        <v>81.41377018293754</v>
      </c>
      <c r="BJ397" s="333">
        <f t="shared" ref="BJ397:BK397" si="1089">BI397</f>
        <v>81.41377018293754</v>
      </c>
      <c r="BK397" s="334">
        <f t="shared" si="1089"/>
        <v>81.41377018293754</v>
      </c>
      <c r="BL397" s="331">
        <f>BL401*BG397/BG401</f>
        <v>325.65508073175016</v>
      </c>
      <c r="BM397" s="332">
        <f>BQ397/4</f>
        <v>88.33394064848703</v>
      </c>
      <c r="BN397" s="333">
        <f>BM397</f>
        <v>88.33394064848703</v>
      </c>
      <c r="BO397" s="333">
        <f t="shared" ref="BO397:BP397" si="1090">BN397</f>
        <v>88.33394064848703</v>
      </c>
      <c r="BP397" s="334">
        <f t="shared" si="1090"/>
        <v>88.33394064848703</v>
      </c>
      <c r="BQ397" s="331">
        <f>BQ401*BL397/BL401</f>
        <v>353.33576259394812</v>
      </c>
      <c r="BR397" s="331"/>
      <c r="BS397" s="465"/>
      <c r="BT397" s="465"/>
      <c r="BU397" s="465"/>
      <c r="BV397" s="465"/>
      <c r="BW397" s="1518"/>
    </row>
    <row r="398" spans="1:75">
      <c r="A398" s="370"/>
      <c r="B398" s="370"/>
      <c r="C398" s="1160" t="s">
        <v>676</v>
      </c>
      <c r="D398" s="370"/>
      <c r="E398" s="373"/>
      <c r="F398" s="371"/>
      <c r="G398" s="371"/>
      <c r="H398" s="372"/>
      <c r="I398" s="370"/>
      <c r="J398" s="373">
        <f t="shared" ref="J398:X398" si="1091">J397/E397-1</f>
        <v>0.10423879084691379</v>
      </c>
      <c r="K398" s="371">
        <f t="shared" si="1091"/>
        <v>7.5676767676767787E-2</v>
      </c>
      <c r="L398" s="371">
        <f t="shared" si="1091"/>
        <v>7.5046606639958879E-2</v>
      </c>
      <c r="M398" s="372">
        <f t="shared" si="1091"/>
        <v>7.2436171452997744E-2</v>
      </c>
      <c r="N398" s="370">
        <f t="shared" si="1091"/>
        <v>8.1485208291406819E-2</v>
      </c>
      <c r="O398" s="373">
        <f t="shared" si="1091"/>
        <v>7.4479067099980867E-2</v>
      </c>
      <c r="P398" s="371">
        <f t="shared" si="1091"/>
        <v>7.4935206400480681E-2</v>
      </c>
      <c r="Q398" s="371">
        <f t="shared" si="1091"/>
        <v>7.5157731616426249E-2</v>
      </c>
      <c r="R398" s="372">
        <f t="shared" si="1091"/>
        <v>-1.1598362140812408</v>
      </c>
      <c r="S398" s="370">
        <f t="shared" si="1091"/>
        <v>-0.24217049070507446</v>
      </c>
      <c r="T398" s="373">
        <f t="shared" si="1091"/>
        <v>5.5830338398035861E-2</v>
      </c>
      <c r="U398" s="371">
        <f t="shared" si="1091"/>
        <v>-1.5851561954014954</v>
      </c>
      <c r="V398" s="371">
        <f t="shared" si="1091"/>
        <v>-3.4317089910862464E-5</v>
      </c>
      <c r="W398" s="372">
        <f t="shared" si="1091"/>
        <v>-7.808206755837678</v>
      </c>
      <c r="X398" s="370">
        <f t="shared" si="1091"/>
        <v>-0.11484346224677711</v>
      </c>
      <c r="Y398" s="373">
        <f t="shared" ref="Y398:AD398" si="1092">Y397/T397-1</f>
        <v>3.0500134807225798E-2</v>
      </c>
      <c r="Z398" s="371">
        <f t="shared" si="1092"/>
        <v>-2.8163143437238745</v>
      </c>
      <c r="AA398" s="371">
        <f t="shared" si="1092"/>
        <v>7.8348604962421575E-2</v>
      </c>
      <c r="AB398" s="372">
        <f t="shared" si="1092"/>
        <v>9.4768738969730926E-2</v>
      </c>
      <c r="AC398" s="370">
        <f t="shared" si="1092"/>
        <v>0.73784953395472686</v>
      </c>
      <c r="AD398" s="373">
        <f t="shared" si="1092"/>
        <v>0.11377833011740845</v>
      </c>
      <c r="AE398" s="371">
        <f>AE397/Z397-1</f>
        <v>0.13917017359284589</v>
      </c>
      <c r="AF398" s="371">
        <f t="shared" ref="AF398" si="1093">AF397/AA397-1</f>
        <v>0.12150722423779525</v>
      </c>
      <c r="AG398" s="372">
        <f t="shared" ref="AG398" si="1094">AG397/AB397-1</f>
        <v>0.14262250205310734</v>
      </c>
      <c r="AH398" s="370">
        <f t="shared" ref="AH398" si="1095">AH397/AC397-1</f>
        <v>0.1294496057210357</v>
      </c>
      <c r="AI398" s="373">
        <f t="shared" ref="AI398" si="1096">AI397/AD397-1</f>
        <v>2.8834860230209092E-2</v>
      </c>
      <c r="AJ398" s="371">
        <f>AJ397/AE397-1</f>
        <v>-3.4777338451326134E-2</v>
      </c>
      <c r="AK398" s="371">
        <f t="shared" ref="AK398" si="1097">AK397/AF397-1</f>
        <v>-6.6118047673098923E-2</v>
      </c>
      <c r="AL398" s="372">
        <f t="shared" ref="AL398" si="1098">AL397/AG397-1</f>
        <v>-3.8066336580951043E-2</v>
      </c>
      <c r="AM398" s="370">
        <f t="shared" ref="AM398" si="1099">AM397/AH397-1</f>
        <v>-2.8146221848478259E-2</v>
      </c>
      <c r="AN398" s="373">
        <f t="shared" ref="AN398" si="1100">AN397/AI397-1</f>
        <v>-0.10425823391746092</v>
      </c>
      <c r="AO398" s="371">
        <f>AO397/AJ397-1</f>
        <v>0.16083602439899525</v>
      </c>
      <c r="AP398" s="371">
        <f>AP397/AK397-1</f>
        <v>0.42497721057429372</v>
      </c>
      <c r="AQ398" s="372">
        <f t="shared" ref="AQ398" si="1101">AQ397/AL397-1</f>
        <v>0.60410670799203015</v>
      </c>
      <c r="AR398" s="370">
        <f t="shared" ref="AR398:AS398" si="1102">AR397/AM397-1</f>
        <v>0.27297713920074451</v>
      </c>
      <c r="AS398" s="373">
        <f t="shared" si="1102"/>
        <v>1.3853433168711167</v>
      </c>
      <c r="AT398" s="371">
        <f>AT397/AO397-1</f>
        <v>0.55039538417948131</v>
      </c>
      <c r="AU398" s="371">
        <f t="shared" ref="AU398" si="1103">AU397/AP397-1</f>
        <v>0.28091948140566347</v>
      </c>
      <c r="AV398" s="372">
        <f t="shared" ref="AV398" si="1104">AV397/AQ397-1</f>
        <v>3.2208536038367486E-2</v>
      </c>
      <c r="AW398" s="370">
        <f t="shared" ref="AW398" si="1105">AW397/AR397-1</f>
        <v>0.45632032901125275</v>
      </c>
      <c r="AX398" s="158">
        <f>BB398</f>
        <v>0.01</v>
      </c>
      <c r="AY398" s="159">
        <f>BB398</f>
        <v>0.01</v>
      </c>
      <c r="AZ398" s="159">
        <f>BB398</f>
        <v>0.01</v>
      </c>
      <c r="BA398" s="160">
        <f>BB398</f>
        <v>0.01</v>
      </c>
      <c r="BB398" s="1046">
        <v>0.01</v>
      </c>
      <c r="BC398" s="158">
        <f>BG398</f>
        <v>0.01</v>
      </c>
      <c r="BD398" s="159">
        <f>BG398</f>
        <v>0.01</v>
      </c>
      <c r="BE398" s="159">
        <f>BG398</f>
        <v>0.01</v>
      </c>
      <c r="BF398" s="160">
        <f>BG398</f>
        <v>0.01</v>
      </c>
      <c r="BG398" s="1046">
        <v>0.01</v>
      </c>
      <c r="BH398" s="158">
        <f>BL398</f>
        <v>0.01</v>
      </c>
      <c r="BI398" s="159">
        <f>BL398</f>
        <v>0.01</v>
      </c>
      <c r="BJ398" s="159">
        <f>BL398</f>
        <v>0.01</v>
      </c>
      <c r="BK398" s="160">
        <f>BL398</f>
        <v>0.01</v>
      </c>
      <c r="BL398" s="1046">
        <v>0.01</v>
      </c>
      <c r="BM398" s="158">
        <f>BQ398</f>
        <v>0.01</v>
      </c>
      <c r="BN398" s="159">
        <f>BQ398</f>
        <v>0.01</v>
      </c>
      <c r="BO398" s="159">
        <f>BQ398</f>
        <v>0.01</v>
      </c>
      <c r="BP398" s="160">
        <f>BQ398</f>
        <v>0.01</v>
      </c>
      <c r="BQ398" s="1046">
        <v>0.01</v>
      </c>
      <c r="BR398" s="1046"/>
      <c r="BS398" s="1497"/>
      <c r="BT398" s="1497"/>
      <c r="BU398" s="1497"/>
      <c r="BV398" s="1497"/>
    </row>
    <row r="399" spans="1:75">
      <c r="A399" s="370"/>
      <c r="B399" s="370"/>
      <c r="C399" s="1160" t="s">
        <v>1014</v>
      </c>
      <c r="D399" s="370"/>
      <c r="E399" s="373"/>
      <c r="F399" s="371"/>
      <c r="G399" s="371"/>
      <c r="H399" s="372"/>
      <c r="I399" s="370"/>
      <c r="J399" s="373"/>
      <c r="K399" s="371"/>
      <c r="L399" s="371"/>
      <c r="M399" s="372"/>
      <c r="N399" s="370"/>
      <c r="O399" s="373"/>
      <c r="P399" s="371"/>
      <c r="Q399" s="371"/>
      <c r="R399" s="372"/>
      <c r="S399" s="370"/>
      <c r="T399" s="373"/>
      <c r="U399" s="371"/>
      <c r="V399" s="371"/>
      <c r="W399" s="372"/>
      <c r="X399" s="370"/>
      <c r="Y399" s="373"/>
      <c r="Z399" s="371"/>
      <c r="AA399" s="371"/>
      <c r="AB399" s="372"/>
      <c r="AC399" s="370"/>
      <c r="AD399" s="373"/>
      <c r="AE399" s="371"/>
      <c r="AF399" s="371"/>
      <c r="AG399" s="372"/>
      <c r="AH399" s="370"/>
      <c r="AI399" s="373"/>
      <c r="AJ399" s="371"/>
      <c r="AK399" s="371"/>
      <c r="AL399" s="372"/>
      <c r="AM399" s="370"/>
      <c r="AN399" s="373"/>
      <c r="AO399" s="371"/>
      <c r="AP399" s="371"/>
      <c r="AQ399" s="372"/>
      <c r="AR399" s="1679">
        <f>3827-714</f>
        <v>3113</v>
      </c>
      <c r="AS399" s="373"/>
      <c r="AT399" s="159"/>
      <c r="AU399" s="159"/>
      <c r="AV399" s="160"/>
      <c r="AW399" s="1679">
        <f>AR399*(1+AW400)</f>
        <v>3377.605</v>
      </c>
      <c r="AX399" s="158"/>
      <c r="AY399" s="159"/>
      <c r="AZ399" s="159"/>
      <c r="BA399" s="160"/>
      <c r="BB399" s="1679">
        <f>AW399*(1+BB400)</f>
        <v>3664.7014249999997</v>
      </c>
      <c r="BC399" s="158"/>
      <c r="BD399" s="159"/>
      <c r="BE399" s="159"/>
      <c r="BF399" s="160"/>
      <c r="BG399" s="1679">
        <f>BB399*(1+BG400)</f>
        <v>3976.2010461249997</v>
      </c>
      <c r="BH399" s="158"/>
      <c r="BI399" s="159"/>
      <c r="BJ399" s="159"/>
      <c r="BK399" s="160"/>
      <c r="BL399" s="1679">
        <f>BG399*(1+BL400)</f>
        <v>4314.1781350456249</v>
      </c>
      <c r="BM399" s="158"/>
      <c r="BN399" s="159"/>
      <c r="BO399" s="159"/>
      <c r="BP399" s="160"/>
      <c r="BQ399" s="1679">
        <f>BL399*(1+BQ400)</f>
        <v>4680.8832765245024</v>
      </c>
      <c r="BR399" s="1046"/>
      <c r="BS399" s="1497"/>
      <c r="BT399" s="1497"/>
      <c r="BU399" s="1497"/>
      <c r="BV399" s="1497"/>
    </row>
    <row r="400" spans="1:75">
      <c r="A400" s="370"/>
      <c r="B400" s="370"/>
      <c r="C400" s="1980" t="s">
        <v>1019</v>
      </c>
      <c r="D400" s="370"/>
      <c r="E400" s="373"/>
      <c r="F400" s="371"/>
      <c r="G400" s="371"/>
      <c r="H400" s="372"/>
      <c r="I400" s="370"/>
      <c r="J400" s="373"/>
      <c r="K400" s="371"/>
      <c r="L400" s="371"/>
      <c r="M400" s="372"/>
      <c r="N400" s="370"/>
      <c r="O400" s="373"/>
      <c r="P400" s="371"/>
      <c r="Q400" s="371"/>
      <c r="R400" s="372"/>
      <c r="S400" s="370"/>
      <c r="T400" s="373"/>
      <c r="U400" s="371"/>
      <c r="V400" s="371"/>
      <c r="W400" s="372"/>
      <c r="X400" s="370"/>
      <c r="Y400" s="373"/>
      <c r="Z400" s="371"/>
      <c r="AA400" s="371"/>
      <c r="AB400" s="372"/>
      <c r="AC400" s="370"/>
      <c r="AD400" s="373"/>
      <c r="AE400" s="371"/>
      <c r="AF400" s="371"/>
      <c r="AG400" s="372"/>
      <c r="AH400" s="370"/>
      <c r="AI400" s="373"/>
      <c r="AJ400" s="371"/>
      <c r="AK400" s="371"/>
      <c r="AL400" s="372"/>
      <c r="AM400" s="370"/>
      <c r="AN400" s="373"/>
      <c r="AO400" s="371"/>
      <c r="AP400" s="371"/>
      <c r="AQ400" s="372"/>
      <c r="AR400" s="370"/>
      <c r="AS400" s="158"/>
      <c r="AT400" s="159"/>
      <c r="AU400" s="159"/>
      <c r="AV400" s="160"/>
      <c r="AW400" s="1046">
        <v>8.5000000000000006E-2</v>
      </c>
      <c r="AX400" s="158"/>
      <c r="AY400" s="159"/>
      <c r="AZ400" s="159"/>
      <c r="BA400" s="160"/>
      <c r="BB400" s="1046">
        <v>8.5000000000000006E-2</v>
      </c>
      <c r="BC400" s="158"/>
      <c r="BD400" s="159"/>
      <c r="BE400" s="159"/>
      <c r="BF400" s="160"/>
      <c r="BG400" s="1046">
        <v>8.5000000000000006E-2</v>
      </c>
      <c r="BH400" s="158"/>
      <c r="BI400" s="159"/>
      <c r="BJ400" s="159"/>
      <c r="BK400" s="160"/>
      <c r="BL400" s="1046">
        <v>8.5000000000000006E-2</v>
      </c>
      <c r="BM400" s="158"/>
      <c r="BN400" s="159"/>
      <c r="BO400" s="159"/>
      <c r="BP400" s="160"/>
      <c r="BQ400" s="1046">
        <v>8.5000000000000006E-2</v>
      </c>
      <c r="BR400" s="1046"/>
      <c r="BS400" s="1497"/>
      <c r="BT400" s="1497"/>
      <c r="BU400" s="1497"/>
      <c r="BV400" s="1497"/>
    </row>
    <row r="401" spans="1:75">
      <c r="A401" s="370"/>
      <c r="B401" s="370"/>
      <c r="C401" s="1980" t="s">
        <v>1018</v>
      </c>
      <c r="D401" s="370"/>
      <c r="E401" s="373"/>
      <c r="F401" s="371"/>
      <c r="G401" s="371"/>
      <c r="H401" s="372"/>
      <c r="I401" s="370"/>
      <c r="J401" s="373"/>
      <c r="K401" s="371"/>
      <c r="L401" s="371"/>
      <c r="M401" s="372"/>
      <c r="N401" s="370"/>
      <c r="O401" s="373"/>
      <c r="P401" s="371"/>
      <c r="Q401" s="371"/>
      <c r="R401" s="372"/>
      <c r="S401" s="370"/>
      <c r="T401" s="373"/>
      <c r="U401" s="371"/>
      <c r="V401" s="371"/>
      <c r="W401" s="372"/>
      <c r="X401" s="370"/>
      <c r="Y401" s="373"/>
      <c r="Z401" s="371"/>
      <c r="AA401" s="371"/>
      <c r="AB401" s="372"/>
      <c r="AC401" s="370"/>
      <c r="AD401" s="373"/>
      <c r="AE401" s="371"/>
      <c r="AF401" s="371"/>
      <c r="AG401" s="372"/>
      <c r="AH401" s="370"/>
      <c r="AI401" s="373"/>
      <c r="AJ401" s="371"/>
      <c r="AK401" s="371"/>
      <c r="AL401" s="372"/>
      <c r="AM401" s="370"/>
      <c r="AN401" s="373"/>
      <c r="AO401" s="371"/>
      <c r="AP401" s="371"/>
      <c r="AQ401" s="372"/>
      <c r="AR401" s="370"/>
      <c r="AS401" s="158"/>
      <c r="AT401" s="159"/>
      <c r="AU401" s="159"/>
      <c r="AV401" s="160"/>
      <c r="AW401" s="1679">
        <f>AW399-AR399</f>
        <v>264.60500000000002</v>
      </c>
      <c r="AX401" s="158"/>
      <c r="AY401" s="159"/>
      <c r="AZ401" s="159"/>
      <c r="BA401" s="160"/>
      <c r="BB401" s="1679">
        <f>BB399-AW399</f>
        <v>287.09642499999973</v>
      </c>
      <c r="BC401" s="158"/>
      <c r="BD401" s="159"/>
      <c r="BE401" s="159"/>
      <c r="BF401" s="160"/>
      <c r="BG401" s="1679">
        <f>BG399-BB399</f>
        <v>311.49962112499998</v>
      </c>
      <c r="BH401" s="158"/>
      <c r="BI401" s="159"/>
      <c r="BJ401" s="159"/>
      <c r="BK401" s="160"/>
      <c r="BL401" s="1679">
        <f>BL399-BG399</f>
        <v>337.97708892062519</v>
      </c>
      <c r="BM401" s="158"/>
      <c r="BN401" s="159"/>
      <c r="BO401" s="159"/>
      <c r="BP401" s="160"/>
      <c r="BQ401" s="1679">
        <f>BQ399-BL399</f>
        <v>366.70514147887752</v>
      </c>
      <c r="BR401" s="1046"/>
      <c r="BS401" s="1497"/>
      <c r="BT401" s="1497"/>
      <c r="BU401" s="1497"/>
      <c r="BV401" s="1497"/>
    </row>
    <row r="402" spans="1:75">
      <c r="A402" s="370"/>
      <c r="B402" s="370"/>
      <c r="C402" s="1980"/>
      <c r="D402" s="370"/>
      <c r="E402" s="373"/>
      <c r="F402" s="371"/>
      <c r="G402" s="371"/>
      <c r="H402" s="372"/>
      <c r="I402" s="370"/>
      <c r="J402" s="373"/>
      <c r="K402" s="371"/>
      <c r="L402" s="371"/>
      <c r="M402" s="372"/>
      <c r="N402" s="370"/>
      <c r="O402" s="373"/>
      <c r="P402" s="371"/>
      <c r="Q402" s="371"/>
      <c r="R402" s="372"/>
      <c r="S402" s="370"/>
      <c r="T402" s="373"/>
      <c r="U402" s="371"/>
      <c r="V402" s="371"/>
      <c r="W402" s="372"/>
      <c r="X402" s="370"/>
      <c r="Y402" s="373"/>
      <c r="Z402" s="371"/>
      <c r="AA402" s="371"/>
      <c r="AB402" s="372"/>
      <c r="AC402" s="370"/>
      <c r="AD402" s="373"/>
      <c r="AE402" s="371"/>
      <c r="AF402" s="371"/>
      <c r="AG402" s="372"/>
      <c r="AH402" s="370"/>
      <c r="AI402" s="373"/>
      <c r="AJ402" s="371"/>
      <c r="AK402" s="371"/>
      <c r="AL402" s="372"/>
      <c r="AM402" s="370"/>
      <c r="AN402" s="373"/>
      <c r="AO402" s="371"/>
      <c r="AP402" s="371"/>
      <c r="AQ402" s="372"/>
      <c r="AR402" s="370"/>
      <c r="AS402" s="158"/>
      <c r="AT402" s="159"/>
      <c r="AU402" s="159"/>
      <c r="AV402" s="160"/>
      <c r="AW402" s="1679"/>
      <c r="AX402" s="158"/>
      <c r="AY402" s="159"/>
      <c r="AZ402" s="159"/>
      <c r="BA402" s="160"/>
      <c r="BB402" s="1679"/>
      <c r="BC402" s="158"/>
      <c r="BD402" s="159"/>
      <c r="BE402" s="159"/>
      <c r="BF402" s="160"/>
      <c r="BG402" s="1679"/>
      <c r="BH402" s="158"/>
      <c r="BI402" s="159"/>
      <c r="BJ402" s="159"/>
      <c r="BK402" s="160"/>
      <c r="BL402" s="1679"/>
      <c r="BM402" s="158"/>
      <c r="BN402" s="159"/>
      <c r="BO402" s="159"/>
      <c r="BP402" s="160"/>
      <c r="BQ402" s="1679"/>
      <c r="BR402" s="1046"/>
      <c r="BS402" s="1497"/>
      <c r="BT402" s="1497"/>
      <c r="BU402" s="1497"/>
      <c r="BV402" s="1497"/>
    </row>
    <row r="403" spans="1:75">
      <c r="A403" s="370"/>
      <c r="B403" s="370"/>
      <c r="C403" s="1128" t="s">
        <v>1020</v>
      </c>
      <c r="D403" s="370"/>
      <c r="E403" s="373"/>
      <c r="F403" s="371"/>
      <c r="G403" s="371"/>
      <c r="H403" s="372"/>
      <c r="I403" s="370"/>
      <c r="J403" s="373"/>
      <c r="K403" s="371"/>
      <c r="L403" s="371"/>
      <c r="M403" s="372"/>
      <c r="N403" s="370"/>
      <c r="O403" s="373"/>
      <c r="P403" s="371"/>
      <c r="Q403" s="371"/>
      <c r="R403" s="372"/>
      <c r="S403" s="370"/>
      <c r="T403" s="373"/>
      <c r="U403" s="371"/>
      <c r="V403" s="371"/>
      <c r="W403" s="372"/>
      <c r="X403" s="370"/>
      <c r="Y403" s="373"/>
      <c r="Z403" s="371"/>
      <c r="AA403" s="371"/>
      <c r="AB403" s="372"/>
      <c r="AC403" s="370"/>
      <c r="AD403" s="373"/>
      <c r="AE403" s="371"/>
      <c r="AF403" s="371"/>
      <c r="AG403" s="372"/>
      <c r="AH403" s="370"/>
      <c r="AI403" s="373"/>
      <c r="AJ403" s="371"/>
      <c r="AK403" s="371"/>
      <c r="AL403" s="372"/>
      <c r="AM403" s="370"/>
      <c r="AN403" s="373"/>
      <c r="AO403" s="371"/>
      <c r="AP403" s="371"/>
      <c r="AQ403" s="372"/>
      <c r="AR403" s="370"/>
      <c r="AS403" s="158"/>
      <c r="AT403" s="159"/>
      <c r="AU403" s="159"/>
      <c r="AV403" s="160"/>
      <c r="AW403" s="1679">
        <v>85</v>
      </c>
      <c r="AX403" s="332">
        <f>BB403/4</f>
        <v>63.265625</v>
      </c>
      <c r="AY403" s="333">
        <f>AX403</f>
        <v>63.265625</v>
      </c>
      <c r="AZ403" s="333">
        <f t="shared" ref="AZ403" si="1106">AY403</f>
        <v>63.265625</v>
      </c>
      <c r="BA403" s="334">
        <f t="shared" ref="BA403" si="1107">AZ403</f>
        <v>63.265625</v>
      </c>
      <c r="BB403" s="1679">
        <f>BB406</f>
        <v>253.0625</v>
      </c>
      <c r="BC403" s="332">
        <f>BG403/4</f>
        <v>67.2197265625</v>
      </c>
      <c r="BD403" s="333">
        <f>BC403</f>
        <v>67.2197265625</v>
      </c>
      <c r="BE403" s="333">
        <f t="shared" ref="BE403" si="1108">BD403</f>
        <v>67.2197265625</v>
      </c>
      <c r="BF403" s="334">
        <f t="shared" ref="BF403" si="1109">BE403</f>
        <v>67.2197265625</v>
      </c>
      <c r="BG403" s="1679">
        <f>BG406</f>
        <v>268.87890625</v>
      </c>
      <c r="BH403" s="332">
        <f>BL403/4</f>
        <v>71.42095947265625</v>
      </c>
      <c r="BI403" s="333">
        <f>BH403</f>
        <v>71.42095947265625</v>
      </c>
      <c r="BJ403" s="333">
        <f t="shared" ref="BJ403" si="1110">BI403</f>
        <v>71.42095947265625</v>
      </c>
      <c r="BK403" s="334">
        <f t="shared" ref="BK403" si="1111">BJ403</f>
        <v>71.42095947265625</v>
      </c>
      <c r="BL403" s="1679">
        <f>BL406</f>
        <v>285.683837890625</v>
      </c>
      <c r="BM403" s="332">
        <f>BQ403/4</f>
        <v>75.884769439697266</v>
      </c>
      <c r="BN403" s="333">
        <f>BM403</f>
        <v>75.884769439697266</v>
      </c>
      <c r="BO403" s="333">
        <f t="shared" ref="BO403" si="1112">BN403</f>
        <v>75.884769439697266</v>
      </c>
      <c r="BP403" s="334">
        <f t="shared" ref="BP403" si="1113">BO403</f>
        <v>75.884769439697266</v>
      </c>
      <c r="BQ403" s="1679">
        <f>BQ406</f>
        <v>303.53907775878906</v>
      </c>
      <c r="BR403" s="1046"/>
      <c r="BS403" s="1497"/>
      <c r="BT403" s="1497"/>
      <c r="BU403" s="1497"/>
      <c r="BV403" s="1497"/>
    </row>
    <row r="404" spans="1:75">
      <c r="A404" s="370"/>
      <c r="B404" s="370"/>
      <c r="C404" s="1980" t="s">
        <v>1015</v>
      </c>
      <c r="D404" s="370"/>
      <c r="E404" s="373"/>
      <c r="F404" s="371"/>
      <c r="G404" s="371"/>
      <c r="H404" s="372"/>
      <c r="I404" s="370"/>
      <c r="J404" s="373"/>
      <c r="K404" s="371"/>
      <c r="L404" s="371"/>
      <c r="M404" s="372"/>
      <c r="N404" s="370"/>
      <c r="O404" s="373"/>
      <c r="P404" s="371"/>
      <c r="Q404" s="371"/>
      <c r="R404" s="372"/>
      <c r="S404" s="370"/>
      <c r="T404" s="373"/>
      <c r="U404" s="371"/>
      <c r="V404" s="371"/>
      <c r="W404" s="372"/>
      <c r="X404" s="370"/>
      <c r="Y404" s="373"/>
      <c r="Z404" s="371"/>
      <c r="AA404" s="371"/>
      <c r="AB404" s="372"/>
      <c r="AC404" s="370"/>
      <c r="AD404" s="373"/>
      <c r="AE404" s="371"/>
      <c r="AF404" s="371"/>
      <c r="AG404" s="372"/>
      <c r="AH404" s="370"/>
      <c r="AI404" s="373"/>
      <c r="AJ404" s="371"/>
      <c r="AK404" s="371"/>
      <c r="AL404" s="372"/>
      <c r="AM404" s="370"/>
      <c r="AN404" s="373"/>
      <c r="AO404" s="371"/>
      <c r="AP404" s="371"/>
      <c r="AQ404" s="372"/>
      <c r="AR404" s="1679">
        <f>4467-719</f>
        <v>3748</v>
      </c>
      <c r="AS404" s="373"/>
      <c r="AT404" s="371"/>
      <c r="AU404" s="371"/>
      <c r="AV404" s="160"/>
      <c r="AW404" s="1679">
        <f>491+621+798+458+1068+613</f>
        <v>4049</v>
      </c>
      <c r="AX404" s="158"/>
      <c r="AY404" s="159"/>
      <c r="AZ404" s="159"/>
      <c r="BA404" s="160"/>
      <c r="BB404" s="1679">
        <f>AW404*(1+BB405)</f>
        <v>4302.0625</v>
      </c>
      <c r="BC404" s="158"/>
      <c r="BD404" s="159"/>
      <c r="BE404" s="159"/>
      <c r="BF404" s="160"/>
      <c r="BG404" s="1679">
        <f>BB404*(1+BG405)</f>
        <v>4570.94140625</v>
      </c>
      <c r="BH404" s="158"/>
      <c r="BI404" s="159"/>
      <c r="BJ404" s="159"/>
      <c r="BK404" s="160"/>
      <c r="BL404" s="1679">
        <f>BG404*(1+BL405)</f>
        <v>4856.625244140625</v>
      </c>
      <c r="BM404" s="158"/>
      <c r="BN404" s="159"/>
      <c r="BO404" s="159"/>
      <c r="BP404" s="160"/>
      <c r="BQ404" s="1679">
        <f>BL404*(1+BQ405)</f>
        <v>5160.1643218994141</v>
      </c>
      <c r="BR404" s="1046"/>
      <c r="BS404" s="1497"/>
      <c r="BT404" s="1497"/>
      <c r="BU404" s="1497"/>
      <c r="BV404" s="1497"/>
    </row>
    <row r="405" spans="1:75">
      <c r="A405" s="370"/>
      <c r="B405" s="370"/>
      <c r="C405" s="1980" t="s">
        <v>1016</v>
      </c>
      <c r="D405" s="370"/>
      <c r="E405" s="373"/>
      <c r="F405" s="371"/>
      <c r="G405" s="371"/>
      <c r="H405" s="372"/>
      <c r="I405" s="370"/>
      <c r="J405" s="373"/>
      <c r="K405" s="371"/>
      <c r="L405" s="371"/>
      <c r="M405" s="372"/>
      <c r="N405" s="370"/>
      <c r="O405" s="373"/>
      <c r="P405" s="371"/>
      <c r="Q405" s="371"/>
      <c r="R405" s="372"/>
      <c r="S405" s="370"/>
      <c r="T405" s="373"/>
      <c r="U405" s="371"/>
      <c r="V405" s="371"/>
      <c r="W405" s="372"/>
      <c r="X405" s="370"/>
      <c r="Y405" s="373"/>
      <c r="Z405" s="371"/>
      <c r="AA405" s="371"/>
      <c r="AB405" s="372"/>
      <c r="AC405" s="370"/>
      <c r="AD405" s="373"/>
      <c r="AE405" s="371"/>
      <c r="AF405" s="371"/>
      <c r="AG405" s="372"/>
      <c r="AH405" s="370"/>
      <c r="AI405" s="373"/>
      <c r="AJ405" s="371"/>
      <c r="AK405" s="371"/>
      <c r="AL405" s="372"/>
      <c r="AM405" s="370"/>
      <c r="AN405" s="373"/>
      <c r="AO405" s="371"/>
      <c r="AP405" s="371"/>
      <c r="AQ405" s="372"/>
      <c r="AR405" s="370"/>
      <c r="AS405" s="373"/>
      <c r="AT405" s="371"/>
      <c r="AU405" s="371"/>
      <c r="AV405" s="160"/>
      <c r="AW405" s="1046">
        <v>6.25E-2</v>
      </c>
      <c r="AX405" s="158"/>
      <c r="AY405" s="159"/>
      <c r="AZ405" s="159"/>
      <c r="BA405" s="160"/>
      <c r="BB405" s="1046">
        <v>6.25E-2</v>
      </c>
      <c r="BC405" s="158"/>
      <c r="BD405" s="159"/>
      <c r="BE405" s="159"/>
      <c r="BF405" s="160"/>
      <c r="BG405" s="1046">
        <v>6.25E-2</v>
      </c>
      <c r="BH405" s="158"/>
      <c r="BI405" s="159"/>
      <c r="BJ405" s="159"/>
      <c r="BK405" s="160"/>
      <c r="BL405" s="1046">
        <v>6.25E-2</v>
      </c>
      <c r="BM405" s="158"/>
      <c r="BN405" s="159"/>
      <c r="BO405" s="159"/>
      <c r="BP405" s="160"/>
      <c r="BQ405" s="1046">
        <v>6.25E-2</v>
      </c>
      <c r="BR405" s="1046"/>
      <c r="BS405" s="1497"/>
      <c r="BT405" s="1497"/>
      <c r="BU405" s="1497"/>
      <c r="BV405" s="1497"/>
    </row>
    <row r="406" spans="1:75">
      <c r="A406" s="370"/>
      <c r="B406" s="370"/>
      <c r="C406" s="1980" t="s">
        <v>1017</v>
      </c>
      <c r="D406" s="370"/>
      <c r="E406" s="373"/>
      <c r="F406" s="371"/>
      <c r="G406" s="371"/>
      <c r="H406" s="372"/>
      <c r="I406" s="370"/>
      <c r="J406" s="373"/>
      <c r="K406" s="371"/>
      <c r="L406" s="371"/>
      <c r="M406" s="372"/>
      <c r="N406" s="370"/>
      <c r="O406" s="373"/>
      <c r="P406" s="371"/>
      <c r="Q406" s="371"/>
      <c r="R406" s="372"/>
      <c r="S406" s="370"/>
      <c r="T406" s="373"/>
      <c r="U406" s="371"/>
      <c r="V406" s="371"/>
      <c r="W406" s="372"/>
      <c r="X406" s="370"/>
      <c r="Y406" s="373"/>
      <c r="Z406" s="371"/>
      <c r="AA406" s="371"/>
      <c r="AB406" s="372"/>
      <c r="AC406" s="370"/>
      <c r="AD406" s="373"/>
      <c r="AE406" s="371"/>
      <c r="AF406" s="371"/>
      <c r="AG406" s="372"/>
      <c r="AH406" s="370"/>
      <c r="AI406" s="373"/>
      <c r="AJ406" s="371"/>
      <c r="AK406" s="371"/>
      <c r="AL406" s="372"/>
      <c r="AM406" s="370"/>
      <c r="AN406" s="373"/>
      <c r="AO406" s="371"/>
      <c r="AP406" s="371"/>
      <c r="AQ406" s="372"/>
      <c r="AR406" s="370"/>
      <c r="AS406" s="197"/>
      <c r="AT406" s="2014"/>
      <c r="AU406" s="2014"/>
      <c r="AV406" s="334"/>
      <c r="AW406" s="27"/>
      <c r="AX406" s="332">
        <f>BB406/4</f>
        <v>63.265625</v>
      </c>
      <c r="AY406" s="333">
        <f>AX406</f>
        <v>63.265625</v>
      </c>
      <c r="AZ406" s="333">
        <f t="shared" ref="AZ406:BA406" si="1114">AY406</f>
        <v>63.265625</v>
      </c>
      <c r="BA406" s="334">
        <f t="shared" si="1114"/>
        <v>63.265625</v>
      </c>
      <c r="BB406" s="1679">
        <f>(BB404-AW404)</f>
        <v>253.0625</v>
      </c>
      <c r="BC406" s="332">
        <f>BG406/4</f>
        <v>67.2197265625</v>
      </c>
      <c r="BD406" s="333">
        <f>BC406</f>
        <v>67.2197265625</v>
      </c>
      <c r="BE406" s="333">
        <f t="shared" ref="BE406:BF406" si="1115">BD406</f>
        <v>67.2197265625</v>
      </c>
      <c r="BF406" s="334">
        <f t="shared" si="1115"/>
        <v>67.2197265625</v>
      </c>
      <c r="BG406" s="1679">
        <f>(BG404-BB404)</f>
        <v>268.87890625</v>
      </c>
      <c r="BH406" s="332">
        <f>BL406/4</f>
        <v>71.42095947265625</v>
      </c>
      <c r="BI406" s="333">
        <f>BH406</f>
        <v>71.42095947265625</v>
      </c>
      <c r="BJ406" s="333">
        <f t="shared" ref="BJ406:BK406" si="1116">BI406</f>
        <v>71.42095947265625</v>
      </c>
      <c r="BK406" s="334">
        <f t="shared" si="1116"/>
        <v>71.42095947265625</v>
      </c>
      <c r="BL406" s="1679">
        <f>(BL404-BG404)</f>
        <v>285.683837890625</v>
      </c>
      <c r="BM406" s="332">
        <f>BQ406/4</f>
        <v>75.884769439697266</v>
      </c>
      <c r="BN406" s="333">
        <f>BM406</f>
        <v>75.884769439697266</v>
      </c>
      <c r="BO406" s="333">
        <f t="shared" ref="BO406:BP406" si="1117">BN406</f>
        <v>75.884769439697266</v>
      </c>
      <c r="BP406" s="334">
        <f t="shared" si="1117"/>
        <v>75.884769439697266</v>
      </c>
      <c r="BQ406" s="1679">
        <f>(BQ404-BL404)</f>
        <v>303.53907775878906</v>
      </c>
      <c r="BR406" s="1046"/>
      <c r="BS406" s="1497"/>
      <c r="BT406" s="1497"/>
      <c r="BU406" s="1497"/>
      <c r="BV406" s="1497"/>
    </row>
    <row r="407" spans="1:75">
      <c r="A407" s="5"/>
      <c r="B407" s="5"/>
      <c r="C407" s="1134"/>
      <c r="D407" s="495"/>
      <c r="E407" s="427"/>
      <c r="F407" s="428"/>
      <c r="G407" s="428"/>
      <c r="H407" s="429"/>
      <c r="I407" s="495"/>
      <c r="J407" s="427"/>
      <c r="K407" s="428"/>
      <c r="L407" s="428"/>
      <c r="M407" s="429"/>
      <c r="N407" s="495"/>
      <c r="O407" s="427"/>
      <c r="P407" s="428"/>
      <c r="Q407" s="428"/>
      <c r="R407" s="429"/>
      <c r="S407" s="495"/>
      <c r="T407" s="427"/>
      <c r="U407" s="428"/>
      <c r="V407" s="428"/>
      <c r="W407" s="429"/>
      <c r="X407" s="495"/>
      <c r="Y407" s="427"/>
      <c r="Z407" s="428"/>
      <c r="AA407" s="428"/>
      <c r="AB407" s="429"/>
      <c r="AC407" s="495"/>
      <c r="AD407" s="427"/>
      <c r="AE407" s="428"/>
      <c r="AF407" s="428"/>
      <c r="AG407" s="429"/>
      <c r="AH407" s="495"/>
      <c r="AI407" s="427"/>
      <c r="AJ407" s="428"/>
      <c r="AK407" s="428"/>
      <c r="AL407" s="429"/>
      <c r="AM407" s="495"/>
      <c r="AN407" s="427"/>
      <c r="AO407" s="428"/>
      <c r="AP407" s="18"/>
      <c r="AQ407" s="140"/>
      <c r="AR407" s="27"/>
      <c r="AS407" s="427"/>
      <c r="AT407" s="428"/>
      <c r="AU407" s="428"/>
      <c r="AV407" s="140"/>
      <c r="AW407" s="27"/>
      <c r="AX407" s="139"/>
      <c r="AY407" s="18"/>
      <c r="AZ407" s="18"/>
      <c r="BA407" s="140"/>
      <c r="BB407" s="27"/>
      <c r="BC407" s="139"/>
      <c r="BD407" s="18"/>
      <c r="BE407" s="18"/>
      <c r="BF407" s="140"/>
      <c r="BG407" s="27"/>
      <c r="BH407" s="139"/>
      <c r="BI407" s="18"/>
      <c r="BJ407" s="18"/>
      <c r="BK407" s="140"/>
      <c r="BL407" s="27"/>
      <c r="BM407" s="139"/>
      <c r="BN407" s="18"/>
      <c r="BO407" s="18"/>
      <c r="BP407" s="140"/>
      <c r="BQ407" s="27"/>
      <c r="BR407" s="27"/>
      <c r="BS407" s="1516"/>
      <c r="BT407" s="1516"/>
      <c r="BU407" s="1516"/>
      <c r="BV407" s="1516"/>
    </row>
    <row r="408" spans="1:75">
      <c r="A408" s="327"/>
      <c r="B408" s="110"/>
      <c r="C408" s="1158" t="s">
        <v>173</v>
      </c>
      <c r="D408" s="110"/>
      <c r="E408" s="335">
        <f t="shared" ref="E408:S408" si="1118">+E16</f>
        <v>26.259</v>
      </c>
      <c r="F408" s="336">
        <f t="shared" si="1118"/>
        <v>23.611000000000001</v>
      </c>
      <c r="G408" s="336">
        <f t="shared" si="1118"/>
        <v>22.411999999999999</v>
      </c>
      <c r="H408" s="337">
        <f t="shared" si="1118"/>
        <v>26.878999999999991</v>
      </c>
      <c r="I408" s="327">
        <f t="shared" si="1118"/>
        <v>99.161000000000001</v>
      </c>
      <c r="J408" s="335">
        <f t="shared" si="1118"/>
        <v>24.866</v>
      </c>
      <c r="K408" s="336">
        <f t="shared" si="1118"/>
        <v>26.542000000000002</v>
      </c>
      <c r="L408" s="336">
        <f t="shared" si="1118"/>
        <v>24.922000000000001</v>
      </c>
      <c r="M408" s="337">
        <f t="shared" si="1118"/>
        <v>25.548000000000002</v>
      </c>
      <c r="N408" s="327">
        <f t="shared" si="1118"/>
        <v>101.878</v>
      </c>
      <c r="O408" s="335">
        <f t="shared" si="1118"/>
        <v>21.411999999999999</v>
      </c>
      <c r="P408" s="336">
        <f t="shared" si="1118"/>
        <v>24.088000000000001</v>
      </c>
      <c r="Q408" s="336">
        <f t="shared" si="1118"/>
        <v>29.713000000000001</v>
      </c>
      <c r="R408" s="337">
        <f t="shared" si="1118"/>
        <v>27.748000000000005</v>
      </c>
      <c r="S408" s="327">
        <f t="shared" si="1118"/>
        <v>102.961</v>
      </c>
      <c r="T408" s="335">
        <f t="shared" ref="T408:Z408" si="1119">+T16</f>
        <v>29.768999999999998</v>
      </c>
      <c r="U408" s="336">
        <f t="shared" si="1119"/>
        <v>30.646000000000001</v>
      </c>
      <c r="V408" s="336">
        <f t="shared" si="1119"/>
        <v>29.096</v>
      </c>
      <c r="W408" s="337">
        <f t="shared" si="1119"/>
        <v>34.129000000000005</v>
      </c>
      <c r="X408" s="327">
        <f t="shared" si="1119"/>
        <v>123.64</v>
      </c>
      <c r="Y408" s="335">
        <f t="shared" si="1119"/>
        <v>32.747999999999998</v>
      </c>
      <c r="Z408" s="336">
        <f t="shared" si="1119"/>
        <v>30.34</v>
      </c>
      <c r="AA408" s="336">
        <f t="shared" ref="AA408:AH408" si="1120">+AA16</f>
        <v>33.625999999999998</v>
      </c>
      <c r="AB408" s="337">
        <f t="shared" si="1120"/>
        <v>32.306000000000012</v>
      </c>
      <c r="AC408" s="327">
        <f t="shared" si="1120"/>
        <v>129.02000000000001</v>
      </c>
      <c r="AD408" s="335">
        <f t="shared" si="1120"/>
        <v>32.835999999999999</v>
      </c>
      <c r="AE408" s="336">
        <f t="shared" si="1120"/>
        <v>33.241</v>
      </c>
      <c r="AF408" s="336">
        <f t="shared" si="1120"/>
        <v>32.579000000000001</v>
      </c>
      <c r="AG408" s="337">
        <f t="shared" si="1120"/>
        <v>32.073000000000008</v>
      </c>
      <c r="AH408" s="327">
        <f t="shared" si="1120"/>
        <v>130.72900000000001</v>
      </c>
      <c r="AI408" s="335">
        <f t="shared" ref="AI408:AM408" si="1121">+AI16</f>
        <v>25.213999999999999</v>
      </c>
      <c r="AJ408" s="336">
        <f t="shared" si="1121"/>
        <v>34.917000000000002</v>
      </c>
      <c r="AK408" s="336">
        <f t="shared" si="1121"/>
        <v>22.89</v>
      </c>
      <c r="AL408" s="337">
        <f t="shared" si="1121"/>
        <v>27.512</v>
      </c>
      <c r="AM408" s="327">
        <f t="shared" si="1121"/>
        <v>110.533</v>
      </c>
      <c r="AN408" s="335">
        <f t="shared" ref="AN408:AR408" si="1122">+AN16</f>
        <v>24.241</v>
      </c>
      <c r="AO408" s="336">
        <f t="shared" si="1122"/>
        <v>25.542000000000002</v>
      </c>
      <c r="AP408" s="336">
        <f t="shared" si="1122"/>
        <v>23.893000000000001</v>
      </c>
      <c r="AQ408" s="337">
        <f t="shared" si="1122"/>
        <v>20.597999999999999</v>
      </c>
      <c r="AR408" s="327">
        <f t="shared" si="1122"/>
        <v>94.274000000000001</v>
      </c>
      <c r="AS408" s="335">
        <f t="shared" ref="AS408:AT408" si="1123">+AS16</f>
        <v>22.920999999999999</v>
      </c>
      <c r="AT408" s="336">
        <f t="shared" si="1123"/>
        <v>18.855</v>
      </c>
      <c r="AU408" s="336">
        <f t="shared" ref="AU408:AW408" si="1124">+AU16</f>
        <v>18.199000000000002</v>
      </c>
      <c r="AV408" s="337">
        <f t="shared" si="1124"/>
        <v>19.64200000000001</v>
      </c>
      <c r="AW408" s="327">
        <f t="shared" si="1124"/>
        <v>79.617000000000004</v>
      </c>
      <c r="AX408" s="335">
        <f>SUM(AX409:AX411)</f>
        <v>31.25</v>
      </c>
      <c r="AY408" s="336">
        <f>SUM(AY409:AY411)</f>
        <v>31.25</v>
      </c>
      <c r="AZ408" s="336">
        <f>SUM(AZ409:AZ411)</f>
        <v>31.25</v>
      </c>
      <c r="BA408" s="337">
        <f>SUM(BA409:BA411)</f>
        <v>31.25</v>
      </c>
      <c r="BB408" s="327">
        <f>SUM(AX408:BA408)</f>
        <v>125</v>
      </c>
      <c r="BC408" s="335">
        <f>SUM(BC409:BC411)</f>
        <v>25</v>
      </c>
      <c r="BD408" s="336">
        <f>SUM(BD409:BD411)</f>
        <v>25</v>
      </c>
      <c r="BE408" s="336">
        <f>SUM(BE409:BE411)</f>
        <v>25</v>
      </c>
      <c r="BF408" s="337">
        <f>SUM(BF409:BF411)</f>
        <v>25</v>
      </c>
      <c r="BG408" s="327">
        <f>SUM(BC408:BF408)</f>
        <v>100</v>
      </c>
      <c r="BH408" s="335">
        <f>SUM(BH409:BH411)</f>
        <v>18.75</v>
      </c>
      <c r="BI408" s="336">
        <f>SUM(BI409:BI411)</f>
        <v>18.75</v>
      </c>
      <c r="BJ408" s="336">
        <f>SUM(BJ409:BJ411)</f>
        <v>18.75</v>
      </c>
      <c r="BK408" s="337">
        <f>SUM(BK409:BK411)</f>
        <v>18.75</v>
      </c>
      <c r="BL408" s="327">
        <f>SUM(BH408:BK408)</f>
        <v>75</v>
      </c>
      <c r="BM408" s="335">
        <f>SUM(BM409:BM411)</f>
        <v>10</v>
      </c>
      <c r="BN408" s="336">
        <f>SUM(BN409:BN411)</f>
        <v>10</v>
      </c>
      <c r="BO408" s="336">
        <f>SUM(BO409:BO411)</f>
        <v>10</v>
      </c>
      <c r="BP408" s="337">
        <f>SUM(BP409:BP411)</f>
        <v>10</v>
      </c>
      <c r="BQ408" s="327">
        <f>SUM(BM408:BP408)</f>
        <v>40</v>
      </c>
      <c r="BR408" s="327"/>
      <c r="BS408" s="458"/>
      <c r="BT408" s="458"/>
      <c r="BU408" s="458"/>
      <c r="BV408" s="458"/>
    </row>
    <row r="409" spans="1:75">
      <c r="A409" s="320"/>
      <c r="B409" s="320"/>
      <c r="C409" s="1125" t="s">
        <v>674</v>
      </c>
      <c r="D409" s="348"/>
      <c r="E409" s="393">
        <v>0</v>
      </c>
      <c r="F409" s="190">
        <v>0</v>
      </c>
      <c r="G409" s="190">
        <v>0</v>
      </c>
      <c r="H409" s="251">
        <f>I409-SUM(E409:G409)</f>
        <v>0</v>
      </c>
      <c r="I409" s="348">
        <v>0</v>
      </c>
      <c r="J409" s="393">
        <v>0</v>
      </c>
      <c r="K409" s="190">
        <v>0</v>
      </c>
      <c r="L409" s="190">
        <v>0</v>
      </c>
      <c r="M409" s="251">
        <f>N409-SUM(J409:L409)</f>
        <v>0</v>
      </c>
      <c r="N409" s="348">
        <v>0</v>
      </c>
      <c r="O409" s="393">
        <v>0</v>
      </c>
      <c r="P409" s="190">
        <v>0</v>
      </c>
      <c r="Q409" s="190">
        <v>0</v>
      </c>
      <c r="R409" s="251">
        <f>S409-SUM(O409:Q409)</f>
        <v>0</v>
      </c>
      <c r="S409" s="348">
        <v>0</v>
      </c>
      <c r="T409" s="393">
        <v>0</v>
      </c>
      <c r="U409" s="190">
        <v>0</v>
      </c>
      <c r="V409" s="190">
        <v>0</v>
      </c>
      <c r="W409" s="251">
        <f>X409-SUM(T409:V409)</f>
        <v>0</v>
      </c>
      <c r="X409" s="348">
        <v>0</v>
      </c>
      <c r="Y409" s="393">
        <v>0</v>
      </c>
      <c r="Z409" s="190">
        <v>0</v>
      </c>
      <c r="AA409" s="190">
        <v>0</v>
      </c>
      <c r="AB409" s="251">
        <f>AC409-SUM(Y409:AA409)</f>
        <v>0</v>
      </c>
      <c r="AC409" s="348">
        <v>0</v>
      </c>
      <c r="AD409" s="393">
        <v>0</v>
      </c>
      <c r="AE409" s="190">
        <v>0</v>
      </c>
      <c r="AF409" s="190">
        <v>0</v>
      </c>
      <c r="AG409" s="251">
        <f>AH409-SUM(AD409:AF409)</f>
        <v>0</v>
      </c>
      <c r="AH409" s="348">
        <v>0</v>
      </c>
      <c r="AI409" s="393">
        <v>0</v>
      </c>
      <c r="AJ409" s="190">
        <v>0</v>
      </c>
      <c r="AK409" s="190">
        <v>0</v>
      </c>
      <c r="AL409" s="251">
        <f>AM409-SUM(AI409:AK409)</f>
        <v>0</v>
      </c>
      <c r="AM409" s="348">
        <v>0</v>
      </c>
      <c r="AN409" s="393">
        <v>0</v>
      </c>
      <c r="AO409" s="190">
        <v>0.9</v>
      </c>
      <c r="AP409" s="190">
        <v>1.8</v>
      </c>
      <c r="AQ409" s="251">
        <f>AR409-SUM(AN409:AP409)</f>
        <v>2.8</v>
      </c>
      <c r="AR409" s="348">
        <v>5.5</v>
      </c>
      <c r="AS409" s="393">
        <v>4.0999999999999996</v>
      </c>
      <c r="AT409" s="190">
        <v>2.5</v>
      </c>
      <c r="AU409" s="190">
        <v>1.5</v>
      </c>
      <c r="AV409" s="251">
        <f>AW409-SUM(AS409:AU409)</f>
        <v>-17.7</v>
      </c>
      <c r="AW409" s="348">
        <v>-9.6</v>
      </c>
      <c r="AX409" s="183">
        <v>0</v>
      </c>
      <c r="AY409" s="184">
        <v>0</v>
      </c>
      <c r="AZ409" s="184">
        <v>0</v>
      </c>
      <c r="BA409" s="185">
        <v>0</v>
      </c>
      <c r="BB409" s="107">
        <f>SUM(AX409:BA409)</f>
        <v>0</v>
      </c>
      <c r="BC409" s="183">
        <v>0</v>
      </c>
      <c r="BD409" s="184">
        <v>0</v>
      </c>
      <c r="BE409" s="184">
        <v>0</v>
      </c>
      <c r="BF409" s="185">
        <v>0</v>
      </c>
      <c r="BG409" s="107">
        <f>SUM(BC409:BF409)</f>
        <v>0</v>
      </c>
      <c r="BH409" s="183">
        <v>0</v>
      </c>
      <c r="BI409" s="184">
        <v>0</v>
      </c>
      <c r="BJ409" s="184">
        <v>0</v>
      </c>
      <c r="BK409" s="185">
        <v>0</v>
      </c>
      <c r="BL409" s="107">
        <f>SUM(BH409:BK409)</f>
        <v>0</v>
      </c>
      <c r="BM409" s="183">
        <v>0</v>
      </c>
      <c r="BN409" s="184">
        <v>0</v>
      </c>
      <c r="BO409" s="184">
        <v>0</v>
      </c>
      <c r="BP409" s="185">
        <v>0</v>
      </c>
      <c r="BQ409" s="107">
        <f>SUM(BM409:BP409)</f>
        <v>0</v>
      </c>
      <c r="BR409" s="107"/>
      <c r="BS409" s="1496"/>
      <c r="BT409" s="1496"/>
      <c r="BU409" s="1496"/>
      <c r="BV409" s="1496"/>
    </row>
    <row r="410" spans="1:75">
      <c r="A410" s="320"/>
      <c r="B410" s="320"/>
      <c r="C410" s="1125" t="s">
        <v>453</v>
      </c>
      <c r="D410" s="320"/>
      <c r="E410" s="405"/>
      <c r="F410" s="406"/>
      <c r="G410" s="406"/>
      <c r="H410" s="251"/>
      <c r="I410" s="348"/>
      <c r="J410" s="393"/>
      <c r="K410" s="190"/>
      <c r="L410" s="190"/>
      <c r="M410" s="251"/>
      <c r="N410" s="348"/>
      <c r="O410" s="393"/>
      <c r="P410" s="190"/>
      <c r="Q410" s="190"/>
      <c r="R410" s="251"/>
      <c r="S410" s="348"/>
      <c r="T410" s="393"/>
      <c r="U410" s="190"/>
      <c r="V410" s="190"/>
      <c r="W410" s="251"/>
      <c r="X410" s="348"/>
      <c r="Y410" s="393"/>
      <c r="Z410" s="190"/>
      <c r="AA410" s="190"/>
      <c r="AB410" s="251"/>
      <c r="AC410" s="348"/>
      <c r="AD410" s="393"/>
      <c r="AE410" s="190"/>
      <c r="AF410" s="190"/>
      <c r="AG410" s="251"/>
      <c r="AH410" s="348"/>
      <c r="AI410" s="393"/>
      <c r="AJ410" s="190"/>
      <c r="AK410" s="190"/>
      <c r="AL410" s="251"/>
      <c r="AM410" s="348"/>
      <c r="AN410" s="393"/>
      <c r="AO410" s="190"/>
      <c r="AP410" s="190"/>
      <c r="AQ410" s="251"/>
      <c r="AR410" s="348"/>
      <c r="AS410" s="393"/>
      <c r="AT410" s="190"/>
      <c r="AU410" s="190"/>
      <c r="AV410" s="251"/>
      <c r="AW410" s="348"/>
      <c r="AX410" s="183">
        <v>0</v>
      </c>
      <c r="AY410" s="184">
        <v>0</v>
      </c>
      <c r="AZ410" s="184">
        <v>0</v>
      </c>
      <c r="BA410" s="185">
        <v>0</v>
      </c>
      <c r="BB410" s="107">
        <f>SUM(AX410:BA410)</f>
        <v>0</v>
      </c>
      <c r="BC410" s="183">
        <v>0</v>
      </c>
      <c r="BD410" s="184">
        <v>0</v>
      </c>
      <c r="BE410" s="184">
        <v>0</v>
      </c>
      <c r="BF410" s="185">
        <v>0</v>
      </c>
      <c r="BG410" s="107">
        <f>SUM(BC410:BF410)</f>
        <v>0</v>
      </c>
      <c r="BH410" s="183">
        <v>0</v>
      </c>
      <c r="BI410" s="184">
        <v>0</v>
      </c>
      <c r="BJ410" s="184">
        <v>0</v>
      </c>
      <c r="BK410" s="185">
        <v>0</v>
      </c>
      <c r="BL410" s="107">
        <f>SUM(BH410:BK410)</f>
        <v>0</v>
      </c>
      <c r="BM410" s="183">
        <v>0</v>
      </c>
      <c r="BN410" s="184">
        <v>0</v>
      </c>
      <c r="BO410" s="184">
        <v>0</v>
      </c>
      <c r="BP410" s="185">
        <v>0</v>
      </c>
      <c r="BQ410" s="107">
        <f>SUM(BM410:BP410)</f>
        <v>0</v>
      </c>
      <c r="BR410" s="107"/>
      <c r="BS410" s="1496"/>
      <c r="BT410" s="1496"/>
      <c r="BU410" s="1496"/>
      <c r="BV410" s="1496"/>
    </row>
    <row r="411" spans="1:75" s="103" customFormat="1">
      <c r="A411" s="331"/>
      <c r="B411" s="44"/>
      <c r="C411" s="1159" t="s">
        <v>174</v>
      </c>
      <c r="D411" s="44"/>
      <c r="E411" s="332">
        <f t="shared" ref="E411:U411" si="1125">E408-E409</f>
        <v>26.259</v>
      </c>
      <c r="F411" s="333">
        <f t="shared" si="1125"/>
        <v>23.611000000000001</v>
      </c>
      <c r="G411" s="333">
        <f t="shared" si="1125"/>
        <v>22.411999999999999</v>
      </c>
      <c r="H411" s="334">
        <f t="shared" si="1125"/>
        <v>26.878999999999991</v>
      </c>
      <c r="I411" s="331">
        <f t="shared" si="1125"/>
        <v>99.161000000000001</v>
      </c>
      <c r="J411" s="332">
        <f t="shared" si="1125"/>
        <v>24.866</v>
      </c>
      <c r="K411" s="333">
        <f t="shared" si="1125"/>
        <v>26.542000000000002</v>
      </c>
      <c r="L411" s="333">
        <f t="shared" si="1125"/>
        <v>24.922000000000001</v>
      </c>
      <c r="M411" s="334">
        <f t="shared" si="1125"/>
        <v>25.548000000000002</v>
      </c>
      <c r="N411" s="331">
        <f t="shared" si="1125"/>
        <v>101.878</v>
      </c>
      <c r="O411" s="332">
        <f t="shared" si="1125"/>
        <v>21.411999999999999</v>
      </c>
      <c r="P411" s="333">
        <f t="shared" si="1125"/>
        <v>24.088000000000001</v>
      </c>
      <c r="Q411" s="333">
        <f t="shared" si="1125"/>
        <v>29.713000000000001</v>
      </c>
      <c r="R411" s="334">
        <f t="shared" si="1125"/>
        <v>27.748000000000005</v>
      </c>
      <c r="S411" s="331">
        <f t="shared" si="1125"/>
        <v>102.961</v>
      </c>
      <c r="T411" s="332">
        <f t="shared" si="1125"/>
        <v>29.768999999999998</v>
      </c>
      <c r="U411" s="333">
        <f t="shared" si="1125"/>
        <v>30.646000000000001</v>
      </c>
      <c r="V411" s="333">
        <f t="shared" ref="V411:AA411" si="1126">V408-V409</f>
        <v>29.096</v>
      </c>
      <c r="W411" s="334">
        <f t="shared" si="1126"/>
        <v>34.129000000000005</v>
      </c>
      <c r="X411" s="331">
        <f t="shared" si="1126"/>
        <v>123.64</v>
      </c>
      <c r="Y411" s="332">
        <f t="shared" si="1126"/>
        <v>32.747999999999998</v>
      </c>
      <c r="Z411" s="333">
        <f t="shared" si="1126"/>
        <v>30.34</v>
      </c>
      <c r="AA411" s="333">
        <f t="shared" si="1126"/>
        <v>33.625999999999998</v>
      </c>
      <c r="AB411" s="334">
        <f>AB408-AB409</f>
        <v>32.306000000000012</v>
      </c>
      <c r="AC411" s="331">
        <f>AC408-AC409</f>
        <v>129.02000000000001</v>
      </c>
      <c r="AD411" s="332">
        <f>AD408-AD409</f>
        <v>32.835999999999999</v>
      </c>
      <c r="AE411" s="333">
        <f>AE408-AE409</f>
        <v>33.241</v>
      </c>
      <c r="AF411" s="333">
        <f t="shared" ref="AF411" si="1127">AF408-AF409</f>
        <v>32.579000000000001</v>
      </c>
      <c r="AG411" s="334">
        <f>AG408-AG409</f>
        <v>32.073000000000008</v>
      </c>
      <c r="AH411" s="331">
        <f>AH408-AH409</f>
        <v>130.72900000000001</v>
      </c>
      <c r="AI411" s="332">
        <f>AI408-AI409</f>
        <v>25.213999999999999</v>
      </c>
      <c r="AJ411" s="333">
        <f>AJ408-AJ409</f>
        <v>34.917000000000002</v>
      </c>
      <c r="AK411" s="333">
        <f t="shared" ref="AK411" si="1128">AK408-AK409</f>
        <v>22.89</v>
      </c>
      <c r="AL411" s="334">
        <f t="shared" ref="AL411:AR411" si="1129">AL408-AL409</f>
        <v>27.512</v>
      </c>
      <c r="AM411" s="331">
        <f t="shared" si="1129"/>
        <v>110.533</v>
      </c>
      <c r="AN411" s="332">
        <f t="shared" si="1129"/>
        <v>24.241</v>
      </c>
      <c r="AO411" s="333">
        <f t="shared" si="1129"/>
        <v>24.642000000000003</v>
      </c>
      <c r="AP411" s="333">
        <f t="shared" si="1129"/>
        <v>22.093</v>
      </c>
      <c r="AQ411" s="334">
        <f t="shared" si="1129"/>
        <v>17.797999999999998</v>
      </c>
      <c r="AR411" s="331">
        <f t="shared" si="1129"/>
        <v>88.774000000000001</v>
      </c>
      <c r="AS411" s="332">
        <f t="shared" ref="AS411:AT411" si="1130">AS408-AS409</f>
        <v>18.820999999999998</v>
      </c>
      <c r="AT411" s="333">
        <f t="shared" si="1130"/>
        <v>16.355</v>
      </c>
      <c r="AU411" s="333">
        <f t="shared" ref="AU411:AW411" si="1131">AU408-AU409</f>
        <v>16.699000000000002</v>
      </c>
      <c r="AV411" s="334">
        <f t="shared" si="1131"/>
        <v>37.342000000000013</v>
      </c>
      <c r="AW411" s="331">
        <f t="shared" si="1131"/>
        <v>89.216999999999999</v>
      </c>
      <c r="AX411" s="332">
        <f>BB411/4</f>
        <v>31.25</v>
      </c>
      <c r="AY411" s="333">
        <f>AX411</f>
        <v>31.25</v>
      </c>
      <c r="AZ411" s="333">
        <f>AY411</f>
        <v>31.25</v>
      </c>
      <c r="BA411" s="334">
        <f>AZ411</f>
        <v>31.25</v>
      </c>
      <c r="BB411" s="1679">
        <v>125</v>
      </c>
      <c r="BC411" s="332">
        <f>BG411/4</f>
        <v>25</v>
      </c>
      <c r="BD411" s="333">
        <f>BC411</f>
        <v>25</v>
      </c>
      <c r="BE411" s="333">
        <f>BD411</f>
        <v>25</v>
      </c>
      <c r="BF411" s="334">
        <f>BE411</f>
        <v>25</v>
      </c>
      <c r="BG411" s="1679">
        <v>100</v>
      </c>
      <c r="BH411" s="332">
        <f>BL411/4</f>
        <v>18.75</v>
      </c>
      <c r="BI411" s="333">
        <f>BH411</f>
        <v>18.75</v>
      </c>
      <c r="BJ411" s="333">
        <f>BI411</f>
        <v>18.75</v>
      </c>
      <c r="BK411" s="334">
        <f>BJ411</f>
        <v>18.75</v>
      </c>
      <c r="BL411" s="1679">
        <v>75</v>
      </c>
      <c r="BM411" s="332">
        <f>BQ411/4</f>
        <v>10</v>
      </c>
      <c r="BN411" s="333">
        <f>BM411</f>
        <v>10</v>
      </c>
      <c r="BO411" s="333">
        <f>BN411</f>
        <v>10</v>
      </c>
      <c r="BP411" s="334">
        <f>BO411</f>
        <v>10</v>
      </c>
      <c r="BQ411" s="1679">
        <v>40</v>
      </c>
      <c r="BR411" s="331"/>
      <c r="BS411" s="465"/>
      <c r="BT411" s="465"/>
      <c r="BU411" s="465"/>
      <c r="BV411" s="465"/>
      <c r="BW411" s="1518"/>
    </row>
    <row r="412" spans="1:75">
      <c r="A412" s="370"/>
      <c r="B412" s="370"/>
      <c r="C412" s="1160" t="s">
        <v>676</v>
      </c>
      <c r="D412" s="370"/>
      <c r="E412" s="373"/>
      <c r="F412" s="371"/>
      <c r="G412" s="371"/>
      <c r="H412" s="372"/>
      <c r="I412" s="370"/>
      <c r="J412" s="373">
        <f t="shared" ref="J412:X412" si="1132">J411/E411-1</f>
        <v>-5.3048478616855244E-2</v>
      </c>
      <c r="K412" s="371">
        <f t="shared" si="1132"/>
        <v>0.12413705476261061</v>
      </c>
      <c r="L412" s="371">
        <f t="shared" si="1132"/>
        <v>0.11199357487060513</v>
      </c>
      <c r="M412" s="372">
        <f t="shared" si="1132"/>
        <v>-4.9518211242977395E-2</v>
      </c>
      <c r="N412" s="370">
        <f t="shared" si="1132"/>
        <v>2.7399885035447324E-2</v>
      </c>
      <c r="O412" s="373">
        <f t="shared" si="1132"/>
        <v>-0.13890452827153543</v>
      </c>
      <c r="P412" s="371">
        <f t="shared" si="1132"/>
        <v>-9.2457237585713226E-2</v>
      </c>
      <c r="Q412" s="371">
        <f t="shared" si="1132"/>
        <v>0.19223978813899367</v>
      </c>
      <c r="R412" s="372">
        <f t="shared" si="1132"/>
        <v>8.6112415844684653E-2</v>
      </c>
      <c r="S412" s="370">
        <f t="shared" si="1132"/>
        <v>1.0630361805296529E-2</v>
      </c>
      <c r="T412" s="373">
        <f t="shared" si="1132"/>
        <v>0.3902951615916308</v>
      </c>
      <c r="U412" s="371">
        <f t="shared" si="1132"/>
        <v>0.27225174360677507</v>
      </c>
      <c r="V412" s="371">
        <f t="shared" si="1132"/>
        <v>-2.0765321576414419E-2</v>
      </c>
      <c r="W412" s="372">
        <f t="shared" si="1132"/>
        <v>0.22996251982124827</v>
      </c>
      <c r="X412" s="370">
        <f t="shared" si="1132"/>
        <v>0.20084303765503453</v>
      </c>
      <c r="Y412" s="373">
        <f t="shared" ref="Y412:AE412" si="1133">Y411/T411-1</f>
        <v>0.1000705431825053</v>
      </c>
      <c r="Z412" s="371">
        <f t="shared" si="1133"/>
        <v>-9.9849898844873719E-3</v>
      </c>
      <c r="AA412" s="371">
        <f t="shared" si="1133"/>
        <v>0.15569150398680232</v>
      </c>
      <c r="AB412" s="372">
        <f t="shared" si="1133"/>
        <v>-5.3414984324181569E-2</v>
      </c>
      <c r="AC412" s="370">
        <f t="shared" si="1133"/>
        <v>4.3513426075703743E-2</v>
      </c>
      <c r="AD412" s="373">
        <f t="shared" si="1133"/>
        <v>2.6871870037865619E-3</v>
      </c>
      <c r="AE412" s="371">
        <f t="shared" si="1133"/>
        <v>9.5616348055372447E-2</v>
      </c>
      <c r="AF412" s="371">
        <f t="shared" ref="AF412" si="1134">AF411/AA411-1</f>
        <v>-3.1136620472253518E-2</v>
      </c>
      <c r="AG412" s="372">
        <f t="shared" ref="AG412" si="1135">AG411/AB411-1</f>
        <v>-7.2122825481335529E-3</v>
      </c>
      <c r="AH412" s="370">
        <f t="shared" ref="AH412" si="1136">AH411/AC411-1</f>
        <v>1.3246008370795259E-2</v>
      </c>
      <c r="AI412" s="373">
        <f t="shared" ref="AI412" si="1137">AI411/AD411-1</f>
        <v>-0.23212327932756727</v>
      </c>
      <c r="AJ412" s="371">
        <f t="shared" ref="AJ412" si="1138">AJ411/AE411-1</f>
        <v>5.0419662465028159E-2</v>
      </c>
      <c r="AK412" s="371">
        <f t="shared" ref="AK412" si="1139">AK411/AF411-1</f>
        <v>-0.29740016575094386</v>
      </c>
      <c r="AL412" s="372">
        <f t="shared" ref="AL412" si="1140">AL411/AG411-1</f>
        <v>-0.14220684064477929</v>
      </c>
      <c r="AM412" s="370">
        <f t="shared" ref="AM412" si="1141">AM411/AH411-1</f>
        <v>-0.15448752763350149</v>
      </c>
      <c r="AN412" s="373">
        <f t="shared" ref="AN412" si="1142">AN411/AI411-1</f>
        <v>-3.8589672404219844E-2</v>
      </c>
      <c r="AO412" s="371">
        <f t="shared" ref="AO412:AP412" si="1143">AO411/AJ411-1</f>
        <v>-0.29426926711916823</v>
      </c>
      <c r="AP412" s="371">
        <f t="shared" si="1143"/>
        <v>-3.4818698121450442E-2</v>
      </c>
      <c r="AQ412" s="372">
        <f t="shared" ref="AQ412" si="1144">AQ411/AL411-1</f>
        <v>-0.35308229136376856</v>
      </c>
      <c r="AR412" s="370">
        <f t="shared" ref="AR412:AT412" si="1145">AR411/AM411-1</f>
        <v>-0.19685523780228531</v>
      </c>
      <c r="AS412" s="373">
        <f t="shared" si="1145"/>
        <v>-0.22358813580297854</v>
      </c>
      <c r="AT412" s="371">
        <f t="shared" si="1145"/>
        <v>-0.33629575521467425</v>
      </c>
      <c r="AU412" s="371">
        <f t="shared" ref="AU412" si="1146">AU411/AP411-1</f>
        <v>-0.24414973068392698</v>
      </c>
      <c r="AV412" s="372">
        <f t="shared" ref="AV412" si="1147">AV411/AQ411-1</f>
        <v>1.0981009102146317</v>
      </c>
      <c r="AW412" s="370">
        <f t="shared" ref="AW412" si="1148">AW411/AR411-1</f>
        <v>4.9901998332844144E-3</v>
      </c>
      <c r="AX412" s="373">
        <f t="shared" ref="AX412" si="1149">AX411/AS411-1</f>
        <v>0.66037936347696746</v>
      </c>
      <c r="AY412" s="371">
        <f t="shared" ref="AY412" si="1150">AY411/AT411-1</f>
        <v>0.9107306634056862</v>
      </c>
      <c r="AZ412" s="371">
        <f t="shared" ref="AZ412" si="1151">AZ411/AU411-1</f>
        <v>0.87136954308641212</v>
      </c>
      <c r="BA412" s="372">
        <f t="shared" ref="BA412" si="1152">BA411/AV411-1</f>
        <v>-0.16314069948047805</v>
      </c>
      <c r="BB412" s="370">
        <f t="shared" ref="BB412" si="1153">BB411/AW411-1</f>
        <v>0.40107826983646611</v>
      </c>
      <c r="BC412" s="373">
        <f t="shared" ref="BC412" si="1154">BC411/AX411-1</f>
        <v>-0.19999999999999996</v>
      </c>
      <c r="BD412" s="371">
        <f t="shared" ref="BD412" si="1155">BD411/AY411-1</f>
        <v>-0.19999999999999996</v>
      </c>
      <c r="BE412" s="371">
        <f t="shared" ref="BE412" si="1156">BE411/AZ411-1</f>
        <v>-0.19999999999999996</v>
      </c>
      <c r="BF412" s="372">
        <f t="shared" ref="BF412" si="1157">BF411/BA411-1</f>
        <v>-0.19999999999999996</v>
      </c>
      <c r="BG412" s="370">
        <f t="shared" ref="BG412" si="1158">BG411/BB411-1</f>
        <v>-0.19999999999999996</v>
      </c>
      <c r="BH412" s="373">
        <f t="shared" ref="BH412" si="1159">BH411/BC411-1</f>
        <v>-0.25</v>
      </c>
      <c r="BI412" s="371">
        <f t="shared" ref="BI412" si="1160">BI411/BD411-1</f>
        <v>-0.25</v>
      </c>
      <c r="BJ412" s="371">
        <f t="shared" ref="BJ412" si="1161">BJ411/BE411-1</f>
        <v>-0.25</v>
      </c>
      <c r="BK412" s="372">
        <f t="shared" ref="BK412" si="1162">BK411/BF411-1</f>
        <v>-0.25</v>
      </c>
      <c r="BL412" s="370">
        <f t="shared" ref="BL412" si="1163">BL411/BG411-1</f>
        <v>-0.25</v>
      </c>
      <c r="BM412" s="373">
        <f t="shared" ref="BM412" si="1164">BM411/BH411-1</f>
        <v>-0.46666666666666667</v>
      </c>
      <c r="BN412" s="371">
        <f t="shared" ref="BN412" si="1165">BN411/BI411-1</f>
        <v>-0.46666666666666667</v>
      </c>
      <c r="BO412" s="371">
        <f t="shared" ref="BO412" si="1166">BO411/BJ411-1</f>
        <v>-0.46666666666666667</v>
      </c>
      <c r="BP412" s="372">
        <f t="shared" ref="BP412" si="1167">BP411/BK411-1</f>
        <v>-0.46666666666666667</v>
      </c>
      <c r="BQ412" s="370">
        <f t="shared" ref="BQ412" si="1168">BQ411/BL411-1</f>
        <v>-0.46666666666666667</v>
      </c>
      <c r="BR412" s="1046"/>
      <c r="BS412" s="1497"/>
      <c r="BT412" s="1497"/>
      <c r="BU412" s="1497"/>
      <c r="BV412" s="1497"/>
    </row>
    <row r="413" spans="1:75">
      <c r="A413" s="320"/>
      <c r="B413" s="420"/>
      <c r="C413" s="1159"/>
      <c r="D413" s="420"/>
      <c r="E413" s="324"/>
      <c r="F413" s="325"/>
      <c r="G413" s="325"/>
      <c r="H413" s="326"/>
      <c r="I413" s="320"/>
      <c r="J413" s="324"/>
      <c r="K413" s="325"/>
      <c r="L413" s="325"/>
      <c r="M413" s="326"/>
      <c r="N413" s="320"/>
      <c r="O413" s="324"/>
      <c r="P413" s="325"/>
      <c r="Q413" s="325"/>
      <c r="R413" s="326"/>
      <c r="S413" s="320"/>
      <c r="T413" s="324"/>
      <c r="U413" s="325"/>
      <c r="V413" s="325"/>
      <c r="W413" s="326"/>
      <c r="X413" s="320"/>
      <c r="Y413" s="324"/>
      <c r="Z413" s="325"/>
      <c r="AA413" s="325"/>
      <c r="AB413" s="326"/>
      <c r="AC413" s="1046"/>
      <c r="AD413" s="324"/>
      <c r="AE413" s="325"/>
      <c r="AF413" s="325"/>
      <c r="AG413" s="326"/>
      <c r="AH413" s="320"/>
      <c r="AI413" s="324"/>
      <c r="AJ413" s="325"/>
      <c r="AK413" s="325"/>
      <c r="AL413" s="326"/>
      <c r="AM413" s="320"/>
      <c r="AN413" s="324"/>
      <c r="AO413" s="325"/>
      <c r="AP413" s="325"/>
      <c r="AQ413" s="326"/>
      <c r="AR413" s="320"/>
      <c r="AS413" s="324"/>
      <c r="AT413" s="325"/>
      <c r="AU413" s="325"/>
      <c r="AV413" s="326"/>
      <c r="AW413" s="320"/>
      <c r="AX413" s="324"/>
      <c r="AY413" s="325"/>
      <c r="AZ413" s="325"/>
      <c r="BA413" s="326"/>
      <c r="BB413" s="320"/>
      <c r="BC413" s="324"/>
      <c r="BD413" s="325"/>
      <c r="BE413" s="325"/>
      <c r="BF413" s="326"/>
      <c r="BG413" s="320"/>
      <c r="BH413" s="324"/>
      <c r="BI413" s="325"/>
      <c r="BJ413" s="325"/>
      <c r="BK413" s="326"/>
      <c r="BL413" s="320"/>
      <c r="BM413" s="324"/>
      <c r="BN413" s="325"/>
      <c r="BO413" s="325"/>
      <c r="BP413" s="326"/>
      <c r="BQ413" s="320"/>
      <c r="BR413" s="320"/>
      <c r="BS413" s="1530"/>
      <c r="BT413" s="1530"/>
      <c r="BU413" s="1530"/>
      <c r="BV413" s="1530"/>
    </row>
    <row r="414" spans="1:75">
      <c r="A414" s="370"/>
      <c r="B414" s="370"/>
      <c r="C414" s="1160"/>
      <c r="D414" s="370"/>
      <c r="E414" s="373"/>
      <c r="F414" s="371"/>
      <c r="G414" s="371"/>
      <c r="H414" s="372"/>
      <c r="I414" s="370"/>
      <c r="J414" s="373"/>
      <c r="K414" s="371"/>
      <c r="L414" s="371"/>
      <c r="M414" s="372"/>
      <c r="N414" s="370"/>
      <c r="O414" s="373"/>
      <c r="P414" s="371"/>
      <c r="Q414" s="371"/>
      <c r="R414" s="372"/>
      <c r="S414" s="370"/>
      <c r="T414" s="373"/>
      <c r="U414" s="371"/>
      <c r="V414" s="371"/>
      <c r="W414" s="372"/>
      <c r="X414" s="370"/>
      <c r="Y414" s="373"/>
      <c r="Z414" s="371"/>
      <c r="AA414" s="371"/>
      <c r="AB414" s="372"/>
      <c r="AC414" s="370"/>
      <c r="AD414" s="373"/>
      <c r="AE414" s="371"/>
      <c r="AF414" s="371"/>
      <c r="AG414" s="372"/>
      <c r="AH414" s="370"/>
      <c r="AI414" s="373"/>
      <c r="AJ414" s="371"/>
      <c r="AK414" s="371"/>
      <c r="AL414" s="372"/>
      <c r="AM414" s="370"/>
      <c r="AN414" s="373"/>
      <c r="AO414" s="371"/>
      <c r="AP414" s="371"/>
      <c r="AQ414" s="372"/>
      <c r="AR414" s="370"/>
      <c r="AS414" s="373"/>
      <c r="AT414" s="371"/>
      <c r="AU414" s="371"/>
      <c r="AV414" s="372"/>
      <c r="AW414" s="370"/>
      <c r="AX414" s="373"/>
      <c r="AY414" s="371"/>
      <c r="AZ414" s="371"/>
      <c r="BA414" s="372"/>
      <c r="BB414" s="370"/>
      <c r="BC414" s="373"/>
      <c r="BD414" s="371"/>
      <c r="BE414" s="371"/>
      <c r="BF414" s="372"/>
      <c r="BG414" s="370"/>
      <c r="BH414" s="373"/>
      <c r="BI414" s="371"/>
      <c r="BJ414" s="371"/>
      <c r="BK414" s="372"/>
      <c r="BL414" s="370"/>
      <c r="BM414" s="373"/>
      <c r="BN414" s="371"/>
      <c r="BO414" s="371"/>
      <c r="BP414" s="372"/>
      <c r="BQ414" s="370"/>
      <c r="BR414" s="370"/>
      <c r="BS414" s="1497"/>
      <c r="BT414" s="1497"/>
      <c r="BU414" s="1497"/>
      <c r="BV414" s="1497"/>
    </row>
    <row r="415" spans="1:75">
      <c r="A415" s="5"/>
      <c r="B415" s="439" t="s">
        <v>661</v>
      </c>
      <c r="C415" s="1126"/>
      <c r="D415" s="92"/>
      <c r="E415" s="133"/>
      <c r="F415" s="134"/>
      <c r="G415" s="134"/>
      <c r="H415" s="135"/>
      <c r="I415" s="5"/>
      <c r="J415" s="133"/>
      <c r="K415" s="134"/>
      <c r="L415" s="134"/>
      <c r="M415" s="135"/>
      <c r="N415" s="5"/>
      <c r="O415" s="133"/>
      <c r="P415" s="134"/>
      <c r="Q415" s="134"/>
      <c r="R415" s="135"/>
      <c r="S415" s="5"/>
      <c r="T415" s="133"/>
      <c r="U415" s="134"/>
      <c r="V415" s="134"/>
      <c r="W415" s="135"/>
      <c r="X415" s="5"/>
      <c r="Y415" s="133"/>
      <c r="Z415" s="134"/>
      <c r="AA415" s="134"/>
      <c r="AB415" s="135"/>
      <c r="AC415" s="5"/>
      <c r="AD415" s="133"/>
      <c r="AE415" s="134"/>
      <c r="AF415" s="134"/>
      <c r="AG415" s="135"/>
      <c r="AH415" s="5"/>
      <c r="AI415" s="133"/>
      <c r="AJ415" s="134"/>
      <c r="AK415" s="134"/>
      <c r="AL415" s="135"/>
      <c r="AM415" s="5"/>
      <c r="AN415" s="133"/>
      <c r="AO415" s="134"/>
      <c r="AP415" s="134"/>
      <c r="AQ415" s="135"/>
      <c r="AR415" s="5"/>
      <c r="AS415" s="133"/>
      <c r="AT415" s="134"/>
      <c r="AU415" s="134"/>
      <c r="AV415" s="135"/>
      <c r="AW415" s="5"/>
      <c r="AX415" s="133"/>
      <c r="AY415" s="134"/>
      <c r="AZ415" s="134"/>
      <c r="BA415" s="135"/>
      <c r="BB415" s="5"/>
      <c r="BC415" s="133"/>
      <c r="BD415" s="134"/>
      <c r="BE415" s="134"/>
      <c r="BF415" s="135"/>
      <c r="BG415" s="5"/>
      <c r="BH415" s="133"/>
      <c r="BI415" s="134"/>
      <c r="BJ415" s="134"/>
      <c r="BK415" s="135"/>
      <c r="BL415" s="5"/>
      <c r="BM415" s="133"/>
      <c r="BN415" s="134"/>
      <c r="BO415" s="134"/>
      <c r="BP415" s="135"/>
      <c r="BQ415" s="5"/>
      <c r="BR415" s="5"/>
      <c r="BS415" s="1499"/>
      <c r="BT415" s="1499"/>
      <c r="BU415" s="1499"/>
      <c r="BV415" s="1499"/>
    </row>
    <row r="416" spans="1:75">
      <c r="A416" s="5"/>
      <c r="B416" s="5"/>
      <c r="C416" s="1127"/>
      <c r="D416" s="5"/>
      <c r="E416" s="212"/>
      <c r="F416" s="213"/>
      <c r="G416" s="213"/>
      <c r="H416" s="138"/>
      <c r="I416" s="6"/>
      <c r="J416" s="136"/>
      <c r="K416" s="137"/>
      <c r="L416" s="137"/>
      <c r="M416" s="138"/>
      <c r="N416" s="6"/>
      <c r="O416" s="136"/>
      <c r="P416" s="137"/>
      <c r="Q416" s="137"/>
      <c r="R416" s="138"/>
      <c r="S416" s="6"/>
      <c r="T416" s="136"/>
      <c r="U416" s="137"/>
      <c r="V416" s="137"/>
      <c r="W416" s="138"/>
      <c r="X416" s="6"/>
      <c r="Y416" s="136"/>
      <c r="Z416" s="137"/>
      <c r="AA416" s="137"/>
      <c r="AB416" s="138"/>
      <c r="AC416" s="6"/>
      <c r="AD416" s="136"/>
      <c r="AE416" s="137"/>
      <c r="AF416" s="137"/>
      <c r="AG416" s="138"/>
      <c r="AH416" s="6"/>
      <c r="AI416" s="136"/>
      <c r="AJ416" s="137"/>
      <c r="AK416" s="137"/>
      <c r="AL416" s="138"/>
      <c r="AM416" s="6"/>
      <c r="AN416" s="136"/>
      <c r="AO416" s="137"/>
      <c r="AP416" s="137"/>
      <c r="AQ416" s="138"/>
      <c r="AR416" s="6"/>
      <c r="AS416" s="136"/>
      <c r="AT416" s="137"/>
      <c r="AU416" s="137"/>
      <c r="AV416" s="138"/>
      <c r="AW416" s="6"/>
      <c r="AX416" s="136"/>
      <c r="AY416" s="137"/>
      <c r="AZ416" s="137"/>
      <c r="BA416" s="138"/>
      <c r="BB416" s="6"/>
      <c r="BC416" s="136"/>
      <c r="BD416" s="137"/>
      <c r="BE416" s="137"/>
      <c r="BF416" s="138"/>
      <c r="BG416" s="6"/>
      <c r="BH416" s="136"/>
      <c r="BI416" s="137"/>
      <c r="BJ416" s="137"/>
      <c r="BK416" s="138"/>
      <c r="BL416" s="6"/>
      <c r="BM416" s="136"/>
      <c r="BN416" s="137"/>
      <c r="BO416" s="137"/>
      <c r="BP416" s="138"/>
      <c r="BQ416" s="6"/>
      <c r="BR416" s="6"/>
      <c r="BS416" s="1531"/>
      <c r="BT416" s="1531"/>
      <c r="BU416" s="1531"/>
      <c r="BV416" s="1531"/>
    </row>
    <row r="417" spans="1:75">
      <c r="A417" s="320"/>
      <c r="B417" s="320"/>
      <c r="C417" s="1127" t="s">
        <v>375</v>
      </c>
      <c r="D417" s="320"/>
      <c r="E417" s="332"/>
      <c r="F417" s="333"/>
      <c r="G417" s="333"/>
      <c r="H417" s="334"/>
      <c r="I417" s="107"/>
      <c r="J417" s="427">
        <v>0</v>
      </c>
      <c r="K417" s="428">
        <v>0</v>
      </c>
      <c r="L417" s="428">
        <f>4819.607-586.351</f>
        <v>4233.2560000000003</v>
      </c>
      <c r="M417" s="429">
        <f>5121.206-617.822</f>
        <v>4503.384</v>
      </c>
      <c r="N417" s="107">
        <f>+M417</f>
        <v>4503.384</v>
      </c>
      <c r="O417" s="427">
        <f>5289.952-706.601</f>
        <v>4583.3510000000006</v>
      </c>
      <c r="P417" s="428">
        <f>5333.735-680.814</f>
        <v>4652.9209999999994</v>
      </c>
      <c r="Q417" s="428">
        <f>5398.809-672.764</f>
        <v>4726.0450000000001</v>
      </c>
      <c r="R417" s="429">
        <f>5997.664-744.195</f>
        <v>5253.4690000000001</v>
      </c>
      <c r="S417" s="107">
        <f>+R417</f>
        <v>5253.4690000000001</v>
      </c>
      <c r="T417" s="427">
        <f>5729.605-684.361</f>
        <v>5045.2439999999997</v>
      </c>
      <c r="U417" s="428">
        <f>5660.956-647.917</f>
        <v>5013.0389999999998</v>
      </c>
      <c r="V417" s="428">
        <f>5641.315-667.882</f>
        <v>4973.433</v>
      </c>
      <c r="W417" s="429">
        <f>5688.843-691.137</f>
        <v>4997.7060000000001</v>
      </c>
      <c r="X417" s="107">
        <f>+W417</f>
        <v>4997.7060000000001</v>
      </c>
      <c r="Y417" s="427">
        <f>5812.062-708.194</f>
        <v>5103.8680000000004</v>
      </c>
      <c r="Z417" s="428">
        <f>5956.938-758.355</f>
        <v>5198.5830000000005</v>
      </c>
      <c r="AA417" s="428">
        <f>5817.268-682.801</f>
        <v>5134.4669999999996</v>
      </c>
      <c r="AB417" s="429">
        <f>5898.545-297.451-712.287</f>
        <v>4888.8069999999998</v>
      </c>
      <c r="AC417" s="107">
        <f>+AB417</f>
        <v>4888.8069999999998</v>
      </c>
      <c r="AD417" s="427">
        <v>4912.0320000000002</v>
      </c>
      <c r="AE417" s="428">
        <v>4963.5929999999998</v>
      </c>
      <c r="AF417" s="428">
        <f>6130.44-466.66-690.987</f>
        <v>4972.7929999999997</v>
      </c>
      <c r="AG417" s="429">
        <v>5032.6530000000002</v>
      </c>
      <c r="AH417" s="107">
        <f>+AG417</f>
        <v>5032.6530000000002</v>
      </c>
      <c r="AI417" s="427">
        <v>5072.1760000000004</v>
      </c>
      <c r="AJ417" s="428">
        <v>5165.9930000000004</v>
      </c>
      <c r="AK417" s="428">
        <v>3909.1170000000002</v>
      </c>
      <c r="AL417" s="429">
        <v>3383.5810000000001</v>
      </c>
      <c r="AM417" s="107">
        <f>+AL417</f>
        <v>3383.5810000000001</v>
      </c>
      <c r="AN417" s="427">
        <v>3427.99</v>
      </c>
      <c r="AO417" s="428">
        <v>3407.6030000000001</v>
      </c>
      <c r="AP417" s="428">
        <v>3462.096</v>
      </c>
      <c r="AQ417" s="429">
        <v>1013.593</v>
      </c>
      <c r="AR417" s="107">
        <f>+AQ417</f>
        <v>1013.593</v>
      </c>
      <c r="AS417" s="427">
        <v>1009.855</v>
      </c>
      <c r="AT417" s="428">
        <v>1008.81</v>
      </c>
      <c r="AU417" s="428">
        <v>926.04899999999998</v>
      </c>
      <c r="AV417" s="429">
        <v>950.33299999999997</v>
      </c>
      <c r="AW417" s="107">
        <f>+AV417</f>
        <v>950.33299999999997</v>
      </c>
      <c r="AX417" s="177">
        <f>+AV417+AX431</f>
        <v>1009.083</v>
      </c>
      <c r="AY417" s="178">
        <f>+AX417+AY431</f>
        <v>1067.8330000000001</v>
      </c>
      <c r="AZ417" s="178">
        <f t="shared" ref="AZ417:BA417" si="1169">+AY417+AZ431</f>
        <v>1126.5830000000001</v>
      </c>
      <c r="BA417" s="179">
        <f t="shared" si="1169"/>
        <v>1185.3330000000001</v>
      </c>
      <c r="BB417" s="107">
        <f>+BA417</f>
        <v>1185.3330000000001</v>
      </c>
      <c r="BC417" s="177">
        <f>+BA417+BC431</f>
        <v>1204.0830000000001</v>
      </c>
      <c r="BD417" s="178">
        <f>+BC417+BD431</f>
        <v>1222.8330000000001</v>
      </c>
      <c r="BE417" s="178">
        <f t="shared" ref="BE417:BF417" si="1170">+BD417+BE431</f>
        <v>1241.5830000000001</v>
      </c>
      <c r="BF417" s="179">
        <f t="shared" si="1170"/>
        <v>1260.3330000000001</v>
      </c>
      <c r="BG417" s="107">
        <f>+BF417</f>
        <v>1260.3330000000001</v>
      </c>
      <c r="BH417" s="177">
        <f>+BF417+BH431</f>
        <v>1269.0830000000001</v>
      </c>
      <c r="BI417" s="178">
        <f>+BH417+BI431</f>
        <v>1277.8330000000001</v>
      </c>
      <c r="BJ417" s="178">
        <f t="shared" ref="BJ417:BK417" si="1171">+BI417+BJ431</f>
        <v>1286.5830000000001</v>
      </c>
      <c r="BK417" s="179">
        <f t="shared" si="1171"/>
        <v>1295.3330000000001</v>
      </c>
      <c r="BL417" s="107">
        <f>+BK417</f>
        <v>1295.3330000000001</v>
      </c>
      <c r="BM417" s="177">
        <f>+BK417+BM431</f>
        <v>1301.5830000000001</v>
      </c>
      <c r="BN417" s="178">
        <f>+BM417+BN431</f>
        <v>1307.8330000000001</v>
      </c>
      <c r="BO417" s="178">
        <f t="shared" ref="BO417" si="1172">+BN417+BO431</f>
        <v>1314.0830000000001</v>
      </c>
      <c r="BP417" s="179">
        <f t="shared" ref="BP417" si="1173">+BO417+BP431</f>
        <v>1320.3330000000001</v>
      </c>
      <c r="BQ417" s="107">
        <f>+BP417</f>
        <v>1320.3330000000001</v>
      </c>
      <c r="BR417" s="107"/>
      <c r="BS417" s="1496"/>
      <c r="BT417" s="1496"/>
      <c r="BU417" s="1496"/>
      <c r="BV417" s="1496"/>
    </row>
    <row r="418" spans="1:75">
      <c r="A418" s="320"/>
      <c r="B418" s="320"/>
      <c r="C418" s="1127" t="s">
        <v>612</v>
      </c>
      <c r="D418" s="320"/>
      <c r="E418" s="332"/>
      <c r="F418" s="333"/>
      <c r="G418" s="333"/>
      <c r="H418" s="334"/>
      <c r="I418" s="107"/>
      <c r="J418" s="427">
        <v>0</v>
      </c>
      <c r="K418" s="428">
        <v>0</v>
      </c>
      <c r="L418" s="428">
        <v>-655.18100000000004</v>
      </c>
      <c r="M418" s="429">
        <v>-804.69500000000005</v>
      </c>
      <c r="N418" s="107">
        <f>+M418</f>
        <v>-804.69500000000005</v>
      </c>
      <c r="O418" s="427">
        <v>-843.79</v>
      </c>
      <c r="P418" s="428">
        <v>-884.46</v>
      </c>
      <c r="Q418" s="428">
        <v>-920.83699999999999</v>
      </c>
      <c r="R418" s="429">
        <v>-1016.5069999999999</v>
      </c>
      <c r="S418" s="107">
        <f>+R418</f>
        <v>-1016.5069999999999</v>
      </c>
      <c r="T418" s="427">
        <v>-1060.1310000000001</v>
      </c>
      <c r="U418" s="428">
        <v>-1009.789</v>
      </c>
      <c r="V418" s="428">
        <v>-1016.514</v>
      </c>
      <c r="W418" s="429">
        <v>-987.33</v>
      </c>
      <c r="X418" s="107">
        <f>+W418</f>
        <v>-987.33</v>
      </c>
      <c r="Y418" s="427">
        <v>-1099.5940000000001</v>
      </c>
      <c r="Z418" s="428">
        <v>-1143.788</v>
      </c>
      <c r="AA418" s="428">
        <v>-1188.0429999999999</v>
      </c>
      <c r="AB418" s="429">
        <v>-1243.7909999999999</v>
      </c>
      <c r="AC418" s="107">
        <f>+AB418</f>
        <v>-1243.7909999999999</v>
      </c>
      <c r="AD418" s="427">
        <v>-1306.93</v>
      </c>
      <c r="AE418" s="428">
        <v>-1377.3879999999999</v>
      </c>
      <c r="AF418" s="428">
        <v>-1447.9949999999999</v>
      </c>
      <c r="AG418" s="429">
        <v>-1442.4649999999999</v>
      </c>
      <c r="AH418" s="107">
        <f>+AG418</f>
        <v>-1442.4649999999999</v>
      </c>
      <c r="AI418" s="427">
        <v>-1499.0409999999999</v>
      </c>
      <c r="AJ418" s="428">
        <v>-1557.366</v>
      </c>
      <c r="AK418" s="428">
        <v>-1273.3889999999999</v>
      </c>
      <c r="AL418" s="429">
        <v>-1134.8800000000001</v>
      </c>
      <c r="AM418" s="107">
        <f>+AL418</f>
        <v>-1134.8800000000001</v>
      </c>
      <c r="AN418" s="427">
        <v>-1186.771</v>
      </c>
      <c r="AO418" s="428">
        <v>-1209.691</v>
      </c>
      <c r="AP418" s="428">
        <v>-1258.626</v>
      </c>
      <c r="AQ418" s="429">
        <v>-427.81200000000001</v>
      </c>
      <c r="AR418" s="107">
        <f>+AQ418</f>
        <v>-427.81200000000001</v>
      </c>
      <c r="AS418" s="427">
        <v>-481.15800000000002</v>
      </c>
      <c r="AT418" s="428">
        <v>-530.01700000000005</v>
      </c>
      <c r="AU418" s="428">
        <v>-562.37599999999998</v>
      </c>
      <c r="AV418" s="429">
        <v>-596.93100000000004</v>
      </c>
      <c r="AW418" s="107">
        <f>+AV418</f>
        <v>-596.93100000000004</v>
      </c>
      <c r="AX418" s="177">
        <f>+AV418-AX426</f>
        <v>-636.93100000000004</v>
      </c>
      <c r="AY418" s="178">
        <f>+AX418-AY426</f>
        <v>-676.93100000000004</v>
      </c>
      <c r="AZ418" s="178">
        <f>+AY418-AZ426</f>
        <v>-716.93100000000004</v>
      </c>
      <c r="BA418" s="179">
        <f>+AZ418-BA426</f>
        <v>-756.93100000000004</v>
      </c>
      <c r="BB418" s="107">
        <f>+BA418</f>
        <v>-756.93100000000004</v>
      </c>
      <c r="BC418" s="177">
        <f>+BA418-BC426</f>
        <v>-796.93100000000004</v>
      </c>
      <c r="BD418" s="178">
        <f>+BC418-BD426</f>
        <v>-836.93100000000004</v>
      </c>
      <c r="BE418" s="178">
        <f>+BD418-BE426</f>
        <v>-876.93100000000004</v>
      </c>
      <c r="BF418" s="179">
        <f>+BE418-BF426</f>
        <v>-916.93100000000004</v>
      </c>
      <c r="BG418" s="107">
        <f>+BF418</f>
        <v>-916.93100000000004</v>
      </c>
      <c r="BH418" s="177">
        <f>+BF418-BH426</f>
        <v>-946.93100000000004</v>
      </c>
      <c r="BI418" s="178">
        <f>+BH418-BI426</f>
        <v>-976.93100000000004</v>
      </c>
      <c r="BJ418" s="178">
        <f>+BI418-BJ426</f>
        <v>-1006.931</v>
      </c>
      <c r="BK418" s="179">
        <f>+BJ418-BK426</f>
        <v>-1036.931</v>
      </c>
      <c r="BL418" s="107">
        <f>+BK418</f>
        <v>-1036.931</v>
      </c>
      <c r="BM418" s="177">
        <f>+BK418-BM426</f>
        <v>-1056.931</v>
      </c>
      <c r="BN418" s="178">
        <f>+BM418-BN426</f>
        <v>-1076.931</v>
      </c>
      <c r="BO418" s="178">
        <f>+BN418-BO426</f>
        <v>-1096.931</v>
      </c>
      <c r="BP418" s="179">
        <f>+BO418-BP426</f>
        <v>-1116.931</v>
      </c>
      <c r="BQ418" s="107">
        <f>+BP418</f>
        <v>-1116.931</v>
      </c>
      <c r="BR418" s="107"/>
      <c r="BS418" s="1496"/>
      <c r="BT418" s="1496"/>
      <c r="BU418" s="1496"/>
      <c r="BV418" s="1496"/>
    </row>
    <row r="419" spans="1:75">
      <c r="A419" s="320"/>
      <c r="B419" s="320"/>
      <c r="C419" s="1125" t="s">
        <v>453</v>
      </c>
      <c r="D419" s="320"/>
      <c r="E419" s="405"/>
      <c r="F419" s="406"/>
      <c r="G419" s="406"/>
      <c r="H419" s="251"/>
      <c r="I419" s="348"/>
      <c r="J419" s="393"/>
      <c r="K419" s="190"/>
      <c r="L419" s="190"/>
      <c r="M419" s="251"/>
      <c r="N419" s="348"/>
      <c r="O419" s="393"/>
      <c r="P419" s="190"/>
      <c r="Q419" s="190"/>
      <c r="R419" s="251"/>
      <c r="S419" s="348"/>
      <c r="T419" s="393"/>
      <c r="U419" s="190"/>
      <c r="V419" s="190"/>
      <c r="W419" s="251"/>
      <c r="X419" s="348"/>
      <c r="Y419" s="393"/>
      <c r="Z419" s="190"/>
      <c r="AA419" s="190"/>
      <c r="AB419" s="191"/>
      <c r="AC419" s="107">
        <f>+AB419</f>
        <v>0</v>
      </c>
      <c r="AD419" s="393"/>
      <c r="AE419" s="190"/>
      <c r="AF419" s="190"/>
      <c r="AG419" s="191"/>
      <c r="AH419" s="107">
        <f>+AG419</f>
        <v>0</v>
      </c>
      <c r="AI419" s="393"/>
      <c r="AJ419" s="190"/>
      <c r="AK419" s="190"/>
      <c r="AL419" s="191"/>
      <c r="AM419" s="107">
        <f>+AL419</f>
        <v>0</v>
      </c>
      <c r="AN419" s="393"/>
      <c r="AO419" s="190"/>
      <c r="AP419" s="190"/>
      <c r="AQ419" s="191"/>
      <c r="AR419" s="107">
        <f>+AQ419</f>
        <v>0</v>
      </c>
      <c r="AS419" s="393"/>
      <c r="AT419" s="190"/>
      <c r="AU419" s="190"/>
      <c r="AV419" s="191"/>
      <c r="AW419" s="107">
        <f>+AV419</f>
        <v>0</v>
      </c>
      <c r="AX419" s="183">
        <v>0</v>
      </c>
      <c r="AY419" s="184">
        <v>0</v>
      </c>
      <c r="AZ419" s="184">
        <v>0</v>
      </c>
      <c r="BA419" s="185">
        <v>0</v>
      </c>
      <c r="BB419" s="107">
        <f>+BA419</f>
        <v>0</v>
      </c>
      <c r="BC419" s="183">
        <v>0</v>
      </c>
      <c r="BD419" s="184">
        <v>0</v>
      </c>
      <c r="BE419" s="184">
        <v>0</v>
      </c>
      <c r="BF419" s="185">
        <v>0</v>
      </c>
      <c r="BG419" s="107">
        <f>+BF419</f>
        <v>0</v>
      </c>
      <c r="BH419" s="183">
        <v>0</v>
      </c>
      <c r="BI419" s="184">
        <v>0</v>
      </c>
      <c r="BJ419" s="184">
        <v>0</v>
      </c>
      <c r="BK419" s="185">
        <v>0</v>
      </c>
      <c r="BL419" s="107">
        <f>+BK419</f>
        <v>0</v>
      </c>
      <c r="BM419" s="183">
        <v>0</v>
      </c>
      <c r="BN419" s="184">
        <v>0</v>
      </c>
      <c r="BO419" s="184">
        <v>0</v>
      </c>
      <c r="BP419" s="185">
        <v>0</v>
      </c>
      <c r="BQ419" s="107">
        <f>+BP419</f>
        <v>0</v>
      </c>
      <c r="BR419" s="107"/>
      <c r="BS419" s="1496"/>
      <c r="BT419" s="1496"/>
      <c r="BU419" s="1496"/>
      <c r="BV419" s="1496"/>
    </row>
    <row r="420" spans="1:75" s="37" customFormat="1">
      <c r="A420" s="320"/>
      <c r="B420" s="320"/>
      <c r="C420" s="1128" t="s">
        <v>385</v>
      </c>
      <c r="D420" s="327"/>
      <c r="E420" s="335"/>
      <c r="F420" s="336"/>
      <c r="G420" s="336"/>
      <c r="H420" s="337"/>
      <c r="I420" s="110"/>
      <c r="J420" s="180"/>
      <c r="K420" s="181"/>
      <c r="L420" s="181">
        <f>+SUM(L417:L418)</f>
        <v>3578.0750000000003</v>
      </c>
      <c r="M420" s="182">
        <f>+SUM(M417:M418)</f>
        <v>3698.6889999999999</v>
      </c>
      <c r="N420" s="110">
        <f>+M420</f>
        <v>3698.6889999999999</v>
      </c>
      <c r="O420" s="180">
        <f>+SUM(O417:O418)</f>
        <v>3739.5610000000006</v>
      </c>
      <c r="P420" s="181">
        <f>+SUM(P417:P418)</f>
        <v>3768.4609999999993</v>
      </c>
      <c r="Q420" s="181">
        <f>+SUM(Q417:Q418)</f>
        <v>3805.2080000000001</v>
      </c>
      <c r="R420" s="182">
        <f>+SUM(R417:R418)</f>
        <v>4236.9620000000004</v>
      </c>
      <c r="S420" s="110">
        <f>+R420</f>
        <v>4236.9620000000004</v>
      </c>
      <c r="T420" s="180">
        <f>SUM(T417:T418)</f>
        <v>3985.1129999999994</v>
      </c>
      <c r="U420" s="181">
        <f>SUM(U417:U418)</f>
        <v>4003.25</v>
      </c>
      <c r="V420" s="181">
        <f>+SUM(V417:V418)</f>
        <v>3956.9189999999999</v>
      </c>
      <c r="W420" s="182">
        <f>+SUM(W417:W418)</f>
        <v>4010.3760000000002</v>
      </c>
      <c r="X420" s="110">
        <f>+W420</f>
        <v>4010.3760000000002</v>
      </c>
      <c r="Y420" s="180">
        <f t="shared" ref="Y420:AP420" si="1174">SUM(Y417:Y419)</f>
        <v>4004.2740000000003</v>
      </c>
      <c r="Z420" s="181">
        <f>SUM(Z417:Z418)</f>
        <v>4054.7950000000005</v>
      </c>
      <c r="AA420" s="181">
        <f t="shared" si="1174"/>
        <v>3946.424</v>
      </c>
      <c r="AB420" s="182">
        <f>SUM(AB417:AB419)</f>
        <v>3645.0159999999996</v>
      </c>
      <c r="AC420" s="110">
        <f t="shared" si="1174"/>
        <v>3645.0159999999996</v>
      </c>
      <c r="AD420" s="180">
        <f t="shared" si="1174"/>
        <v>3605.1019999999999</v>
      </c>
      <c r="AE420" s="181">
        <f t="shared" si="1174"/>
        <v>3586.2049999999999</v>
      </c>
      <c r="AF420" s="181">
        <f t="shared" ref="AF420" si="1175">SUM(AF417:AF419)</f>
        <v>3524.7979999999998</v>
      </c>
      <c r="AG420" s="182">
        <f>SUM(AG417:AG419)</f>
        <v>3590.1880000000001</v>
      </c>
      <c r="AH420" s="110">
        <f t="shared" ref="AH420:AK420" si="1176">SUM(AH417:AH419)</f>
        <v>3590.1880000000001</v>
      </c>
      <c r="AI420" s="180">
        <f t="shared" si="1176"/>
        <v>3573.1350000000002</v>
      </c>
      <c r="AJ420" s="181">
        <f t="shared" si="1176"/>
        <v>3608.6270000000004</v>
      </c>
      <c r="AK420" s="181">
        <f t="shared" si="1176"/>
        <v>2635.7280000000001</v>
      </c>
      <c r="AL420" s="182">
        <f>SUM(AL417:AL419)</f>
        <v>2248.701</v>
      </c>
      <c r="AM420" s="110">
        <f t="shared" ref="AM420:AN420" si="1177">SUM(AM417:AM419)</f>
        <v>2248.701</v>
      </c>
      <c r="AN420" s="180">
        <f t="shared" si="1177"/>
        <v>2241.2190000000001</v>
      </c>
      <c r="AO420" s="181">
        <f>SUM(AO417:AO419)</f>
        <v>2197.9120000000003</v>
      </c>
      <c r="AP420" s="181">
        <f t="shared" si="1174"/>
        <v>2203.4700000000003</v>
      </c>
      <c r="AQ420" s="182">
        <f>SUM(AQ417:AQ419)</f>
        <v>585.78099999999995</v>
      </c>
      <c r="AR420" s="110">
        <f t="shared" ref="AR420:AU420" si="1178">SUM(AR417:AR419)</f>
        <v>585.78099999999995</v>
      </c>
      <c r="AS420" s="180">
        <f t="shared" si="1178"/>
        <v>528.697</v>
      </c>
      <c r="AT420" s="181">
        <f t="shared" si="1178"/>
        <v>478.79299999999989</v>
      </c>
      <c r="AU420" s="181">
        <f t="shared" si="1178"/>
        <v>363.673</v>
      </c>
      <c r="AV420" s="182">
        <f t="shared" ref="AV420:BB420" si="1179">SUM(AV417:AV419)</f>
        <v>353.40199999999993</v>
      </c>
      <c r="AW420" s="110">
        <f t="shared" si="1179"/>
        <v>353.40199999999993</v>
      </c>
      <c r="AX420" s="180">
        <f t="shared" si="1179"/>
        <v>372.15199999999993</v>
      </c>
      <c r="AY420" s="181">
        <f t="shared" si="1179"/>
        <v>390.90200000000004</v>
      </c>
      <c r="AZ420" s="181">
        <f t="shared" si="1179"/>
        <v>409.65200000000004</v>
      </c>
      <c r="BA420" s="182">
        <f t="shared" si="1179"/>
        <v>428.40200000000004</v>
      </c>
      <c r="BB420" s="110">
        <f t="shared" si="1179"/>
        <v>428.40200000000004</v>
      </c>
      <c r="BC420" s="180">
        <f t="shared" ref="BC420:BL420" si="1180">SUM(BC417:BC419)</f>
        <v>407.15200000000004</v>
      </c>
      <c r="BD420" s="181">
        <f t="shared" si="1180"/>
        <v>385.90200000000004</v>
      </c>
      <c r="BE420" s="181">
        <f t="shared" si="1180"/>
        <v>364.65200000000004</v>
      </c>
      <c r="BF420" s="182">
        <f t="shared" si="1180"/>
        <v>343.40200000000004</v>
      </c>
      <c r="BG420" s="110">
        <f t="shared" si="1180"/>
        <v>343.40200000000004</v>
      </c>
      <c r="BH420" s="180">
        <f t="shared" si="1180"/>
        <v>322.15200000000004</v>
      </c>
      <c r="BI420" s="181">
        <f t="shared" si="1180"/>
        <v>300.90200000000004</v>
      </c>
      <c r="BJ420" s="181">
        <f t="shared" si="1180"/>
        <v>279.65200000000004</v>
      </c>
      <c r="BK420" s="182">
        <f t="shared" si="1180"/>
        <v>258.40200000000004</v>
      </c>
      <c r="BL420" s="110">
        <f t="shared" si="1180"/>
        <v>258.40200000000004</v>
      </c>
      <c r="BM420" s="180">
        <f t="shared" ref="BM420:BQ420" si="1181">SUM(BM417:BM419)</f>
        <v>244.65200000000004</v>
      </c>
      <c r="BN420" s="181">
        <f t="shared" si="1181"/>
        <v>230.90200000000004</v>
      </c>
      <c r="BO420" s="181">
        <f t="shared" si="1181"/>
        <v>217.15200000000004</v>
      </c>
      <c r="BP420" s="182">
        <f t="shared" si="1181"/>
        <v>203.40200000000004</v>
      </c>
      <c r="BQ420" s="110">
        <f t="shared" si="1181"/>
        <v>203.40200000000004</v>
      </c>
      <c r="BR420" s="110"/>
      <c r="BS420" s="1532"/>
      <c r="BT420" s="1532"/>
      <c r="BU420" s="939"/>
      <c r="BV420" s="939"/>
      <c r="BW420" s="940"/>
    </row>
    <row r="421" spans="1:75">
      <c r="A421" s="320"/>
      <c r="B421" s="320"/>
      <c r="C421" s="1128"/>
      <c r="D421" s="320"/>
      <c r="E421" s="332"/>
      <c r="F421" s="333"/>
      <c r="G421" s="333"/>
      <c r="H421" s="337"/>
      <c r="I421" s="107"/>
      <c r="J421" s="180"/>
      <c r="K421" s="181"/>
      <c r="L421" s="181"/>
      <c r="M421" s="182"/>
      <c r="N421" s="107"/>
      <c r="O421" s="180"/>
      <c r="P421" s="181"/>
      <c r="Q421" s="181"/>
      <c r="R421" s="182"/>
      <c r="S421" s="107"/>
      <c r="T421" s="180"/>
      <c r="U421" s="181"/>
      <c r="V421" s="181"/>
      <c r="W421" s="182"/>
      <c r="X421" s="107"/>
      <c r="Y421" s="180"/>
      <c r="Z421" s="181"/>
      <c r="AA421" s="181"/>
      <c r="AB421" s="182"/>
      <c r="AC421" s="107"/>
      <c r="AD421" s="180"/>
      <c r="AE421" s="181"/>
      <c r="AF421" s="181"/>
      <c r="AG421" s="182"/>
      <c r="AH421" s="107"/>
      <c r="AI421" s="180"/>
      <c r="AJ421" s="181"/>
      <c r="AK421" s="181"/>
      <c r="AL421" s="182"/>
      <c r="AM421" s="107"/>
      <c r="AN421" s="180"/>
      <c r="AO421" s="181"/>
      <c r="AP421" s="181"/>
      <c r="AQ421" s="182"/>
      <c r="AR421" s="107"/>
      <c r="AS421" s="180"/>
      <c r="AT421" s="181"/>
      <c r="AU421" s="181"/>
      <c r="AV421" s="182"/>
      <c r="AW421" s="107"/>
      <c r="AX421" s="180"/>
      <c r="AY421" s="181"/>
      <c r="AZ421" s="181"/>
      <c r="BA421" s="182"/>
      <c r="BB421" s="107"/>
      <c r="BC421" s="180"/>
      <c r="BD421" s="181"/>
      <c r="BE421" s="181"/>
      <c r="BF421" s="182"/>
      <c r="BG421" s="107"/>
      <c r="BH421" s="180"/>
      <c r="BI421" s="181"/>
      <c r="BJ421" s="181"/>
      <c r="BK421" s="182"/>
      <c r="BL421" s="107"/>
      <c r="BM421" s="180"/>
      <c r="BN421" s="181"/>
      <c r="BO421" s="181"/>
      <c r="BP421" s="182"/>
      <c r="BQ421" s="107"/>
      <c r="BR421" s="107"/>
      <c r="BS421" s="1496"/>
      <c r="BT421" s="1496"/>
      <c r="BU421" s="1496"/>
      <c r="BV421" s="1496"/>
    </row>
    <row r="422" spans="1:75">
      <c r="A422" s="320"/>
      <c r="B422" s="320"/>
      <c r="C422" s="1127" t="s">
        <v>803</v>
      </c>
      <c r="D422" s="320"/>
      <c r="E422" s="332"/>
      <c r="F422" s="333"/>
      <c r="G422" s="333"/>
      <c r="H422" s="334"/>
      <c r="I422" s="107"/>
      <c r="J422" s="427"/>
      <c r="K422" s="428"/>
      <c r="L422" s="428">
        <v>586.351</v>
      </c>
      <c r="M422" s="429">
        <v>617.822</v>
      </c>
      <c r="N422" s="107">
        <f>+M422</f>
        <v>617.822</v>
      </c>
      <c r="O422" s="427">
        <v>706.601</v>
      </c>
      <c r="P422" s="428">
        <v>680.81399999999996</v>
      </c>
      <c r="Q422" s="428">
        <v>672.76400000000001</v>
      </c>
      <c r="R422" s="429">
        <v>744.19500000000005</v>
      </c>
      <c r="S422" s="107">
        <f>+R422</f>
        <v>744.19500000000005</v>
      </c>
      <c r="T422" s="427">
        <v>684.36099999999999</v>
      </c>
      <c r="U422" s="428">
        <v>647.91700000000003</v>
      </c>
      <c r="V422" s="428">
        <v>667.88199999999995</v>
      </c>
      <c r="W422" s="429">
        <v>691.13699999999994</v>
      </c>
      <c r="X422" s="107">
        <f>+W422</f>
        <v>691.13699999999994</v>
      </c>
      <c r="Y422" s="427">
        <v>708.19399999999996</v>
      </c>
      <c r="Z422" s="428">
        <v>758.35500000000002</v>
      </c>
      <c r="AA422" s="428">
        <v>682.80100000000004</v>
      </c>
      <c r="AB422" s="429">
        <v>712.28700000000003</v>
      </c>
      <c r="AC422" s="107">
        <f>+AB422</f>
        <v>712.28700000000003</v>
      </c>
      <c r="AD422" s="427">
        <v>672.45500000000004</v>
      </c>
      <c r="AE422" s="428">
        <v>639.70299999999997</v>
      </c>
      <c r="AF422" s="428">
        <v>690.98699999999997</v>
      </c>
      <c r="AG422" s="429">
        <v>702.36099999999999</v>
      </c>
      <c r="AH422" s="107">
        <f>+AG422</f>
        <v>702.36099999999999</v>
      </c>
      <c r="AI422" s="427">
        <v>672.13400000000001</v>
      </c>
      <c r="AJ422" s="428">
        <v>674.197</v>
      </c>
      <c r="AK422" s="428">
        <v>516.85699999999997</v>
      </c>
      <c r="AL422" s="429">
        <v>488.85</v>
      </c>
      <c r="AM422" s="107">
        <f>+AL422</f>
        <v>488.85</v>
      </c>
      <c r="AN422" s="427">
        <v>457.61900000000003</v>
      </c>
      <c r="AO422" s="428">
        <v>437.85700000000003</v>
      </c>
      <c r="AP422" s="428">
        <v>401.25799999999998</v>
      </c>
      <c r="AQ422" s="429">
        <v>221.10499999999999</v>
      </c>
      <c r="AR422" s="107">
        <f>+AQ422</f>
        <v>221.10499999999999</v>
      </c>
      <c r="AS422" s="427">
        <v>150.87</v>
      </c>
      <c r="AT422" s="428">
        <v>137.03</v>
      </c>
      <c r="AU422" s="428">
        <v>140.685</v>
      </c>
      <c r="AV422" s="429">
        <v>100.941</v>
      </c>
      <c r="AW422" s="107">
        <f>+AV422</f>
        <v>100.941</v>
      </c>
      <c r="AX422" s="177">
        <f>+AV422</f>
        <v>100.941</v>
      </c>
      <c r="AY422" s="178">
        <f>+AX422</f>
        <v>100.941</v>
      </c>
      <c r="AZ422" s="178">
        <f>+AY422</f>
        <v>100.941</v>
      </c>
      <c r="BA422" s="179">
        <f>+AZ422</f>
        <v>100.941</v>
      </c>
      <c r="BB422" s="107">
        <f>+BA422</f>
        <v>100.941</v>
      </c>
      <c r="BC422" s="177">
        <f>+BA422</f>
        <v>100.941</v>
      </c>
      <c r="BD422" s="178">
        <f>+BC422</f>
        <v>100.941</v>
      </c>
      <c r="BE422" s="178">
        <f>+BD422</f>
        <v>100.941</v>
      </c>
      <c r="BF422" s="179">
        <f>+BE422</f>
        <v>100.941</v>
      </c>
      <c r="BG422" s="107">
        <f>+BF422</f>
        <v>100.941</v>
      </c>
      <c r="BH422" s="177">
        <f>+BF422</f>
        <v>100.941</v>
      </c>
      <c r="BI422" s="178">
        <f>+BH422</f>
        <v>100.941</v>
      </c>
      <c r="BJ422" s="178">
        <f>+BI422</f>
        <v>100.941</v>
      </c>
      <c r="BK422" s="179">
        <f>+BJ422</f>
        <v>100.941</v>
      </c>
      <c r="BL422" s="107">
        <f>+BK422</f>
        <v>100.941</v>
      </c>
      <c r="BM422" s="177">
        <f>+BK422</f>
        <v>100.941</v>
      </c>
      <c r="BN422" s="178">
        <f>+BM422</f>
        <v>100.941</v>
      </c>
      <c r="BO422" s="178">
        <f>+BN422</f>
        <v>100.941</v>
      </c>
      <c r="BP422" s="179">
        <f>+BO422</f>
        <v>100.941</v>
      </c>
      <c r="BQ422" s="107">
        <f>+BP422</f>
        <v>100.941</v>
      </c>
      <c r="BR422" s="107"/>
      <c r="BS422" s="1496"/>
      <c r="BT422" s="1496"/>
      <c r="BU422" s="1496"/>
      <c r="BV422" s="1496"/>
    </row>
    <row r="423" spans="1:75">
      <c r="A423" s="320"/>
      <c r="B423" s="320"/>
      <c r="C423" s="1128"/>
      <c r="D423" s="320"/>
      <c r="E423" s="332"/>
      <c r="F423" s="333"/>
      <c r="G423" s="333"/>
      <c r="H423" s="334"/>
      <c r="I423" s="107"/>
      <c r="J423" s="177"/>
      <c r="K423" s="178"/>
      <c r="L423" s="178"/>
      <c r="M423" s="179"/>
      <c r="N423" s="107"/>
      <c r="O423" s="177"/>
      <c r="P423" s="178"/>
      <c r="Q423" s="178"/>
      <c r="R423" s="179"/>
      <c r="S423" s="107"/>
      <c r="T423" s="177"/>
      <c r="U423" s="178"/>
      <c r="V423" s="178"/>
      <c r="W423" s="179"/>
      <c r="X423" s="107"/>
      <c r="Y423" s="177"/>
      <c r="Z423" s="178"/>
      <c r="AA423" s="178"/>
      <c r="AB423" s="179"/>
      <c r="AC423" s="107"/>
      <c r="AD423" s="177"/>
      <c r="AE423" s="178"/>
      <c r="AF423" s="178"/>
      <c r="AG423" s="179"/>
      <c r="AH423" s="107"/>
      <c r="AI423" s="177"/>
      <c r="AJ423" s="178"/>
      <c r="AK423" s="178"/>
      <c r="AL423" s="179"/>
      <c r="AM423" s="107"/>
      <c r="AN423" s="177"/>
      <c r="AO423" s="178"/>
      <c r="AP423" s="178"/>
      <c r="AQ423" s="179"/>
      <c r="AR423" s="107"/>
      <c r="AS423" s="177"/>
      <c r="AT423" s="178"/>
      <c r="AU423" s="178"/>
      <c r="AV423" s="179"/>
      <c r="AW423" s="107"/>
      <c r="AX423" s="177"/>
      <c r="AY423" s="178"/>
      <c r="AZ423" s="178"/>
      <c r="BA423" s="179"/>
      <c r="BB423" s="107"/>
      <c r="BC423" s="177"/>
      <c r="BD423" s="178"/>
      <c r="BE423" s="178"/>
      <c r="BF423" s="179"/>
      <c r="BG423" s="107"/>
      <c r="BH423" s="177"/>
      <c r="BI423" s="178"/>
      <c r="BJ423" s="178"/>
      <c r="BK423" s="179"/>
      <c r="BL423" s="107"/>
      <c r="BM423" s="177"/>
      <c r="BN423" s="178"/>
      <c r="BO423" s="178"/>
      <c r="BP423" s="179"/>
      <c r="BQ423" s="107"/>
      <c r="BR423" s="107"/>
      <c r="BS423" s="1496"/>
      <c r="BT423" s="1496"/>
      <c r="BU423" s="1496"/>
      <c r="BV423" s="1496"/>
    </row>
    <row r="424" spans="1:75">
      <c r="A424" s="320"/>
      <c r="B424" s="320"/>
      <c r="C424" s="1127" t="s">
        <v>35</v>
      </c>
      <c r="D424" s="320"/>
      <c r="E424" s="332"/>
      <c r="F424" s="333"/>
      <c r="G424" s="333"/>
      <c r="H424" s="334"/>
      <c r="I424" s="107"/>
      <c r="J424" s="217">
        <v>0</v>
      </c>
      <c r="K424" s="218">
        <v>0</v>
      </c>
      <c r="L424" s="428">
        <v>473.87200000000001</v>
      </c>
      <c r="M424" s="429">
        <v>360.68900000000002</v>
      </c>
      <c r="N424" s="107">
        <f>+M424</f>
        <v>360.68900000000002</v>
      </c>
      <c r="O424" s="427">
        <v>404.41</v>
      </c>
      <c r="P424" s="428">
        <v>364.07600000000002</v>
      </c>
      <c r="Q424" s="428">
        <v>350.20400000000001</v>
      </c>
      <c r="R424" s="429">
        <v>358.90199999999999</v>
      </c>
      <c r="S424" s="107">
        <f>+R424</f>
        <v>358.90199999999999</v>
      </c>
      <c r="T424" s="427">
        <v>358.56700000000001</v>
      </c>
      <c r="U424" s="428">
        <v>375.69200000000001</v>
      </c>
      <c r="V424" s="428">
        <v>355.83</v>
      </c>
      <c r="W424" s="429">
        <v>391.74900000000002</v>
      </c>
      <c r="X424" s="107">
        <f>+W424</f>
        <v>391.74900000000002</v>
      </c>
      <c r="Y424" s="427">
        <v>391.69600000000003</v>
      </c>
      <c r="Z424" s="428">
        <v>395.24200000000002</v>
      </c>
      <c r="AA424" s="428">
        <v>355.50900000000001</v>
      </c>
      <c r="AB424" s="429">
        <v>297.45100000000002</v>
      </c>
      <c r="AC424" s="107">
        <f>+AB424</f>
        <v>297.45100000000002</v>
      </c>
      <c r="AD424" s="427">
        <v>343.53500000000003</v>
      </c>
      <c r="AE424" s="428">
        <v>358.75099999999998</v>
      </c>
      <c r="AF424" s="428">
        <v>466.66</v>
      </c>
      <c r="AG424" s="429">
        <v>455.06299999999999</v>
      </c>
      <c r="AH424" s="107">
        <f>+AG424</f>
        <v>455.06299999999999</v>
      </c>
      <c r="AI424" s="427">
        <v>469.57600000000002</v>
      </c>
      <c r="AJ424" s="428">
        <v>375.92599999999999</v>
      </c>
      <c r="AK424" s="428">
        <v>346.84</v>
      </c>
      <c r="AL424" s="429">
        <v>129.65899999999999</v>
      </c>
      <c r="AM424" s="107">
        <f>+AL424</f>
        <v>129.65899999999999</v>
      </c>
      <c r="AN424" s="427">
        <v>154.316</v>
      </c>
      <c r="AO424" s="428">
        <v>136.57</v>
      </c>
      <c r="AP424" s="428">
        <v>151.32300000000001</v>
      </c>
      <c r="AQ424" s="429">
        <v>43.38</v>
      </c>
      <c r="AR424" s="107">
        <f>+AQ424</f>
        <v>43.38</v>
      </c>
      <c r="AS424" s="427">
        <v>47.076000000000001</v>
      </c>
      <c r="AT424" s="428">
        <v>46.142000000000003</v>
      </c>
      <c r="AU424" s="428">
        <v>43.661999999999999</v>
      </c>
      <c r="AV424" s="429">
        <v>30.486999999999998</v>
      </c>
      <c r="AW424" s="107">
        <f>+AV424</f>
        <v>30.486999999999998</v>
      </c>
      <c r="AX424" s="177">
        <f>+AV424</f>
        <v>30.486999999999998</v>
      </c>
      <c r="AY424" s="178">
        <f>+AX424</f>
        <v>30.486999999999998</v>
      </c>
      <c r="AZ424" s="178">
        <f>+AY424</f>
        <v>30.486999999999998</v>
      </c>
      <c r="BA424" s="179">
        <f>+AZ424</f>
        <v>30.486999999999998</v>
      </c>
      <c r="BB424" s="107">
        <f>+BA424</f>
        <v>30.486999999999998</v>
      </c>
      <c r="BC424" s="177">
        <f>+BA424</f>
        <v>30.486999999999998</v>
      </c>
      <c r="BD424" s="178">
        <f>+BC424</f>
        <v>30.486999999999998</v>
      </c>
      <c r="BE424" s="178">
        <f>+BD424</f>
        <v>30.486999999999998</v>
      </c>
      <c r="BF424" s="179">
        <f>+BE424</f>
        <v>30.486999999999998</v>
      </c>
      <c r="BG424" s="107">
        <f>+BF424</f>
        <v>30.486999999999998</v>
      </c>
      <c r="BH424" s="177">
        <f>+BF424</f>
        <v>30.486999999999998</v>
      </c>
      <c r="BI424" s="178">
        <f>+BH424</f>
        <v>30.486999999999998</v>
      </c>
      <c r="BJ424" s="178">
        <f>+BI424</f>
        <v>30.486999999999998</v>
      </c>
      <c r="BK424" s="179">
        <f>+BJ424</f>
        <v>30.486999999999998</v>
      </c>
      <c r="BL424" s="107">
        <f>+BK424</f>
        <v>30.486999999999998</v>
      </c>
      <c r="BM424" s="177">
        <f>+BK424</f>
        <v>30.486999999999998</v>
      </c>
      <c r="BN424" s="178">
        <f>+BM424</f>
        <v>30.486999999999998</v>
      </c>
      <c r="BO424" s="178">
        <f>+BN424</f>
        <v>30.486999999999998</v>
      </c>
      <c r="BP424" s="179">
        <f>+BO424</f>
        <v>30.486999999999998</v>
      </c>
      <c r="BQ424" s="107">
        <f>+BP424</f>
        <v>30.486999999999998</v>
      </c>
      <c r="BR424" s="107"/>
      <c r="BS424" s="1496"/>
      <c r="BT424" s="1496"/>
      <c r="BU424" s="1496"/>
      <c r="BV424" s="1496"/>
    </row>
    <row r="425" spans="1:75">
      <c r="A425" s="320"/>
      <c r="B425" s="320"/>
      <c r="C425" s="1128"/>
      <c r="D425" s="320"/>
      <c r="E425" s="332"/>
      <c r="F425" s="333"/>
      <c r="G425" s="333"/>
      <c r="H425" s="337"/>
      <c r="I425" s="107"/>
      <c r="J425" s="180"/>
      <c r="K425" s="181"/>
      <c r="L425" s="181"/>
      <c r="M425" s="182"/>
      <c r="N425" s="107"/>
      <c r="O425" s="180"/>
      <c r="P425" s="181"/>
      <c r="Q425" s="181"/>
      <c r="R425" s="182"/>
      <c r="S425" s="107"/>
      <c r="T425" s="180"/>
      <c r="U425" s="181"/>
      <c r="V425" s="181"/>
      <c r="W425" s="182"/>
      <c r="X425" s="107"/>
      <c r="Y425" s="180"/>
      <c r="Z425" s="181"/>
      <c r="AA425" s="181"/>
      <c r="AB425" s="182"/>
      <c r="AC425" s="107"/>
      <c r="AD425" s="180"/>
      <c r="AE425" s="181"/>
      <c r="AF425" s="181"/>
      <c r="AG425" s="182"/>
      <c r="AH425" s="107"/>
      <c r="AI425" s="180"/>
      <c r="AJ425" s="181"/>
      <c r="AK425" s="181"/>
      <c r="AL425" s="182"/>
      <c r="AM425" s="107"/>
      <c r="AN425" s="180"/>
      <c r="AO425" s="181"/>
      <c r="AP425" s="181"/>
      <c r="AQ425" s="182"/>
      <c r="AR425" s="107"/>
      <c r="AS425" s="180"/>
      <c r="AT425" s="181"/>
      <c r="AU425" s="181"/>
      <c r="AV425" s="182"/>
      <c r="AW425" s="107"/>
      <c r="AX425" s="180"/>
      <c r="AY425" s="181"/>
      <c r="AZ425" s="181"/>
      <c r="BA425" s="182"/>
      <c r="BB425" s="107"/>
      <c r="BC425" s="180"/>
      <c r="BD425" s="181"/>
      <c r="BE425" s="181"/>
      <c r="BF425" s="182"/>
      <c r="BG425" s="107"/>
      <c r="BH425" s="180"/>
      <c r="BI425" s="181"/>
      <c r="BJ425" s="181"/>
      <c r="BK425" s="182"/>
      <c r="BL425" s="107"/>
      <c r="BM425" s="180"/>
      <c r="BN425" s="181"/>
      <c r="BO425" s="181"/>
      <c r="BP425" s="182"/>
      <c r="BQ425" s="107"/>
      <c r="BR425" s="107"/>
      <c r="BS425" s="1496"/>
      <c r="BT425" s="1496"/>
      <c r="BU425" s="1496"/>
      <c r="BV425" s="1496"/>
    </row>
    <row r="426" spans="1:75">
      <c r="A426" s="327"/>
      <c r="B426" s="327"/>
      <c r="C426" s="1128" t="s">
        <v>349</v>
      </c>
      <c r="D426" s="327"/>
      <c r="E426" s="335">
        <f t="shared" ref="E426:M426" si="1182">E17</f>
        <v>33.639000000000003</v>
      </c>
      <c r="F426" s="336">
        <f t="shared" si="1182"/>
        <v>35.024999999999999</v>
      </c>
      <c r="G426" s="336">
        <f t="shared" si="1182"/>
        <v>36.048999999999999</v>
      </c>
      <c r="H426" s="337">
        <f t="shared" si="1182"/>
        <v>47.054000000000002</v>
      </c>
      <c r="I426" s="110">
        <f t="shared" si="1182"/>
        <v>151.767</v>
      </c>
      <c r="J426" s="180">
        <f t="shared" si="1182"/>
        <v>40.512999999999998</v>
      </c>
      <c r="K426" s="181">
        <f t="shared" si="1182"/>
        <v>38.194000000000003</v>
      </c>
      <c r="L426" s="181">
        <f t="shared" si="1182"/>
        <v>41.798999999999999</v>
      </c>
      <c r="M426" s="182">
        <f t="shared" si="1182"/>
        <v>42.674000000000007</v>
      </c>
      <c r="N426" s="110">
        <f>+SUM(J426:M426)</f>
        <v>163.18</v>
      </c>
      <c r="O426" s="180">
        <f>O17</f>
        <v>43.231000000000002</v>
      </c>
      <c r="P426" s="181">
        <f>P17</f>
        <v>44.177</v>
      </c>
      <c r="Q426" s="181">
        <f>Q17</f>
        <v>45.247</v>
      </c>
      <c r="R426" s="182">
        <f>R17</f>
        <v>46.532999999999987</v>
      </c>
      <c r="S426" s="110">
        <f>+SUM(O426:R426)</f>
        <v>179.18799999999999</v>
      </c>
      <c r="T426" s="180">
        <f>T17</f>
        <v>51.070999999999998</v>
      </c>
      <c r="U426" s="181">
        <f>U17</f>
        <v>48.07</v>
      </c>
      <c r="V426" s="181">
        <f>V17</f>
        <v>29.582999999999998</v>
      </c>
      <c r="W426" s="182">
        <f>W17</f>
        <v>47.323000000000008</v>
      </c>
      <c r="X426" s="110">
        <f>+SUM(T426:W426)</f>
        <v>176.047</v>
      </c>
      <c r="Y426" s="180">
        <f>Y17</f>
        <v>49.243000000000002</v>
      </c>
      <c r="Z426" s="181">
        <f>Z17</f>
        <v>50.304000000000002</v>
      </c>
      <c r="AA426" s="181">
        <f>AA17</f>
        <v>55.125</v>
      </c>
      <c r="AB426" s="182">
        <f>AB17</f>
        <v>61.199000000000012</v>
      </c>
      <c r="AC426" s="110">
        <f>+SUM(Y426:AB426)</f>
        <v>215.87100000000001</v>
      </c>
      <c r="AD426" s="180">
        <f>AD17</f>
        <v>70.147000000000006</v>
      </c>
      <c r="AE426" s="181">
        <f>AE17</f>
        <v>70.935000000000002</v>
      </c>
      <c r="AF426" s="181">
        <f>AF17</f>
        <v>71.623000000000005</v>
      </c>
      <c r="AG426" s="182">
        <f>AG17</f>
        <v>63.218999999999994</v>
      </c>
      <c r="AH426" s="110">
        <f>+SUM(AD426:AG426)</f>
        <v>275.92399999999998</v>
      </c>
      <c r="AI426" s="180">
        <f>AI17</f>
        <v>62.262999999999998</v>
      </c>
      <c r="AJ426" s="181">
        <f>AJ17</f>
        <v>63.835000000000001</v>
      </c>
      <c r="AK426" s="181">
        <f>AK17</f>
        <v>60.414999999999999</v>
      </c>
      <c r="AL426" s="182">
        <f>AL17</f>
        <v>52.519000000000005</v>
      </c>
      <c r="AM426" s="110">
        <f>+SUM(AI426:AL426)</f>
        <v>239.03200000000001</v>
      </c>
      <c r="AN426" s="180">
        <f>AN17</f>
        <v>56.106999999999999</v>
      </c>
      <c r="AO426" s="181">
        <f>AO17</f>
        <v>45.831000000000003</v>
      </c>
      <c r="AP426" s="181">
        <f>AP17</f>
        <v>53.115000000000002</v>
      </c>
      <c r="AQ426" s="182">
        <f>AQ17</f>
        <v>44.799000000000007</v>
      </c>
      <c r="AR426" s="110">
        <f>+SUM(AN426:AQ426)</f>
        <v>199.852</v>
      </c>
      <c r="AS426" s="180">
        <f>AS17</f>
        <v>52.593000000000004</v>
      </c>
      <c r="AT426" s="181">
        <f>AT17</f>
        <v>51.930999999999997</v>
      </c>
      <c r="AU426" s="181">
        <f t="shared" ref="AU426" si="1183">AU17</f>
        <v>52.363999999999997</v>
      </c>
      <c r="AV426" s="182">
        <f>AV17</f>
        <v>36.233000000000004</v>
      </c>
      <c r="AW426" s="110">
        <f>+SUM(AS426:AV426)</f>
        <v>193.12100000000001</v>
      </c>
      <c r="AX426" s="332">
        <f>BB426/4</f>
        <v>40</v>
      </c>
      <c r="AY426" s="333">
        <f>AX426</f>
        <v>40</v>
      </c>
      <c r="AZ426" s="333">
        <f t="shared" ref="AZ426" si="1184">AY426</f>
        <v>40</v>
      </c>
      <c r="BA426" s="334">
        <f t="shared" ref="BA426" si="1185">AZ426</f>
        <v>40</v>
      </c>
      <c r="BB426" s="1679">
        <v>160</v>
      </c>
      <c r="BC426" s="332">
        <f>BG426/4</f>
        <v>40</v>
      </c>
      <c r="BD426" s="333">
        <f>BC426</f>
        <v>40</v>
      </c>
      <c r="BE426" s="333">
        <f t="shared" ref="BE426" si="1186">BD426</f>
        <v>40</v>
      </c>
      <c r="BF426" s="334">
        <f t="shared" ref="BF426" si="1187">BE426</f>
        <v>40</v>
      </c>
      <c r="BG426" s="1679">
        <v>160</v>
      </c>
      <c r="BH426" s="332">
        <f>BL426/4</f>
        <v>30</v>
      </c>
      <c r="BI426" s="333">
        <f>BH426</f>
        <v>30</v>
      </c>
      <c r="BJ426" s="333">
        <f t="shared" ref="BJ426" si="1188">BI426</f>
        <v>30</v>
      </c>
      <c r="BK426" s="334">
        <f t="shared" ref="BK426" si="1189">BJ426</f>
        <v>30</v>
      </c>
      <c r="BL426" s="1679">
        <v>120</v>
      </c>
      <c r="BM426" s="332">
        <f>BQ426/4</f>
        <v>20</v>
      </c>
      <c r="BN426" s="333">
        <f>BM426</f>
        <v>20</v>
      </c>
      <c r="BO426" s="333">
        <f t="shared" ref="BO426" si="1190">BN426</f>
        <v>20</v>
      </c>
      <c r="BP426" s="334">
        <f t="shared" ref="BP426" si="1191">BO426</f>
        <v>20</v>
      </c>
      <c r="BQ426" s="1679">
        <v>80</v>
      </c>
      <c r="BR426" s="110"/>
      <c r="BS426" s="1532"/>
      <c r="BT426" s="1532"/>
      <c r="BU426" s="939"/>
      <c r="BV426" s="939"/>
    </row>
    <row r="427" spans="1:75">
      <c r="A427" s="105"/>
      <c r="B427" s="502"/>
      <c r="C427" s="1161" t="s">
        <v>158</v>
      </c>
      <c r="D427" s="105"/>
      <c r="E427" s="223"/>
      <c r="F427" s="500"/>
      <c r="G427" s="500"/>
      <c r="H427" s="501"/>
      <c r="I427" s="105"/>
      <c r="J427" s="223"/>
      <c r="K427" s="500"/>
      <c r="L427" s="500"/>
      <c r="M427" s="501"/>
      <c r="N427" s="105">
        <f>+N426/AVERAGE(J420:M420)</f>
        <v>4.4849606226064223E-2</v>
      </c>
      <c r="O427" s="223">
        <f>4*O426/AVERAGE(N420:O420)</f>
        <v>4.6495882768124226E-2</v>
      </c>
      <c r="P427" s="500">
        <f>4*P426/AVERAGE(O420:P420)</f>
        <v>4.7071785351721129E-2</v>
      </c>
      <c r="Q427" s="500">
        <f>4*Q426/AVERAGE(P420:Q420)</f>
        <v>4.7794008425770917E-2</v>
      </c>
      <c r="R427" s="501">
        <f>4*R426/AVERAGE(Q420:R420)</f>
        <v>4.6288999113423351E-2</v>
      </c>
      <c r="S427" s="105">
        <f>+S426/AVERAGE(O420:R420)</f>
        <v>4.6092807085597397E-2</v>
      </c>
      <c r="T427" s="223">
        <f>4*T426/AVERAGE(S420:T420)</f>
        <v>4.969159245081077E-2</v>
      </c>
      <c r="U427" s="500">
        <f>4*U426/AVERAGE(T420:U420)</f>
        <v>4.8140025684861844E-2</v>
      </c>
      <c r="V427" s="500">
        <f>4*V426/AVERAGE(U420:V420)</f>
        <v>2.9731027067390153E-2</v>
      </c>
      <c r="W427" s="501">
        <f>4*W426/AVERAGE(V420:W420)</f>
        <v>4.7517256484164334E-2</v>
      </c>
      <c r="X427" s="105">
        <f>+X426/AVERAGE(T420:W420)</f>
        <v>4.4134062036175509E-2</v>
      </c>
      <c r="Y427" s="223">
        <f>4*Y426/AVERAGE(X420:Y420)</f>
        <v>4.9152988589645209E-2</v>
      </c>
      <c r="Z427" s="500">
        <f>4*Z426/AVERAGE(Y420:Z420)</f>
        <v>4.9935296496406711E-2</v>
      </c>
      <c r="AA427" s="500">
        <f>4*AA426/AVERAGE(Z420:AA420)</f>
        <v>5.5116601607830003E-2</v>
      </c>
      <c r="AB427" s="501">
        <f>4*AB426/AVERAGE(AA420:AB420)</f>
        <v>6.4492639077698061E-2</v>
      </c>
      <c r="AC427" s="105">
        <f>+AC426/AVERAGE(Y420:AB420)</f>
        <v>5.5172902044272165E-2</v>
      </c>
      <c r="AD427" s="223">
        <f>4*AD426/AVERAGE(AC420:AD420)</f>
        <v>7.7402326417307973E-2</v>
      </c>
      <c r="AE427" s="500">
        <f>4*AE426/AVERAGE(AD420:AE420)</f>
        <v>7.8911941876490602E-2</v>
      </c>
      <c r="AF427" s="500">
        <f>4*AF426/AVERAGE(AE420:AF420)</f>
        <v>8.0577100023723813E-2</v>
      </c>
      <c r="AG427" s="501">
        <f>4*AG426/AVERAGE(AF420:AG420)</f>
        <v>7.1082641624312395E-2</v>
      </c>
      <c r="AH427" s="105">
        <f>+AH426/AVERAGE(AD420:AG420)</f>
        <v>7.7147588127825975E-2</v>
      </c>
      <c r="AI427" s="223">
        <f>4*AI426/AVERAGE(AH420:AI420)</f>
        <v>6.9535325993257596E-2</v>
      </c>
      <c r="AJ427" s="500">
        <f>4*AJ426/AVERAGE(AI420:AJ420)</f>
        <v>7.1107898033936509E-2</v>
      </c>
      <c r="AK427" s="500">
        <f>4*AK426/AVERAGE(AJ420:AK420)</f>
        <v>7.7401108681360992E-2</v>
      </c>
      <c r="AL427" s="501">
        <f>4*AL426/AVERAGE(AK420:AL420)</f>
        <v>8.6018652333773316E-2</v>
      </c>
      <c r="AM427" s="105">
        <f>+AM426/AVERAGE(AI420:AL420)</f>
        <v>7.9240250713750501E-2</v>
      </c>
      <c r="AN427" s="223">
        <f>4*AN426/AVERAGE(AM420:AN420)</f>
        <v>9.9969709928016529E-2</v>
      </c>
      <c r="AO427" s="500">
        <f>4*AO426/AVERAGE(AN420:AO420)</f>
        <v>8.2594543842026732E-2</v>
      </c>
      <c r="AP427" s="500">
        <f>4*AP426/AVERAGE(AO420:AP420)</f>
        <v>9.6542404181232166E-2</v>
      </c>
      <c r="AQ427" s="501">
        <f>4*AQ426/AVERAGE(AP420:AQ420)</f>
        <v>0.12849040835693884</v>
      </c>
      <c r="AR427" s="105">
        <f>+AR426/AVERAGE(AN420:AQ420)</f>
        <v>0.11059293767263545</v>
      </c>
      <c r="AS427" s="223">
        <f>4*AS426/AVERAGE(AR420:AS420)</f>
        <v>0.37752562186063787</v>
      </c>
      <c r="AT427" s="500">
        <f>4*AT426/AVERAGE(AS420:AT420)</f>
        <v>0.4123594278851403</v>
      </c>
      <c r="AU427" s="500">
        <f t="shared" ref="AU427" si="1192">4*AU426/AVERAGE(AT420:AU420)</f>
        <v>0.49724499267626232</v>
      </c>
      <c r="AV427" s="501">
        <f>4*AV426/AVERAGE(AU420:AV420)</f>
        <v>0.40423107764180882</v>
      </c>
      <c r="AW427" s="105">
        <f>+AW426/AVERAGE(AS420:AV420)</f>
        <v>0.44792976779651683</v>
      </c>
      <c r="AX427" s="509">
        <v>0.13</v>
      </c>
      <c r="AY427" s="507">
        <v>0.13</v>
      </c>
      <c r="AZ427" s="507">
        <v>0.13</v>
      </c>
      <c r="BA427" s="508">
        <v>0.13</v>
      </c>
      <c r="BB427" s="105">
        <f>+BB426/AVERAGE(AX420:BA420)</f>
        <v>0.39972319168975479</v>
      </c>
      <c r="BC427" s="509">
        <v>0.13500000000000001</v>
      </c>
      <c r="BD427" s="507">
        <v>0.13500000000000001</v>
      </c>
      <c r="BE427" s="507">
        <v>0.13500000000000001</v>
      </c>
      <c r="BF427" s="508">
        <v>0.13500000000000001</v>
      </c>
      <c r="BG427" s="105">
        <f>+BG426/AVERAGE(BC420:BF420)</f>
        <v>0.42635173485185607</v>
      </c>
      <c r="BH427" s="509">
        <v>0.16500000000000001</v>
      </c>
      <c r="BI427" s="507">
        <v>0.16500000000000001</v>
      </c>
      <c r="BJ427" s="507">
        <v>0.16500000000000001</v>
      </c>
      <c r="BK427" s="508">
        <v>0.16500000000000001</v>
      </c>
      <c r="BL427" s="105">
        <f>+BL426/AVERAGE(BH420:BK420)</f>
        <v>0.41339823685651972</v>
      </c>
      <c r="BM427" s="509">
        <v>0.16500000000000001</v>
      </c>
      <c r="BN427" s="507">
        <v>0.16500000000000001</v>
      </c>
      <c r="BO427" s="507">
        <v>0.16500000000000001</v>
      </c>
      <c r="BP427" s="508">
        <v>0.16500000000000001</v>
      </c>
      <c r="BQ427" s="105">
        <f>+BQ426/AVERAGE(BM420:BP420)</f>
        <v>0.35709981386172196</v>
      </c>
      <c r="BR427" s="105"/>
      <c r="BS427" s="1533"/>
      <c r="BT427" s="1533"/>
      <c r="BU427" s="1533"/>
      <c r="BV427" s="1533"/>
    </row>
    <row r="428" spans="1:75">
      <c r="A428" s="320"/>
      <c r="B428" s="320"/>
      <c r="C428" s="1127"/>
      <c r="D428" s="320"/>
      <c r="E428" s="335"/>
      <c r="F428" s="336"/>
      <c r="G428" s="336"/>
      <c r="H428" s="337"/>
      <c r="I428" s="107"/>
      <c r="J428" s="180"/>
      <c r="K428" s="181"/>
      <c r="L428" s="181"/>
      <c r="M428" s="182"/>
      <c r="N428" s="107"/>
      <c r="O428" s="180"/>
      <c r="P428" s="181"/>
      <c r="Q428" s="181"/>
      <c r="R428" s="182"/>
      <c r="S428" s="107"/>
      <c r="T428" s="180"/>
      <c r="U428" s="181"/>
      <c r="V428" s="181"/>
      <c r="W428" s="182"/>
      <c r="X428" s="107"/>
      <c r="Y428" s="180"/>
      <c r="Z428" s="181"/>
      <c r="AA428" s="181"/>
      <c r="AB428" s="182"/>
      <c r="AC428" s="107"/>
      <c r="AD428" s="180"/>
      <c r="AE428" s="181"/>
      <c r="AF428" s="181"/>
      <c r="AG428" s="182"/>
      <c r="AH428" s="1552"/>
      <c r="AI428" s="180"/>
      <c r="AJ428" s="181"/>
      <c r="AK428" s="181"/>
      <c r="AL428" s="182"/>
      <c r="AM428" s="107"/>
      <c r="AN428" s="180"/>
      <c r="AO428" s="181"/>
      <c r="AP428" s="181"/>
      <c r="AQ428" s="182"/>
      <c r="AR428" s="107"/>
      <c r="AS428" s="180"/>
      <c r="AT428" s="181"/>
      <c r="AU428" s="181"/>
      <c r="AV428" s="182"/>
      <c r="AW428" s="107"/>
      <c r="AX428" s="180"/>
      <c r="AY428" s="181"/>
      <c r="AZ428" s="181"/>
      <c r="BA428" s="182"/>
      <c r="BB428" s="107"/>
      <c r="BC428" s="180"/>
      <c r="BD428" s="181"/>
      <c r="BE428" s="181"/>
      <c r="BF428" s="182"/>
      <c r="BG428" s="107"/>
      <c r="BH428" s="180"/>
      <c r="BI428" s="181"/>
      <c r="BJ428" s="181"/>
      <c r="BK428" s="182"/>
      <c r="BL428" s="107"/>
      <c r="BM428" s="180"/>
      <c r="BN428" s="181"/>
      <c r="BO428" s="181"/>
      <c r="BP428" s="182"/>
      <c r="BQ428" s="107"/>
      <c r="BR428" s="107"/>
      <c r="BS428" s="1496"/>
      <c r="BT428" s="1496"/>
      <c r="BU428" s="1496"/>
      <c r="BV428" s="1496"/>
    </row>
    <row r="429" spans="1:75">
      <c r="A429" s="320"/>
      <c r="B429" s="1603"/>
      <c r="C429" s="1127" t="s">
        <v>820</v>
      </c>
      <c r="D429" s="320"/>
      <c r="E429" s="177">
        <f>+I429/4</f>
        <v>22.5</v>
      </c>
      <c r="F429" s="178">
        <f>+I429/4</f>
        <v>22.5</v>
      </c>
      <c r="G429" s="178">
        <f>+I429/4</f>
        <v>22.5</v>
      </c>
      <c r="H429" s="179">
        <f>+I429/4</f>
        <v>22.5</v>
      </c>
      <c r="I429" s="348">
        <v>90</v>
      </c>
      <c r="J429" s="177">
        <f>+N429/4</f>
        <v>23</v>
      </c>
      <c r="K429" s="178">
        <f>+N429/4</f>
        <v>23</v>
      </c>
      <c r="L429" s="178">
        <f>+N429/4</f>
        <v>23</v>
      </c>
      <c r="M429" s="179">
        <f>+N429/4</f>
        <v>23</v>
      </c>
      <c r="N429" s="348">
        <v>92</v>
      </c>
      <c r="O429" s="177">
        <f>+S429/4</f>
        <v>23.25</v>
      </c>
      <c r="P429" s="178">
        <f>+S429/4</f>
        <v>23.25</v>
      </c>
      <c r="Q429" s="178">
        <f>+S429/4</f>
        <v>23.25</v>
      </c>
      <c r="R429" s="179">
        <f>+S429/4</f>
        <v>23.25</v>
      </c>
      <c r="S429" s="348">
        <v>93</v>
      </c>
      <c r="T429" s="177">
        <f>+X429/4</f>
        <v>22.5</v>
      </c>
      <c r="U429" s="178">
        <f>+X429/4</f>
        <v>22.5</v>
      </c>
      <c r="V429" s="178">
        <f>+X429/4</f>
        <v>22.5</v>
      </c>
      <c r="W429" s="179">
        <f>+X429/4</f>
        <v>22.5</v>
      </c>
      <c r="X429" s="348">
        <v>90</v>
      </c>
      <c r="Y429" s="177">
        <f>+AC429/4</f>
        <v>27.000000000000004</v>
      </c>
      <c r="Z429" s="178">
        <f>+AC429/4</f>
        <v>27.000000000000004</v>
      </c>
      <c r="AA429" s="178">
        <f>+AC429/4</f>
        <v>27.000000000000004</v>
      </c>
      <c r="AB429" s="179">
        <f>+AC429/4</f>
        <v>27.000000000000004</v>
      </c>
      <c r="AC429" s="108">
        <f>108/$X$158*AC$158</f>
        <v>108.00000000000001</v>
      </c>
      <c r="AD429" s="177">
        <f>+AH429/4</f>
        <v>32.75</v>
      </c>
      <c r="AE429" s="178">
        <f>+AH429/4</f>
        <v>32.75</v>
      </c>
      <c r="AF429" s="178">
        <f>+AH429/4</f>
        <v>32.75</v>
      </c>
      <c r="AG429" s="179">
        <f>+AH429/4</f>
        <v>32.75</v>
      </c>
      <c r="AH429" s="108">
        <f>131/$X$158*AH$158</f>
        <v>131</v>
      </c>
      <c r="AI429" s="177">
        <f>+AM429/4</f>
        <v>39.945781297593662</v>
      </c>
      <c r="AJ429" s="178">
        <f>+AM429/4</f>
        <v>39.945781297593662</v>
      </c>
      <c r="AK429" s="178">
        <f>+AM429/4</f>
        <v>39.945781297593662</v>
      </c>
      <c r="AL429" s="179">
        <f>+AM429/4</f>
        <v>39.945781297593662</v>
      </c>
      <c r="AM429" s="108">
        <f>176/$X$158*AM$158</f>
        <v>159.78312519037465</v>
      </c>
      <c r="AN429" s="177">
        <f>+AR429/4</f>
        <v>28.019189765458425</v>
      </c>
      <c r="AO429" s="178">
        <f>+AR429/4</f>
        <v>28.019189765458425</v>
      </c>
      <c r="AP429" s="178">
        <f>+AR429/4</f>
        <v>28.019189765458425</v>
      </c>
      <c r="AQ429" s="179">
        <f>+AR429/4</f>
        <v>28.019189765458425</v>
      </c>
      <c r="AR429" s="108">
        <f>136/$X$158*AR$158</f>
        <v>112.0767590618337</v>
      </c>
      <c r="AS429" s="177">
        <f>+AW429/4</f>
        <v>23.679865976241246</v>
      </c>
      <c r="AT429" s="178">
        <f>+AW429/4</f>
        <v>23.679865976241246</v>
      </c>
      <c r="AU429" s="178">
        <f>+AW429/4</f>
        <v>23.679865976241246</v>
      </c>
      <c r="AV429" s="179">
        <f>+AW429/4</f>
        <v>23.679865976241246</v>
      </c>
      <c r="AW429" s="108">
        <f>136/$X$158*AW$158</f>
        <v>94.719463904964982</v>
      </c>
      <c r="AX429" s="177">
        <f>+BB429/4</f>
        <v>61.25</v>
      </c>
      <c r="AY429" s="178">
        <f>+BB429/4</f>
        <v>61.25</v>
      </c>
      <c r="AZ429" s="178">
        <f>+BB429/4</f>
        <v>61.25</v>
      </c>
      <c r="BA429" s="179">
        <f>+BB429/4</f>
        <v>61.25</v>
      </c>
      <c r="BB429" s="108">
        <v>245</v>
      </c>
      <c r="BC429" s="177">
        <f>+BG429/4</f>
        <v>18.75</v>
      </c>
      <c r="BD429" s="178">
        <f>+BG429/4</f>
        <v>18.75</v>
      </c>
      <c r="BE429" s="178">
        <f>+BG429/4</f>
        <v>18.75</v>
      </c>
      <c r="BF429" s="179">
        <f>+BG429/4</f>
        <v>18.75</v>
      </c>
      <c r="BG429" s="108">
        <v>75</v>
      </c>
      <c r="BH429" s="177">
        <f>+BL429/4</f>
        <v>8.75</v>
      </c>
      <c r="BI429" s="178">
        <f>+BL429/4</f>
        <v>8.75</v>
      </c>
      <c r="BJ429" s="178">
        <f>+BL429/4</f>
        <v>8.75</v>
      </c>
      <c r="BK429" s="179">
        <f>+BL429/4</f>
        <v>8.75</v>
      </c>
      <c r="BL429" s="108">
        <v>35</v>
      </c>
      <c r="BM429" s="177">
        <f>+BQ429/4</f>
        <v>6.25</v>
      </c>
      <c r="BN429" s="178">
        <f>+BQ429/4</f>
        <v>6.25</v>
      </c>
      <c r="BO429" s="178">
        <f>+BQ429/4</f>
        <v>6.25</v>
      </c>
      <c r="BP429" s="179">
        <f>+BQ429/4</f>
        <v>6.25</v>
      </c>
      <c r="BQ429" s="108">
        <v>25</v>
      </c>
      <c r="BR429" s="357"/>
      <c r="BS429" s="1502"/>
      <c r="BT429" s="1502"/>
      <c r="BU429" s="1502"/>
      <c r="BV429" s="1502"/>
    </row>
    <row r="430" spans="1:75">
      <c r="A430" s="320"/>
      <c r="B430" s="1603"/>
      <c r="C430" s="1127" t="s">
        <v>821</v>
      </c>
      <c r="D430" s="320"/>
      <c r="E430" s="177">
        <f>+I430/4</f>
        <v>89.25</v>
      </c>
      <c r="F430" s="178">
        <f>+I430/4</f>
        <v>89.25</v>
      </c>
      <c r="G430" s="178">
        <f>+I430/4</f>
        <v>89.25</v>
      </c>
      <c r="H430" s="179">
        <f>+I430/4</f>
        <v>89.25</v>
      </c>
      <c r="I430" s="357">
        <f>I431-I429</f>
        <v>357</v>
      </c>
      <c r="J430" s="177">
        <f>+N430/4</f>
        <v>87.25</v>
      </c>
      <c r="K430" s="178">
        <f>+N430/4</f>
        <v>87.25</v>
      </c>
      <c r="L430" s="178">
        <f>+N430/4</f>
        <v>87.25</v>
      </c>
      <c r="M430" s="179">
        <f>+N430/4</f>
        <v>87.25</v>
      </c>
      <c r="N430" s="357">
        <f>N431-N429</f>
        <v>349</v>
      </c>
      <c r="O430" s="177">
        <f>+S430/4</f>
        <v>68.25</v>
      </c>
      <c r="P430" s="178">
        <f>+S430/4</f>
        <v>68.25</v>
      </c>
      <c r="Q430" s="178">
        <f>+S430/4</f>
        <v>68.25</v>
      </c>
      <c r="R430" s="179">
        <f>+S430/4</f>
        <v>68.25</v>
      </c>
      <c r="S430" s="357">
        <f>S431-S429</f>
        <v>273</v>
      </c>
      <c r="T430" s="177">
        <f>+X430/4</f>
        <v>64.75</v>
      </c>
      <c r="U430" s="178">
        <f>+X430/4</f>
        <v>64.75</v>
      </c>
      <c r="V430" s="178">
        <f>+X430/4</f>
        <v>64.75</v>
      </c>
      <c r="W430" s="179">
        <f>+X430/4</f>
        <v>64.75</v>
      </c>
      <c r="X430" s="357">
        <f>X431-X429</f>
        <v>259</v>
      </c>
      <c r="Y430" s="177">
        <f>+AC430/4</f>
        <v>64.25</v>
      </c>
      <c r="Z430" s="178">
        <f>+AC430/4</f>
        <v>64.25</v>
      </c>
      <c r="AA430" s="178">
        <f>+AC430/4</f>
        <v>64.25</v>
      </c>
      <c r="AB430" s="179">
        <f>+AC430/4</f>
        <v>64.25</v>
      </c>
      <c r="AC430" s="357">
        <f>AC431-AC429</f>
        <v>257</v>
      </c>
      <c r="AD430" s="177">
        <f>+AH430/4</f>
        <v>72.25</v>
      </c>
      <c r="AE430" s="178">
        <f>+AH430/4</f>
        <v>72.25</v>
      </c>
      <c r="AF430" s="178">
        <f>+AH430/4</f>
        <v>72.25</v>
      </c>
      <c r="AG430" s="179">
        <f>+AH430/4</f>
        <v>72.25</v>
      </c>
      <c r="AH430" s="357">
        <f>AH431-AH429</f>
        <v>289</v>
      </c>
      <c r="AI430" s="177">
        <f>+AM430/4</f>
        <v>66.304218702406331</v>
      </c>
      <c r="AJ430" s="178">
        <f>+AM430/4</f>
        <v>66.304218702406331</v>
      </c>
      <c r="AK430" s="178">
        <f>+AM430/4</f>
        <v>66.304218702406331</v>
      </c>
      <c r="AL430" s="179">
        <f>+AM430/4</f>
        <v>66.304218702406331</v>
      </c>
      <c r="AM430" s="357">
        <f>AM431-AM429</f>
        <v>265.21687480962532</v>
      </c>
      <c r="AN430" s="177">
        <f>+AR430/4</f>
        <v>38.230810234541579</v>
      </c>
      <c r="AO430" s="178">
        <f>+AR430/4</f>
        <v>38.230810234541579</v>
      </c>
      <c r="AP430" s="178">
        <f>+AR430/4</f>
        <v>38.230810234541579</v>
      </c>
      <c r="AQ430" s="193">
        <f>+(AR430)/4</f>
        <v>38.230810234541579</v>
      </c>
      <c r="AR430" s="357">
        <f>265-AR429</f>
        <v>152.92324093816632</v>
      </c>
      <c r="AS430" s="177">
        <f>+AW430/4</f>
        <v>33.820134023758754</v>
      </c>
      <c r="AT430" s="178">
        <f>+AW430/4</f>
        <v>33.820134023758754</v>
      </c>
      <c r="AU430" s="178">
        <f>+AW430/4</f>
        <v>33.820134023758754</v>
      </c>
      <c r="AV430" s="193">
        <f>+AW430/4</f>
        <v>33.820134023758754</v>
      </c>
      <c r="AW430" s="357">
        <f>AW431-AW429</f>
        <v>135.28053609503502</v>
      </c>
      <c r="AX430" s="177">
        <f>+BB430/4</f>
        <v>-2.5</v>
      </c>
      <c r="AY430" s="178">
        <f>+BB430/4</f>
        <v>-2.5</v>
      </c>
      <c r="AZ430" s="178">
        <f>+BB430/4</f>
        <v>-2.5</v>
      </c>
      <c r="BA430" s="179">
        <f>+BB430/4</f>
        <v>-2.5</v>
      </c>
      <c r="BB430" s="357">
        <f>BB431-BB429</f>
        <v>-10</v>
      </c>
      <c r="BC430" s="177">
        <f>+BG430/4</f>
        <v>0</v>
      </c>
      <c r="BD430" s="178">
        <f>+BG430/4</f>
        <v>0</v>
      </c>
      <c r="BE430" s="178">
        <f>+BG430/4</f>
        <v>0</v>
      </c>
      <c r="BF430" s="179">
        <f>+BG430/4</f>
        <v>0</v>
      </c>
      <c r="BG430" s="357">
        <v>0</v>
      </c>
      <c r="BH430" s="177">
        <f>+BL430/4</f>
        <v>0</v>
      </c>
      <c r="BI430" s="178">
        <f>+BL430/4</f>
        <v>0</v>
      </c>
      <c r="BJ430" s="178">
        <f>+BL430/4</f>
        <v>0</v>
      </c>
      <c r="BK430" s="179">
        <f>+BL430/4</f>
        <v>0</v>
      </c>
      <c r="BL430" s="108">
        <f>BG430/$BG$158*BL$158</f>
        <v>0</v>
      </c>
      <c r="BM430" s="177">
        <f>+BQ430/4</f>
        <v>0</v>
      </c>
      <c r="BN430" s="178">
        <f>+BQ430/4</f>
        <v>0</v>
      </c>
      <c r="BO430" s="178">
        <f>+BQ430/4</f>
        <v>0</v>
      </c>
      <c r="BP430" s="179">
        <f>+BQ430/4</f>
        <v>0</v>
      </c>
      <c r="BQ430" s="108">
        <f>BL430/$BG$158*BQ$158</f>
        <v>0</v>
      </c>
      <c r="BR430" s="108"/>
      <c r="BS430" s="1507" t="s">
        <v>942</v>
      </c>
      <c r="BT430" s="1534"/>
      <c r="BU430" s="1534"/>
      <c r="BV430" s="1534"/>
    </row>
    <row r="431" spans="1:75" ht="13.5" customHeight="1">
      <c r="A431" s="320"/>
      <c r="B431" s="1603"/>
      <c r="C431" s="1128" t="s">
        <v>822</v>
      </c>
      <c r="D431" s="327"/>
      <c r="E431" s="180">
        <f>SUM(E429:E430)</f>
        <v>111.75</v>
      </c>
      <c r="F431" s="181">
        <f>SUM(F429:F430)</f>
        <v>111.75</v>
      </c>
      <c r="G431" s="181">
        <f>SUM(G429:G430)</f>
        <v>111.75</v>
      </c>
      <c r="H431" s="182">
        <f>SUM(H429:H430)</f>
        <v>111.75</v>
      </c>
      <c r="I431" s="496">
        <f>90+357</f>
        <v>447</v>
      </c>
      <c r="J431" s="180">
        <f>SUM(J429:J430)</f>
        <v>110.25</v>
      </c>
      <c r="K431" s="181">
        <f>SUM(K429:K430)</f>
        <v>110.25</v>
      </c>
      <c r="L431" s="181">
        <f>SUM(L429:L430)</f>
        <v>110.25</v>
      </c>
      <c r="M431" s="182">
        <f>SUM(M429:M430)</f>
        <v>110.25</v>
      </c>
      <c r="N431" s="496">
        <f>92+349</f>
        <v>441</v>
      </c>
      <c r="O431" s="180">
        <f>SUM(O429:O430)</f>
        <v>91.5</v>
      </c>
      <c r="P431" s="181">
        <f>SUM(P429:P430)</f>
        <v>91.5</v>
      </c>
      <c r="Q431" s="181">
        <f>SUM(Q429:Q430)</f>
        <v>91.5</v>
      </c>
      <c r="R431" s="182">
        <f>SUM(R429:R430)</f>
        <v>91.5</v>
      </c>
      <c r="S431" s="496">
        <f>93+273</f>
        <v>366</v>
      </c>
      <c r="T431" s="180">
        <f>SUM(T429:T430)</f>
        <v>87.25</v>
      </c>
      <c r="U431" s="181">
        <f>SUM(U429:U430)</f>
        <v>87.25</v>
      </c>
      <c r="V431" s="181">
        <f>SUM(V429:V430)</f>
        <v>87.25</v>
      </c>
      <c r="W431" s="182">
        <f>SUM(W429:W430)</f>
        <v>87.25</v>
      </c>
      <c r="X431" s="496">
        <f>90+259</f>
        <v>349</v>
      </c>
      <c r="Y431" s="180">
        <f t="shared" ref="Y431:AQ431" si="1193">SUM(Y429:Y430)</f>
        <v>91.25</v>
      </c>
      <c r="Z431" s="181">
        <f t="shared" si="1193"/>
        <v>91.25</v>
      </c>
      <c r="AA431" s="181">
        <f t="shared" si="1193"/>
        <v>91.25</v>
      </c>
      <c r="AB431" s="182">
        <f>SUM(AB429:AB430)</f>
        <v>91.25</v>
      </c>
      <c r="AC431" s="496">
        <f>108+257</f>
        <v>365</v>
      </c>
      <c r="AD431" s="180">
        <f t="shared" si="1193"/>
        <v>105</v>
      </c>
      <c r="AE431" s="181">
        <f t="shared" si="1193"/>
        <v>105</v>
      </c>
      <c r="AF431" s="181">
        <f t="shared" si="1193"/>
        <v>105</v>
      </c>
      <c r="AG431" s="182">
        <f t="shared" si="1193"/>
        <v>105</v>
      </c>
      <c r="AH431" s="347">
        <v>420</v>
      </c>
      <c r="AI431" s="180">
        <f t="shared" ref="AI431:AJ431" si="1194">SUM(AI429:AI430)</f>
        <v>106.25</v>
      </c>
      <c r="AJ431" s="181">
        <f t="shared" si="1194"/>
        <v>106.25</v>
      </c>
      <c r="AK431" s="181">
        <f t="shared" si="1193"/>
        <v>106.25</v>
      </c>
      <c r="AL431" s="182">
        <f t="shared" si="1193"/>
        <v>106.25</v>
      </c>
      <c r="AM431" s="347">
        <v>425</v>
      </c>
      <c r="AN431" s="180">
        <f t="shared" ref="AN431:AP431" si="1195">SUM(AN429:AN430)</f>
        <v>66.25</v>
      </c>
      <c r="AO431" s="181">
        <f t="shared" si="1195"/>
        <v>66.25</v>
      </c>
      <c r="AP431" s="181">
        <f t="shared" si="1195"/>
        <v>66.25</v>
      </c>
      <c r="AQ431" s="182">
        <f t="shared" si="1193"/>
        <v>66.25</v>
      </c>
      <c r="AR431" s="347">
        <f>AR429+AR430</f>
        <v>265</v>
      </c>
      <c r="AS431" s="180">
        <f t="shared" ref="AS431:AU431" si="1196">SUM(AS429:AS430)</f>
        <v>57.5</v>
      </c>
      <c r="AT431" s="181">
        <f t="shared" si="1196"/>
        <v>57.5</v>
      </c>
      <c r="AU431" s="181">
        <f t="shared" si="1196"/>
        <v>57.5</v>
      </c>
      <c r="AV431" s="182">
        <f t="shared" ref="AV431:BA431" si="1197">SUM(AV429:AV430)</f>
        <v>57.5</v>
      </c>
      <c r="AW431" s="347">
        <v>230</v>
      </c>
      <c r="AX431" s="180">
        <f t="shared" si="1197"/>
        <v>58.75</v>
      </c>
      <c r="AY431" s="181">
        <f t="shared" si="1197"/>
        <v>58.75</v>
      </c>
      <c r="AZ431" s="181">
        <f t="shared" si="1197"/>
        <v>58.75</v>
      </c>
      <c r="BA431" s="182">
        <f t="shared" si="1197"/>
        <v>58.75</v>
      </c>
      <c r="BB431" s="347">
        <v>235</v>
      </c>
      <c r="BC431" s="180">
        <f t="shared" ref="BC431:BL431" si="1198">SUM(BC429:BC430)</f>
        <v>18.75</v>
      </c>
      <c r="BD431" s="181">
        <f t="shared" si="1198"/>
        <v>18.75</v>
      </c>
      <c r="BE431" s="181">
        <f t="shared" si="1198"/>
        <v>18.75</v>
      </c>
      <c r="BF431" s="182">
        <f t="shared" si="1198"/>
        <v>18.75</v>
      </c>
      <c r="BG431" s="110">
        <f>SUM(BG429:BG430)</f>
        <v>75</v>
      </c>
      <c r="BH431" s="180">
        <f t="shared" si="1198"/>
        <v>8.75</v>
      </c>
      <c r="BI431" s="181">
        <f t="shared" si="1198"/>
        <v>8.75</v>
      </c>
      <c r="BJ431" s="181">
        <f t="shared" si="1198"/>
        <v>8.75</v>
      </c>
      <c r="BK431" s="182">
        <f t="shared" si="1198"/>
        <v>8.75</v>
      </c>
      <c r="BL431" s="110">
        <f t="shared" si="1198"/>
        <v>35</v>
      </c>
      <c r="BM431" s="180">
        <f t="shared" ref="BM431:BQ431" si="1199">SUM(BM429:BM430)</f>
        <v>6.25</v>
      </c>
      <c r="BN431" s="181">
        <f t="shared" si="1199"/>
        <v>6.25</v>
      </c>
      <c r="BO431" s="181">
        <f t="shared" si="1199"/>
        <v>6.25</v>
      </c>
      <c r="BP431" s="182">
        <f t="shared" si="1199"/>
        <v>6.25</v>
      </c>
      <c r="BQ431" s="110">
        <f t="shared" si="1199"/>
        <v>25</v>
      </c>
      <c r="BR431" s="110"/>
      <c r="BS431" s="1534">
        <f>AR431+490+AW431+BB431</f>
        <v>1220</v>
      </c>
      <c r="BT431" s="1501"/>
      <c r="BU431" s="1501"/>
      <c r="BV431" s="1501"/>
    </row>
    <row r="432" spans="1:75">
      <c r="A432" s="320"/>
      <c r="B432" s="320"/>
      <c r="C432" s="1127"/>
      <c r="D432" s="320"/>
      <c r="E432" s="332"/>
      <c r="F432" s="333"/>
      <c r="G432" s="333"/>
      <c r="H432" s="334"/>
      <c r="I432" s="348"/>
      <c r="J432" s="177"/>
      <c r="K432" s="178"/>
      <c r="L432" s="178"/>
      <c r="M432" s="179"/>
      <c r="N432" s="348"/>
      <c r="O432" s="177"/>
      <c r="P432" s="178"/>
      <c r="Q432" s="178"/>
      <c r="R432" s="179"/>
      <c r="S432" s="348"/>
      <c r="T432" s="177"/>
      <c r="U432" s="178"/>
      <c r="V432" s="178"/>
      <c r="W432" s="179"/>
      <c r="X432" s="108"/>
      <c r="Y432" s="177"/>
      <c r="Z432" s="178"/>
      <c r="AA432" s="178"/>
      <c r="AB432" s="179"/>
      <c r="AC432" s="108"/>
      <c r="AD432" s="177"/>
      <c r="AE432" s="178"/>
      <c r="AF432" s="178"/>
      <c r="AG432" s="179"/>
      <c r="AH432" s="108"/>
      <c r="AI432" s="177"/>
      <c r="AJ432" s="178"/>
      <c r="AK432" s="178"/>
      <c r="AL432" s="179"/>
      <c r="AM432" s="108"/>
      <c r="AN432" s="177"/>
      <c r="AO432" s="178"/>
      <c r="AP432" s="178"/>
      <c r="AQ432" s="179"/>
      <c r="AR432" s="108"/>
      <c r="AS432" s="177"/>
      <c r="AT432" s="178"/>
      <c r="AU432" s="178"/>
      <c r="AV432" s="179"/>
      <c r="AW432" s="108"/>
      <c r="AX432" s="177"/>
      <c r="AY432" s="178"/>
      <c r="AZ432" s="178"/>
      <c r="BA432" s="179"/>
      <c r="BB432" s="108"/>
      <c r="BC432" s="177"/>
      <c r="BD432" s="178"/>
      <c r="BE432" s="178"/>
      <c r="BF432" s="179"/>
      <c r="BG432" s="108"/>
      <c r="BH432" s="177"/>
      <c r="BI432" s="178"/>
      <c r="BJ432" s="178"/>
      <c r="BK432" s="179"/>
      <c r="BL432" s="108"/>
      <c r="BM432" s="177"/>
      <c r="BN432" s="178"/>
      <c r="BO432" s="178"/>
      <c r="BP432" s="179"/>
      <c r="BQ432" s="108"/>
      <c r="BR432" s="108"/>
      <c r="BS432" s="1502"/>
      <c r="BT432" s="1502"/>
      <c r="BU432" s="1502"/>
      <c r="BV432" s="1502"/>
    </row>
    <row r="433" spans="1:75">
      <c r="A433" s="320"/>
      <c r="B433" s="320"/>
      <c r="C433" s="1127"/>
      <c r="D433" s="320"/>
      <c r="E433" s="332"/>
      <c r="F433" s="333"/>
      <c r="G433" s="333"/>
      <c r="H433" s="334"/>
      <c r="I433" s="108"/>
      <c r="J433" s="177"/>
      <c r="K433" s="178"/>
      <c r="L433" s="178"/>
      <c r="M433" s="179"/>
      <c r="N433" s="108"/>
      <c r="O433" s="177"/>
      <c r="P433" s="178"/>
      <c r="Q433" s="178"/>
      <c r="R433" s="179"/>
      <c r="S433" s="108"/>
      <c r="T433" s="177"/>
      <c r="U433" s="178"/>
      <c r="V433" s="178"/>
      <c r="W433" s="179"/>
      <c r="X433" s="108"/>
      <c r="Y433" s="177"/>
      <c r="Z433" s="178"/>
      <c r="AA433" s="178"/>
      <c r="AB433" s="179"/>
      <c r="AC433" s="108"/>
      <c r="AD433" s="177"/>
      <c r="AE433" s="178"/>
      <c r="AF433" s="178"/>
      <c r="AG433" s="179"/>
      <c r="AH433" s="108"/>
      <c r="AI433" s="177"/>
      <c r="AJ433" s="178"/>
      <c r="AK433" s="178"/>
      <c r="AL433" s="179"/>
      <c r="AM433" s="108"/>
      <c r="AN433" s="177"/>
      <c r="AO433" s="178"/>
      <c r="AP433" s="178"/>
      <c r="AQ433" s="179"/>
      <c r="AR433" s="108"/>
      <c r="AS433" s="177"/>
      <c r="AT433" s="178"/>
      <c r="AU433" s="178"/>
      <c r="AV433" s="179"/>
      <c r="AW433" s="108"/>
      <c r="AX433" s="177"/>
      <c r="AY433" s="178"/>
      <c r="AZ433" s="178"/>
      <c r="BA433" s="179"/>
      <c r="BB433" s="108"/>
      <c r="BC433" s="177"/>
      <c r="BD433" s="178"/>
      <c r="BE433" s="178"/>
      <c r="BF433" s="179"/>
      <c r="BG433" s="108"/>
      <c r="BH433" s="177"/>
      <c r="BI433" s="178"/>
      <c r="BJ433" s="178"/>
      <c r="BK433" s="179"/>
      <c r="BL433" s="108"/>
      <c r="BM433" s="177"/>
      <c r="BN433" s="178"/>
      <c r="BO433" s="178"/>
      <c r="BP433" s="179"/>
      <c r="BQ433" s="108"/>
      <c r="BR433" s="108"/>
      <c r="BS433" s="1502"/>
      <c r="BT433" s="1502"/>
      <c r="BU433" s="1502"/>
      <c r="BV433" s="1502"/>
    </row>
    <row r="434" spans="1:75">
      <c r="A434" s="320"/>
      <c r="B434" s="439" t="s">
        <v>380</v>
      </c>
      <c r="C434" s="1162"/>
      <c r="D434" s="537"/>
      <c r="E434" s="538"/>
      <c r="F434" s="539"/>
      <c r="G434" s="539"/>
      <c r="H434" s="540"/>
      <c r="I434" s="541"/>
      <c r="J434" s="538"/>
      <c r="K434" s="539"/>
      <c r="L434" s="539"/>
      <c r="M434" s="540"/>
      <c r="N434" s="541"/>
      <c r="O434" s="538"/>
      <c r="P434" s="539"/>
      <c r="Q434" s="539"/>
      <c r="R434" s="540"/>
      <c r="S434" s="541"/>
      <c r="T434" s="538"/>
      <c r="U434" s="539"/>
      <c r="V434" s="539"/>
      <c r="W434" s="540"/>
      <c r="X434" s="541"/>
      <c r="Y434" s="538"/>
      <c r="Z434" s="539"/>
      <c r="AA434" s="539"/>
      <c r="AB434" s="540"/>
      <c r="AC434" s="541"/>
      <c r="AD434" s="538"/>
      <c r="AE434" s="539"/>
      <c r="AF434" s="539"/>
      <c r="AG434" s="540"/>
      <c r="AH434" s="541"/>
      <c r="AI434" s="538"/>
      <c r="AJ434" s="539"/>
      <c r="AK434" s="539"/>
      <c r="AL434" s="540"/>
      <c r="AM434" s="541"/>
      <c r="AN434" s="538"/>
      <c r="AO434" s="539"/>
      <c r="AP434" s="539"/>
      <c r="AQ434" s="540"/>
      <c r="AR434" s="541"/>
      <c r="AS434" s="538"/>
      <c r="AT434" s="539"/>
      <c r="AU434" s="539"/>
      <c r="AV434" s="540"/>
      <c r="AW434" s="541"/>
      <c r="AX434" s="538"/>
      <c r="AY434" s="539"/>
      <c r="AZ434" s="539"/>
      <c r="BA434" s="540"/>
      <c r="BB434" s="541"/>
      <c r="BC434" s="538"/>
      <c r="BD434" s="539"/>
      <c r="BE434" s="539"/>
      <c r="BF434" s="540"/>
      <c r="BG434" s="541"/>
      <c r="BH434" s="538"/>
      <c r="BI434" s="539"/>
      <c r="BJ434" s="539"/>
      <c r="BK434" s="540"/>
      <c r="BL434" s="541"/>
      <c r="BM434" s="538"/>
      <c r="BN434" s="539"/>
      <c r="BO434" s="539"/>
      <c r="BP434" s="540"/>
      <c r="BQ434" s="541"/>
      <c r="BR434" s="541"/>
      <c r="BS434" s="1535"/>
      <c r="BT434" s="1535"/>
      <c r="BU434" s="1535"/>
      <c r="BV434" s="1535"/>
    </row>
    <row r="435" spans="1:75">
      <c r="A435" s="320"/>
      <c r="B435" s="542"/>
      <c r="C435" s="1163" t="s">
        <v>382</v>
      </c>
      <c r="D435" s="543"/>
      <c r="E435" s="538"/>
      <c r="F435" s="539"/>
      <c r="G435" s="539"/>
      <c r="H435" s="540"/>
      <c r="I435" s="541"/>
      <c r="J435" s="538"/>
      <c r="K435" s="539"/>
      <c r="L435" s="539"/>
      <c r="M435" s="540"/>
      <c r="N435" s="541"/>
      <c r="O435" s="538"/>
      <c r="P435" s="539"/>
      <c r="Q435" s="539"/>
      <c r="R435" s="540"/>
      <c r="S435" s="543"/>
      <c r="T435" s="544"/>
      <c r="U435" s="545"/>
      <c r="V435" s="539"/>
      <c r="W435" s="540"/>
      <c r="X435" s="543"/>
      <c r="Y435" s="544"/>
      <c r="Z435" s="545"/>
      <c r="AA435" s="545"/>
      <c r="AB435" s="540"/>
      <c r="AC435" s="543"/>
      <c r="AD435" s="544"/>
      <c r="AE435" s="545"/>
      <c r="AF435" s="545"/>
      <c r="AG435" s="546"/>
      <c r="AH435" s="547"/>
      <c r="AI435" s="544"/>
      <c r="AJ435" s="545"/>
      <c r="AK435" s="545"/>
      <c r="AL435" s="546"/>
      <c r="AM435" s="547"/>
      <c r="AN435" s="544"/>
      <c r="AO435" s="545"/>
      <c r="AP435" s="545"/>
      <c r="AQ435" s="546"/>
      <c r="AR435" s="547"/>
      <c r="AS435" s="544"/>
      <c r="AT435" s="545"/>
      <c r="AU435" s="545"/>
      <c r="AV435" s="546"/>
      <c r="AW435" s="547"/>
      <c r="AX435" s="544">
        <f>BB435</f>
        <v>0.4</v>
      </c>
      <c r="AY435" s="545">
        <f>BB435</f>
        <v>0.4</v>
      </c>
      <c r="AZ435" s="545">
        <f>BB435</f>
        <v>0.4</v>
      </c>
      <c r="BA435" s="546">
        <f>BB435</f>
        <v>0.4</v>
      </c>
      <c r="BB435" s="547">
        <v>0.4</v>
      </c>
      <c r="BC435" s="544">
        <f>BG435</f>
        <v>0.4</v>
      </c>
      <c r="BD435" s="545">
        <f>BG435</f>
        <v>0.4</v>
      </c>
      <c r="BE435" s="545">
        <f>BG435</f>
        <v>0.4</v>
      </c>
      <c r="BF435" s="546">
        <f>BG435</f>
        <v>0.4</v>
      </c>
      <c r="BG435" s="547">
        <v>0.4</v>
      </c>
      <c r="BH435" s="544">
        <f>BL435</f>
        <v>0.4</v>
      </c>
      <c r="BI435" s="545">
        <f>BL435</f>
        <v>0.4</v>
      </c>
      <c r="BJ435" s="545">
        <f>BL435</f>
        <v>0.4</v>
      </c>
      <c r="BK435" s="546">
        <f>BL435</f>
        <v>0.4</v>
      </c>
      <c r="BL435" s="547">
        <v>0.4</v>
      </c>
      <c r="BM435" s="544">
        <f>BQ435</f>
        <v>0.4</v>
      </c>
      <c r="BN435" s="545">
        <f>BQ435</f>
        <v>0.4</v>
      </c>
      <c r="BO435" s="545">
        <f>BQ435</f>
        <v>0.4</v>
      </c>
      <c r="BP435" s="546">
        <f>BQ435</f>
        <v>0.4</v>
      </c>
      <c r="BQ435" s="547">
        <v>0.4</v>
      </c>
      <c r="BR435" s="547"/>
      <c r="BS435" s="1536"/>
      <c r="BT435" s="1536"/>
      <c r="BU435" s="1536"/>
      <c r="BV435" s="1536"/>
    </row>
    <row r="436" spans="1:75">
      <c r="A436" s="320"/>
      <c r="B436" s="542"/>
      <c r="C436" s="1163" t="s">
        <v>157</v>
      </c>
      <c r="D436" s="542"/>
      <c r="E436" s="544">
        <f t="shared" ref="E436:U436" si="1200">E32/E30</f>
        <v>0.3607483769733425</v>
      </c>
      <c r="F436" s="545">
        <f t="shared" si="1200"/>
        <v>0.30953774640612902</v>
      </c>
      <c r="G436" s="545">
        <f t="shared" si="1200"/>
        <v>0.36264973273085144</v>
      </c>
      <c r="H436" s="546">
        <f t="shared" si="1200"/>
        <v>0.28098485242829607</v>
      </c>
      <c r="I436" s="548">
        <f t="shared" si="1200"/>
        <v>0.33451532103111137</v>
      </c>
      <c r="J436" s="544">
        <f t="shared" si="1200"/>
        <v>0.49157129861524473</v>
      </c>
      <c r="K436" s="545">
        <f t="shared" si="1200"/>
        <v>0.39177452662807938</v>
      </c>
      <c r="L436" s="545">
        <f t="shared" si="1200"/>
        <v>0.17614317078343819</v>
      </c>
      <c r="M436" s="546">
        <f t="shared" si="1200"/>
        <v>0.35539623772123169</v>
      </c>
      <c r="N436" s="548">
        <f t="shared" si="1200"/>
        <v>0.3543850114303278</v>
      </c>
      <c r="O436" s="544">
        <f t="shared" si="1200"/>
        <v>0.40802886047248943</v>
      </c>
      <c r="P436" s="545">
        <f t="shared" si="1200"/>
        <v>0.49525716045580537</v>
      </c>
      <c r="Q436" s="545">
        <f t="shared" si="1200"/>
        <v>0.32870971216932304</v>
      </c>
      <c r="R436" s="546">
        <f t="shared" si="1200"/>
        <v>6.5718223350804572E-2</v>
      </c>
      <c r="S436" s="548">
        <f t="shared" si="1200"/>
        <v>0.31431331791433675</v>
      </c>
      <c r="T436" s="544">
        <f t="shared" si="1200"/>
        <v>0.34917097625125981</v>
      </c>
      <c r="U436" s="545">
        <f t="shared" si="1200"/>
        <v>0.36239463676637812</v>
      </c>
      <c r="V436" s="545">
        <f t="shared" ref="V436:AA436" si="1201">V32/V30</f>
        <v>0.22334046128996382</v>
      </c>
      <c r="W436" s="546">
        <f t="shared" si="1201"/>
        <v>0.88960634239983949</v>
      </c>
      <c r="X436" s="548">
        <f t="shared" si="1201"/>
        <v>0.60271037864717036</v>
      </c>
      <c r="Y436" s="544">
        <f t="shared" si="1201"/>
        <v>0.40946422150305667</v>
      </c>
      <c r="Z436" s="545">
        <f t="shared" si="1201"/>
        <v>4.7980895915680168</v>
      </c>
      <c r="AA436" s="545">
        <f t="shared" si="1201"/>
        <v>0.53624259985511991</v>
      </c>
      <c r="AB436" s="546">
        <f>AB32/AB30</f>
        <v>-0.42160102508767122</v>
      </c>
      <c r="AC436" s="548">
        <f>AC32/AC30</f>
        <v>2.2458617190897234</v>
      </c>
      <c r="AD436" s="544">
        <f>AD32/AD30</f>
        <v>0.32898294437203024</v>
      </c>
      <c r="AE436" s="545">
        <f>AE32/AE30</f>
        <v>0.42546678245766467</v>
      </c>
      <c r="AF436" s="545">
        <f t="shared" ref="AF436" si="1202">AF32/AF30</f>
        <v>-7.5818930041152144E-2</v>
      </c>
      <c r="AG436" s="546">
        <f>AG32/AG30</f>
        <v>0.38327846989214231</v>
      </c>
      <c r="AH436" s="548">
        <f>AH32/AH30</f>
        <v>0.37536505135638959</v>
      </c>
      <c r="AI436" s="544">
        <f>AI32/AI30</f>
        <v>0.36251045852227526</v>
      </c>
      <c r="AJ436" s="545">
        <f>AJ32/AJ30</f>
        <v>0.48210372534696916</v>
      </c>
      <c r="AK436" s="545">
        <f t="shared" ref="AK436" si="1203">AK32/AK30</f>
        <v>0.3496468617959384</v>
      </c>
      <c r="AL436" s="546">
        <f>AL32/AL30</f>
        <v>0.44325808199386041</v>
      </c>
      <c r="AM436" s="548">
        <f>AM32/AM30</f>
        <v>0.36416495027434448</v>
      </c>
      <c r="AN436" s="544">
        <f>AN32/AN30</f>
        <v>0.39670887995753418</v>
      </c>
      <c r="AO436" s="545">
        <f>AO32/AO30</f>
        <v>-14.859030280042967</v>
      </c>
      <c r="AP436" s="545">
        <f t="shared" ref="AP436" si="1204">AP32/AP30</f>
        <v>0.42654854910714196</v>
      </c>
      <c r="AQ436" s="546">
        <f>AQ32/AQ30</f>
        <v>0.35668775716334689</v>
      </c>
      <c r="AR436" s="548">
        <f>AR32/AR30</f>
        <v>0.44398181714590845</v>
      </c>
      <c r="AS436" s="544">
        <f>AS32/AS30</f>
        <v>0.74229158375499804</v>
      </c>
      <c r="AT436" s="545">
        <f>AT32/AT30</f>
        <v>1.9689601745016407</v>
      </c>
      <c r="AU436" s="545">
        <f t="shared" ref="AU436" si="1205">AU32/AU30</f>
        <v>0.31431979146173522</v>
      </c>
      <c r="AV436" s="546">
        <f>AV32/AV30</f>
        <v>-5.6842221208163553</v>
      </c>
      <c r="AW436" s="548">
        <f>AW32/AW30</f>
        <v>0.45945140598779821</v>
      </c>
      <c r="AX436" s="544">
        <f t="shared" ref="AX436:BB436" si="1206">AX32/AX30</f>
        <v>-0.15318166214895215</v>
      </c>
      <c r="AY436" s="545">
        <f t="shared" si="1206"/>
        <v>3.6648219992438211E-2</v>
      </c>
      <c r="AZ436" s="545">
        <f t="shared" si="1206"/>
        <v>8.5138719440063168E-2</v>
      </c>
      <c r="BA436" s="546">
        <f t="shared" si="1206"/>
        <v>8.1888837338350458E-3</v>
      </c>
      <c r="BB436" s="548">
        <f t="shared" si="1206"/>
        <v>1.1202435519851671E-2</v>
      </c>
      <c r="BC436" s="544">
        <f t="shared" ref="BC436:BL436" si="1207">BC32/BC30</f>
        <v>0.4</v>
      </c>
      <c r="BD436" s="545">
        <f t="shared" si="1207"/>
        <v>0.4</v>
      </c>
      <c r="BE436" s="545">
        <f t="shared" si="1207"/>
        <v>0.4</v>
      </c>
      <c r="BF436" s="546">
        <f t="shared" si="1207"/>
        <v>0.4</v>
      </c>
      <c r="BG436" s="548">
        <f t="shared" si="1207"/>
        <v>0.39999999999999974</v>
      </c>
      <c r="BH436" s="544">
        <f t="shared" si="1207"/>
        <v>0.4</v>
      </c>
      <c r="BI436" s="545">
        <f t="shared" si="1207"/>
        <v>0.4</v>
      </c>
      <c r="BJ436" s="545">
        <f t="shared" si="1207"/>
        <v>0.4</v>
      </c>
      <c r="BK436" s="546">
        <f t="shared" si="1207"/>
        <v>0.40000000000000008</v>
      </c>
      <c r="BL436" s="548">
        <f t="shared" si="1207"/>
        <v>0.40000000000000024</v>
      </c>
      <c r="BM436" s="544">
        <f t="shared" ref="BM436:BQ436" si="1208">BM32/BM30</f>
        <v>0.4</v>
      </c>
      <c r="BN436" s="545">
        <f t="shared" si="1208"/>
        <v>0.4</v>
      </c>
      <c r="BO436" s="545">
        <f t="shared" si="1208"/>
        <v>0.4</v>
      </c>
      <c r="BP436" s="546">
        <f t="shared" si="1208"/>
        <v>0.4</v>
      </c>
      <c r="BQ436" s="548">
        <f t="shared" si="1208"/>
        <v>0.39999999999999936</v>
      </c>
      <c r="BR436" s="548"/>
      <c r="BS436" s="1537"/>
      <c r="BT436" s="1537"/>
      <c r="BU436" s="1537"/>
      <c r="BV436" s="1537"/>
    </row>
    <row r="437" spans="1:75">
      <c r="A437" s="320"/>
      <c r="B437" s="320"/>
      <c r="C437" s="1127"/>
      <c r="D437" s="320"/>
      <c r="E437" s="332"/>
      <c r="F437" s="333"/>
      <c r="G437" s="333"/>
      <c r="H437" s="334"/>
      <c r="I437" s="108"/>
      <c r="J437" s="177"/>
      <c r="K437" s="178"/>
      <c r="L437" s="178"/>
      <c r="M437" s="179"/>
      <c r="N437" s="108"/>
      <c r="O437" s="177"/>
      <c r="P437" s="178"/>
      <c r="Q437" s="178"/>
      <c r="R437" s="179"/>
      <c r="S437" s="108"/>
      <c r="T437" s="177"/>
      <c r="U437" s="178"/>
      <c r="V437" s="178"/>
      <c r="W437" s="179"/>
      <c r="X437" s="108"/>
      <c r="Y437" s="177"/>
      <c r="Z437" s="178"/>
      <c r="AA437" s="178"/>
      <c r="AB437" s="179"/>
      <c r="AC437" s="108"/>
      <c r="AD437" s="177"/>
      <c r="AE437" s="178"/>
      <c r="AF437" s="178"/>
      <c r="AG437" s="179"/>
      <c r="AH437" s="108"/>
      <c r="AI437" s="177"/>
      <c r="AJ437" s="178"/>
      <c r="AK437" s="178"/>
      <c r="AL437" s="179"/>
      <c r="AM437" s="108"/>
      <c r="AN437" s="177"/>
      <c r="AO437" s="178"/>
      <c r="AP437" s="178"/>
      <c r="AQ437" s="179"/>
      <c r="AR437" s="108"/>
      <c r="AS437" s="177"/>
      <c r="AT437" s="178"/>
      <c r="AU437" s="178"/>
      <c r="AV437" s="179"/>
      <c r="AW437" s="108"/>
      <c r="AX437" s="177"/>
      <c r="AY437" s="178"/>
      <c r="AZ437" s="178"/>
      <c r="BA437" s="179"/>
      <c r="BB437" s="108"/>
      <c r="BC437" s="177"/>
      <c r="BD437" s="178"/>
      <c r="BE437" s="178"/>
      <c r="BF437" s="179"/>
      <c r="BG437" s="108"/>
      <c r="BH437" s="177"/>
      <c r="BI437" s="178"/>
      <c r="BJ437" s="178"/>
      <c r="BK437" s="179"/>
      <c r="BL437" s="108"/>
      <c r="BM437" s="177"/>
      <c r="BN437" s="178"/>
      <c r="BO437" s="178"/>
      <c r="BP437" s="179"/>
      <c r="BQ437" s="108"/>
      <c r="BR437" s="108"/>
      <c r="BS437" s="1502"/>
      <c r="BT437" s="1502"/>
      <c r="BU437" s="1502"/>
      <c r="BV437" s="1502"/>
    </row>
    <row r="438" spans="1:75">
      <c r="A438" s="320"/>
      <c r="B438" s="320"/>
      <c r="C438" s="1127"/>
      <c r="D438" s="320"/>
      <c r="E438" s="332"/>
      <c r="F438" s="333"/>
      <c r="G438" s="333"/>
      <c r="H438" s="334"/>
      <c r="I438" s="108"/>
      <c r="J438" s="177"/>
      <c r="K438" s="178"/>
      <c r="L438" s="178"/>
      <c r="M438" s="179"/>
      <c r="N438" s="108"/>
      <c r="O438" s="177"/>
      <c r="P438" s="178"/>
      <c r="Q438" s="178"/>
      <c r="R438" s="179"/>
      <c r="S438" s="108"/>
      <c r="T438" s="177"/>
      <c r="U438" s="178"/>
      <c r="V438" s="178"/>
      <c r="W438" s="179"/>
      <c r="X438" s="108"/>
      <c r="Y438" s="177"/>
      <c r="Z438" s="178"/>
      <c r="AA438" s="178"/>
      <c r="AB438" s="179"/>
      <c r="AC438" s="108"/>
      <c r="AD438" s="177"/>
      <c r="AE438" s="178"/>
      <c r="AF438" s="178"/>
      <c r="AG438" s="179"/>
      <c r="AH438" s="108"/>
      <c r="AI438" s="177"/>
      <c r="AJ438" s="178"/>
      <c r="AK438" s="178"/>
      <c r="AL438" s="179"/>
      <c r="AM438" s="108"/>
      <c r="AN438" s="177"/>
      <c r="AO438" s="178"/>
      <c r="AP438" s="178"/>
      <c r="AQ438" s="179"/>
      <c r="AR438" s="108"/>
      <c r="AS438" s="177"/>
      <c r="AT438" s="178"/>
      <c r="AU438" s="178"/>
      <c r="AV438" s="179"/>
      <c r="AW438" s="108"/>
      <c r="AX438" s="177"/>
      <c r="AY438" s="178"/>
      <c r="AZ438" s="178"/>
      <c r="BA438" s="179"/>
      <c r="BB438" s="108"/>
      <c r="BC438" s="177"/>
      <c r="BD438" s="178"/>
      <c r="BE438" s="178"/>
      <c r="BF438" s="179"/>
      <c r="BG438" s="108"/>
      <c r="BH438" s="177"/>
      <c r="BI438" s="178"/>
      <c r="BJ438" s="178"/>
      <c r="BK438" s="179"/>
      <c r="BL438" s="108"/>
      <c r="BM438" s="177"/>
      <c r="BN438" s="178"/>
      <c r="BO438" s="178"/>
      <c r="BP438" s="179"/>
      <c r="BQ438" s="108"/>
      <c r="BR438" s="108"/>
      <c r="BS438" s="1502"/>
      <c r="BT438" s="1502"/>
      <c r="BU438" s="1502"/>
      <c r="BV438" s="1502"/>
    </row>
    <row r="439" spans="1:75">
      <c r="A439" s="5"/>
      <c r="B439" s="440" t="s">
        <v>662</v>
      </c>
      <c r="C439" s="1126"/>
      <c r="D439" s="92"/>
      <c r="E439" s="133"/>
      <c r="F439" s="134"/>
      <c r="G439" s="134"/>
      <c r="H439" s="135"/>
      <c r="I439" s="107"/>
      <c r="J439" s="187"/>
      <c r="K439" s="188"/>
      <c r="L439" s="188"/>
      <c r="M439" s="189"/>
      <c r="N439" s="107"/>
      <c r="O439" s="187"/>
      <c r="P439" s="188"/>
      <c r="Q439" s="188"/>
      <c r="R439" s="189"/>
      <c r="S439" s="107"/>
      <c r="T439" s="187"/>
      <c r="U439" s="188"/>
      <c r="V439" s="188"/>
      <c r="W439" s="189"/>
      <c r="X439" s="107"/>
      <c r="Y439" s="187"/>
      <c r="Z439" s="188"/>
      <c r="AA439" s="188"/>
      <c r="AB439" s="189"/>
      <c r="AC439" s="107"/>
      <c r="AD439" s="187"/>
      <c r="AE439" s="188"/>
      <c r="AF439" s="188"/>
      <c r="AG439" s="189"/>
      <c r="AH439" s="107"/>
      <c r="AI439" s="187"/>
      <c r="AJ439" s="188"/>
      <c r="AK439" s="188"/>
      <c r="AL439" s="189"/>
      <c r="AM439" s="107"/>
      <c r="AN439" s="187"/>
      <c r="AO439" s="188"/>
      <c r="AP439" s="188"/>
      <c r="AQ439" s="189"/>
      <c r="AR439" s="107"/>
      <c r="AS439" s="187"/>
      <c r="AT439" s="188"/>
      <c r="AU439" s="188"/>
      <c r="AV439" s="189"/>
      <c r="AW439" s="107"/>
      <c r="AX439" s="187"/>
      <c r="AY439" s="188"/>
      <c r="AZ439" s="188"/>
      <c r="BA439" s="189"/>
      <c r="BB439" s="107"/>
      <c r="BC439" s="187"/>
      <c r="BD439" s="188"/>
      <c r="BE439" s="188"/>
      <c r="BF439" s="189"/>
      <c r="BG439" s="107"/>
      <c r="BH439" s="187"/>
      <c r="BI439" s="188"/>
      <c r="BJ439" s="188"/>
      <c r="BK439" s="189"/>
      <c r="BL439" s="107"/>
      <c r="BM439" s="187"/>
      <c r="BN439" s="188"/>
      <c r="BO439" s="188"/>
      <c r="BP439" s="189"/>
      <c r="BQ439" s="107"/>
      <c r="BR439" s="107"/>
      <c r="BS439" s="1496"/>
      <c r="BT439" s="1496"/>
      <c r="BU439" s="1496"/>
      <c r="BV439" s="1496"/>
    </row>
    <row r="440" spans="1:75">
      <c r="A440" s="320"/>
      <c r="B440" s="338"/>
      <c r="C440" s="1149" t="s">
        <v>455</v>
      </c>
      <c r="D440" s="320"/>
      <c r="E440" s="339"/>
      <c r="F440" s="340"/>
      <c r="G440" s="340"/>
      <c r="H440" s="341"/>
      <c r="I440" s="110"/>
      <c r="J440" s="217"/>
      <c r="K440" s="218"/>
      <c r="L440" s="218"/>
      <c r="M440" s="219"/>
      <c r="N440" s="110"/>
      <c r="O440" s="217"/>
      <c r="P440" s="218"/>
      <c r="Q440" s="218"/>
      <c r="R440" s="219"/>
      <c r="S440" s="110"/>
      <c r="T440" s="217"/>
      <c r="U440" s="218"/>
      <c r="V440" s="218"/>
      <c r="W440" s="219"/>
      <c r="X440" s="110"/>
      <c r="Y440" s="217"/>
      <c r="Z440" s="218"/>
      <c r="AA440" s="218"/>
      <c r="AB440" s="219"/>
      <c r="AC440" s="110"/>
      <c r="AD440" s="217"/>
      <c r="AE440" s="218"/>
      <c r="AF440" s="218"/>
      <c r="AG440" s="219"/>
      <c r="AH440" s="110"/>
      <c r="AI440" s="217"/>
      <c r="AJ440" s="218"/>
      <c r="AK440" s="218"/>
      <c r="AL440" s="219"/>
      <c r="AM440" s="110"/>
      <c r="AN440" s="217"/>
      <c r="AO440" s="218"/>
      <c r="AP440" s="218"/>
      <c r="AQ440" s="219"/>
      <c r="AR440" s="110"/>
      <c r="AS440" s="217"/>
      <c r="AT440" s="218"/>
      <c r="AU440" s="218"/>
      <c r="AV440" s="219"/>
      <c r="AW440" s="110"/>
      <c r="AX440" s="217"/>
      <c r="AY440" s="218"/>
      <c r="AZ440" s="218"/>
      <c r="BA440" s="219"/>
      <c r="BB440" s="110"/>
      <c r="BC440" s="217"/>
      <c r="BD440" s="218"/>
      <c r="BE440" s="218"/>
      <c r="BF440" s="219"/>
      <c r="BG440" s="110"/>
      <c r="BH440" s="217"/>
      <c r="BI440" s="218"/>
      <c r="BJ440" s="218"/>
      <c r="BK440" s="219"/>
      <c r="BL440" s="110"/>
      <c r="BM440" s="217"/>
      <c r="BN440" s="218"/>
      <c r="BO440" s="218"/>
      <c r="BP440" s="219"/>
      <c r="BQ440" s="110"/>
      <c r="BR440" s="110"/>
      <c r="BS440" s="939"/>
      <c r="BT440" s="939"/>
      <c r="BU440" s="939"/>
      <c r="BV440" s="939"/>
    </row>
    <row r="441" spans="1:75">
      <c r="A441" s="331"/>
      <c r="B441" s="331"/>
      <c r="C441" s="1150" t="s">
        <v>451</v>
      </c>
      <c r="D441" s="331"/>
      <c r="E441" s="332"/>
      <c r="F441" s="333"/>
      <c r="G441" s="333"/>
      <c r="H441" s="334"/>
      <c r="I441" s="44"/>
      <c r="J441" s="177"/>
      <c r="K441" s="178"/>
      <c r="L441" s="178"/>
      <c r="M441" s="179"/>
      <c r="N441" s="44"/>
      <c r="O441" s="177"/>
      <c r="P441" s="178"/>
      <c r="Q441" s="178"/>
      <c r="R441" s="179"/>
      <c r="S441" s="44"/>
      <c r="T441" s="177"/>
      <c r="U441" s="178"/>
      <c r="V441" s="178"/>
      <c r="W441" s="179"/>
      <c r="X441" s="518"/>
      <c r="Y441" s="177"/>
      <c r="Z441" s="178"/>
      <c r="AA441" s="178"/>
      <c r="AB441" s="179"/>
      <c r="AC441" s="518"/>
      <c r="AD441" s="177"/>
      <c r="AE441" s="178"/>
      <c r="AF441" s="178"/>
      <c r="AG441" s="179"/>
      <c r="AH441" s="518"/>
      <c r="AI441" s="177"/>
      <c r="AJ441" s="178"/>
      <c r="AK441" s="178"/>
      <c r="AL441" s="179"/>
      <c r="AM441" s="518"/>
      <c r="AN441" s="177"/>
      <c r="AO441" s="178"/>
      <c r="AP441" s="178"/>
      <c r="AQ441" s="179"/>
      <c r="AR441" s="518"/>
      <c r="AS441" s="177"/>
      <c r="AT441" s="178"/>
      <c r="AU441" s="178"/>
      <c r="AV441" s="179"/>
      <c r="AW441" s="518"/>
      <c r="AX441" s="177">
        <f>+Debt!AW199</f>
        <v>0</v>
      </c>
      <c r="AY441" s="178">
        <f>+Debt!AX199</f>
        <v>0</v>
      </c>
      <c r="AZ441" s="178">
        <f>+Debt!AY199</f>
        <v>0</v>
      </c>
      <c r="BA441" s="179">
        <f>+Debt!AZ199</f>
        <v>0</v>
      </c>
      <c r="BB441" s="518">
        <v>0</v>
      </c>
      <c r="BC441" s="177">
        <f>+Debt!BB199</f>
        <v>0</v>
      </c>
      <c r="BD441" s="178">
        <f>+Debt!BC199</f>
        <v>0</v>
      </c>
      <c r="BE441" s="178">
        <f>+Debt!BD199</f>
        <v>0</v>
      </c>
      <c r="BF441" s="179">
        <f>+Debt!BE199</f>
        <v>0</v>
      </c>
      <c r="BG441" s="518">
        <v>0</v>
      </c>
      <c r="BH441" s="177">
        <f>+Debt!BG199</f>
        <v>0</v>
      </c>
      <c r="BI441" s="178">
        <f>+Debt!BH199</f>
        <v>0</v>
      </c>
      <c r="BJ441" s="178">
        <f>+Debt!BI199</f>
        <v>0</v>
      </c>
      <c r="BK441" s="179">
        <f>+Debt!BJ199</f>
        <v>0</v>
      </c>
      <c r="BL441" s="518">
        <v>0</v>
      </c>
      <c r="BM441" s="177">
        <f>+Debt!BQ199</f>
        <v>0</v>
      </c>
      <c r="BN441" s="178">
        <f>+Debt!BR199</f>
        <v>0</v>
      </c>
      <c r="BO441" s="178">
        <f>+Debt!BS199</f>
        <v>0</v>
      </c>
      <c r="BP441" s="179">
        <f>+Debt!BT199</f>
        <v>0</v>
      </c>
      <c r="BQ441" s="518">
        <v>0</v>
      </c>
      <c r="BR441" s="518"/>
      <c r="BS441" s="1538"/>
      <c r="BT441" s="1538"/>
      <c r="BU441" s="1538"/>
      <c r="BV441" s="1538"/>
    </row>
    <row r="442" spans="1:75">
      <c r="A442" s="331"/>
      <c r="B442" s="327"/>
      <c r="C442" s="1150" t="s">
        <v>454</v>
      </c>
      <c r="D442" s="331"/>
      <c r="E442" s="332"/>
      <c r="F442" s="333"/>
      <c r="G442" s="333"/>
      <c r="H442" s="334"/>
      <c r="I442" s="110"/>
      <c r="J442" s="177"/>
      <c r="K442" s="178"/>
      <c r="L442" s="178"/>
      <c r="M442" s="179"/>
      <c r="N442" s="110"/>
      <c r="O442" s="177"/>
      <c r="P442" s="178"/>
      <c r="Q442" s="178"/>
      <c r="R442" s="179"/>
      <c r="S442" s="110"/>
      <c r="T442" s="177"/>
      <c r="U442" s="178"/>
      <c r="V442" s="178"/>
      <c r="W442" s="179"/>
      <c r="X442" s="110"/>
      <c r="Y442" s="177"/>
      <c r="Z442" s="178"/>
      <c r="AA442" s="178"/>
      <c r="AB442" s="179"/>
      <c r="AC442" s="110"/>
      <c r="AD442" s="177"/>
      <c r="AE442" s="178"/>
      <c r="AF442" s="178"/>
      <c r="AG442" s="179"/>
      <c r="AH442" s="110"/>
      <c r="AI442" s="177"/>
      <c r="AJ442" s="178"/>
      <c r="AK442" s="178"/>
      <c r="AL442" s="179"/>
      <c r="AM442" s="110"/>
      <c r="AN442" s="177"/>
      <c r="AO442" s="178"/>
      <c r="AP442" s="178"/>
      <c r="AQ442" s="179"/>
      <c r="AR442" s="110"/>
      <c r="AS442" s="177"/>
      <c r="AT442" s="178"/>
      <c r="AU442" s="178"/>
      <c r="AV442" s="179"/>
      <c r="AW442" s="110"/>
      <c r="AX442" s="177">
        <f>+Debt!AW191</f>
        <v>0</v>
      </c>
      <c r="AY442" s="178">
        <f>+Debt!AX191</f>
        <v>0</v>
      </c>
      <c r="AZ442" s="178">
        <f>+Debt!AY191</f>
        <v>0</v>
      </c>
      <c r="BA442" s="179">
        <f>+Debt!AZ191</f>
        <v>0</v>
      </c>
      <c r="BB442" s="110">
        <f>+SUM(AX442:BA442)</f>
        <v>0</v>
      </c>
      <c r="BC442" s="177">
        <f>+Debt!BB191</f>
        <v>0</v>
      </c>
      <c r="BD442" s="178">
        <f>+Debt!BC191</f>
        <v>0</v>
      </c>
      <c r="BE442" s="178">
        <f>+Debt!BD191</f>
        <v>0</v>
      </c>
      <c r="BF442" s="179">
        <f>+Debt!BE191</f>
        <v>0</v>
      </c>
      <c r="BG442" s="110">
        <f>+SUM(BC442:BF442)</f>
        <v>0</v>
      </c>
      <c r="BH442" s="177">
        <f>+Debt!BG191</f>
        <v>0</v>
      </c>
      <c r="BI442" s="178">
        <f>+Debt!BH191</f>
        <v>0</v>
      </c>
      <c r="BJ442" s="178">
        <f>+Debt!BI191</f>
        <v>0</v>
      </c>
      <c r="BK442" s="179">
        <f>+Debt!BJ191</f>
        <v>0</v>
      </c>
      <c r="BL442" s="110">
        <f>+SUM(BH442:BK442)</f>
        <v>0</v>
      </c>
      <c r="BM442" s="177">
        <f>+Debt!BQ191</f>
        <v>0</v>
      </c>
      <c r="BN442" s="178">
        <f>+Debt!BR191</f>
        <v>0</v>
      </c>
      <c r="BO442" s="178">
        <f>+Debt!BS191</f>
        <v>0</v>
      </c>
      <c r="BP442" s="179">
        <f>+Debt!BT191</f>
        <v>0</v>
      </c>
      <c r="BQ442" s="110">
        <f>+SUM(BM442:BP442)</f>
        <v>0</v>
      </c>
      <c r="BR442" s="110"/>
      <c r="BS442" s="939"/>
      <c r="BT442" s="939"/>
      <c r="BU442" s="939"/>
      <c r="BV442" s="939"/>
    </row>
    <row r="443" spans="1:75">
      <c r="A443" s="320"/>
      <c r="B443" s="320"/>
      <c r="C443" s="1150"/>
      <c r="D443" s="327"/>
      <c r="E443" s="335"/>
      <c r="F443" s="336"/>
      <c r="G443" s="336"/>
      <c r="H443" s="337"/>
      <c r="I443" s="110"/>
      <c r="J443" s="180"/>
      <c r="K443" s="181"/>
      <c r="L443" s="181"/>
      <c r="M443" s="182"/>
      <c r="N443" s="110"/>
      <c r="O443" s="180"/>
      <c r="P443" s="181"/>
      <c r="Q443" s="181"/>
      <c r="R443" s="182"/>
      <c r="S443" s="110"/>
      <c r="T443" s="180"/>
      <c r="U443" s="181"/>
      <c r="V443" s="181"/>
      <c r="W443" s="182"/>
      <c r="X443" s="110"/>
      <c r="Y443" s="180"/>
      <c r="Z443" s="181"/>
      <c r="AA443" s="181"/>
      <c r="AB443" s="182"/>
      <c r="AC443" s="110"/>
      <c r="AD443" s="180"/>
      <c r="AE443" s="181"/>
      <c r="AF443" s="181"/>
      <c r="AG443" s="182"/>
      <c r="AH443" s="110"/>
      <c r="AI443" s="180"/>
      <c r="AJ443" s="181"/>
      <c r="AK443" s="181"/>
      <c r="AL443" s="182"/>
      <c r="AM443" s="110"/>
      <c r="AN443" s="180"/>
      <c r="AO443" s="181"/>
      <c r="AP443" s="181"/>
      <c r="AQ443" s="182"/>
      <c r="AR443" s="110"/>
      <c r="AS443" s="180"/>
      <c r="AT443" s="181"/>
      <c r="AU443" s="181"/>
      <c r="AV443" s="182"/>
      <c r="AW443" s="110"/>
      <c r="AX443" s="180"/>
      <c r="AY443" s="181"/>
      <c r="AZ443" s="181"/>
      <c r="BA443" s="182"/>
      <c r="BB443" s="110"/>
      <c r="BC443" s="180"/>
      <c r="BD443" s="181"/>
      <c r="BE443" s="181"/>
      <c r="BF443" s="182"/>
      <c r="BG443" s="110"/>
      <c r="BH443" s="180"/>
      <c r="BI443" s="181"/>
      <c r="BJ443" s="181"/>
      <c r="BK443" s="182"/>
      <c r="BL443" s="110"/>
      <c r="BM443" s="180"/>
      <c r="BN443" s="181"/>
      <c r="BO443" s="181"/>
      <c r="BP443" s="182"/>
      <c r="BQ443" s="110"/>
      <c r="BR443" s="110"/>
      <c r="BS443" s="939"/>
      <c r="BT443" s="939"/>
      <c r="BU443" s="939"/>
      <c r="BV443" s="939"/>
    </row>
    <row r="444" spans="1:75">
      <c r="A444" s="320"/>
      <c r="B444" s="320"/>
      <c r="C444" s="1149" t="s">
        <v>324</v>
      </c>
      <c r="D444" s="320"/>
      <c r="E444" s="332"/>
      <c r="F444" s="333"/>
      <c r="G444" s="333"/>
      <c r="H444" s="334"/>
      <c r="I444" s="110"/>
      <c r="J444" s="177"/>
      <c r="K444" s="178"/>
      <c r="L444" s="178"/>
      <c r="M444" s="179"/>
      <c r="N444" s="110"/>
      <c r="O444" s="177"/>
      <c r="P444" s="178"/>
      <c r="Q444" s="178"/>
      <c r="R444" s="179"/>
      <c r="S444" s="110"/>
      <c r="T444" s="177"/>
      <c r="U444" s="178"/>
      <c r="V444" s="178"/>
      <c r="W444" s="179"/>
      <c r="X444" s="110"/>
      <c r="Y444" s="177"/>
      <c r="Z444" s="178"/>
      <c r="AA444" s="178"/>
      <c r="AB444" s="179"/>
      <c r="AC444" s="110"/>
      <c r="AD444" s="177"/>
      <c r="AE444" s="178"/>
      <c r="AF444" s="178"/>
      <c r="AG444" s="179"/>
      <c r="AH444" s="110"/>
      <c r="AI444" s="177"/>
      <c r="AJ444" s="178"/>
      <c r="AK444" s="178"/>
      <c r="AL444" s="179"/>
      <c r="AM444" s="110"/>
      <c r="AN444" s="177"/>
      <c r="AO444" s="178"/>
      <c r="AP444" s="178"/>
      <c r="AQ444" s="179"/>
      <c r="AR444" s="110"/>
      <c r="AS444" s="177"/>
      <c r="AT444" s="178"/>
      <c r="AU444" s="178"/>
      <c r="AV444" s="179"/>
      <c r="AW444" s="110"/>
      <c r="AX444" s="177"/>
      <c r="AY444" s="178"/>
      <c r="AZ444" s="178"/>
      <c r="BA444" s="179"/>
      <c r="BB444" s="110"/>
      <c r="BC444" s="177"/>
      <c r="BD444" s="178"/>
      <c r="BE444" s="178"/>
      <c r="BF444" s="179"/>
      <c r="BG444" s="110"/>
      <c r="BH444" s="177"/>
      <c r="BI444" s="178"/>
      <c r="BJ444" s="178"/>
      <c r="BK444" s="179"/>
      <c r="BL444" s="110"/>
      <c r="BM444" s="177"/>
      <c r="BN444" s="178"/>
      <c r="BO444" s="178"/>
      <c r="BP444" s="179"/>
      <c r="BQ444" s="110"/>
      <c r="BR444" s="110"/>
      <c r="BS444" s="939"/>
      <c r="BT444" s="939"/>
      <c r="BU444" s="939"/>
      <c r="BV444" s="939"/>
    </row>
    <row r="445" spans="1:75">
      <c r="A445" s="331"/>
      <c r="B445" s="331"/>
      <c r="C445" s="1150" t="s">
        <v>707</v>
      </c>
      <c r="D445" s="331"/>
      <c r="E445" s="332"/>
      <c r="F445" s="333"/>
      <c r="G445" s="333"/>
      <c r="H445" s="334"/>
      <c r="I445" s="44"/>
      <c r="J445" s="177"/>
      <c r="K445" s="178"/>
      <c r="L445" s="178"/>
      <c r="M445" s="179"/>
      <c r="N445" s="44"/>
      <c r="O445" s="177"/>
      <c r="P445" s="178"/>
      <c r="Q445" s="178"/>
      <c r="R445" s="179"/>
      <c r="S445" s="44"/>
      <c r="T445" s="177"/>
      <c r="U445" s="178"/>
      <c r="V445" s="178"/>
      <c r="W445" s="179"/>
      <c r="X445" s="44"/>
      <c r="Y445" s="177"/>
      <c r="Z445" s="178"/>
      <c r="AA445" s="178"/>
      <c r="AB445" s="179"/>
      <c r="AC445" s="44"/>
      <c r="AD445" s="177"/>
      <c r="AE445" s="178"/>
      <c r="AF445" s="178"/>
      <c r="AG445" s="179"/>
      <c r="AH445" s="44"/>
      <c r="AI445" s="177"/>
      <c r="AJ445" s="178"/>
      <c r="AK445" s="178"/>
      <c r="AL445" s="179"/>
      <c r="AM445" s="44"/>
      <c r="AN445" s="177"/>
      <c r="AO445" s="178"/>
      <c r="AP445" s="178"/>
      <c r="AQ445" s="179"/>
      <c r="AR445" s="44"/>
      <c r="AS445" s="177"/>
      <c r="AT445" s="178"/>
      <c r="AU445" s="178"/>
      <c r="AV445" s="179"/>
      <c r="AW445" s="44"/>
      <c r="AX445" s="177">
        <f>AX450*((AW481-AS481)-(AW479-AS479))/4</f>
        <v>1.9771300000000001</v>
      </c>
      <c r="AY445" s="178">
        <f>AY450*((AX481-AT481)-(AX479-AT479))/4</f>
        <v>-8.197933158638436E-2</v>
      </c>
      <c r="AZ445" s="178">
        <f>AZ450*((AY481-AU481)-(AY479-AU479))/4</f>
        <v>-0.15248587028433494</v>
      </c>
      <c r="BA445" s="179">
        <f>BA450*((AZ481-AV481)-(AZ479-AV479))/4</f>
        <v>-0.23144100675911167</v>
      </c>
      <c r="BB445" s="44">
        <f>+SUM(AX445:BA445)</f>
        <v>1.5112237913701689</v>
      </c>
      <c r="BC445" s="177">
        <f>BC450*((BB481-AX481)-(BB479-AX479))/4</f>
        <v>-0.28728044020095339</v>
      </c>
      <c r="BD445" s="178">
        <f>BD450*((BC481-AY481)-(BC479-AY479))/4</f>
        <v>-0.47525796125250824</v>
      </c>
      <c r="BE445" s="178">
        <f>BE450*((BD481-AZ481)-(BD479-AZ479))/4</f>
        <v>-0.49884080664144964</v>
      </c>
      <c r="BF445" s="179">
        <f>BF450*((BE481-BA481)-(BE479-BA479))/4</f>
        <v>-0.47925134069919384</v>
      </c>
      <c r="BG445" s="44">
        <f>+SUM(BC445:BF445)</f>
        <v>-1.7406305487941052</v>
      </c>
      <c r="BH445" s="177">
        <f>BH450*((BG481-BC481)-(BG479-BC479))/4</f>
        <v>-0.19047328093504517</v>
      </c>
      <c r="BI445" s="178">
        <f>BI450*((BH481-BD481)-(BH479-BD479))/4</f>
        <v>-0.54880479104650193</v>
      </c>
      <c r="BJ445" s="178">
        <f>BJ450*((BI481-BE481)-(BI479-BE479))/4</f>
        <v>-0.53275086310686282</v>
      </c>
      <c r="BK445" s="179">
        <f>BK450*((BJ481-BF481)-(BJ479-BF479))/4</f>
        <v>-0.47917938211829014</v>
      </c>
      <c r="BL445" s="44">
        <f>+SUM(BH445:BK445)</f>
        <v>-1.7512083172067001</v>
      </c>
      <c r="BM445" s="177">
        <f>BM450*((BL481-BH481)-(BL479-BH479))/4</f>
        <v>0.12861828391786559</v>
      </c>
      <c r="BN445" s="178">
        <f>BN450*((BM481-BI481)-(BM479-BI479))/4</f>
        <v>0.11659551475008499</v>
      </c>
      <c r="BO445" s="178">
        <f>BO450*((BN481-BJ481)-(BN479-BJ479))/4</f>
        <v>5.0658256986491783E-2</v>
      </c>
      <c r="BP445" s="179">
        <f>BP450*((BO481-BK481)-(BO479-BK479))/4</f>
        <v>7.6540729939530372E-2</v>
      </c>
      <c r="BQ445" s="44">
        <f>+SUM(BM445:BP445)</f>
        <v>0.37241278559397273</v>
      </c>
      <c r="BR445" s="44"/>
      <c r="BS445" s="938"/>
      <c r="BT445" s="938"/>
      <c r="BU445" s="938"/>
      <c r="BV445" s="938"/>
    </row>
    <row r="446" spans="1:75">
      <c r="A446" s="331"/>
      <c r="B446" s="331"/>
      <c r="C446" s="1150" t="s">
        <v>442</v>
      </c>
      <c r="D446" s="331"/>
      <c r="E446" s="339"/>
      <c r="F446" s="340"/>
      <c r="G446" s="340"/>
      <c r="H446" s="341"/>
      <c r="I446" s="44"/>
      <c r="J446" s="217"/>
      <c r="K446" s="218"/>
      <c r="L446" s="218"/>
      <c r="M446" s="219"/>
      <c r="N446" s="44"/>
      <c r="O446" s="177"/>
      <c r="P446" s="178"/>
      <c r="Q446" s="178"/>
      <c r="R446" s="179"/>
      <c r="S446" s="44"/>
      <c r="T446" s="177"/>
      <c r="U446" s="178"/>
      <c r="V446" s="178"/>
      <c r="W446" s="179"/>
      <c r="X446" s="44"/>
      <c r="Y446" s="177"/>
      <c r="Z446" s="178"/>
      <c r="AA446" s="178"/>
      <c r="AB446" s="179"/>
      <c r="AC446" s="44"/>
      <c r="AD446" s="177"/>
      <c r="AE446" s="178"/>
      <c r="AF446" s="178"/>
      <c r="AG446" s="179"/>
      <c r="AH446" s="44"/>
      <c r="AI446" s="177"/>
      <c r="AJ446" s="178"/>
      <c r="AK446" s="178"/>
      <c r="AL446" s="179"/>
      <c r="AM446" s="44"/>
      <c r="AN446" s="177"/>
      <c r="AO446" s="178"/>
      <c r="AP446" s="178"/>
      <c r="AQ446" s="179"/>
      <c r="AR446" s="44"/>
      <c r="AS446" s="177"/>
      <c r="AT446" s="178"/>
      <c r="AU446" s="178"/>
      <c r="AV446" s="179"/>
      <c r="AW446" s="44"/>
      <c r="AX446" s="177">
        <f>Debt!DC199</f>
        <v>0</v>
      </c>
      <c r="AY446" s="178">
        <f>Debt!DD199</f>
        <v>0</v>
      </c>
      <c r="AZ446" s="178">
        <f>Debt!DE199</f>
        <v>0</v>
      </c>
      <c r="BA446" s="179">
        <f>Debt!DF199</f>
        <v>0</v>
      </c>
      <c r="BB446" s="44">
        <f>+SUM(AX446:BA446)</f>
        <v>0</v>
      </c>
      <c r="BC446" s="177">
        <f>Debt!DH199</f>
        <v>0</v>
      </c>
      <c r="BD446" s="178">
        <f>Debt!DI199</f>
        <v>0</v>
      </c>
      <c r="BE446" s="178">
        <f>Debt!DJ199</f>
        <v>0</v>
      </c>
      <c r="BF446" s="179">
        <f>Debt!DK199</f>
        <v>0</v>
      </c>
      <c r="BG446" s="44">
        <f>+SUM(BC446:BF446)</f>
        <v>0</v>
      </c>
      <c r="BH446" s="177">
        <f>Debt!DM199</f>
        <v>0</v>
      </c>
      <c r="BI446" s="178">
        <f>Debt!DN199</f>
        <v>0</v>
      </c>
      <c r="BJ446" s="178">
        <f>Debt!DO199</f>
        <v>0</v>
      </c>
      <c r="BK446" s="179">
        <f>Debt!DP199</f>
        <v>0</v>
      </c>
      <c r="BL446" s="44">
        <f>+SUM(BH446:BK446)</f>
        <v>0</v>
      </c>
      <c r="BM446" s="177">
        <f>Debt!DW199</f>
        <v>0</v>
      </c>
      <c r="BN446" s="178">
        <f>Debt!DX199</f>
        <v>0</v>
      </c>
      <c r="BO446" s="178">
        <f>Debt!DY199</f>
        <v>0</v>
      </c>
      <c r="BP446" s="179">
        <f>Debt!DZ199</f>
        <v>0</v>
      </c>
      <c r="BQ446" s="44">
        <f>+SUM(BM446:BP446)</f>
        <v>0</v>
      </c>
      <c r="BR446" s="44"/>
      <c r="BS446" s="938"/>
      <c r="BT446" s="938"/>
      <c r="BU446" s="938"/>
      <c r="BV446" s="938"/>
    </row>
    <row r="447" spans="1:75" s="103" customFormat="1">
      <c r="A447" s="331"/>
      <c r="B447" s="331"/>
      <c r="C447" s="1150" t="s">
        <v>443</v>
      </c>
      <c r="D447" s="331"/>
      <c r="E447" s="332"/>
      <c r="F447" s="333"/>
      <c r="G447" s="333"/>
      <c r="H447" s="334"/>
      <c r="I447" s="44"/>
      <c r="J447" s="177"/>
      <c r="K447" s="178"/>
      <c r="L447" s="178"/>
      <c r="M447" s="179"/>
      <c r="N447" s="44"/>
      <c r="O447" s="177"/>
      <c r="P447" s="178"/>
      <c r="Q447" s="178"/>
      <c r="R447" s="179"/>
      <c r="S447" s="44"/>
      <c r="T447" s="177"/>
      <c r="U447" s="178"/>
      <c r="V447" s="178"/>
      <c r="W447" s="179"/>
      <c r="X447" s="44"/>
      <c r="Y447" s="177"/>
      <c r="Z447" s="178"/>
      <c r="AA447" s="178"/>
      <c r="AB447" s="179"/>
      <c r="AC447" s="44"/>
      <c r="AD447" s="177"/>
      <c r="AE447" s="178"/>
      <c r="AF447" s="178"/>
      <c r="AG447" s="179"/>
      <c r="AH447" s="44"/>
      <c r="AI447" s="177"/>
      <c r="AJ447" s="178"/>
      <c r="AK447" s="178"/>
      <c r="AL447" s="179"/>
      <c r="AM447" s="44"/>
      <c r="AN447" s="177"/>
      <c r="AO447" s="178"/>
      <c r="AP447" s="178"/>
      <c r="AQ447" s="179"/>
      <c r="AR447" s="44"/>
      <c r="AS447" s="177"/>
      <c r="AT447" s="178"/>
      <c r="AU447" s="178"/>
      <c r="AV447" s="179"/>
      <c r="AW447" s="44"/>
      <c r="AX447" s="177">
        <f>Debt!DC191</f>
        <v>0</v>
      </c>
      <c r="AY447" s="178">
        <f>Debt!DD191</f>
        <v>0</v>
      </c>
      <c r="AZ447" s="178">
        <f>Debt!DE191</f>
        <v>0</v>
      </c>
      <c r="BA447" s="179">
        <f>Debt!DF191</f>
        <v>0</v>
      </c>
      <c r="BB447" s="44">
        <f>+SUM(AX447:BA447)</f>
        <v>0</v>
      </c>
      <c r="BC447" s="177">
        <f>Debt!DH191</f>
        <v>0</v>
      </c>
      <c r="BD447" s="178">
        <f>Debt!DI191</f>
        <v>0</v>
      </c>
      <c r="BE447" s="178">
        <f>Debt!DJ191</f>
        <v>0</v>
      </c>
      <c r="BF447" s="179">
        <f>Debt!DK191</f>
        <v>0</v>
      </c>
      <c r="BG447" s="44">
        <f>+SUM(BC447:BF447)</f>
        <v>0</v>
      </c>
      <c r="BH447" s="177">
        <f>Debt!DM191</f>
        <v>0</v>
      </c>
      <c r="BI447" s="178">
        <f>Debt!DN191</f>
        <v>0</v>
      </c>
      <c r="BJ447" s="178">
        <f>Debt!DO191</f>
        <v>0</v>
      </c>
      <c r="BK447" s="179">
        <f>Debt!DP191</f>
        <v>0</v>
      </c>
      <c r="BL447" s="44">
        <f>+SUM(BH447:BK447)</f>
        <v>0</v>
      </c>
      <c r="BM447" s="177">
        <f>Debt!DW191</f>
        <v>0</v>
      </c>
      <c r="BN447" s="178">
        <f>Debt!DX191</f>
        <v>0</v>
      </c>
      <c r="BO447" s="178">
        <f>Debt!DY191</f>
        <v>0</v>
      </c>
      <c r="BP447" s="179">
        <f>Debt!DZ191</f>
        <v>0</v>
      </c>
      <c r="BQ447" s="44">
        <f>+SUM(BM447:BP447)</f>
        <v>0</v>
      </c>
      <c r="BR447" s="44"/>
      <c r="BS447" s="938"/>
      <c r="BT447" s="938"/>
      <c r="BU447" s="938"/>
      <c r="BV447" s="938"/>
      <c r="BW447" s="1518"/>
    </row>
    <row r="448" spans="1:75">
      <c r="A448" s="331"/>
      <c r="B448" s="331"/>
      <c r="C448" s="1149" t="s">
        <v>450</v>
      </c>
      <c r="D448" s="327"/>
      <c r="E448" s="335"/>
      <c r="F448" s="336"/>
      <c r="G448" s="336"/>
      <c r="H448" s="337"/>
      <c r="I448" s="110"/>
      <c r="J448" s="180"/>
      <c r="K448" s="181"/>
      <c r="L448" s="181"/>
      <c r="M448" s="182"/>
      <c r="N448" s="110"/>
      <c r="O448" s="180"/>
      <c r="P448" s="181"/>
      <c r="Q448" s="181"/>
      <c r="R448" s="182"/>
      <c r="S448" s="110"/>
      <c r="T448" s="180"/>
      <c r="U448" s="181"/>
      <c r="V448" s="181"/>
      <c r="W448" s="182"/>
      <c r="X448" s="110"/>
      <c r="Y448" s="180"/>
      <c r="Z448" s="181"/>
      <c r="AA448" s="181"/>
      <c r="AB448" s="182"/>
      <c r="AC448" s="110"/>
      <c r="AD448" s="180"/>
      <c r="AE448" s="181"/>
      <c r="AF448" s="181"/>
      <c r="AG448" s="182"/>
      <c r="AH448" s="110"/>
      <c r="AI448" s="180"/>
      <c r="AJ448" s="181"/>
      <c r="AK448" s="181"/>
      <c r="AL448" s="182"/>
      <c r="AM448" s="110"/>
      <c r="AN448" s="180"/>
      <c r="AO448" s="181"/>
      <c r="AP448" s="181"/>
      <c r="AQ448" s="182"/>
      <c r="AR448" s="110"/>
      <c r="AS448" s="180"/>
      <c r="AT448" s="181"/>
      <c r="AU448" s="181"/>
      <c r="AV448" s="182"/>
      <c r="AW448" s="110"/>
      <c r="AX448" s="180">
        <f>+SUM(AX445:AX447)</f>
        <v>1.9771300000000001</v>
      </c>
      <c r="AY448" s="181">
        <f>+SUM(AY445:AY447)</f>
        <v>-8.197933158638436E-2</v>
      </c>
      <c r="AZ448" s="181">
        <f>+SUM(AZ445:AZ447)</f>
        <v>-0.15248587028433494</v>
      </c>
      <c r="BA448" s="182">
        <f>+SUM(BA445:BA447)</f>
        <v>-0.23144100675911167</v>
      </c>
      <c r="BB448" s="110">
        <f>+SUM(AX448:BA448)</f>
        <v>1.5112237913701689</v>
      </c>
      <c r="BC448" s="180">
        <f>+SUM(BC445:BC447)</f>
        <v>-0.28728044020095339</v>
      </c>
      <c r="BD448" s="181">
        <f>+SUM(BD445:BD447)</f>
        <v>-0.47525796125250824</v>
      </c>
      <c r="BE448" s="181">
        <f>+SUM(BE445:BE447)</f>
        <v>-0.49884080664144964</v>
      </c>
      <c r="BF448" s="182">
        <f>+SUM(BF445:BF447)</f>
        <v>-0.47925134069919384</v>
      </c>
      <c r="BG448" s="110">
        <f>+SUM(BC448:BF448)</f>
        <v>-1.7406305487941052</v>
      </c>
      <c r="BH448" s="180">
        <f>+SUM(BH445:BH447)</f>
        <v>-0.19047328093504517</v>
      </c>
      <c r="BI448" s="181">
        <f>+SUM(BI445:BI447)</f>
        <v>-0.54880479104650193</v>
      </c>
      <c r="BJ448" s="181">
        <f>+SUM(BJ445:BJ447)</f>
        <v>-0.53275086310686282</v>
      </c>
      <c r="BK448" s="182">
        <f>+SUM(BK445:BK447)</f>
        <v>-0.47917938211829014</v>
      </c>
      <c r="BL448" s="110">
        <f>+SUM(BH448:BK448)</f>
        <v>-1.7512083172067001</v>
      </c>
      <c r="BM448" s="180">
        <f>+SUM(BM445:BM447)</f>
        <v>0.12861828391786559</v>
      </c>
      <c r="BN448" s="181">
        <f>+SUM(BN445:BN447)</f>
        <v>0.11659551475008499</v>
      </c>
      <c r="BO448" s="181">
        <f>+SUM(BO445:BO447)</f>
        <v>5.0658256986491783E-2</v>
      </c>
      <c r="BP448" s="182">
        <f>+SUM(BP445:BP447)</f>
        <v>7.6540729939530372E-2</v>
      </c>
      <c r="BQ448" s="110">
        <f>+SUM(BM448:BP448)</f>
        <v>0.37241278559397273</v>
      </c>
      <c r="BR448" s="110"/>
      <c r="BS448" s="939"/>
      <c r="BT448" s="939"/>
      <c r="BU448" s="939"/>
      <c r="BV448" s="939"/>
    </row>
    <row r="449" spans="1:74">
      <c r="A449" s="320"/>
      <c r="B449" s="320"/>
      <c r="C449" s="1127"/>
      <c r="D449" s="320"/>
      <c r="E449" s="339"/>
      <c r="F449" s="333"/>
      <c r="G449" s="333"/>
      <c r="H449" s="334"/>
      <c r="I449" s="107"/>
      <c r="J449" s="177"/>
      <c r="K449" s="178"/>
      <c r="L449" s="178"/>
      <c r="M449" s="179"/>
      <c r="N449" s="107"/>
      <c r="O449" s="177"/>
      <c r="P449" s="178"/>
      <c r="Q449" s="178"/>
      <c r="R449" s="179"/>
      <c r="S449" s="107"/>
      <c r="T449" s="177"/>
      <c r="U449" s="178"/>
      <c r="V449" s="178"/>
      <c r="W449" s="179"/>
      <c r="X449" s="107"/>
      <c r="Y449" s="177"/>
      <c r="Z449" s="178"/>
      <c r="AA449" s="178"/>
      <c r="AB449" s="179"/>
      <c r="AC449" s="107"/>
      <c r="AD449" s="177"/>
      <c r="AE449" s="178"/>
      <c r="AF449" s="178"/>
      <c r="AG449" s="179"/>
      <c r="AH449" s="107"/>
      <c r="AI449" s="177"/>
      <c r="AJ449" s="178"/>
      <c r="AK449" s="178"/>
      <c r="AL449" s="179"/>
      <c r="AM449" s="107"/>
      <c r="AN449" s="177"/>
      <c r="AO449" s="178"/>
      <c r="AP449" s="178"/>
      <c r="AQ449" s="179"/>
      <c r="AR449" s="107"/>
      <c r="AS449" s="177"/>
      <c r="AT449" s="178"/>
      <c r="AU449" s="178"/>
      <c r="AV449" s="179"/>
      <c r="AW449" s="107"/>
      <c r="AX449" s="177"/>
      <c r="AY449" s="178"/>
      <c r="AZ449" s="178"/>
      <c r="BA449" s="179"/>
      <c r="BB449" s="107"/>
      <c r="BC449" s="177"/>
      <c r="BD449" s="178"/>
      <c r="BE449" s="178"/>
      <c r="BF449" s="179"/>
      <c r="BG449" s="107"/>
      <c r="BH449" s="177"/>
      <c r="BI449" s="178"/>
      <c r="BJ449" s="178"/>
      <c r="BK449" s="179"/>
      <c r="BL449" s="107"/>
      <c r="BM449" s="177"/>
      <c r="BN449" s="178"/>
      <c r="BO449" s="178"/>
      <c r="BP449" s="179"/>
      <c r="BQ449" s="107"/>
      <c r="BR449" s="107"/>
      <c r="BS449" s="1496"/>
      <c r="BT449" s="1496"/>
      <c r="BU449" s="1496"/>
      <c r="BV449" s="1496"/>
    </row>
    <row r="450" spans="1:74">
      <c r="A450" s="421"/>
      <c r="B450" s="421"/>
      <c r="C450" s="1150" t="s">
        <v>456</v>
      </c>
      <c r="D450" s="421"/>
      <c r="E450" s="426"/>
      <c r="F450" s="424"/>
      <c r="G450" s="424"/>
      <c r="H450" s="425"/>
      <c r="I450" s="421"/>
      <c r="J450" s="426"/>
      <c r="K450" s="424"/>
      <c r="L450" s="424"/>
      <c r="M450" s="425"/>
      <c r="N450" s="421"/>
      <c r="O450" s="426"/>
      <c r="P450" s="424"/>
      <c r="Q450" s="424"/>
      <c r="R450" s="425"/>
      <c r="S450" s="421"/>
      <c r="T450" s="426"/>
      <c r="U450" s="424"/>
      <c r="V450" s="424"/>
      <c r="W450" s="425"/>
      <c r="X450" s="104"/>
      <c r="Y450" s="426"/>
      <c r="Z450" s="424"/>
      <c r="AA450" s="424"/>
      <c r="AB450" s="425"/>
      <c r="AC450" s="104"/>
      <c r="AD450" s="426"/>
      <c r="AE450" s="424"/>
      <c r="AF450" s="424"/>
      <c r="AG450" s="425"/>
      <c r="AH450" s="104"/>
      <c r="AI450" s="426"/>
      <c r="AJ450" s="424"/>
      <c r="AK450" s="424"/>
      <c r="AL450" s="425"/>
      <c r="AM450" s="104"/>
      <c r="AN450" s="426"/>
      <c r="AO450" s="424"/>
      <c r="AP450" s="424"/>
      <c r="AQ450" s="425"/>
      <c r="AR450" s="104"/>
      <c r="AS450" s="426"/>
      <c r="AT450" s="424"/>
      <c r="AU450" s="424"/>
      <c r="AV450" s="425"/>
      <c r="AW450" s="104"/>
      <c r="AX450" s="426">
        <f>+ETR!AX$96</f>
        <v>0.02</v>
      </c>
      <c r="AY450" s="424">
        <f>+ETR!AY$96</f>
        <v>0.02</v>
      </c>
      <c r="AZ450" s="424">
        <f>+ETR!AZ$96</f>
        <v>0.02</v>
      </c>
      <c r="BA450" s="425">
        <f>+ETR!BA$96</f>
        <v>0.02</v>
      </c>
      <c r="BB450" s="104">
        <f>+ETR!BB$96</f>
        <v>0.02</v>
      </c>
      <c r="BC450" s="426">
        <f>+ETR!BC$96</f>
        <v>0.02</v>
      </c>
      <c r="BD450" s="424">
        <f>+ETR!BD$96</f>
        <v>0.02</v>
      </c>
      <c r="BE450" s="424">
        <f>+ETR!BE$96</f>
        <v>0.02</v>
      </c>
      <c r="BF450" s="425">
        <f>+ETR!BF$96</f>
        <v>0.02</v>
      </c>
      <c r="BG450" s="104">
        <f>+ETR!BG$96</f>
        <v>0.02</v>
      </c>
      <c r="BH450" s="426">
        <f>+ETR!BH$96</f>
        <v>0.02</v>
      </c>
      <c r="BI450" s="424">
        <f>+ETR!BI$96</f>
        <v>0.02</v>
      </c>
      <c r="BJ450" s="424">
        <f>+ETR!BJ$96</f>
        <v>0.02</v>
      </c>
      <c r="BK450" s="425">
        <f>+ETR!BK$96</f>
        <v>0.02</v>
      </c>
      <c r="BL450" s="104">
        <f>+ETR!BL$96</f>
        <v>0.02</v>
      </c>
      <c r="BM450" s="426">
        <f>+ETR!BM$96</f>
        <v>0.02</v>
      </c>
      <c r="BN450" s="424">
        <f>+ETR!BN$96</f>
        <v>0.02</v>
      </c>
      <c r="BO450" s="424">
        <f>+ETR!BO$96</f>
        <v>0.02</v>
      </c>
      <c r="BP450" s="425">
        <f>+ETR!BP$96</f>
        <v>0.02</v>
      </c>
      <c r="BQ450" s="104">
        <f>+ETR!BQ$96</f>
        <v>0.02</v>
      </c>
      <c r="BR450" s="104"/>
      <c r="BS450" s="1539"/>
      <c r="BT450" s="1539"/>
      <c r="BU450" s="1539"/>
      <c r="BV450" s="1539"/>
    </row>
    <row r="451" spans="1:74">
      <c r="A451" s="320"/>
      <c r="B451" s="320"/>
      <c r="C451" s="1150"/>
      <c r="D451" s="320"/>
      <c r="E451" s="332"/>
      <c r="F451" s="333"/>
      <c r="G451" s="333"/>
      <c r="H451" s="334"/>
      <c r="I451" s="107"/>
      <c r="J451" s="177"/>
      <c r="K451" s="178"/>
      <c r="L451" s="178"/>
      <c r="M451" s="179"/>
      <c r="N451" s="107"/>
      <c r="O451" s="177"/>
      <c r="P451" s="178"/>
      <c r="Q451" s="178"/>
      <c r="R451" s="179"/>
      <c r="S451" s="107"/>
      <c r="T451" s="177"/>
      <c r="U451" s="178"/>
      <c r="V451" s="178"/>
      <c r="W451" s="179"/>
      <c r="X451" s="107"/>
      <c r="Y451" s="177"/>
      <c r="Z451" s="178"/>
      <c r="AA451" s="178"/>
      <c r="AB451" s="179"/>
      <c r="AC451" s="107"/>
      <c r="AD451" s="177"/>
      <c r="AE451" s="178"/>
      <c r="AF451" s="178"/>
      <c r="AG451" s="179"/>
      <c r="AH451" s="107"/>
      <c r="AI451" s="177"/>
      <c r="AJ451" s="178"/>
      <c r="AK451" s="178"/>
      <c r="AL451" s="179"/>
      <c r="AM451" s="107"/>
      <c r="AN451" s="177"/>
      <c r="AO451" s="178"/>
      <c r="AP451" s="178"/>
      <c r="AQ451" s="179"/>
      <c r="AR451" s="107"/>
      <c r="AS451" s="177"/>
      <c r="AT451" s="178"/>
      <c r="AU451" s="178"/>
      <c r="AV451" s="179"/>
      <c r="AW451" s="107"/>
      <c r="AX451" s="177"/>
      <c r="AY451" s="178"/>
      <c r="AZ451" s="178"/>
      <c r="BA451" s="179"/>
      <c r="BB451" s="107"/>
      <c r="BC451" s="177"/>
      <c r="BD451" s="178"/>
      <c r="BE451" s="178"/>
      <c r="BF451" s="179"/>
      <c r="BG451" s="107"/>
      <c r="BH451" s="177"/>
      <c r="BI451" s="178"/>
      <c r="BJ451" s="178"/>
      <c r="BK451" s="179"/>
      <c r="BL451" s="107"/>
      <c r="BM451" s="177"/>
      <c r="BN451" s="178"/>
      <c r="BO451" s="178"/>
      <c r="BP451" s="179"/>
      <c r="BQ451" s="107"/>
      <c r="BR451" s="107"/>
      <c r="BS451" s="1496"/>
      <c r="BT451" s="1496"/>
      <c r="BU451" s="1496"/>
      <c r="BV451" s="1496"/>
    </row>
    <row r="452" spans="1:74">
      <c r="A452" s="320"/>
      <c r="B452" s="320"/>
      <c r="C452" s="1150"/>
      <c r="D452" s="320"/>
      <c r="E452" s="332"/>
      <c r="F452" s="333"/>
      <c r="G452" s="333"/>
      <c r="H452" s="334"/>
      <c r="I452" s="107"/>
      <c r="J452" s="177"/>
      <c r="K452" s="178"/>
      <c r="L452" s="178"/>
      <c r="M452" s="179"/>
      <c r="N452" s="107"/>
      <c r="O452" s="177"/>
      <c r="P452" s="178"/>
      <c r="Q452" s="178"/>
      <c r="R452" s="179"/>
      <c r="S452" s="107"/>
      <c r="T452" s="177"/>
      <c r="U452" s="178"/>
      <c r="V452" s="178"/>
      <c r="W452" s="179"/>
      <c r="X452" s="107"/>
      <c r="Y452" s="177"/>
      <c r="Z452" s="178"/>
      <c r="AA452" s="178"/>
      <c r="AB452" s="179"/>
      <c r="AC452" s="107"/>
      <c r="AD452" s="177"/>
      <c r="AE452" s="178"/>
      <c r="AF452" s="178"/>
      <c r="AG452" s="179"/>
      <c r="AH452" s="107"/>
      <c r="AI452" s="177"/>
      <c r="AJ452" s="178"/>
      <c r="AK452" s="178"/>
      <c r="AL452" s="179"/>
      <c r="AM452" s="107"/>
      <c r="AN452" s="177"/>
      <c r="AO452" s="178"/>
      <c r="AP452" s="178"/>
      <c r="AQ452" s="179"/>
      <c r="AR452" s="107"/>
      <c r="AS452" s="177"/>
      <c r="AT452" s="178"/>
      <c r="AU452" s="178"/>
      <c r="AV452" s="179"/>
      <c r="AW452" s="107"/>
      <c r="AX452" s="177"/>
      <c r="AY452" s="178"/>
      <c r="AZ452" s="178"/>
      <c r="BA452" s="179"/>
      <c r="BB452" s="107"/>
      <c r="BC452" s="177"/>
      <c r="BD452" s="178"/>
      <c r="BE452" s="178"/>
      <c r="BF452" s="179"/>
      <c r="BG452" s="107"/>
      <c r="BH452" s="177"/>
      <c r="BI452" s="178"/>
      <c r="BJ452" s="178"/>
      <c r="BK452" s="179"/>
      <c r="BL452" s="107"/>
      <c r="BM452" s="177"/>
      <c r="BN452" s="178"/>
      <c r="BO452" s="178"/>
      <c r="BP452" s="179"/>
      <c r="BQ452" s="107"/>
      <c r="BR452" s="107"/>
      <c r="BS452" s="1496"/>
      <c r="BT452" s="1496"/>
      <c r="BU452" s="1496"/>
      <c r="BV452" s="1496"/>
    </row>
    <row r="453" spans="1:74">
      <c r="A453" s="5"/>
      <c r="B453" s="439" t="s">
        <v>5</v>
      </c>
      <c r="C453" s="1126"/>
      <c r="D453" s="92"/>
      <c r="E453" s="133"/>
      <c r="F453" s="134"/>
      <c r="G453" s="134"/>
      <c r="H453" s="135"/>
      <c r="I453" s="5"/>
      <c r="J453" s="133"/>
      <c r="K453" s="134"/>
      <c r="L453" s="134"/>
      <c r="M453" s="135"/>
      <c r="N453" s="5"/>
      <c r="O453" s="133"/>
      <c r="P453" s="134"/>
      <c r="Q453" s="134"/>
      <c r="R453" s="135"/>
      <c r="S453" s="5"/>
      <c r="T453" s="133"/>
      <c r="U453" s="134"/>
      <c r="V453" s="134"/>
      <c r="W453" s="135"/>
      <c r="X453" s="5"/>
      <c r="Y453" s="133"/>
      <c r="Z453" s="134"/>
      <c r="AA453" s="134"/>
      <c r="AB453" s="135"/>
      <c r="AC453" s="5"/>
      <c r="AD453" s="133"/>
      <c r="AE453" s="134"/>
      <c r="AF453" s="134"/>
      <c r="AG453" s="135"/>
      <c r="AH453" s="5"/>
      <c r="AI453" s="133"/>
      <c r="AJ453" s="134"/>
      <c r="AK453" s="134"/>
      <c r="AL453" s="135"/>
      <c r="AM453" s="5"/>
      <c r="AN453" s="133"/>
      <c r="AO453" s="134"/>
      <c r="AP453" s="134"/>
      <c r="AQ453" s="135"/>
      <c r="AR453" s="5"/>
      <c r="AS453" s="133"/>
      <c r="AT453" s="134"/>
      <c r="AU453" s="134"/>
      <c r="AV453" s="135"/>
      <c r="AW453" s="5"/>
      <c r="AX453" s="133"/>
      <c r="AY453" s="134"/>
      <c r="AZ453" s="134"/>
      <c r="BA453" s="135"/>
      <c r="BB453" s="5"/>
      <c r="BC453" s="133"/>
      <c r="BD453" s="134"/>
      <c r="BE453" s="134"/>
      <c r="BF453" s="135"/>
      <c r="BG453" s="5"/>
      <c r="BH453" s="133"/>
      <c r="BI453" s="134"/>
      <c r="BJ453" s="134"/>
      <c r="BK453" s="135"/>
      <c r="BL453" s="5"/>
      <c r="BM453" s="133"/>
      <c r="BN453" s="134"/>
      <c r="BO453" s="134"/>
      <c r="BP453" s="135"/>
      <c r="BQ453" s="5"/>
      <c r="BR453" s="5"/>
      <c r="BS453" s="1499"/>
      <c r="BT453" s="1499"/>
      <c r="BU453" s="1499"/>
      <c r="BV453" s="1499"/>
    </row>
    <row r="454" spans="1:74">
      <c r="A454" s="320"/>
      <c r="B454" s="320"/>
      <c r="C454" s="1125" t="s">
        <v>354</v>
      </c>
      <c r="D454" s="320"/>
      <c r="E454" s="324"/>
      <c r="F454" s="325"/>
      <c r="G454" s="325"/>
      <c r="H454" s="326"/>
      <c r="I454" s="107"/>
      <c r="J454" s="174"/>
      <c r="K454" s="175"/>
      <c r="L454" s="175"/>
      <c r="M454" s="176"/>
      <c r="N454" s="107">
        <f>+N37</f>
        <v>486.68999999999988</v>
      </c>
      <c r="O454" s="174"/>
      <c r="P454" s="175"/>
      <c r="Q454" s="175"/>
      <c r="R454" s="176"/>
      <c r="S454" s="107">
        <f>+S37</f>
        <v>488.59599999999989</v>
      </c>
      <c r="T454" s="174"/>
      <c r="U454" s="175"/>
      <c r="V454" s="175"/>
      <c r="W454" s="176"/>
      <c r="X454" s="107">
        <f>+X37</f>
        <v>40.426999999999808</v>
      </c>
      <c r="Y454" s="174"/>
      <c r="Z454" s="175"/>
      <c r="AA454" s="175"/>
      <c r="AB454" s="176"/>
      <c r="AC454" s="107">
        <f>+AC37</f>
        <v>42.885000000000005</v>
      </c>
      <c r="AD454" s="197">
        <f>+AD37</f>
        <v>241.92299999999997</v>
      </c>
      <c r="AE454" s="198">
        <f>+AE37</f>
        <v>25.915999999999922</v>
      </c>
      <c r="AF454" s="198">
        <f t="shared" ref="AF454:AG454" si="1209">+AF37</f>
        <v>-33.225000000000044</v>
      </c>
      <c r="AG454" s="193">
        <f t="shared" si="1209"/>
        <v>57.719000000000207</v>
      </c>
      <c r="AH454" s="107">
        <f>SUM(AD454:AG454)</f>
        <v>292.33300000000003</v>
      </c>
      <c r="AI454" s="197">
        <f>+AI37</f>
        <v>122.88500000000005</v>
      </c>
      <c r="AJ454" s="198">
        <f>+AJ37</f>
        <v>-4.0919999999999916</v>
      </c>
      <c r="AK454" s="198">
        <f t="shared" ref="AK454:AL454" si="1210">+AK37</f>
        <v>-1031.9569999999999</v>
      </c>
      <c r="AL454" s="193">
        <f t="shared" si="1210"/>
        <v>-154.67999999999944</v>
      </c>
      <c r="AM454" s="107">
        <f>SUM(AI454:AL454)</f>
        <v>-1067.8439999999991</v>
      </c>
      <c r="AN454" s="197">
        <f>+AN37</f>
        <v>79.008999999999929</v>
      </c>
      <c r="AO454" s="198">
        <f>+AO37</f>
        <v>250.32700000000003</v>
      </c>
      <c r="AP454" s="198">
        <f t="shared" ref="AP454:AQ454" si="1211">+AP37</f>
        <v>7.6740000000000306</v>
      </c>
      <c r="AQ454" s="193">
        <f t="shared" si="1211"/>
        <v>-1832.3220000000003</v>
      </c>
      <c r="AR454" s="107">
        <f>SUM(AN454:AQ454)</f>
        <v>-1495.3120000000004</v>
      </c>
      <c r="AS454" s="197">
        <f>+AS37</f>
        <v>-27.744000000000046</v>
      </c>
      <c r="AT454" s="198">
        <f>+AT37</f>
        <v>223.33900000000006</v>
      </c>
      <c r="AU454" s="198">
        <f t="shared" ref="AU454:AV454" si="1212">+AU37</f>
        <v>55.217999999999989</v>
      </c>
      <c r="AV454" s="193">
        <f t="shared" si="1212"/>
        <v>-425.33600000000007</v>
      </c>
      <c r="AW454" s="107">
        <f>SUM(AS454:AV454)</f>
        <v>-174.52300000000008</v>
      </c>
      <c r="AX454" s="174">
        <f>AX39</f>
        <v>52.115866317276861</v>
      </c>
      <c r="AY454" s="175">
        <f>AY39</f>
        <v>66.282307739590081</v>
      </c>
      <c r="AZ454" s="175">
        <f>AZ39</f>
        <v>72.640027294955388</v>
      </c>
      <c r="BA454" s="176">
        <f>BA39</f>
        <v>63.283753005645217</v>
      </c>
      <c r="BB454" s="107">
        <f>SUM(AX454:BA454)</f>
        <v>254.32195435746755</v>
      </c>
      <c r="BC454" s="174">
        <f>BC39</f>
        <v>63.877811949901059</v>
      </c>
      <c r="BD454" s="175">
        <f>BD39</f>
        <v>37.356596372743624</v>
      </c>
      <c r="BE454" s="175">
        <f>BE39</f>
        <v>19.365859817194085</v>
      </c>
      <c r="BF454" s="176">
        <f>BF39</f>
        <v>6.1221999970713412</v>
      </c>
      <c r="BG454" s="107">
        <f>SUM(BC454:BF454)</f>
        <v>126.72246813691009</v>
      </c>
      <c r="BH454" s="174">
        <f>BH39</f>
        <v>109.02289839503499</v>
      </c>
      <c r="BI454" s="175">
        <f>BI39</f>
        <v>16.155074229266262</v>
      </c>
      <c r="BJ454" s="175">
        <f>BJ39</f>
        <v>-4.5920962006431729</v>
      </c>
      <c r="BK454" s="176">
        <f>BK39</f>
        <v>-12.536634812196164</v>
      </c>
      <c r="BL454" s="107">
        <f>SUM(BH454:BK454)</f>
        <v>108.04924161146191</v>
      </c>
      <c r="BM454" s="174">
        <f>BM39</f>
        <v>26.059628062822377</v>
      </c>
      <c r="BN454" s="175">
        <f>BN39</f>
        <v>16.095355352075437</v>
      </c>
      <c r="BO454" s="175">
        <f>BO39</f>
        <v>-10.213129402803879</v>
      </c>
      <c r="BP454" s="176">
        <f>BP39</f>
        <v>-10.184113496424988</v>
      </c>
      <c r="BQ454" s="107">
        <f>SUM(BM454:BP454)</f>
        <v>21.757740515668946</v>
      </c>
      <c r="BR454" s="107"/>
      <c r="BS454" s="1496"/>
      <c r="BT454" s="1496"/>
      <c r="BU454" s="1496"/>
      <c r="BV454" s="1496"/>
    </row>
    <row r="455" spans="1:74">
      <c r="A455" s="320"/>
      <c r="B455" s="320"/>
      <c r="C455" s="1125" t="s">
        <v>318</v>
      </c>
      <c r="D455" s="320"/>
      <c r="E455" s="324"/>
      <c r="F455" s="325"/>
      <c r="G455" s="325"/>
      <c r="H455" s="326"/>
      <c r="I455" s="107"/>
      <c r="J455" s="174"/>
      <c r="K455" s="175"/>
      <c r="L455" s="175"/>
      <c r="M455" s="176"/>
      <c r="N455" s="107">
        <f>+N17</f>
        <v>163.18</v>
      </c>
      <c r="O455" s="174"/>
      <c r="P455" s="175"/>
      <c r="Q455" s="175"/>
      <c r="R455" s="176"/>
      <c r="S455" s="107">
        <f>+S17</f>
        <v>179.18799999999999</v>
      </c>
      <c r="T455" s="174"/>
      <c r="U455" s="175"/>
      <c r="V455" s="175"/>
      <c r="W455" s="176"/>
      <c r="X455" s="107">
        <f>+X17</f>
        <v>176.047</v>
      </c>
      <c r="Y455" s="174"/>
      <c r="Z455" s="175"/>
      <c r="AA455" s="175"/>
      <c r="AB455" s="176"/>
      <c r="AC455" s="107">
        <f>+AC17</f>
        <v>215.87100000000001</v>
      </c>
      <c r="AD455" s="197">
        <f>+AD17</f>
        <v>70.147000000000006</v>
      </c>
      <c r="AE455" s="198">
        <f>+AE17</f>
        <v>70.935000000000002</v>
      </c>
      <c r="AF455" s="198">
        <f t="shared" ref="AF455:AG455" si="1213">+AF17</f>
        <v>71.623000000000005</v>
      </c>
      <c r="AG455" s="193">
        <f t="shared" si="1213"/>
        <v>63.218999999999994</v>
      </c>
      <c r="AH455" s="107">
        <f>SUM(AD455:AG455)</f>
        <v>275.92399999999998</v>
      </c>
      <c r="AI455" s="197">
        <f>+AI17</f>
        <v>62.262999999999998</v>
      </c>
      <c r="AJ455" s="198">
        <f>+AJ17</f>
        <v>63.835000000000001</v>
      </c>
      <c r="AK455" s="198">
        <f t="shared" ref="AK455:AL455" si="1214">+AK17</f>
        <v>60.414999999999999</v>
      </c>
      <c r="AL455" s="193">
        <f t="shared" si="1214"/>
        <v>52.519000000000005</v>
      </c>
      <c r="AM455" s="107">
        <f>SUM(AI455:AL455)</f>
        <v>239.03200000000001</v>
      </c>
      <c r="AN455" s="197">
        <f>+AN17</f>
        <v>56.106999999999999</v>
      </c>
      <c r="AO455" s="198">
        <f>+AO17</f>
        <v>45.831000000000003</v>
      </c>
      <c r="AP455" s="198">
        <f t="shared" ref="AP455:AQ455" si="1215">+AP17</f>
        <v>53.115000000000002</v>
      </c>
      <c r="AQ455" s="193">
        <f t="shared" si="1215"/>
        <v>44.799000000000007</v>
      </c>
      <c r="AR455" s="107">
        <f>SUM(AN455:AQ455)</f>
        <v>199.852</v>
      </c>
      <c r="AS455" s="197">
        <f>+AS17</f>
        <v>52.593000000000004</v>
      </c>
      <c r="AT455" s="198">
        <f>+AT17</f>
        <v>51.930999999999997</v>
      </c>
      <c r="AU455" s="198">
        <f t="shared" ref="AU455:AV455" si="1216">+AU17</f>
        <v>52.363999999999997</v>
      </c>
      <c r="AV455" s="193">
        <f t="shared" si="1216"/>
        <v>36.233000000000004</v>
      </c>
      <c r="AW455" s="107">
        <f>SUM(AS455:AV455)</f>
        <v>193.12100000000001</v>
      </c>
      <c r="AX455" s="174">
        <f>+AX426</f>
        <v>40</v>
      </c>
      <c r="AY455" s="175">
        <f>+AY426</f>
        <v>40</v>
      </c>
      <c r="AZ455" s="175">
        <f>+AZ426</f>
        <v>40</v>
      </c>
      <c r="BA455" s="176">
        <f>+BA426</f>
        <v>40</v>
      </c>
      <c r="BB455" s="107">
        <f>SUM(AX455:BA455)</f>
        <v>160</v>
      </c>
      <c r="BC455" s="174">
        <f>+BC426</f>
        <v>40</v>
      </c>
      <c r="BD455" s="175">
        <f>+BD426</f>
        <v>40</v>
      </c>
      <c r="BE455" s="175">
        <f>+BE426</f>
        <v>40</v>
      </c>
      <c r="BF455" s="176">
        <f>+BF426</f>
        <v>40</v>
      </c>
      <c r="BG455" s="107">
        <f>SUM(BC455:BF455)</f>
        <v>160</v>
      </c>
      <c r="BH455" s="174">
        <f>+BH426</f>
        <v>30</v>
      </c>
      <c r="BI455" s="175">
        <f>+BI426</f>
        <v>30</v>
      </c>
      <c r="BJ455" s="175">
        <f>+BJ426</f>
        <v>30</v>
      </c>
      <c r="BK455" s="176">
        <f>+BK426</f>
        <v>30</v>
      </c>
      <c r="BL455" s="107">
        <f>SUM(BH455:BK455)</f>
        <v>120</v>
      </c>
      <c r="BM455" s="174">
        <f>+BM426</f>
        <v>20</v>
      </c>
      <c r="BN455" s="175">
        <f>+BN426</f>
        <v>20</v>
      </c>
      <c r="BO455" s="175">
        <f>+BO426</f>
        <v>20</v>
      </c>
      <c r="BP455" s="176">
        <f>+BP426</f>
        <v>20</v>
      </c>
      <c r="BQ455" s="107">
        <f>SUM(BM455:BP455)</f>
        <v>80</v>
      </c>
      <c r="BR455" s="107"/>
      <c r="BS455" s="1496"/>
      <c r="BT455" s="1496"/>
      <c r="BU455" s="1496"/>
      <c r="BV455" s="1496"/>
    </row>
    <row r="456" spans="1:74">
      <c r="A456" s="320"/>
      <c r="B456" s="320"/>
      <c r="C456" s="1174" t="s">
        <v>708</v>
      </c>
      <c r="D456" s="320"/>
      <c r="E456" s="324"/>
      <c r="F456" s="325"/>
      <c r="G456" s="325"/>
      <c r="H456" s="326"/>
      <c r="I456" s="107"/>
      <c r="J456" s="183"/>
      <c r="K456" s="184"/>
      <c r="L456" s="184"/>
      <c r="M456" s="185"/>
      <c r="N456" s="108">
        <v>0</v>
      </c>
      <c r="O456" s="183"/>
      <c r="P456" s="184"/>
      <c r="Q456" s="184"/>
      <c r="R456" s="185"/>
      <c r="S456" s="108">
        <v>0</v>
      </c>
      <c r="T456" s="183"/>
      <c r="U456" s="184"/>
      <c r="V456" s="184"/>
      <c r="W456" s="185"/>
      <c r="X456" s="108">
        <v>0</v>
      </c>
      <c r="Y456" s="197"/>
      <c r="Z456" s="198"/>
      <c r="AA456" s="198"/>
      <c r="AB456" s="193"/>
      <c r="AC456" s="108">
        <v>0</v>
      </c>
      <c r="AD456" s="197">
        <v>0</v>
      </c>
      <c r="AE456" s="198">
        <v>0</v>
      </c>
      <c r="AF456" s="198">
        <v>0</v>
      </c>
      <c r="AG456" s="193">
        <v>0</v>
      </c>
      <c r="AH456" s="107">
        <f>SUM(AD456:AG456)</f>
        <v>0</v>
      </c>
      <c r="AI456" s="197">
        <v>0</v>
      </c>
      <c r="AJ456" s="198">
        <v>0</v>
      </c>
      <c r="AK456" s="198">
        <v>0</v>
      </c>
      <c r="AL456" s="193">
        <v>0</v>
      </c>
      <c r="AM456" s="107">
        <f>SUM(AI456:AL456)</f>
        <v>0</v>
      </c>
      <c r="AN456" s="197">
        <v>0</v>
      </c>
      <c r="AO456" s="198">
        <v>0</v>
      </c>
      <c r="AP456" s="198">
        <v>0</v>
      </c>
      <c r="AQ456" s="193">
        <v>0</v>
      </c>
      <c r="AR456" s="107">
        <f>SUM(AN456:AQ456)</f>
        <v>0</v>
      </c>
      <c r="AS456" s="197">
        <v>0</v>
      </c>
      <c r="AT456" s="198">
        <v>0</v>
      </c>
      <c r="AU456" s="198">
        <v>0</v>
      </c>
      <c r="AV456" s="193">
        <v>0</v>
      </c>
      <c r="AW456" s="107">
        <f>SUM(AS456:AV456)</f>
        <v>0</v>
      </c>
      <c r="AX456" s="177">
        <f>+BB456/4</f>
        <v>0</v>
      </c>
      <c r="AY456" s="178">
        <f>+BB456/4</f>
        <v>0</v>
      </c>
      <c r="AZ456" s="178">
        <f>+BB456/4</f>
        <v>0</v>
      </c>
      <c r="BA456" s="179">
        <f>+BB456/4</f>
        <v>0</v>
      </c>
      <c r="BB456" s="108">
        <v>0</v>
      </c>
      <c r="BC456" s="177">
        <f>+BG456/4</f>
        <v>0</v>
      </c>
      <c r="BD456" s="178">
        <f>+BG456/4</f>
        <v>0</v>
      </c>
      <c r="BE456" s="178">
        <f>+BG456/4</f>
        <v>0</v>
      </c>
      <c r="BF456" s="179">
        <f>+BG456/4</f>
        <v>0</v>
      </c>
      <c r="BG456" s="108">
        <v>0</v>
      </c>
      <c r="BH456" s="177">
        <f>+BL456/4</f>
        <v>0</v>
      </c>
      <c r="BI456" s="178">
        <f>+BL456/4</f>
        <v>0</v>
      </c>
      <c r="BJ456" s="178">
        <f>+BL456/4</f>
        <v>0</v>
      </c>
      <c r="BK456" s="179">
        <f>+BL456/4</f>
        <v>0</v>
      </c>
      <c r="BL456" s="108">
        <v>0</v>
      </c>
      <c r="BM456" s="177">
        <f>+BQ456/4</f>
        <v>0</v>
      </c>
      <c r="BN456" s="178">
        <f>+BQ456/4</f>
        <v>0</v>
      </c>
      <c r="BO456" s="178">
        <f>+BQ456/4</f>
        <v>0</v>
      </c>
      <c r="BP456" s="179">
        <f>+BQ456/4</f>
        <v>0</v>
      </c>
      <c r="BQ456" s="108">
        <v>0</v>
      </c>
      <c r="BR456" s="107"/>
      <c r="BS456" s="1496"/>
      <c r="BT456" s="1496"/>
      <c r="BU456" s="1496"/>
      <c r="BV456" s="1496"/>
    </row>
    <row r="457" spans="1:74">
      <c r="A457" s="320"/>
      <c r="B457" s="320"/>
      <c r="C457" s="129" t="s">
        <v>186</v>
      </c>
      <c r="D457" s="320"/>
      <c r="E457" s="324"/>
      <c r="F457" s="325"/>
      <c r="G457" s="325"/>
      <c r="H457" s="326"/>
      <c r="I457" s="107"/>
      <c r="J457" s="183"/>
      <c r="K457" s="184"/>
      <c r="L457" s="184"/>
      <c r="M457" s="185"/>
      <c r="N457" s="107">
        <f>+N458-SUM(N454:N456)</f>
        <v>-19.869999999999891</v>
      </c>
      <c r="O457" s="183"/>
      <c r="P457" s="184"/>
      <c r="Q457" s="184"/>
      <c r="R457" s="185"/>
      <c r="S457" s="107">
        <f>+S458-SUM(S454:S456)</f>
        <v>88.216000000000122</v>
      </c>
      <c r="T457" s="183"/>
      <c r="U457" s="184"/>
      <c r="V457" s="184"/>
      <c r="W457" s="185"/>
      <c r="X457" s="107">
        <f>+X458-SUM(X454:X456)</f>
        <v>459.52600000000018</v>
      </c>
      <c r="Y457" s="183"/>
      <c r="Z457" s="184"/>
      <c r="AA457" s="184"/>
      <c r="AB457" s="185"/>
      <c r="AC457" s="107">
        <f>+AC458-SUM(AC454:AC456)</f>
        <v>471.24399999999997</v>
      </c>
      <c r="AD457" s="197">
        <f>+AD458-SUM(AD454:AD456)</f>
        <v>111.93</v>
      </c>
      <c r="AE457" s="198">
        <f>+AE458-SUM(AE454:AE456)</f>
        <v>128.14900000000006</v>
      </c>
      <c r="AF457" s="198">
        <f t="shared" ref="AF457:AG457" si="1217">+AF458-SUM(AF454:AF456)</f>
        <v>168.60200000000003</v>
      </c>
      <c r="AG457" s="193">
        <f t="shared" si="1217"/>
        <v>57.061999999999799</v>
      </c>
      <c r="AH457" s="107">
        <f>SUM(AD457:AG457)</f>
        <v>465.74299999999988</v>
      </c>
      <c r="AI457" s="197">
        <f>+AI458-SUM(AI454:AI456)</f>
        <v>22.851999999999947</v>
      </c>
      <c r="AJ457" s="198">
        <f>+AJ458-SUM(AJ454:AJ456)</f>
        <v>-51.743000000000009</v>
      </c>
      <c r="AK457" s="198">
        <f t="shared" ref="AK457:AL457" si="1218">+AK458-SUM(AK454:AK456)</f>
        <v>1136.5419999999999</v>
      </c>
      <c r="AL457" s="193">
        <f t="shared" si="1218"/>
        <v>183.16099999999943</v>
      </c>
      <c r="AM457" s="107">
        <f>SUM(AI457:AL457)</f>
        <v>1290.8119999999992</v>
      </c>
      <c r="AN457" s="197">
        <f>+AN458-SUM(AN454:AN456)</f>
        <v>0.8840000000000714</v>
      </c>
      <c r="AO457" s="198">
        <f>+AO458-SUM(AO454:AO456)</f>
        <v>-220.15800000000002</v>
      </c>
      <c r="AP457" s="198">
        <f t="shared" ref="AP457:AQ457" si="1219">+AP458-SUM(AP454:AP456)</f>
        <v>63.21099999999997</v>
      </c>
      <c r="AQ457" s="193">
        <f t="shared" si="1219"/>
        <v>1697.5230000000004</v>
      </c>
      <c r="AR457" s="107">
        <f>SUM(AN457:AQ457)</f>
        <v>1541.4600000000005</v>
      </c>
      <c r="AS457" s="197">
        <f>+AS458-SUM(AS454:AS456)</f>
        <v>122.15100000000004</v>
      </c>
      <c r="AT457" s="198">
        <f>+AT458-SUM(AT454:AT456)</f>
        <v>-503.27000000000004</v>
      </c>
      <c r="AU457" s="198">
        <f t="shared" ref="AU457:AV457" si="1220">+AU458-SUM(AU454:AU456)</f>
        <v>-0.58199999999999363</v>
      </c>
      <c r="AV457" s="193">
        <f t="shared" si="1220"/>
        <v>500.10300000000007</v>
      </c>
      <c r="AW457" s="107">
        <f>SUM(AS457:AV457)</f>
        <v>118.40200000000004</v>
      </c>
      <c r="AX457" s="177">
        <f>+BB457/4</f>
        <v>-29.5</v>
      </c>
      <c r="AY457" s="178">
        <f>+BB457/4</f>
        <v>-29.5</v>
      </c>
      <c r="AZ457" s="178">
        <f>+BB457/4</f>
        <v>-29.5</v>
      </c>
      <c r="BA457" s="179">
        <f>+BB457/4</f>
        <v>-29.5</v>
      </c>
      <c r="BB457" s="108">
        <v>-118</v>
      </c>
      <c r="BC457" s="177">
        <f>+BG457/4</f>
        <v>-29.5</v>
      </c>
      <c r="BD457" s="178">
        <f>+BG457/4</f>
        <v>-29.5</v>
      </c>
      <c r="BE457" s="178">
        <f>+BG457/4</f>
        <v>-29.5</v>
      </c>
      <c r="BF457" s="179">
        <f>+BG457/4</f>
        <v>-29.5</v>
      </c>
      <c r="BG457" s="108">
        <v>-118</v>
      </c>
      <c r="BH457" s="177">
        <f>+BL457/4</f>
        <v>-29.5</v>
      </c>
      <c r="BI457" s="178">
        <f>+BL457/4</f>
        <v>-29.5</v>
      </c>
      <c r="BJ457" s="178">
        <f>+BL457/4</f>
        <v>-29.5</v>
      </c>
      <c r="BK457" s="179">
        <f>+BL457/4</f>
        <v>-29.5</v>
      </c>
      <c r="BL457" s="108">
        <v>-118</v>
      </c>
      <c r="BM457" s="177">
        <f>+BQ457/4</f>
        <v>-29.5</v>
      </c>
      <c r="BN457" s="178">
        <f>+BQ457/4</f>
        <v>-29.5</v>
      </c>
      <c r="BO457" s="178">
        <f>+BQ457/4</f>
        <v>-29.5</v>
      </c>
      <c r="BP457" s="179">
        <f>+BQ457/4</f>
        <v>-29.5</v>
      </c>
      <c r="BQ457" s="357">
        <f>+BL457</f>
        <v>-118</v>
      </c>
      <c r="BR457" s="107"/>
      <c r="BS457" s="1496"/>
      <c r="BT457" s="1496"/>
      <c r="BU457" s="1496"/>
      <c r="BV457" s="1496"/>
    </row>
    <row r="458" spans="1:74">
      <c r="A458" s="327"/>
      <c r="B458" s="327"/>
      <c r="C458" s="1128" t="s">
        <v>359</v>
      </c>
      <c r="D458" s="327"/>
      <c r="E458" s="448"/>
      <c r="F458" s="449"/>
      <c r="G458" s="449"/>
      <c r="H458" s="182"/>
      <c r="I458" s="496"/>
      <c r="J458" s="430"/>
      <c r="K458" s="431"/>
      <c r="L458" s="431"/>
      <c r="M458" s="182"/>
      <c r="N458" s="496">
        <v>630</v>
      </c>
      <c r="O458" s="430"/>
      <c r="P458" s="431"/>
      <c r="Q458" s="431"/>
      <c r="R458" s="182"/>
      <c r="S458" s="496">
        <v>756</v>
      </c>
      <c r="T458" s="430"/>
      <c r="U458" s="431"/>
      <c r="V458" s="431"/>
      <c r="W458" s="182"/>
      <c r="X458" s="496">
        <v>676</v>
      </c>
      <c r="Y458" s="430"/>
      <c r="Z458" s="431"/>
      <c r="AA458" s="431"/>
      <c r="AB458" s="432"/>
      <c r="AC458" s="496">
        <v>730</v>
      </c>
      <c r="AD458" s="430">
        <v>424</v>
      </c>
      <c r="AE458" s="431">
        <f>649-AD458</f>
        <v>225</v>
      </c>
      <c r="AF458" s="431">
        <f>856-AE458-AD458</f>
        <v>207</v>
      </c>
      <c r="AG458" s="432">
        <f>1034-AF458-AE458-AD458</f>
        <v>178</v>
      </c>
      <c r="AH458" s="110">
        <f>SUM(AH454:AH457)</f>
        <v>1034</v>
      </c>
      <c r="AI458" s="430">
        <v>208</v>
      </c>
      <c r="AJ458" s="431">
        <v>8</v>
      </c>
      <c r="AK458" s="431">
        <v>165</v>
      </c>
      <c r="AL458" s="432">
        <f>462-AK458-AJ458-AI458</f>
        <v>81</v>
      </c>
      <c r="AM458" s="110">
        <f>SUM(AM454:AM457)</f>
        <v>462.00000000000011</v>
      </c>
      <c r="AN458" s="430">
        <v>136</v>
      </c>
      <c r="AO458" s="431">
        <v>76</v>
      </c>
      <c r="AP458" s="431">
        <v>124</v>
      </c>
      <c r="AQ458" s="432">
        <f>246-AP458-AO458-AN458</f>
        <v>-90</v>
      </c>
      <c r="AR458" s="110">
        <f>SUM(AR454:AR457)</f>
        <v>246.00000000000023</v>
      </c>
      <c r="AS458" s="430">
        <v>147</v>
      </c>
      <c r="AT458" s="431">
        <v>-228</v>
      </c>
      <c r="AU458" s="431">
        <v>107</v>
      </c>
      <c r="AV458" s="432">
        <f>137-AU458-AT458-AS458</f>
        <v>111</v>
      </c>
      <c r="AW458" s="110">
        <f>SUM(AW454:AW457)</f>
        <v>136.99999999999997</v>
      </c>
      <c r="AX458" s="180">
        <f>+SUM(AX454:AX457)</f>
        <v>62.615866317276868</v>
      </c>
      <c r="AY458" s="181">
        <f>+SUM(AY454:AY457)</f>
        <v>76.782307739590081</v>
      </c>
      <c r="AZ458" s="181">
        <f>+SUM(AZ454:AZ457)</f>
        <v>83.140027294955388</v>
      </c>
      <c r="BA458" s="182">
        <f>+SUM(BA454:BA457)</f>
        <v>73.783753005645224</v>
      </c>
      <c r="BB458" s="110">
        <f>SUM(BB454:BB457)</f>
        <v>296.32195435746758</v>
      </c>
      <c r="BC458" s="180">
        <f>+SUM(BC454:BC457)</f>
        <v>74.377811949901059</v>
      </c>
      <c r="BD458" s="181">
        <f>+SUM(BD454:BD457)</f>
        <v>47.856596372743624</v>
      </c>
      <c r="BE458" s="181">
        <f>+SUM(BE454:BE457)</f>
        <v>29.865859817194085</v>
      </c>
      <c r="BF458" s="182">
        <f>+SUM(BF454:BF457)</f>
        <v>16.622199997071341</v>
      </c>
      <c r="BG458" s="110">
        <f>SUM(BG454:BG457)</f>
        <v>168.72246813691009</v>
      </c>
      <c r="BH458" s="180">
        <f>+SUM(BH454:BH457)</f>
        <v>109.52289839503499</v>
      </c>
      <c r="BI458" s="181">
        <f>+SUM(BI454:BI457)</f>
        <v>16.655074229266262</v>
      </c>
      <c r="BJ458" s="181">
        <f>+SUM(BJ454:BJ457)</f>
        <v>-4.0920962006431729</v>
      </c>
      <c r="BK458" s="182">
        <f>+SUM(BK454:BK457)</f>
        <v>-12.036634812196162</v>
      </c>
      <c r="BL458" s="110">
        <f>SUM(BL454:BL457)</f>
        <v>110.04924161146192</v>
      </c>
      <c r="BM458" s="180">
        <f>+SUM(BM454:BM457)</f>
        <v>16.559628062822377</v>
      </c>
      <c r="BN458" s="181">
        <f>+SUM(BN454:BN457)</f>
        <v>6.5953553520754369</v>
      </c>
      <c r="BO458" s="181">
        <f>+SUM(BO454:BO457)</f>
        <v>-19.713129402803879</v>
      </c>
      <c r="BP458" s="182">
        <f>+SUM(BP454:BP457)</f>
        <v>-19.684113496424988</v>
      </c>
      <c r="BQ458" s="110">
        <f>SUM(BQ454:BQ457)</f>
        <v>-16.242259484331058</v>
      </c>
      <c r="BR458" s="110"/>
      <c r="BS458" s="939"/>
      <c r="BT458" s="939"/>
      <c r="BU458" s="939"/>
      <c r="BV458" s="939"/>
    </row>
    <row r="459" spans="1:74">
      <c r="A459" s="320"/>
      <c r="B459" s="320"/>
      <c r="C459" s="1125"/>
      <c r="D459" s="320"/>
      <c r="E459" s="324"/>
      <c r="F459" s="325"/>
      <c r="G459" s="325"/>
      <c r="H459" s="326"/>
      <c r="I459" s="107"/>
      <c r="J459" s="174"/>
      <c r="K459" s="175"/>
      <c r="L459" s="175"/>
      <c r="M459" s="176"/>
      <c r="N459" s="107"/>
      <c r="O459" s="174"/>
      <c r="P459" s="175"/>
      <c r="Q459" s="175"/>
      <c r="R459" s="176"/>
      <c r="S459" s="107"/>
      <c r="T459" s="174"/>
      <c r="U459" s="175"/>
      <c r="V459" s="175"/>
      <c r="W459" s="176"/>
      <c r="X459" s="107"/>
      <c r="Y459" s="174"/>
      <c r="Z459" s="175"/>
      <c r="AA459" s="175"/>
      <c r="AB459" s="176"/>
      <c r="AC459" s="107"/>
      <c r="AD459" s="183"/>
      <c r="AE459" s="175"/>
      <c r="AF459" s="175"/>
      <c r="AG459" s="176"/>
      <c r="AH459" s="107"/>
      <c r="AI459" s="183"/>
      <c r="AJ459" s="175"/>
      <c r="AK459" s="175"/>
      <c r="AL459" s="176"/>
      <c r="AM459" s="107"/>
      <c r="AN459" s="183"/>
      <c r="AO459" s="175"/>
      <c r="AP459" s="175"/>
      <c r="AQ459" s="176"/>
      <c r="AR459" s="107"/>
      <c r="AS459" s="183"/>
      <c r="AT459" s="175"/>
      <c r="AU459" s="175"/>
      <c r="AV459" s="176"/>
      <c r="AW459" s="107"/>
      <c r="AX459" s="174"/>
      <c r="AY459" s="175"/>
      <c r="AZ459" s="175"/>
      <c r="BA459" s="176"/>
      <c r="BB459" s="107"/>
      <c r="BC459" s="174"/>
      <c r="BD459" s="175"/>
      <c r="BE459" s="175"/>
      <c r="BF459" s="176"/>
      <c r="BG459" s="107"/>
      <c r="BH459" s="174"/>
      <c r="BI459" s="175"/>
      <c r="BJ459" s="175"/>
      <c r="BK459" s="176"/>
      <c r="BL459" s="107"/>
      <c r="BM459" s="174"/>
      <c r="BN459" s="175"/>
      <c r="BO459" s="175"/>
      <c r="BP459" s="176"/>
      <c r="BQ459" s="107"/>
      <c r="BR459" s="107"/>
      <c r="BS459" s="1496"/>
      <c r="BT459" s="1496"/>
      <c r="BU459" s="1496"/>
      <c r="BV459" s="1496"/>
    </row>
    <row r="460" spans="1:74">
      <c r="A460" s="320"/>
      <c r="B460" s="320"/>
      <c r="C460" s="1125" t="s">
        <v>709</v>
      </c>
      <c r="D460" s="320"/>
      <c r="E460" s="321"/>
      <c r="F460" s="322"/>
      <c r="G460" s="322"/>
      <c r="H460" s="323"/>
      <c r="I460" s="357"/>
      <c r="J460" s="197"/>
      <c r="K460" s="198"/>
      <c r="L460" s="198"/>
      <c r="M460" s="193"/>
      <c r="N460" s="357">
        <f>-N431</f>
        <v>-441</v>
      </c>
      <c r="O460" s="197"/>
      <c r="P460" s="198"/>
      <c r="Q460" s="198"/>
      <c r="R460" s="193"/>
      <c r="S460" s="357">
        <f>-S431</f>
        <v>-366</v>
      </c>
      <c r="T460" s="197"/>
      <c r="U460" s="198"/>
      <c r="V460" s="198"/>
      <c r="W460" s="193"/>
      <c r="X460" s="357">
        <f>-X431</f>
        <v>-349</v>
      </c>
      <c r="Y460" s="174"/>
      <c r="Z460" s="175"/>
      <c r="AA460" s="175"/>
      <c r="AB460" s="176"/>
      <c r="AC460" s="357"/>
      <c r="AD460" s="249"/>
      <c r="AE460" s="175"/>
      <c r="AF460" s="175"/>
      <c r="AG460" s="176"/>
      <c r="AH460" s="107"/>
      <c r="AI460" s="249"/>
      <c r="AJ460" s="175"/>
      <c r="AK460" s="175"/>
      <c r="AL460" s="176"/>
      <c r="AM460" s="107"/>
      <c r="AN460" s="249"/>
      <c r="AO460" s="175"/>
      <c r="AP460" s="175"/>
      <c r="AQ460" s="176"/>
      <c r="AR460" s="107"/>
      <c r="AS460" s="249"/>
      <c r="AT460" s="175"/>
      <c r="AU460" s="175"/>
      <c r="AV460" s="176"/>
      <c r="AW460" s="107"/>
      <c r="AX460" s="174">
        <f>-AX431</f>
        <v>-58.75</v>
      </c>
      <c r="AY460" s="175">
        <f>-AY431</f>
        <v>-58.75</v>
      </c>
      <c r="AZ460" s="175">
        <f>-AZ431</f>
        <v>-58.75</v>
      </c>
      <c r="BA460" s="176">
        <f>-BA431</f>
        <v>-58.75</v>
      </c>
      <c r="BB460" s="107">
        <f>SUM(AX460:BA460)</f>
        <v>-235</v>
      </c>
      <c r="BC460" s="174">
        <f>-BC431</f>
        <v>-18.75</v>
      </c>
      <c r="BD460" s="175">
        <f>-BD431</f>
        <v>-18.75</v>
      </c>
      <c r="BE460" s="175">
        <f>-BE431</f>
        <v>-18.75</v>
      </c>
      <c r="BF460" s="176">
        <f>-BF431</f>
        <v>-18.75</v>
      </c>
      <c r="BG460" s="107">
        <f>SUM(BC460:BF460)</f>
        <v>-75</v>
      </c>
      <c r="BH460" s="174">
        <f>-BH431</f>
        <v>-8.75</v>
      </c>
      <c r="BI460" s="175">
        <f>-BI431</f>
        <v>-8.75</v>
      </c>
      <c r="BJ460" s="175">
        <f>-BJ431</f>
        <v>-8.75</v>
      </c>
      <c r="BK460" s="176">
        <f>-BK431</f>
        <v>-8.75</v>
      </c>
      <c r="BL460" s="107">
        <f>SUM(BH460:BK460)</f>
        <v>-35</v>
      </c>
      <c r="BM460" s="174">
        <f>-BM431</f>
        <v>-6.25</v>
      </c>
      <c r="BN460" s="175">
        <f>-BN431</f>
        <v>-6.25</v>
      </c>
      <c r="BO460" s="175">
        <f>-BO431</f>
        <v>-6.25</v>
      </c>
      <c r="BP460" s="176">
        <f>-BP431</f>
        <v>-6.25</v>
      </c>
      <c r="BQ460" s="107">
        <f>SUM(BM460:BP460)</f>
        <v>-25</v>
      </c>
      <c r="BR460" s="107"/>
      <c r="BS460" s="1496"/>
      <c r="BT460" s="1496"/>
      <c r="BU460" s="1496"/>
      <c r="BV460" s="1496"/>
    </row>
    <row r="461" spans="1:74">
      <c r="A461" s="320"/>
      <c r="B461" s="320"/>
      <c r="C461" s="1125" t="s">
        <v>102</v>
      </c>
      <c r="D461" s="320"/>
      <c r="E461" s="321"/>
      <c r="F461" s="322"/>
      <c r="G461" s="322"/>
      <c r="H461" s="323"/>
      <c r="I461" s="357"/>
      <c r="J461" s="197"/>
      <c r="K461" s="198"/>
      <c r="L461" s="198"/>
      <c r="M461" s="193"/>
      <c r="N461" s="357"/>
      <c r="O461" s="197"/>
      <c r="P461" s="198"/>
      <c r="Q461" s="198"/>
      <c r="R461" s="193"/>
      <c r="S461" s="107"/>
      <c r="T461" s="197"/>
      <c r="U461" s="198"/>
      <c r="V461" s="198"/>
      <c r="W461" s="193"/>
      <c r="X461" s="107"/>
      <c r="Y461" s="183"/>
      <c r="Z461" s="184"/>
      <c r="AA461" s="184"/>
      <c r="AB461" s="185"/>
      <c r="AC461" s="107"/>
      <c r="AD461" s="183"/>
      <c r="AE461" s="184"/>
      <c r="AF461" s="184"/>
      <c r="AG461" s="185"/>
      <c r="AH461" s="107"/>
      <c r="AI461" s="183"/>
      <c r="AJ461" s="184"/>
      <c r="AK461" s="184"/>
      <c r="AL461" s="185"/>
      <c r="AM461" s="107"/>
      <c r="AN461" s="183"/>
      <c r="AO461" s="184"/>
      <c r="AP461" s="184"/>
      <c r="AQ461" s="185"/>
      <c r="AR461" s="107"/>
      <c r="AS461" s="183"/>
      <c r="AT461" s="184"/>
      <c r="AU461" s="184"/>
      <c r="AV461" s="185"/>
      <c r="AW461" s="107"/>
      <c r="AX461" s="183">
        <v>0</v>
      </c>
      <c r="AY461" s="184">
        <v>0</v>
      </c>
      <c r="AZ461" s="184">
        <v>0</v>
      </c>
      <c r="BA461" s="185">
        <v>0</v>
      </c>
      <c r="BB461" s="107">
        <f>SUM(AX461:BA461)</f>
        <v>0</v>
      </c>
      <c r="BC461" s="183">
        <v>0</v>
      </c>
      <c r="BD461" s="184">
        <v>0</v>
      </c>
      <c r="BE461" s="184">
        <v>0</v>
      </c>
      <c r="BF461" s="185">
        <v>0</v>
      </c>
      <c r="BG461" s="107">
        <f>SUM(BC461:BF461)</f>
        <v>0</v>
      </c>
      <c r="BH461" s="183">
        <v>0</v>
      </c>
      <c r="BI461" s="184">
        <v>0</v>
      </c>
      <c r="BJ461" s="184">
        <v>0</v>
      </c>
      <c r="BK461" s="185">
        <v>0</v>
      </c>
      <c r="BL461" s="107">
        <f>SUM(BH461:BK461)</f>
        <v>0</v>
      </c>
      <c r="BM461" s="183">
        <v>0</v>
      </c>
      <c r="BN461" s="184">
        <v>0</v>
      </c>
      <c r="BO461" s="184">
        <v>0</v>
      </c>
      <c r="BP461" s="185">
        <v>0</v>
      </c>
      <c r="BQ461" s="107">
        <f>SUM(BM461:BP461)</f>
        <v>0</v>
      </c>
      <c r="BR461" s="107"/>
      <c r="BS461" s="1496"/>
      <c r="BT461" s="1496"/>
      <c r="BU461" s="1496"/>
      <c r="BV461" s="1496"/>
    </row>
    <row r="462" spans="1:74">
      <c r="A462" s="327"/>
      <c r="B462" s="327"/>
      <c r="C462" s="1128" t="s">
        <v>361</v>
      </c>
      <c r="D462" s="327"/>
      <c r="E462" s="335"/>
      <c r="F462" s="336"/>
      <c r="G462" s="336"/>
      <c r="H462" s="337"/>
      <c r="I462" s="110"/>
      <c r="J462" s="180"/>
      <c r="K462" s="181"/>
      <c r="L462" s="181"/>
      <c r="M462" s="182"/>
      <c r="N462" s="110"/>
      <c r="O462" s="180"/>
      <c r="P462" s="181"/>
      <c r="Q462" s="181"/>
      <c r="R462" s="182"/>
      <c r="S462" s="110"/>
      <c r="T462" s="180"/>
      <c r="U462" s="181"/>
      <c r="V462" s="181"/>
      <c r="W462" s="182"/>
      <c r="X462" s="110"/>
      <c r="Y462" s="180"/>
      <c r="Z462" s="181"/>
      <c r="AA462" s="181"/>
      <c r="AB462" s="182"/>
      <c r="AC462" s="110"/>
      <c r="AD462" s="180"/>
      <c r="AE462" s="181"/>
      <c r="AF462" s="181"/>
      <c r="AG462" s="182"/>
      <c r="AH462" s="110"/>
      <c r="AI462" s="180"/>
      <c r="AJ462" s="181"/>
      <c r="AK462" s="181"/>
      <c r="AL462" s="182"/>
      <c r="AM462" s="110"/>
      <c r="AN462" s="180"/>
      <c r="AO462" s="181"/>
      <c r="AP462" s="181"/>
      <c r="AQ462" s="182"/>
      <c r="AR462" s="110"/>
      <c r="AS462" s="180"/>
      <c r="AT462" s="181"/>
      <c r="AU462" s="181"/>
      <c r="AV462" s="182"/>
      <c r="AW462" s="110"/>
      <c r="AX462" s="180">
        <f t="shared" ref="AX462:BB462" si="1221">+SUM(AX460:AX461)</f>
        <v>-58.75</v>
      </c>
      <c r="AY462" s="181">
        <f t="shared" si="1221"/>
        <v>-58.75</v>
      </c>
      <c r="AZ462" s="181">
        <f t="shared" si="1221"/>
        <v>-58.75</v>
      </c>
      <c r="BA462" s="182">
        <f t="shared" si="1221"/>
        <v>-58.75</v>
      </c>
      <c r="BB462" s="110">
        <f t="shared" si="1221"/>
        <v>-235</v>
      </c>
      <c r="BC462" s="180">
        <f t="shared" ref="BC462:BL462" si="1222">+SUM(BC460:BC461)</f>
        <v>-18.75</v>
      </c>
      <c r="BD462" s="181">
        <f t="shared" si="1222"/>
        <v>-18.75</v>
      </c>
      <c r="BE462" s="181">
        <f t="shared" si="1222"/>
        <v>-18.75</v>
      </c>
      <c r="BF462" s="182">
        <f t="shared" si="1222"/>
        <v>-18.75</v>
      </c>
      <c r="BG462" s="110">
        <f t="shared" si="1222"/>
        <v>-75</v>
      </c>
      <c r="BH462" s="180">
        <f t="shared" si="1222"/>
        <v>-8.75</v>
      </c>
      <c r="BI462" s="181">
        <f t="shared" si="1222"/>
        <v>-8.75</v>
      </c>
      <c r="BJ462" s="181">
        <f t="shared" si="1222"/>
        <v>-8.75</v>
      </c>
      <c r="BK462" s="182">
        <f t="shared" si="1222"/>
        <v>-8.75</v>
      </c>
      <c r="BL462" s="110">
        <f t="shared" si="1222"/>
        <v>-35</v>
      </c>
      <c r="BM462" s="180">
        <f t="shared" ref="BM462:BQ462" si="1223">+SUM(BM460:BM461)</f>
        <v>-6.25</v>
      </c>
      <c r="BN462" s="181">
        <f t="shared" si="1223"/>
        <v>-6.25</v>
      </c>
      <c r="BO462" s="181">
        <f t="shared" si="1223"/>
        <v>-6.25</v>
      </c>
      <c r="BP462" s="182">
        <f t="shared" si="1223"/>
        <v>-6.25</v>
      </c>
      <c r="BQ462" s="110">
        <f t="shared" si="1223"/>
        <v>-25</v>
      </c>
      <c r="BR462" s="110"/>
      <c r="BS462" s="939"/>
      <c r="BT462" s="939"/>
      <c r="BU462" s="939"/>
      <c r="BV462" s="939"/>
    </row>
    <row r="463" spans="1:74">
      <c r="A463" s="320"/>
      <c r="B463" s="320"/>
      <c r="C463" s="1125"/>
      <c r="D463" s="320"/>
      <c r="E463" s="321"/>
      <c r="F463" s="322"/>
      <c r="G463" s="322"/>
      <c r="H463" s="323"/>
      <c r="I463" s="357"/>
      <c r="J463" s="197"/>
      <c r="K463" s="198"/>
      <c r="L463" s="198"/>
      <c r="M463" s="193"/>
      <c r="N463" s="357"/>
      <c r="O463" s="197"/>
      <c r="P463" s="198"/>
      <c r="Q463" s="198"/>
      <c r="R463" s="193"/>
      <c r="S463" s="107"/>
      <c r="T463" s="197"/>
      <c r="U463" s="198"/>
      <c r="V463" s="198"/>
      <c r="W463" s="193"/>
      <c r="X463" s="107"/>
      <c r="Y463" s="174"/>
      <c r="Z463" s="175"/>
      <c r="AA463" s="175"/>
      <c r="AB463" s="176"/>
      <c r="AC463" s="107"/>
      <c r="AD463" s="174"/>
      <c r="AE463" s="175"/>
      <c r="AF463" s="175"/>
      <c r="AG463" s="176"/>
      <c r="AH463" s="107"/>
      <c r="AI463" s="174"/>
      <c r="AJ463" s="175"/>
      <c r="AK463" s="175"/>
      <c r="AL463" s="176"/>
      <c r="AM463" s="107"/>
      <c r="AN463" s="174"/>
      <c r="AO463" s="175"/>
      <c r="AP463" s="175"/>
      <c r="AQ463" s="176"/>
      <c r="AR463" s="107"/>
      <c r="AS463" s="174"/>
      <c r="AT463" s="175"/>
      <c r="AU463" s="175"/>
      <c r="AV463" s="176"/>
      <c r="AW463" s="107"/>
      <c r="AX463" s="174"/>
      <c r="AY463" s="175"/>
      <c r="AZ463" s="175"/>
      <c r="BA463" s="176"/>
      <c r="BB463" s="107"/>
      <c r="BC463" s="174"/>
      <c r="BD463" s="175"/>
      <c r="BE463" s="175"/>
      <c r="BF463" s="176"/>
      <c r="BG463" s="107"/>
      <c r="BH463" s="174"/>
      <c r="BI463" s="175"/>
      <c r="BJ463" s="175"/>
      <c r="BK463" s="176"/>
      <c r="BL463" s="107"/>
      <c r="BM463" s="174"/>
      <c r="BN463" s="175"/>
      <c r="BO463" s="175"/>
      <c r="BP463" s="176"/>
      <c r="BQ463" s="107"/>
      <c r="BR463" s="107"/>
      <c r="BS463" s="1496"/>
      <c r="BT463" s="1496"/>
      <c r="BU463" s="1496"/>
      <c r="BV463" s="1496"/>
    </row>
    <row r="464" spans="1:74">
      <c r="A464" s="320"/>
      <c r="B464" s="320"/>
      <c r="C464" s="1127" t="s">
        <v>457</v>
      </c>
      <c r="D464" s="320"/>
      <c r="E464" s="321"/>
      <c r="F464" s="322"/>
      <c r="G464" s="322"/>
      <c r="H464" s="323"/>
      <c r="I464" s="357"/>
      <c r="J464" s="197"/>
      <c r="K464" s="198"/>
      <c r="L464" s="198"/>
      <c r="M464" s="193"/>
      <c r="N464" s="357"/>
      <c r="O464" s="197"/>
      <c r="P464" s="198"/>
      <c r="Q464" s="198"/>
      <c r="R464" s="193"/>
      <c r="S464" s="107"/>
      <c r="T464" s="197"/>
      <c r="U464" s="198"/>
      <c r="V464" s="198"/>
      <c r="W464" s="193"/>
      <c r="X464" s="107"/>
      <c r="Y464" s="174"/>
      <c r="Z464" s="175"/>
      <c r="AA464" s="175"/>
      <c r="AB464" s="176"/>
      <c r="AC464" s="107"/>
      <c r="AD464" s="174"/>
      <c r="AE464" s="175"/>
      <c r="AF464" s="175"/>
      <c r="AG464" s="176"/>
      <c r="AH464" s="107"/>
      <c r="AI464" s="174"/>
      <c r="AJ464" s="175"/>
      <c r="AK464" s="175"/>
      <c r="AL464" s="176"/>
      <c r="AM464" s="107"/>
      <c r="AN464" s="174"/>
      <c r="AO464" s="175"/>
      <c r="AP464" s="175"/>
      <c r="AQ464" s="176"/>
      <c r="AR464" s="107"/>
      <c r="AS464" s="174"/>
      <c r="AT464" s="175"/>
      <c r="AU464" s="175"/>
      <c r="AV464" s="176"/>
      <c r="AW464" s="107"/>
      <c r="AX464" s="174">
        <f t="shared" ref="AX464:BA465" si="1224">+AX441</f>
        <v>0</v>
      </c>
      <c r="AY464" s="175">
        <f t="shared" si="1224"/>
        <v>0</v>
      </c>
      <c r="AZ464" s="175">
        <f t="shared" si="1224"/>
        <v>0</v>
      </c>
      <c r="BA464" s="176">
        <f t="shared" si="1224"/>
        <v>0</v>
      </c>
      <c r="BB464" s="107">
        <f>SUM(AX464:BA464)</f>
        <v>0</v>
      </c>
      <c r="BC464" s="174">
        <f t="shared" ref="BC464:BF464" si="1225">+BC441</f>
        <v>0</v>
      </c>
      <c r="BD464" s="175">
        <f t="shared" si="1225"/>
        <v>0</v>
      </c>
      <c r="BE464" s="175">
        <f t="shared" si="1225"/>
        <v>0</v>
      </c>
      <c r="BF464" s="176">
        <f t="shared" si="1225"/>
        <v>0</v>
      </c>
      <c r="BG464" s="107">
        <f>SUM(BC464:BF464)</f>
        <v>0</v>
      </c>
      <c r="BH464" s="174">
        <f t="shared" ref="BH464:BK464" si="1226">+BH441</f>
        <v>0</v>
      </c>
      <c r="BI464" s="175">
        <f t="shared" si="1226"/>
        <v>0</v>
      </c>
      <c r="BJ464" s="175">
        <f t="shared" si="1226"/>
        <v>0</v>
      </c>
      <c r="BK464" s="176">
        <f t="shared" si="1226"/>
        <v>0</v>
      </c>
      <c r="BL464" s="107">
        <f>SUM(BH464:BK464)</f>
        <v>0</v>
      </c>
      <c r="BM464" s="174">
        <f t="shared" ref="BM464:BP464" si="1227">+BM441</f>
        <v>0</v>
      </c>
      <c r="BN464" s="175">
        <f t="shared" si="1227"/>
        <v>0</v>
      </c>
      <c r="BO464" s="175">
        <f t="shared" si="1227"/>
        <v>0</v>
      </c>
      <c r="BP464" s="176">
        <f t="shared" si="1227"/>
        <v>0</v>
      </c>
      <c r="BQ464" s="107">
        <f>SUM(BM464:BP464)</f>
        <v>0</v>
      </c>
      <c r="BR464" s="107"/>
      <c r="BS464" s="1496"/>
      <c r="BT464" s="1496"/>
      <c r="BU464" s="1496"/>
      <c r="BV464" s="1496"/>
    </row>
    <row r="465" spans="1:74">
      <c r="A465" s="320"/>
      <c r="B465" s="320"/>
      <c r="C465" s="1127" t="s">
        <v>132</v>
      </c>
      <c r="D465" s="320"/>
      <c r="E465" s="321"/>
      <c r="F465" s="322"/>
      <c r="G465" s="322"/>
      <c r="H465" s="323"/>
      <c r="I465" s="357"/>
      <c r="J465" s="197"/>
      <c r="K465" s="198"/>
      <c r="L465" s="198"/>
      <c r="M465" s="193"/>
      <c r="N465" s="357"/>
      <c r="O465" s="197"/>
      <c r="P465" s="198"/>
      <c r="Q465" s="198"/>
      <c r="R465" s="193"/>
      <c r="S465" s="107"/>
      <c r="T465" s="197"/>
      <c r="U465" s="198"/>
      <c r="V465" s="198"/>
      <c r="W465" s="193"/>
      <c r="X465" s="107"/>
      <c r="Y465" s="174"/>
      <c r="Z465" s="175"/>
      <c r="AA465" s="175"/>
      <c r="AB465" s="176"/>
      <c r="AC465" s="107"/>
      <c r="AD465" s="174"/>
      <c r="AE465" s="175"/>
      <c r="AF465" s="175"/>
      <c r="AG465" s="176"/>
      <c r="AH465" s="107"/>
      <c r="AI465" s="174"/>
      <c r="AJ465" s="175"/>
      <c r="AK465" s="175"/>
      <c r="AL465" s="176"/>
      <c r="AM465" s="107"/>
      <c r="AN465" s="174"/>
      <c r="AO465" s="175"/>
      <c r="AP465" s="175"/>
      <c r="AQ465" s="176"/>
      <c r="AR465" s="107"/>
      <c r="AS465" s="174"/>
      <c r="AT465" s="175"/>
      <c r="AU465" s="175"/>
      <c r="AV465" s="176"/>
      <c r="AW465" s="107"/>
      <c r="AX465" s="174">
        <f t="shared" si="1224"/>
        <v>0</v>
      </c>
      <c r="AY465" s="175">
        <f t="shared" si="1224"/>
        <v>0</v>
      </c>
      <c r="AZ465" s="175">
        <f t="shared" si="1224"/>
        <v>0</v>
      </c>
      <c r="BA465" s="176">
        <f t="shared" si="1224"/>
        <v>0</v>
      </c>
      <c r="BB465" s="107">
        <f>SUM(AX465:BA465)</f>
        <v>0</v>
      </c>
      <c r="BC465" s="174">
        <f t="shared" ref="BC465:BF465" si="1228">+BC442</f>
        <v>0</v>
      </c>
      <c r="BD465" s="175">
        <f t="shared" si="1228"/>
        <v>0</v>
      </c>
      <c r="BE465" s="175">
        <f t="shared" si="1228"/>
        <v>0</v>
      </c>
      <c r="BF465" s="176">
        <f t="shared" si="1228"/>
        <v>0</v>
      </c>
      <c r="BG465" s="107">
        <f>SUM(BC465:BF465)</f>
        <v>0</v>
      </c>
      <c r="BH465" s="174">
        <f t="shared" ref="BH465:BK465" si="1229">+BH442</f>
        <v>0</v>
      </c>
      <c r="BI465" s="175">
        <f t="shared" si="1229"/>
        <v>0</v>
      </c>
      <c r="BJ465" s="175">
        <f t="shared" si="1229"/>
        <v>0</v>
      </c>
      <c r="BK465" s="176">
        <f t="shared" si="1229"/>
        <v>0</v>
      </c>
      <c r="BL465" s="107">
        <f>SUM(BH465:BK465)</f>
        <v>0</v>
      </c>
      <c r="BM465" s="174">
        <f t="shared" ref="BM465:BP465" si="1230">+BM442</f>
        <v>0</v>
      </c>
      <c r="BN465" s="175">
        <f t="shared" si="1230"/>
        <v>0</v>
      </c>
      <c r="BO465" s="175">
        <f t="shared" si="1230"/>
        <v>0</v>
      </c>
      <c r="BP465" s="176">
        <f t="shared" si="1230"/>
        <v>0</v>
      </c>
      <c r="BQ465" s="107">
        <f>SUM(BM465:BP465)</f>
        <v>0</v>
      </c>
      <c r="BR465" s="107"/>
      <c r="BS465" s="1496"/>
      <c r="BT465" s="1496"/>
      <c r="BU465" s="1496"/>
      <c r="BV465" s="1496"/>
    </row>
    <row r="466" spans="1:74">
      <c r="A466" s="320"/>
      <c r="B466" s="320"/>
      <c r="C466" s="1125" t="s">
        <v>467</v>
      </c>
      <c r="D466" s="320"/>
      <c r="E466" s="321"/>
      <c r="F466" s="322"/>
      <c r="G466" s="322"/>
      <c r="H466" s="323"/>
      <c r="I466" s="357"/>
      <c r="J466" s="197"/>
      <c r="K466" s="198"/>
      <c r="L466" s="198"/>
      <c r="M466" s="193"/>
      <c r="N466" s="357"/>
      <c r="O466" s="197"/>
      <c r="P466" s="198"/>
      <c r="Q466" s="198"/>
      <c r="R466" s="193"/>
      <c r="S466" s="107"/>
      <c r="T466" s="197"/>
      <c r="U466" s="198"/>
      <c r="V466" s="198"/>
      <c r="W466" s="193"/>
      <c r="X466" s="107"/>
      <c r="Y466" s="183"/>
      <c r="Z466" s="184"/>
      <c r="AA466" s="184"/>
      <c r="AB466" s="185"/>
      <c r="AC466" s="107"/>
      <c r="AD466" s="183"/>
      <c r="AE466" s="184"/>
      <c r="AF466" s="184"/>
      <c r="AG466" s="185"/>
      <c r="AH466" s="107"/>
      <c r="AI466" s="183"/>
      <c r="AJ466" s="184"/>
      <c r="AK466" s="184"/>
      <c r="AL466" s="185"/>
      <c r="AM466" s="107"/>
      <c r="AN466" s="183"/>
      <c r="AO466" s="184"/>
      <c r="AP466" s="184"/>
      <c r="AQ466" s="185"/>
      <c r="AR466" s="107"/>
      <c r="AS466" s="183"/>
      <c r="AT466" s="184"/>
      <c r="AU466" s="184"/>
      <c r="AV466" s="185"/>
      <c r="AW466" s="107"/>
      <c r="AX466" s="183">
        <v>0</v>
      </c>
      <c r="AY466" s="184">
        <v>0</v>
      </c>
      <c r="AZ466" s="184">
        <v>0</v>
      </c>
      <c r="BA466" s="185">
        <v>0</v>
      </c>
      <c r="BB466" s="107">
        <f>+SUM(AX466:BA466)</f>
        <v>0</v>
      </c>
      <c r="BC466" s="183">
        <v>0</v>
      </c>
      <c r="BD466" s="184">
        <v>0</v>
      </c>
      <c r="BE466" s="184">
        <v>0</v>
      </c>
      <c r="BF466" s="185">
        <v>0</v>
      </c>
      <c r="BG466" s="107">
        <f>+SUM(BC466:BF466)</f>
        <v>0</v>
      </c>
      <c r="BH466" s="183">
        <v>0</v>
      </c>
      <c r="BI466" s="184">
        <v>0</v>
      </c>
      <c r="BJ466" s="184">
        <v>0</v>
      </c>
      <c r="BK466" s="185">
        <v>0</v>
      </c>
      <c r="BL466" s="107">
        <f>+SUM(BH466:BK466)</f>
        <v>0</v>
      </c>
      <c r="BM466" s="183">
        <v>0</v>
      </c>
      <c r="BN466" s="184">
        <v>0</v>
      </c>
      <c r="BO466" s="184">
        <v>0</v>
      </c>
      <c r="BP466" s="185">
        <v>0</v>
      </c>
      <c r="BQ466" s="107">
        <f>+SUM(BM466:BP466)</f>
        <v>0</v>
      </c>
      <c r="BR466" s="107"/>
      <c r="BS466" s="1496"/>
      <c r="BT466" s="1496"/>
      <c r="BU466" s="1496"/>
      <c r="BV466" s="1496"/>
    </row>
    <row r="467" spans="1:74">
      <c r="A467" s="320"/>
      <c r="B467" s="320"/>
      <c r="C467" s="1125" t="s">
        <v>618</v>
      </c>
      <c r="D467" s="320"/>
      <c r="E467" s="321"/>
      <c r="F467" s="322"/>
      <c r="G467" s="322"/>
      <c r="H467" s="323"/>
      <c r="I467" s="357"/>
      <c r="J467" s="197"/>
      <c r="K467" s="198"/>
      <c r="L467" s="198"/>
      <c r="M467" s="193"/>
      <c r="N467" s="357"/>
      <c r="O467" s="197"/>
      <c r="P467" s="198"/>
      <c r="Q467" s="198"/>
      <c r="R467" s="193"/>
      <c r="S467" s="107"/>
      <c r="T467" s="197"/>
      <c r="U467" s="198"/>
      <c r="V467" s="198"/>
      <c r="W467" s="193"/>
      <c r="X467" s="107"/>
      <c r="Y467" s="177"/>
      <c r="Z467" s="178"/>
      <c r="AA467" s="178"/>
      <c r="AB467" s="179"/>
      <c r="AC467" s="108"/>
      <c r="AD467" s="177"/>
      <c r="AE467" s="178"/>
      <c r="AF467" s="178"/>
      <c r="AG467" s="179"/>
      <c r="AH467" s="108"/>
      <c r="AI467" s="177"/>
      <c r="AJ467" s="178"/>
      <c r="AK467" s="178"/>
      <c r="AL467" s="179"/>
      <c r="AM467" s="108"/>
      <c r="AN467" s="177"/>
      <c r="AO467" s="178"/>
      <c r="AP467" s="178"/>
      <c r="AQ467" s="179"/>
      <c r="AR467" s="108"/>
      <c r="AS467" s="177"/>
      <c r="AT467" s="178"/>
      <c r="AU467" s="178"/>
      <c r="AV467" s="179"/>
      <c r="AW467" s="108"/>
      <c r="AX467" s="177">
        <f>+BB467/4</f>
        <v>0</v>
      </c>
      <c r="AY467" s="178">
        <f>+(BB467-SUM(AX467))/3</f>
        <v>0</v>
      </c>
      <c r="AZ467" s="178">
        <f>(BB467-SUM(AX467:AY467))/2</f>
        <v>0</v>
      </c>
      <c r="BA467" s="179">
        <f>(BB467-SUM(AX467:AZ467))/1</f>
        <v>0</v>
      </c>
      <c r="BB467" s="108">
        <v>0</v>
      </c>
      <c r="BC467" s="177">
        <f>+BG467/4</f>
        <v>0</v>
      </c>
      <c r="BD467" s="178">
        <f>+(BG467-SUM(BC467))/3</f>
        <v>0</v>
      </c>
      <c r="BE467" s="178">
        <f>(BG467-SUM(BC467:BD467))/2</f>
        <v>0</v>
      </c>
      <c r="BF467" s="179">
        <f>(BG467-SUM(BC467:BE467))/1</f>
        <v>0</v>
      </c>
      <c r="BG467" s="108">
        <v>0</v>
      </c>
      <c r="BH467" s="177">
        <f>+BL467/4</f>
        <v>0</v>
      </c>
      <c r="BI467" s="178">
        <f>+(BL467-SUM(BH467))/3</f>
        <v>0</v>
      </c>
      <c r="BJ467" s="178">
        <f>(BL467-SUM(BH467:BI467))/2</f>
        <v>0</v>
      </c>
      <c r="BK467" s="179">
        <f>(BL467-SUM(BH467:BJ467))/1</f>
        <v>0</v>
      </c>
      <c r="BL467" s="108">
        <v>0</v>
      </c>
      <c r="BM467" s="177">
        <f>+BQ467/4</f>
        <v>0</v>
      </c>
      <c r="BN467" s="178">
        <f>+(BQ467-SUM(BM467))/3</f>
        <v>0</v>
      </c>
      <c r="BO467" s="178">
        <f>(BQ467-SUM(BM467:BN467))/2</f>
        <v>0</v>
      </c>
      <c r="BP467" s="179">
        <f>(BQ467-SUM(BM467:BO467))/1</f>
        <v>0</v>
      </c>
      <c r="BQ467" s="108">
        <v>0</v>
      </c>
      <c r="BR467" s="108"/>
      <c r="BS467" s="1496"/>
      <c r="BT467" s="1496"/>
      <c r="BU467" s="1496"/>
      <c r="BV467" s="1496"/>
    </row>
    <row r="468" spans="1:74">
      <c r="A468" s="320"/>
      <c r="B468" s="320"/>
      <c r="C468" s="1125" t="s">
        <v>363</v>
      </c>
      <c r="D468" s="320"/>
      <c r="E468" s="321"/>
      <c r="F468" s="322"/>
      <c r="G468" s="322"/>
      <c r="H468" s="323"/>
      <c r="I468" s="357"/>
      <c r="J468" s="197"/>
      <c r="K468" s="198"/>
      <c r="L468" s="198"/>
      <c r="M468" s="193"/>
      <c r="N468" s="357"/>
      <c r="O468" s="197"/>
      <c r="P468" s="198"/>
      <c r="Q468" s="198"/>
      <c r="R468" s="193"/>
      <c r="S468" s="107"/>
      <c r="T468" s="197"/>
      <c r="U468" s="198"/>
      <c r="V468" s="198"/>
      <c r="W468" s="193"/>
      <c r="X468" s="107"/>
      <c r="Y468" s="183"/>
      <c r="Z468" s="184"/>
      <c r="AA468" s="184"/>
      <c r="AB468" s="185"/>
      <c r="AC468" s="107"/>
      <c r="AD468" s="183"/>
      <c r="AE468" s="184"/>
      <c r="AF468" s="184"/>
      <c r="AG468" s="185"/>
      <c r="AH468" s="107"/>
      <c r="AI468" s="183"/>
      <c r="AJ468" s="184"/>
      <c r="AK468" s="184"/>
      <c r="AL468" s="185"/>
      <c r="AM468" s="107"/>
      <c r="AN468" s="183"/>
      <c r="AO468" s="184"/>
      <c r="AP468" s="184"/>
      <c r="AQ468" s="185"/>
      <c r="AR468" s="107"/>
      <c r="AS468" s="183"/>
      <c r="AT468" s="184"/>
      <c r="AU468" s="184"/>
      <c r="AV468" s="185"/>
      <c r="AW468" s="107"/>
      <c r="AX468" s="183">
        <v>0</v>
      </c>
      <c r="AY468" s="184">
        <v>0</v>
      </c>
      <c r="AZ468" s="184">
        <v>0</v>
      </c>
      <c r="BA468" s="185">
        <v>0</v>
      </c>
      <c r="BB468" s="107">
        <f>+SUM(AX468:BA468)</f>
        <v>0</v>
      </c>
      <c r="BC468" s="183">
        <v>0</v>
      </c>
      <c r="BD468" s="184">
        <v>0</v>
      </c>
      <c r="BE468" s="184">
        <v>0</v>
      </c>
      <c r="BF468" s="185">
        <v>0</v>
      </c>
      <c r="BG468" s="107">
        <f>+SUM(BC468:BF468)</f>
        <v>0</v>
      </c>
      <c r="BH468" s="183">
        <v>0</v>
      </c>
      <c r="BI468" s="184">
        <v>0</v>
      </c>
      <c r="BJ468" s="184">
        <v>0</v>
      </c>
      <c r="BK468" s="185">
        <v>0</v>
      </c>
      <c r="BL468" s="107">
        <f>+SUM(BH468:BK468)</f>
        <v>0</v>
      </c>
      <c r="BM468" s="183">
        <v>0</v>
      </c>
      <c r="BN468" s="184">
        <v>0</v>
      </c>
      <c r="BO468" s="184">
        <v>0</v>
      </c>
      <c r="BP468" s="185">
        <v>0</v>
      </c>
      <c r="BQ468" s="107">
        <f>+SUM(BM468:BP468)</f>
        <v>0</v>
      </c>
      <c r="BR468" s="107"/>
      <c r="BS468" s="1496"/>
      <c r="BT468" s="1496"/>
      <c r="BU468" s="1496"/>
      <c r="BV468" s="1496"/>
    </row>
    <row r="469" spans="1:74">
      <c r="A469" s="320"/>
      <c r="B469" s="320"/>
      <c r="C469" s="1128" t="s">
        <v>364</v>
      </c>
      <c r="D469" s="320"/>
      <c r="E469" s="321"/>
      <c r="F469" s="322"/>
      <c r="G469" s="322"/>
      <c r="H469" s="323"/>
      <c r="I469" s="357"/>
      <c r="J469" s="197"/>
      <c r="K469" s="198"/>
      <c r="L469" s="198"/>
      <c r="M469" s="193"/>
      <c r="N469" s="357"/>
      <c r="O469" s="197"/>
      <c r="P469" s="198"/>
      <c r="Q469" s="198"/>
      <c r="R469" s="193"/>
      <c r="S469" s="44"/>
      <c r="T469" s="197"/>
      <c r="U469" s="198"/>
      <c r="V469" s="198"/>
      <c r="W469" s="193"/>
      <c r="X469" s="44"/>
      <c r="Y469" s="174"/>
      <c r="Z469" s="175"/>
      <c r="AA469" s="175"/>
      <c r="AB469" s="176"/>
      <c r="AC469" s="44"/>
      <c r="AD469" s="174"/>
      <c r="AE469" s="175"/>
      <c r="AF469" s="175"/>
      <c r="AG469" s="176"/>
      <c r="AH469" s="44"/>
      <c r="AI469" s="174"/>
      <c r="AJ469" s="175"/>
      <c r="AK469" s="175"/>
      <c r="AL469" s="176"/>
      <c r="AM469" s="44"/>
      <c r="AN469" s="174"/>
      <c r="AO469" s="175"/>
      <c r="AP469" s="175"/>
      <c r="AQ469" s="176"/>
      <c r="AR469" s="44"/>
      <c r="AS469" s="174"/>
      <c r="AT469" s="175"/>
      <c r="AU469" s="175"/>
      <c r="AV469" s="176"/>
      <c r="AW469" s="44"/>
      <c r="AX469" s="174">
        <f t="shared" ref="AX469:BB469" si="1231">SUM(AX465:AX468)</f>
        <v>0</v>
      </c>
      <c r="AY469" s="175">
        <f t="shared" si="1231"/>
        <v>0</v>
      </c>
      <c r="AZ469" s="175">
        <f t="shared" si="1231"/>
        <v>0</v>
      </c>
      <c r="BA469" s="176">
        <f t="shared" si="1231"/>
        <v>0</v>
      </c>
      <c r="BB469" s="44">
        <f t="shared" si="1231"/>
        <v>0</v>
      </c>
      <c r="BC469" s="174">
        <f t="shared" ref="BC469:BL469" si="1232">SUM(BC465:BC468)</f>
        <v>0</v>
      </c>
      <c r="BD469" s="175">
        <f t="shared" si="1232"/>
        <v>0</v>
      </c>
      <c r="BE469" s="175">
        <f t="shared" si="1232"/>
        <v>0</v>
      </c>
      <c r="BF469" s="176">
        <f t="shared" si="1232"/>
        <v>0</v>
      </c>
      <c r="BG469" s="44">
        <f t="shared" si="1232"/>
        <v>0</v>
      </c>
      <c r="BH469" s="174">
        <f t="shared" si="1232"/>
        <v>0</v>
      </c>
      <c r="BI469" s="175">
        <f t="shared" si="1232"/>
        <v>0</v>
      </c>
      <c r="BJ469" s="175">
        <f t="shared" si="1232"/>
        <v>0</v>
      </c>
      <c r="BK469" s="176">
        <f t="shared" si="1232"/>
        <v>0</v>
      </c>
      <c r="BL469" s="44">
        <f t="shared" si="1232"/>
        <v>0</v>
      </c>
      <c r="BM469" s="174">
        <f t="shared" ref="BM469:BQ469" si="1233">SUM(BM465:BM468)</f>
        <v>0</v>
      </c>
      <c r="BN469" s="175">
        <f t="shared" si="1233"/>
        <v>0</v>
      </c>
      <c r="BO469" s="175">
        <f t="shared" si="1233"/>
        <v>0</v>
      </c>
      <c r="BP469" s="176">
        <f t="shared" si="1233"/>
        <v>0</v>
      </c>
      <c r="BQ469" s="44">
        <f t="shared" si="1233"/>
        <v>0</v>
      </c>
      <c r="BR469" s="44"/>
      <c r="BS469" s="938"/>
      <c r="BT469" s="938"/>
      <c r="BU469" s="938"/>
      <c r="BV469" s="938"/>
    </row>
    <row r="470" spans="1:74">
      <c r="A470" s="320"/>
      <c r="B470" s="320"/>
      <c r="C470" s="1125"/>
      <c r="D470" s="320"/>
      <c r="E470" s="324"/>
      <c r="F470" s="325"/>
      <c r="G470" s="325"/>
      <c r="H470" s="326"/>
      <c r="I470" s="107"/>
      <c r="J470" s="174"/>
      <c r="K470" s="175"/>
      <c r="L470" s="175"/>
      <c r="M470" s="176"/>
      <c r="N470" s="107"/>
      <c r="O470" s="174"/>
      <c r="P470" s="175"/>
      <c r="Q470" s="175"/>
      <c r="R470" s="176"/>
      <c r="S470" s="107"/>
      <c r="T470" s="174"/>
      <c r="U470" s="175"/>
      <c r="V470" s="175"/>
      <c r="W470" s="176"/>
      <c r="X470" s="107"/>
      <c r="Y470" s="174"/>
      <c r="Z470" s="175"/>
      <c r="AA470" s="175"/>
      <c r="AB470" s="176"/>
      <c r="AC470" s="107"/>
      <c r="AD470" s="174"/>
      <c r="AE470" s="175"/>
      <c r="AF470" s="175"/>
      <c r="AG470" s="176"/>
      <c r="AH470" s="107"/>
      <c r="AI470" s="174"/>
      <c r="AJ470" s="175"/>
      <c r="AK470" s="175"/>
      <c r="AL470" s="176"/>
      <c r="AM470" s="107"/>
      <c r="AN470" s="174"/>
      <c r="AO470" s="175"/>
      <c r="AP470" s="175"/>
      <c r="AQ470" s="176"/>
      <c r="AR470" s="107"/>
      <c r="AS470" s="174"/>
      <c r="AT470" s="175"/>
      <c r="AU470" s="175"/>
      <c r="AV470" s="176"/>
      <c r="AW470" s="107"/>
      <c r="AX470" s="174"/>
      <c r="AY470" s="175"/>
      <c r="AZ470" s="175"/>
      <c r="BA470" s="176"/>
      <c r="BB470" s="107"/>
      <c r="BC470" s="174"/>
      <c r="BD470" s="175"/>
      <c r="BE470" s="175"/>
      <c r="BF470" s="176"/>
      <c r="BG470" s="107"/>
      <c r="BH470" s="174"/>
      <c r="BI470" s="175"/>
      <c r="BJ470" s="175"/>
      <c r="BK470" s="176"/>
      <c r="BL470" s="107"/>
      <c r="BM470" s="174"/>
      <c r="BN470" s="175"/>
      <c r="BO470" s="175"/>
      <c r="BP470" s="176"/>
      <c r="BQ470" s="107"/>
      <c r="BR470" s="107"/>
      <c r="BS470" s="1496"/>
      <c r="BT470" s="1496"/>
      <c r="BU470" s="1496"/>
      <c r="BV470" s="1496"/>
    </row>
    <row r="471" spans="1:74">
      <c r="A471" s="320"/>
      <c r="B471" s="320"/>
      <c r="C471" s="1128" t="s">
        <v>365</v>
      </c>
      <c r="D471" s="320"/>
      <c r="E471" s="335"/>
      <c r="F471" s="336"/>
      <c r="G471" s="336"/>
      <c r="H471" s="337"/>
      <c r="I471" s="110"/>
      <c r="J471" s="180"/>
      <c r="K471" s="181"/>
      <c r="L471" s="181"/>
      <c r="M471" s="182"/>
      <c r="N471" s="110"/>
      <c r="O471" s="180"/>
      <c r="P471" s="181"/>
      <c r="Q471" s="181"/>
      <c r="R471" s="182"/>
      <c r="S471" s="110"/>
      <c r="T471" s="180"/>
      <c r="U471" s="181"/>
      <c r="V471" s="181"/>
      <c r="W471" s="182"/>
      <c r="X471" s="110"/>
      <c r="Y471" s="180"/>
      <c r="Z471" s="181"/>
      <c r="AA471" s="181"/>
      <c r="AB471" s="182"/>
      <c r="AC471" s="110"/>
      <c r="AD471" s="180"/>
      <c r="AE471" s="181"/>
      <c r="AF471" s="181"/>
      <c r="AG471" s="182"/>
      <c r="AH471" s="110"/>
      <c r="AI471" s="180"/>
      <c r="AJ471" s="181"/>
      <c r="AK471" s="181"/>
      <c r="AL471" s="182"/>
      <c r="AM471" s="110"/>
      <c r="AN471" s="180"/>
      <c r="AO471" s="181"/>
      <c r="AP471" s="181"/>
      <c r="AQ471" s="182"/>
      <c r="AR471" s="110"/>
      <c r="AS471" s="180"/>
      <c r="AT471" s="181"/>
      <c r="AU471" s="181"/>
      <c r="AV471" s="182"/>
      <c r="AW471" s="110"/>
      <c r="AX471" s="180">
        <f t="shared" ref="AX471:BB471" si="1234">AX458+AX462+AX469</f>
        <v>3.8658663172768684</v>
      </c>
      <c r="AY471" s="181">
        <f t="shared" si="1234"/>
        <v>18.032307739590081</v>
      </c>
      <c r="AZ471" s="181">
        <f t="shared" si="1234"/>
        <v>24.390027294955388</v>
      </c>
      <c r="BA471" s="182">
        <f t="shared" si="1234"/>
        <v>15.033753005645224</v>
      </c>
      <c r="BB471" s="110">
        <f t="shared" si="1234"/>
        <v>61.321954357467575</v>
      </c>
      <c r="BC471" s="180">
        <f t="shared" ref="BC471:BL471" si="1235">BC458+BC462+BC469</f>
        <v>55.627811949901059</v>
      </c>
      <c r="BD471" s="181">
        <f t="shared" si="1235"/>
        <v>29.106596372743624</v>
      </c>
      <c r="BE471" s="181">
        <f t="shared" si="1235"/>
        <v>11.115859817194085</v>
      </c>
      <c r="BF471" s="182">
        <f t="shared" si="1235"/>
        <v>-2.1278000029286588</v>
      </c>
      <c r="BG471" s="110">
        <f t="shared" si="1235"/>
        <v>93.722468136910095</v>
      </c>
      <c r="BH471" s="180">
        <f t="shared" si="1235"/>
        <v>100.77289839503499</v>
      </c>
      <c r="BI471" s="181">
        <f t="shared" si="1235"/>
        <v>7.9050742292662619</v>
      </c>
      <c r="BJ471" s="181">
        <f t="shared" si="1235"/>
        <v>-12.842096200643173</v>
      </c>
      <c r="BK471" s="182">
        <f t="shared" si="1235"/>
        <v>-20.786634812196162</v>
      </c>
      <c r="BL471" s="110">
        <f t="shared" si="1235"/>
        <v>75.049241611461923</v>
      </c>
      <c r="BM471" s="180">
        <f t="shared" ref="BM471:BQ471" si="1236">BM458+BM462+BM469</f>
        <v>10.309628062822377</v>
      </c>
      <c r="BN471" s="181">
        <f t="shared" si="1236"/>
        <v>0.34535535207543688</v>
      </c>
      <c r="BO471" s="181">
        <f t="shared" si="1236"/>
        <v>-25.963129402803879</v>
      </c>
      <c r="BP471" s="182">
        <f t="shared" si="1236"/>
        <v>-25.934113496424988</v>
      </c>
      <c r="BQ471" s="110">
        <f t="shared" si="1236"/>
        <v>-41.242259484331058</v>
      </c>
      <c r="BR471" s="110"/>
      <c r="BS471" s="939"/>
      <c r="BT471" s="939"/>
      <c r="BU471" s="939"/>
      <c r="BV471" s="939"/>
    </row>
    <row r="472" spans="1:74" ht="15.75" customHeight="1">
      <c r="A472" s="320"/>
      <c r="B472" s="320"/>
      <c r="C472" s="1125"/>
      <c r="D472" s="320"/>
      <c r="E472" s="324"/>
      <c r="F472" s="325"/>
      <c r="G472" s="325"/>
      <c r="H472" s="326"/>
      <c r="I472" s="107"/>
      <c r="J472" s="174"/>
      <c r="K472" s="175"/>
      <c r="L472" s="175"/>
      <c r="M472" s="176"/>
      <c r="N472" s="107"/>
      <c r="O472" s="174"/>
      <c r="P472" s="175"/>
      <c r="Q472" s="175"/>
      <c r="R472" s="176"/>
      <c r="S472" s="107"/>
      <c r="T472" s="174"/>
      <c r="U472" s="175"/>
      <c r="V472" s="175"/>
      <c r="W472" s="176"/>
      <c r="X472" s="107"/>
      <c r="Y472" s="174"/>
      <c r="Z472" s="175"/>
      <c r="AA472" s="175"/>
      <c r="AB472" s="176"/>
      <c r="AC472" s="107"/>
      <c r="AD472" s="174"/>
      <c r="AE472" s="175"/>
      <c r="AF472" s="175"/>
      <c r="AG472" s="176"/>
      <c r="AH472" s="107"/>
      <c r="AI472" s="174"/>
      <c r="AJ472" s="175"/>
      <c r="AK472" s="175"/>
      <c r="AL472" s="176"/>
      <c r="AM472" s="107"/>
      <c r="AN472" s="174"/>
      <c r="AO472" s="175"/>
      <c r="AP472" s="175"/>
      <c r="AQ472" s="176"/>
      <c r="AR472" s="107"/>
      <c r="AS472" s="174"/>
      <c r="AT472" s="175"/>
      <c r="AU472" s="175"/>
      <c r="AV472" s="176"/>
      <c r="AW472" s="107"/>
      <c r="AX472" s="174"/>
      <c r="AY472" s="175"/>
      <c r="AZ472" s="175"/>
      <c r="BA472" s="176"/>
      <c r="BB472" s="107"/>
      <c r="BC472" s="174"/>
      <c r="BD472" s="175"/>
      <c r="BE472" s="175"/>
      <c r="BF472" s="176"/>
      <c r="BG472" s="107"/>
      <c r="BH472" s="174"/>
      <c r="BI472" s="175"/>
      <c r="BJ472" s="175"/>
      <c r="BK472" s="176"/>
      <c r="BL472" s="107"/>
      <c r="BM472" s="174"/>
      <c r="BN472" s="175"/>
      <c r="BO472" s="175"/>
      <c r="BP472" s="176"/>
      <c r="BQ472" s="107"/>
      <c r="BR472" s="107"/>
      <c r="BS472" s="1496"/>
      <c r="BT472" s="1496"/>
      <c r="BU472" s="1496"/>
      <c r="BV472" s="1496"/>
    </row>
    <row r="473" spans="1:74">
      <c r="A473" s="320"/>
      <c r="B473" s="320"/>
      <c r="C473" s="1125" t="s">
        <v>469</v>
      </c>
      <c r="D473" s="320"/>
      <c r="E473" s="405"/>
      <c r="F473" s="322"/>
      <c r="G473" s="322"/>
      <c r="H473" s="323"/>
      <c r="I473" s="357"/>
      <c r="J473" s="197"/>
      <c r="K473" s="198"/>
      <c r="L473" s="198"/>
      <c r="M473" s="193"/>
      <c r="N473" s="357"/>
      <c r="O473" s="197"/>
      <c r="P473" s="198"/>
      <c r="Q473" s="175"/>
      <c r="R473" s="176"/>
      <c r="S473" s="107"/>
      <c r="T473" s="174"/>
      <c r="U473" s="175"/>
      <c r="V473" s="175"/>
      <c r="W473" s="176"/>
      <c r="X473" s="107"/>
      <c r="Y473" s="174"/>
      <c r="Z473" s="175"/>
      <c r="AA473" s="175"/>
      <c r="AB473" s="176"/>
      <c r="AC473" s="107"/>
      <c r="AD473" s="174"/>
      <c r="AE473" s="175"/>
      <c r="AF473" s="175"/>
      <c r="AG473" s="176"/>
      <c r="AH473" s="107"/>
      <c r="AI473" s="174"/>
      <c r="AJ473" s="175"/>
      <c r="AK473" s="175"/>
      <c r="AL473" s="176"/>
      <c r="AM473" s="107"/>
      <c r="AN473" s="174"/>
      <c r="AO473" s="175"/>
      <c r="AP473" s="175"/>
      <c r="AQ473" s="176"/>
      <c r="AR473" s="107"/>
      <c r="AS473" s="174"/>
      <c r="AT473" s="175"/>
      <c r="AU473" s="175"/>
      <c r="AV473" s="176"/>
      <c r="AW473" s="107"/>
      <c r="AX473" s="174">
        <f>+AW474</f>
        <v>232.21</v>
      </c>
      <c r="AY473" s="175">
        <f>+AX474</f>
        <v>229.64286631727688</v>
      </c>
      <c r="AZ473" s="175">
        <f>+AY474</f>
        <v>247.67517405686698</v>
      </c>
      <c r="BA473" s="176">
        <f>+AZ474</f>
        <v>272.06520135182234</v>
      </c>
      <c r="BB473" s="107">
        <f>+AX473</f>
        <v>232.21</v>
      </c>
      <c r="BC473" s="174">
        <f>+BB474</f>
        <v>287.09895435746756</v>
      </c>
      <c r="BD473" s="175">
        <f>+BC474</f>
        <v>342.72676630736862</v>
      </c>
      <c r="BE473" s="175">
        <f>+BD474</f>
        <v>371.83336268011226</v>
      </c>
      <c r="BF473" s="176">
        <f>+BE474</f>
        <v>382.94922249730632</v>
      </c>
      <c r="BG473" s="107">
        <f>+BC473</f>
        <v>287.09895435746756</v>
      </c>
      <c r="BH473" s="174">
        <f>+BG474</f>
        <v>380.82142249437766</v>
      </c>
      <c r="BI473" s="175">
        <f>+BH474</f>
        <v>481.59432088941264</v>
      </c>
      <c r="BJ473" s="175">
        <f>+BI474</f>
        <v>489.49939511867888</v>
      </c>
      <c r="BK473" s="176">
        <f>+BJ474</f>
        <v>476.65729891803568</v>
      </c>
      <c r="BL473" s="107">
        <f>+BH473</f>
        <v>380.82142249437766</v>
      </c>
      <c r="BM473" s="174">
        <f>+BL474</f>
        <v>455.87066410583952</v>
      </c>
      <c r="BN473" s="175">
        <f>+BM474</f>
        <v>466.18029216866188</v>
      </c>
      <c r="BO473" s="175">
        <f>+BN474</f>
        <v>466.52564752073732</v>
      </c>
      <c r="BP473" s="176">
        <f>+BO474</f>
        <v>440.56251811793345</v>
      </c>
      <c r="BQ473" s="107">
        <f>+BM473</f>
        <v>455.87066410583952</v>
      </c>
      <c r="BR473" s="107"/>
      <c r="BS473" s="1496"/>
      <c r="BT473" s="1496"/>
      <c r="BU473" s="1496"/>
      <c r="BV473" s="1496"/>
    </row>
    <row r="474" spans="1:74">
      <c r="A474" s="320"/>
      <c r="B474" s="320"/>
      <c r="C474" s="1125" t="s">
        <v>440</v>
      </c>
      <c r="D474" s="320"/>
      <c r="E474" s="405"/>
      <c r="F474" s="406"/>
      <c r="G474" s="406"/>
      <c r="H474" s="407"/>
      <c r="I474" s="107"/>
      <c r="J474" s="393"/>
      <c r="K474" s="190"/>
      <c r="L474" s="190"/>
      <c r="M474" s="191"/>
      <c r="N474" s="107"/>
      <c r="O474" s="393"/>
      <c r="P474" s="190"/>
      <c r="Q474" s="190"/>
      <c r="R474" s="191"/>
      <c r="S474" s="107"/>
      <c r="T474" s="393"/>
      <c r="U474" s="190"/>
      <c r="V474" s="190"/>
      <c r="W474" s="191"/>
      <c r="X474" s="108">
        <f>+X479</f>
        <v>140.92099999999999</v>
      </c>
      <c r="Y474" s="174"/>
      <c r="Z474" s="175"/>
      <c r="AA474" s="175"/>
      <c r="AB474" s="176"/>
      <c r="AC474" s="108"/>
      <c r="AD474" s="174"/>
      <c r="AE474" s="175"/>
      <c r="AF474" s="175"/>
      <c r="AG474" s="176"/>
      <c r="AH474" s="107">
        <f>AH479</f>
        <v>432.69900000000001</v>
      </c>
      <c r="AI474" s="174"/>
      <c r="AJ474" s="175"/>
      <c r="AK474" s="175"/>
      <c r="AL474" s="176"/>
      <c r="AM474" s="107">
        <f>AM479</f>
        <v>719.00199999999995</v>
      </c>
      <c r="AN474" s="174"/>
      <c r="AO474" s="175"/>
      <c r="AP474" s="175"/>
      <c r="AQ474" s="176"/>
      <c r="AR474" s="107">
        <f>AR479</f>
        <v>432.54300000000001</v>
      </c>
      <c r="AS474" s="174"/>
      <c r="AT474" s="175"/>
      <c r="AU474" s="175"/>
      <c r="AV474" s="176"/>
      <c r="AW474" s="107">
        <f>AW479</f>
        <v>232.21</v>
      </c>
      <c r="AX474" s="174">
        <f>+AX475+AX473+AX471</f>
        <v>229.64286631727688</v>
      </c>
      <c r="AY474" s="175">
        <f>+AY475+AY473+AY471</f>
        <v>247.67517405686698</v>
      </c>
      <c r="AZ474" s="175">
        <f>+AZ475+AZ473+AZ471</f>
        <v>272.06520135182234</v>
      </c>
      <c r="BA474" s="176">
        <f>+BA475+BA473+BA471</f>
        <v>287.09895435746756</v>
      </c>
      <c r="BB474" s="107">
        <f>+BA474</f>
        <v>287.09895435746756</v>
      </c>
      <c r="BC474" s="174">
        <f>+BC475+BC473+BC471</f>
        <v>342.72676630736862</v>
      </c>
      <c r="BD474" s="175">
        <f>+BD475+BD473+BD471</f>
        <v>371.83336268011226</v>
      </c>
      <c r="BE474" s="175">
        <f>+BE475+BE473+BE471</f>
        <v>382.94922249730632</v>
      </c>
      <c r="BF474" s="176">
        <f>+BF475+BF473+BF471</f>
        <v>380.82142249437766</v>
      </c>
      <c r="BG474" s="107">
        <f>+BF474</f>
        <v>380.82142249437766</v>
      </c>
      <c r="BH474" s="174">
        <f>+BH475+BH473+BH471</f>
        <v>481.59432088941264</v>
      </c>
      <c r="BI474" s="175">
        <f>+BI475+BI473+BI471</f>
        <v>489.49939511867888</v>
      </c>
      <c r="BJ474" s="175">
        <f>+BJ475+BJ473+BJ471</f>
        <v>476.65729891803568</v>
      </c>
      <c r="BK474" s="176">
        <f>+BK475+BK473+BK471</f>
        <v>455.87066410583952</v>
      </c>
      <c r="BL474" s="107">
        <f>+BK474</f>
        <v>455.87066410583952</v>
      </c>
      <c r="BM474" s="174">
        <f>+BM475+BM473+BM471</f>
        <v>466.18029216866188</v>
      </c>
      <c r="BN474" s="175">
        <f>+BN475+BN473+BN471</f>
        <v>466.52564752073732</v>
      </c>
      <c r="BO474" s="175">
        <f>+BO475+BO473+BO471</f>
        <v>440.56251811793345</v>
      </c>
      <c r="BP474" s="176">
        <f>+BP475+BP473+BP471</f>
        <v>414.62840462150848</v>
      </c>
      <c r="BQ474" s="107">
        <f>+BP474</f>
        <v>414.62840462150848</v>
      </c>
      <c r="BR474" s="107"/>
      <c r="BS474" s="1496"/>
      <c r="BT474" s="1496"/>
      <c r="BU474" s="1496"/>
      <c r="BV474" s="1496"/>
    </row>
    <row r="475" spans="1:74">
      <c r="A475" s="320"/>
      <c r="B475" s="320"/>
      <c r="C475" s="1125" t="s">
        <v>467</v>
      </c>
      <c r="D475" s="320"/>
      <c r="E475" s="405"/>
      <c r="F475" s="406"/>
      <c r="G475" s="406"/>
      <c r="H475" s="407"/>
      <c r="I475" s="107"/>
      <c r="J475" s="393"/>
      <c r="K475" s="190"/>
      <c r="L475" s="190"/>
      <c r="M475" s="191"/>
      <c r="N475" s="107"/>
      <c r="O475" s="393"/>
      <c r="P475" s="190"/>
      <c r="Q475" s="184"/>
      <c r="R475" s="176"/>
      <c r="S475" s="107"/>
      <c r="T475" s="174"/>
      <c r="U475" s="175"/>
      <c r="V475" s="184"/>
      <c r="W475" s="176"/>
      <c r="X475" s="107"/>
      <c r="Y475" s="174"/>
      <c r="Z475" s="175"/>
      <c r="AA475" s="175"/>
      <c r="AB475" s="176"/>
      <c r="AC475" s="107"/>
      <c r="AD475" s="174"/>
      <c r="AE475" s="175"/>
      <c r="AF475" s="175"/>
      <c r="AG475" s="176"/>
      <c r="AH475" s="107"/>
      <c r="AI475" s="174"/>
      <c r="AJ475" s="175"/>
      <c r="AK475" s="175"/>
      <c r="AL475" s="176"/>
      <c r="AM475" s="107"/>
      <c r="AN475" s="174"/>
      <c r="AO475" s="175"/>
      <c r="AP475" s="175"/>
      <c r="AQ475" s="176"/>
      <c r="AR475" s="107"/>
      <c r="AS475" s="174"/>
      <c r="AT475" s="175"/>
      <c r="AU475" s="175"/>
      <c r="AV475" s="176"/>
      <c r="AW475" s="107"/>
      <c r="AX475" s="174">
        <f>IF((AX471+AX473)&gt;=AW481,-AW481,-(AX471+AX473))</f>
        <v>-6.4329999999999998</v>
      </c>
      <c r="AY475" s="175">
        <f>IF((AY471+AY473)&gt;=AX481,-AX481,-(AY471+AY473))</f>
        <v>0</v>
      </c>
      <c r="AZ475" s="175">
        <f>IF((AZ471+AZ473)&gt;=AY481,-AY481,-(AZ471+AZ473))</f>
        <v>0</v>
      </c>
      <c r="BA475" s="176">
        <f>IF((BA471+BA473)&gt;=AZ481,-AZ481,-(BA471+BA473))</f>
        <v>0</v>
      </c>
      <c r="BB475" s="107">
        <f>+SUM(AX475:BA475)</f>
        <v>-6.4329999999999998</v>
      </c>
      <c r="BC475" s="174">
        <f>IF((BC471+BC473)&gt;=BB481,-BB481,-(BC471+BC473))</f>
        <v>0</v>
      </c>
      <c r="BD475" s="175">
        <f>IF((BD471+BD473)&gt;=BC481,-BC481,-(BD471+BD473))</f>
        <v>0</v>
      </c>
      <c r="BE475" s="175">
        <f>IF((BE471+BE473)&gt;=BD481,-BD481,-(BE471+BE473))</f>
        <v>0</v>
      </c>
      <c r="BF475" s="176">
        <f>IF((BF471+BF473)&gt;=BE481,-BE481,-(BF471+BF473))</f>
        <v>0</v>
      </c>
      <c r="BG475" s="107">
        <f>+SUM(BC475:BF475)</f>
        <v>0</v>
      </c>
      <c r="BH475" s="174">
        <f>IF((BH471+BH473)&gt;=BG481,-BG481,-(BH471+BH473))</f>
        <v>0</v>
      </c>
      <c r="BI475" s="175">
        <f>IF((BI471+BI473)&gt;=BH481,-BH481,-(BI471+BI473))</f>
        <v>0</v>
      </c>
      <c r="BJ475" s="175">
        <f>IF((BJ471+BJ473)&gt;=BI481,-BI481,-(BJ471+BJ473))</f>
        <v>0</v>
      </c>
      <c r="BK475" s="176">
        <f>IF((BK471+BK473)&gt;=BJ481,-BJ481,-(BK471+BK473))</f>
        <v>0</v>
      </c>
      <c r="BL475" s="107">
        <f>+SUM(BH475:BK475)</f>
        <v>0</v>
      </c>
      <c r="BM475" s="174">
        <f>IF((BM471+BM473)&gt;=BL481,-BL481,-(BM471+BM473))</f>
        <v>0</v>
      </c>
      <c r="BN475" s="175">
        <f>IF((BN471+BN473)&gt;=BM481,-BM481,-(BN471+BN473))</f>
        <v>0</v>
      </c>
      <c r="BO475" s="175">
        <f>IF((BO471+BO473)&gt;=BN481,-BN481,-(BO471+BO473))</f>
        <v>0</v>
      </c>
      <c r="BP475" s="176">
        <f>IF((BP471+BP473)&gt;=BO481,-BO481,-(BP471+BP473))</f>
        <v>0</v>
      </c>
      <c r="BQ475" s="107">
        <f>+SUM(BM475:BP475)</f>
        <v>0</v>
      </c>
      <c r="BR475" s="107"/>
      <c r="BS475" s="1496"/>
      <c r="BT475" s="1496"/>
      <c r="BU475" s="1496"/>
      <c r="BV475" s="1496"/>
    </row>
    <row r="476" spans="1:74">
      <c r="A476" s="320"/>
      <c r="B476" s="320"/>
      <c r="C476" s="1125"/>
      <c r="D476" s="320"/>
      <c r="E476" s="324"/>
      <c r="F476" s="325"/>
      <c r="G476" s="325"/>
      <c r="H476" s="326"/>
      <c r="I476" s="320"/>
      <c r="J476" s="324"/>
      <c r="K476" s="325"/>
      <c r="L476" s="325"/>
      <c r="M476" s="326"/>
      <c r="N476" s="320"/>
      <c r="O476" s="324"/>
      <c r="P476" s="325"/>
      <c r="Q476" s="325"/>
      <c r="R476" s="326"/>
      <c r="S476" s="320"/>
      <c r="T476" s="324"/>
      <c r="U476" s="325"/>
      <c r="V476" s="325"/>
      <c r="W476" s="326"/>
      <c r="X476" s="320"/>
      <c r="Y476" s="324"/>
      <c r="Z476" s="325"/>
      <c r="AA476" s="325"/>
      <c r="AB476" s="326"/>
      <c r="AC476" s="320"/>
      <c r="AD476" s="324"/>
      <c r="AE476" s="325"/>
      <c r="AF476" s="325"/>
      <c r="AG476" s="326"/>
      <c r="AH476" s="320"/>
      <c r="AI476" s="324"/>
      <c r="AJ476" s="325"/>
      <c r="AK476" s="325"/>
      <c r="AL476" s="326"/>
      <c r="AM476" s="320"/>
      <c r="AN476" s="324"/>
      <c r="AO476" s="325"/>
      <c r="AP476" s="325"/>
      <c r="AQ476" s="326"/>
      <c r="AR476" s="320"/>
      <c r="AS476" s="324"/>
      <c r="AT476" s="325"/>
      <c r="AU476" s="325"/>
      <c r="AV476" s="326"/>
      <c r="AW476" s="320"/>
      <c r="AX476" s="324"/>
      <c r="AY476" s="325"/>
      <c r="AZ476" s="325"/>
      <c r="BA476" s="326"/>
      <c r="BB476" s="320"/>
      <c r="BC476" s="324"/>
      <c r="BD476" s="325"/>
      <c r="BE476" s="325"/>
      <c r="BF476" s="326"/>
      <c r="BG476" s="320"/>
      <c r="BH476" s="324"/>
      <c r="BI476" s="325"/>
      <c r="BJ476" s="325"/>
      <c r="BK476" s="326"/>
      <c r="BL476" s="320"/>
      <c r="BM476" s="324"/>
      <c r="BN476" s="325"/>
      <c r="BO476" s="325"/>
      <c r="BP476" s="326"/>
      <c r="BQ476" s="320"/>
      <c r="BR476" s="320"/>
      <c r="BS476" s="1530"/>
      <c r="BT476" s="1530"/>
      <c r="BU476" s="1530"/>
      <c r="BV476" s="1530"/>
    </row>
    <row r="477" spans="1:74">
      <c r="A477" s="320"/>
      <c r="B477" s="320"/>
      <c r="C477" s="1125"/>
      <c r="D477" s="320"/>
      <c r="E477" s="324"/>
      <c r="F477" s="325"/>
      <c r="G477" s="325"/>
      <c r="H477" s="326"/>
      <c r="I477" s="320"/>
      <c r="J477" s="324"/>
      <c r="K477" s="325"/>
      <c r="L477" s="325"/>
      <c r="M477" s="326"/>
      <c r="N477" s="320"/>
      <c r="O477" s="324"/>
      <c r="P477" s="325"/>
      <c r="Q477" s="325"/>
      <c r="R477" s="326"/>
      <c r="S477" s="320"/>
      <c r="T477" s="324"/>
      <c r="U477" s="325"/>
      <c r="V477" s="325"/>
      <c r="W477" s="326"/>
      <c r="X477" s="320"/>
      <c r="Y477" s="324"/>
      <c r="Z477" s="325"/>
      <c r="AA477" s="325"/>
      <c r="AB477" s="326"/>
      <c r="AC477" s="320"/>
      <c r="AD477" s="324"/>
      <c r="AE477" s="325"/>
      <c r="AF477" s="325"/>
      <c r="AG477" s="326"/>
      <c r="AH477" s="320"/>
      <c r="AI477" s="324"/>
      <c r="AJ477" s="325"/>
      <c r="AK477" s="325"/>
      <c r="AL477" s="326"/>
      <c r="AM477" s="320"/>
      <c r="AN477" s="324"/>
      <c r="AO477" s="325"/>
      <c r="AP477" s="325"/>
      <c r="AQ477" s="326"/>
      <c r="AR477" s="320"/>
      <c r="AS477" s="324"/>
      <c r="AT477" s="325"/>
      <c r="AU477" s="325"/>
      <c r="AV477" s="326"/>
      <c r="AW477" s="320"/>
      <c r="AX477" s="324"/>
      <c r="AY477" s="325"/>
      <c r="AZ477" s="325"/>
      <c r="BA477" s="326"/>
      <c r="BB477" s="320"/>
      <c r="BC477" s="324"/>
      <c r="BD477" s="325"/>
      <c r="BE477" s="325"/>
      <c r="BF477" s="326"/>
      <c r="BG477" s="320"/>
      <c r="BH477" s="324"/>
      <c r="BI477" s="325"/>
      <c r="BJ477" s="325"/>
      <c r="BK477" s="326"/>
      <c r="BL477" s="320"/>
      <c r="BM477" s="324"/>
      <c r="BN477" s="325"/>
      <c r="BO477" s="325"/>
      <c r="BP477" s="326"/>
      <c r="BQ477" s="320"/>
      <c r="BR477" s="320"/>
      <c r="BS477" s="1530"/>
      <c r="BT477" s="1530"/>
      <c r="BU477" s="1530"/>
      <c r="BV477" s="1530"/>
    </row>
    <row r="478" spans="1:74">
      <c r="A478" s="5"/>
      <c r="B478" s="439" t="s">
        <v>13</v>
      </c>
      <c r="C478" s="1126"/>
      <c r="D478" s="92"/>
      <c r="E478" s="133"/>
      <c r="F478" s="134"/>
      <c r="G478" s="134"/>
      <c r="H478" s="135"/>
      <c r="I478" s="107"/>
      <c r="J478" s="187"/>
      <c r="K478" s="188"/>
      <c r="L478" s="188"/>
      <c r="M478" s="189"/>
      <c r="N478" s="107"/>
      <c r="O478" s="187"/>
      <c r="P478" s="188"/>
      <c r="Q478" s="188"/>
      <c r="R478" s="189"/>
      <c r="S478" s="107"/>
      <c r="T478" s="187"/>
      <c r="U478" s="188"/>
      <c r="V478" s="188"/>
      <c r="W478" s="189"/>
      <c r="X478" s="107"/>
      <c r="Y478" s="187"/>
      <c r="Z478" s="188"/>
      <c r="AA478" s="188"/>
      <c r="AB478" s="189"/>
      <c r="AC478" s="107"/>
      <c r="AD478" s="187"/>
      <c r="AE478" s="188"/>
      <c r="AF478" s="188"/>
      <c r="AG478" s="189"/>
      <c r="AH478" s="107"/>
      <c r="AI478" s="187"/>
      <c r="AJ478" s="188"/>
      <c r="AK478" s="188"/>
      <c r="AL478" s="189"/>
      <c r="AM478" s="107"/>
      <c r="AN478" s="187"/>
      <c r="AO478" s="188"/>
      <c r="AP478" s="188"/>
      <c r="AQ478" s="189"/>
      <c r="AR478" s="107"/>
      <c r="AS478" s="187"/>
      <c r="AT478" s="188"/>
      <c r="AU478" s="188"/>
      <c r="AV478" s="189"/>
      <c r="AW478" s="107"/>
      <c r="AX478" s="187"/>
      <c r="AY478" s="188"/>
      <c r="AZ478" s="188"/>
      <c r="BA478" s="189"/>
      <c r="BB478" s="107"/>
      <c r="BC478" s="187"/>
      <c r="BD478" s="188"/>
      <c r="BE478" s="188"/>
      <c r="BF478" s="189"/>
      <c r="BG478" s="107"/>
      <c r="BH478" s="187"/>
      <c r="BI478" s="188"/>
      <c r="BJ478" s="188"/>
      <c r="BK478" s="189"/>
      <c r="BL478" s="107"/>
      <c r="BM478" s="187"/>
      <c r="BN478" s="188"/>
      <c r="BO478" s="188"/>
      <c r="BP478" s="189"/>
      <c r="BQ478" s="107"/>
      <c r="BR478" s="107"/>
      <c r="BS478" s="1496"/>
      <c r="BT478" s="1496"/>
      <c r="BU478" s="1496"/>
      <c r="BV478" s="1496"/>
    </row>
    <row r="479" spans="1:74">
      <c r="A479" s="320"/>
      <c r="B479" s="320"/>
      <c r="C479" s="1127" t="s">
        <v>611</v>
      </c>
      <c r="D479" s="320"/>
      <c r="E479" s="405">
        <v>497.03300000000002</v>
      </c>
      <c r="F479" s="406">
        <v>559.40099999999995</v>
      </c>
      <c r="G479" s="406">
        <v>182.90199999999999</v>
      </c>
      <c r="H479" s="407">
        <v>453.30399999999997</v>
      </c>
      <c r="I479" s="107">
        <f>H479</f>
        <v>453.30399999999997</v>
      </c>
      <c r="J479" s="393">
        <v>559.93499999999995</v>
      </c>
      <c r="K479" s="190">
        <v>453.79</v>
      </c>
      <c r="L479" s="190">
        <v>322.07100000000003</v>
      </c>
      <c r="M479" s="191">
        <v>453.79</v>
      </c>
      <c r="N479" s="107">
        <f>M479</f>
        <v>453.79</v>
      </c>
      <c r="O479" s="393">
        <v>265.423</v>
      </c>
      <c r="P479" s="190">
        <v>298.59800000000001</v>
      </c>
      <c r="Q479" s="190">
        <v>507.392</v>
      </c>
      <c r="R479" s="191">
        <v>322.387</v>
      </c>
      <c r="S479" s="107">
        <f>R479</f>
        <v>322.387</v>
      </c>
      <c r="T479" s="393">
        <v>259.87900000000002</v>
      </c>
      <c r="U479" s="190">
        <v>105.773</v>
      </c>
      <c r="V479" s="190">
        <v>192.18100000000001</v>
      </c>
      <c r="W479" s="191">
        <v>140.92099999999999</v>
      </c>
      <c r="X479" s="107">
        <f>W479</f>
        <v>140.92099999999999</v>
      </c>
      <c r="Y479" s="393">
        <v>161.827</v>
      </c>
      <c r="Z479" s="190">
        <v>139.649</v>
      </c>
      <c r="AA479" s="190">
        <v>125.512</v>
      </c>
      <c r="AB479" s="191">
        <f>9.192+167.266</f>
        <v>176.458</v>
      </c>
      <c r="AC479" s="107">
        <f>AB479</f>
        <v>176.458</v>
      </c>
      <c r="AD479" s="393">
        <v>286.589</v>
      </c>
      <c r="AE479" s="190">
        <v>317.995</v>
      </c>
      <c r="AF479" s="190">
        <v>277.08800000000002</v>
      </c>
      <c r="AG479" s="191">
        <v>432.69900000000001</v>
      </c>
      <c r="AH479" s="107">
        <f>AG479</f>
        <v>432.69900000000001</v>
      </c>
      <c r="AI479" s="393">
        <v>401.923</v>
      </c>
      <c r="AJ479" s="190">
        <v>166.53700000000001</v>
      </c>
      <c r="AK479" s="190">
        <v>191.61500000000001</v>
      </c>
      <c r="AL479" s="191">
        <v>719.00199999999995</v>
      </c>
      <c r="AM479" s="107">
        <f>AL479</f>
        <v>719.00199999999995</v>
      </c>
      <c r="AN479" s="393">
        <v>403.50599999999997</v>
      </c>
      <c r="AO479" s="190">
        <v>482.87400000000002</v>
      </c>
      <c r="AP479" s="190">
        <v>565.10299999999995</v>
      </c>
      <c r="AQ479" s="191">
        <v>432.54300000000001</v>
      </c>
      <c r="AR479" s="107">
        <f>AQ479</f>
        <v>432.54300000000001</v>
      </c>
      <c r="AS479" s="393">
        <v>636.30100000000004</v>
      </c>
      <c r="AT479" s="190">
        <v>228.04400000000001</v>
      </c>
      <c r="AU479" s="190">
        <v>227.75399999999999</v>
      </c>
      <c r="AV479" s="191">
        <v>232.21</v>
      </c>
      <c r="AW479" s="107">
        <f>AV479</f>
        <v>232.21</v>
      </c>
      <c r="AX479" s="174">
        <f>AW479+AX471+AX475</f>
        <v>229.64286631727688</v>
      </c>
      <c r="AY479" s="175">
        <f>AX479+AY471+AY475</f>
        <v>247.67517405686698</v>
      </c>
      <c r="AZ479" s="175">
        <f>AY479+AZ471+AZ475</f>
        <v>272.06520135182234</v>
      </c>
      <c r="BA479" s="176">
        <f>AZ479+BA471+BA475</f>
        <v>287.09895435746756</v>
      </c>
      <c r="BB479" s="107">
        <f>BA479</f>
        <v>287.09895435746756</v>
      </c>
      <c r="BC479" s="174">
        <f>BB479+BC471+BC475</f>
        <v>342.72676630736862</v>
      </c>
      <c r="BD479" s="175">
        <f>BC479+BD471+BD475</f>
        <v>371.83336268011226</v>
      </c>
      <c r="BE479" s="175">
        <f>BD479+BE471+BE475</f>
        <v>382.94922249730632</v>
      </c>
      <c r="BF479" s="176">
        <f>BE479+BF471+BF475</f>
        <v>380.82142249437766</v>
      </c>
      <c r="BG479" s="107">
        <f>BF479</f>
        <v>380.82142249437766</v>
      </c>
      <c r="BH479" s="174">
        <f>BG479+BH471+BH475</f>
        <v>481.59432088941264</v>
      </c>
      <c r="BI479" s="175">
        <f>BH479+BI471+BI475</f>
        <v>489.49939511867888</v>
      </c>
      <c r="BJ479" s="175">
        <f>BI479+BJ471+BJ475</f>
        <v>476.65729891803568</v>
      </c>
      <c r="BK479" s="176">
        <f>BJ479+BK471+BK475</f>
        <v>455.87066410583952</v>
      </c>
      <c r="BL479" s="107">
        <f>BK479</f>
        <v>455.87066410583952</v>
      </c>
      <c r="BM479" s="174">
        <f>BL479+BM471+BM475</f>
        <v>466.18029216866188</v>
      </c>
      <c r="BN479" s="175">
        <f>BM479+BN471+BN475</f>
        <v>466.52564752073732</v>
      </c>
      <c r="BO479" s="175">
        <f>BN479+BO471+BO475</f>
        <v>440.56251811793345</v>
      </c>
      <c r="BP479" s="176">
        <f>BO479+BP471+BP475</f>
        <v>414.62840462150848</v>
      </c>
      <c r="BQ479" s="107">
        <f>BP479</f>
        <v>414.62840462150848</v>
      </c>
      <c r="BR479" s="107"/>
      <c r="BS479" s="1496"/>
      <c r="BT479" s="1496"/>
      <c r="BU479" s="1496"/>
      <c r="BV479" s="1496"/>
    </row>
    <row r="480" spans="1:74">
      <c r="A480" s="320"/>
      <c r="B480" s="320"/>
      <c r="C480" s="1125"/>
      <c r="D480" s="320"/>
      <c r="E480" s="319"/>
      <c r="F480" s="316"/>
      <c r="G480" s="316"/>
      <c r="H480" s="317"/>
      <c r="I480" s="107"/>
      <c r="J480" s="183"/>
      <c r="K480" s="184"/>
      <c r="L480" s="184"/>
      <c r="M480" s="185"/>
      <c r="N480" s="107"/>
      <c r="O480" s="183"/>
      <c r="P480" s="175"/>
      <c r="Q480" s="184"/>
      <c r="R480" s="191"/>
      <c r="S480" s="107"/>
      <c r="T480" s="183"/>
      <c r="U480" s="175"/>
      <c r="V480" s="184"/>
      <c r="W480" s="191"/>
      <c r="X480" s="107"/>
      <c r="Y480" s="183"/>
      <c r="Z480" s="175"/>
      <c r="AA480" s="175"/>
      <c r="AB480" s="176"/>
      <c r="AC480" s="107"/>
      <c r="AD480" s="183"/>
      <c r="AE480" s="175"/>
      <c r="AF480" s="175"/>
      <c r="AG480" s="176"/>
      <c r="AH480" s="107"/>
      <c r="AI480" s="183"/>
      <c r="AJ480" s="175"/>
      <c r="AK480" s="175"/>
      <c r="AL480" s="176"/>
      <c r="AM480" s="107"/>
      <c r="AN480" s="183"/>
      <c r="AO480" s="175"/>
      <c r="AP480" s="175"/>
      <c r="AQ480" s="176"/>
      <c r="AR480" s="107"/>
      <c r="AS480" s="183"/>
      <c r="AT480" s="175"/>
      <c r="AU480" s="175"/>
      <c r="AV480" s="176"/>
      <c r="AW480" s="107"/>
      <c r="AX480" s="174"/>
      <c r="AY480" s="175"/>
      <c r="AZ480" s="175"/>
      <c r="BA480" s="176"/>
      <c r="BB480" s="107"/>
      <c r="BC480" s="174"/>
      <c r="BD480" s="175"/>
      <c r="BE480" s="175"/>
      <c r="BF480" s="176"/>
      <c r="BG480" s="107"/>
      <c r="BH480" s="174"/>
      <c r="BI480" s="175"/>
      <c r="BJ480" s="175"/>
      <c r="BK480" s="176"/>
      <c r="BL480" s="107"/>
      <c r="BM480" s="174"/>
      <c r="BN480" s="175"/>
      <c r="BO480" s="175"/>
      <c r="BP480" s="176"/>
      <c r="BQ480" s="107"/>
      <c r="BR480" s="107"/>
      <c r="BS480" s="1496"/>
      <c r="BT480" s="1496"/>
      <c r="BU480" s="1496"/>
      <c r="BV480" s="1496"/>
    </row>
    <row r="481" spans="1:74">
      <c r="A481" s="320"/>
      <c r="B481" s="320"/>
      <c r="C481" s="1127" t="s">
        <v>613</v>
      </c>
      <c r="D481" s="320"/>
      <c r="E481" s="405">
        <v>47.750999999999998</v>
      </c>
      <c r="F481" s="406">
        <v>34.622999999999998</v>
      </c>
      <c r="G481" s="406">
        <v>30.210999999999999</v>
      </c>
      <c r="H481" s="407">
        <f>30.941+380.54</f>
        <v>411.48099999999999</v>
      </c>
      <c r="I481" s="107">
        <f>H481</f>
        <v>411.48099999999999</v>
      </c>
      <c r="J481" s="393">
        <v>28.411999999999999</v>
      </c>
      <c r="K481" s="190">
        <v>28.452000000000002</v>
      </c>
      <c r="L481" s="190">
        <v>28.492000000000001</v>
      </c>
      <c r="M481" s="191">
        <f>29.257+144.497</f>
        <v>173.75400000000002</v>
      </c>
      <c r="N481" s="107">
        <f>M481</f>
        <v>173.75400000000002</v>
      </c>
      <c r="O481" s="393">
        <f>28.628+98.882</f>
        <v>127.51</v>
      </c>
      <c r="P481" s="190">
        <f>28.035+96.698</f>
        <v>124.73299999999999</v>
      </c>
      <c r="Q481" s="190">
        <f>26.938+70.567</f>
        <v>97.504999999999995</v>
      </c>
      <c r="R481" s="191">
        <v>138.86199999999999</v>
      </c>
      <c r="S481" s="107">
        <f>R481</f>
        <v>138.86199999999999</v>
      </c>
      <c r="T481" s="393">
        <v>137.96600000000001</v>
      </c>
      <c r="U481" s="190">
        <v>0</v>
      </c>
      <c r="V481" s="190">
        <v>0</v>
      </c>
      <c r="W481" s="191">
        <v>1.4370000000000001</v>
      </c>
      <c r="X481" s="107">
        <f>W481</f>
        <v>1.4370000000000001</v>
      </c>
      <c r="Y481" s="393">
        <v>0</v>
      </c>
      <c r="Z481" s="190">
        <v>0</v>
      </c>
      <c r="AA481" s="190">
        <v>204.06299999999999</v>
      </c>
      <c r="AB481" s="191">
        <v>103.739</v>
      </c>
      <c r="AC481" s="107">
        <f>AB481</f>
        <v>103.739</v>
      </c>
      <c r="AD481" s="393">
        <v>0</v>
      </c>
      <c r="AE481" s="190">
        <v>0.17799999999999999</v>
      </c>
      <c r="AF481" s="190">
        <v>41.363</v>
      </c>
      <c r="AG481" s="191">
        <v>238.196</v>
      </c>
      <c r="AH481" s="107">
        <f>AG481</f>
        <v>238.196</v>
      </c>
      <c r="AI481" s="393">
        <v>275.51799999999997</v>
      </c>
      <c r="AJ481" s="190">
        <v>210.89599999999999</v>
      </c>
      <c r="AK481" s="190">
        <v>213.393</v>
      </c>
      <c r="AL481" s="191">
        <v>324.315</v>
      </c>
      <c r="AM481" s="107">
        <f>AL481</f>
        <v>324.315</v>
      </c>
      <c r="AN481" s="393">
        <v>23.79</v>
      </c>
      <c r="AO481" s="190">
        <v>23.497</v>
      </c>
      <c r="AP481" s="190">
        <v>23.359000000000002</v>
      </c>
      <c r="AQ481" s="191">
        <v>15.555</v>
      </c>
      <c r="AR481" s="107">
        <f>AQ481</f>
        <v>15.555</v>
      </c>
      <c r="AS481" s="393">
        <v>15.098000000000001</v>
      </c>
      <c r="AT481" s="190">
        <v>14.797000000000001</v>
      </c>
      <c r="AU481" s="190">
        <v>10.576000000000001</v>
      </c>
      <c r="AV481" s="191">
        <v>6.4329999999999998</v>
      </c>
      <c r="AW481" s="107">
        <f>AV481</f>
        <v>6.4329999999999998</v>
      </c>
      <c r="AX481" s="174">
        <f>AW481+AX466+AX475</f>
        <v>0</v>
      </c>
      <c r="AY481" s="175">
        <f>AX481+AY466+AY475</f>
        <v>0</v>
      </c>
      <c r="AZ481" s="175">
        <f>AY481+AZ466+AZ475</f>
        <v>0</v>
      </c>
      <c r="BA481" s="176">
        <f>AZ481+BA466+BA475</f>
        <v>0</v>
      </c>
      <c r="BB481" s="107">
        <f>BA481</f>
        <v>0</v>
      </c>
      <c r="BC481" s="174">
        <f>BB481+BC466+BC475</f>
        <v>0</v>
      </c>
      <c r="BD481" s="175">
        <f>BC481+BD466+BD475</f>
        <v>0</v>
      </c>
      <c r="BE481" s="175">
        <f>BD481+BE466+BE475</f>
        <v>0</v>
      </c>
      <c r="BF481" s="176">
        <f>BE481+BF466+BF475</f>
        <v>0</v>
      </c>
      <c r="BG481" s="107">
        <f>BF481</f>
        <v>0</v>
      </c>
      <c r="BH481" s="174">
        <f>BG481+BH466+BH475</f>
        <v>0</v>
      </c>
      <c r="BI481" s="175">
        <f>BH481+BI466+BI475</f>
        <v>0</v>
      </c>
      <c r="BJ481" s="175">
        <f>BI481+BJ466+BJ475</f>
        <v>0</v>
      </c>
      <c r="BK481" s="176">
        <f>BJ481+BK466+BK475</f>
        <v>0</v>
      </c>
      <c r="BL481" s="107">
        <f>BK481</f>
        <v>0</v>
      </c>
      <c r="BM481" s="174">
        <f>BL481+BM466+BM475</f>
        <v>0</v>
      </c>
      <c r="BN481" s="175">
        <f>BM481+BN466+BN475</f>
        <v>0</v>
      </c>
      <c r="BO481" s="175">
        <f>BN481+BO466+BO475</f>
        <v>0</v>
      </c>
      <c r="BP481" s="176">
        <f>BO481+BP466+BP475</f>
        <v>0</v>
      </c>
      <c r="BQ481" s="107">
        <f>BP481</f>
        <v>0</v>
      </c>
      <c r="BR481" s="107"/>
      <c r="BS481" s="1496"/>
      <c r="BT481" s="1496"/>
      <c r="BU481" s="1496"/>
      <c r="BV481" s="1496"/>
    </row>
    <row r="482" spans="1:74">
      <c r="A482" s="320"/>
      <c r="B482" s="320"/>
      <c r="C482" s="1127" t="s">
        <v>614</v>
      </c>
      <c r="D482" s="320"/>
      <c r="E482" s="405">
        <v>180.477</v>
      </c>
      <c r="F482" s="406">
        <v>180.87899999999999</v>
      </c>
      <c r="G482" s="406">
        <v>171.27099999999999</v>
      </c>
      <c r="H482" s="407">
        <v>156.55600000000001</v>
      </c>
      <c r="I482" s="107">
        <f>H482</f>
        <v>156.55600000000001</v>
      </c>
      <c r="J482" s="393">
        <v>157.131</v>
      </c>
      <c r="K482" s="190">
        <v>157.41900000000001</v>
      </c>
      <c r="L482" s="190">
        <v>147.697</v>
      </c>
      <c r="M482" s="191">
        <v>132.143</v>
      </c>
      <c r="N482" s="107">
        <f>M482</f>
        <v>132.143</v>
      </c>
      <c r="O482" s="393">
        <v>131.59899999999999</v>
      </c>
      <c r="P482" s="190">
        <v>132.40299999999999</v>
      </c>
      <c r="Q482" s="190">
        <v>123.699</v>
      </c>
      <c r="R482" s="191">
        <f>27.261+107.744</f>
        <v>135.005</v>
      </c>
      <c r="S482" s="107">
        <f>R482</f>
        <v>135.005</v>
      </c>
      <c r="T482" s="393">
        <f>26.43+107.743</f>
        <v>134.173</v>
      </c>
      <c r="U482" s="190">
        <f>26.544+108.388</f>
        <v>134.93200000000002</v>
      </c>
      <c r="V482" s="190">
        <f>16.221+109.034</f>
        <v>125.25500000000001</v>
      </c>
      <c r="W482" s="191">
        <f>17.426+92.304</f>
        <v>109.73</v>
      </c>
      <c r="X482" s="107">
        <f>W482</f>
        <v>109.73</v>
      </c>
      <c r="Y482" s="393">
        <f>92.98+17.376</f>
        <v>110.35600000000001</v>
      </c>
      <c r="Z482" s="190">
        <f>17.376+93.657</f>
        <v>111.033</v>
      </c>
      <c r="AA482" s="190">
        <f>94.334+17.376</f>
        <v>111.71000000000001</v>
      </c>
      <c r="AB482" s="191">
        <f>18.211+76.8</f>
        <v>95.010999999999996</v>
      </c>
      <c r="AC482" s="107">
        <f>AB482</f>
        <v>95.010999999999996</v>
      </c>
      <c r="AD482" s="393">
        <f>18.211+77.509</f>
        <v>95.72</v>
      </c>
      <c r="AE482" s="190">
        <f>78.218 +18.211</f>
        <v>96.429000000000002</v>
      </c>
      <c r="AF482" s="190">
        <f>18.211+78.928</f>
        <v>97.138999999999996</v>
      </c>
      <c r="AG482" s="191">
        <f>21.585+58.053</f>
        <v>79.638000000000005</v>
      </c>
      <c r="AH482" s="107">
        <f>AG482</f>
        <v>79.638000000000005</v>
      </c>
      <c r="AI482" s="393">
        <f>21.585+58.796</f>
        <v>80.381</v>
      </c>
      <c r="AJ482" s="190">
        <f>21.585+59.539</f>
        <v>81.123999999999995</v>
      </c>
      <c r="AK482" s="190">
        <f>21.585+60.282</f>
        <v>81.86699999999999</v>
      </c>
      <c r="AL482" s="191">
        <f>5+41.259</f>
        <v>46.259</v>
      </c>
      <c r="AM482" s="107">
        <f>AL482</f>
        <v>46.259</v>
      </c>
      <c r="AN482" s="393">
        <f>5.726+89.914</f>
        <v>95.64</v>
      </c>
      <c r="AO482" s="190">
        <f>5.726+88.293</f>
        <v>94.019000000000005</v>
      </c>
      <c r="AP482" s="190">
        <f>0+41.5</f>
        <v>41.5</v>
      </c>
      <c r="AQ482" s="191">
        <v>44.5</v>
      </c>
      <c r="AR482" s="107">
        <f>AQ482</f>
        <v>44.5</v>
      </c>
      <c r="AS482" s="393">
        <v>57.5</v>
      </c>
      <c r="AT482" s="190">
        <v>70.5</v>
      </c>
      <c r="AU482" s="190">
        <v>79.5</v>
      </c>
      <c r="AV482" s="191">
        <v>103.07</v>
      </c>
      <c r="AW482" s="107">
        <f>AV482</f>
        <v>103.07</v>
      </c>
      <c r="AX482" s="174">
        <f>+AV482+AX446</f>
        <v>103.07</v>
      </c>
      <c r="AY482" s="175">
        <f>+AX482+AY446</f>
        <v>103.07</v>
      </c>
      <c r="AZ482" s="175">
        <f>+AY482+AZ446</f>
        <v>103.07</v>
      </c>
      <c r="BA482" s="176">
        <f>+AZ482+BA446</f>
        <v>103.07</v>
      </c>
      <c r="BB482" s="107">
        <f>BA482</f>
        <v>103.07</v>
      </c>
      <c r="BC482" s="174">
        <f>+BA482+BC446</f>
        <v>103.07</v>
      </c>
      <c r="BD482" s="175">
        <f>+BC482+BD446</f>
        <v>103.07</v>
      </c>
      <c r="BE482" s="175">
        <f>+BD482+BE446</f>
        <v>103.07</v>
      </c>
      <c r="BF482" s="176">
        <f>+BE482+BF446</f>
        <v>103.07</v>
      </c>
      <c r="BG482" s="107">
        <f>BF482</f>
        <v>103.07</v>
      </c>
      <c r="BH482" s="174">
        <f>+BF482+BH446</f>
        <v>103.07</v>
      </c>
      <c r="BI482" s="175">
        <f>+BH482+BI446</f>
        <v>103.07</v>
      </c>
      <c r="BJ482" s="175">
        <f>+BI482+BJ446</f>
        <v>103.07</v>
      </c>
      <c r="BK482" s="176">
        <f>+BJ482+BK446</f>
        <v>103.07</v>
      </c>
      <c r="BL482" s="107">
        <f>BK482</f>
        <v>103.07</v>
      </c>
      <c r="BM482" s="174">
        <f>+BK482+BM446</f>
        <v>103.07</v>
      </c>
      <c r="BN482" s="175">
        <f>+BM482+BN446</f>
        <v>103.07</v>
      </c>
      <c r="BO482" s="175">
        <f>+BN482+BO446</f>
        <v>103.07</v>
      </c>
      <c r="BP482" s="176">
        <f>+BO482+BP446</f>
        <v>103.07</v>
      </c>
      <c r="BQ482" s="107">
        <f>BP482</f>
        <v>103.07</v>
      </c>
      <c r="BR482" s="107"/>
      <c r="BS482" s="1496"/>
      <c r="BT482" s="1496"/>
      <c r="BU482" s="1496"/>
      <c r="BV482" s="1496"/>
    </row>
    <row r="483" spans="1:74">
      <c r="A483" s="327"/>
      <c r="B483" s="327"/>
      <c r="C483" s="1164" t="s">
        <v>396</v>
      </c>
      <c r="D483" s="327"/>
      <c r="E483" s="335">
        <f>SUM(E481:E482)</f>
        <v>228.22800000000001</v>
      </c>
      <c r="F483" s="336">
        <f t="shared" ref="F483:AE483" si="1237">SUM(F481:F482)</f>
        <v>215.50199999999998</v>
      </c>
      <c r="G483" s="336">
        <f t="shared" si="1237"/>
        <v>201.48199999999997</v>
      </c>
      <c r="H483" s="337">
        <f t="shared" si="1237"/>
        <v>568.03700000000003</v>
      </c>
      <c r="I483" s="110">
        <f t="shared" si="1237"/>
        <v>568.03700000000003</v>
      </c>
      <c r="J483" s="180">
        <f t="shared" si="1237"/>
        <v>185.54300000000001</v>
      </c>
      <c r="K483" s="181">
        <f t="shared" si="1237"/>
        <v>185.87100000000001</v>
      </c>
      <c r="L483" s="181">
        <f t="shared" si="1237"/>
        <v>176.18899999999999</v>
      </c>
      <c r="M483" s="182">
        <f t="shared" si="1237"/>
        <v>305.89700000000005</v>
      </c>
      <c r="N483" s="110">
        <f t="shared" si="1237"/>
        <v>305.89700000000005</v>
      </c>
      <c r="O483" s="180">
        <f t="shared" si="1237"/>
        <v>259.10899999999998</v>
      </c>
      <c r="P483" s="181">
        <f t="shared" si="1237"/>
        <v>257.13599999999997</v>
      </c>
      <c r="Q483" s="181">
        <f t="shared" si="1237"/>
        <v>221.20400000000001</v>
      </c>
      <c r="R483" s="182">
        <f t="shared" si="1237"/>
        <v>273.86699999999996</v>
      </c>
      <c r="S483" s="110">
        <f t="shared" si="1237"/>
        <v>273.86699999999996</v>
      </c>
      <c r="T483" s="180">
        <f t="shared" si="1237"/>
        <v>272.13900000000001</v>
      </c>
      <c r="U483" s="181">
        <f t="shared" si="1237"/>
        <v>134.93200000000002</v>
      </c>
      <c r="V483" s="181">
        <f>SUM(V481:V482)</f>
        <v>125.25500000000001</v>
      </c>
      <c r="W483" s="182">
        <f>SUM(W481:W482)</f>
        <v>111.167</v>
      </c>
      <c r="X483" s="110">
        <f>SUM(X481:X482)</f>
        <v>111.167</v>
      </c>
      <c r="Y483" s="180">
        <f t="shared" si="1237"/>
        <v>110.35600000000001</v>
      </c>
      <c r="Z483" s="181">
        <f t="shared" si="1237"/>
        <v>111.033</v>
      </c>
      <c r="AA483" s="181">
        <f t="shared" si="1237"/>
        <v>315.77300000000002</v>
      </c>
      <c r="AB483" s="182">
        <f>SUM(AB481:AB482)</f>
        <v>198.75</v>
      </c>
      <c r="AC483" s="110">
        <f t="shared" si="1237"/>
        <v>198.75</v>
      </c>
      <c r="AD483" s="180">
        <f t="shared" si="1237"/>
        <v>95.72</v>
      </c>
      <c r="AE483" s="181">
        <f t="shared" si="1237"/>
        <v>96.606999999999999</v>
      </c>
      <c r="AF483" s="181">
        <f t="shared" ref="AF483" si="1238">SUM(AF481:AF482)</f>
        <v>138.50200000000001</v>
      </c>
      <c r="AG483" s="182">
        <f>SUM(AG481:AG482)</f>
        <v>317.834</v>
      </c>
      <c r="AH483" s="110">
        <f t="shared" ref="AH483:AK483" si="1239">SUM(AH481:AH482)</f>
        <v>317.834</v>
      </c>
      <c r="AI483" s="180">
        <f t="shared" si="1239"/>
        <v>355.899</v>
      </c>
      <c r="AJ483" s="181">
        <f t="shared" si="1239"/>
        <v>292.02</v>
      </c>
      <c r="AK483" s="181">
        <f t="shared" si="1239"/>
        <v>295.26</v>
      </c>
      <c r="AL483" s="182">
        <f>SUM(AL481:AL482)</f>
        <v>370.57400000000001</v>
      </c>
      <c r="AM483" s="110">
        <f t="shared" ref="AM483:AN483" si="1240">SUM(AM481:AM482)</f>
        <v>370.57400000000001</v>
      </c>
      <c r="AN483" s="180">
        <f t="shared" si="1240"/>
        <v>119.43</v>
      </c>
      <c r="AO483" s="181">
        <f>SUM(AO481:AO482)</f>
        <v>117.51600000000001</v>
      </c>
      <c r="AP483" s="181">
        <f>SUM(AP481:AP482)</f>
        <v>64.859000000000009</v>
      </c>
      <c r="AQ483" s="182">
        <f>SUM(AQ481:AQ482)</f>
        <v>60.055</v>
      </c>
      <c r="AR483" s="110">
        <f t="shared" ref="AR483:AS483" si="1241">SUM(AR481:AR482)</f>
        <v>60.055</v>
      </c>
      <c r="AS483" s="180">
        <f t="shared" si="1241"/>
        <v>72.597999999999999</v>
      </c>
      <c r="AT483" s="181">
        <f>SUM(AT481:AT482)</f>
        <v>85.296999999999997</v>
      </c>
      <c r="AU483" s="181">
        <f t="shared" ref="AU483" si="1242">SUM(AU481:AU482)</f>
        <v>90.075999999999993</v>
      </c>
      <c r="AV483" s="182">
        <f t="shared" ref="AV483:BB483" si="1243">SUM(AV481:AV482)</f>
        <v>109.50299999999999</v>
      </c>
      <c r="AW483" s="110">
        <f t="shared" si="1243"/>
        <v>109.50299999999999</v>
      </c>
      <c r="AX483" s="180">
        <f t="shared" si="1243"/>
        <v>103.07</v>
      </c>
      <c r="AY483" s="181">
        <f t="shared" si="1243"/>
        <v>103.07</v>
      </c>
      <c r="AZ483" s="181">
        <f t="shared" si="1243"/>
        <v>103.07</v>
      </c>
      <c r="BA483" s="182">
        <f t="shared" si="1243"/>
        <v>103.07</v>
      </c>
      <c r="BB483" s="110">
        <f t="shared" si="1243"/>
        <v>103.07</v>
      </c>
      <c r="BC483" s="180">
        <f t="shared" ref="BC483:BL483" si="1244">SUM(BC481:BC482)</f>
        <v>103.07</v>
      </c>
      <c r="BD483" s="181">
        <f t="shared" si="1244"/>
        <v>103.07</v>
      </c>
      <c r="BE483" s="181">
        <f t="shared" si="1244"/>
        <v>103.07</v>
      </c>
      <c r="BF483" s="182">
        <f t="shared" si="1244"/>
        <v>103.07</v>
      </c>
      <c r="BG483" s="110">
        <f t="shared" si="1244"/>
        <v>103.07</v>
      </c>
      <c r="BH483" s="180">
        <f t="shared" si="1244"/>
        <v>103.07</v>
      </c>
      <c r="BI483" s="181">
        <f t="shared" si="1244"/>
        <v>103.07</v>
      </c>
      <c r="BJ483" s="181">
        <f t="shared" si="1244"/>
        <v>103.07</v>
      </c>
      <c r="BK483" s="182">
        <f t="shared" si="1244"/>
        <v>103.07</v>
      </c>
      <c r="BL483" s="110">
        <f t="shared" si="1244"/>
        <v>103.07</v>
      </c>
      <c r="BM483" s="180">
        <f t="shared" ref="BM483:BQ483" si="1245">SUM(BM481:BM482)</f>
        <v>103.07</v>
      </c>
      <c r="BN483" s="181">
        <f t="shared" si="1245"/>
        <v>103.07</v>
      </c>
      <c r="BO483" s="181">
        <f t="shared" si="1245"/>
        <v>103.07</v>
      </c>
      <c r="BP483" s="182">
        <f t="shared" si="1245"/>
        <v>103.07</v>
      </c>
      <c r="BQ483" s="110">
        <f t="shared" si="1245"/>
        <v>103.07</v>
      </c>
      <c r="BR483" s="110"/>
      <c r="BS483" s="939"/>
      <c r="BT483" s="939"/>
      <c r="BU483" s="939"/>
      <c r="BV483" s="939"/>
    </row>
    <row r="484" spans="1:74">
      <c r="A484" s="370"/>
      <c r="B484" s="370"/>
      <c r="C484" s="1165" t="s">
        <v>17</v>
      </c>
      <c r="D484" s="370"/>
      <c r="E484" s="373">
        <f>E483/E492</f>
        <v>4.3567109073732194E-2</v>
      </c>
      <c r="F484" s="371">
        <f t="shared" ref="F484:AE484" si="1246">F483/F492</f>
        <v>4.061172946318764E-2</v>
      </c>
      <c r="G484" s="371">
        <f t="shared" si="1246"/>
        <v>3.7268608778198112E-2</v>
      </c>
      <c r="H484" s="372">
        <f t="shared" si="1246"/>
        <v>0.10482919214253035</v>
      </c>
      <c r="I484" s="370">
        <f t="shared" si="1246"/>
        <v>0.10482919214253035</v>
      </c>
      <c r="J484" s="373">
        <f t="shared" si="1246"/>
        <v>3.5238105005348117E-2</v>
      </c>
      <c r="K484" s="371">
        <f t="shared" si="1246"/>
        <v>3.5183902906806605E-2</v>
      </c>
      <c r="L484" s="371">
        <f t="shared" si="1246"/>
        <v>3.5533617364559962E-2</v>
      </c>
      <c r="M484" s="372">
        <f t="shared" si="1246"/>
        <v>7.416961464882442E-2</v>
      </c>
      <c r="N484" s="370">
        <f t="shared" si="1246"/>
        <v>7.416961464882442E-2</v>
      </c>
      <c r="O484" s="373">
        <f t="shared" si="1246"/>
        <v>4.2301894099066248E-2</v>
      </c>
      <c r="P484" s="371">
        <f t="shared" si="1246"/>
        <v>4.1460327892218873E-2</v>
      </c>
      <c r="Q484" s="371">
        <f t="shared" si="1246"/>
        <v>3.5616958453698069E-2</v>
      </c>
      <c r="R484" s="372">
        <f t="shared" si="1246"/>
        <v>4.2931763504168205E-2</v>
      </c>
      <c r="S484" s="370">
        <f t="shared" si="1246"/>
        <v>4.2931763504168205E-2</v>
      </c>
      <c r="T484" s="373">
        <f t="shared" si="1246"/>
        <v>4.2535223683519523E-2</v>
      </c>
      <c r="U484" s="371">
        <f t="shared" si="1246"/>
        <v>2.1728166358669015E-2</v>
      </c>
      <c r="V484" s="371">
        <f>V483/V492</f>
        <v>2.0626170725180627E-2</v>
      </c>
      <c r="W484" s="372">
        <f>W483/W492</f>
        <v>2.081217409309585E-2</v>
      </c>
      <c r="X484" s="370">
        <f>X483/X492</f>
        <v>2.081217409309585E-2</v>
      </c>
      <c r="Y484" s="373">
        <f t="shared" si="1246"/>
        <v>2.0288237249347727E-2</v>
      </c>
      <c r="Z484" s="371">
        <f t="shared" si="1246"/>
        <v>1.990604271822102E-2</v>
      </c>
      <c r="AA484" s="371">
        <f t="shared" si="1246"/>
        <v>5.7043970065071462E-2</v>
      </c>
      <c r="AB484" s="372">
        <f>AB483/AB492</f>
        <v>3.6679324340085896E-2</v>
      </c>
      <c r="AC484" s="370">
        <f t="shared" si="1246"/>
        <v>3.6679324340085896E-2</v>
      </c>
      <c r="AD484" s="373">
        <f t="shared" si="1246"/>
        <v>1.9089168273052484E-2</v>
      </c>
      <c r="AE484" s="371">
        <f t="shared" si="1246"/>
        <v>1.9393575129200834E-2</v>
      </c>
      <c r="AF484" s="371">
        <f t="shared" ref="AF484" si="1247">AF483/AF492</f>
        <v>2.8504301103151976E-2</v>
      </c>
      <c r="AG484" s="372">
        <f>AG483/AG492</f>
        <v>5.8215534888219088E-2</v>
      </c>
      <c r="AH484" s="370">
        <f t="shared" ref="AH484:AK484" si="1248">AH483/AH492</f>
        <v>5.8215534888219088E-2</v>
      </c>
      <c r="AI484" s="373">
        <f t="shared" si="1248"/>
        <v>6.4724325248377332E-2</v>
      </c>
      <c r="AJ484" s="371">
        <f t="shared" si="1248"/>
        <v>5.4654401960835687E-2</v>
      </c>
      <c r="AK484" s="371">
        <f t="shared" si="1248"/>
        <v>6.9592738936013143E-2</v>
      </c>
      <c r="AL484" s="372">
        <f>AL483/AL492</f>
        <v>9.0318102397107275E-2</v>
      </c>
      <c r="AM484" s="370">
        <f t="shared" ref="AM484:AN484" si="1249">AM483/AM492</f>
        <v>9.0318102397107275E-2</v>
      </c>
      <c r="AN484" s="373">
        <f t="shared" si="1249"/>
        <v>3.1633331991329242E-2</v>
      </c>
      <c r="AO484" s="371">
        <f>AO483/AO492</f>
        <v>2.9471208042161919E-2</v>
      </c>
      <c r="AP484" s="371">
        <f>AP483/AP492</f>
        <v>1.5506906250388518E-2</v>
      </c>
      <c r="AQ484" s="372">
        <f>AQ483/AQ492</f>
        <v>2.7158109898657357E-2</v>
      </c>
      <c r="AR484" s="370">
        <f t="shared" ref="AR484:AS484" si="1250">AR483/AR492</f>
        <v>2.7158109898657357E-2</v>
      </c>
      <c r="AS484" s="373">
        <f t="shared" si="1250"/>
        <v>3.2432104021468317E-2</v>
      </c>
      <c r="AT484" s="371">
        <f t="shared" ref="AT484:BB484" si="1251">AT483/AT492</f>
        <v>3.508217043295718E-2</v>
      </c>
      <c r="AU484" s="371">
        <f t="shared" ref="AU484" si="1252">AU483/AU492</f>
        <v>3.6280707859665404E-2</v>
      </c>
      <c r="AV484" s="372">
        <f>AV483/AV492</f>
        <v>5.6211105675523475E-2</v>
      </c>
      <c r="AW484" s="370">
        <f t="shared" ref="AW484" si="1253">AW483/AW492</f>
        <v>5.6211105675523475E-2</v>
      </c>
      <c r="AX484" s="373">
        <f t="shared" si="1251"/>
        <v>5.308415489221964E-2</v>
      </c>
      <c r="AY484" s="371">
        <f t="shared" si="1251"/>
        <v>5.308415489221964E-2</v>
      </c>
      <c r="AZ484" s="371">
        <f t="shared" si="1251"/>
        <v>5.308415489221964E-2</v>
      </c>
      <c r="BA484" s="372">
        <f t="shared" si="1251"/>
        <v>5.308415489221964E-2</v>
      </c>
      <c r="BB484" s="370">
        <f t="shared" si="1251"/>
        <v>5.308415489221964E-2</v>
      </c>
      <c r="BC484" s="373">
        <f t="shared" ref="BC484:BL484" si="1254">BC483/BC492</f>
        <v>5.308415489221964E-2</v>
      </c>
      <c r="BD484" s="371">
        <f t="shared" si="1254"/>
        <v>5.308415489221964E-2</v>
      </c>
      <c r="BE484" s="371">
        <f t="shared" si="1254"/>
        <v>5.308415489221964E-2</v>
      </c>
      <c r="BF484" s="372">
        <f t="shared" si="1254"/>
        <v>5.308415489221964E-2</v>
      </c>
      <c r="BG484" s="370">
        <f t="shared" si="1254"/>
        <v>5.308415489221964E-2</v>
      </c>
      <c r="BH484" s="373">
        <f t="shared" si="1254"/>
        <v>5.308415489221964E-2</v>
      </c>
      <c r="BI484" s="371">
        <f t="shared" si="1254"/>
        <v>5.308415489221964E-2</v>
      </c>
      <c r="BJ484" s="371">
        <f t="shared" si="1254"/>
        <v>5.308415489221964E-2</v>
      </c>
      <c r="BK484" s="372">
        <f t="shared" si="1254"/>
        <v>5.308415489221964E-2</v>
      </c>
      <c r="BL484" s="370">
        <f t="shared" si="1254"/>
        <v>5.308415489221964E-2</v>
      </c>
      <c r="BM484" s="373">
        <f t="shared" ref="BM484:BQ484" si="1255">BM483/BM492</f>
        <v>5.308415489221964E-2</v>
      </c>
      <c r="BN484" s="371">
        <f t="shared" si="1255"/>
        <v>5.308415489221964E-2</v>
      </c>
      <c r="BO484" s="371">
        <f t="shared" si="1255"/>
        <v>5.308415489221964E-2</v>
      </c>
      <c r="BP484" s="372">
        <f t="shared" si="1255"/>
        <v>5.308415489221964E-2</v>
      </c>
      <c r="BQ484" s="370">
        <f t="shared" si="1255"/>
        <v>5.308415489221964E-2</v>
      </c>
      <c r="BR484" s="370"/>
      <c r="BS484" s="1497"/>
      <c r="BT484" s="1497"/>
      <c r="BU484" s="1497"/>
      <c r="BV484" s="1497"/>
    </row>
    <row r="485" spans="1:74">
      <c r="A485" s="320"/>
      <c r="B485" s="320"/>
      <c r="C485" s="1127"/>
      <c r="D485" s="320"/>
      <c r="E485" s="405"/>
      <c r="F485" s="406"/>
      <c r="G485" s="406"/>
      <c r="H485" s="407"/>
      <c r="I485" s="107"/>
      <c r="J485" s="393"/>
      <c r="K485" s="190"/>
      <c r="L485" s="190"/>
      <c r="M485" s="191"/>
      <c r="N485" s="107"/>
      <c r="O485" s="393"/>
      <c r="P485" s="190"/>
      <c r="Q485" s="190"/>
      <c r="R485" s="176"/>
      <c r="S485" s="107"/>
      <c r="T485" s="393"/>
      <c r="U485" s="190"/>
      <c r="V485" s="190"/>
      <c r="W485" s="176"/>
      <c r="X485" s="107"/>
      <c r="Y485" s="393"/>
      <c r="Z485" s="190"/>
      <c r="AA485" s="190"/>
      <c r="AB485" s="191"/>
      <c r="AC485" s="107"/>
      <c r="AD485" s="393"/>
      <c r="AE485" s="190"/>
      <c r="AF485" s="190"/>
      <c r="AG485" s="191"/>
      <c r="AH485" s="107"/>
      <c r="AI485" s="393"/>
      <c r="AJ485" s="190"/>
      <c r="AK485" s="190"/>
      <c r="AL485" s="191"/>
      <c r="AM485" s="107"/>
      <c r="AN485" s="393"/>
      <c r="AO485" s="190"/>
      <c r="AP485" s="175"/>
      <c r="AQ485" s="191"/>
      <c r="AR485" s="107"/>
      <c r="AS485" s="393"/>
      <c r="AT485" s="175"/>
      <c r="AU485" s="175"/>
      <c r="AV485" s="191"/>
      <c r="AW485" s="107"/>
      <c r="AX485" s="174"/>
      <c r="AY485" s="175"/>
      <c r="AZ485" s="175"/>
      <c r="BA485" s="176"/>
      <c r="BB485" s="107"/>
      <c r="BC485" s="174"/>
      <c r="BD485" s="175"/>
      <c r="BE485" s="175"/>
      <c r="BF485" s="176"/>
      <c r="BG485" s="107"/>
      <c r="BH485" s="174"/>
      <c r="BI485" s="175"/>
      <c r="BJ485" s="175"/>
      <c r="BK485" s="176"/>
      <c r="BL485" s="107"/>
      <c r="BM485" s="174"/>
      <c r="BN485" s="175"/>
      <c r="BO485" s="175"/>
      <c r="BP485" s="176"/>
      <c r="BQ485" s="107"/>
      <c r="BR485" s="107"/>
      <c r="BS485" s="1496"/>
      <c r="BT485" s="1496"/>
      <c r="BU485" s="1496"/>
      <c r="BV485" s="1496"/>
    </row>
    <row r="486" spans="1:74">
      <c r="A486" s="327"/>
      <c r="B486" s="327"/>
      <c r="C486" s="1164" t="s">
        <v>393</v>
      </c>
      <c r="D486" s="327"/>
      <c r="E486" s="448">
        <v>82.283000000000001</v>
      </c>
      <c r="F486" s="449">
        <v>82.302000000000007</v>
      </c>
      <c r="G486" s="449">
        <v>80.474999999999994</v>
      </c>
      <c r="H486" s="450">
        <v>86.59</v>
      </c>
      <c r="I486" s="110">
        <f>H486</f>
        <v>86.59</v>
      </c>
      <c r="J486" s="180">
        <v>0</v>
      </c>
      <c r="K486" s="181">
        <v>0</v>
      </c>
      <c r="L486" s="181">
        <v>0</v>
      </c>
      <c r="M486" s="182">
        <v>0</v>
      </c>
      <c r="N486" s="110">
        <f>M486</f>
        <v>0</v>
      </c>
      <c r="O486" s="430">
        <v>0</v>
      </c>
      <c r="P486" s="431">
        <v>0</v>
      </c>
      <c r="Q486" s="431">
        <v>0</v>
      </c>
      <c r="R486" s="432">
        <v>55.399000000000001</v>
      </c>
      <c r="S486" s="110">
        <f>R486</f>
        <v>55.399000000000001</v>
      </c>
      <c r="T486" s="430">
        <v>0</v>
      </c>
      <c r="U486" s="431">
        <v>0</v>
      </c>
      <c r="V486" s="431">
        <v>0</v>
      </c>
      <c r="W486" s="432">
        <v>0</v>
      </c>
      <c r="X486" s="110">
        <f>W486</f>
        <v>0</v>
      </c>
      <c r="Y486" s="430">
        <v>0</v>
      </c>
      <c r="Z486" s="431">
        <v>0</v>
      </c>
      <c r="AA486" s="431">
        <v>0</v>
      </c>
      <c r="AB486" s="432">
        <v>0</v>
      </c>
      <c r="AC486" s="110">
        <f>AB486</f>
        <v>0</v>
      </c>
      <c r="AD486" s="430">
        <v>0</v>
      </c>
      <c r="AE486" s="431">
        <v>0</v>
      </c>
      <c r="AF486" s="431">
        <v>24.248999999999999</v>
      </c>
      <c r="AG486" s="432">
        <v>24.248999999999999</v>
      </c>
      <c r="AH486" s="110">
        <f>AG486</f>
        <v>24.248999999999999</v>
      </c>
      <c r="AI486" s="430">
        <v>24.248999999999999</v>
      </c>
      <c r="AJ486" s="431">
        <v>24.248999999999999</v>
      </c>
      <c r="AK486" s="431">
        <v>24.248999999999999</v>
      </c>
      <c r="AL486" s="432">
        <v>24.248999999999999</v>
      </c>
      <c r="AM486" s="110">
        <f>AL486</f>
        <v>24.248999999999999</v>
      </c>
      <c r="AN486" s="430">
        <v>24.248999999999999</v>
      </c>
      <c r="AO486" s="431">
        <v>24.248999999999999</v>
      </c>
      <c r="AP486" s="431">
        <v>24.248999999999999</v>
      </c>
      <c r="AQ486" s="432">
        <v>24.248999999999999</v>
      </c>
      <c r="AR486" s="110">
        <f>AQ486</f>
        <v>24.248999999999999</v>
      </c>
      <c r="AS486" s="430">
        <v>24.248999999999999</v>
      </c>
      <c r="AT486" s="431">
        <v>24.248999999999999</v>
      </c>
      <c r="AU486" s="431">
        <v>24.248999999999999</v>
      </c>
      <c r="AV486" s="432">
        <v>24.248999999999999</v>
      </c>
      <c r="AW486" s="110">
        <f>AV486</f>
        <v>24.248999999999999</v>
      </c>
      <c r="AX486" s="180">
        <f>AV486</f>
        <v>24.248999999999999</v>
      </c>
      <c r="AY486" s="181">
        <f>AW486</f>
        <v>24.248999999999999</v>
      </c>
      <c r="AZ486" s="181">
        <f>AX486</f>
        <v>24.248999999999999</v>
      </c>
      <c r="BA486" s="182">
        <f>AY486</f>
        <v>24.248999999999999</v>
      </c>
      <c r="BB486" s="110">
        <f>BA486</f>
        <v>24.248999999999999</v>
      </c>
      <c r="BC486" s="180">
        <f>BA486</f>
        <v>24.248999999999999</v>
      </c>
      <c r="BD486" s="181">
        <f>BB486</f>
        <v>24.248999999999999</v>
      </c>
      <c r="BE486" s="181">
        <f>BC486</f>
        <v>24.248999999999999</v>
      </c>
      <c r="BF486" s="182">
        <f>BD486</f>
        <v>24.248999999999999</v>
      </c>
      <c r="BG486" s="110">
        <f>BF486</f>
        <v>24.248999999999999</v>
      </c>
      <c r="BH486" s="180">
        <f>BF486</f>
        <v>24.248999999999999</v>
      </c>
      <c r="BI486" s="181">
        <f>BG486</f>
        <v>24.248999999999999</v>
      </c>
      <c r="BJ486" s="181">
        <f>BH486</f>
        <v>24.248999999999999</v>
      </c>
      <c r="BK486" s="182">
        <f>BI486</f>
        <v>24.248999999999999</v>
      </c>
      <c r="BL486" s="110">
        <f>BK486</f>
        <v>24.248999999999999</v>
      </c>
      <c r="BM486" s="180">
        <f>BK486</f>
        <v>24.248999999999999</v>
      </c>
      <c r="BN486" s="181">
        <f>BL486</f>
        <v>24.248999999999999</v>
      </c>
      <c r="BO486" s="181">
        <f>BM486</f>
        <v>24.248999999999999</v>
      </c>
      <c r="BP486" s="182">
        <f>BN486</f>
        <v>24.248999999999999</v>
      </c>
      <c r="BQ486" s="110">
        <f>BP486</f>
        <v>24.248999999999999</v>
      </c>
      <c r="BR486" s="110"/>
      <c r="BS486" s="939"/>
      <c r="BT486" s="939"/>
      <c r="BU486" s="939"/>
      <c r="BV486" s="939"/>
    </row>
    <row r="487" spans="1:74">
      <c r="A487" s="370"/>
      <c r="B487" s="370"/>
      <c r="C487" s="1165" t="s">
        <v>17</v>
      </c>
      <c r="D487" s="370"/>
      <c r="E487" s="373">
        <f>E486/E492</f>
        <v>1.5707242038285864E-2</v>
      </c>
      <c r="F487" s="371">
        <f t="shared" ref="F487:AE487" si="1256">F486/F492</f>
        <v>1.5509956094510816E-2</v>
      </c>
      <c r="G487" s="371">
        <f t="shared" si="1256"/>
        <v>1.4885653762745522E-2</v>
      </c>
      <c r="H487" s="372">
        <f t="shared" si="1256"/>
        <v>1.5979874106126366E-2</v>
      </c>
      <c r="I487" s="370">
        <f t="shared" si="1256"/>
        <v>1.5979874106126366E-2</v>
      </c>
      <c r="J487" s="373">
        <f t="shared" si="1256"/>
        <v>0</v>
      </c>
      <c r="K487" s="371">
        <f t="shared" si="1256"/>
        <v>0</v>
      </c>
      <c r="L487" s="371">
        <f t="shared" si="1256"/>
        <v>0</v>
      </c>
      <c r="M487" s="372">
        <f t="shared" si="1256"/>
        <v>0</v>
      </c>
      <c r="N487" s="370">
        <f t="shared" si="1256"/>
        <v>0</v>
      </c>
      <c r="O487" s="373">
        <f t="shared" si="1256"/>
        <v>0</v>
      </c>
      <c r="P487" s="371">
        <f t="shared" si="1256"/>
        <v>0</v>
      </c>
      <c r="Q487" s="371">
        <f t="shared" si="1256"/>
        <v>0</v>
      </c>
      <c r="R487" s="372">
        <f t="shared" si="1256"/>
        <v>8.6844226079352913E-3</v>
      </c>
      <c r="S487" s="370">
        <f t="shared" si="1256"/>
        <v>8.6844226079352913E-3</v>
      </c>
      <c r="T487" s="373">
        <f t="shared" si="1256"/>
        <v>0</v>
      </c>
      <c r="U487" s="371">
        <f t="shared" si="1256"/>
        <v>0</v>
      </c>
      <c r="V487" s="371">
        <f>V486/V492</f>
        <v>0</v>
      </c>
      <c r="W487" s="372">
        <f>W486/W492</f>
        <v>0</v>
      </c>
      <c r="X487" s="370">
        <f>X486/X492</f>
        <v>0</v>
      </c>
      <c r="Y487" s="373">
        <f t="shared" si="1256"/>
        <v>0</v>
      </c>
      <c r="Z487" s="371">
        <f t="shared" si="1256"/>
        <v>0</v>
      </c>
      <c r="AA487" s="371">
        <f t="shared" si="1256"/>
        <v>0</v>
      </c>
      <c r="AB487" s="372">
        <f>AB486/AB492</f>
        <v>0</v>
      </c>
      <c r="AC487" s="370">
        <f t="shared" si="1256"/>
        <v>0</v>
      </c>
      <c r="AD487" s="373">
        <f t="shared" si="1256"/>
        <v>0</v>
      </c>
      <c r="AE487" s="371">
        <f t="shared" si="1256"/>
        <v>0</v>
      </c>
      <c r="AF487" s="371">
        <f t="shared" ref="AF487" si="1257">AF486/AF492</f>
        <v>4.9905474105091064E-3</v>
      </c>
      <c r="AG487" s="372">
        <f>AG486/AG492</f>
        <v>4.4415276701184414E-3</v>
      </c>
      <c r="AH487" s="370">
        <f t="shared" ref="AH487:AK487" si="1258">AH486/AH492</f>
        <v>4.4415276701184414E-3</v>
      </c>
      <c r="AI487" s="373">
        <f t="shared" si="1258"/>
        <v>4.4099594630721125E-3</v>
      </c>
      <c r="AJ487" s="371">
        <f t="shared" si="1258"/>
        <v>4.5384377547712639E-3</v>
      </c>
      <c r="AK487" s="371">
        <f t="shared" si="1258"/>
        <v>5.7154857632574088E-3</v>
      </c>
      <c r="AL487" s="372">
        <f>AL486/AL492</f>
        <v>5.9100845310989282E-3</v>
      </c>
      <c r="AM487" s="370">
        <f t="shared" ref="AM487:AN487" si="1259">AM486/AM492</f>
        <v>5.9100845310989282E-3</v>
      </c>
      <c r="AN487" s="373">
        <f t="shared" si="1259"/>
        <v>6.4228139283073159E-3</v>
      </c>
      <c r="AO487" s="371">
        <f>AO486/AO492</f>
        <v>6.0812767947716418E-3</v>
      </c>
      <c r="AP487" s="371">
        <f>AP486/AP492</f>
        <v>5.7976066492803026E-3</v>
      </c>
      <c r="AQ487" s="372">
        <f>AQ486/AQ492</f>
        <v>1.0965898042336894E-2</v>
      </c>
      <c r="AR487" s="370">
        <f t="shared" ref="AR487:AS487" si="1260">AR486/AR492</f>
        <v>1.0965898042336894E-2</v>
      </c>
      <c r="AS487" s="373">
        <f t="shared" si="1260"/>
        <v>1.083288920378778E-2</v>
      </c>
      <c r="AT487" s="371">
        <f>AT486/AT492</f>
        <v>9.9734756301954192E-3</v>
      </c>
      <c r="AU487" s="371">
        <f>AU486/AU492</f>
        <v>9.7669843786250092E-3</v>
      </c>
      <c r="AV487" s="372">
        <f>AV486/AV492</f>
        <v>1.2447723820587279E-2</v>
      </c>
      <c r="AW487" s="370">
        <f t="shared" ref="AW487" si="1261">AW486/AW492</f>
        <v>1.2447723820587279E-2</v>
      </c>
      <c r="AX487" s="373">
        <f t="shared" ref="AX487:BB487" si="1262">AX486/AX492</f>
        <v>1.2488965479590901E-2</v>
      </c>
      <c r="AY487" s="371">
        <f t="shared" si="1262"/>
        <v>1.2488965479590901E-2</v>
      </c>
      <c r="AZ487" s="371">
        <f t="shared" si="1262"/>
        <v>1.2488965479590901E-2</v>
      </c>
      <c r="BA487" s="372">
        <f t="shared" si="1262"/>
        <v>1.2488965479590901E-2</v>
      </c>
      <c r="BB487" s="370">
        <f t="shared" si="1262"/>
        <v>1.2488965479590901E-2</v>
      </c>
      <c r="BC487" s="373">
        <f t="shared" ref="BC487:BL487" si="1263">BC486/BC492</f>
        <v>1.2488965479590901E-2</v>
      </c>
      <c r="BD487" s="371">
        <f t="shared" si="1263"/>
        <v>1.2488965479590901E-2</v>
      </c>
      <c r="BE487" s="371">
        <f t="shared" si="1263"/>
        <v>1.2488965479590901E-2</v>
      </c>
      <c r="BF487" s="372">
        <f t="shared" si="1263"/>
        <v>1.2488965479590901E-2</v>
      </c>
      <c r="BG487" s="370">
        <f t="shared" si="1263"/>
        <v>1.2488965479590901E-2</v>
      </c>
      <c r="BH487" s="373">
        <f t="shared" si="1263"/>
        <v>1.2488965479590901E-2</v>
      </c>
      <c r="BI487" s="371">
        <f t="shared" si="1263"/>
        <v>1.2488965479590901E-2</v>
      </c>
      <c r="BJ487" s="371">
        <f t="shared" si="1263"/>
        <v>1.2488965479590901E-2</v>
      </c>
      <c r="BK487" s="372">
        <f t="shared" si="1263"/>
        <v>1.2488965479590901E-2</v>
      </c>
      <c r="BL487" s="370">
        <f t="shared" si="1263"/>
        <v>1.2488965479590901E-2</v>
      </c>
      <c r="BM487" s="373">
        <f t="shared" ref="BM487:BQ487" si="1264">BM486/BM492</f>
        <v>1.2488965479590901E-2</v>
      </c>
      <c r="BN487" s="371">
        <f t="shared" si="1264"/>
        <v>1.2488965479590901E-2</v>
      </c>
      <c r="BO487" s="371">
        <f t="shared" si="1264"/>
        <v>1.2488965479590901E-2</v>
      </c>
      <c r="BP487" s="372">
        <f t="shared" si="1264"/>
        <v>1.2488965479590901E-2</v>
      </c>
      <c r="BQ487" s="370">
        <f t="shared" si="1264"/>
        <v>1.2488965479590901E-2</v>
      </c>
      <c r="BR487" s="370"/>
      <c r="BS487" s="1497"/>
      <c r="BT487" s="1497"/>
      <c r="BU487" s="1497"/>
      <c r="BV487" s="1497"/>
    </row>
    <row r="488" spans="1:74">
      <c r="A488" s="320"/>
      <c r="B488" s="320"/>
      <c r="C488" s="1165"/>
      <c r="D488" s="320"/>
      <c r="E488" s="405"/>
      <c r="F488" s="406"/>
      <c r="G488" s="406"/>
      <c r="H488" s="407"/>
      <c r="I488" s="107"/>
      <c r="J488" s="393"/>
      <c r="K488" s="190"/>
      <c r="L488" s="190"/>
      <c r="M488" s="191"/>
      <c r="N488" s="107"/>
      <c r="O488" s="393"/>
      <c r="P488" s="190"/>
      <c r="Q488" s="184"/>
      <c r="R488" s="176"/>
      <c r="S488" s="107"/>
      <c r="T488" s="393"/>
      <c r="U488" s="190"/>
      <c r="V488" s="184"/>
      <c r="W488" s="176"/>
      <c r="X488" s="107"/>
      <c r="Y488" s="393"/>
      <c r="Z488" s="190"/>
      <c r="AA488" s="190"/>
      <c r="AB488" s="191"/>
      <c r="AC488" s="107"/>
      <c r="AD488" s="393"/>
      <c r="AE488" s="190"/>
      <c r="AF488" s="190"/>
      <c r="AG488" s="191"/>
      <c r="AH488" s="107"/>
      <c r="AI488" s="393"/>
      <c r="AJ488" s="190"/>
      <c r="AK488" s="190"/>
      <c r="AL488" s="191"/>
      <c r="AM488" s="107"/>
      <c r="AN488" s="393"/>
      <c r="AO488" s="190"/>
      <c r="AP488" s="175"/>
      <c r="AQ488" s="191"/>
      <c r="AR488" s="107"/>
      <c r="AS488" s="393"/>
      <c r="AT488" s="175"/>
      <c r="AU488" s="175"/>
      <c r="AV488" s="191"/>
      <c r="AW488" s="107"/>
      <c r="AX488" s="174"/>
      <c r="AY488" s="175"/>
      <c r="AZ488" s="175"/>
      <c r="BA488" s="176"/>
      <c r="BB488" s="107"/>
      <c r="BC488" s="174"/>
      <c r="BD488" s="175"/>
      <c r="BE488" s="175"/>
      <c r="BF488" s="176"/>
      <c r="BG488" s="107"/>
      <c r="BH488" s="174"/>
      <c r="BI488" s="175"/>
      <c r="BJ488" s="175"/>
      <c r="BK488" s="176"/>
      <c r="BL488" s="107"/>
      <c r="BM488" s="174"/>
      <c r="BN488" s="175"/>
      <c r="BO488" s="175"/>
      <c r="BP488" s="176"/>
      <c r="BQ488" s="107"/>
      <c r="BR488" s="107"/>
      <c r="BS488" s="1496"/>
      <c r="BT488" s="1496"/>
      <c r="BU488" s="1496"/>
      <c r="BV488" s="1496"/>
    </row>
    <row r="489" spans="1:74">
      <c r="A489" s="327"/>
      <c r="B489" s="327"/>
      <c r="C489" s="1164" t="s">
        <v>619</v>
      </c>
      <c r="D489" s="327"/>
      <c r="E489" s="448">
        <v>4928.0280000000002</v>
      </c>
      <c r="F489" s="449">
        <v>5008.5940000000001</v>
      </c>
      <c r="G489" s="449">
        <v>5124.2550000000001</v>
      </c>
      <c r="H489" s="450">
        <v>4764.0640000000003</v>
      </c>
      <c r="I489" s="110">
        <f>H489</f>
        <v>4764.0640000000003</v>
      </c>
      <c r="J489" s="430">
        <v>5079.8649999999998</v>
      </c>
      <c r="K489" s="431">
        <v>5096.9709999999995</v>
      </c>
      <c r="L489" s="431">
        <v>4782.1859999999997</v>
      </c>
      <c r="M489" s="432">
        <v>3818.393</v>
      </c>
      <c r="N489" s="110">
        <f>M489</f>
        <v>3818.393</v>
      </c>
      <c r="O489" s="430">
        <v>5866.125</v>
      </c>
      <c r="P489" s="431">
        <f>398.987+1734.283+3782.375+29.196</f>
        <v>5944.8410000000003</v>
      </c>
      <c r="Q489" s="431">
        <v>5989.433</v>
      </c>
      <c r="R489" s="432">
        <v>6049.857</v>
      </c>
      <c r="S489" s="110">
        <f>R489</f>
        <v>6049.857</v>
      </c>
      <c r="T489" s="430">
        <v>6125.8289999999997</v>
      </c>
      <c r="U489" s="431">
        <v>6075.0720000000001</v>
      </c>
      <c r="V489" s="431">
        <v>5947.37</v>
      </c>
      <c r="W489" s="432">
        <v>5230.2740000000003</v>
      </c>
      <c r="X489" s="110">
        <f>W489</f>
        <v>5230.2740000000003</v>
      </c>
      <c r="Y489" s="430">
        <v>5329.0519999999997</v>
      </c>
      <c r="Z489" s="431">
        <v>5466.8209999999999</v>
      </c>
      <c r="AA489" s="431">
        <v>5219.8339999999998</v>
      </c>
      <c r="AB489" s="432">
        <v>5219.8339999999998</v>
      </c>
      <c r="AC489" s="110">
        <f>AB489</f>
        <v>5219.8339999999998</v>
      </c>
      <c r="AD489" s="430">
        <v>4918.6419999999998</v>
      </c>
      <c r="AE489" s="431">
        <v>4884.7849999999999</v>
      </c>
      <c r="AF489" s="431">
        <v>4696.2349999999997</v>
      </c>
      <c r="AG489" s="432">
        <v>5117.5249999999996</v>
      </c>
      <c r="AH489" s="110">
        <f>AG489</f>
        <v>5117.5249999999996</v>
      </c>
      <c r="AI489" s="430">
        <v>5118.5420000000004</v>
      </c>
      <c r="AJ489" s="431">
        <v>5026.759</v>
      </c>
      <c r="AK489" s="431">
        <v>3923.1750000000002</v>
      </c>
      <c r="AL489" s="432">
        <v>3708.1640000000002</v>
      </c>
      <c r="AM489" s="110">
        <f>AL489</f>
        <v>3708.1640000000002</v>
      </c>
      <c r="AN489" s="430">
        <v>3631.7689999999998</v>
      </c>
      <c r="AO489" s="431">
        <v>3845.72</v>
      </c>
      <c r="AP489" s="431">
        <v>4093.48</v>
      </c>
      <c r="AQ489" s="432">
        <v>2127.0059999999999</v>
      </c>
      <c r="AR489" s="110">
        <f>AQ489</f>
        <v>2127.0059999999999</v>
      </c>
      <c r="AS489" s="430">
        <v>2141.614</v>
      </c>
      <c r="AT489" s="431">
        <v>2321.8029999999999</v>
      </c>
      <c r="AU489" s="431">
        <v>2368.4270000000001</v>
      </c>
      <c r="AV489" s="432">
        <v>1814.3150000000001</v>
      </c>
      <c r="AW489" s="110">
        <f>AV489</f>
        <v>1814.3150000000001</v>
      </c>
      <c r="AX489" s="180">
        <f>AV489+AX467</f>
        <v>1814.3150000000001</v>
      </c>
      <c r="AY489" s="181">
        <f>AX489+AY467</f>
        <v>1814.3150000000001</v>
      </c>
      <c r="AZ489" s="181">
        <f>AY489+AZ467</f>
        <v>1814.3150000000001</v>
      </c>
      <c r="BA489" s="182">
        <f>AZ489+BA467</f>
        <v>1814.3150000000001</v>
      </c>
      <c r="BB489" s="110">
        <f>BA489</f>
        <v>1814.3150000000001</v>
      </c>
      <c r="BC489" s="180">
        <f>BA489+BC467</f>
        <v>1814.3150000000001</v>
      </c>
      <c r="BD489" s="181">
        <f>BC489+BD467</f>
        <v>1814.3150000000001</v>
      </c>
      <c r="BE489" s="181">
        <f>BD489+BE467</f>
        <v>1814.3150000000001</v>
      </c>
      <c r="BF489" s="182">
        <f>BE489+BF467</f>
        <v>1814.3150000000001</v>
      </c>
      <c r="BG489" s="110">
        <f>BF489</f>
        <v>1814.3150000000001</v>
      </c>
      <c r="BH489" s="180">
        <f>BF489+BH467</f>
        <v>1814.3150000000001</v>
      </c>
      <c r="BI489" s="181">
        <f>BH489+BI467</f>
        <v>1814.3150000000001</v>
      </c>
      <c r="BJ489" s="181">
        <f>BI489+BJ467</f>
        <v>1814.3150000000001</v>
      </c>
      <c r="BK489" s="182">
        <f>BJ489+BK467</f>
        <v>1814.3150000000001</v>
      </c>
      <c r="BL489" s="110">
        <f>BK489</f>
        <v>1814.3150000000001</v>
      </c>
      <c r="BM489" s="180">
        <f>BK489+BM467</f>
        <v>1814.3150000000001</v>
      </c>
      <c r="BN489" s="181">
        <f>BM489+BN467</f>
        <v>1814.3150000000001</v>
      </c>
      <c r="BO489" s="181">
        <f>BN489+BO467</f>
        <v>1814.3150000000001</v>
      </c>
      <c r="BP489" s="182">
        <f>BO489+BP467</f>
        <v>1814.3150000000001</v>
      </c>
      <c r="BQ489" s="110">
        <f>BP489</f>
        <v>1814.3150000000001</v>
      </c>
      <c r="BR489" s="110"/>
      <c r="BS489" s="939"/>
      <c r="BT489" s="939"/>
      <c r="BU489" s="939"/>
      <c r="BV489" s="939"/>
    </row>
    <row r="490" spans="1:74">
      <c r="A490" s="370"/>
      <c r="B490" s="370"/>
      <c r="C490" s="1165" t="s">
        <v>17</v>
      </c>
      <c r="D490" s="370"/>
      <c r="E490" s="373">
        <f>E489/E492</f>
        <v>0.94072564888798182</v>
      </c>
      <c r="F490" s="371">
        <f t="shared" ref="F490:AE490" si="1265">F489/F492</f>
        <v>0.94387831444230152</v>
      </c>
      <c r="G490" s="371">
        <f t="shared" si="1265"/>
        <v>0.94784573745905631</v>
      </c>
      <c r="H490" s="372">
        <f t="shared" si="1265"/>
        <v>0.87919093375134316</v>
      </c>
      <c r="I490" s="370">
        <f t="shared" si="1265"/>
        <v>0.87919093375134316</v>
      </c>
      <c r="J490" s="373">
        <f t="shared" si="1265"/>
        <v>0.96476189499465193</v>
      </c>
      <c r="K490" s="371">
        <f t="shared" si="1265"/>
        <v>0.96481609709319338</v>
      </c>
      <c r="L490" s="371">
        <f t="shared" si="1265"/>
        <v>0.96446638263543993</v>
      </c>
      <c r="M490" s="372">
        <f t="shared" si="1265"/>
        <v>0.92583038535117557</v>
      </c>
      <c r="N490" s="370">
        <f t="shared" si="1265"/>
        <v>0.92583038535117557</v>
      </c>
      <c r="O490" s="373">
        <f t="shared" si="1265"/>
        <v>0.95769810590093374</v>
      </c>
      <c r="P490" s="371">
        <f t="shared" si="1265"/>
        <v>0.95853967210778102</v>
      </c>
      <c r="Q490" s="371">
        <f t="shared" si="1265"/>
        <v>0.96438304154630194</v>
      </c>
      <c r="R490" s="372">
        <f t="shared" si="1265"/>
        <v>0.94838381388789661</v>
      </c>
      <c r="S490" s="370">
        <f t="shared" si="1265"/>
        <v>0.94838381388789661</v>
      </c>
      <c r="T490" s="373">
        <f t="shared" si="1265"/>
        <v>0.95746477631648041</v>
      </c>
      <c r="U490" s="371">
        <f t="shared" si="1265"/>
        <v>0.97827183364133097</v>
      </c>
      <c r="V490" s="371">
        <f>V489/V492</f>
        <v>0.97937382927481931</v>
      </c>
      <c r="W490" s="372">
        <f>W489/W492</f>
        <v>0.97918782590690412</v>
      </c>
      <c r="X490" s="370">
        <f>X489/X492</f>
        <v>0.97918782590690412</v>
      </c>
      <c r="Y490" s="373">
        <f t="shared" si="1265"/>
        <v>0.9797117627506523</v>
      </c>
      <c r="Z490" s="371">
        <f t="shared" si="1265"/>
        <v>0.98009395728177895</v>
      </c>
      <c r="AA490" s="371">
        <f t="shared" si="1265"/>
        <v>0.94295602993492855</v>
      </c>
      <c r="AB490" s="372">
        <f>AB489/AB492</f>
        <v>0.96332067565991408</v>
      </c>
      <c r="AC490" s="370">
        <f t="shared" si="1265"/>
        <v>0.96332067565991408</v>
      </c>
      <c r="AD490" s="373">
        <f t="shared" si="1265"/>
        <v>0.98091083172694749</v>
      </c>
      <c r="AE490" s="371">
        <f t="shared" si="1265"/>
        <v>0.98060642487079919</v>
      </c>
      <c r="AF490" s="371">
        <f t="shared" ref="AF490" si="1266">AF489/AF492</f>
        <v>0.96650515148633886</v>
      </c>
      <c r="AG490" s="372">
        <f>AG489/AG492</f>
        <v>0.93734293744166253</v>
      </c>
      <c r="AH490" s="370">
        <f t="shared" ref="AH490:AK490" si="1267">AH489/AH492</f>
        <v>0.93734293744166253</v>
      </c>
      <c r="AI490" s="373">
        <f t="shared" si="1267"/>
        <v>0.93086571528855055</v>
      </c>
      <c r="AJ490" s="371">
        <f t="shared" si="1267"/>
        <v>0.94080716028439304</v>
      </c>
      <c r="AK490" s="371">
        <f t="shared" si="1267"/>
        <v>0.92469177530072943</v>
      </c>
      <c r="AL490" s="372">
        <f>AL489/AL492</f>
        <v>0.90377181307179377</v>
      </c>
      <c r="AM490" s="370">
        <f t="shared" ref="AM490:AO490" si="1268">AM489/AM492</f>
        <v>0.90377181307179377</v>
      </c>
      <c r="AN490" s="373">
        <f t="shared" si="1268"/>
        <v>0.96194385408036343</v>
      </c>
      <c r="AO490" s="371">
        <f t="shared" si="1268"/>
        <v>0.96444751516306648</v>
      </c>
      <c r="AP490" s="371">
        <f t="shared" ref="AP490" si="1269">AP489/AP492</f>
        <v>0.97869548710033127</v>
      </c>
      <c r="AQ490" s="372">
        <f>AQ489/AQ492</f>
        <v>0.96187599205900576</v>
      </c>
      <c r="AR490" s="370">
        <f t="shared" ref="AR490:AU490" si="1270">AR489/AR492</f>
        <v>0.96187599205900576</v>
      </c>
      <c r="AS490" s="373">
        <f t="shared" si="1270"/>
        <v>0.95673500677474377</v>
      </c>
      <c r="AT490" s="371">
        <f t="shared" si="1270"/>
        <v>0.95494435393684751</v>
      </c>
      <c r="AU490" s="371">
        <f t="shared" si="1270"/>
        <v>0.95395230776170969</v>
      </c>
      <c r="AV490" s="372">
        <f t="shared" ref="AV490:BB490" si="1271">AV489/AV492</f>
        <v>0.93134117050388932</v>
      </c>
      <c r="AW490" s="370">
        <f t="shared" si="1271"/>
        <v>0.93134117050388932</v>
      </c>
      <c r="AX490" s="373">
        <f t="shared" si="1271"/>
        <v>0.93442687962818949</v>
      </c>
      <c r="AY490" s="371">
        <f t="shared" si="1271"/>
        <v>0.93442687962818949</v>
      </c>
      <c r="AZ490" s="371">
        <f t="shared" si="1271"/>
        <v>0.93442687962818949</v>
      </c>
      <c r="BA490" s="372">
        <f t="shared" si="1271"/>
        <v>0.93442687962818949</v>
      </c>
      <c r="BB490" s="370">
        <f t="shared" si="1271"/>
        <v>0.93442687962818949</v>
      </c>
      <c r="BC490" s="373">
        <f t="shared" ref="BC490:BL490" si="1272">BC489/BC492</f>
        <v>0.93442687962818949</v>
      </c>
      <c r="BD490" s="371">
        <f t="shared" si="1272"/>
        <v>0.93442687962818949</v>
      </c>
      <c r="BE490" s="371">
        <f t="shared" si="1272"/>
        <v>0.93442687962818949</v>
      </c>
      <c r="BF490" s="372">
        <f t="shared" si="1272"/>
        <v>0.93442687962818949</v>
      </c>
      <c r="BG490" s="370">
        <f t="shared" si="1272"/>
        <v>0.93442687962818949</v>
      </c>
      <c r="BH490" s="373">
        <f t="shared" si="1272"/>
        <v>0.93442687962818949</v>
      </c>
      <c r="BI490" s="371">
        <f t="shared" si="1272"/>
        <v>0.93442687962818949</v>
      </c>
      <c r="BJ490" s="371">
        <f t="shared" si="1272"/>
        <v>0.93442687962818949</v>
      </c>
      <c r="BK490" s="372">
        <f t="shared" si="1272"/>
        <v>0.93442687962818949</v>
      </c>
      <c r="BL490" s="370">
        <f t="shared" si="1272"/>
        <v>0.93442687962818949</v>
      </c>
      <c r="BM490" s="373">
        <f t="shared" ref="BM490:BQ490" si="1273">BM489/BM492</f>
        <v>0.93442687962818949</v>
      </c>
      <c r="BN490" s="371">
        <f t="shared" si="1273"/>
        <v>0.93442687962818949</v>
      </c>
      <c r="BO490" s="371">
        <f t="shared" si="1273"/>
        <v>0.93442687962818949</v>
      </c>
      <c r="BP490" s="372">
        <f t="shared" si="1273"/>
        <v>0.93442687962818949</v>
      </c>
      <c r="BQ490" s="370">
        <f t="shared" si="1273"/>
        <v>0.93442687962818949</v>
      </c>
      <c r="BR490" s="370"/>
      <c r="BS490" s="1497"/>
      <c r="BT490" s="1497"/>
      <c r="BU490" s="1497"/>
      <c r="BV490" s="1497"/>
    </row>
    <row r="491" spans="1:74">
      <c r="A491" s="320"/>
      <c r="B491" s="320"/>
      <c r="C491" s="1165"/>
      <c r="D491" s="320"/>
      <c r="E491" s="405"/>
      <c r="F491" s="406"/>
      <c r="G491" s="406"/>
      <c r="H491" s="407"/>
      <c r="I491" s="107"/>
      <c r="J491" s="393"/>
      <c r="K491" s="190"/>
      <c r="L491" s="190"/>
      <c r="M491" s="191"/>
      <c r="N491" s="107"/>
      <c r="O491" s="393"/>
      <c r="P491" s="190"/>
      <c r="Q491" s="190"/>
      <c r="R491" s="176"/>
      <c r="S491" s="107"/>
      <c r="T491" s="393"/>
      <c r="U491" s="190"/>
      <c r="V491" s="190"/>
      <c r="W491" s="176"/>
      <c r="X491" s="107"/>
      <c r="Y491" s="393"/>
      <c r="Z491" s="190"/>
      <c r="AA491" s="190"/>
      <c r="AB491" s="191"/>
      <c r="AC491" s="107"/>
      <c r="AD491" s="393"/>
      <c r="AE491" s="190"/>
      <c r="AF491" s="190"/>
      <c r="AG491" s="191"/>
      <c r="AH491" s="107"/>
      <c r="AI491" s="393"/>
      <c r="AJ491" s="190"/>
      <c r="AK491" s="190"/>
      <c r="AL491" s="191"/>
      <c r="AM491" s="107"/>
      <c r="AN491" s="393"/>
      <c r="AO491" s="190"/>
      <c r="AP491" s="190"/>
      <c r="AQ491" s="191"/>
      <c r="AR491" s="107"/>
      <c r="AS491" s="393"/>
      <c r="AT491" s="190"/>
      <c r="AU491" s="190"/>
      <c r="AV491" s="191"/>
      <c r="AW491" s="107"/>
      <c r="AX491" s="174"/>
      <c r="AY491" s="175"/>
      <c r="AZ491" s="175"/>
      <c r="BA491" s="176"/>
      <c r="BB491" s="107"/>
      <c r="BC491" s="174"/>
      <c r="BD491" s="175"/>
      <c r="BE491" s="175"/>
      <c r="BF491" s="176"/>
      <c r="BG491" s="107"/>
      <c r="BH491" s="174"/>
      <c r="BI491" s="175"/>
      <c r="BJ491" s="175"/>
      <c r="BK491" s="176"/>
      <c r="BL491" s="107"/>
      <c r="BM491" s="174"/>
      <c r="BN491" s="175"/>
      <c r="BO491" s="175"/>
      <c r="BP491" s="176"/>
      <c r="BQ491" s="107"/>
      <c r="BR491" s="107"/>
      <c r="BS491" s="1496"/>
      <c r="BT491" s="1496"/>
      <c r="BU491" s="1496"/>
      <c r="BV491" s="1496"/>
    </row>
    <row r="492" spans="1:74">
      <c r="A492" s="327"/>
      <c r="B492" s="327"/>
      <c r="C492" s="1164" t="s">
        <v>80</v>
      </c>
      <c r="D492" s="327"/>
      <c r="E492" s="335">
        <f>E483+E486+E489</f>
        <v>5238.5390000000007</v>
      </c>
      <c r="F492" s="336">
        <f t="shared" ref="F492:AC492" si="1274">F483+F486+F489</f>
        <v>5306.3980000000001</v>
      </c>
      <c r="G492" s="336">
        <f t="shared" si="1274"/>
        <v>5406.2120000000004</v>
      </c>
      <c r="H492" s="337">
        <f t="shared" si="1274"/>
        <v>5418.6910000000007</v>
      </c>
      <c r="I492" s="110">
        <f t="shared" si="1274"/>
        <v>5418.6910000000007</v>
      </c>
      <c r="J492" s="180">
        <f t="shared" si="1274"/>
        <v>5265.4079999999994</v>
      </c>
      <c r="K492" s="181">
        <f t="shared" si="1274"/>
        <v>5282.8419999999996</v>
      </c>
      <c r="L492" s="181">
        <f t="shared" si="1274"/>
        <v>4958.375</v>
      </c>
      <c r="M492" s="182">
        <f t="shared" si="1274"/>
        <v>4124.29</v>
      </c>
      <c r="N492" s="110">
        <f t="shared" si="1274"/>
        <v>4124.29</v>
      </c>
      <c r="O492" s="180">
        <f t="shared" si="1274"/>
        <v>6125.2340000000004</v>
      </c>
      <c r="P492" s="181">
        <f t="shared" si="1274"/>
        <v>6201.9770000000008</v>
      </c>
      <c r="Q492" s="181">
        <f t="shared" si="1274"/>
        <v>6210.6369999999997</v>
      </c>
      <c r="R492" s="182">
        <f t="shared" si="1274"/>
        <v>6379.1229999999996</v>
      </c>
      <c r="S492" s="110">
        <f t="shared" si="1274"/>
        <v>6379.1229999999996</v>
      </c>
      <c r="T492" s="180">
        <f t="shared" si="1274"/>
        <v>6397.9679999999998</v>
      </c>
      <c r="U492" s="181">
        <f t="shared" si="1274"/>
        <v>6210.0039999999999</v>
      </c>
      <c r="V492" s="181">
        <f>V483+V486+V489</f>
        <v>6072.625</v>
      </c>
      <c r="W492" s="182">
        <f>W483+W486+W489</f>
        <v>5341.4410000000007</v>
      </c>
      <c r="X492" s="110">
        <f>X483+X486+X489</f>
        <v>5341.4410000000007</v>
      </c>
      <c r="Y492" s="180">
        <f t="shared" si="1274"/>
        <v>5439.4079999999994</v>
      </c>
      <c r="Z492" s="181">
        <f t="shared" si="1274"/>
        <v>5577.8540000000003</v>
      </c>
      <c r="AA492" s="181">
        <f t="shared" si="1274"/>
        <v>5535.607</v>
      </c>
      <c r="AB492" s="182">
        <f>AB483+AB486+AB489</f>
        <v>5418.5839999999998</v>
      </c>
      <c r="AC492" s="110">
        <f t="shared" si="1274"/>
        <v>5418.5839999999998</v>
      </c>
      <c r="AD492" s="180">
        <f>AD483+AD486+AD489</f>
        <v>5014.3620000000001</v>
      </c>
      <c r="AE492" s="181">
        <f>AE483+AE486+AE489</f>
        <v>4981.3919999999998</v>
      </c>
      <c r="AF492" s="181">
        <f t="shared" ref="AF492" si="1275">AF483+AF486+AF489</f>
        <v>4858.9859999999999</v>
      </c>
      <c r="AG492" s="182">
        <f>AG483+AG486+AG489</f>
        <v>5459.6079999999993</v>
      </c>
      <c r="AH492" s="110">
        <f t="shared" ref="AH492" si="1276">AH483+AH486+AH489</f>
        <v>5459.6079999999993</v>
      </c>
      <c r="AI492" s="180">
        <f>AI483+AI486+AI489</f>
        <v>5498.6900000000005</v>
      </c>
      <c r="AJ492" s="181">
        <f>AJ483+AJ486+AJ489</f>
        <v>5343.0280000000002</v>
      </c>
      <c r="AK492" s="181">
        <f t="shared" ref="AK492" si="1277">AK483+AK486+AK489</f>
        <v>4242.6840000000002</v>
      </c>
      <c r="AL492" s="182">
        <f>AL483+AL486+AL489</f>
        <v>4102.9870000000001</v>
      </c>
      <c r="AM492" s="110">
        <f t="shared" ref="AM492" si="1278">AM483+AM486+AM489</f>
        <v>4102.9870000000001</v>
      </c>
      <c r="AN492" s="180">
        <f>AN483+AN486+AN489</f>
        <v>3775.4479999999999</v>
      </c>
      <c r="AO492" s="181">
        <f>AO483+AO486+AO489</f>
        <v>3987.4849999999997</v>
      </c>
      <c r="AP492" s="181">
        <f>AP483+AP486+AP489</f>
        <v>4182.5879999999997</v>
      </c>
      <c r="AQ492" s="182">
        <f>AQ483+AQ486+AQ489</f>
        <v>2211.31</v>
      </c>
      <c r="AR492" s="110">
        <f t="shared" ref="AR492" si="1279">AR483+AR486+AR489</f>
        <v>2211.31</v>
      </c>
      <c r="AS492" s="180">
        <f>AS483+AS486+AS489</f>
        <v>2238.4610000000002</v>
      </c>
      <c r="AT492" s="181">
        <f>AT483+AT486+AT489</f>
        <v>2431.3489999999997</v>
      </c>
      <c r="AU492" s="181">
        <f t="shared" ref="AU492" si="1280">AU483+AU486+AU489</f>
        <v>2482.752</v>
      </c>
      <c r="AV492" s="182">
        <f>AV483+AV486+AV489</f>
        <v>1948.067</v>
      </c>
      <c r="AW492" s="110">
        <f t="shared" ref="AW492:BB492" si="1281">AW483+AW486+AW489</f>
        <v>1948.067</v>
      </c>
      <c r="AX492" s="180">
        <f t="shared" si="1281"/>
        <v>1941.634</v>
      </c>
      <c r="AY492" s="181">
        <f t="shared" si="1281"/>
        <v>1941.634</v>
      </c>
      <c r="AZ492" s="181">
        <f t="shared" si="1281"/>
        <v>1941.634</v>
      </c>
      <c r="BA492" s="182">
        <f t="shared" si="1281"/>
        <v>1941.634</v>
      </c>
      <c r="BB492" s="110">
        <f t="shared" si="1281"/>
        <v>1941.634</v>
      </c>
      <c r="BC492" s="180">
        <f t="shared" ref="BC492:BL492" si="1282">BC483+BC486+BC489</f>
        <v>1941.634</v>
      </c>
      <c r="BD492" s="181">
        <f t="shared" si="1282"/>
        <v>1941.634</v>
      </c>
      <c r="BE492" s="181">
        <f t="shared" si="1282"/>
        <v>1941.634</v>
      </c>
      <c r="BF492" s="182">
        <f t="shared" si="1282"/>
        <v>1941.634</v>
      </c>
      <c r="BG492" s="110">
        <f t="shared" si="1282"/>
        <v>1941.634</v>
      </c>
      <c r="BH492" s="180">
        <f t="shared" si="1282"/>
        <v>1941.634</v>
      </c>
      <c r="BI492" s="181">
        <f t="shared" si="1282"/>
        <v>1941.634</v>
      </c>
      <c r="BJ492" s="181">
        <f t="shared" si="1282"/>
        <v>1941.634</v>
      </c>
      <c r="BK492" s="182">
        <f t="shared" si="1282"/>
        <v>1941.634</v>
      </c>
      <c r="BL492" s="110">
        <f t="shared" si="1282"/>
        <v>1941.634</v>
      </c>
      <c r="BM492" s="180">
        <f t="shared" ref="BM492:BQ492" si="1283">BM483+BM486+BM489</f>
        <v>1941.634</v>
      </c>
      <c r="BN492" s="181">
        <f t="shared" si="1283"/>
        <v>1941.634</v>
      </c>
      <c r="BO492" s="181">
        <f t="shared" si="1283"/>
        <v>1941.634</v>
      </c>
      <c r="BP492" s="182">
        <f t="shared" si="1283"/>
        <v>1941.634</v>
      </c>
      <c r="BQ492" s="110">
        <f t="shared" si="1283"/>
        <v>1941.634</v>
      </c>
      <c r="BR492" s="110"/>
      <c r="BS492" s="939"/>
      <c r="BT492" s="939"/>
      <c r="BU492" s="939"/>
      <c r="BV492" s="939"/>
    </row>
    <row r="493" spans="1:74">
      <c r="A493" s="370"/>
      <c r="B493" s="370"/>
      <c r="C493" s="1165" t="s">
        <v>17</v>
      </c>
      <c r="D493" s="370"/>
      <c r="E493" s="373">
        <f>(E483+E486+E489)/E492</f>
        <v>1</v>
      </c>
      <c r="F493" s="371">
        <f t="shared" ref="F493:AE493" si="1284">(F483+F486+F489)/F492</f>
        <v>1</v>
      </c>
      <c r="G493" s="371">
        <f t="shared" si="1284"/>
        <v>1</v>
      </c>
      <c r="H493" s="372">
        <f t="shared" si="1284"/>
        <v>1</v>
      </c>
      <c r="I493" s="370">
        <f t="shared" si="1284"/>
        <v>1</v>
      </c>
      <c r="J493" s="373">
        <f t="shared" si="1284"/>
        <v>1</v>
      </c>
      <c r="K493" s="371">
        <f t="shared" si="1284"/>
        <v>1</v>
      </c>
      <c r="L493" s="371">
        <f t="shared" si="1284"/>
        <v>1</v>
      </c>
      <c r="M493" s="372">
        <f t="shared" si="1284"/>
        <v>1</v>
      </c>
      <c r="N493" s="370">
        <f t="shared" si="1284"/>
        <v>1</v>
      </c>
      <c r="O493" s="373">
        <f t="shared" si="1284"/>
        <v>1</v>
      </c>
      <c r="P493" s="371">
        <f t="shared" si="1284"/>
        <v>1</v>
      </c>
      <c r="Q493" s="371">
        <f t="shared" si="1284"/>
        <v>1</v>
      </c>
      <c r="R493" s="372">
        <f t="shared" si="1284"/>
        <v>1</v>
      </c>
      <c r="S493" s="370">
        <f t="shared" si="1284"/>
        <v>1</v>
      </c>
      <c r="T493" s="373">
        <f t="shared" si="1284"/>
        <v>1</v>
      </c>
      <c r="U493" s="371">
        <f t="shared" si="1284"/>
        <v>1</v>
      </c>
      <c r="V493" s="371">
        <f>(V483+V486+V489)/V492</f>
        <v>1</v>
      </c>
      <c r="W493" s="372">
        <f>(W483+W486+W489)/W492</f>
        <v>1</v>
      </c>
      <c r="X493" s="370">
        <f>(X483+X486+X489)/X492</f>
        <v>1</v>
      </c>
      <c r="Y493" s="373">
        <f t="shared" si="1284"/>
        <v>1</v>
      </c>
      <c r="Z493" s="371">
        <f t="shared" si="1284"/>
        <v>1</v>
      </c>
      <c r="AA493" s="371">
        <f t="shared" si="1284"/>
        <v>1</v>
      </c>
      <c r="AB493" s="372">
        <f>(AB483+AB486+AB489)/AB492</f>
        <v>1</v>
      </c>
      <c r="AC493" s="370">
        <f t="shared" si="1284"/>
        <v>1</v>
      </c>
      <c r="AD493" s="373">
        <f t="shared" si="1284"/>
        <v>1</v>
      </c>
      <c r="AE493" s="371">
        <f t="shared" si="1284"/>
        <v>1</v>
      </c>
      <c r="AF493" s="371">
        <f t="shared" ref="AF493" si="1285">(AF483+AF486+AF489)/AF492</f>
        <v>1</v>
      </c>
      <c r="AG493" s="372">
        <f>(AG483+AG486+AG489)/AG492</f>
        <v>1</v>
      </c>
      <c r="AH493" s="370">
        <f t="shared" ref="AH493:AK493" si="1286">(AH483+AH486+AH489)/AH492</f>
        <v>1</v>
      </c>
      <c r="AI493" s="373">
        <f t="shared" si="1286"/>
        <v>1</v>
      </c>
      <c r="AJ493" s="371">
        <f t="shared" si="1286"/>
        <v>1</v>
      </c>
      <c r="AK493" s="371">
        <f t="shared" si="1286"/>
        <v>1</v>
      </c>
      <c r="AL493" s="372">
        <f>(AL483+AL486+AL489)/AL492</f>
        <v>1</v>
      </c>
      <c r="AM493" s="370">
        <f t="shared" ref="AM493:AO493" si="1287">(AM483+AM486+AM489)/AM492</f>
        <v>1</v>
      </c>
      <c r="AN493" s="373">
        <f t="shared" si="1287"/>
        <v>1</v>
      </c>
      <c r="AO493" s="371">
        <f t="shared" si="1287"/>
        <v>1</v>
      </c>
      <c r="AP493" s="371">
        <f t="shared" ref="AP493" si="1288">(AP483+AP486+AP489)/AP492</f>
        <v>1</v>
      </c>
      <c r="AQ493" s="372">
        <f>(AQ483+AQ486+AQ489)/AQ492</f>
        <v>1</v>
      </c>
      <c r="AR493" s="370">
        <f t="shared" ref="AR493:AT493" si="1289">(AR483+AR486+AR489)/AR492</f>
        <v>1</v>
      </c>
      <c r="AS493" s="373">
        <f t="shared" si="1289"/>
        <v>1</v>
      </c>
      <c r="AT493" s="371">
        <f t="shared" si="1289"/>
        <v>1</v>
      </c>
      <c r="AU493" s="371">
        <f t="shared" ref="AU493" si="1290">(AU483+AU486+AU489)/AU492</f>
        <v>1</v>
      </c>
      <c r="AV493" s="372">
        <f t="shared" ref="AV493:BB493" si="1291">(AV483+AV486+AV489)/AV492</f>
        <v>1</v>
      </c>
      <c r="AW493" s="370">
        <f t="shared" si="1291"/>
        <v>1</v>
      </c>
      <c r="AX493" s="373">
        <f t="shared" si="1291"/>
        <v>1</v>
      </c>
      <c r="AY493" s="371">
        <f t="shared" si="1291"/>
        <v>1</v>
      </c>
      <c r="AZ493" s="371">
        <f t="shared" si="1291"/>
        <v>1</v>
      </c>
      <c r="BA493" s="372">
        <f t="shared" si="1291"/>
        <v>1</v>
      </c>
      <c r="BB493" s="370">
        <f t="shared" si="1291"/>
        <v>1</v>
      </c>
      <c r="BC493" s="373">
        <f t="shared" ref="BC493:BL493" si="1292">(BC483+BC486+BC489)/BC492</f>
        <v>1</v>
      </c>
      <c r="BD493" s="371">
        <f t="shared" si="1292"/>
        <v>1</v>
      </c>
      <c r="BE493" s="371">
        <f t="shared" si="1292"/>
        <v>1</v>
      </c>
      <c r="BF493" s="372">
        <f t="shared" si="1292"/>
        <v>1</v>
      </c>
      <c r="BG493" s="370">
        <f t="shared" si="1292"/>
        <v>1</v>
      </c>
      <c r="BH493" s="373">
        <f t="shared" si="1292"/>
        <v>1</v>
      </c>
      <c r="BI493" s="371">
        <f t="shared" si="1292"/>
        <v>1</v>
      </c>
      <c r="BJ493" s="371">
        <f t="shared" si="1292"/>
        <v>1</v>
      </c>
      <c r="BK493" s="372">
        <f t="shared" si="1292"/>
        <v>1</v>
      </c>
      <c r="BL493" s="370">
        <f t="shared" si="1292"/>
        <v>1</v>
      </c>
      <c r="BM493" s="373">
        <f t="shared" ref="BM493:BQ493" si="1293">(BM483+BM486+BM489)/BM492</f>
        <v>1</v>
      </c>
      <c r="BN493" s="371">
        <f t="shared" si="1293"/>
        <v>1</v>
      </c>
      <c r="BO493" s="371">
        <f t="shared" si="1293"/>
        <v>1</v>
      </c>
      <c r="BP493" s="372">
        <f t="shared" si="1293"/>
        <v>1</v>
      </c>
      <c r="BQ493" s="370">
        <f t="shared" si="1293"/>
        <v>1</v>
      </c>
      <c r="BR493" s="370"/>
      <c r="BS493" s="1497"/>
      <c r="BT493" s="1497"/>
      <c r="BU493" s="1497"/>
      <c r="BV493" s="1497"/>
    </row>
    <row r="494" spans="1:74">
      <c r="A494" s="5"/>
      <c r="B494" s="5"/>
      <c r="C494" s="1165"/>
      <c r="D494" s="5"/>
      <c r="E494" s="141"/>
      <c r="F494" s="142"/>
      <c r="G494" s="142"/>
      <c r="H494" s="143"/>
      <c r="I494" s="110"/>
      <c r="J494" s="180"/>
      <c r="K494" s="181"/>
      <c r="L494" s="181"/>
      <c r="M494" s="182"/>
      <c r="N494" s="110"/>
      <c r="O494" s="180"/>
      <c r="P494" s="181"/>
      <c r="Q494" s="181"/>
      <c r="R494" s="182"/>
      <c r="S494" s="110"/>
      <c r="T494" s="180"/>
      <c r="U494" s="181"/>
      <c r="V494" s="181"/>
      <c r="W494" s="182"/>
      <c r="X494" s="110"/>
      <c r="Y494" s="180"/>
      <c r="Z494" s="181"/>
      <c r="AA494" s="181"/>
      <c r="AB494" s="182"/>
      <c r="AC494" s="110"/>
      <c r="AD494" s="180"/>
      <c r="AE494" s="181"/>
      <c r="AF494" s="181"/>
      <c r="AG494" s="182"/>
      <c r="AH494" s="110"/>
      <c r="AI494" s="180"/>
      <c r="AJ494" s="181"/>
      <c r="AK494" s="181"/>
      <c r="AL494" s="182"/>
      <c r="AM494" s="110"/>
      <c r="AN494" s="180"/>
      <c r="AO494" s="181"/>
      <c r="AP494" s="181"/>
      <c r="AQ494" s="182"/>
      <c r="AR494" s="110"/>
      <c r="AS494" s="180"/>
      <c r="AT494" s="181"/>
      <c r="AU494" s="181"/>
      <c r="AV494" s="182"/>
      <c r="AW494" s="110"/>
      <c r="AX494" s="180"/>
      <c r="AY494" s="181"/>
      <c r="AZ494" s="181"/>
      <c r="BA494" s="182"/>
      <c r="BB494" s="110"/>
      <c r="BC494" s="180"/>
      <c r="BD494" s="181"/>
      <c r="BE494" s="181"/>
      <c r="BF494" s="182"/>
      <c r="BG494" s="110"/>
      <c r="BH494" s="180"/>
      <c r="BI494" s="181"/>
      <c r="BJ494" s="181"/>
      <c r="BK494" s="182"/>
      <c r="BL494" s="110"/>
      <c r="BM494" s="180"/>
      <c r="BN494" s="181"/>
      <c r="BO494" s="181"/>
      <c r="BP494" s="182"/>
      <c r="BQ494" s="110"/>
      <c r="BR494" s="110"/>
      <c r="BS494" s="939"/>
      <c r="BT494" s="939"/>
      <c r="BU494" s="939"/>
      <c r="BV494" s="939"/>
    </row>
    <row r="495" spans="1:74">
      <c r="A495" s="5"/>
      <c r="B495" s="5"/>
      <c r="C495" s="1165"/>
      <c r="D495" s="5"/>
      <c r="E495" s="141"/>
      <c r="F495" s="142"/>
      <c r="G495" s="142"/>
      <c r="H495" s="143"/>
      <c r="I495" s="110"/>
      <c r="J495" s="180"/>
      <c r="K495" s="181"/>
      <c r="L495" s="181"/>
      <c r="M495" s="182"/>
      <c r="N495" s="110"/>
      <c r="O495" s="180"/>
      <c r="P495" s="181"/>
      <c r="Q495" s="181"/>
      <c r="R495" s="182"/>
      <c r="S495" s="110"/>
      <c r="T495" s="180"/>
      <c r="U495" s="181"/>
      <c r="V495" s="181"/>
      <c r="W495" s="182"/>
      <c r="X495" s="110"/>
      <c r="Y495" s="180"/>
      <c r="Z495" s="181"/>
      <c r="AA495" s="181"/>
      <c r="AB495" s="182"/>
      <c r="AC495" s="110"/>
      <c r="AD495" s="180"/>
      <c r="AE495" s="181"/>
      <c r="AF495" s="181"/>
      <c r="AG495" s="182"/>
      <c r="AH495" s="110"/>
      <c r="AI495" s="180"/>
      <c r="AJ495" s="181"/>
      <c r="AK495" s="181"/>
      <c r="AL495" s="182"/>
      <c r="AM495" s="110"/>
      <c r="AN495" s="180"/>
      <c r="AO495" s="181"/>
      <c r="AP495" s="181"/>
      <c r="AQ495" s="182"/>
      <c r="AR495" s="110"/>
      <c r="AS495" s="180"/>
      <c r="AT495" s="181"/>
      <c r="AU495" s="181"/>
      <c r="AV495" s="182"/>
      <c r="AW495" s="110"/>
      <c r="AX495" s="180"/>
      <c r="AY495" s="181"/>
      <c r="AZ495" s="181"/>
      <c r="BA495" s="182"/>
      <c r="BB495" s="110"/>
      <c r="BC495" s="180"/>
      <c r="BD495" s="181"/>
      <c r="BE495" s="181"/>
      <c r="BF495" s="182"/>
      <c r="BG495" s="110"/>
      <c r="BH495" s="180"/>
      <c r="BI495" s="181"/>
      <c r="BJ495" s="181"/>
      <c r="BK495" s="182"/>
      <c r="BL495" s="110"/>
      <c r="BM495" s="180"/>
      <c r="BN495" s="181"/>
      <c r="BO495" s="181"/>
      <c r="BP495" s="182"/>
      <c r="BQ495" s="110"/>
      <c r="BR495" s="110"/>
      <c r="BS495" s="939"/>
      <c r="BT495" s="939"/>
      <c r="BU495" s="939"/>
      <c r="BV495" s="939"/>
    </row>
    <row r="496" spans="1:74">
      <c r="A496" s="5"/>
      <c r="B496" s="439" t="s">
        <v>18</v>
      </c>
      <c r="C496" s="1126"/>
      <c r="D496" s="92"/>
      <c r="E496" s="133"/>
      <c r="F496" s="134"/>
      <c r="G496" s="134"/>
      <c r="H496" s="135"/>
      <c r="I496" s="107"/>
      <c r="J496" s="187"/>
      <c r="K496" s="188"/>
      <c r="L496" s="188"/>
      <c r="M496" s="189"/>
      <c r="N496" s="107"/>
      <c r="O496" s="187"/>
      <c r="P496" s="188"/>
      <c r="Q496" s="188"/>
      <c r="R496" s="189"/>
      <c r="S496" s="107"/>
      <c r="T496" s="187"/>
      <c r="U496" s="188"/>
      <c r="V496" s="188"/>
      <c r="W496" s="189"/>
      <c r="X496" s="107"/>
      <c r="Y496" s="187"/>
      <c r="Z496" s="188"/>
      <c r="AA496" s="188"/>
      <c r="AB496" s="189"/>
      <c r="AC496" s="107"/>
      <c r="AD496" s="187"/>
      <c r="AE496" s="188"/>
      <c r="AF496" s="188"/>
      <c r="AG496" s="189"/>
      <c r="AH496" s="107"/>
      <c r="AI496" s="187"/>
      <c r="AJ496" s="188"/>
      <c r="AK496" s="188"/>
      <c r="AL496" s="189"/>
      <c r="AM496" s="107"/>
      <c r="AN496" s="187"/>
      <c r="AO496" s="188"/>
      <c r="AP496" s="188"/>
      <c r="AQ496" s="189"/>
      <c r="AR496" s="107"/>
      <c r="AS496" s="187"/>
      <c r="AT496" s="188"/>
      <c r="AU496" s="188"/>
      <c r="AV496" s="189"/>
      <c r="AW496" s="107"/>
      <c r="AX496" s="187"/>
      <c r="AY496" s="188"/>
      <c r="AZ496" s="188"/>
      <c r="BA496" s="189"/>
      <c r="BB496" s="107"/>
      <c r="BC496" s="187"/>
      <c r="BD496" s="188"/>
      <c r="BE496" s="188"/>
      <c r="BF496" s="189"/>
      <c r="BG496" s="107"/>
      <c r="BH496" s="187"/>
      <c r="BI496" s="188"/>
      <c r="BJ496" s="188"/>
      <c r="BK496" s="189"/>
      <c r="BL496" s="107"/>
      <c r="BM496" s="187"/>
      <c r="BN496" s="188"/>
      <c r="BO496" s="188"/>
      <c r="BP496" s="189"/>
      <c r="BQ496" s="107"/>
      <c r="BR496" s="107"/>
      <c r="BS496" s="1496"/>
      <c r="BT496" s="1496"/>
      <c r="BU496" s="1496"/>
      <c r="BV496" s="1496"/>
    </row>
    <row r="497" spans="1:74">
      <c r="A497" s="5"/>
      <c r="B497" s="5"/>
      <c r="C497" s="1166" t="s">
        <v>441</v>
      </c>
      <c r="D497" s="5"/>
      <c r="E497" s="136"/>
      <c r="F497" s="137"/>
      <c r="G497" s="137"/>
      <c r="H497" s="138"/>
      <c r="I497" s="107"/>
      <c r="J497" s="332">
        <f>SUM(J39,F39:H39,J17,F17:H17)</f>
        <v>797.78300000000013</v>
      </c>
      <c r="K497" s="333">
        <f>SUM(J39:K39,G39:H39,G17:H17,J17:K17)</f>
        <v>824.01500000000021</v>
      </c>
      <c r="L497" s="333">
        <f>SUM(J39:L39,H39,J17:L17,H17)</f>
        <v>787.27100000000007</v>
      </c>
      <c r="M497" s="334">
        <f>SUM(J39:M39,J17:M17)</f>
        <v>750.57</v>
      </c>
      <c r="N497" s="320">
        <f>M497</f>
        <v>750.57</v>
      </c>
      <c r="O497" s="332">
        <f>SUM(O39,K39:M39,O17,K17:M17)</f>
        <v>731.67899999999986</v>
      </c>
      <c r="P497" s="333">
        <f>SUM(O39:P39,L39:M39,L17:M17,O17:P17)</f>
        <v>684.16099999999994</v>
      </c>
      <c r="Q497" s="333">
        <f>SUM(O39:Q39,M39,O17:Q17,M17)</f>
        <v>649.54999999999995</v>
      </c>
      <c r="R497" s="334">
        <f>SUM(O39:R39,O17:R17)</f>
        <v>667.78400000000011</v>
      </c>
      <c r="S497" s="320">
        <f>R497</f>
        <v>667.78400000000011</v>
      </c>
      <c r="T497" s="332">
        <f>SUM(T39,P39:R39,T17,P17:R17)</f>
        <v>608.06200000000001</v>
      </c>
      <c r="U497" s="333">
        <f>SUM(T39:U39,Q39:R39,Q17:R17,T17:U17)</f>
        <v>628.39899999999989</v>
      </c>
      <c r="V497" s="333">
        <f>SUM(T39:V39,R39,T17:V17,R17)</f>
        <v>601.32200000000012</v>
      </c>
      <c r="W497" s="334">
        <f>SUM(T39:W39,T17:W17)</f>
        <v>439.97399999999993</v>
      </c>
      <c r="X497" s="320">
        <f>W497</f>
        <v>439.97399999999993</v>
      </c>
      <c r="Y497" s="332">
        <f>SUM(Y39,U39:W39,Y17,U17:W17)</f>
        <v>465.27199999999993</v>
      </c>
      <c r="Z497" s="333">
        <f>SUM(Y39:Z39,V39:W39,V17:W17,Y17:Z17)</f>
        <v>398.82000000000028</v>
      </c>
      <c r="AA497" s="333">
        <f>SUM(Y39:AA39,W39,Y17:AA17,W17)</f>
        <v>387.96800000000019</v>
      </c>
      <c r="AB497" s="334">
        <f>SUM(Y39:AB39,Y17:AB17)</f>
        <v>478.55600000000021</v>
      </c>
      <c r="AC497" s="320">
        <f>AB497</f>
        <v>478.55600000000021</v>
      </c>
      <c r="AD497" s="332">
        <f>SUM(AD39,Z39:AB39,AD17,Z17:AB17)</f>
        <v>665.86900000000037</v>
      </c>
      <c r="AE497" s="333">
        <f>SUM(AD39:AE39,AA39:AB39,AA17:AB17,AD17:AE17)</f>
        <v>707.28500000000031</v>
      </c>
      <c r="AF497" s="333">
        <f>SUM(AD39:AF39,AB39,AD17:AF17,AB17)</f>
        <v>682.18599999999992</v>
      </c>
      <c r="AG497" s="334">
        <f>SUM(AD39:AG39,AD17:AG17)</f>
        <v>670.05700000000024</v>
      </c>
      <c r="AH497" s="320">
        <f>AG497</f>
        <v>670.05700000000024</v>
      </c>
      <c r="AI497" s="332">
        <f>SUM(AI39,AE39:AG39,AI17,AE17:AG17)</f>
        <v>541.1350000000001</v>
      </c>
      <c r="AJ497" s="333">
        <f>SUM(AI39:AJ39,AF39:AG39,AF17:AG17,AI17:AJ17)</f>
        <v>497.62700000000018</v>
      </c>
      <c r="AK497" s="333">
        <f>SUM(AI39:AK39,AG39,AI17:AK17,AG17)</f>
        <v>477.3870000000004</v>
      </c>
      <c r="AL497" s="334">
        <f>SUM(AI39:AL39,AI17:AL17)</f>
        <v>423.68800000000073</v>
      </c>
      <c r="AM497" s="320">
        <f>AL497</f>
        <v>423.68800000000073</v>
      </c>
      <c r="AN497" s="332">
        <f>SUM(AN39,AJ39:AL39,AN17,AJ17:AL17)</f>
        <v>381.95600000000059</v>
      </c>
      <c r="AO497" s="333">
        <f>SUM(AN39:AO39,AK39:AL39,AK17:AL17,AN17:AO17)</f>
        <v>607.67100000000062</v>
      </c>
      <c r="AP497" s="333">
        <f>SUM(AN39:AP39,AL39,AN17:AP17,AL17)</f>
        <v>603.80200000000048</v>
      </c>
      <c r="AQ497" s="334">
        <f>SUM(AN39:AQ39,AN17:AQ17)</f>
        <v>559.83999999999969</v>
      </c>
      <c r="AR497" s="320">
        <f>AQ497</f>
        <v>559.83999999999969</v>
      </c>
      <c r="AS497" s="332">
        <f>SUM(AS39,AO39:AQ39,AS17,AO17:AQ17)</f>
        <v>531.77299999999968</v>
      </c>
      <c r="AT497" s="333">
        <f>SUM(AS39:AT39,AP39:AQ39,AP17:AQ17,AS17:AT17)</f>
        <v>671.78499999999963</v>
      </c>
      <c r="AU497" s="333">
        <f>SUM(AS39:AU39,AQ39,AS17:AU17,AQ17)</f>
        <v>716.57799999999963</v>
      </c>
      <c r="AV497" s="334">
        <f>SUM(AS39:AV39,AS17:AV17)</f>
        <v>778.69800000000009</v>
      </c>
      <c r="AW497" s="320">
        <f>AV497</f>
        <v>778.69800000000009</v>
      </c>
      <c r="AX497" s="332">
        <f>SUM(AX39,AT39:AV39,AX17,AT17:AV17)</f>
        <v>750.86486631727712</v>
      </c>
      <c r="AY497" s="333">
        <f>SUM(AX39:AY39,AU39:AV39,AU17:AV17,AX17:AY17)</f>
        <v>430.57717405686697</v>
      </c>
      <c r="AZ497" s="333">
        <f>SUM(AX39:AZ39,AV39,AX17:AZ17,AV17)</f>
        <v>410.13520135182245</v>
      </c>
      <c r="BA497" s="334">
        <f>SUM(AX39:BA39,AX17:BA17)</f>
        <v>414.32195435746758</v>
      </c>
      <c r="BB497" s="320">
        <f>BA497</f>
        <v>414.32195435746758</v>
      </c>
      <c r="BC497" s="332">
        <f>SUM(BC39,AY39:BA39,BC17,AY17:BA17)</f>
        <v>426.08389999009171</v>
      </c>
      <c r="BD497" s="333">
        <f>SUM(BC39:BD39,AZ39:BA39,AZ17:BA17,BC17:BD17)</f>
        <v>397.15818862324528</v>
      </c>
      <c r="BE497" s="333">
        <f>SUM(BC39:BE39,BA39,BC17:BE17,BA17)</f>
        <v>343.88402114548398</v>
      </c>
      <c r="BF497" s="334">
        <f>SUM(BC39:BF39,BC17:BF17)</f>
        <v>286.72246813691009</v>
      </c>
      <c r="BG497" s="320">
        <f>BF497</f>
        <v>286.72246813691009</v>
      </c>
      <c r="BH497" s="332">
        <f>SUM(BH39,BD39:BF39,BH17,BD17:BF17)</f>
        <v>321.86755458204402</v>
      </c>
      <c r="BI497" s="333">
        <f>SUM(BH39:BI39,BE39:BF39,BE17:BF17,BH17:BI17)</f>
        <v>290.66603243856667</v>
      </c>
      <c r="BJ497" s="333">
        <f>SUM(BH39:BJ39,BF39,BH17:BJ17,BF17)</f>
        <v>256.70807642072941</v>
      </c>
      <c r="BK497" s="334">
        <f>SUM(BH39:BK39,BH17:BK17)</f>
        <v>228.04924161146192</v>
      </c>
      <c r="BL497" s="320">
        <f>BK497</f>
        <v>228.04924161146192</v>
      </c>
      <c r="BM497" s="332">
        <f>SUM(BM39,BI39:BK39,BM17,BI17:BK17)</f>
        <v>135.08597127924929</v>
      </c>
      <c r="BN497" s="333">
        <f>SUM(BM39:BN39,BJ39:BK39,BJ17:BK17,BM17:BN17)</f>
        <v>125.02625240205847</v>
      </c>
      <c r="BO497" s="333">
        <f>SUM(BM39:BO39,BK39,BM17:BO17,BK17)</f>
        <v>109.40521919989777</v>
      </c>
      <c r="BP497" s="334">
        <f>SUM(BM39:BP39,BM17:BP17)</f>
        <v>101.75774051566894</v>
      </c>
      <c r="BQ497" s="320">
        <f>BP497</f>
        <v>101.75774051566894</v>
      </c>
      <c r="BR497" s="320"/>
      <c r="BS497" s="1530"/>
      <c r="BT497" s="1530"/>
      <c r="BU497" s="1530"/>
      <c r="BV497" s="1530"/>
    </row>
    <row r="498" spans="1:74">
      <c r="A498" s="5"/>
      <c r="B498" s="5"/>
      <c r="C498" s="1166" t="s">
        <v>445</v>
      </c>
      <c r="D498" s="5"/>
      <c r="E498" s="136"/>
      <c r="F498" s="137"/>
      <c r="G498" s="137"/>
      <c r="H498" s="138"/>
      <c r="I498" s="107"/>
      <c r="J498" s="332">
        <f>SUM(J25,F25:H25)</f>
        <v>975.48600000000022</v>
      </c>
      <c r="K498" s="333">
        <f>SUM(G25:H25,J25:K25)</f>
        <v>1038.2180000000003</v>
      </c>
      <c r="L498" s="333">
        <f>SUM(H25,J25:L25)</f>
        <v>889.09400000000005</v>
      </c>
      <c r="M498" s="334">
        <f>SUM(J25:M25)</f>
        <v>829.88799999999992</v>
      </c>
      <c r="N498" s="320">
        <f>M498</f>
        <v>829.88799999999992</v>
      </c>
      <c r="O498" s="332">
        <f>SUM(O25,K25:M25)</f>
        <v>812.78199999999993</v>
      </c>
      <c r="P498" s="333">
        <f>SUM(L25:M25,O25:P25)</f>
        <v>766.1629999999999</v>
      </c>
      <c r="Q498" s="333">
        <f>SUM(M25,O25:Q25)</f>
        <v>786.01800000000003</v>
      </c>
      <c r="R498" s="334">
        <f>SUM(O25:R25)</f>
        <v>737.93100000000004</v>
      </c>
      <c r="S498" s="320">
        <f>R498</f>
        <v>737.93100000000004</v>
      </c>
      <c r="T498" s="332">
        <f>SUM(T25,P25:R25)</f>
        <v>273.24099999999999</v>
      </c>
      <c r="U498" s="333">
        <f>SUM(Q25:R25,T25:U25)</f>
        <v>272.06599999999992</v>
      </c>
      <c r="V498" s="333">
        <f>SUM(R25,T25:V25)</f>
        <v>227.81800000000004</v>
      </c>
      <c r="W498" s="334">
        <f>SUM(T25:W25)</f>
        <v>119.65699999999994</v>
      </c>
      <c r="X498" s="320">
        <f>W498</f>
        <v>119.65699999999994</v>
      </c>
      <c r="Y498" s="332">
        <f>SUM(Y25,U25:W25)</f>
        <v>513.54599999999994</v>
      </c>
      <c r="Z498" s="333">
        <f>SUM(V25:W25,Y25:Z25)</f>
        <v>381.06900000000019</v>
      </c>
      <c r="AA498" s="333">
        <f>SUM(W25,Y25:AA25)</f>
        <v>29.160000000000196</v>
      </c>
      <c r="AB498" s="334">
        <f>SUM(Y25:AB25)</f>
        <v>-18.171999999999798</v>
      </c>
      <c r="AC498" s="320">
        <f>AB498</f>
        <v>-18.171999999999798</v>
      </c>
      <c r="AD498" s="332">
        <f>SUM(AD25,Z25:AB25)</f>
        <v>206.11800000000022</v>
      </c>
      <c r="AE498" s="333">
        <f>SUM(AA25:AB25,AD25:AE25)</f>
        <v>254.55900000000005</v>
      </c>
      <c r="AF498" s="333">
        <f>SUM(AB25,AD25:AF25)</f>
        <v>423.86799999999982</v>
      </c>
      <c r="AG498" s="334">
        <f>SUM(AD25:AG25)</f>
        <v>488.15499999999997</v>
      </c>
      <c r="AH498" s="320">
        <f>AG498</f>
        <v>488.15499999999997</v>
      </c>
      <c r="AI498" s="332">
        <f>SUM(AI25,AE25:AG25)</f>
        <v>321.28400000000011</v>
      </c>
      <c r="AJ498" s="333">
        <f>SUM(AF25:AG25,AI25:AJ25)</f>
        <v>270.93900000000019</v>
      </c>
      <c r="AK498" s="333">
        <f>SUM(AG25,AI25:AK25)</f>
        <v>-1281.1649999999997</v>
      </c>
      <c r="AL498" s="334">
        <f>SUM(AI25:AL25)</f>
        <v>-1649.2079999999994</v>
      </c>
      <c r="AM498" s="320">
        <f>AL498</f>
        <v>-1649.2079999999994</v>
      </c>
      <c r="AN498" s="332">
        <f>SUM(AN25,AJ25:AL25)</f>
        <v>-1710.7719999999995</v>
      </c>
      <c r="AO498" s="333">
        <f>SUM(AK25:AL25,AN25:AO25)</f>
        <v>-1687.4779999999996</v>
      </c>
      <c r="AP498" s="333">
        <f>SUM(AL25,AN25:AP25)</f>
        <v>-89.079999999999487</v>
      </c>
      <c r="AQ498" s="334">
        <f>SUM(AN25:AQ25)</f>
        <v>-2662.5290000000005</v>
      </c>
      <c r="AR498" s="320">
        <f>AQ498</f>
        <v>-2662.5290000000005</v>
      </c>
      <c r="AS498" s="332">
        <f>SUM(AS25,AO25:AQ25)</f>
        <v>-2899.5950000000003</v>
      </c>
      <c r="AT498" s="333">
        <f>SUM(AP25:AQ25,AS25:AT25)</f>
        <v>-3146.8510000000001</v>
      </c>
      <c r="AU498" s="333">
        <f>SUM(AQ25,AS25:AU25)</f>
        <v>-3079.9</v>
      </c>
      <c r="AV498" s="334">
        <f>SUM(AS25:AV25)</f>
        <v>-295.101</v>
      </c>
      <c r="AW498" s="320">
        <f>AV498</f>
        <v>-295.101</v>
      </c>
      <c r="AX498" s="332">
        <f>SUM(AX25,AT25:AV25)</f>
        <v>-142.39675947120517</v>
      </c>
      <c r="AY498" s="333">
        <f>SUM(AU25:AV25,AX25:AY25)</f>
        <v>157.38310742985851</v>
      </c>
      <c r="AZ498" s="333">
        <f>SUM(AV25,AX25:AZ25)</f>
        <v>155.30266705116651</v>
      </c>
      <c r="BA498" s="334">
        <f>SUM(AX25:BA25)</f>
        <v>282.42848105381609</v>
      </c>
      <c r="BB498" s="320">
        <f>BA498</f>
        <v>282.42848105381609</v>
      </c>
      <c r="BC498" s="332">
        <f>SUM(BC25,AY25:BA25)</f>
        <v>343.41111000132213</v>
      </c>
      <c r="BD498" s="333">
        <f>SUM(AZ25:BA25,BC25:BD25)</f>
        <v>336.3929997619922</v>
      </c>
      <c r="BE498" s="333">
        <f>SUM(BA25,BC25:BE25)</f>
        <v>288.77054649241524</v>
      </c>
      <c r="BF498" s="334">
        <f>SUM(BC25:BF25)</f>
        <v>234.68870680409293</v>
      </c>
      <c r="BG498" s="320">
        <f>BF498</f>
        <v>234.68870680409293</v>
      </c>
      <c r="BH498" s="332">
        <f>SUM(BH25,BD25:BF25)</f>
        <v>309.74004426504774</v>
      </c>
      <c r="BI498" s="333">
        <f>SUM(BE25:BF25,BH25:BI25)</f>
        <v>273.85536923487228</v>
      </c>
      <c r="BJ498" s="333">
        <f>SUM(BF25,BH25:BJ25)</f>
        <v>233.39269167537</v>
      </c>
      <c r="BK498" s="334">
        <f>SUM(BH25:BK25)</f>
        <v>201.81545427780588</v>
      </c>
      <c r="BL498" s="320">
        <f>BK498</f>
        <v>201.81545427780588</v>
      </c>
      <c r="BM498" s="332">
        <f>SUM(BM25,BI25:BK25)</f>
        <v>63.671955341369397</v>
      </c>
      <c r="BN498" s="333">
        <f>SUM(BJ25:BK25,BM25:BN25)</f>
        <v>63.689019394134775</v>
      </c>
      <c r="BO498" s="333">
        <f>SUM(BK25,BM25:BO25)</f>
        <v>54.371288980853421</v>
      </c>
      <c r="BP498" s="334">
        <f>SUM(BM25:BP25)</f>
        <v>58.368698570411581</v>
      </c>
      <c r="BQ498" s="320">
        <f>BP498</f>
        <v>58.368698570411581</v>
      </c>
      <c r="BR498" s="320"/>
      <c r="BS498" s="1530"/>
      <c r="BT498" s="1530"/>
      <c r="BU498" s="1530"/>
      <c r="BV498" s="1530"/>
    </row>
    <row r="499" spans="1:74">
      <c r="A499" s="5"/>
      <c r="B499" s="5"/>
      <c r="C499" s="1166" t="s">
        <v>446</v>
      </c>
      <c r="D499" s="5"/>
      <c r="E499" s="136"/>
      <c r="F499" s="137"/>
      <c r="G499" s="137"/>
      <c r="H499" s="138"/>
      <c r="I499" s="107"/>
      <c r="J499" s="332">
        <f>SUM(J26,F26:H26)</f>
        <v>1134.1270000000002</v>
      </c>
      <c r="K499" s="333">
        <f>SUM(G26:H26,J26:K26)</f>
        <v>1200.0280000000002</v>
      </c>
      <c r="L499" s="333">
        <f>SUM(H26,J26:L26)</f>
        <v>1056.654</v>
      </c>
      <c r="M499" s="334">
        <f>SUM(J26:M26)</f>
        <v>993.06799999999998</v>
      </c>
      <c r="N499" s="320">
        <f>M499</f>
        <v>993.06799999999998</v>
      </c>
      <c r="O499" s="332">
        <f>SUM(O26,K26:M26)</f>
        <v>978.68000000000006</v>
      </c>
      <c r="P499" s="333">
        <f>SUM(L26:M26,O26:P26)</f>
        <v>938.04399999999998</v>
      </c>
      <c r="Q499" s="333">
        <f>SUM(M26,O26:Q26)</f>
        <v>961.34699999999998</v>
      </c>
      <c r="R499" s="334">
        <f>SUM(O26:R26)</f>
        <v>917.11900000000003</v>
      </c>
      <c r="S499" s="320">
        <f>R499</f>
        <v>917.11900000000003</v>
      </c>
      <c r="T499" s="332">
        <f>SUM(T26,P26:R26)</f>
        <v>460.26899999999995</v>
      </c>
      <c r="U499" s="333">
        <f>SUM(Q26:R26,T26:U26)</f>
        <v>462.98699999999985</v>
      </c>
      <c r="V499" s="333">
        <f>SUM(R26,T26:V26)</f>
        <v>403.07500000000005</v>
      </c>
      <c r="W499" s="334">
        <f>SUM(T26:W26)</f>
        <v>295.70399999999995</v>
      </c>
      <c r="X499" s="320">
        <f>W499</f>
        <v>295.70399999999995</v>
      </c>
      <c r="Y499" s="332">
        <f>SUM(Y26,U26:W26)</f>
        <v>687.7650000000001</v>
      </c>
      <c r="Z499" s="333">
        <f>SUM(V26:W26,Y26:Z26)</f>
        <v>557.52200000000016</v>
      </c>
      <c r="AA499" s="333">
        <f>SUM(W26,Y26:AA26)</f>
        <v>231.15500000000026</v>
      </c>
      <c r="AB499" s="334">
        <f>SUM(Y26:AB26)</f>
        <v>197.69900000000024</v>
      </c>
      <c r="AC499" s="320">
        <f>AB499</f>
        <v>197.69900000000024</v>
      </c>
      <c r="AD499" s="332">
        <f>SUM(AD26,Z26:AB26)</f>
        <v>442.89300000000026</v>
      </c>
      <c r="AE499" s="333">
        <f>SUM(AA26:AB26,AD26:AE26)</f>
        <v>511.96500000000003</v>
      </c>
      <c r="AF499" s="333">
        <f>SUM(AB26,AD26:AF26)</f>
        <v>697.77199999999993</v>
      </c>
      <c r="AG499" s="334">
        <f>SUM(AD26:AG26)</f>
        <v>764.07899999999995</v>
      </c>
      <c r="AH499" s="320">
        <f>AG499</f>
        <v>764.07899999999995</v>
      </c>
      <c r="AI499" s="332">
        <f>SUM(AI26,AE26:AG26)</f>
        <v>589.32400000000007</v>
      </c>
      <c r="AJ499" s="333">
        <f>SUM(AF26:AG26,AI26:AJ26)</f>
        <v>531.87900000000013</v>
      </c>
      <c r="AK499" s="333">
        <f>SUM(AG26,AI26:AK26)</f>
        <v>-1031.4329999999998</v>
      </c>
      <c r="AL499" s="334">
        <f>SUM(AI26:AL26)</f>
        <v>-1410.1759999999995</v>
      </c>
      <c r="AM499" s="320">
        <f>AL499</f>
        <v>-1410.1759999999995</v>
      </c>
      <c r="AN499" s="332">
        <f>SUM(AN26,AJ26:AL26)</f>
        <v>-1477.8959999999995</v>
      </c>
      <c r="AO499" s="333">
        <f>SUM(AK26:AL26,AN26:AO26)</f>
        <v>-1472.6059999999995</v>
      </c>
      <c r="AP499" s="333">
        <f>SUM(AL26,AN26:AP26)</f>
        <v>118.49200000000052</v>
      </c>
      <c r="AQ499" s="334">
        <f>SUM(AN26:AQ26)</f>
        <v>-2462.6770000000006</v>
      </c>
      <c r="AR499" s="320">
        <f>AQ499</f>
        <v>-2462.6770000000006</v>
      </c>
      <c r="AS499" s="332">
        <f>SUM(AS26,AO26:AQ26)</f>
        <v>-2703.2570000000005</v>
      </c>
      <c r="AT499" s="333">
        <f>SUM(AP26:AQ26,AS26:AT26)</f>
        <v>-2944.4130000000005</v>
      </c>
      <c r="AU499" s="333">
        <f>SUM(AQ26,AS26:AU26)</f>
        <v>-2878.2130000000002</v>
      </c>
      <c r="AV499" s="334">
        <f>SUM(AS26:AV26)</f>
        <v>-101.98000000000002</v>
      </c>
      <c r="AW499" s="320">
        <f>AV499</f>
        <v>-101.98000000000002</v>
      </c>
      <c r="AX499" s="332">
        <f>SUM(AX26,AT26:AV26)</f>
        <v>38.131240528794805</v>
      </c>
      <c r="AY499" s="333">
        <f>SUM(AU26:AV26,AX26:AY26)</f>
        <v>325.98010742985855</v>
      </c>
      <c r="AZ499" s="333">
        <f>SUM(AV26,AX26:AZ26)</f>
        <v>311.53566705116651</v>
      </c>
      <c r="BA499" s="334">
        <f>SUM(AX26:BA26)</f>
        <v>442.42848105381609</v>
      </c>
      <c r="BB499" s="320">
        <f>BA499</f>
        <v>442.42848105381609</v>
      </c>
      <c r="BC499" s="332">
        <f>SUM(BC26,AY26:BA26)</f>
        <v>503.41111000132213</v>
      </c>
      <c r="BD499" s="333">
        <f>SUM(AZ26:BA26,BC26:BD26)</f>
        <v>496.3929997619922</v>
      </c>
      <c r="BE499" s="333">
        <f>SUM(BA26,BC26:BE26)</f>
        <v>448.77054649241524</v>
      </c>
      <c r="BF499" s="334">
        <f>SUM(BC26:BF26)</f>
        <v>394.68870680409293</v>
      </c>
      <c r="BG499" s="320">
        <f>BF499</f>
        <v>394.68870680409293</v>
      </c>
      <c r="BH499" s="332">
        <f>SUM(BH26,BD26:BF26)</f>
        <v>459.74004426504774</v>
      </c>
      <c r="BI499" s="333">
        <f>SUM(BE26:BF26,BH26:BI26)</f>
        <v>413.85536923487228</v>
      </c>
      <c r="BJ499" s="333">
        <f>SUM(BF26,BH26:BJ26)</f>
        <v>363.39269167536997</v>
      </c>
      <c r="BK499" s="334">
        <f>SUM(BH26:BK26)</f>
        <v>321.81545427780588</v>
      </c>
      <c r="BL499" s="320">
        <f>BK499</f>
        <v>321.81545427780588</v>
      </c>
      <c r="BM499" s="332">
        <f>SUM(BM26,BI26:BK26)</f>
        <v>173.67195534136943</v>
      </c>
      <c r="BN499" s="333">
        <f>SUM(BJ26:BK26,BM26:BN26)</f>
        <v>163.68901939413479</v>
      </c>
      <c r="BO499" s="333">
        <f>SUM(BK26,BM26:BO26)</f>
        <v>144.37128898085342</v>
      </c>
      <c r="BP499" s="334">
        <f>SUM(BM26:BP26)</f>
        <v>138.3686985704116</v>
      </c>
      <c r="BQ499" s="320">
        <f>BP499</f>
        <v>138.3686985704116</v>
      </c>
      <c r="BR499" s="320"/>
      <c r="BS499" s="1530"/>
      <c r="BT499" s="1530"/>
      <c r="BU499" s="1530"/>
      <c r="BV499" s="1530"/>
    </row>
    <row r="500" spans="1:74">
      <c r="A500" s="5"/>
      <c r="B500" s="5"/>
      <c r="C500" s="1166" t="s">
        <v>444</v>
      </c>
      <c r="D500" s="5"/>
      <c r="E500" s="136"/>
      <c r="F500" s="137"/>
      <c r="G500" s="137"/>
      <c r="H500" s="138"/>
      <c r="I500" s="107"/>
      <c r="J500" s="332">
        <f>-SUM(J28,F28:H28)</f>
        <v>-117.014</v>
      </c>
      <c r="K500" s="333">
        <f>-SUM(G28:H28,J28:K28)</f>
        <v>-124.01100000000001</v>
      </c>
      <c r="L500" s="333">
        <f>-SUM(H28,J28:L28)</f>
        <v>-114.91500000000001</v>
      </c>
      <c r="M500" s="334">
        <f>-SUM(J28:M28)</f>
        <v>-71.816999999999993</v>
      </c>
      <c r="N500" s="320">
        <f>M500</f>
        <v>-71.816999999999993</v>
      </c>
      <c r="O500" s="332">
        <f>-SUM(O28,K28:M28)</f>
        <v>-24.618999999999989</v>
      </c>
      <c r="P500" s="333">
        <f>-SUM(L28:M28,O28:P28)</f>
        <v>-20.024999999999988</v>
      </c>
      <c r="Q500" s="333">
        <f>-SUM(M28,O28:Q28)</f>
        <v>-19.387999999999987</v>
      </c>
      <c r="R500" s="334">
        <f>-SUM(O28:R28)</f>
        <v>-20.634</v>
      </c>
      <c r="S500" s="320">
        <f>R500</f>
        <v>-20.634</v>
      </c>
      <c r="T500" s="332">
        <f>-SUM(T28,P28:R28)</f>
        <v>-23.036999999999999</v>
      </c>
      <c r="U500" s="333">
        <f>-SUM(Q28:R28,T28:U28)</f>
        <v>-24.207000000000001</v>
      </c>
      <c r="V500" s="333">
        <f>-SUM(R28,T28:V28)</f>
        <v>-21.981000000000002</v>
      </c>
      <c r="W500" s="334">
        <f>-SUM(T28:W28)</f>
        <v>-17.899999999999999</v>
      </c>
      <c r="X500" s="320">
        <f>W500</f>
        <v>-17.899999999999999</v>
      </c>
      <c r="Y500" s="332">
        <f>-SUM(Y28,U28:W28)</f>
        <v>-13.819999999999999</v>
      </c>
      <c r="Z500" s="333">
        <f>-SUM(V28:W28,Y28:Z28)</f>
        <v>-11.913999999999998</v>
      </c>
      <c r="AA500" s="333">
        <f>-SUM(W28,Y28:AA28)</f>
        <v>-13.088999999999999</v>
      </c>
      <c r="AB500" s="334">
        <f>-SUM(Y28:AB28)</f>
        <v>-16.323</v>
      </c>
      <c r="AC500" s="320">
        <f>AB500</f>
        <v>-16.323</v>
      </c>
      <c r="AD500" s="332">
        <f>-SUM(AD28,Z28:AB28)</f>
        <v>-18.315999999999999</v>
      </c>
      <c r="AE500" s="333">
        <f>-SUM(AA28:AB28,AD28:AE28)</f>
        <v>-17.661000000000001</v>
      </c>
      <c r="AF500" s="333">
        <f>-SUM(AB28,AD28:AF28)</f>
        <v>-17.18</v>
      </c>
      <c r="AG500" s="334">
        <f>-SUM(AD28:AG28)</f>
        <v>-16.646000000000001</v>
      </c>
      <c r="AH500" s="320">
        <f>AG500</f>
        <v>-16.646000000000001</v>
      </c>
      <c r="AI500" s="332">
        <f>-SUM(AI28,AE28:AG28)</f>
        <v>-17.5</v>
      </c>
      <c r="AJ500" s="333">
        <f>-SUM(AF28:AG28,AI28:AJ28)</f>
        <v>-20.059999999999999</v>
      </c>
      <c r="AK500" s="333">
        <f>-SUM(AG28,AI28:AK28)</f>
        <v>-23.503999999999998</v>
      </c>
      <c r="AL500" s="334">
        <f>-SUM(AI28:AL28)</f>
        <v>-26.788</v>
      </c>
      <c r="AM500" s="320">
        <f>AL500</f>
        <v>-26.788</v>
      </c>
      <c r="AN500" s="332">
        <f>-SUM(AN28,AJ28:AL28)</f>
        <v>-26.975999999999999</v>
      </c>
      <c r="AO500" s="333">
        <f>-SUM(AK28:AL28,AN28:AO28)</f>
        <v>-27.605999999999998</v>
      </c>
      <c r="AP500" s="333">
        <f>-SUM(AL28,AN28:AP28)</f>
        <v>-25.745000000000001</v>
      </c>
      <c r="AQ500" s="334">
        <f>-SUM(AN28:AQ28)</f>
        <v>-22.858000000000001</v>
      </c>
      <c r="AR500" s="320">
        <f>AQ500</f>
        <v>-22.858000000000001</v>
      </c>
      <c r="AS500" s="332">
        <f>-SUM(AS28,AO28:AQ28)</f>
        <v>-23.195999999999998</v>
      </c>
      <c r="AT500" s="333">
        <f>-SUM(AP28:AQ28,AS28:AT28)</f>
        <v>-22.817</v>
      </c>
      <c r="AU500" s="333">
        <f>-SUM(AQ28,AS28:AU28)</f>
        <v>-22.776</v>
      </c>
      <c r="AV500" s="334">
        <f>-SUM(AS28:AV28)</f>
        <v>-23.713999999999999</v>
      </c>
      <c r="AW500" s="320">
        <f>AV500</f>
        <v>-23.713999999999999</v>
      </c>
      <c r="AX500" s="332">
        <f>-SUM(AX28,AT28:AV28)</f>
        <v>-25.691129999999998</v>
      </c>
      <c r="AY500" s="333">
        <f>-SUM(AU28:AV28,AX28:AY28)</f>
        <v>-25.609150668413612</v>
      </c>
      <c r="AZ500" s="333">
        <f>-SUM(AV28,AX28:AZ28)</f>
        <v>-25.456664798129275</v>
      </c>
      <c r="BA500" s="334">
        <f>-SUM(AX28:BA28)</f>
        <v>-25.225223791370166</v>
      </c>
      <c r="BB500" s="320">
        <f>BA500</f>
        <v>-25.225223791370166</v>
      </c>
      <c r="BC500" s="332">
        <f>-SUM(BC28,AY28:BA28)</f>
        <v>-24.93794335116921</v>
      </c>
      <c r="BD500" s="333">
        <f>-SUM(AZ28:BA28,BC28:BD28)</f>
        <v>-24.462685389916707</v>
      </c>
      <c r="BE500" s="333">
        <f>-SUM(BA28,BC28:BE28)</f>
        <v>-23.963844583275254</v>
      </c>
      <c r="BF500" s="334">
        <f>-SUM(BC28:BF28)</f>
        <v>-23.484593242576061</v>
      </c>
      <c r="BG500" s="320">
        <f>BF500</f>
        <v>-23.484593242576061</v>
      </c>
      <c r="BH500" s="332">
        <f>-SUM(BH28,BD28:BF28)</f>
        <v>-23.294119961641016</v>
      </c>
      <c r="BI500" s="333">
        <f>-SUM(BE28:BF28,BH28:BI28)</f>
        <v>-22.745315170594516</v>
      </c>
      <c r="BJ500" s="333">
        <f>-SUM(BF28,BH28:BJ28)</f>
        <v>-22.212564307487654</v>
      </c>
      <c r="BK500" s="334">
        <f>-SUM(BH28:BK28)</f>
        <v>-21.733384925369364</v>
      </c>
      <c r="BL500" s="320">
        <f>BK500</f>
        <v>-21.733384925369364</v>
      </c>
      <c r="BM500" s="332">
        <f>-SUM(BM28,BI28:BK28)</f>
        <v>-21.862003209287231</v>
      </c>
      <c r="BN500" s="333">
        <f>-SUM(BJ28:BK28,BM28:BN28)</f>
        <v>-21.978598724037312</v>
      </c>
      <c r="BO500" s="333">
        <f>-SUM(BK28,BM28:BO28)</f>
        <v>-22.029256981023806</v>
      </c>
      <c r="BP500" s="334">
        <f>-SUM(BM28:BP28)</f>
        <v>-22.105797710963337</v>
      </c>
      <c r="BQ500" s="320">
        <f>BP500</f>
        <v>-22.105797710963337</v>
      </c>
      <c r="BR500" s="320"/>
      <c r="BS500" s="1530"/>
      <c r="BT500" s="1530"/>
      <c r="BU500" s="1530"/>
      <c r="BV500" s="1530"/>
    </row>
    <row r="501" spans="1:74">
      <c r="A501" s="5"/>
      <c r="B501" s="5"/>
      <c r="C501" s="1166" t="s">
        <v>449</v>
      </c>
      <c r="D501" s="5"/>
      <c r="E501" s="136"/>
      <c r="F501" s="137"/>
      <c r="G501" s="137"/>
      <c r="H501" s="138"/>
      <c r="I501" s="107"/>
      <c r="J501" s="332">
        <f>SUM(J39,F39:H39)</f>
        <v>639.14200000000017</v>
      </c>
      <c r="K501" s="333">
        <f>SUM(G39:H39,J39:K39)</f>
        <v>662.20500000000027</v>
      </c>
      <c r="L501" s="333">
        <f>SUM(G39:H39,J39:K39)</f>
        <v>662.20500000000027</v>
      </c>
      <c r="M501" s="334">
        <f>SUM(J39:M39)</f>
        <v>587.3900000000001</v>
      </c>
      <c r="N501" s="320">
        <f>M501</f>
        <v>587.3900000000001</v>
      </c>
      <c r="O501" s="332">
        <f>SUM(O39,K39:M39)</f>
        <v>565.78099999999995</v>
      </c>
      <c r="P501" s="333">
        <f>SUM(L39:M39,O39:P39)</f>
        <v>512.28</v>
      </c>
      <c r="Q501" s="333">
        <f>SUM(L39:M39,O39:P39)</f>
        <v>512.28</v>
      </c>
      <c r="R501" s="334">
        <f>SUM(O39:R39)</f>
        <v>488.59600000000012</v>
      </c>
      <c r="S501" s="320">
        <f>R501</f>
        <v>488.59600000000012</v>
      </c>
      <c r="T501" s="332">
        <f>SUM(T39,P39:R39)</f>
        <v>421.03399999999999</v>
      </c>
      <c r="U501" s="333">
        <f>SUM(Q39:R39,T39:U39)</f>
        <v>437.47799999999984</v>
      </c>
      <c r="V501" s="333">
        <f>SUM(Q39:R39,T39:U39)</f>
        <v>437.47799999999984</v>
      </c>
      <c r="W501" s="334">
        <f>SUM(T39:W39)</f>
        <v>263.92699999999991</v>
      </c>
      <c r="X501" s="320">
        <f>W501</f>
        <v>263.92699999999991</v>
      </c>
      <c r="Y501" s="332">
        <f>SUM(Y39,U39:W39)</f>
        <v>291.053</v>
      </c>
      <c r="Z501" s="333">
        <f>SUM(V39:W39,Y39:Z39)</f>
        <v>222.36700000000022</v>
      </c>
      <c r="AA501" s="333">
        <f>SUM(V39:W39,Y39:Z39)</f>
        <v>222.36700000000022</v>
      </c>
      <c r="AB501" s="334">
        <f>SUM(Y39:AB39)</f>
        <v>262.68500000000017</v>
      </c>
      <c r="AC501" s="320">
        <f>AB501</f>
        <v>262.68500000000017</v>
      </c>
      <c r="AD501" s="332">
        <f>SUM(AD39,Z39:AB39)</f>
        <v>429.09400000000028</v>
      </c>
      <c r="AE501" s="333">
        <f>SUM(AA39:AB39,AD39:AE39)</f>
        <v>449.87900000000008</v>
      </c>
      <c r="AF501" s="333">
        <f>SUM(AA39:AB39,AD39:AE39)</f>
        <v>449.87900000000008</v>
      </c>
      <c r="AG501" s="334">
        <f>SUM(AD39:AG39)</f>
        <v>394.1330000000001</v>
      </c>
      <c r="AH501" s="320">
        <f>AG501</f>
        <v>394.1330000000001</v>
      </c>
      <c r="AI501" s="332">
        <f>SUM(AI39,AE39:AG39)</f>
        <v>273.09500000000014</v>
      </c>
      <c r="AJ501" s="333">
        <f>SUM(AF39:AG39,AI39:AJ39)</f>
        <v>236.68700000000021</v>
      </c>
      <c r="AK501" s="333">
        <f>SUM(AF39:AG39,AI39:AJ39)</f>
        <v>236.68700000000021</v>
      </c>
      <c r="AL501" s="334">
        <f>SUM(AI39:AL39)</f>
        <v>184.65600000000069</v>
      </c>
      <c r="AM501" s="320">
        <f>AL501</f>
        <v>184.65600000000069</v>
      </c>
      <c r="AN501" s="332">
        <f>SUM(AN39,AJ39:AL39)</f>
        <v>149.08000000000058</v>
      </c>
      <c r="AO501" s="333">
        <f>SUM(AK39:AL39,AN39:AO39)</f>
        <v>392.7990000000006</v>
      </c>
      <c r="AP501" s="333">
        <f>SUM(AK39:AL39,AN39:AO39)</f>
        <v>392.7990000000006</v>
      </c>
      <c r="AQ501" s="334">
        <f>SUM(AN39:AQ39)</f>
        <v>359.98799999999966</v>
      </c>
      <c r="AR501" s="320">
        <f>AQ501</f>
        <v>359.98799999999966</v>
      </c>
      <c r="AS501" s="332">
        <f>SUM(AS39,AO39:AQ39)</f>
        <v>335.43499999999966</v>
      </c>
      <c r="AT501" s="333">
        <f>SUM(AP39:AQ39,AS39:AT39)</f>
        <v>469.3469999999997</v>
      </c>
      <c r="AU501" s="333">
        <f>SUM(AP39:AQ39,AS39:AT39)</f>
        <v>469.3469999999997</v>
      </c>
      <c r="AV501" s="334">
        <f>SUM(AS39:AV39)</f>
        <v>585.577</v>
      </c>
      <c r="AW501" s="320">
        <f>AV501</f>
        <v>585.577</v>
      </c>
      <c r="AX501" s="332">
        <f>SUM(AX39,AT39:AV39)</f>
        <v>570.3368663172771</v>
      </c>
      <c r="AY501" s="333">
        <f>SUM(AU39:AV39,AX39:AY39)</f>
        <v>261.98017405686704</v>
      </c>
      <c r="AZ501" s="333">
        <f>SUM(AU39:AV39,AX39:AY39)</f>
        <v>261.98017405686704</v>
      </c>
      <c r="BA501" s="334">
        <f>SUM(AX39:BA39)</f>
        <v>254.32195435746755</v>
      </c>
      <c r="BB501" s="320">
        <f>BA501</f>
        <v>254.32195435746755</v>
      </c>
      <c r="BC501" s="332">
        <f>SUM(BC39,AY39:BA39)</f>
        <v>266.08389999009171</v>
      </c>
      <c r="BD501" s="333">
        <f>SUM(AZ39:BA39,BC39:BD39)</f>
        <v>237.15818862324528</v>
      </c>
      <c r="BE501" s="333">
        <f>SUM(AZ39:BA39,BC39:BD39)</f>
        <v>237.15818862324528</v>
      </c>
      <c r="BF501" s="334">
        <f>SUM(BC39:BF39)</f>
        <v>126.72246813691009</v>
      </c>
      <c r="BG501" s="320">
        <f>BF501</f>
        <v>126.72246813691009</v>
      </c>
      <c r="BH501" s="332">
        <f>SUM(BH39,BD39:BF39)</f>
        <v>171.86755458204405</v>
      </c>
      <c r="BI501" s="333">
        <f>SUM(BE39:BF39,BH39:BI39)</f>
        <v>150.66603243856667</v>
      </c>
      <c r="BJ501" s="333">
        <f>SUM(BE39:BF39,BH39:BI39)</f>
        <v>150.66603243856667</v>
      </c>
      <c r="BK501" s="334">
        <f>SUM(BH39:BK39)</f>
        <v>108.04924161146191</v>
      </c>
      <c r="BL501" s="320">
        <f>BK501</f>
        <v>108.04924161146191</v>
      </c>
      <c r="BM501" s="332">
        <f>SUM(BM39,BI39:BK39)</f>
        <v>25.0859712792493</v>
      </c>
      <c r="BN501" s="333">
        <f>SUM(BJ39:BK39,BM39:BN39)</f>
        <v>25.026252402058475</v>
      </c>
      <c r="BO501" s="333">
        <f>SUM(BJ39:BK39,BM39:BN39)</f>
        <v>25.026252402058475</v>
      </c>
      <c r="BP501" s="334">
        <f>SUM(BM39:BP39)</f>
        <v>21.757740515668946</v>
      </c>
      <c r="BQ501" s="320">
        <f>BP501</f>
        <v>21.757740515668946</v>
      </c>
      <c r="BR501" s="320"/>
      <c r="BS501" s="1530"/>
      <c r="BT501" s="1530"/>
      <c r="BU501" s="1530"/>
      <c r="BV501" s="1530"/>
    </row>
    <row r="502" spans="1:74">
      <c r="A502" s="5"/>
      <c r="B502" s="5"/>
      <c r="C502" s="1127"/>
      <c r="D502" s="5"/>
      <c r="E502" s="136"/>
      <c r="F502" s="137"/>
      <c r="G502" s="137"/>
      <c r="H502" s="138"/>
      <c r="I502" s="107"/>
      <c r="J502" s="177"/>
      <c r="K502" s="178"/>
      <c r="L502" s="178"/>
      <c r="M502" s="179"/>
      <c r="N502" s="107"/>
      <c r="O502" s="177"/>
      <c r="P502" s="178"/>
      <c r="Q502" s="178"/>
      <c r="R502" s="179"/>
      <c r="S502" s="107"/>
      <c r="T502" s="177"/>
      <c r="U502" s="178"/>
      <c r="V502" s="178"/>
      <c r="W502" s="179"/>
      <c r="X502" s="107"/>
      <c r="Y502" s="177"/>
      <c r="Z502" s="178"/>
      <c r="AA502" s="178"/>
      <c r="AB502" s="179"/>
      <c r="AC502" s="107"/>
      <c r="AD502" s="177"/>
      <c r="AE502" s="178"/>
      <c r="AF502" s="178"/>
      <c r="AG502" s="179"/>
      <c r="AH502" s="107"/>
      <c r="AI502" s="177"/>
      <c r="AJ502" s="178"/>
      <c r="AK502" s="178"/>
      <c r="AL502" s="179"/>
      <c r="AM502" s="107"/>
      <c r="AN502" s="177"/>
      <c r="AO502" s="178"/>
      <c r="AP502" s="178"/>
      <c r="AQ502" s="179"/>
      <c r="AR502" s="107"/>
      <c r="AS502" s="177"/>
      <c r="AT502" s="178"/>
      <c r="AU502" s="178"/>
      <c r="AV502" s="179"/>
      <c r="AW502" s="107"/>
      <c r="AX502" s="177"/>
      <c r="AY502" s="178"/>
      <c r="AZ502" s="178"/>
      <c r="BA502" s="179"/>
      <c r="BB502" s="107"/>
      <c r="BC502" s="177"/>
      <c r="BD502" s="178"/>
      <c r="BE502" s="178"/>
      <c r="BF502" s="179"/>
      <c r="BG502" s="107"/>
      <c r="BH502" s="177"/>
      <c r="BI502" s="178"/>
      <c r="BJ502" s="178"/>
      <c r="BK502" s="179"/>
      <c r="BL502" s="107"/>
      <c r="BM502" s="177"/>
      <c r="BN502" s="178"/>
      <c r="BO502" s="178"/>
      <c r="BP502" s="179"/>
      <c r="BQ502" s="107"/>
      <c r="BR502" s="107"/>
      <c r="BS502" s="1496"/>
      <c r="BT502" s="1496"/>
      <c r="BU502" s="1496"/>
      <c r="BV502" s="1496"/>
    </row>
    <row r="503" spans="1:74">
      <c r="A503" s="5"/>
      <c r="B503" s="5"/>
      <c r="C503" s="1128" t="s">
        <v>397</v>
      </c>
      <c r="D503" s="5"/>
      <c r="E503" s="136"/>
      <c r="F503" s="137"/>
      <c r="G503" s="137"/>
      <c r="H503" s="138"/>
      <c r="I503" s="6"/>
      <c r="J503" s="136"/>
      <c r="K503" s="137"/>
      <c r="L503" s="137"/>
      <c r="M503" s="138"/>
      <c r="N503" s="6"/>
      <c r="O503" s="136"/>
      <c r="P503" s="137"/>
      <c r="Q503" s="137"/>
      <c r="R503" s="138"/>
      <c r="S503" s="6"/>
      <c r="T503" s="136"/>
      <c r="U503" s="137"/>
      <c r="V503" s="137"/>
      <c r="W503" s="138"/>
      <c r="X503" s="6"/>
      <c r="Y503" s="136"/>
      <c r="Z503" s="137"/>
      <c r="AA503" s="137"/>
      <c r="AB503" s="138"/>
      <c r="AC503" s="6"/>
      <c r="AD503" s="136"/>
      <c r="AE503" s="137"/>
      <c r="AF503" s="137"/>
      <c r="AG503" s="138"/>
      <c r="AH503" s="6"/>
      <c r="AI503" s="136"/>
      <c r="AJ503" s="137"/>
      <c r="AK503" s="137"/>
      <c r="AL503" s="138"/>
      <c r="AM503" s="6"/>
      <c r="AN503" s="136"/>
      <c r="AO503" s="137"/>
      <c r="AP503" s="137"/>
      <c r="AQ503" s="138"/>
      <c r="AR503" s="6"/>
      <c r="AS503" s="136"/>
      <c r="AT503" s="137"/>
      <c r="AU503" s="137"/>
      <c r="AV503" s="138"/>
      <c r="AW503" s="6"/>
      <c r="AX503" s="136"/>
      <c r="AY503" s="137"/>
      <c r="AZ503" s="137"/>
      <c r="BA503" s="138"/>
      <c r="BB503" s="6"/>
      <c r="BC503" s="136"/>
      <c r="BD503" s="137"/>
      <c r="BE503" s="137"/>
      <c r="BF503" s="138"/>
      <c r="BG503" s="6"/>
      <c r="BH503" s="136"/>
      <c r="BI503" s="137"/>
      <c r="BJ503" s="137"/>
      <c r="BK503" s="138"/>
      <c r="BL503" s="6"/>
      <c r="BM503" s="136"/>
      <c r="BN503" s="137"/>
      <c r="BO503" s="137"/>
      <c r="BP503" s="138"/>
      <c r="BQ503" s="6"/>
      <c r="BR503" s="6"/>
      <c r="BS503" s="1531"/>
      <c r="BT503" s="1531"/>
      <c r="BU503" s="1531"/>
      <c r="BV503" s="1531"/>
    </row>
    <row r="504" spans="1:74">
      <c r="A504" s="5"/>
      <c r="B504" s="5"/>
      <c r="C504" s="1127" t="s">
        <v>866</v>
      </c>
      <c r="D504" s="5"/>
      <c r="E504" s="206"/>
      <c r="F504" s="207"/>
      <c r="G504" s="207"/>
      <c r="H504" s="208"/>
      <c r="I504" s="106"/>
      <c r="J504" s="206">
        <f t="shared" ref="J504:AR504" si="1294">J482/J492</f>
        <v>2.9842131891773632E-2</v>
      </c>
      <c r="K504" s="207">
        <f t="shared" si="1294"/>
        <v>2.979816545715356E-2</v>
      </c>
      <c r="L504" s="207">
        <f t="shared" si="1294"/>
        <v>2.9787379937983714E-2</v>
      </c>
      <c r="M504" s="208">
        <f t="shared" si="1294"/>
        <v>3.2040181461536407E-2</v>
      </c>
      <c r="N504" s="106">
        <f t="shared" si="1294"/>
        <v>3.2040181461536407E-2</v>
      </c>
      <c r="O504" s="206">
        <f t="shared" si="1294"/>
        <v>2.1484730216021132E-2</v>
      </c>
      <c r="P504" s="207">
        <f t="shared" si="1294"/>
        <v>2.1348515158956569E-2</v>
      </c>
      <c r="Q504" s="207">
        <f t="shared" si="1294"/>
        <v>1.9917280626769847E-2</v>
      </c>
      <c r="R504" s="208">
        <f t="shared" si="1294"/>
        <v>2.1163567468443546E-2</v>
      </c>
      <c r="S504" s="106">
        <f t="shared" si="1294"/>
        <v>2.1163567468443546E-2</v>
      </c>
      <c r="T504" s="206">
        <f t="shared" si="1294"/>
        <v>2.0971189602698857E-2</v>
      </c>
      <c r="U504" s="207">
        <f t="shared" si="1294"/>
        <v>2.1728166358669015E-2</v>
      </c>
      <c r="V504" s="207">
        <f t="shared" si="1294"/>
        <v>2.0626170725180627E-2</v>
      </c>
      <c r="W504" s="208">
        <f t="shared" si="1294"/>
        <v>2.054314556689852E-2</v>
      </c>
      <c r="X504" s="106">
        <f t="shared" si="1294"/>
        <v>2.054314556689852E-2</v>
      </c>
      <c r="Y504" s="206">
        <f t="shared" si="1294"/>
        <v>2.0288237249347727E-2</v>
      </c>
      <c r="Z504" s="207">
        <f t="shared" si="1294"/>
        <v>1.990604271822102E-2</v>
      </c>
      <c r="AA504" s="207">
        <f t="shared" si="1294"/>
        <v>2.0180262074240458E-2</v>
      </c>
      <c r="AB504" s="208">
        <f t="shared" si="1294"/>
        <v>1.7534285710067429E-2</v>
      </c>
      <c r="AC504" s="106">
        <f t="shared" si="1294"/>
        <v>1.7534285710067429E-2</v>
      </c>
      <c r="AD504" s="206">
        <f t="shared" si="1294"/>
        <v>1.9089168273052484E-2</v>
      </c>
      <c r="AE504" s="207">
        <f t="shared" si="1294"/>
        <v>1.9357842145328055E-2</v>
      </c>
      <c r="AF504" s="207">
        <f t="shared" si="1294"/>
        <v>1.9991619650684321E-2</v>
      </c>
      <c r="AG504" s="208">
        <f t="shared" si="1294"/>
        <v>1.4586761540388984E-2</v>
      </c>
      <c r="AH504" s="106">
        <f t="shared" si="1294"/>
        <v>1.4586761540388984E-2</v>
      </c>
      <c r="AI504" s="206">
        <f t="shared" si="1294"/>
        <v>1.4618209064340778E-2</v>
      </c>
      <c r="AJ504" s="207">
        <f t="shared" si="1294"/>
        <v>1.5183150827583159E-2</v>
      </c>
      <c r="AK504" s="207">
        <f t="shared" si="1294"/>
        <v>1.9296039959610468E-2</v>
      </c>
      <c r="AL504" s="208">
        <f t="shared" si="1294"/>
        <v>1.1274469063635833E-2</v>
      </c>
      <c r="AM504" s="106">
        <f t="shared" si="1294"/>
        <v>1.1274469063635833E-2</v>
      </c>
      <c r="AN504" s="206">
        <f t="shared" ref="AN504:AP504" si="1295">AN482/AN492</f>
        <v>2.5332093039024773E-2</v>
      </c>
      <c r="AO504" s="207">
        <f t="shared" si="1295"/>
        <v>2.3578521298512727E-2</v>
      </c>
      <c r="AP504" s="207">
        <f t="shared" si="1295"/>
        <v>9.9220865167690443E-3</v>
      </c>
      <c r="AQ504" s="208">
        <f t="shared" si="1294"/>
        <v>2.0123818008329904E-2</v>
      </c>
      <c r="AR504" s="106">
        <f t="shared" si="1294"/>
        <v>2.0123818008329904E-2</v>
      </c>
      <c r="AS504" s="206">
        <f t="shared" ref="AS504:BB504" si="1296">AS482/AS492</f>
        <v>2.5687291402441227E-2</v>
      </c>
      <c r="AT504" s="207">
        <f t="shared" si="1296"/>
        <v>2.8996248584633472E-2</v>
      </c>
      <c r="AU504" s="207">
        <f t="shared" si="1296"/>
        <v>3.2020918722449929E-2</v>
      </c>
      <c r="AV504" s="208">
        <f t="shared" si="1296"/>
        <v>5.2908857857558285E-2</v>
      </c>
      <c r="AW504" s="106">
        <f t="shared" si="1296"/>
        <v>5.2908857857558285E-2</v>
      </c>
      <c r="AX504" s="206">
        <f t="shared" si="1296"/>
        <v>5.308415489221964E-2</v>
      </c>
      <c r="AY504" s="207">
        <f t="shared" si="1296"/>
        <v>5.308415489221964E-2</v>
      </c>
      <c r="AZ504" s="207">
        <f t="shared" si="1296"/>
        <v>5.308415489221964E-2</v>
      </c>
      <c r="BA504" s="208">
        <f t="shared" si="1296"/>
        <v>5.308415489221964E-2</v>
      </c>
      <c r="BB504" s="106">
        <f t="shared" si="1296"/>
        <v>5.308415489221964E-2</v>
      </c>
      <c r="BC504" s="206">
        <f t="shared" ref="BC504:BL504" si="1297">BC482/BC492</f>
        <v>5.308415489221964E-2</v>
      </c>
      <c r="BD504" s="207">
        <f t="shared" si="1297"/>
        <v>5.308415489221964E-2</v>
      </c>
      <c r="BE504" s="207">
        <f t="shared" si="1297"/>
        <v>5.308415489221964E-2</v>
      </c>
      <c r="BF504" s="208">
        <f t="shared" si="1297"/>
        <v>5.308415489221964E-2</v>
      </c>
      <c r="BG504" s="106">
        <f t="shared" si="1297"/>
        <v>5.308415489221964E-2</v>
      </c>
      <c r="BH504" s="206">
        <f t="shared" si="1297"/>
        <v>5.308415489221964E-2</v>
      </c>
      <c r="BI504" s="207">
        <f t="shared" si="1297"/>
        <v>5.308415489221964E-2</v>
      </c>
      <c r="BJ504" s="207">
        <f t="shared" si="1297"/>
        <v>5.308415489221964E-2</v>
      </c>
      <c r="BK504" s="208">
        <f t="shared" si="1297"/>
        <v>5.308415489221964E-2</v>
      </c>
      <c r="BL504" s="106">
        <f t="shared" si="1297"/>
        <v>5.308415489221964E-2</v>
      </c>
      <c r="BM504" s="206">
        <f t="shared" ref="BM504:BQ504" si="1298">BM482/BM492</f>
        <v>5.308415489221964E-2</v>
      </c>
      <c r="BN504" s="207">
        <f t="shared" si="1298"/>
        <v>5.308415489221964E-2</v>
      </c>
      <c r="BO504" s="207">
        <f t="shared" si="1298"/>
        <v>5.308415489221964E-2</v>
      </c>
      <c r="BP504" s="208">
        <f t="shared" si="1298"/>
        <v>5.308415489221964E-2</v>
      </c>
      <c r="BQ504" s="106">
        <f t="shared" si="1298"/>
        <v>5.308415489221964E-2</v>
      </c>
      <c r="BR504" s="106"/>
      <c r="BS504" s="1540"/>
      <c r="BT504" s="1540"/>
      <c r="BU504" s="1540"/>
      <c r="BV504" s="1540"/>
    </row>
    <row r="505" spans="1:74">
      <c r="A505" s="5"/>
      <c r="B505" s="5"/>
      <c r="C505" s="1127" t="s">
        <v>398</v>
      </c>
      <c r="D505" s="5"/>
      <c r="E505" s="206"/>
      <c r="F505" s="207"/>
      <c r="G505" s="207"/>
      <c r="H505" s="208"/>
      <c r="I505" s="106"/>
      <c r="J505" s="206">
        <f t="shared" ref="J505:AR505" si="1299">J483/J492</f>
        <v>3.5238105005348117E-2</v>
      </c>
      <c r="K505" s="207">
        <f t="shared" si="1299"/>
        <v>3.5183902906806605E-2</v>
      </c>
      <c r="L505" s="207">
        <f t="shared" si="1299"/>
        <v>3.5533617364559962E-2</v>
      </c>
      <c r="M505" s="208">
        <f t="shared" si="1299"/>
        <v>7.416961464882442E-2</v>
      </c>
      <c r="N505" s="106">
        <f t="shared" si="1299"/>
        <v>7.416961464882442E-2</v>
      </c>
      <c r="O505" s="206">
        <f t="shared" si="1299"/>
        <v>4.2301894099066248E-2</v>
      </c>
      <c r="P505" s="207">
        <f t="shared" si="1299"/>
        <v>4.1460327892218873E-2</v>
      </c>
      <c r="Q505" s="207">
        <f t="shared" si="1299"/>
        <v>3.5616958453698069E-2</v>
      </c>
      <c r="R505" s="208">
        <f t="shared" si="1299"/>
        <v>4.2931763504168205E-2</v>
      </c>
      <c r="S505" s="106">
        <f t="shared" si="1299"/>
        <v>4.2931763504168205E-2</v>
      </c>
      <c r="T505" s="206">
        <f t="shared" si="1299"/>
        <v>4.2535223683519523E-2</v>
      </c>
      <c r="U505" s="207">
        <f t="shared" si="1299"/>
        <v>2.1728166358669015E-2</v>
      </c>
      <c r="V505" s="207">
        <f t="shared" si="1299"/>
        <v>2.0626170725180627E-2</v>
      </c>
      <c r="W505" s="208">
        <f t="shared" si="1299"/>
        <v>2.081217409309585E-2</v>
      </c>
      <c r="X505" s="106">
        <f t="shared" si="1299"/>
        <v>2.081217409309585E-2</v>
      </c>
      <c r="Y505" s="206">
        <f t="shared" si="1299"/>
        <v>2.0288237249347727E-2</v>
      </c>
      <c r="Z505" s="207">
        <f t="shared" si="1299"/>
        <v>1.990604271822102E-2</v>
      </c>
      <c r="AA505" s="207">
        <f t="shared" si="1299"/>
        <v>5.7043970065071462E-2</v>
      </c>
      <c r="AB505" s="208">
        <f t="shared" si="1299"/>
        <v>3.6679324340085896E-2</v>
      </c>
      <c r="AC505" s="106">
        <f t="shared" si="1299"/>
        <v>3.6679324340085896E-2</v>
      </c>
      <c r="AD505" s="206">
        <f t="shared" si="1299"/>
        <v>1.9089168273052484E-2</v>
      </c>
      <c r="AE505" s="207">
        <f t="shared" si="1299"/>
        <v>1.9393575129200834E-2</v>
      </c>
      <c r="AF505" s="207">
        <f t="shared" si="1299"/>
        <v>2.8504301103151976E-2</v>
      </c>
      <c r="AG505" s="208">
        <f t="shared" si="1299"/>
        <v>5.8215534888219088E-2</v>
      </c>
      <c r="AH505" s="106">
        <f t="shared" si="1299"/>
        <v>5.8215534888219088E-2</v>
      </c>
      <c r="AI505" s="206">
        <f t="shared" si="1299"/>
        <v>6.4724325248377332E-2</v>
      </c>
      <c r="AJ505" s="207">
        <f t="shared" si="1299"/>
        <v>5.4654401960835687E-2</v>
      </c>
      <c r="AK505" s="207">
        <f t="shared" si="1299"/>
        <v>6.9592738936013143E-2</v>
      </c>
      <c r="AL505" s="208">
        <f t="shared" si="1299"/>
        <v>9.0318102397107275E-2</v>
      </c>
      <c r="AM505" s="106">
        <f t="shared" si="1299"/>
        <v>9.0318102397107275E-2</v>
      </c>
      <c r="AN505" s="206">
        <f t="shared" ref="AN505:AP505" si="1300">AN483/AN492</f>
        <v>3.1633331991329242E-2</v>
      </c>
      <c r="AO505" s="207">
        <f t="shared" si="1300"/>
        <v>2.9471208042161919E-2</v>
      </c>
      <c r="AP505" s="207">
        <f t="shared" si="1300"/>
        <v>1.5506906250388518E-2</v>
      </c>
      <c r="AQ505" s="208">
        <f t="shared" si="1299"/>
        <v>2.7158109898657357E-2</v>
      </c>
      <c r="AR505" s="106">
        <f t="shared" si="1299"/>
        <v>2.7158109898657357E-2</v>
      </c>
      <c r="AS505" s="206">
        <f t="shared" ref="AS505:BB505" si="1301">AS483/AS492</f>
        <v>3.2432104021468317E-2</v>
      </c>
      <c r="AT505" s="207">
        <f t="shared" si="1301"/>
        <v>3.508217043295718E-2</v>
      </c>
      <c r="AU505" s="207">
        <f t="shared" si="1301"/>
        <v>3.6280707859665404E-2</v>
      </c>
      <c r="AV505" s="208">
        <f t="shared" si="1301"/>
        <v>5.6211105675523475E-2</v>
      </c>
      <c r="AW505" s="106">
        <f t="shared" si="1301"/>
        <v>5.6211105675523475E-2</v>
      </c>
      <c r="AX505" s="206">
        <f t="shared" si="1301"/>
        <v>5.308415489221964E-2</v>
      </c>
      <c r="AY505" s="207">
        <f t="shared" si="1301"/>
        <v>5.308415489221964E-2</v>
      </c>
      <c r="AZ505" s="207">
        <f t="shared" si="1301"/>
        <v>5.308415489221964E-2</v>
      </c>
      <c r="BA505" s="208">
        <f t="shared" si="1301"/>
        <v>5.308415489221964E-2</v>
      </c>
      <c r="BB505" s="106">
        <f t="shared" si="1301"/>
        <v>5.308415489221964E-2</v>
      </c>
      <c r="BC505" s="206">
        <f t="shared" ref="BC505:BL505" si="1302">BC483/BC492</f>
        <v>5.308415489221964E-2</v>
      </c>
      <c r="BD505" s="207">
        <f t="shared" si="1302"/>
        <v>5.308415489221964E-2</v>
      </c>
      <c r="BE505" s="207">
        <f t="shared" si="1302"/>
        <v>5.308415489221964E-2</v>
      </c>
      <c r="BF505" s="208">
        <f t="shared" si="1302"/>
        <v>5.308415489221964E-2</v>
      </c>
      <c r="BG505" s="106">
        <f t="shared" si="1302"/>
        <v>5.308415489221964E-2</v>
      </c>
      <c r="BH505" s="206">
        <f t="shared" si="1302"/>
        <v>5.308415489221964E-2</v>
      </c>
      <c r="BI505" s="207">
        <f t="shared" si="1302"/>
        <v>5.308415489221964E-2</v>
      </c>
      <c r="BJ505" s="207">
        <f t="shared" si="1302"/>
        <v>5.308415489221964E-2</v>
      </c>
      <c r="BK505" s="208">
        <f t="shared" si="1302"/>
        <v>5.308415489221964E-2</v>
      </c>
      <c r="BL505" s="106">
        <f t="shared" si="1302"/>
        <v>5.308415489221964E-2</v>
      </c>
      <c r="BM505" s="206">
        <f t="shared" ref="BM505:BQ505" si="1303">BM483/BM492</f>
        <v>5.308415489221964E-2</v>
      </c>
      <c r="BN505" s="207">
        <f t="shared" si="1303"/>
        <v>5.308415489221964E-2</v>
      </c>
      <c r="BO505" s="207">
        <f t="shared" si="1303"/>
        <v>5.308415489221964E-2</v>
      </c>
      <c r="BP505" s="208">
        <f t="shared" si="1303"/>
        <v>5.308415489221964E-2</v>
      </c>
      <c r="BQ505" s="106">
        <f t="shared" si="1303"/>
        <v>5.308415489221964E-2</v>
      </c>
      <c r="BR505" s="106"/>
      <c r="BS505" s="1540"/>
      <c r="BT505" s="1540"/>
      <c r="BU505" s="1540"/>
      <c r="BV505" s="1540"/>
    </row>
    <row r="506" spans="1:74">
      <c r="A506" s="5"/>
      <c r="B506" s="5"/>
      <c r="C506" s="1127" t="s">
        <v>399</v>
      </c>
      <c r="D506" s="5"/>
      <c r="E506" s="209"/>
      <c r="F506" s="210"/>
      <c r="G506" s="210"/>
      <c r="H506" s="211"/>
      <c r="I506" s="35"/>
      <c r="J506" s="209">
        <f t="shared" ref="J506:AR506" si="1304">(J483-J479)/J499</f>
        <v>-0.33011470496690393</v>
      </c>
      <c r="K506" s="210">
        <f t="shared" si="1304"/>
        <v>-0.22326062391877516</v>
      </c>
      <c r="L506" s="210">
        <f t="shared" si="1304"/>
        <v>-0.13806033006073892</v>
      </c>
      <c r="M506" s="211">
        <f t="shared" si="1304"/>
        <v>-0.14892535052987305</v>
      </c>
      <c r="N506" s="35">
        <f t="shared" si="1304"/>
        <v>-0.14892535052987305</v>
      </c>
      <c r="O506" s="209">
        <f t="shared" si="1304"/>
        <v>-6.4515469816487725E-3</v>
      </c>
      <c r="P506" s="210">
        <f t="shared" si="1304"/>
        <v>-4.4200485265083564E-2</v>
      </c>
      <c r="Q506" s="210">
        <f t="shared" si="1304"/>
        <v>-0.29769479698797624</v>
      </c>
      <c r="R506" s="211">
        <f t="shared" si="1304"/>
        <v>-5.2904802975404543E-2</v>
      </c>
      <c r="S506" s="35">
        <f t="shared" si="1304"/>
        <v>-5.2904802975404543E-2</v>
      </c>
      <c r="T506" s="209">
        <f t="shared" si="1304"/>
        <v>2.6636597294190989E-2</v>
      </c>
      <c r="U506" s="210">
        <f t="shared" si="1304"/>
        <v>6.2980170069570046E-2</v>
      </c>
      <c r="V506" s="210">
        <f t="shared" si="1304"/>
        <v>-0.1660385784283322</v>
      </c>
      <c r="W506" s="211">
        <f t="shared" si="1304"/>
        <v>-0.10062089116143169</v>
      </c>
      <c r="X506" s="35">
        <f t="shared" si="1304"/>
        <v>-0.10062089116143169</v>
      </c>
      <c r="Y506" s="209">
        <f t="shared" si="1304"/>
        <v>-7.4838062419576426E-2</v>
      </c>
      <c r="Z506" s="210">
        <f t="shared" si="1304"/>
        <v>-5.1327122517138321E-2</v>
      </c>
      <c r="AA506" s="210">
        <f t="shared" si="1304"/>
        <v>0.82308840388483839</v>
      </c>
      <c r="AB506" s="211">
        <f t="shared" si="1304"/>
        <v>0.11275727241918257</v>
      </c>
      <c r="AC506" s="35">
        <f t="shared" si="1304"/>
        <v>0.11275727241918257</v>
      </c>
      <c r="AD506" s="209">
        <f t="shared" si="1304"/>
        <v>-0.43095962230154888</v>
      </c>
      <c r="AE506" s="210">
        <f t="shared" si="1304"/>
        <v>-0.43242799800767628</v>
      </c>
      <c r="AF506" s="210">
        <f t="shared" si="1304"/>
        <v>-0.19861215411337804</v>
      </c>
      <c r="AG506" s="211">
        <f t="shared" si="1304"/>
        <v>-0.15033131390864035</v>
      </c>
      <c r="AH506" s="35">
        <f t="shared" si="1304"/>
        <v>-0.15033131390864035</v>
      </c>
      <c r="AI506" s="209">
        <f t="shared" si="1304"/>
        <v>-7.8096259443022842E-2</v>
      </c>
      <c r="AJ506" s="210">
        <f t="shared" si="1304"/>
        <v>0.23592396014883074</v>
      </c>
      <c r="AK506" s="210">
        <f t="shared" si="1304"/>
        <v>-0.10048641065391548</v>
      </c>
      <c r="AL506" s="211">
        <f t="shared" si="1304"/>
        <v>0.24708121539439054</v>
      </c>
      <c r="AM506" s="35">
        <f t="shared" si="1304"/>
        <v>0.24708121539439054</v>
      </c>
      <c r="AN506" s="209">
        <f t="shared" ref="AN506:AP506" si="1305">(AN483-AN479)/AN499</f>
        <v>0.19221650237905782</v>
      </c>
      <c r="AO506" s="210">
        <f t="shared" si="1305"/>
        <v>0.24810302280447052</v>
      </c>
      <c r="AP506" s="210">
        <f t="shared" si="1305"/>
        <v>-4.2217533673159178</v>
      </c>
      <c r="AQ506" s="211">
        <f t="shared" si="1304"/>
        <v>0.1512532906264199</v>
      </c>
      <c r="AR506" s="35">
        <f t="shared" si="1304"/>
        <v>0.1512532906264199</v>
      </c>
      <c r="AS506" s="209">
        <f t="shared" ref="AS506:BB506" si="1306">(AS483-AS479)/AS499</f>
        <v>0.20852734312719803</v>
      </c>
      <c r="AT506" s="210">
        <f t="shared" si="1306"/>
        <v>4.8480630944096492E-2</v>
      </c>
      <c r="AU506" s="210">
        <f t="shared" si="1306"/>
        <v>4.783454177991691E-2</v>
      </c>
      <c r="AV506" s="211">
        <f t="shared" si="1306"/>
        <v>1.2032457344577367</v>
      </c>
      <c r="AW506" s="35">
        <f t="shared" si="1306"/>
        <v>1.2032457344577367</v>
      </c>
      <c r="AX506" s="209">
        <f t="shared" si="1306"/>
        <v>-3.3194006951254416</v>
      </c>
      <c r="AY506" s="210">
        <f t="shared" si="1306"/>
        <v>-0.44360122216347764</v>
      </c>
      <c r="AZ506" s="210">
        <f t="shared" si="1306"/>
        <v>-0.54245859856575152</v>
      </c>
      <c r="BA506" s="211">
        <f t="shared" si="1306"/>
        <v>-0.41595187072751466</v>
      </c>
      <c r="BB506" s="35">
        <f t="shared" si="1306"/>
        <v>-0.41595187072751466</v>
      </c>
      <c r="BC506" s="209">
        <f t="shared" ref="BC506:BL506" si="1307">(BC483-BC479)/BC499</f>
        <v>-0.47606570762162798</v>
      </c>
      <c r="BD506" s="210">
        <f t="shared" si="1307"/>
        <v>-0.54143262054254881</v>
      </c>
      <c r="BE506" s="210">
        <f t="shared" si="1307"/>
        <v>-0.62365773485991605</v>
      </c>
      <c r="BF506" s="211">
        <f t="shared" si="1307"/>
        <v>-0.70372275088236036</v>
      </c>
      <c r="BG506" s="35">
        <f t="shared" si="1307"/>
        <v>-0.70372275088236036</v>
      </c>
      <c r="BH506" s="209">
        <f t="shared" si="1307"/>
        <v>-0.82334424771401271</v>
      </c>
      <c r="BI506" s="210">
        <f t="shared" si="1307"/>
        <v>-0.93373053449349219</v>
      </c>
      <c r="BJ506" s="210">
        <f t="shared" si="1307"/>
        <v>-1.0280539688227215</v>
      </c>
      <c r="BK506" s="211">
        <f t="shared" si="1307"/>
        <v>-1.0962825414881592</v>
      </c>
      <c r="BL506" s="35">
        <f t="shared" si="1307"/>
        <v>-1.0962825414881592</v>
      </c>
      <c r="BM506" s="209">
        <f t="shared" ref="BM506:BQ506" si="1308">(BM483-BM479)/BM499</f>
        <v>-2.0907825414583066</v>
      </c>
      <c r="BN506" s="210">
        <f t="shared" si="1308"/>
        <v>-2.2204033530532619</v>
      </c>
      <c r="BO506" s="210">
        <f t="shared" si="1308"/>
        <v>-2.3376706026548799</v>
      </c>
      <c r="BP506" s="211">
        <f t="shared" si="1308"/>
        <v>-2.2516537904919729</v>
      </c>
      <c r="BQ506" s="35">
        <f t="shared" si="1308"/>
        <v>-2.2516537904919729</v>
      </c>
      <c r="BR506" s="35"/>
      <c r="BS506" s="1541"/>
      <c r="BT506" s="1541"/>
      <c r="BU506" s="1541"/>
      <c r="BV506" s="1541"/>
    </row>
    <row r="507" spans="1:74">
      <c r="A507" s="5"/>
      <c r="B507" s="5"/>
      <c r="C507" s="1127" t="s">
        <v>400</v>
      </c>
      <c r="D507" s="5"/>
      <c r="E507" s="206"/>
      <c r="F507" s="207"/>
      <c r="G507" s="207"/>
      <c r="H507" s="208"/>
      <c r="I507" s="106"/>
      <c r="J507" s="206">
        <f t="shared" ref="J507:AR507" si="1309">J497/J483</f>
        <v>4.2997202804740686</v>
      </c>
      <c r="K507" s="207">
        <f t="shared" si="1309"/>
        <v>4.4332628543452186</v>
      </c>
      <c r="L507" s="207">
        <f t="shared" si="1309"/>
        <v>4.4683323022436143</v>
      </c>
      <c r="M507" s="208">
        <f t="shared" si="1309"/>
        <v>2.4536690454630152</v>
      </c>
      <c r="N507" s="106">
        <f t="shared" si="1309"/>
        <v>2.4536690454630152</v>
      </c>
      <c r="O507" s="206">
        <f t="shared" si="1309"/>
        <v>2.8238270380419048</v>
      </c>
      <c r="P507" s="207">
        <f t="shared" si="1309"/>
        <v>2.6606970630327922</v>
      </c>
      <c r="Q507" s="207">
        <f t="shared" si="1309"/>
        <v>2.9364297209815371</v>
      </c>
      <c r="R507" s="208">
        <f t="shared" si="1309"/>
        <v>2.4383514625712488</v>
      </c>
      <c r="S507" s="106">
        <f t="shared" si="1309"/>
        <v>2.4383514625712488</v>
      </c>
      <c r="T507" s="206">
        <f t="shared" si="1309"/>
        <v>2.2343802248115852</v>
      </c>
      <c r="U507" s="207">
        <f t="shared" si="1309"/>
        <v>4.6571532327394527</v>
      </c>
      <c r="V507" s="207">
        <f t="shared" si="1309"/>
        <v>4.8007824038960525</v>
      </c>
      <c r="W507" s="208">
        <f t="shared" si="1309"/>
        <v>3.9577752390547549</v>
      </c>
      <c r="X507" s="106">
        <f t="shared" si="1309"/>
        <v>3.9577752390547549</v>
      </c>
      <c r="Y507" s="206">
        <f t="shared" si="1309"/>
        <v>4.2161006198122433</v>
      </c>
      <c r="Z507" s="207">
        <f t="shared" si="1309"/>
        <v>3.5919051092918348</v>
      </c>
      <c r="AA507" s="207">
        <f t="shared" si="1309"/>
        <v>1.2286294268351003</v>
      </c>
      <c r="AB507" s="208">
        <f t="shared" si="1309"/>
        <v>2.4078289308176113</v>
      </c>
      <c r="AC507" s="106">
        <f t="shared" si="1309"/>
        <v>2.4078289308176113</v>
      </c>
      <c r="AD507" s="206">
        <f t="shared" si="1309"/>
        <v>6.9564249895528665</v>
      </c>
      <c r="AE507" s="207">
        <f t="shared" si="1309"/>
        <v>7.3212603641558101</v>
      </c>
      <c r="AF507" s="207">
        <f t="shared" si="1309"/>
        <v>4.9254595601507551</v>
      </c>
      <c r="AG507" s="208">
        <f t="shared" si="1309"/>
        <v>2.1081979901458001</v>
      </c>
      <c r="AH507" s="106">
        <f t="shared" si="1309"/>
        <v>2.1081979901458001</v>
      </c>
      <c r="AI507" s="206">
        <f t="shared" si="1309"/>
        <v>1.5204735051236449</v>
      </c>
      <c r="AJ507" s="207">
        <f t="shared" si="1309"/>
        <v>1.7040853366207802</v>
      </c>
      <c r="AK507" s="207">
        <f t="shared" si="1309"/>
        <v>1.6168360089412734</v>
      </c>
      <c r="AL507" s="208">
        <f t="shared" si="1309"/>
        <v>1.1433289977170571</v>
      </c>
      <c r="AM507" s="106">
        <f t="shared" si="1309"/>
        <v>1.1433289977170571</v>
      </c>
      <c r="AN507" s="206">
        <f t="shared" ref="AN507:AP507" si="1310">AN497/AN483</f>
        <v>3.1981579167713354</v>
      </c>
      <c r="AO507" s="207">
        <f t="shared" si="1310"/>
        <v>5.1709639538445877</v>
      </c>
      <c r="AP507" s="207">
        <f t="shared" si="1310"/>
        <v>9.3094558966373278</v>
      </c>
      <c r="AQ507" s="208">
        <f t="shared" si="1309"/>
        <v>9.3221213887269947</v>
      </c>
      <c r="AR507" s="106">
        <f t="shared" si="1309"/>
        <v>9.3221213887269947</v>
      </c>
      <c r="AS507" s="206">
        <f t="shared" ref="AS507:BB507" si="1311">AS497/AS483</f>
        <v>7.3248987575415256</v>
      </c>
      <c r="AT507" s="207">
        <f t="shared" si="1311"/>
        <v>7.8758338511319232</v>
      </c>
      <c r="AU507" s="207">
        <f t="shared" si="1311"/>
        <v>7.9552600026644136</v>
      </c>
      <c r="AV507" s="208">
        <f t="shared" si="1311"/>
        <v>7.111202432810062</v>
      </c>
      <c r="AW507" s="106">
        <f t="shared" si="1311"/>
        <v>7.111202432810062</v>
      </c>
      <c r="AX507" s="206">
        <f t="shared" si="1311"/>
        <v>7.2849991880981584</v>
      </c>
      <c r="AY507" s="207">
        <f t="shared" si="1311"/>
        <v>4.177521820673979</v>
      </c>
      <c r="AZ507" s="207">
        <f t="shared" si="1311"/>
        <v>3.9791908542914762</v>
      </c>
      <c r="BA507" s="208">
        <f t="shared" si="1311"/>
        <v>4.0198113355725971</v>
      </c>
      <c r="BB507" s="106">
        <f t="shared" si="1311"/>
        <v>4.0198113355725971</v>
      </c>
      <c r="BC507" s="206">
        <f t="shared" ref="BC507:BL507" si="1312">BC497/BC483</f>
        <v>4.1339274278654479</v>
      </c>
      <c r="BD507" s="207">
        <f t="shared" si="1312"/>
        <v>3.8532860058527731</v>
      </c>
      <c r="BE507" s="207">
        <f t="shared" si="1312"/>
        <v>3.33641235224104</v>
      </c>
      <c r="BF507" s="208">
        <f t="shared" si="1312"/>
        <v>2.7818227237499769</v>
      </c>
      <c r="BG507" s="106">
        <f t="shared" si="1312"/>
        <v>2.7818227237499769</v>
      </c>
      <c r="BH507" s="206">
        <f t="shared" si="1312"/>
        <v>3.1228054194435244</v>
      </c>
      <c r="BI507" s="207">
        <f t="shared" si="1312"/>
        <v>2.8200837531635461</v>
      </c>
      <c r="BJ507" s="207">
        <f t="shared" si="1312"/>
        <v>2.4906187680288099</v>
      </c>
      <c r="BK507" s="208">
        <f t="shared" si="1312"/>
        <v>2.2125666208543895</v>
      </c>
      <c r="BL507" s="106">
        <f t="shared" si="1312"/>
        <v>2.2125666208543895</v>
      </c>
      <c r="BM507" s="206">
        <f t="shared" ref="BM507:BQ507" si="1313">BM497/BM483</f>
        <v>1.3106235692175152</v>
      </c>
      <c r="BN507" s="207">
        <f t="shared" si="1313"/>
        <v>1.2130227263224846</v>
      </c>
      <c r="BO507" s="207">
        <f t="shared" si="1313"/>
        <v>1.0614652100504296</v>
      </c>
      <c r="BP507" s="208">
        <f t="shared" si="1313"/>
        <v>0.98726826928950173</v>
      </c>
      <c r="BQ507" s="106">
        <f t="shared" si="1313"/>
        <v>0.98726826928950173</v>
      </c>
      <c r="BR507" s="106"/>
      <c r="BS507" s="1540"/>
      <c r="BT507" s="1540"/>
      <c r="BU507" s="1540"/>
      <c r="BV507" s="1540"/>
    </row>
    <row r="508" spans="1:74">
      <c r="A508" s="5"/>
      <c r="B508" s="5"/>
      <c r="C508" s="1127"/>
      <c r="D508" s="5"/>
      <c r="E508" s="136"/>
      <c r="F508" s="137"/>
      <c r="G508" s="137"/>
      <c r="H508" s="138"/>
      <c r="I508" s="6"/>
      <c r="J508" s="136"/>
      <c r="K508" s="137"/>
      <c r="L508" s="137"/>
      <c r="M508" s="138"/>
      <c r="N508" s="6"/>
      <c r="O508" s="136"/>
      <c r="P508" s="137"/>
      <c r="Q508" s="137"/>
      <c r="R508" s="138"/>
      <c r="S508" s="6"/>
      <c r="T508" s="136"/>
      <c r="U508" s="137"/>
      <c r="V508" s="137"/>
      <c r="W508" s="138"/>
      <c r="X508" s="6"/>
      <c r="Y508" s="136"/>
      <c r="Z508" s="137"/>
      <c r="AA508" s="137"/>
      <c r="AB508" s="138"/>
      <c r="AC508" s="6"/>
      <c r="AD508" s="136"/>
      <c r="AE508" s="137"/>
      <c r="AF508" s="137"/>
      <c r="AG508" s="138"/>
      <c r="AH508" s="6"/>
      <c r="AI508" s="136"/>
      <c r="AJ508" s="137"/>
      <c r="AK508" s="137"/>
      <c r="AL508" s="138"/>
      <c r="AM508" s="6"/>
      <c r="AN508" s="136"/>
      <c r="AO508" s="137"/>
      <c r="AP508" s="137"/>
      <c r="AQ508" s="138"/>
      <c r="AR508" s="6"/>
      <c r="AS508" s="136"/>
      <c r="AT508" s="137"/>
      <c r="AU508" s="137"/>
      <c r="AV508" s="138"/>
      <c r="AW508" s="6"/>
      <c r="AX508" s="136"/>
      <c r="AY508" s="137"/>
      <c r="AZ508" s="137"/>
      <c r="BA508" s="138"/>
      <c r="BB508" s="6"/>
      <c r="BC508" s="136"/>
      <c r="BD508" s="137"/>
      <c r="BE508" s="137"/>
      <c r="BF508" s="138"/>
      <c r="BG508" s="6"/>
      <c r="BH508" s="136"/>
      <c r="BI508" s="137"/>
      <c r="BJ508" s="137"/>
      <c r="BK508" s="138"/>
      <c r="BL508" s="6"/>
      <c r="BM508" s="136"/>
      <c r="BN508" s="137"/>
      <c r="BO508" s="137"/>
      <c r="BP508" s="138"/>
      <c r="BQ508" s="6"/>
      <c r="BR508" s="6"/>
      <c r="BS508" s="1531"/>
      <c r="BT508" s="1531"/>
      <c r="BU508" s="1531"/>
      <c r="BV508" s="1531"/>
    </row>
    <row r="509" spans="1:74">
      <c r="A509" s="5"/>
      <c r="B509" s="5"/>
      <c r="C509" s="1128" t="s">
        <v>401</v>
      </c>
      <c r="D509" s="5"/>
      <c r="E509" s="136"/>
      <c r="F509" s="137"/>
      <c r="G509" s="137"/>
      <c r="H509" s="138"/>
      <c r="I509" s="6"/>
      <c r="J509" s="136"/>
      <c r="K509" s="137"/>
      <c r="L509" s="137"/>
      <c r="M509" s="138"/>
      <c r="N509" s="6"/>
      <c r="O509" s="136"/>
      <c r="P509" s="137"/>
      <c r="Q509" s="137"/>
      <c r="R509" s="138"/>
      <c r="S509" s="6"/>
      <c r="T509" s="136"/>
      <c r="U509" s="137"/>
      <c r="V509" s="137"/>
      <c r="W509" s="138"/>
      <c r="X509" s="6"/>
      <c r="Y509" s="136"/>
      <c r="Z509" s="137"/>
      <c r="AA509" s="137"/>
      <c r="AB509" s="138"/>
      <c r="AC509" s="6"/>
      <c r="AD509" s="136"/>
      <c r="AE509" s="137"/>
      <c r="AF509" s="137"/>
      <c r="AG509" s="138"/>
      <c r="AH509" s="6"/>
      <c r="AI509" s="136"/>
      <c r="AJ509" s="137"/>
      <c r="AK509" s="137"/>
      <c r="AL509" s="138"/>
      <c r="AM509" s="6"/>
      <c r="AN509" s="136"/>
      <c r="AO509" s="137"/>
      <c r="AP509" s="137"/>
      <c r="AQ509" s="138"/>
      <c r="AR509" s="6"/>
      <c r="AS509" s="136"/>
      <c r="AT509" s="137"/>
      <c r="AU509" s="137"/>
      <c r="AV509" s="138"/>
      <c r="AW509" s="6"/>
      <c r="AX509" s="136"/>
      <c r="AY509" s="137"/>
      <c r="AZ509" s="137"/>
      <c r="BA509" s="138"/>
      <c r="BB509" s="6"/>
      <c r="BC509" s="136"/>
      <c r="BD509" s="137"/>
      <c r="BE509" s="137"/>
      <c r="BF509" s="138"/>
      <c r="BG509" s="6"/>
      <c r="BH509" s="136"/>
      <c r="BI509" s="137"/>
      <c r="BJ509" s="137"/>
      <c r="BK509" s="138"/>
      <c r="BL509" s="6"/>
      <c r="BM509" s="136"/>
      <c r="BN509" s="137"/>
      <c r="BO509" s="137"/>
      <c r="BP509" s="138"/>
      <c r="BQ509" s="6"/>
      <c r="BR509" s="6"/>
      <c r="BS509" s="1531"/>
      <c r="BT509" s="1531"/>
      <c r="BU509" s="1531"/>
      <c r="BV509" s="1531"/>
    </row>
    <row r="510" spans="1:74">
      <c r="A510" s="5"/>
      <c r="B510" s="5"/>
      <c r="C510" s="1159" t="s">
        <v>663</v>
      </c>
      <c r="D510" s="5"/>
      <c r="E510" s="209"/>
      <c r="F510" s="210"/>
      <c r="G510" s="210"/>
      <c r="H510" s="211"/>
      <c r="I510" s="100"/>
      <c r="J510" s="209">
        <f t="shared" ref="J510:AR510" si="1314">(J497+J500)/J500</f>
        <v>-5.8178423094672445</v>
      </c>
      <c r="K510" s="210">
        <f t="shared" si="1314"/>
        <v>-5.6446928095088351</v>
      </c>
      <c r="L510" s="210">
        <f t="shared" si="1314"/>
        <v>-5.8508984901884009</v>
      </c>
      <c r="M510" s="211">
        <f t="shared" si="1314"/>
        <v>-9.4511466644387827</v>
      </c>
      <c r="N510" s="100">
        <f t="shared" si="1314"/>
        <v>-9.4511466644387827</v>
      </c>
      <c r="O510" s="209">
        <f t="shared" si="1314"/>
        <v>-28.720094236159071</v>
      </c>
      <c r="P510" s="210">
        <f t="shared" si="1314"/>
        <v>-33.165343320848955</v>
      </c>
      <c r="Q510" s="210">
        <f t="shared" si="1314"/>
        <v>-32.502682071384378</v>
      </c>
      <c r="R510" s="211">
        <f t="shared" si="1314"/>
        <v>-31.363283900358635</v>
      </c>
      <c r="S510" s="100">
        <f t="shared" si="1314"/>
        <v>-31.363283900358635</v>
      </c>
      <c r="T510" s="209">
        <f t="shared" si="1314"/>
        <v>-25.395016712245518</v>
      </c>
      <c r="U510" s="210">
        <f t="shared" si="1314"/>
        <v>-24.959391911430572</v>
      </c>
      <c r="V510" s="210">
        <f t="shared" si="1314"/>
        <v>-26.356444201810657</v>
      </c>
      <c r="W510" s="211">
        <f t="shared" si="1314"/>
        <v>-23.579553072625696</v>
      </c>
      <c r="X510" s="100">
        <f t="shared" si="1314"/>
        <v>-23.579553072625696</v>
      </c>
      <c r="Y510" s="209">
        <f t="shared" si="1314"/>
        <v>-32.666570188133143</v>
      </c>
      <c r="Z510" s="210">
        <f t="shared" si="1314"/>
        <v>-32.474903474903506</v>
      </c>
      <c r="AA510" s="210">
        <f t="shared" si="1314"/>
        <v>-28.640767056306839</v>
      </c>
      <c r="AB510" s="211">
        <f t="shared" si="1314"/>
        <v>-28.317894994792638</v>
      </c>
      <c r="AC510" s="100">
        <f t="shared" si="1314"/>
        <v>-28.317894994792638</v>
      </c>
      <c r="AD510" s="209">
        <f t="shared" si="1314"/>
        <v>-35.354498798864398</v>
      </c>
      <c r="AE510" s="210">
        <f t="shared" si="1314"/>
        <v>-39.047845535360409</v>
      </c>
      <c r="AF510" s="210">
        <f t="shared" si="1314"/>
        <v>-38.7081490104773</v>
      </c>
      <c r="AG510" s="211">
        <f t="shared" si="1314"/>
        <v>-39.253334134326579</v>
      </c>
      <c r="AH510" s="100">
        <f t="shared" si="1314"/>
        <v>-39.253334134326579</v>
      </c>
      <c r="AI510" s="209">
        <f t="shared" si="1314"/>
        <v>-29.922000000000008</v>
      </c>
      <c r="AJ510" s="210">
        <f t="shared" si="1314"/>
        <v>-23.80692921236292</v>
      </c>
      <c r="AK510" s="210">
        <f t="shared" si="1314"/>
        <v>-19.310883253914245</v>
      </c>
      <c r="AL510" s="211">
        <f t="shared" si="1314"/>
        <v>-14.81633567268929</v>
      </c>
      <c r="AM510" s="100">
        <f t="shared" si="1314"/>
        <v>-14.81633567268929</v>
      </c>
      <c r="AN510" s="209">
        <f t="shared" ref="AN510:AP510" si="1315">(AN497+AN500)/AN500</f>
        <v>-13.159104389086618</v>
      </c>
      <c r="AO510" s="210">
        <f t="shared" si="1315"/>
        <v>-21.012279939143689</v>
      </c>
      <c r="AP510" s="210">
        <f t="shared" si="1315"/>
        <v>-22.453175373859018</v>
      </c>
      <c r="AQ510" s="211">
        <f t="shared" si="1314"/>
        <v>-23.492081546941979</v>
      </c>
      <c r="AR510" s="100">
        <f t="shared" si="1314"/>
        <v>-23.492081546941979</v>
      </c>
      <c r="AS510" s="209">
        <f t="shared" ref="AS510:BB510" si="1316">(AS497+AS500)/AS500</f>
        <v>-21.925202621141562</v>
      </c>
      <c r="AT510" s="210">
        <f t="shared" si="1316"/>
        <v>-28.4423017925231</v>
      </c>
      <c r="AU510" s="210">
        <f t="shared" si="1316"/>
        <v>-30.461977520196683</v>
      </c>
      <c r="AV510" s="211">
        <f t="shared" si="1316"/>
        <v>-31.837058277810584</v>
      </c>
      <c r="AW510" s="100">
        <f t="shared" si="1316"/>
        <v>-31.837058277810584</v>
      </c>
      <c r="AX510" s="209">
        <f t="shared" si="1316"/>
        <v>-28.226618927126879</v>
      </c>
      <c r="AY510" s="210">
        <f t="shared" si="1316"/>
        <v>-15.813410941735834</v>
      </c>
      <c r="AZ510" s="210">
        <f t="shared" si="1316"/>
        <v>-15.1111129287432</v>
      </c>
      <c r="BA510" s="211">
        <f t="shared" si="1316"/>
        <v>-15.424906981368855</v>
      </c>
      <c r="BB510" s="100">
        <f t="shared" si="1316"/>
        <v>-15.424906981368855</v>
      </c>
      <c r="BC510" s="209">
        <f t="shared" ref="BC510:BL510" si="1317">(BC497+BC500)/BC500</f>
        <v>-16.085767418351075</v>
      </c>
      <c r="BD510" s="210">
        <f t="shared" si="1317"/>
        <v>-15.235265355902023</v>
      </c>
      <c r="BE510" s="210">
        <f t="shared" si="1317"/>
        <v>-13.350118986562201</v>
      </c>
      <c r="BF510" s="211">
        <f t="shared" si="1317"/>
        <v>-11.208960367135534</v>
      </c>
      <c r="BG510" s="100">
        <f t="shared" si="1317"/>
        <v>-11.208960367135534</v>
      </c>
      <c r="BH510" s="209">
        <f t="shared" si="1317"/>
        <v>-12.8175451621298</v>
      </c>
      <c r="BI510" s="210">
        <f t="shared" si="1317"/>
        <v>-11.779160467046159</v>
      </c>
      <c r="BJ510" s="210">
        <f t="shared" si="1317"/>
        <v>-10.556886132871902</v>
      </c>
      <c r="BK510" s="211">
        <f t="shared" si="1317"/>
        <v>-9.4930383552568571</v>
      </c>
      <c r="BL510" s="100">
        <f t="shared" si="1317"/>
        <v>-9.4930383552568571</v>
      </c>
      <c r="BM510" s="209">
        <f t="shared" ref="BM510:BQ510" si="1318">(BM497+BM500)/BM500</f>
        <v>-5.1790298897158342</v>
      </c>
      <c r="BN510" s="210">
        <f t="shared" si="1318"/>
        <v>-4.688545205810648</v>
      </c>
      <c r="BO510" s="210">
        <f t="shared" si="1318"/>
        <v>-3.9663599318915015</v>
      </c>
      <c r="BP510" s="211">
        <f t="shared" si="1318"/>
        <v>-3.6032150409664858</v>
      </c>
      <c r="BQ510" s="100">
        <f t="shared" si="1318"/>
        <v>-3.6032150409664858</v>
      </c>
      <c r="BR510" s="100"/>
      <c r="BS510" s="1542"/>
      <c r="BT510" s="1542"/>
      <c r="BU510" s="1542"/>
      <c r="BV510" s="1542"/>
    </row>
    <row r="511" spans="1:74">
      <c r="A511" s="5"/>
      <c r="B511" s="5"/>
      <c r="C511" s="1159" t="s">
        <v>665</v>
      </c>
      <c r="D511" s="5"/>
      <c r="E511" s="209"/>
      <c r="F511" s="210"/>
      <c r="G511" s="210"/>
      <c r="H511" s="211"/>
      <c r="I511" s="100"/>
      <c r="J511" s="209">
        <f t="shared" ref="J511:AR511" si="1319">J498/J500</f>
        <v>-8.336489650811016</v>
      </c>
      <c r="K511" s="210">
        <f t="shared" si="1319"/>
        <v>-8.3719831305287453</v>
      </c>
      <c r="L511" s="210">
        <f t="shared" si="1319"/>
        <v>-7.7369708045076795</v>
      </c>
      <c r="M511" s="211">
        <f t="shared" si="1319"/>
        <v>-11.555592686968266</v>
      </c>
      <c r="N511" s="100">
        <f t="shared" si="1319"/>
        <v>-11.555592686968266</v>
      </c>
      <c r="O511" s="209">
        <f t="shared" si="1319"/>
        <v>-33.014419757098189</v>
      </c>
      <c r="P511" s="210">
        <f t="shared" si="1319"/>
        <v>-38.260324594257199</v>
      </c>
      <c r="Q511" s="210">
        <f t="shared" si="1319"/>
        <v>-40.541468949865923</v>
      </c>
      <c r="R511" s="211">
        <f t="shared" si="1319"/>
        <v>-35.762867112532717</v>
      </c>
      <c r="S511" s="100">
        <f t="shared" si="1319"/>
        <v>-35.762867112532717</v>
      </c>
      <c r="T511" s="209">
        <f t="shared" si="1319"/>
        <v>-11.86096279897556</v>
      </c>
      <c r="U511" s="210">
        <f t="shared" si="1319"/>
        <v>-11.239145701656541</v>
      </c>
      <c r="V511" s="210">
        <f t="shared" si="1319"/>
        <v>-10.36431463536691</v>
      </c>
      <c r="W511" s="211">
        <f t="shared" si="1319"/>
        <v>-6.6847486033519523</v>
      </c>
      <c r="X511" s="100">
        <f t="shared" si="1319"/>
        <v>-6.6847486033519523</v>
      </c>
      <c r="Y511" s="209">
        <f t="shared" si="1319"/>
        <v>-37.159623733719243</v>
      </c>
      <c r="Z511" s="210">
        <f t="shared" si="1319"/>
        <v>-31.984975658888725</v>
      </c>
      <c r="AA511" s="210">
        <f t="shared" si="1319"/>
        <v>-2.2278248911299716</v>
      </c>
      <c r="AB511" s="211">
        <f t="shared" si="1319"/>
        <v>1.1132757458800342</v>
      </c>
      <c r="AC511" s="100">
        <f t="shared" si="1319"/>
        <v>1.1132757458800342</v>
      </c>
      <c r="AD511" s="209">
        <f t="shared" si="1319"/>
        <v>-11.253439615636614</v>
      </c>
      <c r="AE511" s="210">
        <f t="shared" si="1319"/>
        <v>-14.413623237642264</v>
      </c>
      <c r="AF511" s="210">
        <f t="shared" si="1319"/>
        <v>-24.672176949941782</v>
      </c>
      <c r="AG511" s="211">
        <f t="shared" si="1319"/>
        <v>-29.32566382314069</v>
      </c>
      <c r="AH511" s="100">
        <f t="shared" si="1319"/>
        <v>-29.32566382314069</v>
      </c>
      <c r="AI511" s="209">
        <f t="shared" si="1319"/>
        <v>-18.359085714285719</v>
      </c>
      <c r="AJ511" s="210">
        <f t="shared" si="1319"/>
        <v>-13.506430707876381</v>
      </c>
      <c r="AK511" s="210">
        <f t="shared" si="1319"/>
        <v>54.508381552076237</v>
      </c>
      <c r="AL511" s="211">
        <f t="shared" si="1319"/>
        <v>61.565178438106592</v>
      </c>
      <c r="AM511" s="100">
        <f t="shared" si="1319"/>
        <v>61.565178438106592</v>
      </c>
      <c r="AN511" s="209">
        <f t="shared" ref="AN511:AP511" si="1320">AN498/AN500</f>
        <v>63.418297746144702</v>
      </c>
      <c r="AO511" s="210">
        <f t="shared" si="1320"/>
        <v>61.127218720567981</v>
      </c>
      <c r="AP511" s="210">
        <f t="shared" si="1320"/>
        <v>3.4600893377354627</v>
      </c>
      <c r="AQ511" s="211">
        <f t="shared" si="1319"/>
        <v>116.48127570216118</v>
      </c>
      <c r="AR511" s="100">
        <f t="shared" si="1319"/>
        <v>116.48127570216118</v>
      </c>
      <c r="AS511" s="209">
        <f t="shared" ref="AS511:BB511" si="1321">AS498/AS500</f>
        <v>125.00409553371273</v>
      </c>
      <c r="AT511" s="210">
        <f t="shared" si="1321"/>
        <v>137.91694788973135</v>
      </c>
      <c r="AU511" s="210">
        <f t="shared" si="1321"/>
        <v>135.2256761503337</v>
      </c>
      <c r="AV511" s="211">
        <f t="shared" si="1321"/>
        <v>12.444168002024121</v>
      </c>
      <c r="AW511" s="100">
        <f t="shared" si="1321"/>
        <v>12.444168002024121</v>
      </c>
      <c r="AX511" s="209">
        <f t="shared" si="1321"/>
        <v>5.5426429071514249</v>
      </c>
      <c r="AY511" s="210">
        <f t="shared" si="1321"/>
        <v>-6.1455809084670356</v>
      </c>
      <c r="AZ511" s="210">
        <f t="shared" si="1321"/>
        <v>-6.1006682643902037</v>
      </c>
      <c r="BA511" s="211">
        <f t="shared" si="1321"/>
        <v>-11.196272563910338</v>
      </c>
      <c r="BB511" s="100">
        <f t="shared" si="1321"/>
        <v>-11.196272563910338</v>
      </c>
      <c r="BC511" s="209">
        <f t="shared" ref="BC511:BL511" si="1322">BC498/BC500</f>
        <v>-13.770626758008952</v>
      </c>
      <c r="BD511" s="210">
        <f t="shared" si="1322"/>
        <v>-13.751270328671696</v>
      </c>
      <c r="BE511" s="210">
        <f t="shared" si="1322"/>
        <v>-12.050259526968922</v>
      </c>
      <c r="BF511" s="211">
        <f t="shared" si="1322"/>
        <v>-9.9933051588314239</v>
      </c>
      <c r="BG511" s="100">
        <f t="shared" si="1322"/>
        <v>-9.9933051588314239</v>
      </c>
      <c r="BH511" s="209">
        <f t="shared" si="1322"/>
        <v>-13.296919770959542</v>
      </c>
      <c r="BI511" s="210">
        <f t="shared" si="1322"/>
        <v>-12.040078019622987</v>
      </c>
      <c r="BJ511" s="210">
        <f t="shared" si="1322"/>
        <v>-10.507237635624783</v>
      </c>
      <c r="BK511" s="211">
        <f t="shared" si="1322"/>
        <v>-9.2859651163784829</v>
      </c>
      <c r="BL511" s="100">
        <f t="shared" si="1322"/>
        <v>-9.2859651163784829</v>
      </c>
      <c r="BM511" s="209">
        <f t="shared" ref="BM511:BQ511" si="1323">BM498/BM500</f>
        <v>-2.9124483576290401</v>
      </c>
      <c r="BN511" s="210">
        <f t="shared" si="1323"/>
        <v>-2.8977743392020745</v>
      </c>
      <c r="BO511" s="210">
        <f t="shared" si="1323"/>
        <v>-2.4681399389770307</v>
      </c>
      <c r="BP511" s="211">
        <f t="shared" si="1323"/>
        <v>-2.640424893667769</v>
      </c>
      <c r="BQ511" s="100">
        <f t="shared" si="1323"/>
        <v>-2.640424893667769</v>
      </c>
      <c r="BR511" s="100"/>
      <c r="BS511" s="1542"/>
      <c r="BT511" s="1542"/>
      <c r="BU511" s="1542"/>
      <c r="BV511" s="1542"/>
    </row>
    <row r="512" spans="1:74">
      <c r="A512" s="320"/>
      <c r="B512" s="320"/>
      <c r="C512" s="1167"/>
      <c r="D512" s="320"/>
      <c r="E512" s="569"/>
      <c r="F512" s="570"/>
      <c r="G512" s="570"/>
      <c r="H512" s="571"/>
      <c r="I512" s="5"/>
      <c r="J512" s="569"/>
      <c r="K512" s="570"/>
      <c r="L512" s="570"/>
      <c r="M512" s="571"/>
      <c r="N512" s="5"/>
      <c r="O512" s="569"/>
      <c r="P512" s="570"/>
      <c r="Q512" s="570"/>
      <c r="R512" s="571"/>
      <c r="S512" s="5"/>
      <c r="T512" s="569"/>
      <c r="U512" s="570"/>
      <c r="V512" s="570"/>
      <c r="W512" s="571"/>
      <c r="X512" s="5"/>
      <c r="Y512" s="569"/>
      <c r="Z512" s="570"/>
      <c r="AA512" s="570"/>
      <c r="AB512" s="571"/>
      <c r="AC512" s="5"/>
      <c r="AD512" s="569"/>
      <c r="AE512" s="570"/>
      <c r="AF512" s="570"/>
      <c r="AG512" s="571"/>
      <c r="AH512" s="5"/>
      <c r="AI512" s="569"/>
      <c r="AJ512" s="570"/>
      <c r="AK512" s="570"/>
      <c r="AL512" s="571"/>
      <c r="AM512" s="5"/>
      <c r="AN512" s="569"/>
      <c r="AO512" s="570"/>
      <c r="AP512" s="570"/>
      <c r="AQ512" s="571"/>
      <c r="AR512" s="107"/>
      <c r="AS512" s="569"/>
      <c r="AT512" s="570"/>
      <c r="AU512" s="570"/>
      <c r="AV512" s="571"/>
      <c r="AW512" s="107"/>
      <c r="AX512" s="569"/>
      <c r="AY512" s="570"/>
      <c r="AZ512" s="570"/>
      <c r="BA512" s="571"/>
      <c r="BB512" s="107"/>
      <c r="BC512" s="569"/>
      <c r="BD512" s="570"/>
      <c r="BE512" s="570"/>
      <c r="BF512" s="571"/>
      <c r="BG512" s="107"/>
      <c r="BH512" s="569"/>
      <c r="BI512" s="570"/>
      <c r="BJ512" s="570"/>
      <c r="BK512" s="571"/>
      <c r="BL512" s="107"/>
      <c r="BM512" s="569"/>
      <c r="BN512" s="570"/>
      <c r="BO512" s="570"/>
      <c r="BP512" s="571"/>
      <c r="BQ512" s="107"/>
      <c r="BR512" s="107"/>
      <c r="BS512" s="1496"/>
      <c r="BT512" s="1496"/>
      <c r="BU512" s="1496"/>
      <c r="BV512" s="1496"/>
    </row>
    <row r="513" spans="3:3">
      <c r="C513" s="1145"/>
    </row>
  </sheetData>
  <phoneticPr fontId="2" type="noConversion"/>
  <conditionalFormatting sqref="AU386 AX398:BA402 AX386:BA386 AU404:AV405 AX404:BA405 AU398 AS400:AV402 AT399:AV399">
    <cfRule type="expression" dxfId="5" priority="5" stopIfTrue="1">
      <formula>AS$6&gt;LastQtr</formula>
    </cfRule>
  </conditionalFormatting>
  <conditionalFormatting sqref="BC398:BF402 BC386:BF386 BC404:BF405">
    <cfRule type="expression" dxfId="4" priority="4" stopIfTrue="1">
      <formula>BC$6&gt;LastQtr</formula>
    </cfRule>
  </conditionalFormatting>
  <conditionalFormatting sqref="BH398:BK402 BH386:BK386 BH404:BK405">
    <cfRule type="expression" dxfId="3" priority="3" stopIfTrue="1">
      <formula>BH$6&gt;LastQtr</formula>
    </cfRule>
  </conditionalFormatting>
  <conditionalFormatting sqref="BM398:BP402 BM386:BP386 BM404:BP405">
    <cfRule type="expression" dxfId="2" priority="2" stopIfTrue="1">
      <formula>BM$6&gt;LastQtr</formula>
    </cfRule>
  </conditionalFormatting>
  <conditionalFormatting sqref="AS403:AV403">
    <cfRule type="expression" dxfId="1" priority="1" stopIfTrue="1">
      <formula>AS$6&gt;LastQtr</formula>
    </cfRule>
  </conditionalFormatting>
  <pageMargins left="0.75" right="0.75" top="1" bottom="1" header="0.5" footer="0.5"/>
  <pageSetup scale="51" fitToHeight="2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F74"/>
  <sheetViews>
    <sheetView zoomScale="85" zoomScaleNormal="85" workbookViewId="0">
      <pane xSplit="4" ySplit="5" topLeftCell="I6" activePane="bottomRight" state="frozen"/>
      <selection activeCell="I6" sqref="I6"/>
      <selection pane="topRight" activeCell="I6" sqref="I6"/>
      <selection pane="bottomLeft" activeCell="I6" sqref="I6"/>
      <selection pane="bottomRight" activeCell="I6" sqref="I6"/>
    </sheetView>
  </sheetViews>
  <sheetFormatPr defaultColWidth="9" defaultRowHeight="12.75" outlineLevelCol="1"/>
  <cols>
    <col min="1" max="2" width="2.7109375" customWidth="1"/>
    <col min="3" max="3" width="42.7109375" style="1204" customWidth="1"/>
    <col min="4" max="4" width="2.7109375" hidden="1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11" style="1339" bestFit="1" customWidth="1"/>
  </cols>
  <sheetData>
    <row r="1" spans="1:162" ht="15" customHeight="1">
      <c r="A1" s="9"/>
      <c r="B1" s="9"/>
      <c r="C1" s="1168"/>
      <c r="D1" s="11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340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</row>
    <row r="2" spans="1:162" ht="18">
      <c r="A2" s="9"/>
      <c r="B2" s="733" t="str">
        <f>Cover!B2</f>
        <v>Entergy Corporation</v>
      </c>
      <c r="C2" s="1168"/>
      <c r="D2" s="11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340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</row>
    <row r="3" spans="1:162" ht="15.75">
      <c r="A3" s="524"/>
      <c r="B3" s="524" t="s">
        <v>156</v>
      </c>
      <c r="C3" s="1169"/>
      <c r="D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340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</row>
    <row r="4" spans="1:162">
      <c r="A4" s="15"/>
      <c r="B4" s="15" t="s">
        <v>321</v>
      </c>
      <c r="C4" s="1170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341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</row>
    <row r="5" spans="1:162">
      <c r="B5" s="525" t="s">
        <v>121</v>
      </c>
      <c r="C5" s="1324"/>
      <c r="D5" s="526"/>
      <c r="E5" s="527" t="s">
        <v>672</v>
      </c>
      <c r="F5" s="528" t="s">
        <v>673</v>
      </c>
      <c r="G5" s="528" t="s">
        <v>666</v>
      </c>
      <c r="H5" s="529" t="s">
        <v>667</v>
      </c>
      <c r="I5" s="530">
        <v>2009</v>
      </c>
      <c r="J5" s="527" t="s">
        <v>668</v>
      </c>
      <c r="K5" s="528" t="s">
        <v>669</v>
      </c>
      <c r="L5" s="528" t="s">
        <v>670</v>
      </c>
      <c r="M5" s="529" t="s">
        <v>671</v>
      </c>
      <c r="N5" s="530" t="s">
        <v>653</v>
      </c>
      <c r="O5" s="527" t="s">
        <v>656</v>
      </c>
      <c r="P5" s="528" t="s">
        <v>657</v>
      </c>
      <c r="Q5" s="528" t="s">
        <v>658</v>
      </c>
      <c r="R5" s="529" t="s">
        <v>659</v>
      </c>
      <c r="S5" s="531" t="s">
        <v>677</v>
      </c>
      <c r="T5" s="527" t="s">
        <v>150</v>
      </c>
      <c r="U5" s="528" t="s">
        <v>797</v>
      </c>
      <c r="V5" s="396" t="s">
        <v>108</v>
      </c>
      <c r="W5" s="397" t="s">
        <v>109</v>
      </c>
      <c r="X5" s="399" t="s">
        <v>110</v>
      </c>
      <c r="Y5" s="527" t="s">
        <v>723</v>
      </c>
      <c r="Z5" s="528" t="s">
        <v>428</v>
      </c>
      <c r="AA5" s="528" t="s">
        <v>426</v>
      </c>
      <c r="AB5" s="529" t="s">
        <v>800</v>
      </c>
      <c r="AC5" s="531" t="s">
        <v>799</v>
      </c>
      <c r="AD5" s="527" t="s">
        <v>801</v>
      </c>
      <c r="AE5" s="528" t="s">
        <v>278</v>
      </c>
      <c r="AF5" s="396" t="s">
        <v>891</v>
      </c>
      <c r="AG5" s="397" t="s">
        <v>892</v>
      </c>
      <c r="AH5" s="399" t="s">
        <v>893</v>
      </c>
      <c r="AI5" s="395" t="s">
        <v>928</v>
      </c>
      <c r="AJ5" s="396" t="s">
        <v>929</v>
      </c>
      <c r="AK5" s="396" t="s">
        <v>930</v>
      </c>
      <c r="AL5" s="529" t="s">
        <v>949</v>
      </c>
      <c r="AM5" s="531" t="s">
        <v>948</v>
      </c>
      <c r="AN5" s="395" t="s">
        <v>952</v>
      </c>
      <c r="AO5" s="396" t="s">
        <v>962</v>
      </c>
      <c r="AP5" s="528" t="s">
        <v>987</v>
      </c>
      <c r="AQ5" s="397" t="s">
        <v>1010</v>
      </c>
      <c r="AR5" s="399" t="s">
        <v>1009</v>
      </c>
      <c r="AS5" s="395" t="s">
        <v>1022</v>
      </c>
      <c r="AT5" s="528" t="s">
        <v>1023</v>
      </c>
      <c r="AU5" s="528" t="s">
        <v>1032</v>
      </c>
      <c r="AV5" s="529" t="s">
        <v>1037</v>
      </c>
      <c r="AW5" s="531" t="s">
        <v>1038</v>
      </c>
      <c r="AX5" s="527" t="s">
        <v>279</v>
      </c>
      <c r="AY5" s="528" t="s">
        <v>280</v>
      </c>
      <c r="AZ5" s="528" t="s">
        <v>281</v>
      </c>
      <c r="BA5" s="529" t="s">
        <v>282</v>
      </c>
      <c r="BB5" s="531" t="s">
        <v>136</v>
      </c>
      <c r="BC5" s="527" t="s">
        <v>909</v>
      </c>
      <c r="BD5" s="528" t="s">
        <v>910</v>
      </c>
      <c r="BE5" s="528" t="s">
        <v>911</v>
      </c>
      <c r="BF5" s="529" t="s">
        <v>912</v>
      </c>
      <c r="BG5" s="531" t="s">
        <v>913</v>
      </c>
      <c r="BH5" s="527" t="s">
        <v>904</v>
      </c>
      <c r="BI5" s="528" t="s">
        <v>905</v>
      </c>
      <c r="BJ5" s="528" t="s">
        <v>906</v>
      </c>
      <c r="BK5" s="529" t="s">
        <v>907</v>
      </c>
      <c r="BL5" s="531" t="s">
        <v>908</v>
      </c>
      <c r="BM5" s="395" t="s">
        <v>988</v>
      </c>
      <c r="BN5" s="396" t="s">
        <v>989</v>
      </c>
      <c r="BO5" s="396" t="s">
        <v>990</v>
      </c>
      <c r="BP5" s="397" t="s">
        <v>991</v>
      </c>
      <c r="BQ5" s="399" t="s">
        <v>992</v>
      </c>
      <c r="BR5" s="1543"/>
      <c r="BS5" s="531"/>
      <c r="BT5" s="531"/>
      <c r="BU5" s="531"/>
      <c r="BV5" s="531"/>
      <c r="BW5" s="531"/>
      <c r="BX5" s="531"/>
      <c r="BY5" s="531"/>
      <c r="BZ5" s="531"/>
      <c r="CA5" s="531"/>
      <c r="CB5" s="531"/>
      <c r="CC5" s="531"/>
      <c r="CD5" s="531"/>
      <c r="CE5" s="531"/>
      <c r="CF5" s="531"/>
      <c r="CG5" s="531"/>
      <c r="CH5" s="531"/>
      <c r="CI5" s="531"/>
      <c r="CJ5" s="531"/>
      <c r="CK5" s="531"/>
      <c r="CL5" s="531"/>
      <c r="CM5" s="531"/>
      <c r="CN5" s="531"/>
      <c r="CO5" s="531"/>
      <c r="CP5" s="531"/>
      <c r="CQ5" s="531"/>
      <c r="CR5" s="531"/>
      <c r="CS5" s="531"/>
      <c r="CT5" s="531"/>
      <c r="CU5" s="531"/>
      <c r="CV5" s="531"/>
      <c r="CW5" s="531"/>
      <c r="CX5" s="531"/>
      <c r="CY5" s="531"/>
      <c r="CZ5" s="531"/>
      <c r="DA5" s="531"/>
      <c r="DB5" s="531"/>
      <c r="DC5" s="531"/>
      <c r="DD5" s="531"/>
      <c r="DE5" s="531"/>
      <c r="DF5" s="531"/>
      <c r="DG5" s="531"/>
      <c r="DH5" s="531"/>
      <c r="DI5" s="531"/>
      <c r="DJ5" s="531"/>
      <c r="DK5" s="531"/>
      <c r="DL5" s="531"/>
      <c r="DM5" s="531"/>
      <c r="DN5" s="531"/>
      <c r="DO5" s="531"/>
      <c r="DP5" s="531"/>
      <c r="DQ5" s="531"/>
      <c r="DR5" s="531"/>
      <c r="DS5" s="531"/>
      <c r="DT5" s="531"/>
      <c r="DU5" s="531"/>
      <c r="DV5" s="531"/>
      <c r="DW5" s="531"/>
      <c r="DX5" s="531"/>
      <c r="DY5" s="531"/>
      <c r="DZ5" s="531"/>
      <c r="EA5" s="531"/>
      <c r="EB5" s="531"/>
      <c r="EC5" s="531"/>
      <c r="ED5" s="531"/>
      <c r="EE5" s="531"/>
      <c r="EF5" s="531"/>
      <c r="EG5" s="531"/>
      <c r="EH5" s="531"/>
      <c r="EI5" s="531"/>
      <c r="EJ5" s="531"/>
      <c r="EK5" s="531"/>
      <c r="EL5" s="531"/>
      <c r="EM5" s="531"/>
      <c r="EN5" s="531"/>
      <c r="EO5" s="531"/>
      <c r="EP5" s="531"/>
      <c r="EQ5" s="531"/>
      <c r="ER5" s="531"/>
      <c r="ES5" s="531"/>
      <c r="ET5" s="531"/>
      <c r="EU5" s="531"/>
      <c r="EV5" s="531"/>
      <c r="EW5" s="531"/>
      <c r="EX5" s="531"/>
      <c r="EY5" s="531"/>
      <c r="EZ5" s="531"/>
      <c r="FA5" s="531"/>
      <c r="FB5" s="531"/>
      <c r="FC5" s="531"/>
      <c r="FD5" s="531"/>
      <c r="FE5" s="531"/>
      <c r="FF5" s="531"/>
    </row>
    <row r="6" spans="1:162">
      <c r="B6" s="5"/>
      <c r="C6" s="129"/>
      <c r="D6" s="5"/>
      <c r="E6" s="146"/>
      <c r="F6" s="7"/>
      <c r="G6" s="7"/>
      <c r="H6" s="147"/>
      <c r="I6" s="5"/>
      <c r="J6" s="146"/>
      <c r="K6" s="7"/>
      <c r="L6" s="7"/>
      <c r="M6" s="147"/>
      <c r="N6" s="5"/>
      <c r="O6" s="146"/>
      <c r="P6" s="7"/>
      <c r="Q6" s="7"/>
      <c r="R6" s="147"/>
      <c r="S6" s="5"/>
      <c r="T6" s="146"/>
      <c r="U6" s="7"/>
      <c r="V6" s="7"/>
      <c r="W6" s="147"/>
      <c r="X6" s="5"/>
      <c r="Y6" s="146"/>
      <c r="Z6" s="7"/>
      <c r="AA6" s="7"/>
      <c r="AB6" s="147"/>
      <c r="AC6" s="5"/>
      <c r="AD6" s="146"/>
      <c r="AE6" s="7"/>
      <c r="AF6" s="7"/>
      <c r="AG6" s="147"/>
      <c r="AH6" s="5"/>
      <c r="AI6" s="146"/>
      <c r="AJ6" s="7"/>
      <c r="AK6" s="7"/>
      <c r="AL6" s="147"/>
      <c r="AM6" s="5"/>
      <c r="AN6" s="146"/>
      <c r="AO6" s="7"/>
      <c r="AP6" s="7"/>
      <c r="AQ6" s="147"/>
      <c r="AR6" s="5"/>
      <c r="AS6" s="146"/>
      <c r="AT6" s="7"/>
      <c r="AU6" s="7"/>
      <c r="AV6" s="147"/>
      <c r="AW6" s="5"/>
      <c r="AX6" s="146"/>
      <c r="AY6" s="7"/>
      <c r="AZ6" s="7"/>
      <c r="BA6" s="147"/>
      <c r="BB6" s="5"/>
      <c r="BC6" s="146"/>
      <c r="BD6" s="7"/>
      <c r="BE6" s="7"/>
      <c r="BF6" s="147"/>
      <c r="BG6" s="5"/>
      <c r="BH6" s="146"/>
      <c r="BI6" s="7"/>
      <c r="BJ6" s="7"/>
      <c r="BK6" s="147"/>
      <c r="BL6" s="5"/>
      <c r="BM6" s="146"/>
      <c r="BN6" s="7"/>
      <c r="BO6" s="7"/>
      <c r="BP6" s="147"/>
      <c r="BQ6" s="5"/>
      <c r="BR6" s="1499"/>
      <c r="BS6" s="5"/>
      <c r="BT6" s="5"/>
      <c r="BU6" s="5"/>
      <c r="BV6" s="5"/>
      <c r="BW6" s="5"/>
    </row>
    <row r="7" spans="1:162" ht="12.75" customHeight="1">
      <c r="B7" s="91" t="s">
        <v>309</v>
      </c>
      <c r="C7" s="1172"/>
      <c r="D7" s="92"/>
      <c r="E7" s="133"/>
      <c r="F7" s="134"/>
      <c r="G7" s="134"/>
      <c r="H7" s="135"/>
      <c r="I7" s="5"/>
      <c r="J7" s="133"/>
      <c r="K7" s="134"/>
      <c r="L7" s="134"/>
      <c r="M7" s="135"/>
      <c r="N7" s="5"/>
      <c r="O7" s="133"/>
      <c r="P7" s="134"/>
      <c r="Q7" s="134"/>
      <c r="R7" s="135"/>
      <c r="S7" s="5"/>
      <c r="T7" s="133"/>
      <c r="U7" s="134"/>
      <c r="V7" s="134"/>
      <c r="W7" s="135"/>
      <c r="X7" s="5"/>
      <c r="Y7" s="133"/>
      <c r="Z7" s="134"/>
      <c r="AA7" s="134"/>
      <c r="AB7" s="135"/>
      <c r="AC7" s="5"/>
      <c r="AD7" s="133"/>
      <c r="AE7" s="134"/>
      <c r="AF7" s="134"/>
      <c r="AG7" s="135"/>
      <c r="AH7" s="5"/>
      <c r="AI7" s="133"/>
      <c r="AJ7" s="134"/>
      <c r="AK7" s="134"/>
      <c r="AL7" s="135"/>
      <c r="AM7" s="5"/>
      <c r="AN7" s="133"/>
      <c r="AO7" s="134"/>
      <c r="AP7" s="134"/>
      <c r="AQ7" s="135"/>
      <c r="AR7" s="5"/>
      <c r="AS7" s="133"/>
      <c r="AT7" s="134"/>
      <c r="AU7" s="134"/>
      <c r="AV7" s="135"/>
      <c r="AW7" s="5"/>
      <c r="AX7" s="133"/>
      <c r="AY7" s="134"/>
      <c r="AZ7" s="134"/>
      <c r="BA7" s="135"/>
      <c r="BB7" s="5"/>
      <c r="BC7" s="133"/>
      <c r="BD7" s="134"/>
      <c r="BE7" s="134"/>
      <c r="BF7" s="135"/>
      <c r="BG7" s="5"/>
      <c r="BH7" s="133"/>
      <c r="BI7" s="134"/>
      <c r="BJ7" s="134"/>
      <c r="BK7" s="135"/>
      <c r="BL7" s="5"/>
      <c r="BM7" s="133"/>
      <c r="BN7" s="134"/>
      <c r="BO7" s="134"/>
      <c r="BP7" s="135"/>
      <c r="BQ7" s="5"/>
      <c r="BR7" s="1499"/>
      <c r="BS7" s="5"/>
      <c r="BT7" s="5"/>
      <c r="BU7" s="5"/>
      <c r="BV7" s="5"/>
      <c r="BW7" s="5"/>
    </row>
    <row r="8" spans="1:162" ht="12.75" customHeight="1">
      <c r="B8" s="5"/>
      <c r="C8" s="129"/>
      <c r="D8" s="5"/>
      <c r="E8" s="139"/>
      <c r="F8" s="18"/>
      <c r="G8" s="18"/>
      <c r="H8" s="140"/>
      <c r="I8" s="5"/>
      <c r="J8" s="139"/>
      <c r="K8" s="18"/>
      <c r="L8" s="18"/>
      <c r="M8" s="140"/>
      <c r="N8" s="5"/>
      <c r="O8" s="139"/>
      <c r="P8" s="18"/>
      <c r="Q8" s="18"/>
      <c r="R8" s="140"/>
      <c r="S8" s="5"/>
      <c r="T8" s="139"/>
      <c r="U8" s="18"/>
      <c r="V8" s="18"/>
      <c r="W8" s="140"/>
      <c r="X8" s="5"/>
      <c r="Y8" s="139"/>
      <c r="Z8" s="18"/>
      <c r="AA8" s="18"/>
      <c r="AB8" s="140"/>
      <c r="AC8" s="5"/>
      <c r="AD8" s="139"/>
      <c r="AE8" s="18"/>
      <c r="AF8" s="18"/>
      <c r="AG8" s="140"/>
      <c r="AH8" s="5"/>
      <c r="AI8" s="139"/>
      <c r="AJ8" s="18"/>
      <c r="AK8" s="18"/>
      <c r="AL8" s="140"/>
      <c r="AM8" s="5"/>
      <c r="AN8" s="139"/>
      <c r="AO8" s="18"/>
      <c r="AP8" s="18"/>
      <c r="AQ8" s="140"/>
      <c r="AR8" s="5"/>
      <c r="AS8" s="139"/>
      <c r="AT8" s="18"/>
      <c r="AU8" s="18"/>
      <c r="AV8" s="140"/>
      <c r="AW8" s="5"/>
      <c r="AX8" s="139"/>
      <c r="AY8" s="18"/>
      <c r="AZ8" s="18"/>
      <c r="BA8" s="140"/>
      <c r="BB8" s="5"/>
      <c r="BC8" s="139"/>
      <c r="BD8" s="18"/>
      <c r="BE8" s="18"/>
      <c r="BF8" s="140"/>
      <c r="BG8" s="5"/>
      <c r="BH8" s="139"/>
      <c r="BI8" s="18"/>
      <c r="BJ8" s="18"/>
      <c r="BK8" s="140"/>
      <c r="BL8" s="5"/>
      <c r="BM8" s="139"/>
      <c r="BN8" s="18"/>
      <c r="BO8" s="18"/>
      <c r="BP8" s="140"/>
      <c r="BQ8" s="5"/>
      <c r="BR8" s="1499"/>
      <c r="BS8" s="5"/>
      <c r="BT8" s="5"/>
      <c r="BU8" s="5"/>
      <c r="BV8" s="5"/>
      <c r="BW8" s="5"/>
    </row>
    <row r="9" spans="1:162" s="103" customFormat="1">
      <c r="B9" s="331"/>
      <c r="C9" s="1174" t="s">
        <v>310</v>
      </c>
      <c r="D9" s="331"/>
      <c r="E9" s="177">
        <f>ETR!E8-Utility!E11-EWC!E9</f>
        <v>30.720000000000141</v>
      </c>
      <c r="F9" s="178">
        <f>ETR!F8-Utility!F11-EWC!F9</f>
        <v>28.030000000000086</v>
      </c>
      <c r="G9" s="178">
        <f>ETR!G8-Utility!G11-EWC!G9</f>
        <v>32.595999999999435</v>
      </c>
      <c r="H9" s="179">
        <f>ETR!H8-Utility!H11-EWC!H9</f>
        <v>-112.12699999999973</v>
      </c>
      <c r="I9" s="44">
        <f>ETR!I8-Utility!I11-EWC!I9</f>
        <v>-20.781000000000404</v>
      </c>
      <c r="J9" s="177">
        <f>ETR!J8-Utility!J11-EWC!J9</f>
        <v>-4.8809999999995171</v>
      </c>
      <c r="K9" s="178">
        <f>ETR!K8-Utility!K11-EWC!K9</f>
        <v>-5.2250000000003638</v>
      </c>
      <c r="L9" s="178">
        <f>ETR!L8-Utility!L11-EWC!L9</f>
        <v>-6.4779999999999518</v>
      </c>
      <c r="M9" s="179">
        <f>ETR!M8-Utility!M11-EWC!M9</f>
        <v>-3.327000000001135</v>
      </c>
      <c r="N9" s="44">
        <f>ETR!N8-Utility!N11-EWC!N9</f>
        <v>-19.911000000000968</v>
      </c>
      <c r="O9" s="177">
        <f>ETR!O8-Utility!O11-EWC!O9</f>
        <v>-6.5559999999998126</v>
      </c>
      <c r="P9" s="178">
        <f>ETR!P8-Utility!P11-EWC!P9</f>
        <v>-6.2719999999999345</v>
      </c>
      <c r="Q9" s="178">
        <f>ETR!Q8-Utility!Q11-EWC!Q9</f>
        <v>-6.2939999999999827</v>
      </c>
      <c r="R9" s="179">
        <f>ETR!R8-Utility!R11-EWC!R9</f>
        <v>-7.4060000000008586</v>
      </c>
      <c r="S9" s="44">
        <f>ETR!S8-Utility!S11-EWC!S9</f>
        <v>-26.527999999999338</v>
      </c>
      <c r="T9" s="177">
        <f>ETR!T8-Utility!T11-EWC!T9</f>
        <v>-8.2319999999999709</v>
      </c>
      <c r="U9" s="178">
        <f>ETR!U8-Utility!U11-EWC!U9</f>
        <v>-8.6499999999998636</v>
      </c>
      <c r="V9" s="178">
        <f>ETR!V8-Utility!V11-EWC!V9</f>
        <v>-8.1739999999998645</v>
      </c>
      <c r="W9" s="179">
        <f>ETR!W8-Utility!W11-EWC!W9</f>
        <v>-4.2650000000010095</v>
      </c>
      <c r="X9" s="44">
        <f>ETR!X8-Utility!X11-EWC!X9</f>
        <v>-29.321000000000822</v>
      </c>
      <c r="Y9" s="177">
        <f>ETR!Y8-Utility!Y11-EWC!Y9</f>
        <v>-8.2999999999999545</v>
      </c>
      <c r="Z9" s="178">
        <f>ETR!Z8-Utility!Z11-EWC!Z9</f>
        <v>-7.6509999999997262</v>
      </c>
      <c r="AA9" s="178">
        <f>ETR!AA8-Utility!AA11-EWC!AA9</f>
        <v>-3.8440000000001646</v>
      </c>
      <c r="AB9" s="179">
        <f>ETR!AB8-Utility!AB11-EWC!AB9</f>
        <v>-3.8020000000024083</v>
      </c>
      <c r="AC9" s="44">
        <f>ETR!AC8-Utility!AC11-EWC!AC9</f>
        <v>-23.596999999999753</v>
      </c>
      <c r="AD9" s="177">
        <f>ETR!AD8-Utility!AD11-EWC!AD9</f>
        <v>-7.9829999999998336</v>
      </c>
      <c r="AE9" s="178">
        <f>ETR!AE8-Utility!AE11-EWC!AE9</f>
        <v>9.3629999999999427</v>
      </c>
      <c r="AF9" s="178">
        <f>ETR!AF8-Utility!AF11-EWC!AF9</f>
        <v>0.28199999999992542</v>
      </c>
      <c r="AG9" s="179">
        <f>ETR!AG8-Utility!AG11-EWC!AG9</f>
        <v>3.299999999899228E-2</v>
      </c>
      <c r="AH9" s="44">
        <f>ETR!AH8-Utility!AH11-EWC!AH9</f>
        <v>1.6950000000001637</v>
      </c>
      <c r="AI9" s="177">
        <f>ETR!AI8-Utility!AI11-EWC!AI9</f>
        <v>-9.9999999996498445E-3</v>
      </c>
      <c r="AJ9" s="178">
        <f>ETR!AJ8-Utility!AJ11-EWC!AJ9</f>
        <v>-1.9999999999924967E-2</v>
      </c>
      <c r="AK9" s="178">
        <f>ETR!AK8-Utility!AK11-EWC!AK9</f>
        <v>-2.100000000007185E-2</v>
      </c>
      <c r="AL9" s="179">
        <f>ETR!AL8-Utility!AL11-EWC!AL9</f>
        <v>-1.0999999998603016E-2</v>
      </c>
      <c r="AM9" s="44">
        <f>ETR!AM8-Utility!AM11-EWC!AM9</f>
        <v>-6.1999999998988642E-2</v>
      </c>
      <c r="AN9" s="177">
        <f>ETR!AN8-Utility!AN11-EWC!AN9</f>
        <v>-2.0000000000209184E-2</v>
      </c>
      <c r="AO9" s="178">
        <f>ETR!AO8-Utility!AO11-EWC!AO9</f>
        <v>-2.6000000000180989E-2</v>
      </c>
      <c r="AP9" s="178">
        <f>ETR!AP8-Utility!AP11-EWC!AP9</f>
        <v>-3.3999999999878128E-2</v>
      </c>
      <c r="AQ9" s="179">
        <f>ETR!AQ8-Utility!AQ11-EWC!AQ9</f>
        <v>-1.8999999999778083E-2</v>
      </c>
      <c r="AR9" s="44">
        <f>ETR!AR8-Utility!AR11-EWC!AR9</f>
        <v>-9.8999999999250576E-2</v>
      </c>
      <c r="AS9" s="177">
        <f>ETR!AS8-Utility!AS11-EWC!AS9</f>
        <v>-2.0999999999958163E-2</v>
      </c>
      <c r="AT9" s="178">
        <f>ETR!AT8-Utility!AT11-EWC!AT9</f>
        <v>-3.69999999996935E-2</v>
      </c>
      <c r="AU9" s="178">
        <f>ETR!AU8-Utility!AU11-EWC!AU9</f>
        <v>-3.7999999999669853E-2</v>
      </c>
      <c r="AV9" s="179">
        <f>ETR!AV8-Utility!AV11-EWC!AV9</f>
        <v>-1.9000000001369699E-2</v>
      </c>
      <c r="AW9" s="44">
        <f>ETR!AW8-Utility!AW11-EWC!AW9</f>
        <v>-0.11500000000023647</v>
      </c>
      <c r="AX9" s="217">
        <f>AS9</f>
        <v>-2.0999999999958163E-2</v>
      </c>
      <c r="AY9" s="218">
        <f t="shared" ref="AY9:AY10" si="0">AT9</f>
        <v>-3.69999999996935E-2</v>
      </c>
      <c r="AZ9" s="218">
        <f t="shared" ref="AZ9:AZ10" si="1">AU9</f>
        <v>-3.7999999999669853E-2</v>
      </c>
      <c r="BA9" s="219">
        <f t="shared" ref="BA9:BA10" si="2">AV9</f>
        <v>-1.9000000001369699E-2</v>
      </c>
      <c r="BB9" s="44">
        <f>+SUM(AX9:BA9)</f>
        <v>-0.11500000000069122</v>
      </c>
      <c r="BC9" s="217">
        <f>AX9</f>
        <v>-2.0999999999958163E-2</v>
      </c>
      <c r="BD9" s="218">
        <f t="shared" ref="BD9:BD10" si="3">AY9</f>
        <v>-3.69999999996935E-2</v>
      </c>
      <c r="BE9" s="218">
        <f t="shared" ref="BE9:BE10" si="4">AZ9</f>
        <v>-3.7999999999669853E-2</v>
      </c>
      <c r="BF9" s="219">
        <f t="shared" ref="BF9:BF10" si="5">BA9</f>
        <v>-1.9000000001369699E-2</v>
      </c>
      <c r="BG9" s="44">
        <f>+SUM(BC9:BF9)</f>
        <v>-0.11500000000069122</v>
      </c>
      <c r="BH9" s="217">
        <f>BC9</f>
        <v>-2.0999999999958163E-2</v>
      </c>
      <c r="BI9" s="218">
        <f t="shared" ref="BI9:BI10" si="6">BD9</f>
        <v>-3.69999999996935E-2</v>
      </c>
      <c r="BJ9" s="218">
        <f t="shared" ref="BJ9:BJ10" si="7">BE9</f>
        <v>-3.7999999999669853E-2</v>
      </c>
      <c r="BK9" s="219">
        <f t="shared" ref="BK9:BK10" si="8">BF9</f>
        <v>-1.9000000001369699E-2</v>
      </c>
      <c r="BL9" s="44">
        <f>+SUM(BH9:BK9)</f>
        <v>-0.11500000000069122</v>
      </c>
      <c r="BM9" s="217">
        <f>BH9</f>
        <v>-2.0999999999958163E-2</v>
      </c>
      <c r="BN9" s="218">
        <f t="shared" ref="BN9:BN10" si="9">BI9</f>
        <v>-3.69999999996935E-2</v>
      </c>
      <c r="BO9" s="218">
        <f t="shared" ref="BO9:BO10" si="10">BJ9</f>
        <v>-3.7999999999669853E-2</v>
      </c>
      <c r="BP9" s="219">
        <f t="shared" ref="BP9:BP10" si="11">BK9</f>
        <v>-1.9000000001369699E-2</v>
      </c>
      <c r="BQ9" s="44">
        <f>+SUM(BM9:BP9)</f>
        <v>-0.11500000000069122</v>
      </c>
      <c r="BR9" s="1499"/>
      <c r="BS9" s="5"/>
      <c r="BV9" s="331"/>
      <c r="BW9" s="331"/>
    </row>
    <row r="10" spans="1:162">
      <c r="B10" s="320"/>
      <c r="C10" s="129" t="s">
        <v>167</v>
      </c>
      <c r="D10" s="320"/>
      <c r="E10" s="177">
        <f>ETR!E9-Utility!E15-EWC!E10</f>
        <v>21.352999999999994</v>
      </c>
      <c r="F10" s="178">
        <f>ETR!F9-Utility!F15-EWC!F10</f>
        <v>21.121999999999936</v>
      </c>
      <c r="G10" s="178">
        <f>ETR!G9-Utility!G15-EWC!G10</f>
        <v>26.84899999999994</v>
      </c>
      <c r="H10" s="179">
        <f>ETR!H9-Utility!H15-EWC!H10</f>
        <v>-94.378000000000014</v>
      </c>
      <c r="I10" s="44">
        <f>ETR!I9-Utility!I15-EWC!I10</f>
        <v>-25.053999999999576</v>
      </c>
      <c r="J10" s="177">
        <f>ETR!J9-Utility!J15-EWC!J10</f>
        <v>-7.9810000000001367</v>
      </c>
      <c r="K10" s="178">
        <f>ETR!K9-Utility!K15-EWC!K10</f>
        <v>-8.004999999999967</v>
      </c>
      <c r="L10" s="178">
        <f>ETR!L9-Utility!L15-EWC!L10</f>
        <v>-10.091000000000037</v>
      </c>
      <c r="M10" s="179">
        <f>ETR!M9-Utility!M15-EWC!M10</f>
        <v>-6.7290000000000987</v>
      </c>
      <c r="N10" s="44">
        <f>ETR!N9-Utility!N15-EWC!N10</f>
        <v>-32.805999999999983</v>
      </c>
      <c r="O10" s="177">
        <f>ETR!O9-Utility!O15-EWC!O10</f>
        <v>-9.8800000000000949</v>
      </c>
      <c r="P10" s="178">
        <f>ETR!P9-Utility!P15-EWC!P10</f>
        <v>-10.259999999999962</v>
      </c>
      <c r="Q10" s="178">
        <f>ETR!Q9-Utility!Q15-EWC!Q10</f>
        <v>-12.343000000000188</v>
      </c>
      <c r="R10" s="179">
        <f>ETR!R9-Utility!R15-EWC!R10</f>
        <v>-10.559000000000196</v>
      </c>
      <c r="S10" s="44">
        <f>ETR!S9-Utility!S15-EWC!S10</f>
        <v>-43.041999999999973</v>
      </c>
      <c r="T10" s="177">
        <f>ETR!T9-Utility!T15-EWC!T10</f>
        <v>-10.400999999999925</v>
      </c>
      <c r="U10" s="178">
        <f>ETR!U9-Utility!U15-EWC!U10</f>
        <v>-11.547000000000011</v>
      </c>
      <c r="V10" s="178">
        <f>ETR!V9-Utility!V15-EWC!V10</f>
        <v>-11.596999999999923</v>
      </c>
      <c r="W10" s="179">
        <f>ETR!W9-Utility!W15-EWC!W10</f>
        <v>-7.9769999999996344</v>
      </c>
      <c r="X10" s="44">
        <f>ETR!X9-Utility!X15-EWC!X10</f>
        <v>-41.521999999999593</v>
      </c>
      <c r="Y10" s="177">
        <f>ETR!Y9-Utility!Y15-EWC!Y10</f>
        <v>-12.021999999999991</v>
      </c>
      <c r="Z10" s="178">
        <f>ETR!Z9-Utility!Z15-EWC!Z10</f>
        <v>-13.165999999999997</v>
      </c>
      <c r="AA10" s="178">
        <f>ETR!AA9-Utility!AA15-EWC!AA10</f>
        <v>-9.0230000000000246</v>
      </c>
      <c r="AB10" s="179">
        <f>ETR!AB9-Utility!AB15-EWC!AB10</f>
        <v>-8.723999999999819</v>
      </c>
      <c r="AC10" s="44">
        <f>ETR!AC9-Utility!AC15-EWC!AC10</f>
        <v>-42.934999999999263</v>
      </c>
      <c r="AD10" s="177">
        <f>ETR!AD9-Utility!AD15-EWC!AD10</f>
        <v>-8.8880000000001189</v>
      </c>
      <c r="AE10" s="178">
        <f>ETR!AE9-Utility!AE15-EWC!AE10</f>
        <v>8.636999999999972</v>
      </c>
      <c r="AF10" s="178">
        <f>ETR!AF9-Utility!AF15-EWC!AF10</f>
        <v>0.12700000000010903</v>
      </c>
      <c r="AG10" s="179">
        <f>ETR!AG9-Utility!AG15-EWC!AG10</f>
        <v>-4.5474735088646412E-13</v>
      </c>
      <c r="AH10" s="44">
        <f>ETR!AH9-Utility!AH15-EWC!AH10</f>
        <v>-0.12400000000070577</v>
      </c>
      <c r="AI10" s="177">
        <f>ETR!AI9-Utility!AI15-EWC!AI10</f>
        <v>0</v>
      </c>
      <c r="AJ10" s="178">
        <f>ETR!AJ9-Utility!AJ15-EWC!AJ10</f>
        <v>-1.0000000000189857E-3</v>
      </c>
      <c r="AK10" s="178">
        <f>ETR!AK9-Utility!AK15-EWC!AK10</f>
        <v>4.0000000000048885E-3</v>
      </c>
      <c r="AL10" s="179">
        <f>ETR!AL9-Utility!AL15-EWC!AL10</f>
        <v>9.9999999980582288E-4</v>
      </c>
      <c r="AM10" s="44">
        <f>ETR!AM9-Utility!AM15-EWC!AM10</f>
        <v>4.0000000001327862E-3</v>
      </c>
      <c r="AN10" s="177">
        <f>ETR!AN9-Utility!AN15-EWC!AN10</f>
        <v>-9.9999999999056399E-4</v>
      </c>
      <c r="AO10" s="178">
        <f>ETR!AO9-Utility!AO15-EWC!AO10</f>
        <v>-1.0000000000616183E-3</v>
      </c>
      <c r="AP10" s="178">
        <f>ETR!AP9-Utility!AP15-EWC!AP10</f>
        <v>0</v>
      </c>
      <c r="AQ10" s="179">
        <f>ETR!AQ9-Utility!AQ15-EWC!AQ10</f>
        <v>2.0000000000095497E-3</v>
      </c>
      <c r="AR10" s="44">
        <f>ETR!AR9-Utility!AR15-EWC!AR10</f>
        <v>0</v>
      </c>
      <c r="AS10" s="177">
        <f>ETR!AS9-Utility!AS15-EWC!AS10</f>
        <v>-5.6843418860808015E-14</v>
      </c>
      <c r="AT10" s="178">
        <f>ETR!AT9-Utility!AT15-EWC!AT10</f>
        <v>1.0000000000047748E-3</v>
      </c>
      <c r="AU10" s="178">
        <f>ETR!AU9-Utility!AU15-EWC!AU10</f>
        <v>7.460698725481052E-14</v>
      </c>
      <c r="AV10" s="179">
        <f>ETR!AV9-Utility!AV15-EWC!AV10</f>
        <v>-1.0000000002605702E-3</v>
      </c>
      <c r="AW10" s="44">
        <f>ETR!AW9-Utility!AW15-EWC!AW10</f>
        <v>-3.4106051316484809E-13</v>
      </c>
      <c r="AX10" s="217">
        <f t="shared" ref="AX10" si="12">AS10</f>
        <v>-5.6843418860808015E-14</v>
      </c>
      <c r="AY10" s="218">
        <f t="shared" si="0"/>
        <v>1.0000000000047748E-3</v>
      </c>
      <c r="AZ10" s="218">
        <f t="shared" si="1"/>
        <v>7.460698725481052E-14</v>
      </c>
      <c r="BA10" s="219">
        <f t="shared" si="2"/>
        <v>-1.0000000002605702E-3</v>
      </c>
      <c r="BB10" s="44">
        <f>+SUM(AX10:BA10)</f>
        <v>-2.3803181647963356E-13</v>
      </c>
      <c r="BC10" s="217">
        <f t="shared" ref="BC10" si="13">AX10</f>
        <v>-5.6843418860808015E-14</v>
      </c>
      <c r="BD10" s="218">
        <f t="shared" si="3"/>
        <v>1.0000000000047748E-3</v>
      </c>
      <c r="BE10" s="218">
        <f t="shared" si="4"/>
        <v>7.460698725481052E-14</v>
      </c>
      <c r="BF10" s="219">
        <f t="shared" si="5"/>
        <v>-1.0000000002605702E-3</v>
      </c>
      <c r="BG10" s="44">
        <f>+SUM(BC10:BF10)</f>
        <v>-2.3803181647963356E-13</v>
      </c>
      <c r="BH10" s="217">
        <f t="shared" ref="BH10" si="14">BC10</f>
        <v>-5.6843418860808015E-14</v>
      </c>
      <c r="BI10" s="218">
        <f t="shared" si="6"/>
        <v>1.0000000000047748E-3</v>
      </c>
      <c r="BJ10" s="218">
        <f t="shared" si="7"/>
        <v>7.460698725481052E-14</v>
      </c>
      <c r="BK10" s="219">
        <f t="shared" si="8"/>
        <v>-1.0000000002605702E-3</v>
      </c>
      <c r="BL10" s="44">
        <f>+SUM(BH10:BK10)</f>
        <v>-2.3803181647963356E-13</v>
      </c>
      <c r="BM10" s="217">
        <f t="shared" ref="BM10" si="15">BH10</f>
        <v>-5.6843418860808015E-14</v>
      </c>
      <c r="BN10" s="218">
        <f t="shared" si="9"/>
        <v>1.0000000000047748E-3</v>
      </c>
      <c r="BO10" s="218">
        <f t="shared" si="10"/>
        <v>7.460698725481052E-14</v>
      </c>
      <c r="BP10" s="219">
        <f t="shared" si="11"/>
        <v>-1.0000000002605702E-3</v>
      </c>
      <c r="BQ10" s="44">
        <f>+SUM(BM10:BP10)</f>
        <v>-2.3803181647963356E-13</v>
      </c>
      <c r="BR10" s="1499"/>
      <c r="BS10" s="5"/>
      <c r="BV10" s="320"/>
      <c r="BW10" s="320"/>
    </row>
    <row r="11" spans="1:162">
      <c r="B11" s="327"/>
      <c r="C11" s="1173" t="s">
        <v>314</v>
      </c>
      <c r="D11" s="327"/>
      <c r="E11" s="180">
        <f t="shared" ref="E11:AA11" si="16">E9-SUM(E10:E10)</f>
        <v>9.3670000000001465</v>
      </c>
      <c r="F11" s="181">
        <f t="shared" si="16"/>
        <v>6.9080000000001505</v>
      </c>
      <c r="G11" s="181">
        <f t="shared" si="16"/>
        <v>5.7469999999994954</v>
      </c>
      <c r="H11" s="182">
        <f t="shared" si="16"/>
        <v>-17.748999999999711</v>
      </c>
      <c r="I11" s="110">
        <f t="shared" si="16"/>
        <v>4.2729999999991719</v>
      </c>
      <c r="J11" s="180">
        <f t="shared" si="16"/>
        <v>3.1000000000006196</v>
      </c>
      <c r="K11" s="181">
        <f t="shared" si="16"/>
        <v>2.7799999999996032</v>
      </c>
      <c r="L11" s="181">
        <f t="shared" si="16"/>
        <v>3.6130000000000848</v>
      </c>
      <c r="M11" s="182">
        <f t="shared" si="16"/>
        <v>3.4019999999989636</v>
      </c>
      <c r="N11" s="110">
        <f t="shared" si="16"/>
        <v>12.894999999999015</v>
      </c>
      <c r="O11" s="180">
        <f t="shared" si="16"/>
        <v>3.3240000000002823</v>
      </c>
      <c r="P11" s="181">
        <f t="shared" si="16"/>
        <v>3.988000000000028</v>
      </c>
      <c r="Q11" s="181">
        <f t="shared" si="16"/>
        <v>6.0490000000002055</v>
      </c>
      <c r="R11" s="182">
        <f t="shared" si="16"/>
        <v>3.1529999999993379</v>
      </c>
      <c r="S11" s="110">
        <f t="shared" si="16"/>
        <v>16.514000000000635</v>
      </c>
      <c r="T11" s="180">
        <f t="shared" si="16"/>
        <v>2.1689999999999543</v>
      </c>
      <c r="U11" s="181">
        <f t="shared" si="16"/>
        <v>2.8970000000001477</v>
      </c>
      <c r="V11" s="181">
        <f t="shared" si="16"/>
        <v>3.4230000000000587</v>
      </c>
      <c r="W11" s="182">
        <f t="shared" si="16"/>
        <v>3.7119999999986248</v>
      </c>
      <c r="X11" s="110">
        <f t="shared" si="16"/>
        <v>12.200999999998771</v>
      </c>
      <c r="Y11" s="180">
        <f t="shared" si="16"/>
        <v>3.7220000000000368</v>
      </c>
      <c r="Z11" s="181">
        <f t="shared" si="16"/>
        <v>5.5150000000002706</v>
      </c>
      <c r="AA11" s="181">
        <f t="shared" si="16"/>
        <v>5.1789999999998599</v>
      </c>
      <c r="AB11" s="182">
        <f>AB9-SUM(AB10:AB10)</f>
        <v>4.9219999999974107</v>
      </c>
      <c r="AC11" s="110">
        <f>AC9-SUM(AC10:AC10)</f>
        <v>19.337999999999511</v>
      </c>
      <c r="AD11" s="180">
        <f>AD9-SUM(AD10:AD10)</f>
        <v>0.90500000000028535</v>
      </c>
      <c r="AE11" s="181">
        <f>AE9-SUM(AE10:AE10)</f>
        <v>0.72599999999997067</v>
      </c>
      <c r="AF11" s="181">
        <f t="shared" ref="AF11" si="17">AF9-SUM(AF10:AF10)</f>
        <v>0.1549999999998164</v>
      </c>
      <c r="AG11" s="182">
        <f>AG9-SUM(AG10:AG10)</f>
        <v>3.2999999999447027E-2</v>
      </c>
      <c r="AH11" s="110">
        <f>AH9-SUM(AH10:AH10)</f>
        <v>1.8190000000008695</v>
      </c>
      <c r="AI11" s="180">
        <f>AI9-SUM(AI10:AI10)</f>
        <v>-9.9999999996498445E-3</v>
      </c>
      <c r="AJ11" s="181">
        <f>AJ9-SUM(AJ10:AJ10)</f>
        <v>-1.8999999999905981E-2</v>
      </c>
      <c r="AK11" s="181">
        <f t="shared" ref="AK11" si="18">AK9-SUM(AK10:AK10)</f>
        <v>-2.5000000000076739E-2</v>
      </c>
      <c r="AL11" s="182">
        <f t="shared" ref="AL11:AR11" si="19">AL9-SUM(AL10:AL10)</f>
        <v>-1.1999999998408839E-2</v>
      </c>
      <c r="AM11" s="110">
        <f t="shared" si="19"/>
        <v>-6.5999999999121428E-2</v>
      </c>
      <c r="AN11" s="180">
        <f t="shared" si="19"/>
        <v>-1.900000000021862E-2</v>
      </c>
      <c r="AO11" s="181">
        <f t="shared" si="19"/>
        <v>-2.5000000000119371E-2</v>
      </c>
      <c r="AP11" s="181">
        <f t="shared" si="19"/>
        <v>-3.3999999999878128E-2</v>
      </c>
      <c r="AQ11" s="182">
        <f t="shared" si="19"/>
        <v>-2.0999999999787633E-2</v>
      </c>
      <c r="AR11" s="110">
        <f t="shared" si="19"/>
        <v>-9.8999999999250576E-2</v>
      </c>
      <c r="AS11" s="180">
        <f t="shared" ref="AS11:AT11" si="20">AS9-SUM(AS10:AS10)</f>
        <v>-2.099999999990132E-2</v>
      </c>
      <c r="AT11" s="181">
        <f t="shared" si="20"/>
        <v>-3.7999999999698275E-2</v>
      </c>
      <c r="AU11" s="181">
        <f t="shared" ref="AU11:AW11" si="21">AU9-SUM(AU10:AU10)</f>
        <v>-3.799999999974446E-2</v>
      </c>
      <c r="AV11" s="182">
        <f t="shared" si="21"/>
        <v>-1.8000000001109129E-2</v>
      </c>
      <c r="AW11" s="110">
        <f t="shared" si="21"/>
        <v>-0.11499999999989541</v>
      </c>
      <c r="AX11" s="180">
        <f t="shared" ref="AX11:BA11" si="22">AX9-SUM(AX10:AX10)</f>
        <v>-2.099999999990132E-2</v>
      </c>
      <c r="AY11" s="181">
        <f t="shared" si="22"/>
        <v>-3.7999999999698275E-2</v>
      </c>
      <c r="AZ11" s="181">
        <f t="shared" si="22"/>
        <v>-3.799999999974446E-2</v>
      </c>
      <c r="BA11" s="182">
        <f t="shared" si="22"/>
        <v>-1.8000000001109129E-2</v>
      </c>
      <c r="BB11" s="110">
        <f t="shared" ref="BB11" si="23">BB9-SUM(BB10:BB10)</f>
        <v>-0.11500000000045318</v>
      </c>
      <c r="BC11" s="180">
        <f t="shared" ref="BC11:BF11" si="24">BC9-SUM(BC10:BC10)</f>
        <v>-2.099999999990132E-2</v>
      </c>
      <c r="BD11" s="181">
        <f t="shared" si="24"/>
        <v>-3.7999999999698275E-2</v>
      </c>
      <c r="BE11" s="181">
        <f t="shared" si="24"/>
        <v>-3.799999999974446E-2</v>
      </c>
      <c r="BF11" s="182">
        <f t="shared" si="24"/>
        <v>-1.8000000001109129E-2</v>
      </c>
      <c r="BG11" s="110">
        <f t="shared" ref="BG11:BL11" si="25">BG9-SUM(BG10:BG10)</f>
        <v>-0.11500000000045318</v>
      </c>
      <c r="BH11" s="180">
        <f t="shared" si="25"/>
        <v>-2.099999999990132E-2</v>
      </c>
      <c r="BI11" s="181">
        <f t="shared" si="25"/>
        <v>-3.7999999999698275E-2</v>
      </c>
      <c r="BJ11" s="181">
        <f t="shared" si="25"/>
        <v>-3.799999999974446E-2</v>
      </c>
      <c r="BK11" s="182">
        <f t="shared" si="25"/>
        <v>-1.8000000001109129E-2</v>
      </c>
      <c r="BL11" s="110">
        <f t="shared" si="25"/>
        <v>-0.11500000000045318</v>
      </c>
      <c r="BM11" s="180">
        <f t="shared" ref="BM11:BQ11" si="26">BM9-SUM(BM10:BM10)</f>
        <v>-2.099999999990132E-2</v>
      </c>
      <c r="BN11" s="181">
        <f t="shared" si="26"/>
        <v>-3.7999999999698275E-2</v>
      </c>
      <c r="BO11" s="181">
        <f t="shared" si="26"/>
        <v>-3.799999999974446E-2</v>
      </c>
      <c r="BP11" s="182">
        <f t="shared" si="26"/>
        <v>-1.8000000001109129E-2</v>
      </c>
      <c r="BQ11" s="110">
        <f t="shared" si="26"/>
        <v>-0.11500000000045318</v>
      </c>
      <c r="BR11" s="1499"/>
      <c r="BS11" s="5"/>
      <c r="BV11" s="327"/>
      <c r="BW11" s="327"/>
    </row>
    <row r="12" spans="1:162">
      <c r="B12" s="320"/>
      <c r="C12" s="129"/>
      <c r="D12" s="320"/>
      <c r="E12" s="177"/>
      <c r="F12" s="178"/>
      <c r="G12" s="178"/>
      <c r="H12" s="179"/>
      <c r="I12" s="44"/>
      <c r="J12" s="177"/>
      <c r="K12" s="178"/>
      <c r="L12" s="178"/>
      <c r="M12" s="179"/>
      <c r="N12" s="44"/>
      <c r="O12" s="177"/>
      <c r="P12" s="178"/>
      <c r="Q12" s="178"/>
      <c r="R12" s="179"/>
      <c r="S12" s="44"/>
      <c r="T12" s="177"/>
      <c r="U12" s="178"/>
      <c r="V12" s="178"/>
      <c r="W12" s="179"/>
      <c r="X12" s="44"/>
      <c r="Y12" s="177"/>
      <c r="Z12" s="178"/>
      <c r="AA12" s="178"/>
      <c r="AB12" s="179"/>
      <c r="AC12" s="44"/>
      <c r="AD12" s="177"/>
      <c r="AE12" s="178"/>
      <c r="AF12" s="178"/>
      <c r="AG12" s="179"/>
      <c r="AH12" s="44"/>
      <c r="AI12" s="177"/>
      <c r="AJ12" s="178"/>
      <c r="AK12" s="178"/>
      <c r="AL12" s="179"/>
      <c r="AM12" s="44"/>
      <c r="AN12" s="177"/>
      <c r="AO12" s="178"/>
      <c r="AP12" s="178"/>
      <c r="AQ12" s="179"/>
      <c r="AR12" s="44"/>
      <c r="AS12" s="177"/>
      <c r="AT12" s="175"/>
      <c r="AU12" s="175"/>
      <c r="AV12" s="179"/>
      <c r="AW12" s="44"/>
      <c r="AX12" s="174"/>
      <c r="AY12" s="175"/>
      <c r="AZ12" s="175"/>
      <c r="BA12" s="176"/>
      <c r="BB12" s="107"/>
      <c r="BC12" s="174"/>
      <c r="BD12" s="175"/>
      <c r="BE12" s="175"/>
      <c r="BF12" s="176"/>
      <c r="BG12" s="107"/>
      <c r="BH12" s="174"/>
      <c r="BI12" s="175"/>
      <c r="BJ12" s="175"/>
      <c r="BK12" s="176"/>
      <c r="BL12" s="107"/>
      <c r="BM12" s="174"/>
      <c r="BN12" s="175"/>
      <c r="BO12" s="175"/>
      <c r="BP12" s="176"/>
      <c r="BQ12" s="107"/>
      <c r="BR12" s="1499"/>
      <c r="BS12" s="5"/>
      <c r="BV12" s="320"/>
      <c r="BW12" s="320"/>
    </row>
    <row r="13" spans="1:162">
      <c r="B13" s="320"/>
      <c r="C13" s="1125" t="s">
        <v>139</v>
      </c>
      <c r="D13" s="320"/>
      <c r="E13" s="177">
        <f>ETR!E12-Utility!E19-EWC!E13</f>
        <v>0</v>
      </c>
      <c r="F13" s="178">
        <f>ETR!F12-Utility!F19-EWC!F13</f>
        <v>0</v>
      </c>
      <c r="G13" s="178">
        <f>ETR!G12-Utility!G19-EWC!G13</f>
        <v>0</v>
      </c>
      <c r="H13" s="179">
        <f>ETR!H12-Utility!H19-EWC!H13</f>
        <v>9.9999999996214228E-4</v>
      </c>
      <c r="I13" s="44">
        <f>ETR!I12-Utility!I19-EWC!I13</f>
        <v>9.9999999997635314E-4</v>
      </c>
      <c r="J13" s="177">
        <f>ETR!J12-Utility!J19-EWC!J13</f>
        <v>0</v>
      </c>
      <c r="K13" s="178">
        <f>ETR!K12-Utility!K19-EWC!K13</f>
        <v>0</v>
      </c>
      <c r="L13" s="178">
        <f>ETR!L12-Utility!L19-EWC!L13</f>
        <v>0</v>
      </c>
      <c r="M13" s="179">
        <f>ETR!M12-Utility!M19-EWC!M13</f>
        <v>0</v>
      </c>
      <c r="N13" s="44">
        <f>ETR!N12-Utility!N19-EWC!N13</f>
        <v>0</v>
      </c>
      <c r="O13" s="177">
        <f>ETR!O12-Utility!O19-EWC!O13</f>
        <v>0</v>
      </c>
      <c r="P13" s="178">
        <f>ETR!P12-Utility!P19-EWC!P13</f>
        <v>0</v>
      </c>
      <c r="Q13" s="178">
        <f>ETR!Q12-Utility!Q19-EWC!Q13</f>
        <v>-1.0000000000047748E-3</v>
      </c>
      <c r="R13" s="179">
        <f>ETR!R12-Utility!R19-EWC!R13</f>
        <v>2.0000000000237605E-3</v>
      </c>
      <c r="S13" s="44">
        <f>ETR!S12-Utility!S19-EWC!S13</f>
        <v>1.0000000000047748E-3</v>
      </c>
      <c r="T13" s="177">
        <f>ETR!T12-Utility!T19-EWC!T13</f>
        <v>1.0000000000047748E-3</v>
      </c>
      <c r="U13" s="178">
        <f>ETR!U12-Utility!U19-EWC!U13</f>
        <v>0</v>
      </c>
      <c r="V13" s="178">
        <f>ETR!V12-Utility!V19-EWC!V13</f>
        <v>0</v>
      </c>
      <c r="W13" s="179">
        <f>ETR!W12-Utility!W19-EWC!W13</f>
        <v>-1.0000000000189857E-3</v>
      </c>
      <c r="X13" s="44">
        <f>ETR!X12-Utility!X19-EWC!X13</f>
        <v>0</v>
      </c>
      <c r="Y13" s="177">
        <f>ETR!Y12-Utility!Y19-EWC!Y13</f>
        <v>0</v>
      </c>
      <c r="Z13" s="178">
        <f>ETR!Z12-Utility!Z19-EWC!Z13</f>
        <v>0</v>
      </c>
      <c r="AA13" s="178">
        <f>ETR!AA12-Utility!AA19-EWC!AA13</f>
        <v>0</v>
      </c>
      <c r="AB13" s="179">
        <f>ETR!AB12-Utility!AB19-EWC!AB13</f>
        <v>0</v>
      </c>
      <c r="AC13" s="44">
        <f>ETR!AC12-Utility!AC19-EWC!AC13</f>
        <v>0</v>
      </c>
      <c r="AD13" s="177">
        <f>ETR!AD12-Utility!AD19-EWC!AD13</f>
        <v>0</v>
      </c>
      <c r="AE13" s="178">
        <f>ETR!AE12-Utility!AE19-EWC!AE13</f>
        <v>0</v>
      </c>
      <c r="AF13" s="178">
        <f>ETR!AF12-Utility!AF19-EWC!AF13</f>
        <v>0</v>
      </c>
      <c r="AG13" s="179">
        <f>ETR!AG12-Utility!AG19-EWC!AG13</f>
        <v>0</v>
      </c>
      <c r="AH13" s="44">
        <f>ETR!AH12-Utility!AH19-EWC!AH13</f>
        <v>0</v>
      </c>
      <c r="AI13" s="177">
        <f>ETR!AI12-Utility!AI19-EWC!AI13</f>
        <v>0</v>
      </c>
      <c r="AJ13" s="178">
        <f>ETR!AJ12-Utility!AJ19-EWC!AJ13</f>
        <v>0</v>
      </c>
      <c r="AK13" s="178">
        <f>ETR!AK12-Utility!AK19-EWC!AK13</f>
        <v>0</v>
      </c>
      <c r="AL13" s="179">
        <f>ETR!AL12-Utility!AL19-EWC!AL13</f>
        <v>0</v>
      </c>
      <c r="AM13" s="44">
        <f>ETR!AM12-Utility!AM19-EWC!AM13</f>
        <v>0</v>
      </c>
      <c r="AN13" s="177">
        <f>ETR!AN12-Utility!AN19-EWC!AN13</f>
        <v>-1.0000000000012221E-3</v>
      </c>
      <c r="AO13" s="178">
        <f>ETR!AO12-Utility!AO19-EWC!AO13</f>
        <v>0</v>
      </c>
      <c r="AP13" s="178">
        <f>ETR!AP12-Utility!AP19-EWC!AP13</f>
        <v>0</v>
      </c>
      <c r="AQ13" s="179">
        <f>ETR!AQ12-Utility!AQ19-EWC!AQ13</f>
        <v>9.9999999999766942E-4</v>
      </c>
      <c r="AR13" s="44">
        <f>ETR!AR12-Utility!AR19-EWC!AR13</f>
        <v>0</v>
      </c>
      <c r="AS13" s="177">
        <f>ETR!AS12-Utility!AS19-EWC!AS13</f>
        <v>0</v>
      </c>
      <c r="AT13" s="178">
        <f>ETR!AT12-Utility!AT19-EWC!AT13</f>
        <v>0</v>
      </c>
      <c r="AU13" s="178">
        <f>ETR!AU12-Utility!AU19-EWC!AU13</f>
        <v>6.6613381477509392E-15</v>
      </c>
      <c r="AV13" s="179">
        <f>ETR!AV12-Utility!AV19-EWC!AV13</f>
        <v>3.5527136788005009E-15</v>
      </c>
      <c r="AW13" s="44">
        <f>ETR!AW12-Utility!AW19-EWC!AW13</f>
        <v>1.9539925233402755E-14</v>
      </c>
      <c r="AX13" s="217">
        <f t="shared" ref="AX13:AX17" si="27">AS13</f>
        <v>0</v>
      </c>
      <c r="AY13" s="218">
        <f t="shared" ref="AY13:AY17" si="28">AT13</f>
        <v>0</v>
      </c>
      <c r="AZ13" s="218">
        <f t="shared" ref="AZ13:AZ17" si="29">AU13</f>
        <v>6.6613381477509392E-15</v>
      </c>
      <c r="BA13" s="219">
        <f t="shared" ref="BA13:BA17" si="30">AV13</f>
        <v>3.5527136788005009E-15</v>
      </c>
      <c r="BB13" s="44">
        <f>+SUM(AX13:BA13)</f>
        <v>1.021405182655144E-14</v>
      </c>
      <c r="BC13" s="217">
        <f t="shared" ref="BC13:BC17" si="31">AX13</f>
        <v>0</v>
      </c>
      <c r="BD13" s="218">
        <f t="shared" ref="BD13:BD17" si="32">AY13</f>
        <v>0</v>
      </c>
      <c r="BE13" s="218">
        <f t="shared" ref="BE13:BE17" si="33">AZ13</f>
        <v>6.6613381477509392E-15</v>
      </c>
      <c r="BF13" s="219">
        <f t="shared" ref="BF13:BF17" si="34">BA13</f>
        <v>3.5527136788005009E-15</v>
      </c>
      <c r="BG13" s="44">
        <f>+SUM(BC13:BF13)</f>
        <v>1.021405182655144E-14</v>
      </c>
      <c r="BH13" s="217">
        <f t="shared" ref="BH13:BH17" si="35">BC13</f>
        <v>0</v>
      </c>
      <c r="BI13" s="218">
        <f t="shared" ref="BI13:BI17" si="36">BD13</f>
        <v>0</v>
      </c>
      <c r="BJ13" s="218">
        <f t="shared" ref="BJ13:BJ17" si="37">BE13</f>
        <v>6.6613381477509392E-15</v>
      </c>
      <c r="BK13" s="219">
        <f t="shared" ref="BK13:BK17" si="38">BF13</f>
        <v>3.5527136788005009E-15</v>
      </c>
      <c r="BL13" s="44">
        <f>+SUM(BH13:BK13)</f>
        <v>1.021405182655144E-14</v>
      </c>
      <c r="BM13" s="217">
        <f t="shared" ref="BM13" si="39">BH13</f>
        <v>0</v>
      </c>
      <c r="BN13" s="218">
        <f t="shared" ref="BN13" si="40">BI13</f>
        <v>0</v>
      </c>
      <c r="BO13" s="218">
        <f t="shared" ref="BO13" si="41">BJ13</f>
        <v>6.6613381477509392E-15</v>
      </c>
      <c r="BP13" s="219">
        <f t="shared" ref="BP13" si="42">BK13</f>
        <v>3.5527136788005009E-15</v>
      </c>
      <c r="BQ13" s="44">
        <f>+SUM(BM13:BP13)</f>
        <v>1.021405182655144E-14</v>
      </c>
      <c r="BR13" s="1499"/>
      <c r="BS13" s="5"/>
      <c r="BV13" s="320"/>
      <c r="BW13" s="320"/>
    </row>
    <row r="14" spans="1:162">
      <c r="B14" s="320"/>
      <c r="C14" s="129" t="s">
        <v>315</v>
      </c>
      <c r="D14" s="320"/>
      <c r="E14" s="177">
        <f>ETR!E13-Utility!E20-EWC!E14</f>
        <v>22.426000000000016</v>
      </c>
      <c r="F14" s="178">
        <f>ETR!F13-Utility!F20-EWC!F14</f>
        <v>9.4090000000000202</v>
      </c>
      <c r="G14" s="178">
        <f>ETR!G13-Utility!G20-EWC!G14</f>
        <v>12.697000000000003</v>
      </c>
      <c r="H14" s="179">
        <f>ETR!H13-Utility!H20-EWC!H14</f>
        <v>-52.512000000000057</v>
      </c>
      <c r="I14" s="44">
        <f>ETR!I13-Utility!I20-EWC!I14</f>
        <v>-7.9800000000001319</v>
      </c>
      <c r="J14" s="177">
        <f>ETR!J13-Utility!J20-EWC!J14</f>
        <v>7.6240000000000236</v>
      </c>
      <c r="K14" s="178">
        <f>ETR!K13-Utility!K20-EWC!K14</f>
        <v>-21.401000000000039</v>
      </c>
      <c r="L14" s="178">
        <f>ETR!L13-Utility!L20-EWC!L14</f>
        <v>-6.3240000000000691</v>
      </c>
      <c r="M14" s="179">
        <f>ETR!M13-Utility!M20-EWC!M14</f>
        <v>-6.4299999999997226</v>
      </c>
      <c r="N14" s="44">
        <f>ETR!N13-Utility!N20-EWC!N14</f>
        <v>-26.530999999999949</v>
      </c>
      <c r="O14" s="177">
        <f>ETR!O13-Utility!O20-EWC!O14</f>
        <v>-1.5959999999999752</v>
      </c>
      <c r="P14" s="178">
        <f>ETR!P13-Utility!P20-EWC!P14</f>
        <v>-3.4820000000000277</v>
      </c>
      <c r="Q14" s="178">
        <f>ETR!Q13-Utility!Q20-EWC!Q14</f>
        <v>2.0670000000000357</v>
      </c>
      <c r="R14" s="179">
        <f>ETR!R13-Utility!R20-EWC!R14</f>
        <v>14.748999999999796</v>
      </c>
      <c r="S14" s="44">
        <f>ETR!S13-Utility!S20-EWC!S14</f>
        <v>11.737999999999829</v>
      </c>
      <c r="T14" s="177">
        <f>ETR!T13-Utility!T20-EWC!T14</f>
        <v>-1.3329999999999984</v>
      </c>
      <c r="U14" s="178">
        <f>ETR!U13-Utility!U20-EWC!U14</f>
        <v>2.7469999999999573</v>
      </c>
      <c r="V14" s="178">
        <f>ETR!V13-Utility!V20-EWC!V14</f>
        <v>1.4649999999999181</v>
      </c>
      <c r="W14" s="179">
        <f>ETR!W13-Utility!W20-EWC!W14</f>
        <v>5.1539999999999964</v>
      </c>
      <c r="X14" s="44">
        <f>ETR!X13-Utility!X20-EWC!X14</f>
        <v>8.0329999999997881</v>
      </c>
      <c r="Y14" s="177">
        <f>ETR!Y13-Utility!Y20-EWC!Y14</f>
        <v>3.1430000000000575</v>
      </c>
      <c r="Z14" s="178">
        <f>ETR!Z13-Utility!Z20-EWC!Z14</f>
        <v>5.0240000000000009</v>
      </c>
      <c r="AA14" s="178">
        <f>ETR!AA13-Utility!AA20-EWC!AA14</f>
        <v>5.3810000000000286</v>
      </c>
      <c r="AB14" s="179">
        <f>ETR!AB13-Utility!AB20-EWC!AB14</f>
        <v>6.4310000000004948</v>
      </c>
      <c r="AC14" s="44">
        <f>ETR!AC13-Utility!AC20-EWC!AC14</f>
        <v>19.979000000000497</v>
      </c>
      <c r="AD14" s="177">
        <f>ETR!AD13-Utility!AD20-EWC!AD14</f>
        <v>5.8460000000000321</v>
      </c>
      <c r="AE14" s="178">
        <f>ETR!AE13-Utility!AE20-EWC!AE14</f>
        <v>-0.95299999999991769</v>
      </c>
      <c r="AF14" s="178">
        <f>ETR!AF13-Utility!AF20-EWC!AF14</f>
        <v>1.1109999999999616</v>
      </c>
      <c r="AG14" s="179">
        <f>ETR!AG13-Utility!AG20-EWC!AG14</f>
        <v>5.2510000000004311</v>
      </c>
      <c r="AH14" s="44">
        <f>ETR!AH13-Utility!AH20-EWC!AH14</f>
        <v>11.255000000000109</v>
      </c>
      <c r="AI14" s="177">
        <f>ETR!AI13-Utility!AI20-EWC!AI14</f>
        <v>2.3539999999999566</v>
      </c>
      <c r="AJ14" s="178">
        <f>ETR!AJ13-Utility!AJ20-EWC!AJ14</f>
        <v>3.7249999999999375</v>
      </c>
      <c r="AK14" s="178">
        <f>ETR!AK13-Utility!AK20-EWC!AK14</f>
        <v>2.1639999999999873</v>
      </c>
      <c r="AL14" s="179">
        <f>ETR!AL13-Utility!AL20-EWC!AL14</f>
        <v>4.2900000000004184</v>
      </c>
      <c r="AM14" s="44">
        <f>ETR!AM13-Utility!AM20-EWC!AM14</f>
        <v>12.533000000000357</v>
      </c>
      <c r="AN14" s="177">
        <f>ETR!AN13-Utility!AN20-EWC!AN14</f>
        <v>4.101999999999947</v>
      </c>
      <c r="AO14" s="178">
        <f>ETR!AO13-Utility!AO20-EWC!AO14</f>
        <v>6.6630000000000962</v>
      </c>
      <c r="AP14" s="178">
        <f>ETR!AP13-Utility!AP20-EWC!AP14</f>
        <v>4.8860000000000241</v>
      </c>
      <c r="AQ14" s="179">
        <f>ETR!AQ13-Utility!AQ20-EWC!AQ14</f>
        <v>6.6079999999996062</v>
      </c>
      <c r="AR14" s="44">
        <f>ETR!AR13-Utility!AR20-EWC!AR14</f>
        <v>22.258999999999787</v>
      </c>
      <c r="AS14" s="177">
        <f>ETR!AS13-Utility!AS20-EWC!AS14</f>
        <v>4.8540000000000418</v>
      </c>
      <c r="AT14" s="178">
        <f>ETR!AT13-Utility!AT20-EWC!AT14</f>
        <v>6.61099999999999</v>
      </c>
      <c r="AU14" s="178">
        <f>ETR!AU13-Utility!AU20-EWC!AU14</f>
        <v>6.7169999999999845</v>
      </c>
      <c r="AV14" s="179">
        <f>ETR!AV13-Utility!AV20-EWC!AV14</f>
        <v>8.9459999999999127</v>
      </c>
      <c r="AW14" s="44">
        <f>ETR!AW13-Utility!AW20-EWC!AW14</f>
        <v>27.128000000000043</v>
      </c>
      <c r="AX14" s="217">
        <f t="shared" si="27"/>
        <v>4.8540000000000418</v>
      </c>
      <c r="AY14" s="218">
        <f t="shared" si="28"/>
        <v>6.61099999999999</v>
      </c>
      <c r="AZ14" s="218">
        <f t="shared" si="29"/>
        <v>6.7169999999999845</v>
      </c>
      <c r="BA14" s="219">
        <f t="shared" si="30"/>
        <v>8.9459999999999127</v>
      </c>
      <c r="BB14" s="44">
        <f>+SUM(AX14:BA14)</f>
        <v>27.127999999999929</v>
      </c>
      <c r="BC14" s="217">
        <f t="shared" si="31"/>
        <v>4.8540000000000418</v>
      </c>
      <c r="BD14" s="218">
        <f t="shared" si="32"/>
        <v>6.61099999999999</v>
      </c>
      <c r="BE14" s="218">
        <f t="shared" si="33"/>
        <v>6.7169999999999845</v>
      </c>
      <c r="BF14" s="219">
        <f t="shared" si="34"/>
        <v>8.9459999999999127</v>
      </c>
      <c r="BG14" s="44">
        <f>+SUM(BC14:BF14)</f>
        <v>27.127999999999929</v>
      </c>
      <c r="BH14" s="217">
        <f t="shared" si="35"/>
        <v>4.8540000000000418</v>
      </c>
      <c r="BI14" s="218">
        <f t="shared" si="36"/>
        <v>6.61099999999999</v>
      </c>
      <c r="BJ14" s="218">
        <f t="shared" si="37"/>
        <v>6.7169999999999845</v>
      </c>
      <c r="BK14" s="219">
        <f t="shared" si="38"/>
        <v>8.9459999999999127</v>
      </c>
      <c r="BL14" s="44">
        <f>+SUM(BH14:BK14)</f>
        <v>27.127999999999929</v>
      </c>
      <c r="BM14" s="217">
        <f>BH14</f>
        <v>4.8540000000000418</v>
      </c>
      <c r="BN14" s="218">
        <f t="shared" ref="BN14:BN17" si="43">BI14</f>
        <v>6.61099999999999</v>
      </c>
      <c r="BO14" s="218">
        <f t="shared" ref="BO14:BO17" si="44">BJ14</f>
        <v>6.7169999999999845</v>
      </c>
      <c r="BP14" s="219">
        <f t="shared" ref="BP14:BP17" si="45">BK14</f>
        <v>8.9459999999999127</v>
      </c>
      <c r="BQ14" s="44">
        <f>+SUM(BM14:BP14)</f>
        <v>27.127999999999929</v>
      </c>
      <c r="BR14" s="1499"/>
      <c r="BS14" s="5"/>
      <c r="BV14" s="320"/>
      <c r="BW14" s="320"/>
    </row>
    <row r="15" spans="1:162">
      <c r="B15" s="320"/>
      <c r="C15" s="129" t="s">
        <v>160</v>
      </c>
      <c r="D15" s="320"/>
      <c r="E15" s="177">
        <f>ETR!E14-Utility!E21-EWC!E15</f>
        <v>1.8999999999998352E-2</v>
      </c>
      <c r="F15" s="178">
        <f>ETR!F14-Utility!F21-EWC!F15</f>
        <v>2.0000000000003126E-2</v>
      </c>
      <c r="G15" s="178">
        <f>ETR!G14-Utility!G21-EWC!G15</f>
        <v>2.1000000000004349E-2</v>
      </c>
      <c r="H15" s="179">
        <f>ETR!H14-Utility!H21-EWC!H15</f>
        <v>-6.0000000000016485E-2</v>
      </c>
      <c r="I15" s="44">
        <f>ETR!I14-Utility!I21-EWC!I15</f>
        <v>0</v>
      </c>
      <c r="J15" s="177">
        <f>ETR!J14-Utility!J21-EWC!J15</f>
        <v>9.9999999999766942E-4</v>
      </c>
      <c r="K15" s="178">
        <f>ETR!K14-Utility!K21-EWC!K15</f>
        <v>-1.0000000000012221E-3</v>
      </c>
      <c r="L15" s="178">
        <f>ETR!L14-Utility!L21-EWC!L15</f>
        <v>0</v>
      </c>
      <c r="M15" s="179">
        <f>ETR!M14-Utility!M21-EWC!M15</f>
        <v>0</v>
      </c>
      <c r="N15" s="44">
        <f>ETR!N14-Utility!N21-EWC!N15</f>
        <v>0</v>
      </c>
      <c r="O15" s="177">
        <f>ETR!O14-Utility!O21-EWC!O15</f>
        <v>0</v>
      </c>
      <c r="P15" s="178">
        <f>ETR!P14-Utility!P21-EWC!P15</f>
        <v>0</v>
      </c>
      <c r="Q15" s="178">
        <f>ETR!Q14-Utility!Q21-EWC!Q15</f>
        <v>0</v>
      </c>
      <c r="R15" s="179">
        <f>ETR!R14-Utility!R21-EWC!R15</f>
        <v>1.0000000000047748E-3</v>
      </c>
      <c r="S15" s="44">
        <f>ETR!S14-Utility!S21-EWC!S15</f>
        <v>9.9999999999056399E-4</v>
      </c>
      <c r="T15" s="177">
        <f>ETR!T14-Utility!T21-EWC!T15</f>
        <v>0</v>
      </c>
      <c r="U15" s="178">
        <f>ETR!U14-Utility!U21-EWC!U15</f>
        <v>0</v>
      </c>
      <c r="V15" s="178">
        <f>ETR!V14-Utility!V21-EWC!V15</f>
        <v>0</v>
      </c>
      <c r="W15" s="179">
        <f>ETR!W14-Utility!W21-EWC!W15</f>
        <v>0</v>
      </c>
      <c r="X15" s="44">
        <f>ETR!X14-Utility!X21-EWC!X15</f>
        <v>0</v>
      </c>
      <c r="Y15" s="177">
        <f>ETR!Y14-Utility!Y21-EWC!Y15</f>
        <v>0</v>
      </c>
      <c r="Z15" s="178">
        <f>ETR!Z14-Utility!Z21-EWC!Z15</f>
        <v>0</v>
      </c>
      <c r="AA15" s="178">
        <f>ETR!AA14-Utility!AA21-EWC!AA15</f>
        <v>0</v>
      </c>
      <c r="AB15" s="179">
        <f>ETR!AB14-Utility!AB21-EWC!AB15</f>
        <v>0</v>
      </c>
      <c r="AC15" s="44">
        <f>ETR!AC14-Utility!AC21-EWC!AC15</f>
        <v>0</v>
      </c>
      <c r="AD15" s="177">
        <f>ETR!AD14-Utility!AD21-EWC!AD15</f>
        <v>0</v>
      </c>
      <c r="AE15" s="178">
        <f>ETR!AE14-Utility!AE21-EWC!AE15</f>
        <v>0</v>
      </c>
      <c r="AF15" s="178">
        <f>ETR!AF14-Utility!AF21-EWC!AF15</f>
        <v>0</v>
      </c>
      <c r="AG15" s="179">
        <f>ETR!AG14-Utility!AG21-EWC!AG15</f>
        <v>-5.6843418860808015E-14</v>
      </c>
      <c r="AH15" s="44">
        <f>ETR!AH14-Utility!AH21-EWC!AH15</f>
        <v>0</v>
      </c>
      <c r="AI15" s="177">
        <f>ETR!AI14-Utility!AI21-EWC!AI15</f>
        <v>0</v>
      </c>
      <c r="AJ15" s="178">
        <f>ETR!AJ14-Utility!AJ21-EWC!AJ15</f>
        <v>0</v>
      </c>
      <c r="AK15" s="178">
        <f>ETR!AK14-Utility!AK21-EWC!AK15</f>
        <v>0</v>
      </c>
      <c r="AL15" s="179">
        <f>ETR!AL14-Utility!AL21-EWC!AL15</f>
        <v>0</v>
      </c>
      <c r="AM15" s="44">
        <f>ETR!AM14-Utility!AM21-EWC!AM15</f>
        <v>0</v>
      </c>
      <c r="AN15" s="177">
        <f>ETR!AN14-Utility!AN21-EWC!AN15</f>
        <v>0</v>
      </c>
      <c r="AO15" s="178">
        <f>ETR!AO14-Utility!AO21-EWC!AO15</f>
        <v>0</v>
      </c>
      <c r="AP15" s="178">
        <f>ETR!AP14-Utility!AP21-EWC!AP15</f>
        <v>0</v>
      </c>
      <c r="AQ15" s="179">
        <f>ETR!AQ14-Utility!AQ21-EWC!AQ15</f>
        <v>0</v>
      </c>
      <c r="AR15" s="44">
        <f>ETR!AR14-Utility!AR21-EWC!AR15</f>
        <v>0</v>
      </c>
      <c r="AS15" s="177">
        <f>ETR!AS14-Utility!AS21-EWC!AS15</f>
        <v>0</v>
      </c>
      <c r="AT15" s="178">
        <f>ETR!AT14-Utility!AT21-EWC!AT15</f>
        <v>0</v>
      </c>
      <c r="AU15" s="178">
        <f>ETR!AU14-Utility!AU21-EWC!AU15</f>
        <v>0</v>
      </c>
      <c r="AV15" s="179">
        <f>ETR!AV14-Utility!AV21-EWC!AV15</f>
        <v>0</v>
      </c>
      <c r="AW15" s="44">
        <f>ETR!AW14-Utility!AW21-EWC!AW15</f>
        <v>0</v>
      </c>
      <c r="AX15" s="217">
        <f t="shared" si="27"/>
        <v>0</v>
      </c>
      <c r="AY15" s="218">
        <f t="shared" si="28"/>
        <v>0</v>
      </c>
      <c r="AZ15" s="218">
        <f t="shared" si="29"/>
        <v>0</v>
      </c>
      <c r="BA15" s="219">
        <f t="shared" si="30"/>
        <v>0</v>
      </c>
      <c r="BB15" s="44">
        <f>+SUM(AX15:BA15)</f>
        <v>0</v>
      </c>
      <c r="BC15" s="217">
        <f t="shared" si="31"/>
        <v>0</v>
      </c>
      <c r="BD15" s="218">
        <f t="shared" si="32"/>
        <v>0</v>
      </c>
      <c r="BE15" s="218">
        <f t="shared" si="33"/>
        <v>0</v>
      </c>
      <c r="BF15" s="219">
        <f t="shared" si="34"/>
        <v>0</v>
      </c>
      <c r="BG15" s="44">
        <f>+SUM(BC15:BF15)</f>
        <v>0</v>
      </c>
      <c r="BH15" s="217">
        <f t="shared" si="35"/>
        <v>0</v>
      </c>
      <c r="BI15" s="218">
        <f t="shared" si="36"/>
        <v>0</v>
      </c>
      <c r="BJ15" s="218">
        <f t="shared" si="37"/>
        <v>0</v>
      </c>
      <c r="BK15" s="219">
        <f t="shared" si="38"/>
        <v>0</v>
      </c>
      <c r="BL15" s="44">
        <f>+SUM(BH15:BK15)</f>
        <v>0</v>
      </c>
      <c r="BM15" s="217">
        <f t="shared" ref="BM15:BM17" si="46">BH15</f>
        <v>0</v>
      </c>
      <c r="BN15" s="218">
        <f t="shared" si="43"/>
        <v>0</v>
      </c>
      <c r="BO15" s="218">
        <f t="shared" si="44"/>
        <v>0</v>
      </c>
      <c r="BP15" s="219">
        <f t="shared" si="45"/>
        <v>0</v>
      </c>
      <c r="BQ15" s="44">
        <f>+SUM(BM15:BP15)</f>
        <v>0</v>
      </c>
      <c r="BR15" s="1499"/>
      <c r="BS15" s="5"/>
      <c r="BV15" s="320"/>
      <c r="BW15" s="320"/>
    </row>
    <row r="16" spans="1:162">
      <c r="B16" s="320"/>
      <c r="C16" s="129" t="s">
        <v>316</v>
      </c>
      <c r="D16" s="320"/>
      <c r="E16" s="177">
        <f>ETR!E15-Utility!E22-EWC!E16</f>
        <v>1.7349999999999852</v>
      </c>
      <c r="F16" s="178">
        <f>ETR!F15-Utility!F22-EWC!F16</f>
        <v>1.4629999999999974</v>
      </c>
      <c r="G16" s="178">
        <f>ETR!G15-Utility!G22-EWC!G16</f>
        <v>2.509999999999998</v>
      </c>
      <c r="H16" s="179">
        <f>ETR!H15-Utility!H22-EWC!H16</f>
        <v>-3.509000000000043</v>
      </c>
      <c r="I16" s="44">
        <f>ETR!I15-Utility!I22-EWC!I16</f>
        <v>2.1989999999999554</v>
      </c>
      <c r="J16" s="177">
        <f>ETR!J15-Utility!J22-EWC!J16</f>
        <v>0.71600000000000819</v>
      </c>
      <c r="K16" s="178">
        <f>ETR!K15-Utility!K22-EWC!K16</f>
        <v>0.20199999999999818</v>
      </c>
      <c r="L16" s="178">
        <f>ETR!L15-Utility!L22-EWC!L16</f>
        <v>0.39300000000001134</v>
      </c>
      <c r="M16" s="179">
        <f>ETR!M15-Utility!M22-EWC!M16</f>
        <v>-0.26099999999996726</v>
      </c>
      <c r="N16" s="44">
        <f>ETR!N15-Utility!N22-EWC!N16</f>
        <v>1.0499999999999972</v>
      </c>
      <c r="O16" s="177">
        <f>ETR!O15-Utility!O22-EWC!O16</f>
        <v>0.23100000000000165</v>
      </c>
      <c r="P16" s="178">
        <f>ETR!P15-Utility!P22-EWC!P16</f>
        <v>0.41100000000000847</v>
      </c>
      <c r="Q16" s="178">
        <f>ETR!Q15-Utility!Q22-EWC!Q16</f>
        <v>0.40700000000000358</v>
      </c>
      <c r="R16" s="179">
        <f>ETR!R15-Utility!R22-EWC!R16</f>
        <v>0.39699999999986346</v>
      </c>
      <c r="S16" s="44">
        <f>ETR!S15-Utility!S22-EWC!S16</f>
        <v>1.4459999999999269</v>
      </c>
      <c r="T16" s="177">
        <f>ETR!T15-Utility!T22-EWC!T16</f>
        <v>0.30199999999998539</v>
      </c>
      <c r="U16" s="178">
        <f>ETR!U15-Utility!U22-EWC!U16</f>
        <v>0.32399999999998386</v>
      </c>
      <c r="V16" s="178">
        <f>ETR!V15-Utility!V22-EWC!V16</f>
        <v>0.27700000000000458</v>
      </c>
      <c r="W16" s="179">
        <f>ETR!W15-Utility!W22-EWC!W16</f>
        <v>0.33300000000004104</v>
      </c>
      <c r="X16" s="44">
        <f>ETR!X15-Utility!X22-EWC!X16</f>
        <v>1.2359999999999758</v>
      </c>
      <c r="Y16" s="177">
        <f>ETR!Y15-Utility!Y22-EWC!Y16</f>
        <v>0.28399999999999892</v>
      </c>
      <c r="Z16" s="178">
        <f>ETR!Z15-Utility!Z22-EWC!Z16</f>
        <v>0.31200000000000117</v>
      </c>
      <c r="AA16" s="178">
        <f>ETR!AA15-Utility!AA22-EWC!AA16</f>
        <v>0.46199999999999619</v>
      </c>
      <c r="AB16" s="179">
        <f>ETR!AB15-Utility!AB22-EWC!AB16</f>
        <v>0.30300000000002569</v>
      </c>
      <c r="AC16" s="44">
        <f>ETR!AC15-Utility!AC22-EWC!AC16</f>
        <v>1.3610000000000184</v>
      </c>
      <c r="AD16" s="177">
        <f>ETR!AD15-Utility!AD22-EWC!AD16</f>
        <v>0.34799999999998477</v>
      </c>
      <c r="AE16" s="178">
        <f>ETR!AE15-Utility!AE22-EWC!AE16</f>
        <v>0.46099999999998431</v>
      </c>
      <c r="AF16" s="178">
        <f>ETR!AF15-Utility!AF22-EWC!AF16</f>
        <v>0.20500000000001961</v>
      </c>
      <c r="AG16" s="179">
        <f>ETR!AG15-Utility!AG22-EWC!AG16</f>
        <v>0.13400000000004297</v>
      </c>
      <c r="AH16" s="44">
        <f>ETR!AH15-Utility!AH22-EWC!AH16</f>
        <v>1.1479999999999961</v>
      </c>
      <c r="AI16" s="177">
        <f>ETR!AI15-Utility!AI22-EWC!AI16</f>
        <v>0.82699999999999818</v>
      </c>
      <c r="AJ16" s="178">
        <f>ETR!AJ15-Utility!AJ22-EWC!AJ16</f>
        <v>0.19499999999997897</v>
      </c>
      <c r="AK16" s="178">
        <f>ETR!AK15-Utility!AK22-EWC!AK16</f>
        <v>0.21199999999997488</v>
      </c>
      <c r="AL16" s="179">
        <f>ETR!AL15-Utility!AL22-EWC!AL16</f>
        <v>-8.399999999994634E-2</v>
      </c>
      <c r="AM16" s="44">
        <f>ETR!AM15-Utility!AM22-EWC!AM16</f>
        <v>1.1500000000000483</v>
      </c>
      <c r="AN16" s="177">
        <f>ETR!AN15-Utility!AN22-EWC!AN16</f>
        <v>0.51599999999999113</v>
      </c>
      <c r="AO16" s="178">
        <f>ETR!AO15-Utility!AO22-EWC!AO16</f>
        <v>0.29499999999998749</v>
      </c>
      <c r="AP16" s="178">
        <f>ETR!AP15-Utility!AP22-EWC!AP16</f>
        <v>0.13299999999999557</v>
      </c>
      <c r="AQ16" s="179">
        <f>ETR!AQ15-Utility!AQ22-EWC!AQ16</f>
        <v>-0.22599999999998488</v>
      </c>
      <c r="AR16" s="44">
        <f>ETR!AR15-Utility!AR22-EWC!AR16</f>
        <v>0.71799999999996089</v>
      </c>
      <c r="AS16" s="177">
        <f>ETR!AS15-Utility!AS22-EWC!AS16</f>
        <v>0.80900000000001882</v>
      </c>
      <c r="AT16" s="178">
        <f>ETR!AT15-Utility!AT22-EWC!AT16</f>
        <v>0.39300000000001845</v>
      </c>
      <c r="AU16" s="178">
        <f>ETR!AU15-Utility!AU22-EWC!AU16</f>
        <v>0.1609999999999836</v>
      </c>
      <c r="AV16" s="179">
        <f>ETR!AV15-Utility!AV22-EWC!AV16</f>
        <v>0.16900000000002535</v>
      </c>
      <c r="AW16" s="44">
        <f>ETR!AW15-Utility!AW22-EWC!AW16</f>
        <v>1.5319999999999965</v>
      </c>
      <c r="AX16" s="217">
        <f t="shared" si="27"/>
        <v>0.80900000000001882</v>
      </c>
      <c r="AY16" s="218">
        <f t="shared" si="28"/>
        <v>0.39300000000001845</v>
      </c>
      <c r="AZ16" s="218">
        <f t="shared" si="29"/>
        <v>0.1609999999999836</v>
      </c>
      <c r="BA16" s="219">
        <f t="shared" si="30"/>
        <v>0.16900000000002535</v>
      </c>
      <c r="BB16" s="44">
        <f>+SUM(AX16:BA16)</f>
        <v>1.5320000000000462</v>
      </c>
      <c r="BC16" s="217">
        <f t="shared" si="31"/>
        <v>0.80900000000001882</v>
      </c>
      <c r="BD16" s="218">
        <f t="shared" si="32"/>
        <v>0.39300000000001845</v>
      </c>
      <c r="BE16" s="218">
        <f t="shared" si="33"/>
        <v>0.1609999999999836</v>
      </c>
      <c r="BF16" s="219">
        <f t="shared" si="34"/>
        <v>0.16900000000002535</v>
      </c>
      <c r="BG16" s="44">
        <f>+SUM(BC16:BF16)</f>
        <v>1.5320000000000462</v>
      </c>
      <c r="BH16" s="217">
        <f t="shared" si="35"/>
        <v>0.80900000000001882</v>
      </c>
      <c r="BI16" s="218">
        <f t="shared" si="36"/>
        <v>0.39300000000001845</v>
      </c>
      <c r="BJ16" s="218">
        <f t="shared" si="37"/>
        <v>0.1609999999999836</v>
      </c>
      <c r="BK16" s="219">
        <f t="shared" si="38"/>
        <v>0.16900000000002535</v>
      </c>
      <c r="BL16" s="44">
        <f>+SUM(BH16:BK16)</f>
        <v>1.5320000000000462</v>
      </c>
      <c r="BM16" s="217">
        <f t="shared" si="46"/>
        <v>0.80900000000001882</v>
      </c>
      <c r="BN16" s="218">
        <f t="shared" si="43"/>
        <v>0.39300000000001845</v>
      </c>
      <c r="BO16" s="218">
        <f t="shared" si="44"/>
        <v>0.1609999999999836</v>
      </c>
      <c r="BP16" s="219">
        <f t="shared" si="45"/>
        <v>0.16900000000002535</v>
      </c>
      <c r="BQ16" s="44">
        <f>+SUM(BM16:BP16)</f>
        <v>1.5320000000000462</v>
      </c>
      <c r="BR16" s="1499"/>
      <c r="BS16" s="5"/>
      <c r="BV16" s="320"/>
      <c r="BW16" s="320"/>
    </row>
    <row r="17" spans="2:75">
      <c r="B17" s="320"/>
      <c r="C17" s="129" t="s">
        <v>318</v>
      </c>
      <c r="D17" s="320"/>
      <c r="E17" s="177">
        <f>ETR!E16-Utility!E23-EWC!E17</f>
        <v>3.8529999999999589</v>
      </c>
      <c r="F17" s="178">
        <f>ETR!F16-Utility!F23-EWC!F17</f>
        <v>3.7440000000000353</v>
      </c>
      <c r="G17" s="178">
        <f>ETR!G16-Utility!G23-EWC!G17</f>
        <v>3.748000000000026</v>
      </c>
      <c r="H17" s="179">
        <f>ETR!H16-Utility!H23-EWC!H17</f>
        <v>-6.5759999999999366</v>
      </c>
      <c r="I17" s="44">
        <f>ETR!I16-Utility!I23-EWC!I17</f>
        <v>4.7690000000000623</v>
      </c>
      <c r="J17" s="177">
        <f>ETR!J16-Utility!J23-EWC!J17</f>
        <v>1.1440000000000126</v>
      </c>
      <c r="K17" s="178">
        <f>ETR!K16-Utility!K23-EWC!K17</f>
        <v>1.0429999999999922</v>
      </c>
      <c r="L17" s="178">
        <f>ETR!L16-Utility!L23-EWC!L17</f>
        <v>1.1949999999999719</v>
      </c>
      <c r="M17" s="179">
        <f>ETR!M16-Utility!M23-EWC!M17</f>
        <v>1.2050000000001262</v>
      </c>
      <c r="N17" s="44">
        <f>ETR!N16-Utility!N23-EWC!N17</f>
        <v>4.5870000000000459</v>
      </c>
      <c r="O17" s="177">
        <f>ETR!O16-Utility!O23-EWC!O17</f>
        <v>1.0489999999999995</v>
      </c>
      <c r="P17" s="178">
        <f>ETR!P16-Utility!P23-EWC!P17</f>
        <v>1.1520000000000081</v>
      </c>
      <c r="Q17" s="178">
        <f>ETR!Q16-Utility!Q23-EWC!Q17</f>
        <v>1.1370000000000147</v>
      </c>
      <c r="R17" s="179">
        <f>ETR!R16-Utility!R23-EWC!R17</f>
        <v>1.2229999999999848</v>
      </c>
      <c r="S17" s="44">
        <f>ETR!S16-Utility!S23-EWC!S17</f>
        <v>4.5610000000000355</v>
      </c>
      <c r="T17" s="177">
        <f>ETR!T16-Utility!T23-EWC!T17</f>
        <v>1.0579999999999643</v>
      </c>
      <c r="U17" s="178">
        <f>ETR!U16-Utility!U23-EWC!U17</f>
        <v>1.1289999999999836</v>
      </c>
      <c r="V17" s="178">
        <f>ETR!V16-Utility!V23-EWC!V17</f>
        <v>1.0580000000000211</v>
      </c>
      <c r="W17" s="179">
        <f>ETR!W16-Utility!W23-EWC!W17</f>
        <v>1.1119999999999379</v>
      </c>
      <c r="X17" s="44">
        <f>ETR!X16-Utility!X23-EWC!X17</f>
        <v>4.3569999999999993</v>
      </c>
      <c r="Y17" s="177">
        <f>ETR!Y16-Utility!Y23-EWC!Y17</f>
        <v>1.1019999999999683</v>
      </c>
      <c r="Z17" s="178">
        <f>ETR!Z16-Utility!Z23-EWC!Z17</f>
        <v>1.0220000000000198</v>
      </c>
      <c r="AA17" s="178">
        <f>ETR!AA16-Utility!AA23-EWC!AA17</f>
        <v>1.0180000000000291</v>
      </c>
      <c r="AB17" s="179">
        <f>ETR!AB16-Utility!AB23-EWC!AB17</f>
        <v>1.0000000000000568</v>
      </c>
      <c r="AC17" s="44">
        <f>ETR!AC16-Utility!AC23-EWC!AC17</f>
        <v>4.142000000000138</v>
      </c>
      <c r="AD17" s="177">
        <f>ETR!AD16-Utility!AD23-EWC!AD17</f>
        <v>1.0210000000000008</v>
      </c>
      <c r="AE17" s="178">
        <f>ETR!AE16-Utility!AE23-EWC!AE17</f>
        <v>1.0600000000000023</v>
      </c>
      <c r="AF17" s="178">
        <f>ETR!AF16-Utility!AF23-EWC!AF17</f>
        <v>0.86600000000002808</v>
      </c>
      <c r="AG17" s="179">
        <f>ETR!AG16-Utility!AG23-EWC!AG17</f>
        <v>0.75499999999993861</v>
      </c>
      <c r="AH17" s="44">
        <f>ETR!AH16-Utility!AH23-EWC!AH17</f>
        <v>3.7019999999999982</v>
      </c>
      <c r="AI17" s="177">
        <f>ETR!AI16-Utility!AI23-EWC!AI17</f>
        <v>0.4340000000000046</v>
      </c>
      <c r="AJ17" s="178">
        <f>ETR!AJ16-Utility!AJ23-EWC!AJ17</f>
        <v>0.60200000000001097</v>
      </c>
      <c r="AK17" s="178">
        <f>ETR!AK16-Utility!AK23-EWC!AK17</f>
        <v>0.48899999999999721</v>
      </c>
      <c r="AL17" s="179">
        <f>ETR!AL16-Utility!AL23-EWC!AL17</f>
        <v>0.63100000000008549</v>
      </c>
      <c r="AM17" s="44">
        <f>ETR!AM16-Utility!AM23-EWC!AM17</f>
        <v>2.1560000000000912</v>
      </c>
      <c r="AN17" s="177">
        <f>ETR!AN16-Utility!AN23-EWC!AN17</f>
        <v>0.25800000000000978</v>
      </c>
      <c r="AO17" s="178">
        <f>ETR!AO16-Utility!AO23-EWC!AO17</f>
        <v>0.7160000000000224</v>
      </c>
      <c r="AP17" s="178">
        <f>ETR!AP16-Utility!AP23-EWC!AP17</f>
        <v>0.26299999999998391</v>
      </c>
      <c r="AQ17" s="179">
        <f>ETR!AQ16-Utility!AQ23-EWC!AQ17</f>
        <v>0.40999999999971237</v>
      </c>
      <c r="AR17" s="44">
        <f>ETR!AR16-Utility!AR23-EWC!AR17</f>
        <v>1.6469999999997924</v>
      </c>
      <c r="AS17" s="177">
        <f>ETR!AS16-Utility!AS23-EWC!AS17</f>
        <v>0.31399999999997874</v>
      </c>
      <c r="AT17" s="178">
        <f>ETR!AT16-Utility!AT23-EWC!AT17</f>
        <v>0.44299999999996942</v>
      </c>
      <c r="AU17" s="178">
        <f>ETR!AU16-Utility!AU23-EWC!AU17</f>
        <v>0.50499999999997414</v>
      </c>
      <c r="AV17" s="179">
        <f>ETR!AV16-Utility!AV23-EWC!AV17</f>
        <v>0.4160000000001105</v>
      </c>
      <c r="AW17" s="44">
        <f>ETR!AW16-Utility!AW23-EWC!AW17</f>
        <v>1.6779999999999688</v>
      </c>
      <c r="AX17" s="217">
        <f t="shared" si="27"/>
        <v>0.31399999999997874</v>
      </c>
      <c r="AY17" s="218">
        <f t="shared" si="28"/>
        <v>0.44299999999996942</v>
      </c>
      <c r="AZ17" s="218">
        <f t="shared" si="29"/>
        <v>0.50499999999997414</v>
      </c>
      <c r="BA17" s="219">
        <f t="shared" si="30"/>
        <v>0.4160000000001105</v>
      </c>
      <c r="BB17" s="44">
        <f>+SUM(AX17:BA17)</f>
        <v>1.6780000000000328</v>
      </c>
      <c r="BC17" s="217">
        <f t="shared" si="31"/>
        <v>0.31399999999997874</v>
      </c>
      <c r="BD17" s="218">
        <f t="shared" si="32"/>
        <v>0.44299999999996942</v>
      </c>
      <c r="BE17" s="218">
        <f t="shared" si="33"/>
        <v>0.50499999999997414</v>
      </c>
      <c r="BF17" s="219">
        <f t="shared" si="34"/>
        <v>0.4160000000001105</v>
      </c>
      <c r="BG17" s="44">
        <f>+SUM(BC17:BF17)</f>
        <v>1.6780000000000328</v>
      </c>
      <c r="BH17" s="217">
        <f t="shared" si="35"/>
        <v>0.31399999999997874</v>
      </c>
      <c r="BI17" s="218">
        <f t="shared" si="36"/>
        <v>0.44299999999996942</v>
      </c>
      <c r="BJ17" s="218">
        <f t="shared" si="37"/>
        <v>0.50499999999997414</v>
      </c>
      <c r="BK17" s="219">
        <f t="shared" si="38"/>
        <v>0.4160000000001105</v>
      </c>
      <c r="BL17" s="44">
        <f>+SUM(BH17:BK17)</f>
        <v>1.6780000000000328</v>
      </c>
      <c r="BM17" s="217">
        <f t="shared" si="46"/>
        <v>0.31399999999997874</v>
      </c>
      <c r="BN17" s="218">
        <f t="shared" si="43"/>
        <v>0.44299999999996942</v>
      </c>
      <c r="BO17" s="218">
        <f t="shared" si="44"/>
        <v>0.50499999999997414</v>
      </c>
      <c r="BP17" s="219">
        <f t="shared" si="45"/>
        <v>0.4160000000001105</v>
      </c>
      <c r="BQ17" s="44">
        <f>+SUM(BM17:BP17)</f>
        <v>1.6780000000000328</v>
      </c>
      <c r="BR17" s="1499"/>
      <c r="BS17" s="5"/>
      <c r="BV17" s="320"/>
      <c r="BW17" s="320"/>
    </row>
    <row r="18" spans="2:75">
      <c r="B18" s="320"/>
      <c r="C18" s="1173" t="s">
        <v>652</v>
      </c>
      <c r="D18" s="320"/>
      <c r="E18" s="180">
        <f>SUM(E10:E10,E13:E17)</f>
        <v>49.385999999999953</v>
      </c>
      <c r="F18" s="181">
        <f t="shared" ref="F18:AA18" si="47">SUM(F10:F10,F13:F17)</f>
        <v>35.757999999999988</v>
      </c>
      <c r="G18" s="181">
        <f t="shared" si="47"/>
        <v>45.824999999999974</v>
      </c>
      <c r="H18" s="182">
        <f t="shared" si="47"/>
        <v>-157.03400000000011</v>
      </c>
      <c r="I18" s="110">
        <f t="shared" si="47"/>
        <v>-26.064999999999714</v>
      </c>
      <c r="J18" s="180">
        <f t="shared" si="47"/>
        <v>1.5039999999999054</v>
      </c>
      <c r="K18" s="181">
        <f t="shared" si="47"/>
        <v>-28.162000000000017</v>
      </c>
      <c r="L18" s="181">
        <f t="shared" si="47"/>
        <v>-14.827000000000123</v>
      </c>
      <c r="M18" s="182">
        <f t="shared" si="47"/>
        <v>-12.214999999999662</v>
      </c>
      <c r="N18" s="110">
        <f t="shared" si="47"/>
        <v>-53.699999999999889</v>
      </c>
      <c r="O18" s="180">
        <f t="shared" si="47"/>
        <v>-10.196000000000069</v>
      </c>
      <c r="P18" s="181">
        <f t="shared" si="47"/>
        <v>-12.178999999999974</v>
      </c>
      <c r="Q18" s="181">
        <f t="shared" si="47"/>
        <v>-8.7330000000001391</v>
      </c>
      <c r="R18" s="182">
        <f t="shared" si="47"/>
        <v>5.8129999999994766</v>
      </c>
      <c r="S18" s="110">
        <f t="shared" si="47"/>
        <v>-25.295000000000186</v>
      </c>
      <c r="T18" s="180">
        <f t="shared" si="47"/>
        <v>-10.372999999999969</v>
      </c>
      <c r="U18" s="181">
        <f t="shared" si="47"/>
        <v>-7.3470000000000866</v>
      </c>
      <c r="V18" s="181">
        <f t="shared" si="47"/>
        <v>-8.7969999999999793</v>
      </c>
      <c r="W18" s="182">
        <f t="shared" si="47"/>
        <v>-1.378999999999678</v>
      </c>
      <c r="X18" s="110">
        <f t="shared" si="47"/>
        <v>-27.89599999999983</v>
      </c>
      <c r="Y18" s="180">
        <f t="shared" si="47"/>
        <v>-7.4929999999999666</v>
      </c>
      <c r="Z18" s="181">
        <f t="shared" si="47"/>
        <v>-6.807999999999975</v>
      </c>
      <c r="AA18" s="181">
        <f t="shared" si="47"/>
        <v>-2.1619999999999706</v>
      </c>
      <c r="AB18" s="182">
        <f>SUM(AB10:AB10,AB13:AB17)</f>
        <v>-0.98999999999924171</v>
      </c>
      <c r="AC18" s="110">
        <f>SUM(AC10:AC10,AC13:AC17)</f>
        <v>-17.45299999999861</v>
      </c>
      <c r="AD18" s="180">
        <f>SUM(AD10:AD10,AD13:AD17)</f>
        <v>-1.6730000000001013</v>
      </c>
      <c r="AE18" s="181">
        <f>SUM(AE10:AE10,AE13:AE17)</f>
        <v>9.2050000000000409</v>
      </c>
      <c r="AF18" s="181">
        <f t="shared" ref="AF18" si="48">SUM(AF10:AF10,AF13:AF17)</f>
        <v>2.3090000000001183</v>
      </c>
      <c r="AG18" s="182">
        <f>SUM(AG10:AG10,AG13:AG17)</f>
        <v>6.1399999999999011</v>
      </c>
      <c r="AH18" s="110">
        <f>SUM(AH10:AH10,AH13:AH17)</f>
        <v>15.980999999999398</v>
      </c>
      <c r="AI18" s="180">
        <f>SUM(AI10:AI10,AI13:AI17)</f>
        <v>3.6149999999999594</v>
      </c>
      <c r="AJ18" s="181">
        <f>SUM(AJ10:AJ10,AJ13:AJ17)</f>
        <v>4.5209999999999084</v>
      </c>
      <c r="AK18" s="181">
        <f t="shared" ref="AK18" si="49">SUM(AK10:AK10,AK13:AK17)</f>
        <v>2.8689999999999642</v>
      </c>
      <c r="AL18" s="182">
        <f t="shared" ref="AL18:AR18" si="50">SUM(AL10:AL10,AL13:AL17)</f>
        <v>4.8380000000003633</v>
      </c>
      <c r="AM18" s="110">
        <f t="shared" si="50"/>
        <v>15.843000000000629</v>
      </c>
      <c r="AN18" s="180">
        <f t="shared" si="50"/>
        <v>4.8739999999999561</v>
      </c>
      <c r="AO18" s="181">
        <f t="shared" si="50"/>
        <v>7.6730000000000445</v>
      </c>
      <c r="AP18" s="181">
        <f t="shared" si="50"/>
        <v>5.2820000000000036</v>
      </c>
      <c r="AQ18" s="182">
        <f t="shared" si="50"/>
        <v>6.7949999999993409</v>
      </c>
      <c r="AR18" s="110">
        <f t="shared" si="50"/>
        <v>24.62399999999954</v>
      </c>
      <c r="AS18" s="180">
        <f t="shared" ref="AS18:AT18" si="51">SUM(AS10:AS10,AS13:AS17)</f>
        <v>5.9769999999999825</v>
      </c>
      <c r="AT18" s="181">
        <f t="shared" si="51"/>
        <v>7.4479999999999826</v>
      </c>
      <c r="AU18" s="181">
        <f t="shared" ref="AU18:AW18" si="52">SUM(AU10:AU10,AU13:AU17)</f>
        <v>7.383000000000024</v>
      </c>
      <c r="AV18" s="182">
        <f t="shared" si="52"/>
        <v>9.5299999999997915</v>
      </c>
      <c r="AW18" s="110">
        <f t="shared" si="52"/>
        <v>30.337999999999688</v>
      </c>
      <c r="AX18" s="180">
        <f t="shared" ref="AX18:BB18" si="53">SUM(AX10:AX10,AX14:AX17)</f>
        <v>5.9769999999999825</v>
      </c>
      <c r="AY18" s="181">
        <f t="shared" si="53"/>
        <v>7.4479999999999826</v>
      </c>
      <c r="AZ18" s="181">
        <f t="shared" si="53"/>
        <v>7.3830000000000169</v>
      </c>
      <c r="BA18" s="182">
        <f t="shared" si="53"/>
        <v>9.529999999999788</v>
      </c>
      <c r="BB18" s="110">
        <f t="shared" si="53"/>
        <v>30.33799999999977</v>
      </c>
      <c r="BC18" s="180">
        <f t="shared" ref="BC18:BL18" si="54">SUM(BC10:BC10,BC14:BC17)</f>
        <v>5.9769999999999825</v>
      </c>
      <c r="BD18" s="181">
        <f t="shared" si="54"/>
        <v>7.4479999999999826</v>
      </c>
      <c r="BE18" s="181">
        <f t="shared" si="54"/>
        <v>7.3830000000000169</v>
      </c>
      <c r="BF18" s="182">
        <f t="shared" si="54"/>
        <v>9.529999999999788</v>
      </c>
      <c r="BG18" s="110">
        <f t="shared" si="54"/>
        <v>30.33799999999977</v>
      </c>
      <c r="BH18" s="180">
        <f t="shared" si="54"/>
        <v>5.9769999999999825</v>
      </c>
      <c r="BI18" s="181">
        <f t="shared" si="54"/>
        <v>7.4479999999999826</v>
      </c>
      <c r="BJ18" s="181">
        <f t="shared" si="54"/>
        <v>7.3830000000000169</v>
      </c>
      <c r="BK18" s="182">
        <f t="shared" si="54"/>
        <v>9.529999999999788</v>
      </c>
      <c r="BL18" s="110">
        <f t="shared" si="54"/>
        <v>30.33799999999977</v>
      </c>
      <c r="BM18" s="180">
        <f t="shared" ref="BM18:BQ18" si="55">SUM(BM10:BM10,BM14:BM17)</f>
        <v>5.9769999999999825</v>
      </c>
      <c r="BN18" s="181">
        <f t="shared" si="55"/>
        <v>7.4479999999999826</v>
      </c>
      <c r="BO18" s="181">
        <f t="shared" si="55"/>
        <v>7.3830000000000169</v>
      </c>
      <c r="BP18" s="182">
        <f t="shared" si="55"/>
        <v>9.529999999999788</v>
      </c>
      <c r="BQ18" s="110">
        <f t="shared" si="55"/>
        <v>30.33799999999977</v>
      </c>
      <c r="BR18" s="1499"/>
      <c r="BS18" s="5"/>
      <c r="BV18" s="320"/>
      <c r="BW18" s="320"/>
    </row>
    <row r="19" spans="2:75">
      <c r="B19" s="320"/>
      <c r="C19" s="129"/>
      <c r="D19" s="320"/>
      <c r="E19" s="177"/>
      <c r="F19" s="178"/>
      <c r="G19" s="178"/>
      <c r="H19" s="179"/>
      <c r="I19" s="44"/>
      <c r="J19" s="177"/>
      <c r="K19" s="178"/>
      <c r="L19" s="178"/>
      <c r="M19" s="179"/>
      <c r="N19" s="44"/>
      <c r="O19" s="177"/>
      <c r="P19" s="178"/>
      <c r="Q19" s="178"/>
      <c r="R19" s="179"/>
      <c r="S19" s="44"/>
      <c r="T19" s="177"/>
      <c r="U19" s="178"/>
      <c r="V19" s="178"/>
      <c r="W19" s="179"/>
      <c r="X19" s="44"/>
      <c r="Y19" s="177"/>
      <c r="Z19" s="178"/>
      <c r="AA19" s="178"/>
      <c r="AB19" s="179"/>
      <c r="AC19" s="44"/>
      <c r="AD19" s="177"/>
      <c r="AE19" s="178"/>
      <c r="AF19" s="178"/>
      <c r="AG19" s="179"/>
      <c r="AH19" s="44"/>
      <c r="AI19" s="177"/>
      <c r="AJ19" s="178"/>
      <c r="AK19" s="178"/>
      <c r="AL19" s="179"/>
      <c r="AM19" s="44"/>
      <c r="AN19" s="177"/>
      <c r="AO19" s="178"/>
      <c r="AP19" s="178"/>
      <c r="AQ19" s="179"/>
      <c r="AR19" s="44"/>
      <c r="AS19" s="177"/>
      <c r="AT19" s="178"/>
      <c r="AU19" s="178"/>
      <c r="AV19" s="179"/>
      <c r="AW19" s="44"/>
      <c r="AX19" s="197"/>
      <c r="AY19" s="198"/>
      <c r="AZ19" s="198"/>
      <c r="BA19" s="193"/>
      <c r="BB19" s="107"/>
      <c r="BC19" s="197"/>
      <c r="BD19" s="198"/>
      <c r="BE19" s="198"/>
      <c r="BF19" s="193"/>
      <c r="BG19" s="107"/>
      <c r="BH19" s="197"/>
      <c r="BI19" s="198"/>
      <c r="BJ19" s="198"/>
      <c r="BK19" s="193"/>
      <c r="BL19" s="107"/>
      <c r="BM19" s="197"/>
      <c r="BN19" s="198"/>
      <c r="BO19" s="198"/>
      <c r="BP19" s="193"/>
      <c r="BQ19" s="107"/>
      <c r="BR19" s="1499"/>
      <c r="BS19" s="5"/>
      <c r="BV19" s="320"/>
      <c r="BW19" s="320"/>
    </row>
    <row r="20" spans="2:75">
      <c r="B20" s="320"/>
      <c r="C20" s="1173" t="s">
        <v>322</v>
      </c>
      <c r="D20" s="320"/>
      <c r="E20" s="180">
        <f t="shared" ref="E20:X20" si="56">E9-E18</f>
        <v>-18.665999999999812</v>
      </c>
      <c r="F20" s="181">
        <f t="shared" si="56"/>
        <v>-7.7279999999999021</v>
      </c>
      <c r="G20" s="181">
        <f t="shared" si="56"/>
        <v>-13.229000000000539</v>
      </c>
      <c r="H20" s="182">
        <f t="shared" si="56"/>
        <v>44.90700000000038</v>
      </c>
      <c r="I20" s="110">
        <f t="shared" si="56"/>
        <v>5.2839999999993097</v>
      </c>
      <c r="J20" s="180">
        <f t="shared" si="56"/>
        <v>-6.3849999999994225</v>
      </c>
      <c r="K20" s="181">
        <f t="shared" si="56"/>
        <v>22.936999999999653</v>
      </c>
      <c r="L20" s="181">
        <f t="shared" si="56"/>
        <v>8.3490000000001707</v>
      </c>
      <c r="M20" s="182">
        <f t="shared" si="56"/>
        <v>8.8879999999985273</v>
      </c>
      <c r="N20" s="110">
        <f t="shared" si="56"/>
        <v>33.788999999998921</v>
      </c>
      <c r="O20" s="180">
        <f t="shared" si="56"/>
        <v>3.6400000000002564</v>
      </c>
      <c r="P20" s="181">
        <f t="shared" si="56"/>
        <v>5.9070000000000391</v>
      </c>
      <c r="Q20" s="181">
        <f t="shared" si="56"/>
        <v>2.4390000000001564</v>
      </c>
      <c r="R20" s="182">
        <f t="shared" si="56"/>
        <v>-13.219000000000335</v>
      </c>
      <c r="S20" s="110">
        <f t="shared" si="56"/>
        <v>-1.2329999999991514</v>
      </c>
      <c r="T20" s="180">
        <f t="shared" si="56"/>
        <v>2.1409999999999982</v>
      </c>
      <c r="U20" s="181">
        <f t="shared" si="56"/>
        <v>-1.302999999999777</v>
      </c>
      <c r="V20" s="181">
        <f t="shared" si="56"/>
        <v>0.6230000000001148</v>
      </c>
      <c r="W20" s="182">
        <f t="shared" si="56"/>
        <v>-2.8860000000013315</v>
      </c>
      <c r="X20" s="110">
        <f t="shared" si="56"/>
        <v>-1.4250000000009919</v>
      </c>
      <c r="Y20" s="180">
        <f t="shared" ref="Y20:AD20" si="57">Y9-Y18</f>
        <v>-0.80699999999998795</v>
      </c>
      <c r="Z20" s="181">
        <f t="shared" si="57"/>
        <v>-0.84299999999975128</v>
      </c>
      <c r="AA20" s="181">
        <f t="shared" si="57"/>
        <v>-1.682000000000194</v>
      </c>
      <c r="AB20" s="182">
        <f t="shared" si="57"/>
        <v>-2.8120000000031666</v>
      </c>
      <c r="AC20" s="110">
        <f t="shared" si="57"/>
        <v>-6.1440000000011423</v>
      </c>
      <c r="AD20" s="180">
        <f t="shared" si="57"/>
        <v>-6.3099999999997323</v>
      </c>
      <c r="AE20" s="181">
        <f>AE9-AE18</f>
        <v>0.15799999999990177</v>
      </c>
      <c r="AF20" s="181">
        <f t="shared" ref="AF20:AI20" si="58">AF9-AF18</f>
        <v>-2.0270000000001929</v>
      </c>
      <c r="AG20" s="182">
        <f t="shared" si="58"/>
        <v>-6.1070000000009088</v>
      </c>
      <c r="AH20" s="110">
        <f t="shared" si="58"/>
        <v>-14.285999999999234</v>
      </c>
      <c r="AI20" s="180">
        <f t="shared" si="58"/>
        <v>-3.6249999999996092</v>
      </c>
      <c r="AJ20" s="181">
        <f>AJ9-AJ18</f>
        <v>-4.5409999999998334</v>
      </c>
      <c r="AK20" s="181">
        <f t="shared" ref="AK20:AN20" si="59">AK9-AK18</f>
        <v>-2.8900000000000361</v>
      </c>
      <c r="AL20" s="182">
        <f t="shared" si="59"/>
        <v>-4.8489999999989664</v>
      </c>
      <c r="AM20" s="110">
        <f t="shared" si="59"/>
        <v>-15.904999999999617</v>
      </c>
      <c r="AN20" s="180">
        <f t="shared" si="59"/>
        <v>-4.8940000000001653</v>
      </c>
      <c r="AO20" s="181">
        <f>AO9-AO18</f>
        <v>-7.6990000000002254</v>
      </c>
      <c r="AP20" s="181">
        <f>AP9-AP18</f>
        <v>-5.3159999999998817</v>
      </c>
      <c r="AQ20" s="182">
        <f t="shared" ref="AQ20:AS20" si="60">AQ9-AQ18</f>
        <v>-6.813999999999119</v>
      </c>
      <c r="AR20" s="110">
        <f t="shared" si="60"/>
        <v>-24.722999999998791</v>
      </c>
      <c r="AS20" s="180">
        <f t="shared" si="60"/>
        <v>-5.9979999999999407</v>
      </c>
      <c r="AT20" s="181">
        <f>AT9-AT18</f>
        <v>-7.4849999999996761</v>
      </c>
      <c r="AU20" s="181">
        <f t="shared" ref="AU20:AW20" si="61">AU9-AU18</f>
        <v>-7.4209999999996938</v>
      </c>
      <c r="AV20" s="182">
        <f t="shared" si="61"/>
        <v>-9.5490000000011612</v>
      </c>
      <c r="AW20" s="110">
        <f t="shared" si="61"/>
        <v>-30.452999999999925</v>
      </c>
      <c r="AX20" s="180">
        <f t="shared" ref="AX20:BB20" si="62">AX9-AX18</f>
        <v>-5.9979999999999407</v>
      </c>
      <c r="AY20" s="181">
        <f t="shared" si="62"/>
        <v>-7.4849999999996761</v>
      </c>
      <c r="AZ20" s="181">
        <f t="shared" si="62"/>
        <v>-7.4209999999996867</v>
      </c>
      <c r="BA20" s="182">
        <f t="shared" si="62"/>
        <v>-9.5490000000011577</v>
      </c>
      <c r="BB20" s="110">
        <f t="shared" si="62"/>
        <v>-30.453000000000461</v>
      </c>
      <c r="BC20" s="180">
        <f t="shared" ref="BC20:BL20" si="63">BC9-BC18</f>
        <v>-5.9979999999999407</v>
      </c>
      <c r="BD20" s="181">
        <f t="shared" si="63"/>
        <v>-7.4849999999996761</v>
      </c>
      <c r="BE20" s="181">
        <f t="shared" si="63"/>
        <v>-7.4209999999996867</v>
      </c>
      <c r="BF20" s="182">
        <f t="shared" si="63"/>
        <v>-9.5490000000011577</v>
      </c>
      <c r="BG20" s="110">
        <f t="shared" si="63"/>
        <v>-30.453000000000461</v>
      </c>
      <c r="BH20" s="180">
        <f t="shared" si="63"/>
        <v>-5.9979999999999407</v>
      </c>
      <c r="BI20" s="181">
        <f t="shared" si="63"/>
        <v>-7.4849999999996761</v>
      </c>
      <c r="BJ20" s="181">
        <f t="shared" si="63"/>
        <v>-7.4209999999996867</v>
      </c>
      <c r="BK20" s="182">
        <f t="shared" si="63"/>
        <v>-9.5490000000011577</v>
      </c>
      <c r="BL20" s="110">
        <f t="shared" si="63"/>
        <v>-30.453000000000461</v>
      </c>
      <c r="BM20" s="180">
        <f t="shared" ref="BM20:BQ20" si="64">BM9-BM18</f>
        <v>-5.9979999999999407</v>
      </c>
      <c r="BN20" s="181">
        <f t="shared" si="64"/>
        <v>-7.4849999999996761</v>
      </c>
      <c r="BO20" s="181">
        <f t="shared" si="64"/>
        <v>-7.4209999999996867</v>
      </c>
      <c r="BP20" s="182">
        <f t="shared" si="64"/>
        <v>-9.5490000000011577</v>
      </c>
      <c r="BQ20" s="110">
        <f t="shared" si="64"/>
        <v>-30.453000000000461</v>
      </c>
      <c r="BR20" s="1499"/>
      <c r="BS20" s="5"/>
      <c r="BV20" s="320"/>
      <c r="BW20" s="320"/>
    </row>
    <row r="21" spans="2:75">
      <c r="B21" s="320"/>
      <c r="C21" s="1173"/>
      <c r="D21" s="320"/>
      <c r="E21" s="180"/>
      <c r="F21" s="181"/>
      <c r="G21" s="181"/>
      <c r="H21" s="182"/>
      <c r="I21" s="110"/>
      <c r="J21" s="180"/>
      <c r="K21" s="181"/>
      <c r="L21" s="181"/>
      <c r="M21" s="182"/>
      <c r="N21" s="110"/>
      <c r="O21" s="180"/>
      <c r="P21" s="181"/>
      <c r="Q21" s="181"/>
      <c r="R21" s="182"/>
      <c r="S21" s="110"/>
      <c r="T21" s="180"/>
      <c r="U21" s="181"/>
      <c r="V21" s="181"/>
      <c r="W21" s="182"/>
      <c r="X21" s="110"/>
      <c r="Y21" s="180"/>
      <c r="Z21" s="181"/>
      <c r="AA21" s="181"/>
      <c r="AB21" s="182"/>
      <c r="AC21" s="110"/>
      <c r="AD21" s="180"/>
      <c r="AE21" s="181"/>
      <c r="AF21" s="181"/>
      <c r="AG21" s="182"/>
      <c r="AH21" s="110"/>
      <c r="AI21" s="180"/>
      <c r="AJ21" s="181"/>
      <c r="AK21" s="181"/>
      <c r="AL21" s="182"/>
      <c r="AM21" s="110"/>
      <c r="AN21" s="180"/>
      <c r="AO21" s="181"/>
      <c r="AP21" s="181"/>
      <c r="AQ21" s="182"/>
      <c r="AR21" s="110"/>
      <c r="AS21" s="180"/>
      <c r="AT21" s="181"/>
      <c r="AU21" s="181"/>
      <c r="AV21" s="182"/>
      <c r="AW21" s="110"/>
      <c r="AX21" s="180"/>
      <c r="AY21" s="181"/>
      <c r="AZ21" s="181"/>
      <c r="BA21" s="182"/>
      <c r="BB21" s="110"/>
      <c r="BC21" s="180"/>
      <c r="BD21" s="181"/>
      <c r="BE21" s="181"/>
      <c r="BF21" s="182"/>
      <c r="BG21" s="110"/>
      <c r="BH21" s="180"/>
      <c r="BI21" s="181"/>
      <c r="BJ21" s="181"/>
      <c r="BK21" s="182"/>
      <c r="BL21" s="110"/>
      <c r="BM21" s="180"/>
      <c r="BN21" s="181"/>
      <c r="BO21" s="181"/>
      <c r="BP21" s="182"/>
      <c r="BQ21" s="110"/>
      <c r="BR21" s="1499"/>
      <c r="BS21" s="5"/>
      <c r="BV21" s="320"/>
      <c r="BW21" s="320"/>
    </row>
    <row r="22" spans="2:75">
      <c r="B22" s="320"/>
      <c r="C22" s="1174" t="s">
        <v>326</v>
      </c>
      <c r="D22" s="320"/>
      <c r="E22" s="177">
        <f>ETR!E22-Utility!E29</f>
        <v>0</v>
      </c>
      <c r="F22" s="178">
        <f>ETR!F22-Utility!F29</f>
        <v>0</v>
      </c>
      <c r="G22" s="178">
        <f>ETR!G22-Utility!G29</f>
        <v>0</v>
      </c>
      <c r="H22" s="179">
        <f>ETR!H22-Utility!H29</f>
        <v>0</v>
      </c>
      <c r="I22" s="44">
        <f>ETR!I22-Utility!I29</f>
        <v>0</v>
      </c>
      <c r="J22" s="177">
        <f>ETR!J22-Utility!J29</f>
        <v>0</v>
      </c>
      <c r="K22" s="178">
        <f>ETR!K22-Utility!K29</f>
        <v>0</v>
      </c>
      <c r="L22" s="178">
        <f>ETR!L22-Utility!L29</f>
        <v>0</v>
      </c>
      <c r="M22" s="179">
        <f>ETR!M22-Utility!M29</f>
        <v>0</v>
      </c>
      <c r="N22" s="44">
        <f>ETR!N22-Utility!N29</f>
        <v>0</v>
      </c>
      <c r="O22" s="177">
        <f>ETR!O22-Utility!O29</f>
        <v>0</v>
      </c>
      <c r="P22" s="178">
        <f>ETR!P22-Utility!P29</f>
        <v>0</v>
      </c>
      <c r="Q22" s="178">
        <f>ETR!Q22-Utility!Q29</f>
        <v>0</v>
      </c>
      <c r="R22" s="179">
        <f>ETR!R22-Utility!R29</f>
        <v>0</v>
      </c>
      <c r="S22" s="44">
        <f>ETR!S22-Utility!S29</f>
        <v>0</v>
      </c>
      <c r="T22" s="177">
        <f>ETR!T22-Utility!T29</f>
        <v>0</v>
      </c>
      <c r="U22" s="178">
        <f>ETR!U22-Utility!U29</f>
        <v>0</v>
      </c>
      <c r="V22" s="178">
        <f>ETR!V22-Utility!V29</f>
        <v>0</v>
      </c>
      <c r="W22" s="179">
        <f>ETR!W22-Utility!W29</f>
        <v>0</v>
      </c>
      <c r="X22" s="44">
        <f>ETR!X22-Utility!X29</f>
        <v>0</v>
      </c>
      <c r="Y22" s="177">
        <f>ETR!Y22-Utility!Y29</f>
        <v>0</v>
      </c>
      <c r="Z22" s="178">
        <f>ETR!Z22-Utility!Z29</f>
        <v>0</v>
      </c>
      <c r="AA22" s="178">
        <f>ETR!AA22-Utility!AA29</f>
        <v>0</v>
      </c>
      <c r="AB22" s="179">
        <f>ETR!AB22-Utility!AB29</f>
        <v>0</v>
      </c>
      <c r="AC22" s="44">
        <f>ETR!AC22-Utility!AC29</f>
        <v>0</v>
      </c>
      <c r="AD22" s="177">
        <f>ETR!AD22-Utility!AD29</f>
        <v>0</v>
      </c>
      <c r="AE22" s="178">
        <f>ETR!AE22-Utility!AE29</f>
        <v>0</v>
      </c>
      <c r="AF22" s="178">
        <f>ETR!AF22-Utility!AF29</f>
        <v>0</v>
      </c>
      <c r="AG22" s="179">
        <f>ETR!AG22-Utility!AG29</f>
        <v>0</v>
      </c>
      <c r="AH22" s="44">
        <f>ETR!AH22-Utility!AH29</f>
        <v>0</v>
      </c>
      <c r="AI22" s="177">
        <f>ETR!AI22-Utility!AI29</f>
        <v>0</v>
      </c>
      <c r="AJ22" s="178">
        <f>ETR!AJ22-Utility!AJ29</f>
        <v>0</v>
      </c>
      <c r="AK22" s="178">
        <f>ETR!AK22-Utility!AK29</f>
        <v>0</v>
      </c>
      <c r="AL22" s="179">
        <f>ETR!AL22-Utility!AL29</f>
        <v>0</v>
      </c>
      <c r="AM22" s="44">
        <f>ETR!AM22-Utility!AM29</f>
        <v>0</v>
      </c>
      <c r="AN22" s="177">
        <f>ETR!AN22-Utility!AN29</f>
        <v>0</v>
      </c>
      <c r="AO22" s="178">
        <f>ETR!AO22-Utility!AO29</f>
        <v>0</v>
      </c>
      <c r="AP22" s="178">
        <f>ETR!AP22-Utility!AP29</f>
        <v>0</v>
      </c>
      <c r="AQ22" s="179">
        <f>ETR!AQ22-Utility!AQ29</f>
        <v>0</v>
      </c>
      <c r="AR22" s="44">
        <f>ETR!AR22-Utility!AR29</f>
        <v>0</v>
      </c>
      <c r="AS22" s="177">
        <f>ETR!AS22-Utility!AS29</f>
        <v>0</v>
      </c>
      <c r="AT22" s="178">
        <f>ETR!AT22-Utility!AT29</f>
        <v>0</v>
      </c>
      <c r="AU22" s="178">
        <f>ETR!AU22-Utility!AU29</f>
        <v>0</v>
      </c>
      <c r="AV22" s="179">
        <f>ETR!AV22-Utility!AV29</f>
        <v>0</v>
      </c>
      <c r="AW22" s="44">
        <f>ETR!AW22-Utility!AW29</f>
        <v>0</v>
      </c>
      <c r="AX22" s="177">
        <f t="shared" ref="AX22:BA24" si="65">+AS22</f>
        <v>0</v>
      </c>
      <c r="AY22" s="178">
        <f t="shared" si="65"/>
        <v>0</v>
      </c>
      <c r="AZ22" s="178">
        <f t="shared" si="65"/>
        <v>0</v>
      </c>
      <c r="BA22" s="179">
        <f t="shared" si="65"/>
        <v>0</v>
      </c>
      <c r="BB22" s="44">
        <f>+SUM(AX22:BA22)</f>
        <v>0</v>
      </c>
      <c r="BC22" s="177">
        <f t="shared" ref="BC22:BC24" si="66">+AX22</f>
        <v>0</v>
      </c>
      <c r="BD22" s="178">
        <f t="shared" ref="BD22:BD24" si="67">+AY22</f>
        <v>0</v>
      </c>
      <c r="BE22" s="178">
        <f t="shared" ref="BE22:BE24" si="68">+AZ22</f>
        <v>0</v>
      </c>
      <c r="BF22" s="179">
        <f t="shared" ref="BF22:BF24" si="69">+BA22</f>
        <v>0</v>
      </c>
      <c r="BG22" s="44">
        <f>+SUM(BC22:BF22)</f>
        <v>0</v>
      </c>
      <c r="BH22" s="177">
        <f t="shared" ref="BH22:BH24" si="70">+BC22</f>
        <v>0</v>
      </c>
      <c r="BI22" s="178">
        <f t="shared" ref="BI22:BI24" si="71">+BD22</f>
        <v>0</v>
      </c>
      <c r="BJ22" s="178">
        <f t="shared" ref="BJ22:BJ24" si="72">+BE22</f>
        <v>0</v>
      </c>
      <c r="BK22" s="179">
        <f t="shared" ref="BK22:BK24" si="73">+BF22</f>
        <v>0</v>
      </c>
      <c r="BL22" s="44">
        <f>+SUM(BH22:BK22)</f>
        <v>0</v>
      </c>
      <c r="BM22" s="177">
        <f t="shared" ref="BM22:BM24" si="74">+BH22</f>
        <v>0</v>
      </c>
      <c r="BN22" s="178">
        <f t="shared" ref="BN22:BN24" si="75">+BI22</f>
        <v>0</v>
      </c>
      <c r="BO22" s="178">
        <f t="shared" ref="BO22:BO24" si="76">+BJ22</f>
        <v>0</v>
      </c>
      <c r="BP22" s="179">
        <f t="shared" ref="BP22:BP24" si="77">+BK22</f>
        <v>0</v>
      </c>
      <c r="BQ22" s="44">
        <f>+SUM(BM22:BP22)</f>
        <v>0</v>
      </c>
      <c r="BR22" s="1499"/>
      <c r="BS22" s="5"/>
      <c r="BV22" s="320"/>
      <c r="BW22" s="320"/>
    </row>
    <row r="23" spans="2:75">
      <c r="B23" s="320"/>
      <c r="C23" s="1174" t="s">
        <v>323</v>
      </c>
      <c r="D23" s="320"/>
      <c r="E23" s="177">
        <f>ETR!E23-Utility!E30-EWC!E22</f>
        <v>-26.027000000000001</v>
      </c>
      <c r="F23" s="178">
        <f>ETR!F23-Utility!F30-EWC!F22</f>
        <v>-25.282999999999994</v>
      </c>
      <c r="G23" s="178">
        <f>ETR!G23-Utility!G30-EWC!G22</f>
        <v>-29.533999999999999</v>
      </c>
      <c r="H23" s="179">
        <f>ETR!H23-Utility!H30-EWC!H22</f>
        <v>-59.52500000000002</v>
      </c>
      <c r="I23" s="44">
        <f>ETR!I23-Utility!I30-EWC!I22</f>
        <v>-140.369</v>
      </c>
      <c r="J23" s="177">
        <f>ETR!J23-Utility!J30-EWC!J22</f>
        <v>-39.104999999999997</v>
      </c>
      <c r="K23" s="178">
        <f>ETR!K23-Utility!K30-EWC!K22</f>
        <v>-38.79</v>
      </c>
      <c r="L23" s="178">
        <f>ETR!L23-Utility!L30-EWC!L22</f>
        <v>-50.701999999999998</v>
      </c>
      <c r="M23" s="179">
        <f>ETR!M23-Utility!M30-EWC!M22</f>
        <v>-39.598999999999961</v>
      </c>
      <c r="N23" s="44">
        <f>ETR!N23-Utility!N30-EWC!N22</f>
        <v>-168.19599999999997</v>
      </c>
      <c r="O23" s="177">
        <f>ETR!O23-Utility!O30-EWC!O22</f>
        <v>-40.745999999999995</v>
      </c>
      <c r="P23" s="178">
        <f>ETR!P23-Utility!P30-EWC!P22</f>
        <v>-41.146999999999998</v>
      </c>
      <c r="Q23" s="178">
        <f>ETR!Q23-Utility!Q30-EWC!Q22</f>
        <v>-41.114999999999995</v>
      </c>
      <c r="R23" s="179">
        <f>ETR!R23-Utility!R30-EWC!R22</f>
        <v>-43.087000000000003</v>
      </c>
      <c r="S23" s="44">
        <f>ETR!S23-Utility!S30-EWC!S22</f>
        <v>-166.095</v>
      </c>
      <c r="T23" s="177">
        <f>ETR!T23-Utility!T30-EWC!T22</f>
        <v>-42.574000000000005</v>
      </c>
      <c r="U23" s="178">
        <f>ETR!U23-Utility!U30-EWC!U22</f>
        <v>-41.873999999999995</v>
      </c>
      <c r="V23" s="178">
        <f>ETR!V23-Utility!V30-EWC!V22</f>
        <v>-40.888000000000005</v>
      </c>
      <c r="W23" s="179">
        <f>ETR!W23-Utility!W30-EWC!W22</f>
        <v>-2.2420000000000186</v>
      </c>
      <c r="X23" s="44">
        <f>ETR!X23-Utility!X30-EWC!X22</f>
        <v>-127.578</v>
      </c>
      <c r="Y23" s="177">
        <f>ETR!Y23-Utility!Y30-EWC!Y22</f>
        <v>-31.471000000000007</v>
      </c>
      <c r="Z23" s="178">
        <f>ETR!Z23-Utility!Z30-EWC!Z22</f>
        <v>-31.090000000000003</v>
      </c>
      <c r="AA23" s="178">
        <f>ETR!AA23-Utility!AA30-EWC!AA22</f>
        <v>-31.337</v>
      </c>
      <c r="AB23" s="179">
        <f>ETR!AB23-Utility!AB30-EWC!AB22</f>
        <v>-31.252999999999957</v>
      </c>
      <c r="AC23" s="44">
        <f>ETR!AC23-Utility!AC30-EWC!AC22</f>
        <v>-125.15099999999998</v>
      </c>
      <c r="AD23" s="177">
        <f>ETR!AD23-Utility!AD30-EWC!AD22</f>
        <v>-31.431000000000004</v>
      </c>
      <c r="AE23" s="178">
        <f>ETR!AE23-Utility!AE30-EWC!AE22</f>
        <v>-31.495000000000001</v>
      </c>
      <c r="AF23" s="178">
        <f>ETR!AF23-Utility!AF30-EWC!AF22</f>
        <v>-37.645000000000003</v>
      </c>
      <c r="AG23" s="179">
        <f>ETR!AG23-Utility!AG30-EWC!AG22</f>
        <v>-36.919000000000011</v>
      </c>
      <c r="AH23" s="44">
        <f>ETR!AH23-Utility!AH30-EWC!AH22</f>
        <v>-137.49</v>
      </c>
      <c r="AI23" s="177">
        <f>ETR!AI23-Utility!AI30-EWC!AI22</f>
        <v>-37.047000000000004</v>
      </c>
      <c r="AJ23" s="178">
        <f>ETR!AJ23-Utility!AJ30-EWC!AJ22</f>
        <v>-37.292000000000002</v>
      </c>
      <c r="AK23" s="178">
        <f>ETR!AK23-Utility!AK30-EWC!AK22</f>
        <v>-37.337999999999994</v>
      </c>
      <c r="AL23" s="179">
        <f>ETR!AL23-Utility!AL30-EWC!AL22</f>
        <v>-41.460999999999984</v>
      </c>
      <c r="AM23" s="44">
        <f>ETR!AM23-Utility!AM30-EWC!AM22</f>
        <v>-153.13799999999998</v>
      </c>
      <c r="AN23" s="177">
        <f>ETR!AN23-Utility!AN30-EWC!AN22</f>
        <v>-38.585999999999999</v>
      </c>
      <c r="AO23" s="178">
        <f>ETR!AO23-Utility!AO30-EWC!AO22</f>
        <v>-38.753</v>
      </c>
      <c r="AP23" s="178">
        <f>ETR!AP23-Utility!AP30-EWC!AP22</f>
        <v>-38.012</v>
      </c>
      <c r="AQ23" s="179">
        <f>ETR!AQ23-Utility!AQ30-EWC!AQ22</f>
        <v>-37.981999999999985</v>
      </c>
      <c r="AR23" s="44">
        <f>ETR!AR23-Utility!AR30-EWC!AR22</f>
        <v>-153.33299999999997</v>
      </c>
      <c r="AS23" s="177">
        <f>ETR!AS23-Utility!AS30-EWC!AS22</f>
        <v>-38.269999999999996</v>
      </c>
      <c r="AT23" s="178">
        <f>ETR!AT23-Utility!AT30-EWC!AT22</f>
        <v>-38.734000000000009</v>
      </c>
      <c r="AU23" s="178">
        <f>ETR!AU23-Utility!AU30-EWC!AU22</f>
        <v>-38.796999999999997</v>
      </c>
      <c r="AV23" s="179">
        <f>ETR!AV23-Utility!AV30-EWC!AV22</f>
        <v>-38.44</v>
      </c>
      <c r="AW23" s="44">
        <f>ETR!AW23-Utility!AW30-EWC!AW22</f>
        <v>-154.24100000000001</v>
      </c>
      <c r="AX23" s="217">
        <f t="shared" si="65"/>
        <v>-38.269999999999996</v>
      </c>
      <c r="AY23" s="218">
        <f t="shared" si="65"/>
        <v>-38.734000000000009</v>
      </c>
      <c r="AZ23" s="218">
        <f t="shared" si="65"/>
        <v>-38.796999999999997</v>
      </c>
      <c r="BA23" s="219">
        <f t="shared" si="65"/>
        <v>-38.44</v>
      </c>
      <c r="BB23" s="44">
        <f>+SUM(AX23:BA23)</f>
        <v>-154.24099999999999</v>
      </c>
      <c r="BC23" s="217">
        <f t="shared" si="66"/>
        <v>-38.269999999999996</v>
      </c>
      <c r="BD23" s="218">
        <f t="shared" si="67"/>
        <v>-38.734000000000009</v>
      </c>
      <c r="BE23" s="218">
        <f t="shared" si="68"/>
        <v>-38.796999999999997</v>
      </c>
      <c r="BF23" s="219">
        <f t="shared" si="69"/>
        <v>-38.44</v>
      </c>
      <c r="BG23" s="44">
        <f>+SUM(BC23:BF23)</f>
        <v>-154.24099999999999</v>
      </c>
      <c r="BH23" s="217">
        <f t="shared" si="70"/>
        <v>-38.269999999999996</v>
      </c>
      <c r="BI23" s="218">
        <f t="shared" si="71"/>
        <v>-38.734000000000009</v>
      </c>
      <c r="BJ23" s="218">
        <f t="shared" si="72"/>
        <v>-38.796999999999997</v>
      </c>
      <c r="BK23" s="219">
        <f t="shared" si="73"/>
        <v>-38.44</v>
      </c>
      <c r="BL23" s="44">
        <f>+SUM(BH23:BK23)</f>
        <v>-154.24099999999999</v>
      </c>
      <c r="BM23" s="217">
        <f t="shared" si="74"/>
        <v>-38.269999999999996</v>
      </c>
      <c r="BN23" s="218">
        <f t="shared" si="75"/>
        <v>-38.734000000000009</v>
      </c>
      <c r="BO23" s="218">
        <f t="shared" si="76"/>
        <v>-38.796999999999997</v>
      </c>
      <c r="BP23" s="219">
        <f t="shared" si="77"/>
        <v>-38.44</v>
      </c>
      <c r="BQ23" s="44">
        <f>+SUM(BM23:BP23)</f>
        <v>-154.24099999999999</v>
      </c>
      <c r="BR23" s="1499"/>
      <c r="BS23" s="5"/>
      <c r="BV23" s="320"/>
      <c r="BW23" s="320"/>
    </row>
    <row r="24" spans="2:75">
      <c r="B24" s="320"/>
      <c r="C24" s="129" t="s">
        <v>327</v>
      </c>
      <c r="D24" s="320"/>
      <c r="E24" s="177">
        <f>ETR!E24-Utility!E31-EWC!E23</f>
        <v>-5.5189999999999984</v>
      </c>
      <c r="F24" s="178">
        <f>ETR!F24-Utility!F31-EWC!F23</f>
        <v>11.218999999999994</v>
      </c>
      <c r="G24" s="178">
        <f>ETR!G24-Utility!G31-EWC!G23</f>
        <v>-0.55800000000000072</v>
      </c>
      <c r="H24" s="179">
        <f>ETR!H24-Utility!H31-EWC!H23</f>
        <v>-17.242999999999991</v>
      </c>
      <c r="I24" s="44">
        <f>ETR!I24-Utility!I31-EWC!I23</f>
        <v>-12.100999999999999</v>
      </c>
      <c r="J24" s="177">
        <f>ETR!J24-Utility!J31-EWC!J23</f>
        <v>-1.1890000000000001</v>
      </c>
      <c r="K24" s="178">
        <f>ETR!K24-Utility!K31-EWC!K23</f>
        <v>-4.3130000000000024</v>
      </c>
      <c r="L24" s="178">
        <f>ETR!L24-Utility!L31-EWC!L23</f>
        <v>-1.9609999999999994</v>
      </c>
      <c r="M24" s="179">
        <f>ETR!M24-Utility!M31-EWC!M23</f>
        <v>-2.4930000000000021</v>
      </c>
      <c r="N24" s="44">
        <f>ETR!N24-Utility!N31-EWC!N23</f>
        <v>-9.9559999999999995</v>
      </c>
      <c r="O24" s="177">
        <f>ETR!O24-Utility!O31-EWC!O23</f>
        <v>-1.6599999999999993</v>
      </c>
      <c r="P24" s="178">
        <f>ETR!P24-Utility!P31-EWC!P23</f>
        <v>-4.7789999999999981</v>
      </c>
      <c r="Q24" s="178">
        <f>ETR!Q24-Utility!Q31-EWC!Q23</f>
        <v>-2.6870000000000012</v>
      </c>
      <c r="R24" s="179">
        <f>ETR!R24-Utility!R31-EWC!R23</f>
        <v>-1.131000000000002</v>
      </c>
      <c r="S24" s="44">
        <f>ETR!S24-Utility!S31-EWC!S23</f>
        <v>-10.257000000000005</v>
      </c>
      <c r="T24" s="177">
        <f>ETR!T24-Utility!T31-EWC!T23</f>
        <v>-2.3460000000000036</v>
      </c>
      <c r="U24" s="178">
        <f>ETR!U24-Utility!U31-EWC!U23</f>
        <v>-1.3849999999999998</v>
      </c>
      <c r="V24" s="178">
        <f>ETR!V24-Utility!V31-EWC!V23</f>
        <v>-3.2790000000000012</v>
      </c>
      <c r="W24" s="179">
        <f>ETR!W24-Utility!W31-EWC!W23</f>
        <v>-1.2889999999999908</v>
      </c>
      <c r="X24" s="44">
        <f>ETR!X24-Utility!X31-EWC!X23</f>
        <v>-8.2989999999999782</v>
      </c>
      <c r="Y24" s="177">
        <f>ETR!Y24-Utility!Y31-EWC!Y23</f>
        <v>-2.145999999999999</v>
      </c>
      <c r="Z24" s="178">
        <f>ETR!Z24-Utility!Z31-EWC!Z23</f>
        <v>-2.9279999999999999</v>
      </c>
      <c r="AA24" s="178">
        <f>ETR!AA24-Utility!AA31-EWC!AA23</f>
        <v>-2.0450000000000159</v>
      </c>
      <c r="AB24" s="179">
        <f>ETR!AB24-Utility!AB31-EWC!AB23</f>
        <v>-4.128999999999877</v>
      </c>
      <c r="AC24" s="44">
        <f>ETR!AC24-Utility!AC31-EWC!AC23</f>
        <v>-11.247999999999934</v>
      </c>
      <c r="AD24" s="177">
        <f>ETR!AD24-Utility!AD31-EWC!AD23</f>
        <v>-2.0900000000000007</v>
      </c>
      <c r="AE24" s="178">
        <f>ETR!AE24-Utility!AE31-EWC!AE23</f>
        <v>-4.296000000000002</v>
      </c>
      <c r="AF24" s="178">
        <f>ETR!AF24-Utility!AF31-EWC!AF23</f>
        <v>-1.1320000000000192</v>
      </c>
      <c r="AG24" s="179">
        <f>ETR!AG24-Utility!AG31-EWC!AG23</f>
        <v>-1.8729999999999905</v>
      </c>
      <c r="AH24" s="44">
        <f>ETR!AH24-Utility!AH31-EWC!AH23</f>
        <v>-9.3909999999999911</v>
      </c>
      <c r="AI24" s="177">
        <f>ETR!AI24-Utility!AI31-EWC!AI23</f>
        <v>-1.5759999999999996</v>
      </c>
      <c r="AJ24" s="178">
        <f>ETR!AJ24-Utility!AJ31-EWC!AJ23</f>
        <v>-2.6589999999999989</v>
      </c>
      <c r="AK24" s="178">
        <f>ETR!AK24-Utility!AK31-EWC!AK23</f>
        <v>-1.1000000000001364</v>
      </c>
      <c r="AL24" s="179">
        <f>ETR!AL24-Utility!AL31-EWC!AL23</f>
        <v>-7.014999999999759</v>
      </c>
      <c r="AM24" s="44">
        <f>ETR!AM24-Utility!AM31-EWC!AM23</f>
        <v>-12.349999999999909</v>
      </c>
      <c r="AN24" s="177">
        <f>ETR!AN24-Utility!AN31-EWC!AN23</f>
        <v>-0.96000000000000085</v>
      </c>
      <c r="AO24" s="178">
        <f>ETR!AO24-Utility!AO31-EWC!AO23</f>
        <v>-2.1879999999999988</v>
      </c>
      <c r="AP24" s="178">
        <f>ETR!AP24-Utility!AP31-EWC!AP23</f>
        <v>-1.0750000000000028</v>
      </c>
      <c r="AQ24" s="179">
        <f>ETR!AQ24-Utility!AQ31-EWC!AQ23</f>
        <v>-3.6509999999998399</v>
      </c>
      <c r="AR24" s="44">
        <f>ETR!AR24-Utility!AR31-EWC!AR23</f>
        <v>-7.874000000000251</v>
      </c>
      <c r="AS24" s="177">
        <f>ETR!AS24-Utility!AS31-EWC!AS23</f>
        <v>-1.2150000000000034</v>
      </c>
      <c r="AT24" s="178">
        <f>ETR!AT24-Utility!AT31-EWC!AT23</f>
        <v>-1.6129999999999995</v>
      </c>
      <c r="AU24" s="178">
        <f>ETR!AU24-Utility!AU31-EWC!AU23</f>
        <v>-1.9139999999999979</v>
      </c>
      <c r="AV24" s="179">
        <f>ETR!AV24-Utility!AV31-EWC!AV23</f>
        <v>-0.26200000000000045</v>
      </c>
      <c r="AW24" s="44">
        <f>ETR!AW24-Utility!AW31-EWC!AW23</f>
        <v>-5.0040000000000191</v>
      </c>
      <c r="AX24" s="177">
        <f t="shared" si="65"/>
        <v>-1.2150000000000034</v>
      </c>
      <c r="AY24" s="178">
        <f t="shared" si="65"/>
        <v>-1.6129999999999995</v>
      </c>
      <c r="AZ24" s="178">
        <f t="shared" si="65"/>
        <v>-1.9139999999999979</v>
      </c>
      <c r="BA24" s="179">
        <f t="shared" si="65"/>
        <v>-0.26200000000000045</v>
      </c>
      <c r="BB24" s="44">
        <f>+SUM(AX24:BA24)</f>
        <v>-5.0040000000000013</v>
      </c>
      <c r="BC24" s="177">
        <f t="shared" si="66"/>
        <v>-1.2150000000000034</v>
      </c>
      <c r="BD24" s="178">
        <f t="shared" si="67"/>
        <v>-1.6129999999999995</v>
      </c>
      <c r="BE24" s="178">
        <f t="shared" si="68"/>
        <v>-1.9139999999999979</v>
      </c>
      <c r="BF24" s="179">
        <f t="shared" si="69"/>
        <v>-0.26200000000000045</v>
      </c>
      <c r="BG24" s="44">
        <f>+SUM(BC24:BF24)</f>
        <v>-5.0040000000000013</v>
      </c>
      <c r="BH24" s="177">
        <f t="shared" si="70"/>
        <v>-1.2150000000000034</v>
      </c>
      <c r="BI24" s="178">
        <f t="shared" si="71"/>
        <v>-1.6129999999999995</v>
      </c>
      <c r="BJ24" s="178">
        <f t="shared" si="72"/>
        <v>-1.9139999999999979</v>
      </c>
      <c r="BK24" s="179">
        <f t="shared" si="73"/>
        <v>-0.26200000000000045</v>
      </c>
      <c r="BL24" s="44">
        <f>+SUM(BH24:BK24)</f>
        <v>-5.0040000000000013</v>
      </c>
      <c r="BM24" s="177">
        <f t="shared" si="74"/>
        <v>-1.2150000000000034</v>
      </c>
      <c r="BN24" s="178">
        <f t="shared" si="75"/>
        <v>-1.6129999999999995</v>
      </c>
      <c r="BO24" s="178">
        <f t="shared" si="76"/>
        <v>-1.9139999999999979</v>
      </c>
      <c r="BP24" s="179">
        <f t="shared" si="77"/>
        <v>-0.26200000000000045</v>
      </c>
      <c r="BQ24" s="44">
        <f>+SUM(BM24:BP24)</f>
        <v>-5.0040000000000013</v>
      </c>
      <c r="BR24" s="1499"/>
      <c r="BS24" s="5"/>
      <c r="BV24" s="320"/>
      <c r="BW24" s="320"/>
    </row>
    <row r="25" spans="2:75">
      <c r="B25" s="320"/>
      <c r="C25" s="129"/>
      <c r="D25" s="320"/>
      <c r="E25" s="177"/>
      <c r="F25" s="178"/>
      <c r="G25" s="178"/>
      <c r="H25" s="179"/>
      <c r="I25" s="44"/>
      <c r="J25" s="177"/>
      <c r="K25" s="178"/>
      <c r="L25" s="178"/>
      <c r="M25" s="179"/>
      <c r="N25" s="44"/>
      <c r="O25" s="177"/>
      <c r="P25" s="178"/>
      <c r="Q25" s="178"/>
      <c r="R25" s="179"/>
      <c r="S25" s="44"/>
      <c r="T25" s="177"/>
      <c r="U25" s="178"/>
      <c r="V25" s="178"/>
      <c r="W25" s="179"/>
      <c r="X25" s="44"/>
      <c r="Y25" s="177"/>
      <c r="Z25" s="178"/>
      <c r="AA25" s="178"/>
      <c r="AB25" s="179"/>
      <c r="AC25" s="44"/>
      <c r="AD25" s="177"/>
      <c r="AE25" s="178"/>
      <c r="AF25" s="178"/>
      <c r="AG25" s="179"/>
      <c r="AH25" s="44"/>
      <c r="AI25" s="177"/>
      <c r="AJ25" s="178"/>
      <c r="AK25" s="178"/>
      <c r="AL25" s="179"/>
      <c r="AM25" s="44"/>
      <c r="AN25" s="177"/>
      <c r="AO25" s="178"/>
      <c r="AP25" s="178"/>
      <c r="AQ25" s="179"/>
      <c r="AR25" s="44"/>
      <c r="AS25" s="177"/>
      <c r="AT25" s="198"/>
      <c r="AU25" s="198"/>
      <c r="AV25" s="179"/>
      <c r="AW25" s="44"/>
      <c r="AX25" s="197"/>
      <c r="AY25" s="198"/>
      <c r="AZ25" s="198"/>
      <c r="BA25" s="193"/>
      <c r="BB25" s="107"/>
      <c r="BC25" s="197"/>
      <c r="BD25" s="198"/>
      <c r="BE25" s="198"/>
      <c r="BF25" s="193"/>
      <c r="BG25" s="107"/>
      <c r="BH25" s="197"/>
      <c r="BI25" s="198"/>
      <c r="BJ25" s="198"/>
      <c r="BK25" s="193"/>
      <c r="BL25" s="107"/>
      <c r="BM25" s="197"/>
      <c r="BN25" s="198"/>
      <c r="BO25" s="198"/>
      <c r="BP25" s="193"/>
      <c r="BQ25" s="107"/>
      <c r="BR25" s="1499"/>
      <c r="BS25" s="5"/>
      <c r="BV25" s="320"/>
      <c r="BW25" s="320"/>
    </row>
    <row r="26" spans="2:75">
      <c r="B26" s="320"/>
      <c r="C26" s="1173" t="s">
        <v>34</v>
      </c>
      <c r="D26" s="320"/>
      <c r="E26" s="180">
        <f>E20+SUM(E22:E24)</f>
        <v>-50.211999999999811</v>
      </c>
      <c r="F26" s="181">
        <f t="shared" ref="F26:X26" si="78">F20+SUM(F22:F24)</f>
        <v>-21.791999999999902</v>
      </c>
      <c r="G26" s="181">
        <f t="shared" si="78"/>
        <v>-43.321000000000538</v>
      </c>
      <c r="H26" s="182">
        <f t="shared" si="78"/>
        <v>-31.860999999999635</v>
      </c>
      <c r="I26" s="110">
        <f t="shared" si="78"/>
        <v>-147.18600000000069</v>
      </c>
      <c r="J26" s="180">
        <f t="shared" si="78"/>
        <v>-46.678999999999419</v>
      </c>
      <c r="K26" s="181">
        <f t="shared" si="78"/>
        <v>-20.166000000000349</v>
      </c>
      <c r="L26" s="181">
        <f t="shared" si="78"/>
        <v>-44.313999999999822</v>
      </c>
      <c r="M26" s="182">
        <f t="shared" si="78"/>
        <v>-33.204000000001436</v>
      </c>
      <c r="N26" s="110">
        <f t="shared" si="78"/>
        <v>-144.36300000000102</v>
      </c>
      <c r="O26" s="180">
        <f t="shared" si="78"/>
        <v>-38.765999999999735</v>
      </c>
      <c r="P26" s="181">
        <f t="shared" si="78"/>
        <v>-40.018999999999956</v>
      </c>
      <c r="Q26" s="181">
        <f t="shared" si="78"/>
        <v>-41.362999999999836</v>
      </c>
      <c r="R26" s="182">
        <f t="shared" si="78"/>
        <v>-57.437000000000339</v>
      </c>
      <c r="S26" s="110">
        <f t="shared" si="78"/>
        <v>-177.58499999999916</v>
      </c>
      <c r="T26" s="180">
        <f t="shared" si="78"/>
        <v>-42.779000000000011</v>
      </c>
      <c r="U26" s="181">
        <f t="shared" si="78"/>
        <v>-44.56199999999977</v>
      </c>
      <c r="V26" s="181">
        <f t="shared" si="78"/>
        <v>-43.543999999999897</v>
      </c>
      <c r="W26" s="182">
        <f t="shared" si="78"/>
        <v>-6.417000000001341</v>
      </c>
      <c r="X26" s="110">
        <f t="shared" si="78"/>
        <v>-137.30200000000099</v>
      </c>
      <c r="Y26" s="180">
        <f t="shared" ref="Y26:AD26" si="79">Y20+SUM(Y22:Y24)</f>
        <v>-34.423999999999992</v>
      </c>
      <c r="Z26" s="181">
        <f t="shared" si="79"/>
        <v>-34.860999999999748</v>
      </c>
      <c r="AA26" s="181">
        <f t="shared" si="79"/>
        <v>-35.064000000000213</v>
      </c>
      <c r="AB26" s="182">
        <f t="shared" si="79"/>
        <v>-38.194000000003001</v>
      </c>
      <c r="AC26" s="110">
        <f t="shared" si="79"/>
        <v>-142.54300000000106</v>
      </c>
      <c r="AD26" s="180">
        <f t="shared" si="79"/>
        <v>-39.83099999999974</v>
      </c>
      <c r="AE26" s="181">
        <f>AE20+SUM(AE22:AE24)</f>
        <v>-35.633000000000102</v>
      </c>
      <c r="AF26" s="181">
        <f t="shared" ref="AF26:AI26" si="80">AF20+SUM(AF22:AF24)</f>
        <v>-40.804000000000215</v>
      </c>
      <c r="AG26" s="182">
        <f t="shared" si="80"/>
        <v>-44.89900000000091</v>
      </c>
      <c r="AH26" s="110">
        <f t="shared" si="80"/>
        <v>-161.16699999999923</v>
      </c>
      <c r="AI26" s="180">
        <f t="shared" si="80"/>
        <v>-42.247999999999614</v>
      </c>
      <c r="AJ26" s="181">
        <f>AJ20+SUM(AJ22:AJ24)</f>
        <v>-44.491999999999834</v>
      </c>
      <c r="AK26" s="181">
        <f t="shared" ref="AK26:AN26" si="81">AK20+SUM(AK22:AK24)</f>
        <v>-41.328000000000166</v>
      </c>
      <c r="AL26" s="182">
        <f t="shared" si="81"/>
        <v>-53.32499999999871</v>
      </c>
      <c r="AM26" s="110">
        <f t="shared" si="81"/>
        <v>-181.39299999999952</v>
      </c>
      <c r="AN26" s="180">
        <f t="shared" si="81"/>
        <v>-44.440000000000168</v>
      </c>
      <c r="AO26" s="181">
        <f>AO20+SUM(AO22:AO24)</f>
        <v>-48.640000000000228</v>
      </c>
      <c r="AP26" s="181">
        <f>AP20+SUM(AP22:AP24)</f>
        <v>-44.402999999999885</v>
      </c>
      <c r="AQ26" s="182">
        <f t="shared" ref="AQ26:AS26" si="82">AQ20+SUM(AQ22:AQ24)</f>
        <v>-48.446999999998944</v>
      </c>
      <c r="AR26" s="110">
        <f t="shared" si="82"/>
        <v>-185.92999999999901</v>
      </c>
      <c r="AS26" s="180">
        <f t="shared" si="82"/>
        <v>-45.48299999999994</v>
      </c>
      <c r="AT26" s="181">
        <f>AT20+SUM(AT22:AT24)</f>
        <v>-47.831999999999681</v>
      </c>
      <c r="AU26" s="181">
        <f t="shared" ref="AU26:AW26" si="83">AU20+SUM(AU22:AU24)</f>
        <v>-48.131999999999692</v>
      </c>
      <c r="AV26" s="182">
        <f t="shared" si="83"/>
        <v>-48.251000000001156</v>
      </c>
      <c r="AW26" s="110">
        <f t="shared" si="83"/>
        <v>-189.69799999999995</v>
      </c>
      <c r="AX26" s="180">
        <f t="shared" ref="AX26:BB26" si="84">AX20+SUM(AX22:AX24)</f>
        <v>-45.48299999999994</v>
      </c>
      <c r="AY26" s="181">
        <f t="shared" si="84"/>
        <v>-47.831999999999681</v>
      </c>
      <c r="AZ26" s="181">
        <f t="shared" si="84"/>
        <v>-48.131999999999685</v>
      </c>
      <c r="BA26" s="182">
        <f t="shared" si="84"/>
        <v>-48.251000000001156</v>
      </c>
      <c r="BB26" s="110">
        <f t="shared" si="84"/>
        <v>-189.69800000000043</v>
      </c>
      <c r="BC26" s="180">
        <f t="shared" ref="BC26:BL26" si="85">BC20+SUM(BC22:BC24)</f>
        <v>-45.48299999999994</v>
      </c>
      <c r="BD26" s="181">
        <f t="shared" si="85"/>
        <v>-47.831999999999681</v>
      </c>
      <c r="BE26" s="181">
        <f t="shared" si="85"/>
        <v>-48.131999999999685</v>
      </c>
      <c r="BF26" s="182">
        <f t="shared" si="85"/>
        <v>-48.251000000001156</v>
      </c>
      <c r="BG26" s="110">
        <f t="shared" si="85"/>
        <v>-189.69800000000043</v>
      </c>
      <c r="BH26" s="180">
        <f t="shared" si="85"/>
        <v>-45.48299999999994</v>
      </c>
      <c r="BI26" s="181">
        <f t="shared" si="85"/>
        <v>-47.831999999999681</v>
      </c>
      <c r="BJ26" s="181">
        <f t="shared" si="85"/>
        <v>-48.131999999999685</v>
      </c>
      <c r="BK26" s="182">
        <f t="shared" si="85"/>
        <v>-48.251000000001156</v>
      </c>
      <c r="BL26" s="110">
        <f t="shared" si="85"/>
        <v>-189.69800000000043</v>
      </c>
      <c r="BM26" s="180">
        <f t="shared" ref="BM26:BQ26" si="86">BM20+SUM(BM22:BM24)</f>
        <v>-45.48299999999994</v>
      </c>
      <c r="BN26" s="181">
        <f t="shared" si="86"/>
        <v>-47.831999999999681</v>
      </c>
      <c r="BO26" s="181">
        <f t="shared" si="86"/>
        <v>-48.131999999999685</v>
      </c>
      <c r="BP26" s="182">
        <f t="shared" si="86"/>
        <v>-48.251000000001156</v>
      </c>
      <c r="BQ26" s="110">
        <f t="shared" si="86"/>
        <v>-189.69800000000043</v>
      </c>
      <c r="BR26" s="1499"/>
      <c r="BS26" s="5"/>
      <c r="BV26" s="320"/>
      <c r="BW26" s="320"/>
    </row>
    <row r="27" spans="2:75">
      <c r="B27" s="320"/>
      <c r="C27" s="1173" t="s">
        <v>317</v>
      </c>
      <c r="D27" s="320"/>
      <c r="E27" s="180">
        <f>E26+E17</f>
        <v>-46.358999999999853</v>
      </c>
      <c r="F27" s="181">
        <f t="shared" ref="F27:P27" si="87">F26+F17</f>
        <v>-18.047999999999867</v>
      </c>
      <c r="G27" s="181">
        <f t="shared" si="87"/>
        <v>-39.573000000000512</v>
      </c>
      <c r="H27" s="182">
        <f t="shared" si="87"/>
        <v>-38.436999999999571</v>
      </c>
      <c r="I27" s="110">
        <f t="shared" si="87"/>
        <v>-142.41700000000063</v>
      </c>
      <c r="J27" s="180">
        <f t="shared" si="87"/>
        <v>-45.534999999999407</v>
      </c>
      <c r="K27" s="181">
        <f t="shared" si="87"/>
        <v>-19.123000000000356</v>
      </c>
      <c r="L27" s="181">
        <f t="shared" si="87"/>
        <v>-43.118999999999851</v>
      </c>
      <c r="M27" s="182">
        <f t="shared" si="87"/>
        <v>-31.99900000000131</v>
      </c>
      <c r="N27" s="110">
        <f t="shared" si="87"/>
        <v>-139.77600000000098</v>
      </c>
      <c r="O27" s="180">
        <f t="shared" si="87"/>
        <v>-37.716999999999736</v>
      </c>
      <c r="P27" s="181">
        <f t="shared" si="87"/>
        <v>-38.866999999999948</v>
      </c>
      <c r="Q27" s="181">
        <f t="shared" ref="Q27:S27" si="88">Q26+Q17</f>
        <v>-40.225999999999821</v>
      </c>
      <c r="R27" s="182">
        <f t="shared" si="88"/>
        <v>-56.214000000000354</v>
      </c>
      <c r="S27" s="110">
        <f t="shared" si="88"/>
        <v>-173.02399999999912</v>
      </c>
      <c r="T27" s="180">
        <f t="shared" ref="T27:AA27" si="89">T26+T17</f>
        <v>-41.721000000000046</v>
      </c>
      <c r="U27" s="181">
        <f t="shared" si="89"/>
        <v>-43.432999999999787</v>
      </c>
      <c r="V27" s="181">
        <f t="shared" si="89"/>
        <v>-42.485999999999876</v>
      </c>
      <c r="W27" s="182">
        <f t="shared" si="89"/>
        <v>-5.305000000001403</v>
      </c>
      <c r="X27" s="110">
        <f t="shared" si="89"/>
        <v>-132.94500000000099</v>
      </c>
      <c r="Y27" s="180">
        <f t="shared" si="89"/>
        <v>-33.322000000000024</v>
      </c>
      <c r="Z27" s="181">
        <f t="shared" si="89"/>
        <v>-33.838999999999729</v>
      </c>
      <c r="AA27" s="181">
        <f t="shared" si="89"/>
        <v>-34.046000000000184</v>
      </c>
      <c r="AB27" s="182">
        <f>AB26+AB17</f>
        <v>-37.194000000002944</v>
      </c>
      <c r="AC27" s="110">
        <f>AC26+AC17</f>
        <v>-138.40100000000092</v>
      </c>
      <c r="AD27" s="180">
        <f>AD26+AD17</f>
        <v>-38.809999999999739</v>
      </c>
      <c r="AE27" s="181">
        <f>AE26+AE17</f>
        <v>-34.5730000000001</v>
      </c>
      <c r="AF27" s="181">
        <f t="shared" ref="AF27" si="90">AF26+AF17</f>
        <v>-39.938000000000187</v>
      </c>
      <c r="AG27" s="182">
        <f>AG26+AG17</f>
        <v>-44.144000000000972</v>
      </c>
      <c r="AH27" s="110">
        <f>AH26+AH17</f>
        <v>-157.46499999999924</v>
      </c>
      <c r="AI27" s="180">
        <f>AI26+AI17</f>
        <v>-41.813999999999609</v>
      </c>
      <c r="AJ27" s="181">
        <f>AJ26+AJ17</f>
        <v>-43.889999999999823</v>
      </c>
      <c r="AK27" s="181">
        <f t="shared" ref="AK27" si="91">AK26+AK17</f>
        <v>-40.839000000000169</v>
      </c>
      <c r="AL27" s="182">
        <f t="shared" ref="AL27:AR27" si="92">AL26+AL17</f>
        <v>-52.693999999998624</v>
      </c>
      <c r="AM27" s="110">
        <f t="shared" si="92"/>
        <v>-179.23699999999943</v>
      </c>
      <c r="AN27" s="180">
        <f t="shared" si="92"/>
        <v>-44.182000000000158</v>
      </c>
      <c r="AO27" s="181">
        <f t="shared" si="92"/>
        <v>-47.924000000000206</v>
      </c>
      <c r="AP27" s="181">
        <f t="shared" si="92"/>
        <v>-44.139999999999901</v>
      </c>
      <c r="AQ27" s="182">
        <f t="shared" si="92"/>
        <v>-48.036999999999232</v>
      </c>
      <c r="AR27" s="110">
        <f t="shared" si="92"/>
        <v>-184.28299999999922</v>
      </c>
      <c r="AS27" s="180">
        <f t="shared" ref="AS27:AT27" si="93">AS26+AS17</f>
        <v>-45.168999999999961</v>
      </c>
      <c r="AT27" s="181">
        <f t="shared" si="93"/>
        <v>-47.388999999999712</v>
      </c>
      <c r="AU27" s="181">
        <f t="shared" ref="AU27:AW27" si="94">AU26+AU17</f>
        <v>-47.626999999999718</v>
      </c>
      <c r="AV27" s="182">
        <f t="shared" si="94"/>
        <v>-47.835000000001045</v>
      </c>
      <c r="AW27" s="110">
        <f t="shared" si="94"/>
        <v>-188.01999999999998</v>
      </c>
      <c r="AX27" s="180">
        <f t="shared" ref="AX27:BB27" si="95">AX26+AX17</f>
        <v>-45.168999999999961</v>
      </c>
      <c r="AY27" s="181">
        <f t="shared" si="95"/>
        <v>-47.388999999999712</v>
      </c>
      <c r="AZ27" s="181">
        <f t="shared" si="95"/>
        <v>-47.626999999999711</v>
      </c>
      <c r="BA27" s="182">
        <f t="shared" si="95"/>
        <v>-47.835000000001045</v>
      </c>
      <c r="BB27" s="110">
        <f t="shared" si="95"/>
        <v>-188.02000000000041</v>
      </c>
      <c r="BC27" s="180">
        <f t="shared" ref="BC27:BL27" si="96">BC26+BC17</f>
        <v>-45.168999999999961</v>
      </c>
      <c r="BD27" s="181">
        <f t="shared" si="96"/>
        <v>-47.388999999999712</v>
      </c>
      <c r="BE27" s="181">
        <f t="shared" si="96"/>
        <v>-47.626999999999711</v>
      </c>
      <c r="BF27" s="182">
        <f t="shared" si="96"/>
        <v>-47.835000000001045</v>
      </c>
      <c r="BG27" s="110">
        <f t="shared" si="96"/>
        <v>-188.02000000000041</v>
      </c>
      <c r="BH27" s="180">
        <f t="shared" si="96"/>
        <v>-45.168999999999961</v>
      </c>
      <c r="BI27" s="181">
        <f t="shared" si="96"/>
        <v>-47.388999999999712</v>
      </c>
      <c r="BJ27" s="181">
        <f t="shared" si="96"/>
        <v>-47.626999999999711</v>
      </c>
      <c r="BK27" s="182">
        <f t="shared" si="96"/>
        <v>-47.835000000001045</v>
      </c>
      <c r="BL27" s="110">
        <f t="shared" si="96"/>
        <v>-188.02000000000041</v>
      </c>
      <c r="BM27" s="180">
        <f t="shared" ref="BM27:BQ27" si="97">BM26+BM17</f>
        <v>-45.168999999999961</v>
      </c>
      <c r="BN27" s="181">
        <f t="shared" si="97"/>
        <v>-47.388999999999712</v>
      </c>
      <c r="BO27" s="181">
        <f t="shared" si="97"/>
        <v>-47.626999999999711</v>
      </c>
      <c r="BP27" s="182">
        <f t="shared" si="97"/>
        <v>-47.835000000001045</v>
      </c>
      <c r="BQ27" s="110">
        <f t="shared" si="97"/>
        <v>-188.02000000000041</v>
      </c>
      <c r="BR27" s="1499"/>
      <c r="BS27" s="5"/>
      <c r="BV27" s="320"/>
      <c r="BW27" s="320"/>
    </row>
    <row r="28" spans="2:75">
      <c r="B28" s="320"/>
      <c r="C28" s="1173"/>
      <c r="D28" s="320"/>
      <c r="E28" s="180"/>
      <c r="F28" s="181"/>
      <c r="G28" s="181"/>
      <c r="H28" s="182"/>
      <c r="I28" s="110"/>
      <c r="J28" s="180"/>
      <c r="K28" s="181"/>
      <c r="L28" s="181"/>
      <c r="M28" s="182"/>
      <c r="N28" s="110"/>
      <c r="O28" s="180"/>
      <c r="P28" s="181"/>
      <c r="Q28" s="181"/>
      <c r="R28" s="182"/>
      <c r="S28" s="110"/>
      <c r="T28" s="180"/>
      <c r="U28" s="181"/>
      <c r="V28" s="181"/>
      <c r="W28" s="182"/>
      <c r="X28" s="110"/>
      <c r="Y28" s="180"/>
      <c r="Z28" s="181"/>
      <c r="AA28" s="181"/>
      <c r="AB28" s="182"/>
      <c r="AC28" s="110"/>
      <c r="AD28" s="180"/>
      <c r="AE28" s="181"/>
      <c r="AF28" s="181"/>
      <c r="AG28" s="182"/>
      <c r="AH28" s="110"/>
      <c r="AI28" s="180"/>
      <c r="AJ28" s="181"/>
      <c r="AK28" s="181"/>
      <c r="AL28" s="182"/>
      <c r="AM28" s="110"/>
      <c r="AN28" s="180"/>
      <c r="AO28" s="181"/>
      <c r="AP28" s="181"/>
      <c r="AQ28" s="182"/>
      <c r="AR28" s="110"/>
      <c r="AS28" s="180"/>
      <c r="AT28" s="181"/>
      <c r="AU28" s="181"/>
      <c r="AV28" s="182"/>
      <c r="AW28" s="110"/>
      <c r="AX28" s="180"/>
      <c r="AY28" s="181"/>
      <c r="AZ28" s="181"/>
      <c r="BA28" s="182"/>
      <c r="BB28" s="110"/>
      <c r="BC28" s="180"/>
      <c r="BD28" s="181"/>
      <c r="BE28" s="181"/>
      <c r="BF28" s="182"/>
      <c r="BG28" s="110"/>
      <c r="BH28" s="180"/>
      <c r="BI28" s="181"/>
      <c r="BJ28" s="181"/>
      <c r="BK28" s="182"/>
      <c r="BL28" s="110"/>
      <c r="BM28" s="180"/>
      <c r="BN28" s="181"/>
      <c r="BO28" s="181"/>
      <c r="BP28" s="182"/>
      <c r="BQ28" s="110"/>
      <c r="BR28" s="1499"/>
      <c r="BS28" s="5"/>
      <c r="BV28" s="320"/>
      <c r="BW28" s="320"/>
    </row>
    <row r="29" spans="2:75">
      <c r="B29" s="320"/>
      <c r="C29" s="1174" t="s">
        <v>324</v>
      </c>
      <c r="D29" s="320"/>
      <c r="E29" s="174">
        <f>ETR!E32-Utility!E39-EWC!E28</f>
        <v>18.798999999999985</v>
      </c>
      <c r="F29" s="175">
        <f>ETR!F32-Utility!F39-EWC!F28</f>
        <v>28.201000000000011</v>
      </c>
      <c r="G29" s="175">
        <f>ETR!G32-Utility!G39-EWC!G28</f>
        <v>9.718999999999987</v>
      </c>
      <c r="H29" s="176">
        <f>ETR!H32-Utility!H39-EWC!H28</f>
        <v>-26.759000000000071</v>
      </c>
      <c r="I29" s="44">
        <f>ETR!I32-Utility!I39-EWC!I28</f>
        <v>29.959999999999994</v>
      </c>
      <c r="J29" s="174">
        <f>ETR!J32-Utility!J39-EWC!J28</f>
        <v>-2.1559999999999917</v>
      </c>
      <c r="K29" s="175">
        <f>ETR!K32-Utility!K39-EWC!K28</f>
        <v>-1.1410000000000018</v>
      </c>
      <c r="L29" s="175">
        <f>ETR!L32-Utility!L39-EWC!L28</f>
        <v>2.1299999999999839</v>
      </c>
      <c r="M29" s="176">
        <f>ETR!M32-Utility!M39-EWC!M28</f>
        <v>11.275999999999883</v>
      </c>
      <c r="N29" s="44">
        <f>ETR!N32-Utility!N39-EWC!N28</f>
        <v>10.108999999999881</v>
      </c>
      <c r="O29" s="174">
        <f>ETR!O32-Utility!O39-EWC!O28</f>
        <v>10.336999999999978</v>
      </c>
      <c r="P29" s="175">
        <f>ETR!P32-Utility!P39-EWC!P28</f>
        <v>10.087000000000014</v>
      </c>
      <c r="Q29" s="175">
        <f>ETR!Q32-Utility!Q39-EWC!Q28</f>
        <v>9.4259999999999913</v>
      </c>
      <c r="R29" s="176">
        <f>ETR!R32-Utility!R39-EWC!R28</f>
        <v>7.4039999999999928</v>
      </c>
      <c r="S29" s="44">
        <f>ETR!S32-Utility!S39-EWC!S28</f>
        <v>37.25399999999992</v>
      </c>
      <c r="T29" s="174">
        <f>ETR!T32-Utility!T39-EWC!T28</f>
        <v>12.123000000000015</v>
      </c>
      <c r="U29" s="175">
        <f>ETR!U32-Utility!U39-EWC!U28</f>
        <v>18.655000000000012</v>
      </c>
      <c r="V29" s="175">
        <f>ETR!V32-Utility!V39-EWC!V28</f>
        <v>22.376000000000037</v>
      </c>
      <c r="W29" s="176">
        <f>ETR!W32-Utility!W39-EWC!W28</f>
        <v>21.745000000000015</v>
      </c>
      <c r="X29" s="44">
        <f>ETR!X32-Utility!X39-EWC!X28</f>
        <v>74.898999999999972</v>
      </c>
      <c r="Y29" s="174">
        <f>ETR!Y32-Utility!Y39-EWC!Y28</f>
        <v>20.018000000000026</v>
      </c>
      <c r="Z29" s="175">
        <f>ETR!Z32-Utility!Z39-EWC!Z28</f>
        <v>20.416000000000004</v>
      </c>
      <c r="AA29" s="175">
        <f>ETR!AA32-Utility!AA39-EWC!AA28</f>
        <v>19.155000000000001</v>
      </c>
      <c r="AB29" s="176">
        <f>ETR!AB32-Utility!AB39-EWC!AB28</f>
        <v>18.951999999999988</v>
      </c>
      <c r="AC29" s="44">
        <f>ETR!AC32-Utility!AC39-EWC!AC28</f>
        <v>78.541000000000025</v>
      </c>
      <c r="AD29" s="174">
        <f>ETR!AD32-Utility!AD39-EWC!AD28</f>
        <v>19.000999999999983</v>
      </c>
      <c r="AE29" s="175">
        <f>ETR!AE32-Utility!AE39-EWC!AE28</f>
        <v>22.420999999999996</v>
      </c>
      <c r="AF29" s="175">
        <f>ETR!AF32-Utility!AF39-EWC!AF28</f>
        <v>19.590999999999987</v>
      </c>
      <c r="AG29" s="176">
        <f>ETR!AG32-Utility!AG39-EWC!AG28</f>
        <v>18.119000000000025</v>
      </c>
      <c r="AH29" s="44">
        <f>ETR!AH32-Utility!AH39-EWC!AH28</f>
        <v>79.132000000000019</v>
      </c>
      <c r="AI29" s="174">
        <f>ETR!AI32-Utility!AI39-EWC!AI28</f>
        <v>16.974999999999987</v>
      </c>
      <c r="AJ29" s="175">
        <f>ETR!AJ32-Utility!AJ39-EWC!AJ28</f>
        <v>16.993000000000002</v>
      </c>
      <c r="AK29" s="175">
        <f>ETR!AK32-Utility!AK39-EWC!AK28</f>
        <v>21.856999999999992</v>
      </c>
      <c r="AL29" s="176">
        <f>ETR!AL32-Utility!AL39-EWC!AL28</f>
        <v>17.723999999999979</v>
      </c>
      <c r="AM29" s="44">
        <f>ETR!AM32-Utility!AM39-EWC!AM28</f>
        <v>73.548999999999992</v>
      </c>
      <c r="AN29" s="174">
        <f>ETR!AN32-Utility!AN39-EWC!AN28</f>
        <v>19.729999999999997</v>
      </c>
      <c r="AO29" s="175">
        <f>ETR!AO32-Utility!AO39-EWC!AO28</f>
        <v>20.093999999999998</v>
      </c>
      <c r="AP29" s="175">
        <f>ETR!AP32-Utility!AP39-EWC!AP28</f>
        <v>22.207999999999974</v>
      </c>
      <c r="AQ29" s="176">
        <f>ETR!AQ32-Utility!AQ39-EWC!AQ28</f>
        <v>23.933999999999958</v>
      </c>
      <c r="AR29" s="44">
        <f>ETR!AR32-Utility!AR39-EWC!AR28</f>
        <v>85.965999999999951</v>
      </c>
      <c r="AS29" s="174">
        <f>ETR!AS32-Utility!AS39-EWC!AS28</f>
        <v>21.283999999999995</v>
      </c>
      <c r="AT29" s="175">
        <f>ETR!AT32-Utility!AT39-EWC!AT28</f>
        <v>22.087</v>
      </c>
      <c r="AU29" s="175">
        <f>ETR!AU32-Utility!AU39-EWC!AU28</f>
        <v>24.136999999999979</v>
      </c>
      <c r="AV29" s="176">
        <f>ETR!AV32-Utility!AV39-EWC!AV28</f>
        <v>23.820000000000086</v>
      </c>
      <c r="AW29" s="44">
        <f>ETR!AW32-Utility!AW39-EWC!AW28</f>
        <v>91.328000000000031</v>
      </c>
      <c r="AX29" s="174">
        <f>ETR!AX32-Utility!AX39-EWC!AX28</f>
        <v>23.252855000000004</v>
      </c>
      <c r="AY29" s="175">
        <f>ETR!AY32-Utility!AY39-EWC!AY28</f>
        <v>39.376705158758611</v>
      </c>
      <c r="AZ29" s="175">
        <f>ETR!AZ32-Utility!AZ39-EWC!AZ28</f>
        <v>35.329430479438962</v>
      </c>
      <c r="BA29" s="176">
        <f>ETR!BA32-Utility!BA39-EWC!BA28</f>
        <v>34.625011528687672</v>
      </c>
      <c r="BB29" s="107">
        <f>ETR!BB32-Utility!BB39-EWC!BB28</f>
        <v>132.58400216688514</v>
      </c>
      <c r="BC29" s="174">
        <f>ETR!BC32-Utility!BC39-EWC!BC28</f>
        <v>34.117387664778462</v>
      </c>
      <c r="BD29" s="175">
        <f>ETR!BD32-Utility!BD39-EWC!BD28</f>
        <v>41.270135244292604</v>
      </c>
      <c r="BE29" s="175">
        <f>ETR!BE32-Utility!BE39-EWC!BE28</f>
        <v>46.047928277252979</v>
      </c>
      <c r="BF29" s="176">
        <f>ETR!BF32-Utility!BF39-EWC!BF28</f>
        <v>41.918703307675621</v>
      </c>
      <c r="BG29" s="107">
        <f>ETR!BG32-Utility!BG39-EWC!BG28</f>
        <v>163.3541544939996</v>
      </c>
      <c r="BH29" s="174">
        <f>ETR!BH32-Utility!BH39-EWC!BH28</f>
        <v>41.471018222884844</v>
      </c>
      <c r="BI29" s="175">
        <f>ETR!BI32-Utility!BI39-EWC!BI28</f>
        <v>48.01475000777004</v>
      </c>
      <c r="BJ29" s="175">
        <f>ETR!BJ32-Utility!BJ39-EWC!BJ28</f>
        <v>52.535576570834131</v>
      </c>
      <c r="BK29" s="176">
        <f>ETR!BK32-Utility!BK39-EWC!BK28</f>
        <v>43.237268210913335</v>
      </c>
      <c r="BL29" s="107">
        <f>ETR!BL32-Utility!BL39-EWC!BL28</f>
        <v>185.25861301240229</v>
      </c>
      <c r="BM29" s="174">
        <f>ETR!BM32-Utility!BM39-EWC!BM28</f>
        <v>42.841447188586628</v>
      </c>
      <c r="BN29" s="175">
        <f>ETR!BN32-Utility!BN39-EWC!BN28</f>
        <v>49.608086389271776</v>
      </c>
      <c r="BO29" s="175">
        <f>ETR!BO32-Utility!BO39-EWC!BO28</f>
        <v>52.034830637692508</v>
      </c>
      <c r="BP29" s="176">
        <f>ETR!BP32-Utility!BP39-EWC!BP28</f>
        <v>45.835415618604856</v>
      </c>
      <c r="BQ29" s="107">
        <f>ETR!BQ32-Utility!BQ39-EWC!BQ28</f>
        <v>190.31977983415581</v>
      </c>
      <c r="BR29" s="1499"/>
      <c r="BS29" s="5"/>
      <c r="BU29" s="1768"/>
      <c r="BV29" s="320"/>
      <c r="BW29" s="320"/>
    </row>
    <row r="30" spans="2:75">
      <c r="B30" s="327"/>
      <c r="C30" s="1325" t="s">
        <v>232</v>
      </c>
      <c r="D30" s="327"/>
      <c r="E30" s="180">
        <f>E26-E29</f>
        <v>-69.010999999999797</v>
      </c>
      <c r="F30" s="181">
        <f t="shared" ref="F30:AE30" si="98">F26-F29</f>
        <v>-49.99299999999991</v>
      </c>
      <c r="G30" s="181">
        <f t="shared" si="98"/>
        <v>-53.040000000000525</v>
      </c>
      <c r="H30" s="182">
        <f t="shared" si="98"/>
        <v>-5.1019999999995633</v>
      </c>
      <c r="I30" s="110">
        <f t="shared" si="98"/>
        <v>-177.1460000000007</v>
      </c>
      <c r="J30" s="180">
        <f t="shared" si="98"/>
        <v>-44.522999999999428</v>
      </c>
      <c r="K30" s="181">
        <f t="shared" si="98"/>
        <v>-19.025000000000347</v>
      </c>
      <c r="L30" s="181">
        <f t="shared" si="98"/>
        <v>-46.443999999999804</v>
      </c>
      <c r="M30" s="182">
        <f t="shared" si="98"/>
        <v>-44.480000000001318</v>
      </c>
      <c r="N30" s="110">
        <f t="shared" si="98"/>
        <v>-154.47200000000089</v>
      </c>
      <c r="O30" s="180">
        <f t="shared" si="98"/>
        <v>-49.10299999999971</v>
      </c>
      <c r="P30" s="181">
        <f t="shared" si="98"/>
        <v>-50.105999999999966</v>
      </c>
      <c r="Q30" s="181">
        <f t="shared" si="98"/>
        <v>-50.788999999999831</v>
      </c>
      <c r="R30" s="182">
        <f t="shared" si="98"/>
        <v>-64.841000000000335</v>
      </c>
      <c r="S30" s="110">
        <f t="shared" si="98"/>
        <v>-214.83899999999909</v>
      </c>
      <c r="T30" s="180">
        <f t="shared" si="98"/>
        <v>-54.902000000000029</v>
      </c>
      <c r="U30" s="181">
        <f t="shared" si="98"/>
        <v>-63.216999999999786</v>
      </c>
      <c r="V30" s="181">
        <f t="shared" si="98"/>
        <v>-65.919999999999931</v>
      </c>
      <c r="W30" s="182">
        <f t="shared" si="98"/>
        <v>-28.162000000001356</v>
      </c>
      <c r="X30" s="110">
        <f t="shared" si="98"/>
        <v>-212.20100000000096</v>
      </c>
      <c r="Y30" s="180">
        <f t="shared" si="98"/>
        <v>-54.442000000000021</v>
      </c>
      <c r="Z30" s="181">
        <f t="shared" si="98"/>
        <v>-55.276999999999752</v>
      </c>
      <c r="AA30" s="181">
        <f t="shared" si="98"/>
        <v>-54.219000000000214</v>
      </c>
      <c r="AB30" s="182">
        <f>AB26-AB29</f>
        <v>-57.146000000002985</v>
      </c>
      <c r="AC30" s="110">
        <f>AC26-AC29</f>
        <v>-221.08400000000108</v>
      </c>
      <c r="AD30" s="180">
        <f t="shared" si="98"/>
        <v>-58.831999999999724</v>
      </c>
      <c r="AE30" s="181">
        <f t="shared" si="98"/>
        <v>-58.054000000000102</v>
      </c>
      <c r="AF30" s="181">
        <f t="shared" ref="AF30" si="99">AF26-AF29</f>
        <v>-60.395000000000202</v>
      </c>
      <c r="AG30" s="182">
        <f>AG26-AG29</f>
        <v>-63.018000000000939</v>
      </c>
      <c r="AH30" s="110">
        <f>AH26-AH29</f>
        <v>-240.29899999999924</v>
      </c>
      <c r="AI30" s="180">
        <f t="shared" ref="AI30:AK30" si="100">AI26-AI29</f>
        <v>-59.222999999999601</v>
      </c>
      <c r="AJ30" s="181">
        <f t="shared" si="100"/>
        <v>-61.484999999999836</v>
      </c>
      <c r="AK30" s="181">
        <f t="shared" si="100"/>
        <v>-63.185000000000159</v>
      </c>
      <c r="AL30" s="182">
        <f>AL26-AL29</f>
        <v>-71.048999999998685</v>
      </c>
      <c r="AM30" s="110">
        <f>AM26-AM29</f>
        <v>-254.9419999999995</v>
      </c>
      <c r="AN30" s="180">
        <f t="shared" ref="AN30:AO30" si="101">AN26-AN29</f>
        <v>-64.170000000000158</v>
      </c>
      <c r="AO30" s="181">
        <f t="shared" si="101"/>
        <v>-68.734000000000222</v>
      </c>
      <c r="AP30" s="181">
        <f t="shared" ref="AP30" si="102">AP26-AP29</f>
        <v>-66.610999999999862</v>
      </c>
      <c r="AQ30" s="182">
        <f>AQ26-AQ29</f>
        <v>-72.380999999998906</v>
      </c>
      <c r="AR30" s="110">
        <f>AR26-AR29</f>
        <v>-271.89599999999893</v>
      </c>
      <c r="AS30" s="180">
        <f t="shared" ref="AS30:AT30" si="103">AS26-AS29</f>
        <v>-66.766999999999939</v>
      </c>
      <c r="AT30" s="181">
        <f t="shared" si="103"/>
        <v>-69.918999999999684</v>
      </c>
      <c r="AU30" s="181">
        <f t="shared" ref="AU30" si="104">AU26-AU29</f>
        <v>-72.268999999999664</v>
      </c>
      <c r="AV30" s="182">
        <f>AV26-AV29</f>
        <v>-72.071000000001249</v>
      </c>
      <c r="AW30" s="110">
        <f>AW26-AW29</f>
        <v>-281.02599999999995</v>
      </c>
      <c r="AX30" s="180">
        <f t="shared" ref="AX30:BB30" si="105">AX26-AX29</f>
        <v>-68.735854999999944</v>
      </c>
      <c r="AY30" s="181">
        <f t="shared" si="105"/>
        <v>-87.208705158758292</v>
      </c>
      <c r="AZ30" s="181">
        <f t="shared" si="105"/>
        <v>-83.461430479438647</v>
      </c>
      <c r="BA30" s="182">
        <f t="shared" si="105"/>
        <v>-82.876011528688821</v>
      </c>
      <c r="BB30" s="110">
        <f t="shared" si="105"/>
        <v>-322.2820021668856</v>
      </c>
      <c r="BC30" s="180">
        <f t="shared" ref="BC30:BL30" si="106">BC26-BC29</f>
        <v>-79.600387664778395</v>
      </c>
      <c r="BD30" s="181">
        <f t="shared" si="106"/>
        <v>-89.102135244292285</v>
      </c>
      <c r="BE30" s="181">
        <f t="shared" si="106"/>
        <v>-94.179928277252657</v>
      </c>
      <c r="BF30" s="182">
        <f t="shared" si="106"/>
        <v>-90.16970330767677</v>
      </c>
      <c r="BG30" s="110">
        <f t="shared" si="106"/>
        <v>-353.05215449400004</v>
      </c>
      <c r="BH30" s="180">
        <f t="shared" si="106"/>
        <v>-86.954018222884784</v>
      </c>
      <c r="BI30" s="181">
        <f t="shared" si="106"/>
        <v>-95.846750007769714</v>
      </c>
      <c r="BJ30" s="181">
        <f t="shared" si="106"/>
        <v>-100.66757657083382</v>
      </c>
      <c r="BK30" s="182">
        <f t="shared" si="106"/>
        <v>-91.488268210914498</v>
      </c>
      <c r="BL30" s="110">
        <f t="shared" si="106"/>
        <v>-374.95661301240273</v>
      </c>
      <c r="BM30" s="180">
        <f t="shared" ref="BM30:BQ30" si="107">BM26-BM29</f>
        <v>-88.324447188586561</v>
      </c>
      <c r="BN30" s="181">
        <f t="shared" si="107"/>
        <v>-97.440086389271457</v>
      </c>
      <c r="BO30" s="181">
        <f t="shared" si="107"/>
        <v>-100.16683063769219</v>
      </c>
      <c r="BP30" s="182">
        <f t="shared" si="107"/>
        <v>-94.086415618606011</v>
      </c>
      <c r="BQ30" s="110">
        <f t="shared" si="107"/>
        <v>-380.01777983415627</v>
      </c>
      <c r="BR30" s="1499"/>
      <c r="BS30" s="5"/>
      <c r="BU30" s="1768"/>
      <c r="BV30" s="327"/>
      <c r="BW30" s="327"/>
    </row>
    <row r="31" spans="2:75">
      <c r="B31" s="320"/>
      <c r="C31" s="129"/>
      <c r="D31" s="320"/>
      <c r="E31" s="177"/>
      <c r="F31" s="178"/>
      <c r="G31" s="178"/>
      <c r="H31" s="179"/>
      <c r="I31" s="44"/>
      <c r="J31" s="177"/>
      <c r="K31" s="178"/>
      <c r="L31" s="178"/>
      <c r="M31" s="179"/>
      <c r="N31" s="44"/>
      <c r="O31" s="177"/>
      <c r="P31" s="178"/>
      <c r="Q31" s="178"/>
      <c r="R31" s="179"/>
      <c r="S31" s="44"/>
      <c r="T31" s="177"/>
      <c r="U31" s="178"/>
      <c r="V31" s="178"/>
      <c r="W31" s="179"/>
      <c r="X31" s="44"/>
      <c r="Y31" s="177"/>
      <c r="Z31" s="178"/>
      <c r="AA31" s="178"/>
      <c r="AB31" s="179"/>
      <c r="AC31" s="44"/>
      <c r="AD31" s="177"/>
      <c r="AE31" s="178"/>
      <c r="AF31" s="178"/>
      <c r="AG31" s="179"/>
      <c r="AH31" s="44"/>
      <c r="AI31" s="177"/>
      <c r="AJ31" s="178"/>
      <c r="AK31" s="178"/>
      <c r="AL31" s="179"/>
      <c r="AM31" s="44"/>
      <c r="AN31" s="177"/>
      <c r="AO31" s="178"/>
      <c r="AP31" s="178"/>
      <c r="AQ31" s="179"/>
      <c r="AR31" s="44"/>
      <c r="AS31" s="177"/>
      <c r="AT31" s="178"/>
      <c r="AU31" s="175"/>
      <c r="AV31" s="179"/>
      <c r="AW31" s="44"/>
      <c r="AX31" s="174"/>
      <c r="AY31" s="175"/>
      <c r="AZ31" s="175"/>
      <c r="BA31" s="176"/>
      <c r="BB31" s="107"/>
      <c r="BC31" s="174"/>
      <c r="BD31" s="175"/>
      <c r="BE31" s="175"/>
      <c r="BF31" s="176"/>
      <c r="BG31" s="107"/>
      <c r="BH31" s="174"/>
      <c r="BI31" s="175"/>
      <c r="BJ31" s="175"/>
      <c r="BK31" s="176"/>
      <c r="BL31" s="107"/>
      <c r="BM31" s="174"/>
      <c r="BN31" s="175"/>
      <c r="BO31" s="175"/>
      <c r="BP31" s="176"/>
      <c r="BQ31" s="107"/>
      <c r="BR31" s="1499"/>
      <c r="BS31" s="5"/>
      <c r="BV31" s="320"/>
      <c r="BW31" s="320"/>
    </row>
    <row r="32" spans="2:75">
      <c r="B32" s="320"/>
      <c r="C32" s="129" t="s">
        <v>328</v>
      </c>
      <c r="D32" s="320"/>
      <c r="E32" s="177">
        <f>ETR!E36-Utility!E43-EWC!E32</f>
        <v>-12.494</v>
      </c>
      <c r="F32" s="178">
        <f>ETR!F36-Utility!F43-EWC!F32</f>
        <v>-50.018000000000001</v>
      </c>
      <c r="G32" s="178">
        <f>ETR!G36-Utility!G43-EWC!G32</f>
        <v>-13.686000000000021</v>
      </c>
      <c r="H32" s="179">
        <f>ETR!H36-Utility!H43-EWC!H32</f>
        <v>-1.9989999999999668</v>
      </c>
      <c r="I32" s="44">
        <f>ETR!I36-Utility!I43-EWC!I32</f>
        <v>-78.197000000000003</v>
      </c>
      <c r="J32" s="177">
        <f>ETR!J36-Utility!J43-EWC!J32</f>
        <v>-29.825000000000003</v>
      </c>
      <c r="K32" s="178">
        <f>ETR!K36-Utility!K43-EWC!K32</f>
        <v>-4.4879999999999853</v>
      </c>
      <c r="L32" s="178">
        <f>ETR!L36-Utility!L43-EWC!L32</f>
        <v>-62.683000000000014</v>
      </c>
      <c r="M32" s="179">
        <f>ETR!M36-Utility!M43-EWC!M32</f>
        <v>-8.6409999999998774</v>
      </c>
      <c r="N32" s="44">
        <f>ETR!N36-Utility!N43-EWC!N32</f>
        <v>-105.63699999999994</v>
      </c>
      <c r="O32" s="177">
        <f>ETR!O36-Utility!O43-EWC!O32</f>
        <v>-10.894999999999996</v>
      </c>
      <c r="P32" s="178">
        <f>ETR!P36-Utility!P43-EWC!P32</f>
        <v>-52.406999999999996</v>
      </c>
      <c r="Q32" s="178">
        <f>ETR!Q36-Utility!Q43-EWC!Q32</f>
        <v>-24.536999999999992</v>
      </c>
      <c r="R32" s="179">
        <f>ETR!R36-Utility!R43-EWC!R32</f>
        <v>121.33500000000001</v>
      </c>
      <c r="S32" s="44">
        <f>ETR!S36-Utility!S43-EWC!S32</f>
        <v>33.496000000000009</v>
      </c>
      <c r="T32" s="177">
        <f>ETR!T36-Utility!T43-EWC!T32</f>
        <v>-9.4620000000000033</v>
      </c>
      <c r="U32" s="178">
        <f>ETR!U36-Utility!U43-EWC!U32</f>
        <v>-43.957999999999998</v>
      </c>
      <c r="V32" s="178">
        <f>ETR!V36-Utility!V43-EWC!V32</f>
        <v>10.681999999999981</v>
      </c>
      <c r="W32" s="179">
        <f>ETR!W36-Utility!W43-EWC!W32</f>
        <v>-37.076999999999984</v>
      </c>
      <c r="X32" s="44">
        <f>ETR!X36-Utility!X43-EWC!X32</f>
        <v>-79.814999999999998</v>
      </c>
      <c r="Y32" s="177">
        <f>ETR!Y36-Utility!Y43-EWC!Y32</f>
        <v>-11.475000000000001</v>
      </c>
      <c r="Z32" s="178">
        <f>ETR!Z36-Utility!Z43-EWC!Z32</f>
        <v>-11.246000000000002</v>
      </c>
      <c r="AA32" s="178">
        <f>ETR!AA36-Utility!AA43-EWC!AA32</f>
        <v>-38.926000000000002</v>
      </c>
      <c r="AB32" s="179">
        <f>ETR!AB36-Utility!AB43-EWC!AB32</f>
        <v>-0.81799999999996942</v>
      </c>
      <c r="AC32" s="44">
        <f>ETR!AC36-Utility!AC43-EWC!AC32</f>
        <v>-62.464999999999975</v>
      </c>
      <c r="AD32" s="177">
        <f>ETR!AD36-Utility!AD43-EWC!AD32</f>
        <v>-16.97499999999998</v>
      </c>
      <c r="AE32" s="178">
        <f>ETR!AE36-Utility!AE43-EWC!AE32</f>
        <v>-13.738000000000007</v>
      </c>
      <c r="AF32" s="178">
        <f>ETR!AF36-Utility!AF43-EWC!AF32</f>
        <v>-12.726000000000003</v>
      </c>
      <c r="AG32" s="179">
        <f>ETR!AG36-Utility!AG43-EWC!AG32</f>
        <v>-16.10000000000008</v>
      </c>
      <c r="AH32" s="44">
        <f>ETR!AH36-Utility!AH43-EWC!AH32</f>
        <v>-59.539000000000044</v>
      </c>
      <c r="AI32" s="177">
        <f>ETR!AI36-Utility!AI43-EWC!AI32</f>
        <v>-10.969999999999999</v>
      </c>
      <c r="AJ32" s="178">
        <f>ETR!AJ36-Utility!AJ43-EWC!AJ32</f>
        <v>-14.716999999999995</v>
      </c>
      <c r="AK32" s="178">
        <f>ETR!AK36-Utility!AK43-EWC!AK32</f>
        <v>-12.09699999999998</v>
      </c>
      <c r="AL32" s="179">
        <f>ETR!AL36-Utility!AL43-EWC!AL32</f>
        <v>-11.564999999999998</v>
      </c>
      <c r="AM32" s="44">
        <f>ETR!AM36-Utility!AM43-EWC!AM32</f>
        <v>-49.348999999999933</v>
      </c>
      <c r="AN32" s="177">
        <f>ETR!AN36-Utility!AN43-EWC!AN32</f>
        <v>-20.205000000000005</v>
      </c>
      <c r="AO32" s="178">
        <f>ETR!AO36-Utility!AO43-EWC!AO32</f>
        <v>-10.13300000000001</v>
      </c>
      <c r="AP32" s="178">
        <f>ETR!AP36-Utility!AP43-EWC!AP32</f>
        <v>-3.8120000000000029</v>
      </c>
      <c r="AQ32" s="179">
        <f>ETR!AQ36-Utility!AQ43-EWC!AQ32</f>
        <v>-15.233999999999924</v>
      </c>
      <c r="AR32" s="44">
        <f>ETR!AR36-Utility!AR43-EWC!AR32</f>
        <v>-49.384000000000015</v>
      </c>
      <c r="AS32" s="177">
        <f>ETR!AS36-Utility!AS43-EWC!AS32</f>
        <v>-12.391999999999996</v>
      </c>
      <c r="AT32" s="178">
        <f>ETR!AT36-Utility!AT43-EWC!AT32</f>
        <v>-13.019000000000005</v>
      </c>
      <c r="AU32" s="178">
        <f>ETR!AU36-Utility!AU43-EWC!AU32</f>
        <v>-14.415000000000003</v>
      </c>
      <c r="AV32" s="179">
        <f>ETR!AV36-Utility!AV43-EWC!AV32</f>
        <v>-65.739999999999895</v>
      </c>
      <c r="AW32" s="44">
        <f>ETR!AW36-Utility!AW43-EWC!AW32</f>
        <v>-105.56599999999995</v>
      </c>
      <c r="AX32" s="177">
        <f>ETR!AX36-Utility!AX43-EWC!AX32</f>
        <v>-18.58050089400551</v>
      </c>
      <c r="AY32" s="178">
        <f>ETR!AY36-Utility!AY43-EWC!AY32</f>
        <v>-26.06631866841099</v>
      </c>
      <c r="AZ32" s="178">
        <f>ETR!AZ36-Utility!AZ43-EWC!AZ32</f>
        <v>-24.853898275448213</v>
      </c>
      <c r="BA32" s="179">
        <f>ETR!BA36-Utility!BA43-EWC!BA32</f>
        <v>-24.32678326451915</v>
      </c>
      <c r="BB32" s="44">
        <f>ETR!BB36-Utility!BB43-EWC!BB32</f>
        <v>-93.827501102383778</v>
      </c>
      <c r="BC32" s="177">
        <f>ETR!BC36-Utility!BC43-EWC!BC32</f>
        <v>-23.983471307878361</v>
      </c>
      <c r="BD32" s="178">
        <f>ETR!BD36-Utility!BD43-EWC!BD32</f>
        <v>-26.704014868855197</v>
      </c>
      <c r="BE32" s="178">
        <f>ETR!BE36-Utility!BE43-EWC!BE32</f>
        <v>-28.03350500286178</v>
      </c>
      <c r="BF32" s="179">
        <f>ETR!BF36-Utility!BF43-EWC!BF32</f>
        <v>-26.075384187084836</v>
      </c>
      <c r="BG32" s="44">
        <f>ETR!BG36-Utility!BG43-EWC!BG32</f>
        <v>-104.79637536668007</v>
      </c>
      <c r="BH32" s="177">
        <f>ETR!BH36-Utility!BH43-EWC!BH32</f>
        <v>-28.333208442704603</v>
      </c>
      <c r="BI32" s="178">
        <f>ETR!BI36-Utility!BI43-EWC!BI32</f>
        <v>-28.610772382101921</v>
      </c>
      <c r="BJ32" s="178">
        <f>ETR!BJ36-Utility!BJ43-EWC!BJ32</f>
        <v>-29.75073412840305</v>
      </c>
      <c r="BK32" s="179">
        <f>ETR!BK36-Utility!BK43-EWC!BK32</f>
        <v>-26.004998997914456</v>
      </c>
      <c r="BL32" s="44">
        <f>ETR!BL36-Utility!BL43-EWC!BL32</f>
        <v>-112.69971395112402</v>
      </c>
      <c r="BM32" s="177">
        <f>ETR!BM36-Utility!BM43-EWC!BM32</f>
        <v>-26.140566052409334</v>
      </c>
      <c r="BN32" s="178">
        <f>ETR!BN36-Utility!BN43-EWC!BN32</f>
        <v>-29.266286524978376</v>
      </c>
      <c r="BO32" s="178">
        <f>ETR!BO36-Utility!BO43-EWC!BO32</f>
        <v>-29.425119847548959</v>
      </c>
      <c r="BP32" s="179">
        <f>ETR!BP36-Utility!BP43-EWC!BP32</f>
        <v>-27.122749337174856</v>
      </c>
      <c r="BQ32" s="44">
        <f>ETR!BQ36-Utility!BQ43-EWC!BQ32</f>
        <v>-111.9547217621114</v>
      </c>
      <c r="BR32" s="1499"/>
      <c r="BS32" s="5"/>
      <c r="BV32" s="320"/>
      <c r="BW32" s="320"/>
    </row>
    <row r="33" spans="1:75">
      <c r="B33" s="327"/>
      <c r="C33" s="1173" t="s">
        <v>233</v>
      </c>
      <c r="D33" s="327"/>
      <c r="E33" s="180">
        <f t="shared" ref="E33:P33" si="108">E30-E32</f>
        <v>-56.516999999999797</v>
      </c>
      <c r="F33" s="181">
        <f t="shared" si="108"/>
        <v>2.5000000000090949E-2</v>
      </c>
      <c r="G33" s="181">
        <f t="shared" si="108"/>
        <v>-39.354000000000504</v>
      </c>
      <c r="H33" s="182">
        <f t="shared" si="108"/>
        <v>-3.1029999999995965</v>
      </c>
      <c r="I33" s="110">
        <f t="shared" si="108"/>
        <v>-98.949000000000694</v>
      </c>
      <c r="J33" s="180">
        <f t="shared" si="108"/>
        <v>-14.697999999999425</v>
      </c>
      <c r="K33" s="181">
        <f t="shared" si="108"/>
        <v>-14.537000000000361</v>
      </c>
      <c r="L33" s="181">
        <f t="shared" si="108"/>
        <v>16.23900000000021</v>
      </c>
      <c r="M33" s="182">
        <f t="shared" si="108"/>
        <v>-35.839000000001441</v>
      </c>
      <c r="N33" s="110">
        <f t="shared" si="108"/>
        <v>-48.835000000000946</v>
      </c>
      <c r="O33" s="180">
        <f t="shared" si="108"/>
        <v>-38.207999999999714</v>
      </c>
      <c r="P33" s="181">
        <f t="shared" si="108"/>
        <v>2.3010000000000304</v>
      </c>
      <c r="Q33" s="181">
        <f t="shared" ref="Q33:AA33" si="109">Q30-Q32</f>
        <v>-26.251999999999839</v>
      </c>
      <c r="R33" s="182">
        <f t="shared" si="109"/>
        <v>-186.17600000000033</v>
      </c>
      <c r="S33" s="110">
        <f t="shared" si="109"/>
        <v>-248.3349999999991</v>
      </c>
      <c r="T33" s="180">
        <f t="shared" si="109"/>
        <v>-45.440000000000026</v>
      </c>
      <c r="U33" s="181">
        <f t="shared" si="109"/>
        <v>-19.258999999999787</v>
      </c>
      <c r="V33" s="181">
        <f t="shared" si="109"/>
        <v>-76.601999999999919</v>
      </c>
      <c r="W33" s="182">
        <f t="shared" si="109"/>
        <v>8.9149999999986278</v>
      </c>
      <c r="X33" s="110">
        <f t="shared" si="109"/>
        <v>-132.38600000000096</v>
      </c>
      <c r="Y33" s="180">
        <f t="shared" si="109"/>
        <v>-42.96700000000002</v>
      </c>
      <c r="Z33" s="181">
        <f t="shared" si="109"/>
        <v>-44.03099999999975</v>
      </c>
      <c r="AA33" s="181">
        <f t="shared" si="109"/>
        <v>-15.293000000000212</v>
      </c>
      <c r="AB33" s="182">
        <f>AB30-AB32</f>
        <v>-56.328000000003016</v>
      </c>
      <c r="AC33" s="110">
        <f>AC30-AC32</f>
        <v>-158.61900000000111</v>
      </c>
      <c r="AD33" s="180">
        <f>AD30-AD32</f>
        <v>-41.856999999999744</v>
      </c>
      <c r="AE33" s="181">
        <f>AE30-AE32</f>
        <v>-44.316000000000095</v>
      </c>
      <c r="AF33" s="181">
        <f t="shared" ref="AF33" si="110">AF30-AF32</f>
        <v>-47.669000000000196</v>
      </c>
      <c r="AG33" s="182">
        <f>AG30-AG32</f>
        <v>-46.918000000000859</v>
      </c>
      <c r="AH33" s="110">
        <f>AH30-AH32</f>
        <v>-180.7599999999992</v>
      </c>
      <c r="AI33" s="180">
        <f>AI30-AI32</f>
        <v>-48.252999999999602</v>
      </c>
      <c r="AJ33" s="181">
        <f>AJ30-AJ32</f>
        <v>-46.767999999999844</v>
      </c>
      <c r="AK33" s="181">
        <f t="shared" ref="AK33" si="111">AK30-AK32</f>
        <v>-51.088000000000179</v>
      </c>
      <c r="AL33" s="182">
        <f t="shared" ref="AL33:AR33" si="112">AL30-AL32</f>
        <v>-59.483999999998687</v>
      </c>
      <c r="AM33" s="110">
        <f t="shared" si="112"/>
        <v>-205.59299999999956</v>
      </c>
      <c r="AN33" s="180">
        <f t="shared" si="112"/>
        <v>-43.965000000000153</v>
      </c>
      <c r="AO33" s="181">
        <f t="shared" si="112"/>
        <v>-58.601000000000212</v>
      </c>
      <c r="AP33" s="181">
        <f t="shared" si="112"/>
        <v>-62.798999999999857</v>
      </c>
      <c r="AQ33" s="182">
        <f t="shared" si="112"/>
        <v>-57.146999999998982</v>
      </c>
      <c r="AR33" s="110">
        <f t="shared" si="112"/>
        <v>-222.51199999999892</v>
      </c>
      <c r="AS33" s="180">
        <f t="shared" ref="AS33:AT33" si="113">AS30-AS32</f>
        <v>-54.374999999999943</v>
      </c>
      <c r="AT33" s="181">
        <f t="shared" si="113"/>
        <v>-56.899999999999679</v>
      </c>
      <c r="AU33" s="181">
        <f t="shared" ref="AU33:AW33" si="114">AU30-AU32</f>
        <v>-57.853999999999658</v>
      </c>
      <c r="AV33" s="182">
        <f t="shared" si="114"/>
        <v>-6.3310000000013531</v>
      </c>
      <c r="AW33" s="110">
        <f t="shared" si="114"/>
        <v>-175.46</v>
      </c>
      <c r="AX33" s="180">
        <f t="shared" ref="AX33:BB33" si="115">AX30-AX32</f>
        <v>-50.155354105994434</v>
      </c>
      <c r="AY33" s="181">
        <f t="shared" si="115"/>
        <v>-61.142386490347306</v>
      </c>
      <c r="AZ33" s="181">
        <f t="shared" si="115"/>
        <v>-58.607532203990431</v>
      </c>
      <c r="BA33" s="182">
        <f t="shared" si="115"/>
        <v>-58.54922826416967</v>
      </c>
      <c r="BB33" s="110">
        <f t="shared" si="115"/>
        <v>-228.45450106450181</v>
      </c>
      <c r="BC33" s="180">
        <f t="shared" ref="BC33:BL33" si="116">BC30-BC32</f>
        <v>-55.616916356900035</v>
      </c>
      <c r="BD33" s="181">
        <f t="shared" si="116"/>
        <v>-62.398120375437088</v>
      </c>
      <c r="BE33" s="181">
        <f t="shared" si="116"/>
        <v>-66.146423274390884</v>
      </c>
      <c r="BF33" s="182">
        <f t="shared" si="116"/>
        <v>-64.094319120591933</v>
      </c>
      <c r="BG33" s="110">
        <f t="shared" si="116"/>
        <v>-248.25577912731995</v>
      </c>
      <c r="BH33" s="180">
        <f t="shared" si="116"/>
        <v>-58.620809780180181</v>
      </c>
      <c r="BI33" s="181">
        <f t="shared" si="116"/>
        <v>-67.2359776256678</v>
      </c>
      <c r="BJ33" s="181">
        <f t="shared" si="116"/>
        <v>-70.916842442430763</v>
      </c>
      <c r="BK33" s="182">
        <f t="shared" si="116"/>
        <v>-65.483269213000042</v>
      </c>
      <c r="BL33" s="110">
        <f t="shared" si="116"/>
        <v>-262.25689906127872</v>
      </c>
      <c r="BM33" s="180">
        <f t="shared" ref="BM33:BQ33" si="117">BM30-BM32</f>
        <v>-62.183881136177227</v>
      </c>
      <c r="BN33" s="181">
        <f t="shared" si="117"/>
        <v>-68.173799864293073</v>
      </c>
      <c r="BO33" s="181">
        <f t="shared" si="117"/>
        <v>-70.74171079014323</v>
      </c>
      <c r="BP33" s="182">
        <f t="shared" si="117"/>
        <v>-66.963666281431159</v>
      </c>
      <c r="BQ33" s="110">
        <f t="shared" si="117"/>
        <v>-268.0630580720449</v>
      </c>
      <c r="BR33" s="1499"/>
      <c r="BS33" s="5"/>
      <c r="BV33" s="327"/>
      <c r="BW33" s="327"/>
    </row>
    <row r="34" spans="1:75">
      <c r="B34" s="320"/>
      <c r="C34" s="129"/>
      <c r="D34" s="320"/>
      <c r="E34" s="177"/>
      <c r="F34" s="178"/>
      <c r="G34" s="178"/>
      <c r="H34" s="179"/>
      <c r="I34" s="44"/>
      <c r="J34" s="177"/>
      <c r="K34" s="178"/>
      <c r="L34" s="178"/>
      <c r="M34" s="179"/>
      <c r="N34" s="44"/>
      <c r="O34" s="177"/>
      <c r="P34" s="178"/>
      <c r="Q34" s="178"/>
      <c r="R34" s="179"/>
      <c r="S34" s="44"/>
      <c r="T34" s="177"/>
      <c r="U34" s="178"/>
      <c r="V34" s="178"/>
      <c r="W34" s="179"/>
      <c r="X34" s="44"/>
      <c r="Y34" s="177"/>
      <c r="Z34" s="178"/>
      <c r="AA34" s="178"/>
      <c r="AB34" s="179"/>
      <c r="AC34" s="44"/>
      <c r="AD34" s="177"/>
      <c r="AE34" s="178"/>
      <c r="AF34" s="178"/>
      <c r="AG34" s="179"/>
      <c r="AH34" s="44"/>
      <c r="AI34" s="177"/>
      <c r="AJ34" s="178"/>
      <c r="AK34" s="178"/>
      <c r="AL34" s="179"/>
      <c r="AM34" s="44"/>
      <c r="AN34" s="177"/>
      <c r="AO34" s="178"/>
      <c r="AP34" s="178"/>
      <c r="AQ34" s="179"/>
      <c r="AR34" s="44"/>
      <c r="AS34" s="177"/>
      <c r="AT34" s="178"/>
      <c r="AU34" s="175"/>
      <c r="AV34" s="179"/>
      <c r="AW34" s="44"/>
      <c r="AX34" s="174"/>
      <c r="AY34" s="175"/>
      <c r="AZ34" s="175"/>
      <c r="BA34" s="176"/>
      <c r="BB34" s="107"/>
      <c r="BC34" s="174"/>
      <c r="BD34" s="175"/>
      <c r="BE34" s="175"/>
      <c r="BF34" s="176"/>
      <c r="BG34" s="107"/>
      <c r="BH34" s="174"/>
      <c r="BI34" s="175"/>
      <c r="BJ34" s="175"/>
      <c r="BK34" s="176"/>
      <c r="BL34" s="107"/>
      <c r="BM34" s="174"/>
      <c r="BN34" s="175"/>
      <c r="BO34" s="175"/>
      <c r="BP34" s="176"/>
      <c r="BQ34" s="107"/>
      <c r="BR34" s="1496"/>
      <c r="BS34" s="107"/>
      <c r="BT34" s="107"/>
      <c r="BU34" s="320"/>
      <c r="BV34" s="320"/>
      <c r="BW34" s="320"/>
    </row>
    <row r="35" spans="1:75">
      <c r="B35" s="320"/>
      <c r="C35" s="129" t="s">
        <v>355</v>
      </c>
      <c r="D35" s="320"/>
      <c r="E35" s="177">
        <f>ETR!E39-Utility!E47-EWC!E35</f>
        <v>-0.66500000000000004</v>
      </c>
      <c r="F35" s="178">
        <f>ETR!F39-Utility!F47-EWC!F35</f>
        <v>-0.66600000000000037</v>
      </c>
      <c r="G35" s="178">
        <f>ETR!G39-Utility!G47-EWC!G35</f>
        <v>-0.66600000000000037</v>
      </c>
      <c r="H35" s="179">
        <f>ETR!H39-Utility!H47-EWC!H35</f>
        <v>1.9970000000000021</v>
      </c>
      <c r="I35" s="44">
        <f>ETR!I39-Utility!I47-EWC!I35</f>
        <v>0</v>
      </c>
      <c r="J35" s="177">
        <f>ETR!J39-Utility!J47-EWC!J35</f>
        <v>0</v>
      </c>
      <c r="K35" s="178">
        <f>ETR!K39-Utility!K47-EWC!K35</f>
        <v>0</v>
      </c>
      <c r="L35" s="178">
        <f>ETR!L39-Utility!L47-EWC!L35</f>
        <v>0</v>
      </c>
      <c r="M35" s="179">
        <f>ETR!M39-Utility!M47-EWC!M35</f>
        <v>0</v>
      </c>
      <c r="N35" s="44">
        <f>ETR!N39-Utility!N47-EWC!N35</f>
        <v>0</v>
      </c>
      <c r="O35" s="177">
        <f>ETR!O39-Utility!O47-EWC!O35</f>
        <v>0</v>
      </c>
      <c r="P35" s="178">
        <f>ETR!P39-Utility!P47-EWC!P35</f>
        <v>0</v>
      </c>
      <c r="Q35" s="178">
        <f>ETR!Q39-Utility!Q47-EWC!Q35</f>
        <v>0</v>
      </c>
      <c r="R35" s="179">
        <f>ETR!R39-Utility!R47-EWC!R35</f>
        <v>-0.35899999999999999</v>
      </c>
      <c r="S35" s="44">
        <f>ETR!S39-Utility!S47-EWC!S35</f>
        <v>-0.3589999999999991</v>
      </c>
      <c r="T35" s="177">
        <f>ETR!T39-Utility!T47-EWC!T35</f>
        <v>-0.61099999999999977</v>
      </c>
      <c r="U35" s="178">
        <f>ETR!U39-Utility!U47-EWC!U35</f>
        <v>-1.25</v>
      </c>
      <c r="V35" s="178">
        <f>ETR!V39-Utility!V47-EWC!V35</f>
        <v>-1.25</v>
      </c>
      <c r="W35" s="179">
        <f>ETR!W39-Utility!W47-EWC!W35</f>
        <v>-1.25</v>
      </c>
      <c r="X35" s="44">
        <f>ETR!X39-Utility!X47-EWC!X35</f>
        <v>-4.3610000000000007</v>
      </c>
      <c r="Y35" s="177">
        <f>ETR!Y39-Utility!Y47-EWC!Y35</f>
        <v>-1.25</v>
      </c>
      <c r="Z35" s="178">
        <f>ETR!Z39-Utility!Z47-EWC!Z35</f>
        <v>0</v>
      </c>
      <c r="AA35" s="178">
        <f>ETR!AA39-Utility!AA47-EWC!AA35</f>
        <v>0</v>
      </c>
      <c r="AB35" s="179">
        <f>ETR!AB39-Utility!AB47-EWC!AB35</f>
        <v>-1.0824674490095276E-15</v>
      </c>
      <c r="AC35" s="44">
        <f>ETR!AC39-Utility!AC47-EWC!AC35</f>
        <v>-1.2500000000000011</v>
      </c>
      <c r="AD35" s="177">
        <f>ETR!AD39-Utility!AD47-EWC!AD35</f>
        <v>0</v>
      </c>
      <c r="AE35" s="178">
        <f>ETR!AE39-Utility!AE47-EWC!AE35</f>
        <v>0</v>
      </c>
      <c r="AF35" s="178">
        <f>ETR!AF39-Utility!AF47-EWC!AF35</f>
        <v>0</v>
      </c>
      <c r="AG35" s="179">
        <f>ETR!AG39-Utility!AG47-EWC!AG35</f>
        <v>-3.9968028886505635E-15</v>
      </c>
      <c r="AH35" s="44">
        <f>ETR!AH39-Utility!AH47-EWC!AH35</f>
        <v>0</v>
      </c>
      <c r="AI35" s="177">
        <f>ETR!AI39-Utility!AI47-EWC!AI35</f>
        <v>0</v>
      </c>
      <c r="AJ35" s="178">
        <f>ETR!AJ39-Utility!AJ47-EWC!AJ35</f>
        <v>0</v>
      </c>
      <c r="AK35" s="178">
        <f>ETR!AK39-Utility!AK47-EWC!AK35</f>
        <v>0</v>
      </c>
      <c r="AL35" s="179">
        <f>ETR!AL39-Utility!AL47-EWC!AL35</f>
        <v>-1.3322676295501878E-15</v>
      </c>
      <c r="AM35" s="44">
        <f>ETR!AM39-Utility!AM47-EWC!AM35</f>
        <v>0</v>
      </c>
      <c r="AN35" s="177">
        <f>ETR!AN39-Utility!AN47-EWC!AN35</f>
        <v>0</v>
      </c>
      <c r="AO35" s="178">
        <f>ETR!AO39-Utility!AO47-EWC!AO35</f>
        <v>0</v>
      </c>
      <c r="AP35" s="178">
        <f>ETR!AP39-Utility!AP47-EWC!AP35</f>
        <v>0</v>
      </c>
      <c r="AQ35" s="179">
        <f>ETR!AQ39-Utility!AQ47-EWC!AQ35</f>
        <v>1.000000000000778E-3</v>
      </c>
      <c r="AR35" s="44">
        <f>ETR!AR39-Utility!AR47-EWC!AR35</f>
        <v>1.0000000000025544E-3</v>
      </c>
      <c r="AS35" s="177">
        <f>ETR!AS39-Utility!AS47-EWC!AS35</f>
        <v>0</v>
      </c>
      <c r="AT35" s="178">
        <f>ETR!AT39-Utility!AT47-EWC!AT35</f>
        <v>0</v>
      </c>
      <c r="AU35" s="198">
        <f>ETR!AU39-Utility!AU47-EWC!AU35</f>
        <v>0</v>
      </c>
      <c r="AV35" s="179">
        <f>ETR!AV39-Utility!AV47-EWC!AV35</f>
        <v>3.1086244689504383E-15</v>
      </c>
      <c r="AW35" s="44">
        <f>ETR!AW39-Utility!AW47-EWC!AW35</f>
        <v>0</v>
      </c>
      <c r="AX35" s="197">
        <f>AS35</f>
        <v>0</v>
      </c>
      <c r="AY35" s="198">
        <f>AT35</f>
        <v>0</v>
      </c>
      <c r="AZ35" s="198">
        <f>AU35</f>
        <v>0</v>
      </c>
      <c r="BA35" s="193">
        <f>AV35</f>
        <v>3.1086244689504383E-15</v>
      </c>
      <c r="BB35" s="107">
        <f>SUM(AX35:BA35)</f>
        <v>3.1086244689504383E-15</v>
      </c>
      <c r="BC35" s="197">
        <f>AX35</f>
        <v>0</v>
      </c>
      <c r="BD35" s="198">
        <f>AY35</f>
        <v>0</v>
      </c>
      <c r="BE35" s="198">
        <f>AZ35</f>
        <v>0</v>
      </c>
      <c r="BF35" s="193">
        <f>BA35</f>
        <v>3.1086244689504383E-15</v>
      </c>
      <c r="BG35" s="107">
        <f>SUM(BC35:BF35)</f>
        <v>3.1086244689504383E-15</v>
      </c>
      <c r="BH35" s="197">
        <f>BC35</f>
        <v>0</v>
      </c>
      <c r="BI35" s="198">
        <f>BD35</f>
        <v>0</v>
      </c>
      <c r="BJ35" s="198">
        <f>BE35</f>
        <v>0</v>
      </c>
      <c r="BK35" s="193">
        <f>BF35</f>
        <v>3.1086244689504383E-15</v>
      </c>
      <c r="BL35" s="107">
        <f>SUM(BH35:BK35)</f>
        <v>3.1086244689504383E-15</v>
      </c>
      <c r="BM35" s="197">
        <f>BH35</f>
        <v>0</v>
      </c>
      <c r="BN35" s="198">
        <f>BI35</f>
        <v>0</v>
      </c>
      <c r="BO35" s="198">
        <f>BJ35</f>
        <v>0</v>
      </c>
      <c r="BP35" s="193">
        <f>BK35</f>
        <v>3.1086244689504383E-15</v>
      </c>
      <c r="BQ35" s="107">
        <f>SUM(BM35:BP35)</f>
        <v>3.1086244689504383E-15</v>
      </c>
      <c r="BR35" s="1496"/>
      <c r="BS35" s="107"/>
      <c r="BT35" s="107"/>
      <c r="BU35" s="320"/>
      <c r="BV35" s="320"/>
      <c r="BW35" s="320"/>
    </row>
    <row r="36" spans="1:75">
      <c r="B36" s="320"/>
      <c r="C36" s="129"/>
      <c r="D36" s="320"/>
      <c r="E36" s="177"/>
      <c r="F36" s="178"/>
      <c r="G36" s="178"/>
      <c r="H36" s="179"/>
      <c r="I36" s="44"/>
      <c r="J36" s="177"/>
      <c r="K36" s="178"/>
      <c r="L36" s="178"/>
      <c r="M36" s="179"/>
      <c r="N36" s="44"/>
      <c r="O36" s="177"/>
      <c r="P36" s="178"/>
      <c r="Q36" s="178"/>
      <c r="R36" s="179"/>
      <c r="S36" s="44"/>
      <c r="T36" s="177"/>
      <c r="U36" s="178"/>
      <c r="V36" s="178"/>
      <c r="W36" s="179"/>
      <c r="X36" s="44"/>
      <c r="Y36" s="177"/>
      <c r="Z36" s="178"/>
      <c r="AA36" s="178"/>
      <c r="AB36" s="179"/>
      <c r="AC36" s="44"/>
      <c r="AD36" s="177"/>
      <c r="AE36" s="178"/>
      <c r="AF36" s="178"/>
      <c r="AG36" s="179"/>
      <c r="AH36" s="44"/>
      <c r="AI36" s="177"/>
      <c r="AJ36" s="178"/>
      <c r="AK36" s="178"/>
      <c r="AL36" s="179"/>
      <c r="AM36" s="44"/>
      <c r="AN36" s="177"/>
      <c r="AO36" s="178"/>
      <c r="AP36" s="178"/>
      <c r="AQ36" s="179"/>
      <c r="AR36" s="44"/>
      <c r="AS36" s="177"/>
      <c r="AT36" s="178"/>
      <c r="AU36" s="198"/>
      <c r="AV36" s="179"/>
      <c r="AW36" s="44"/>
      <c r="AX36" s="197"/>
      <c r="AY36" s="198"/>
      <c r="AZ36" s="198"/>
      <c r="BA36" s="193"/>
      <c r="BB36" s="107"/>
      <c r="BC36" s="197"/>
      <c r="BD36" s="198"/>
      <c r="BE36" s="198"/>
      <c r="BF36" s="193"/>
      <c r="BG36" s="107"/>
      <c r="BH36" s="197"/>
      <c r="BI36" s="198"/>
      <c r="BJ36" s="198"/>
      <c r="BK36" s="193"/>
      <c r="BL36" s="107"/>
      <c r="BM36" s="197"/>
      <c r="BN36" s="198"/>
      <c r="BO36" s="198"/>
      <c r="BP36" s="193"/>
      <c r="BQ36" s="107"/>
      <c r="BR36" s="1496"/>
      <c r="BS36" s="107"/>
      <c r="BT36" s="107"/>
      <c r="BU36" s="320"/>
      <c r="BV36" s="320"/>
      <c r="BW36" s="320"/>
    </row>
    <row r="37" spans="1:75">
      <c r="B37" s="327"/>
      <c r="C37" s="1173" t="s">
        <v>852</v>
      </c>
      <c r="D37" s="327"/>
      <c r="E37" s="180">
        <f t="shared" ref="E37:P37" si="118">E33+E35</f>
        <v>-57.181999999999796</v>
      </c>
      <c r="F37" s="181">
        <f t="shared" si="118"/>
        <v>-0.64099999999990942</v>
      </c>
      <c r="G37" s="181">
        <f t="shared" si="118"/>
        <v>-40.020000000000508</v>
      </c>
      <c r="H37" s="182">
        <f t="shared" si="118"/>
        <v>-1.1059999999995944</v>
      </c>
      <c r="I37" s="110">
        <f t="shared" si="118"/>
        <v>-98.949000000000694</v>
      </c>
      <c r="J37" s="180">
        <f t="shared" si="118"/>
        <v>-14.697999999999425</v>
      </c>
      <c r="K37" s="181">
        <f t="shared" si="118"/>
        <v>-14.537000000000361</v>
      </c>
      <c r="L37" s="181">
        <f t="shared" si="118"/>
        <v>16.23900000000021</v>
      </c>
      <c r="M37" s="182">
        <f t="shared" si="118"/>
        <v>-35.839000000001441</v>
      </c>
      <c r="N37" s="110">
        <f t="shared" si="118"/>
        <v>-48.835000000000946</v>
      </c>
      <c r="O37" s="180">
        <f t="shared" si="118"/>
        <v>-38.207999999999714</v>
      </c>
      <c r="P37" s="181">
        <f t="shared" si="118"/>
        <v>2.3010000000000304</v>
      </c>
      <c r="Q37" s="181">
        <f t="shared" ref="Q37:W37" si="119">Q33+Q35</f>
        <v>-26.251999999999839</v>
      </c>
      <c r="R37" s="182">
        <f t="shared" si="119"/>
        <v>-186.53500000000034</v>
      </c>
      <c r="S37" s="110">
        <f t="shared" si="119"/>
        <v>-248.69399999999911</v>
      </c>
      <c r="T37" s="180">
        <f t="shared" si="119"/>
        <v>-46.051000000000023</v>
      </c>
      <c r="U37" s="181">
        <f t="shared" si="119"/>
        <v>-20.508999999999787</v>
      </c>
      <c r="V37" s="181">
        <f t="shared" si="119"/>
        <v>-77.851999999999919</v>
      </c>
      <c r="W37" s="182">
        <f t="shared" si="119"/>
        <v>7.6649999999986278</v>
      </c>
      <c r="X37" s="110">
        <f t="shared" ref="X37:AC37" si="120">X33+X35</f>
        <v>-136.74700000000095</v>
      </c>
      <c r="Y37" s="180">
        <f t="shared" si="120"/>
        <v>-44.21700000000002</v>
      </c>
      <c r="Z37" s="181">
        <f t="shared" si="120"/>
        <v>-44.03099999999975</v>
      </c>
      <c r="AA37" s="181">
        <f t="shared" si="120"/>
        <v>-15.293000000000212</v>
      </c>
      <c r="AB37" s="182">
        <f t="shared" si="120"/>
        <v>-56.328000000003016</v>
      </c>
      <c r="AC37" s="110">
        <f t="shared" si="120"/>
        <v>-159.86900000000111</v>
      </c>
      <c r="AD37" s="180">
        <f>AD33+AD35</f>
        <v>-41.856999999999744</v>
      </c>
      <c r="AE37" s="181">
        <f>AE33+AE35</f>
        <v>-44.316000000000095</v>
      </c>
      <c r="AF37" s="181">
        <f t="shared" ref="AF37:AH37" si="121">AF33+AF35</f>
        <v>-47.669000000000196</v>
      </c>
      <c r="AG37" s="182">
        <f t="shared" si="121"/>
        <v>-46.918000000000866</v>
      </c>
      <c r="AH37" s="110">
        <f t="shared" si="121"/>
        <v>-180.7599999999992</v>
      </c>
      <c r="AI37" s="180">
        <f>AI33+AI35</f>
        <v>-48.252999999999602</v>
      </c>
      <c r="AJ37" s="181">
        <f>AJ33+AJ35</f>
        <v>-46.767999999999844</v>
      </c>
      <c r="AK37" s="181">
        <f t="shared" ref="AK37:AM37" si="122">AK33+AK35</f>
        <v>-51.088000000000179</v>
      </c>
      <c r="AL37" s="182">
        <f t="shared" si="122"/>
        <v>-59.483999999998687</v>
      </c>
      <c r="AM37" s="110">
        <f t="shared" si="122"/>
        <v>-205.59299999999956</v>
      </c>
      <c r="AN37" s="180">
        <f>AN33+AN35</f>
        <v>-43.965000000000153</v>
      </c>
      <c r="AO37" s="181">
        <f>AO33+AO35</f>
        <v>-58.601000000000212</v>
      </c>
      <c r="AP37" s="181">
        <f>AP33+AP35</f>
        <v>-62.798999999999857</v>
      </c>
      <c r="AQ37" s="182">
        <f t="shared" ref="AQ37:AR37" si="123">AQ33+AQ35</f>
        <v>-57.145999999998985</v>
      </c>
      <c r="AR37" s="110">
        <f t="shared" si="123"/>
        <v>-222.51099999999892</v>
      </c>
      <c r="AS37" s="180">
        <f>AS33+AS35</f>
        <v>-54.374999999999943</v>
      </c>
      <c r="AT37" s="181">
        <f>AT33+AT35</f>
        <v>-56.899999999999679</v>
      </c>
      <c r="AU37" s="181">
        <f t="shared" ref="AU37:AW37" si="124">AU33+AU35</f>
        <v>-57.853999999999658</v>
      </c>
      <c r="AV37" s="182">
        <f t="shared" si="124"/>
        <v>-6.3310000000013495</v>
      </c>
      <c r="AW37" s="110">
        <f t="shared" si="124"/>
        <v>-175.46</v>
      </c>
      <c r="AX37" s="180">
        <f t="shared" ref="AX37:BB37" si="125">AX33+AX35</f>
        <v>-50.155354105994434</v>
      </c>
      <c r="AY37" s="181">
        <f t="shared" si="125"/>
        <v>-61.142386490347306</v>
      </c>
      <c r="AZ37" s="181">
        <f t="shared" si="125"/>
        <v>-58.607532203990431</v>
      </c>
      <c r="BA37" s="182">
        <f t="shared" si="125"/>
        <v>-58.54922826416967</v>
      </c>
      <c r="BB37" s="110">
        <f t="shared" si="125"/>
        <v>-228.45450106450181</v>
      </c>
      <c r="BC37" s="180">
        <f t="shared" ref="BC37:BL37" si="126">BC33+BC35</f>
        <v>-55.616916356900035</v>
      </c>
      <c r="BD37" s="181">
        <f t="shared" si="126"/>
        <v>-62.398120375437088</v>
      </c>
      <c r="BE37" s="181">
        <f t="shared" si="126"/>
        <v>-66.146423274390884</v>
      </c>
      <c r="BF37" s="182">
        <f t="shared" si="126"/>
        <v>-64.094319120591933</v>
      </c>
      <c r="BG37" s="110">
        <f t="shared" si="126"/>
        <v>-248.25577912731995</v>
      </c>
      <c r="BH37" s="180">
        <f t="shared" si="126"/>
        <v>-58.620809780180181</v>
      </c>
      <c r="BI37" s="181">
        <f t="shared" si="126"/>
        <v>-67.2359776256678</v>
      </c>
      <c r="BJ37" s="181">
        <f t="shared" si="126"/>
        <v>-70.916842442430763</v>
      </c>
      <c r="BK37" s="182">
        <f t="shared" si="126"/>
        <v>-65.483269213000042</v>
      </c>
      <c r="BL37" s="110">
        <f t="shared" si="126"/>
        <v>-262.25689906127872</v>
      </c>
      <c r="BM37" s="180">
        <f t="shared" ref="BM37:BQ37" si="127">BM33+BM35</f>
        <v>-62.183881136177227</v>
      </c>
      <c r="BN37" s="181">
        <f t="shared" si="127"/>
        <v>-68.173799864293073</v>
      </c>
      <c r="BO37" s="181">
        <f t="shared" si="127"/>
        <v>-70.74171079014323</v>
      </c>
      <c r="BP37" s="182">
        <f t="shared" si="127"/>
        <v>-66.963666281431159</v>
      </c>
      <c r="BQ37" s="110">
        <f t="shared" si="127"/>
        <v>-268.0630580720449</v>
      </c>
      <c r="BR37" s="939"/>
      <c r="BS37" s="110"/>
      <c r="BT37" s="110"/>
      <c r="BU37" s="327"/>
      <c r="BV37" s="327"/>
      <c r="BW37" s="327"/>
    </row>
    <row r="38" spans="1:75">
      <c r="B38" s="331"/>
      <c r="C38" s="1174" t="s">
        <v>235</v>
      </c>
      <c r="D38" s="331"/>
      <c r="E38" s="177">
        <f>ETR!E42-Utility!E50-EWC!E38</f>
        <v>10.6</v>
      </c>
      <c r="F38" s="178">
        <f>ETR!F42-Utility!F50-EWC!F38</f>
        <v>2.0999999999999996</v>
      </c>
      <c r="G38" s="178">
        <f>ETR!G42-Utility!G50-EWC!G38</f>
        <v>5.1999999999999993</v>
      </c>
      <c r="H38" s="179">
        <f>ETR!H42-Utility!H50-EWC!H38</f>
        <v>9.1000000000000014</v>
      </c>
      <c r="I38" s="44">
        <f>ETR!I42-Utility!I50-EWC!I38</f>
        <v>27</v>
      </c>
      <c r="J38" s="177">
        <f>ETR!J42-Utility!J50-EWC!J38</f>
        <v>-14.399999999999999</v>
      </c>
      <c r="K38" s="178">
        <f>ETR!K42-Utility!K50-EWC!K38</f>
        <v>-4</v>
      </c>
      <c r="L38" s="178">
        <f>ETR!L42-Utility!L50-EWC!L38</f>
        <v>0</v>
      </c>
      <c r="M38" s="179">
        <f>ETR!M42-Utility!M50-EWC!M38</f>
        <v>-9.9999999999994316E-2</v>
      </c>
      <c r="N38" s="44">
        <f>ETR!N42-Utility!N50-EWC!N38</f>
        <v>-18.5</v>
      </c>
      <c r="O38" s="177">
        <f>ETR!O42-Utility!O50-EWC!O38</f>
        <v>0</v>
      </c>
      <c r="P38" s="178">
        <f>ETR!P42-Utility!P50-EWC!P38</f>
        <v>0</v>
      </c>
      <c r="Q38" s="178">
        <f>ETR!Q42-Utility!Q50-EWC!Q38</f>
        <v>0</v>
      </c>
      <c r="R38" s="179">
        <f>ETR!R42-Utility!R50-EWC!R38</f>
        <v>13</v>
      </c>
      <c r="S38" s="44">
        <f>ETR!S42-Utility!S50-EWC!S38</f>
        <v>13</v>
      </c>
      <c r="T38" s="177">
        <f>ETR!T42-Utility!T50-EWC!T38</f>
        <v>1.4000000000000057</v>
      </c>
      <c r="U38" s="178">
        <f>ETR!U42-Utility!U50-EWC!U38</f>
        <v>-0.30000000000000071</v>
      </c>
      <c r="V38" s="178">
        <f>ETR!V42-Utility!V50-EWC!V38</f>
        <v>0</v>
      </c>
      <c r="W38" s="179">
        <f>ETR!W42-Utility!W50-EWC!W38</f>
        <v>-9.9999999999980105E-2</v>
      </c>
      <c r="X38" s="44">
        <f>ETR!X42-Utility!X50-EWC!X38</f>
        <v>1.0000000000000284</v>
      </c>
      <c r="Y38" s="177">
        <f>ETR!Y42-Utility!Y50-EWC!Y38</f>
        <v>0</v>
      </c>
      <c r="Z38" s="178">
        <f>ETR!Z42-Utility!Z50-EWC!Z38</f>
        <v>0</v>
      </c>
      <c r="AA38" s="178">
        <f>ETR!AA42-Utility!AA50-EWC!AA38</f>
        <v>0</v>
      </c>
      <c r="AB38" s="179">
        <f>ETR!AB42-Utility!AB50-EWC!AB38</f>
        <v>-3.6000000000000227</v>
      </c>
      <c r="AC38" s="44">
        <f>ETR!AC42-Utility!AC50-EWC!AC38</f>
        <v>-3.5999999999999943</v>
      </c>
      <c r="AD38" s="177">
        <f>ETR!AD42-Utility!AD50-EWC!AD38</f>
        <v>0</v>
      </c>
      <c r="AE38" s="178">
        <f>ETR!AE42-Utility!AE50-EWC!AE38</f>
        <v>0</v>
      </c>
      <c r="AF38" s="178">
        <f>ETR!AF42-Utility!AF50-EWC!AF38</f>
        <v>0</v>
      </c>
      <c r="AG38" s="179">
        <f>ETR!AG42-Utility!AG50-EWC!AG38</f>
        <v>0</v>
      </c>
      <c r="AH38" s="44">
        <f>ETR!AH42-Utility!AH50-EWC!AH38</f>
        <v>0</v>
      </c>
      <c r="AI38" s="177">
        <f>ETR!AI42-Utility!AI50-EWC!AI38</f>
        <v>0</v>
      </c>
      <c r="AJ38" s="178">
        <f>ETR!AJ42-Utility!AJ50-EWC!AJ38</f>
        <v>0</v>
      </c>
      <c r="AK38" s="178">
        <f>ETR!AK42-Utility!AK50-EWC!AK38</f>
        <v>0</v>
      </c>
      <c r="AL38" s="179">
        <f>ETR!AL42-Utility!AL50-EWC!AL38</f>
        <v>-9.9999999999909051E-2</v>
      </c>
      <c r="AM38" s="44">
        <f>ETR!AM42-Utility!AM50-EWC!AM38</f>
        <v>-9.9999999999909051E-2</v>
      </c>
      <c r="AN38" s="177">
        <f>ETR!AN42-Utility!AN50-EWC!AN38</f>
        <v>0</v>
      </c>
      <c r="AO38" s="178">
        <f>ETR!AO42-Utility!AO50-EWC!AO38</f>
        <v>0</v>
      </c>
      <c r="AP38" s="178">
        <f>ETR!AP42-Utility!AP50-EWC!AP38</f>
        <v>0</v>
      </c>
      <c r="AQ38" s="179">
        <f>ETR!AQ42-Utility!AQ50-EWC!AQ38</f>
        <v>0</v>
      </c>
      <c r="AR38" s="44">
        <f>ETR!AR42-Utility!AR50-EWC!AR38</f>
        <v>0</v>
      </c>
      <c r="AS38" s="177">
        <f>ETR!AS42-Utility!AS50-EWC!AS38</f>
        <v>0</v>
      </c>
      <c r="AT38" s="178">
        <f>ETR!AT42-Utility!AT50-EWC!AT38</f>
        <v>0</v>
      </c>
      <c r="AU38" s="428">
        <f>ETR!AU42-Utility!AU50-EWC!AU38</f>
        <v>0</v>
      </c>
      <c r="AV38" s="179">
        <f>ETR!AV42-Utility!AV50-EWC!AV38</f>
        <v>-52.200000000000102</v>
      </c>
      <c r="AW38" s="44">
        <f>ETR!AW42-Utility!AW50-EWC!AW38</f>
        <v>-52.200000000000045</v>
      </c>
      <c r="AX38" s="427">
        <v>0</v>
      </c>
      <c r="AY38" s="428">
        <v>0</v>
      </c>
      <c r="AZ38" s="428">
        <v>0</v>
      </c>
      <c r="BA38" s="429">
        <v>0</v>
      </c>
      <c r="BB38" s="107">
        <f>SUM(AX38:BA38)</f>
        <v>0</v>
      </c>
      <c r="BC38" s="427">
        <v>0</v>
      </c>
      <c r="BD38" s="428">
        <v>0</v>
      </c>
      <c r="BE38" s="428">
        <v>0</v>
      </c>
      <c r="BF38" s="429">
        <v>0</v>
      </c>
      <c r="BG38" s="107">
        <f>SUM(BC38:BF38)</f>
        <v>0</v>
      </c>
      <c r="BH38" s="427">
        <v>0</v>
      </c>
      <c r="BI38" s="428">
        <v>0</v>
      </c>
      <c r="BJ38" s="428">
        <v>0</v>
      </c>
      <c r="BK38" s="429">
        <v>0</v>
      </c>
      <c r="BL38" s="107">
        <f>SUM(BH38:BK38)</f>
        <v>0</v>
      </c>
      <c r="BM38" s="427">
        <v>0</v>
      </c>
      <c r="BN38" s="428">
        <v>0</v>
      </c>
      <c r="BO38" s="428">
        <v>0</v>
      </c>
      <c r="BP38" s="429">
        <v>0</v>
      </c>
      <c r="BQ38" s="107">
        <f>SUM(BM38:BP38)</f>
        <v>0</v>
      </c>
      <c r="BR38" s="938"/>
      <c r="BS38" s="44"/>
      <c r="BT38" s="44"/>
      <c r="BU38" s="331"/>
      <c r="BV38" s="331"/>
      <c r="BW38" s="331"/>
    </row>
    <row r="39" spans="1:75">
      <c r="B39" s="356"/>
      <c r="C39" s="1175" t="s">
        <v>863</v>
      </c>
      <c r="D39" s="312"/>
      <c r="E39" s="180">
        <f t="shared" ref="E39:P39" si="128">E37+E38</f>
        <v>-46.581999999999795</v>
      </c>
      <c r="F39" s="181">
        <f t="shared" si="128"/>
        <v>1.4590000000000902</v>
      </c>
      <c r="G39" s="181">
        <f t="shared" si="128"/>
        <v>-34.820000000000505</v>
      </c>
      <c r="H39" s="182">
        <f t="shared" si="128"/>
        <v>7.9940000000004066</v>
      </c>
      <c r="I39" s="110">
        <f t="shared" si="128"/>
        <v>-71.949000000000694</v>
      </c>
      <c r="J39" s="180">
        <f t="shared" si="128"/>
        <v>-29.097999999999423</v>
      </c>
      <c r="K39" s="181">
        <f t="shared" si="128"/>
        <v>-18.537000000000361</v>
      </c>
      <c r="L39" s="181">
        <f t="shared" si="128"/>
        <v>16.23900000000021</v>
      </c>
      <c r="M39" s="182">
        <f t="shared" si="128"/>
        <v>-35.939000000001435</v>
      </c>
      <c r="N39" s="110">
        <f t="shared" si="128"/>
        <v>-67.335000000000946</v>
      </c>
      <c r="O39" s="180">
        <f t="shared" si="128"/>
        <v>-38.207999999999714</v>
      </c>
      <c r="P39" s="181">
        <f t="shared" si="128"/>
        <v>2.3010000000000304</v>
      </c>
      <c r="Q39" s="181">
        <f t="shared" ref="Q39:AA39" si="129">Q37+Q38</f>
        <v>-26.251999999999839</v>
      </c>
      <c r="R39" s="182">
        <f t="shared" si="129"/>
        <v>-173.53500000000034</v>
      </c>
      <c r="S39" s="110">
        <f t="shared" si="129"/>
        <v>-235.69399999999911</v>
      </c>
      <c r="T39" s="180">
        <f t="shared" si="129"/>
        <v>-44.651000000000018</v>
      </c>
      <c r="U39" s="181">
        <f t="shared" si="129"/>
        <v>-20.808999999999788</v>
      </c>
      <c r="V39" s="181">
        <f t="shared" si="129"/>
        <v>-77.851999999999919</v>
      </c>
      <c r="W39" s="182">
        <f t="shared" si="129"/>
        <v>7.5649999999986477</v>
      </c>
      <c r="X39" s="110">
        <f t="shared" si="129"/>
        <v>-135.74700000000092</v>
      </c>
      <c r="Y39" s="180">
        <f t="shared" si="129"/>
        <v>-44.21700000000002</v>
      </c>
      <c r="Z39" s="181">
        <f t="shared" si="129"/>
        <v>-44.03099999999975</v>
      </c>
      <c r="AA39" s="181">
        <f t="shared" si="129"/>
        <v>-15.293000000000212</v>
      </c>
      <c r="AB39" s="182">
        <f>AB37+AB38</f>
        <v>-59.928000000003038</v>
      </c>
      <c r="AC39" s="110">
        <f>AC37+AC38</f>
        <v>-163.4690000000011</v>
      </c>
      <c r="AD39" s="180">
        <f>AD37+AD38</f>
        <v>-41.856999999999744</v>
      </c>
      <c r="AE39" s="181">
        <f>AE37+AE38</f>
        <v>-44.316000000000095</v>
      </c>
      <c r="AF39" s="181">
        <f t="shared" ref="AF39" si="130">AF37+AF38</f>
        <v>-47.669000000000196</v>
      </c>
      <c r="AG39" s="182">
        <f>AG37+AG38</f>
        <v>-46.918000000000866</v>
      </c>
      <c r="AH39" s="110">
        <f>AH37+AH38</f>
        <v>-180.7599999999992</v>
      </c>
      <c r="AI39" s="180">
        <f>AI37+AI38</f>
        <v>-48.252999999999602</v>
      </c>
      <c r="AJ39" s="181">
        <f>AJ37+AJ38</f>
        <v>-46.767999999999844</v>
      </c>
      <c r="AK39" s="181">
        <f t="shared" ref="AK39" si="131">AK37+AK38</f>
        <v>-51.088000000000179</v>
      </c>
      <c r="AL39" s="182">
        <f t="shared" ref="AL39:AR39" si="132">AL37+AL38</f>
        <v>-59.583999999998596</v>
      </c>
      <c r="AM39" s="110">
        <f t="shared" si="132"/>
        <v>-205.69299999999947</v>
      </c>
      <c r="AN39" s="180">
        <f t="shared" si="132"/>
        <v>-43.965000000000153</v>
      </c>
      <c r="AO39" s="181">
        <f t="shared" si="132"/>
        <v>-58.601000000000212</v>
      </c>
      <c r="AP39" s="181">
        <f t="shared" si="132"/>
        <v>-62.798999999999857</v>
      </c>
      <c r="AQ39" s="182">
        <f t="shared" si="132"/>
        <v>-57.145999999998985</v>
      </c>
      <c r="AR39" s="110">
        <f t="shared" si="132"/>
        <v>-222.51099999999892</v>
      </c>
      <c r="AS39" s="180">
        <f t="shared" ref="AS39:AT39" si="133">AS37+AS38</f>
        <v>-54.374999999999943</v>
      </c>
      <c r="AT39" s="181">
        <f t="shared" si="133"/>
        <v>-56.899999999999679</v>
      </c>
      <c r="AU39" s="246">
        <f t="shared" ref="AU39:AW39" si="134">AU37+AU38</f>
        <v>-57.853999999999658</v>
      </c>
      <c r="AV39" s="182">
        <f t="shared" si="134"/>
        <v>-58.531000000001455</v>
      </c>
      <c r="AW39" s="110">
        <f t="shared" si="134"/>
        <v>-227.66000000000005</v>
      </c>
      <c r="AX39" s="248">
        <f t="shared" ref="AX39:BB39" si="135">AX37+AX38</f>
        <v>-50.155354105994434</v>
      </c>
      <c r="AY39" s="246">
        <f t="shared" si="135"/>
        <v>-61.142386490347306</v>
      </c>
      <c r="AZ39" s="246">
        <f t="shared" si="135"/>
        <v>-58.607532203990431</v>
      </c>
      <c r="BA39" s="247">
        <f t="shared" si="135"/>
        <v>-58.54922826416967</v>
      </c>
      <c r="BB39" s="245">
        <f t="shared" si="135"/>
        <v>-228.45450106450181</v>
      </c>
      <c r="BC39" s="248">
        <f t="shared" ref="BC39:BL39" si="136">BC37+BC38</f>
        <v>-55.616916356900035</v>
      </c>
      <c r="BD39" s="246">
        <f t="shared" si="136"/>
        <v>-62.398120375437088</v>
      </c>
      <c r="BE39" s="246">
        <f t="shared" si="136"/>
        <v>-66.146423274390884</v>
      </c>
      <c r="BF39" s="247">
        <f t="shared" si="136"/>
        <v>-64.094319120591933</v>
      </c>
      <c r="BG39" s="245">
        <f t="shared" si="136"/>
        <v>-248.25577912731995</v>
      </c>
      <c r="BH39" s="248">
        <f t="shared" si="136"/>
        <v>-58.620809780180181</v>
      </c>
      <c r="BI39" s="246">
        <f t="shared" si="136"/>
        <v>-67.2359776256678</v>
      </c>
      <c r="BJ39" s="246">
        <f t="shared" si="136"/>
        <v>-70.916842442430763</v>
      </c>
      <c r="BK39" s="247">
        <f t="shared" si="136"/>
        <v>-65.483269213000042</v>
      </c>
      <c r="BL39" s="245">
        <f t="shared" si="136"/>
        <v>-262.25689906127872</v>
      </c>
      <c r="BM39" s="248">
        <f t="shared" ref="BM39:BQ39" si="137">BM37+BM38</f>
        <v>-62.183881136177227</v>
      </c>
      <c r="BN39" s="246">
        <f t="shared" si="137"/>
        <v>-68.173799864293073</v>
      </c>
      <c r="BO39" s="246">
        <f t="shared" si="137"/>
        <v>-70.74171079014323</v>
      </c>
      <c r="BP39" s="247">
        <f t="shared" si="137"/>
        <v>-66.963666281431159</v>
      </c>
      <c r="BQ39" s="245">
        <f t="shared" si="137"/>
        <v>-268.0630580720449</v>
      </c>
      <c r="BR39" s="1544"/>
      <c r="BS39" s="244"/>
      <c r="BT39" s="244"/>
      <c r="BU39" s="311"/>
      <c r="BV39" s="311"/>
      <c r="BW39" s="311"/>
    </row>
    <row r="40" spans="1:75">
      <c r="B40" s="320"/>
      <c r="C40" s="1173"/>
      <c r="D40" s="320"/>
      <c r="E40" s="174"/>
      <c r="F40" s="175"/>
      <c r="G40" s="175"/>
      <c r="H40" s="176"/>
      <c r="I40" s="107"/>
      <c r="J40" s="174"/>
      <c r="K40" s="175"/>
      <c r="L40" s="175"/>
      <c r="M40" s="176"/>
      <c r="N40" s="107"/>
      <c r="O40" s="174"/>
      <c r="P40" s="175"/>
      <c r="Q40" s="175"/>
      <c r="R40" s="176"/>
      <c r="S40" s="107"/>
      <c r="T40" s="174"/>
      <c r="U40" s="175"/>
      <c r="V40" s="175"/>
      <c r="W40" s="176"/>
      <c r="X40" s="107"/>
      <c r="Y40" s="174"/>
      <c r="Z40" s="175"/>
      <c r="AA40" s="175"/>
      <c r="AB40" s="176"/>
      <c r="AC40" s="107"/>
      <c r="AD40" s="174"/>
      <c r="AE40" s="175"/>
      <c r="AF40" s="175"/>
      <c r="AG40" s="176"/>
      <c r="AH40" s="107"/>
      <c r="AI40" s="174"/>
      <c r="AJ40" s="175"/>
      <c r="AK40" s="175"/>
      <c r="AL40" s="176"/>
      <c r="AM40" s="107"/>
      <c r="AN40" s="174"/>
      <c r="AO40" s="175"/>
      <c r="AP40" s="175"/>
      <c r="AQ40" s="176"/>
      <c r="AR40" s="107"/>
      <c r="AS40" s="174"/>
      <c r="AT40" s="175"/>
      <c r="AU40" s="175"/>
      <c r="AV40" s="176"/>
      <c r="AW40" s="107"/>
      <c r="AX40" s="174"/>
      <c r="AY40" s="175"/>
      <c r="AZ40" s="175"/>
      <c r="BA40" s="176"/>
      <c r="BB40" s="107"/>
      <c r="BC40" s="174"/>
      <c r="BD40" s="175"/>
      <c r="BE40" s="175"/>
      <c r="BF40" s="176"/>
      <c r="BG40" s="107"/>
      <c r="BH40" s="174"/>
      <c r="BI40" s="175"/>
      <c r="BJ40" s="175"/>
      <c r="BK40" s="176"/>
      <c r="BL40" s="107"/>
      <c r="BM40" s="174"/>
      <c r="BN40" s="175"/>
      <c r="BO40" s="175"/>
      <c r="BP40" s="176"/>
      <c r="BQ40" s="107"/>
      <c r="BR40" s="1496"/>
      <c r="BS40" s="107"/>
      <c r="BT40" s="107"/>
      <c r="BU40" s="320"/>
      <c r="BV40" s="320"/>
      <c r="BW40" s="320"/>
    </row>
    <row r="41" spans="1:75">
      <c r="B41" s="356"/>
      <c r="C41" s="1197" t="s">
        <v>356</v>
      </c>
      <c r="D41" s="356"/>
      <c r="E41" s="197">
        <f>+ETR!E46</f>
        <v>192.59360100000001</v>
      </c>
      <c r="F41" s="198">
        <f>+ETR!F46</f>
        <v>196.10500200000001</v>
      </c>
      <c r="G41" s="198">
        <f>+ETR!G46</f>
        <v>193.424904</v>
      </c>
      <c r="H41" s="193">
        <f>+ETR!H46</f>
        <v>176.16176899999999</v>
      </c>
      <c r="I41" s="357">
        <f>+ETR!I46</f>
        <v>192.31474549999999</v>
      </c>
      <c r="J41" s="197">
        <f>+ETR!J46</f>
        <v>189.202</v>
      </c>
      <c r="K41" s="198">
        <f>+ETR!K46</f>
        <v>188.77624</v>
      </c>
      <c r="L41" s="198">
        <f>+ETR!L46</f>
        <v>185.96243000000001</v>
      </c>
      <c r="M41" s="193">
        <f>+ETR!M46</f>
        <v>176.16176899999999</v>
      </c>
      <c r="N41" s="357">
        <f>+ETR!N46</f>
        <v>186.71517499999999</v>
      </c>
      <c r="O41" s="197">
        <f>+ETR!O46</f>
        <v>178.83434249999999</v>
      </c>
      <c r="P41" s="198">
        <f>+ETR!P46</f>
        <v>177.80799999999999</v>
      </c>
      <c r="Q41" s="198">
        <f>+ETR!Q46</f>
        <v>176.950469</v>
      </c>
      <c r="R41" s="193">
        <f>+ETR!R46</f>
        <v>176.16176899999999</v>
      </c>
      <c r="S41" s="357">
        <f>+ETR!S46</f>
        <v>177.43020799999999</v>
      </c>
      <c r="T41" s="197">
        <f>+ETR!T46</f>
        <v>176.865363</v>
      </c>
      <c r="U41" s="198">
        <f>+ETR!U46</f>
        <v>177.16651899999999</v>
      </c>
      <c r="V41" s="198">
        <f>+ETR!V46</f>
        <v>177.51784599999999</v>
      </c>
      <c r="W41" s="193">
        <f>+ETR!W46</f>
        <v>177.67249100000001</v>
      </c>
      <c r="X41" s="357">
        <f>+ETR!X46</f>
        <v>177.32481300000001</v>
      </c>
      <c r="Y41" s="197">
        <f>+ETR!Y46</f>
        <v>178.027961</v>
      </c>
      <c r="Z41" s="198">
        <f>+ETR!Z46</f>
        <v>178.19652500000001</v>
      </c>
      <c r="AA41" s="198">
        <f>+ETR!AA46</f>
        <v>178.28372100000001</v>
      </c>
      <c r="AB41" s="193">
        <f>+ETR!AB46</f>
        <v>178.30597499999999</v>
      </c>
      <c r="AC41" s="357">
        <f>+ETR!AC46</f>
        <v>178.21119200000001</v>
      </c>
      <c r="AD41" s="197">
        <f>+ETR!AD46</f>
        <v>178.79782900000001</v>
      </c>
      <c r="AE41" s="198">
        <f>+ETR!AE46</f>
        <v>179.35410300000001</v>
      </c>
      <c r="AF41" s="198">
        <f>+ETR!AF46</f>
        <v>179.61006699999999</v>
      </c>
      <c r="AG41" s="193">
        <f>+ETR!AG46</f>
        <v>180.245555</v>
      </c>
      <c r="AH41" s="357">
        <f>+ETR!AH46</f>
        <v>179.50615099999999</v>
      </c>
      <c r="AI41" s="197">
        <f>+ETR!AI46</f>
        <v>179.65898100000001</v>
      </c>
      <c r="AJ41" s="198">
        <f>+ETR!AJ46</f>
        <v>179.521276</v>
      </c>
      <c r="AK41" s="198">
        <f>+ETR!AK46</f>
        <v>179.15183200000001</v>
      </c>
      <c r="AL41" s="193">
        <f>+ETR!AL46</f>
        <v>178.387574</v>
      </c>
      <c r="AM41" s="357">
        <f>+ETR!AM46</f>
        <v>179.176356</v>
      </c>
      <c r="AN41" s="197">
        <f>+ETR!AN46</f>
        <v>178.57853600000001</v>
      </c>
      <c r="AO41" s="198">
        <f>+ETR!AO46</f>
        <v>178.80814899999999</v>
      </c>
      <c r="AP41" s="198">
        <f>+ETR!AP46</f>
        <v>179.02335099999999</v>
      </c>
      <c r="AQ41" s="193">
        <f>+ETR!AQ46</f>
        <v>179.12842499999999</v>
      </c>
      <c r="AR41" s="357">
        <f>+ETR!AR46</f>
        <v>178.88566</v>
      </c>
      <c r="AS41" s="197">
        <f>+ETR!AS46</f>
        <v>179.33506299999999</v>
      </c>
      <c r="AT41" s="198">
        <f>+ETR!AT46</f>
        <v>179.475346</v>
      </c>
      <c r="AU41" s="198">
        <f>+ETR!AU46</f>
        <v>179.563819</v>
      </c>
      <c r="AV41" s="193">
        <f>+ETR!AV46</f>
        <v>180.303505</v>
      </c>
      <c r="AW41" s="357">
        <f>+ETR!AW46</f>
        <v>179.671797</v>
      </c>
      <c r="AX41" s="197">
        <f>+ETR!AX46</f>
        <v>180.517653</v>
      </c>
      <c r="AY41" s="198">
        <f>+ETR!AY46</f>
        <v>180.517653</v>
      </c>
      <c r="AZ41" s="198">
        <f>+ETR!AZ46</f>
        <v>180.517653</v>
      </c>
      <c r="BA41" s="193">
        <f>+ETR!BA46</f>
        <v>180.517653</v>
      </c>
      <c r="BB41" s="357">
        <f>+ETR!BB46</f>
        <v>180.517653</v>
      </c>
      <c r="BC41" s="197">
        <f>+ETR!BC46</f>
        <v>180.517653</v>
      </c>
      <c r="BD41" s="198">
        <f>+ETR!BD46</f>
        <v>180.517653</v>
      </c>
      <c r="BE41" s="198">
        <f>+ETR!BE46</f>
        <v>180.517653</v>
      </c>
      <c r="BF41" s="193">
        <f>+ETR!BF46</f>
        <v>180.517653</v>
      </c>
      <c r="BG41" s="357">
        <f>+ETR!BG46</f>
        <v>180.517653</v>
      </c>
      <c r="BH41" s="197">
        <f>+ETR!BH46</f>
        <v>180.517653</v>
      </c>
      <c r="BI41" s="198">
        <f>+ETR!BI46</f>
        <v>180.517653</v>
      </c>
      <c r="BJ41" s="198">
        <f>+ETR!BJ46</f>
        <v>180.517653</v>
      </c>
      <c r="BK41" s="193">
        <f>+ETR!BK46</f>
        <v>180.517653</v>
      </c>
      <c r="BL41" s="357">
        <f>+ETR!BL46</f>
        <v>180.517653</v>
      </c>
      <c r="BM41" s="197">
        <f>+ETR!BM46</f>
        <v>180.517653</v>
      </c>
      <c r="BN41" s="198">
        <f>+ETR!BN46</f>
        <v>180.517653</v>
      </c>
      <c r="BO41" s="198">
        <f>+ETR!BO46</f>
        <v>180.517653</v>
      </c>
      <c r="BP41" s="193">
        <f>+ETR!BP46</f>
        <v>180.517653</v>
      </c>
      <c r="BQ41" s="357">
        <f>+ETR!BQ46</f>
        <v>180.517653</v>
      </c>
      <c r="BR41" s="1534"/>
      <c r="BS41" s="357"/>
      <c r="BT41" s="357"/>
      <c r="BU41" s="356"/>
      <c r="BV41" s="356"/>
      <c r="BW41" s="356"/>
    </row>
    <row r="42" spans="1:75">
      <c r="B42" s="356"/>
      <c r="C42" s="1197" t="s">
        <v>357</v>
      </c>
      <c r="D42" s="356"/>
      <c r="E42" s="197">
        <f>+ETR!E47</f>
        <v>198.05800199999999</v>
      </c>
      <c r="F42" s="198">
        <f>+ETR!F47</f>
        <v>198.24316899999999</v>
      </c>
      <c r="G42" s="198">
        <f>+ETR!G47</f>
        <v>195.87524099999999</v>
      </c>
      <c r="H42" s="193">
        <f>+ETR!H47</f>
        <v>177.08257</v>
      </c>
      <c r="I42" s="357">
        <f>+ETR!I47</f>
        <v>192.31474549999999</v>
      </c>
      <c r="J42" s="197">
        <f>+ETR!J47</f>
        <v>191.28299999999999</v>
      </c>
      <c r="K42" s="198">
        <f>+ETR!K47</f>
        <v>190.71795800000001</v>
      </c>
      <c r="L42" s="198">
        <f>+ETR!L47</f>
        <v>187.77717200000001</v>
      </c>
      <c r="M42" s="193">
        <f>+ETR!M47</f>
        <v>177.08257</v>
      </c>
      <c r="N42" s="357">
        <f>+ETR!N47</f>
        <v>186.71517499999999</v>
      </c>
      <c r="O42" s="197">
        <f>+ETR!O47</f>
        <v>180.08383000000001</v>
      </c>
      <c r="P42" s="198">
        <f>+ETR!P47</f>
        <v>178.92500000000001</v>
      </c>
      <c r="Q42" s="198">
        <f>+ETR!Q47</f>
        <v>177.72301999999999</v>
      </c>
      <c r="R42" s="193">
        <f>+ETR!R47</f>
        <v>177.08257</v>
      </c>
      <c r="S42" s="357">
        <f>+ETR!S47</f>
        <v>178.37069500000001</v>
      </c>
      <c r="T42" s="197">
        <f>+ETR!T47</f>
        <v>177.38804500000001</v>
      </c>
      <c r="U42" s="198">
        <f>+ETR!U47</f>
        <v>177.56535099999999</v>
      </c>
      <c r="V42" s="198">
        <f>+ETR!V47</f>
        <v>177.975075</v>
      </c>
      <c r="W42" s="193">
        <f>+ETR!W47</f>
        <v>177.975075</v>
      </c>
      <c r="X42" s="357">
        <f>+ETR!X47</f>
        <v>177.73756499999999</v>
      </c>
      <c r="Y42" s="197">
        <f>+ETR!Y47</f>
        <v>178.413287</v>
      </c>
      <c r="Z42" s="198">
        <f>+ETR!Z47</f>
        <v>178.614383</v>
      </c>
      <c r="AA42" s="198">
        <f>+ETR!AA47</f>
        <v>178.65221</v>
      </c>
      <c r="AB42" s="193">
        <f>+ETR!AB47</f>
        <v>178.65221</v>
      </c>
      <c r="AC42" s="357">
        <f>+ETR!AC47</f>
        <v>178.57040000000001</v>
      </c>
      <c r="AD42" s="197">
        <f>+ETR!AD47</f>
        <v>179.05596700000001</v>
      </c>
      <c r="AE42" s="198">
        <f>+ETR!AE47</f>
        <v>180.04543200000001</v>
      </c>
      <c r="AF42" s="198">
        <f>+ETR!AF47</f>
        <v>180.52711600000001</v>
      </c>
      <c r="AG42" s="193">
        <f>+ETR!AG47</f>
        <v>181.603441</v>
      </c>
      <c r="AH42" s="357">
        <f>+ETR!AH47</f>
        <v>180.296885</v>
      </c>
      <c r="AI42" s="197">
        <f>+ETR!AI47</f>
        <v>180.48052300000001</v>
      </c>
      <c r="AJ42" s="198">
        <f>+ETR!AJ47</f>
        <v>180.11983699999999</v>
      </c>
      <c r="AK42" s="198">
        <f>+ETR!AK47</f>
        <v>179.15183200000001</v>
      </c>
      <c r="AL42" s="193">
        <f>+ETR!AL47</f>
        <v>179.06994800000001</v>
      </c>
      <c r="AM42" s="357">
        <f>+ETR!AM47</f>
        <v>179.176356</v>
      </c>
      <c r="AN42" s="197">
        <f>+ETR!AN47</f>
        <v>178.97638000000001</v>
      </c>
      <c r="AO42" s="198">
        <f>+ETR!AO47</f>
        <v>179.50358199999999</v>
      </c>
      <c r="AP42" s="198">
        <f>+ETR!AP47</f>
        <v>179.99088800000001</v>
      </c>
      <c r="AQ42" s="193">
        <f>+ETR!AQ47</f>
        <v>179.12842499999999</v>
      </c>
      <c r="AR42" s="357">
        <f>+ETR!AR47</f>
        <v>178.88566</v>
      </c>
      <c r="AS42" s="197">
        <f>+ETR!AS47</f>
        <v>179.84205299999999</v>
      </c>
      <c r="AT42" s="198">
        <f>+ETR!AT47</f>
        <v>180.23469399999999</v>
      </c>
      <c r="AU42" s="198">
        <f>+ETR!AU47</f>
        <v>180.46406899999999</v>
      </c>
      <c r="AV42" s="193">
        <f>+ETR!AV47</f>
        <v>180.303505</v>
      </c>
      <c r="AW42" s="357">
        <f>+ETR!AW47</f>
        <v>180.53589299999999</v>
      </c>
      <c r="AX42" s="197">
        <f>+ETR!AX47</f>
        <v>180.517653</v>
      </c>
      <c r="AY42" s="198">
        <f>+ETR!AY47</f>
        <v>180.517653</v>
      </c>
      <c r="AZ42" s="198">
        <f>+ETR!AZ47</f>
        <v>180.517653</v>
      </c>
      <c r="BA42" s="193">
        <f>+ETR!BA47</f>
        <v>180.517653</v>
      </c>
      <c r="BB42" s="357">
        <f>+ETR!BB47</f>
        <v>180.517653</v>
      </c>
      <c r="BC42" s="197">
        <f>+ETR!BC47</f>
        <v>180.517653</v>
      </c>
      <c r="BD42" s="198">
        <f>+ETR!BD47</f>
        <v>180.517653</v>
      </c>
      <c r="BE42" s="198">
        <f>+ETR!BE47</f>
        <v>180.517653</v>
      </c>
      <c r="BF42" s="193">
        <f>+ETR!BF47</f>
        <v>180.517653</v>
      </c>
      <c r="BG42" s="357">
        <f>+ETR!BG47</f>
        <v>180.517653</v>
      </c>
      <c r="BH42" s="197">
        <f>+ETR!BH47</f>
        <v>180.517653</v>
      </c>
      <c r="BI42" s="198">
        <f>+ETR!BI47</f>
        <v>180.517653</v>
      </c>
      <c r="BJ42" s="198">
        <f>+ETR!BJ47</f>
        <v>180.517653</v>
      </c>
      <c r="BK42" s="193">
        <f>+ETR!BK47</f>
        <v>180.517653</v>
      </c>
      <c r="BL42" s="357">
        <f>+ETR!BL47</f>
        <v>180.517653</v>
      </c>
      <c r="BM42" s="197">
        <f>+ETR!BM47</f>
        <v>180.517653</v>
      </c>
      <c r="BN42" s="198">
        <f>+ETR!BN47</f>
        <v>180.517653</v>
      </c>
      <c r="BO42" s="198">
        <f>+ETR!BO47</f>
        <v>180.517653</v>
      </c>
      <c r="BP42" s="193">
        <f>+ETR!BP47</f>
        <v>180.517653</v>
      </c>
      <c r="BQ42" s="357">
        <f>+ETR!BQ47</f>
        <v>180.517653</v>
      </c>
      <c r="BR42" s="1534"/>
      <c r="BS42" s="357"/>
      <c r="BT42" s="357"/>
      <c r="BU42" s="356"/>
      <c r="BV42" s="356"/>
      <c r="BW42" s="356"/>
    </row>
    <row r="43" spans="1:75">
      <c r="B43" s="5"/>
      <c r="C43" s="1173"/>
      <c r="D43" s="5"/>
      <c r="E43" s="139"/>
      <c r="F43" s="18"/>
      <c r="G43" s="18"/>
      <c r="H43" s="140"/>
      <c r="I43" s="5"/>
      <c r="J43" s="139"/>
      <c r="K43" s="18"/>
      <c r="L43" s="18"/>
      <c r="M43" s="140"/>
      <c r="N43" s="5"/>
      <c r="O43" s="139"/>
      <c r="P43" s="18"/>
      <c r="Q43" s="18"/>
      <c r="R43" s="140"/>
      <c r="S43" s="5"/>
      <c r="T43" s="139"/>
      <c r="U43" s="18"/>
      <c r="V43" s="18"/>
      <c r="W43" s="140"/>
      <c r="X43" s="5"/>
      <c r="Y43" s="139"/>
      <c r="Z43" s="18"/>
      <c r="AA43" s="18"/>
      <c r="AB43" s="140"/>
      <c r="AC43" s="5"/>
      <c r="AD43" s="139"/>
      <c r="AE43" s="18"/>
      <c r="AF43" s="18"/>
      <c r="AG43" s="140"/>
      <c r="AH43" s="5"/>
      <c r="AI43" s="139"/>
      <c r="AJ43" s="18"/>
      <c r="AK43" s="18"/>
      <c r="AL43" s="140"/>
      <c r="AM43" s="5"/>
      <c r="AN43" s="139"/>
      <c r="AO43" s="18"/>
      <c r="AP43" s="18"/>
      <c r="AQ43" s="140"/>
      <c r="AR43" s="5"/>
      <c r="AS43" s="139"/>
      <c r="AT43" s="18"/>
      <c r="AU43" s="18"/>
      <c r="AV43" s="140"/>
      <c r="AW43" s="5"/>
      <c r="AX43" s="139"/>
      <c r="AY43" s="18"/>
      <c r="AZ43" s="18"/>
      <c r="BA43" s="140"/>
      <c r="BB43" s="5"/>
      <c r="BC43" s="139"/>
      <c r="BD43" s="18"/>
      <c r="BE43" s="18"/>
      <c r="BF43" s="140"/>
      <c r="BG43" s="5"/>
      <c r="BH43" s="139"/>
      <c r="BI43" s="18"/>
      <c r="BJ43" s="18"/>
      <c r="BK43" s="140"/>
      <c r="BL43" s="5"/>
      <c r="BM43" s="139"/>
      <c r="BN43" s="18"/>
      <c r="BO43" s="18"/>
      <c r="BP43" s="140"/>
      <c r="BQ43" s="5"/>
      <c r="BR43" s="1499"/>
      <c r="BS43" s="5"/>
      <c r="BT43" s="5"/>
      <c r="BU43" s="5"/>
      <c r="BV43" s="5"/>
      <c r="BW43" s="5"/>
    </row>
    <row r="44" spans="1:75" s="34" customFormat="1">
      <c r="B44" s="358"/>
      <c r="C44" s="1197" t="s">
        <v>865</v>
      </c>
      <c r="D44" s="358"/>
      <c r="E44" s="359">
        <f t="shared" ref="E44:U44" si="138">E37/E42</f>
        <v>-0.28871340426831027</v>
      </c>
      <c r="F44" s="360">
        <f t="shared" si="138"/>
        <v>-3.2334027105867615E-3</v>
      </c>
      <c r="G44" s="360">
        <f t="shared" si="138"/>
        <v>-0.20431372436703479</v>
      </c>
      <c r="H44" s="361">
        <f t="shared" si="138"/>
        <v>-6.245673981350024E-3</v>
      </c>
      <c r="I44" s="358">
        <f t="shared" si="138"/>
        <v>-0.51451592930507095</v>
      </c>
      <c r="J44" s="359">
        <f t="shared" si="138"/>
        <v>-7.6839029082560531E-2</v>
      </c>
      <c r="K44" s="360">
        <f t="shared" si="138"/>
        <v>-7.6222502340342599E-2</v>
      </c>
      <c r="L44" s="360">
        <f t="shared" si="138"/>
        <v>8.648016064487439E-2</v>
      </c>
      <c r="M44" s="361">
        <f t="shared" si="138"/>
        <v>-0.20238581357838573</v>
      </c>
      <c r="N44" s="358">
        <f t="shared" si="138"/>
        <v>-0.26154810395031336</v>
      </c>
      <c r="O44" s="359">
        <f t="shared" si="138"/>
        <v>-0.21216785538157265</v>
      </c>
      <c r="P44" s="360">
        <f t="shared" si="138"/>
        <v>1.2860136928880985E-2</v>
      </c>
      <c r="Q44" s="360">
        <f t="shared" si="138"/>
        <v>-0.14771299744962604</v>
      </c>
      <c r="R44" s="361">
        <f t="shared" si="138"/>
        <v>-1.0533786583287126</v>
      </c>
      <c r="S44" s="358">
        <f t="shared" si="138"/>
        <v>-1.3942536917288968</v>
      </c>
      <c r="T44" s="359">
        <f t="shared" si="138"/>
        <v>-0.25960599543221768</v>
      </c>
      <c r="U44" s="360">
        <f t="shared" si="138"/>
        <v>-0.11550113738124387</v>
      </c>
      <c r="V44" s="360">
        <f t="shared" ref="V44:AA44" si="139">V37/V42</f>
        <v>-0.43743203928977087</v>
      </c>
      <c r="W44" s="361">
        <f t="shared" si="139"/>
        <v>4.3067828458555939E-2</v>
      </c>
      <c r="X44" s="358">
        <f t="shared" si="139"/>
        <v>-0.76937590542551293</v>
      </c>
      <c r="Y44" s="359">
        <f t="shared" si="139"/>
        <v>-0.24783468060873751</v>
      </c>
      <c r="Z44" s="360">
        <f t="shared" si="139"/>
        <v>-0.24651430226646276</v>
      </c>
      <c r="AA44" s="360">
        <f t="shared" si="139"/>
        <v>-8.5602075675415445E-2</v>
      </c>
      <c r="AB44" s="361">
        <f>AB37/AB42</f>
        <v>-0.31529416848525421</v>
      </c>
      <c r="AC44" s="358">
        <f>AC37/AC42</f>
        <v>-0.89527155676417314</v>
      </c>
      <c r="AD44" s="359">
        <f>AD37/AD42</f>
        <v>-0.23376489877044834</v>
      </c>
      <c r="AE44" s="360">
        <f>AE37/AE42</f>
        <v>-0.24613787480040089</v>
      </c>
      <c r="AF44" s="360">
        <f t="shared" ref="AF44" si="140">AF37/AF42</f>
        <v>-0.26405451466914365</v>
      </c>
      <c r="AG44" s="361">
        <f>AG37/AG42</f>
        <v>-0.25835413548139136</v>
      </c>
      <c r="AH44" s="358">
        <f>AH37/AH42</f>
        <v>-1.0025686245217114</v>
      </c>
      <c r="AI44" s="359">
        <f>AI37/AI42</f>
        <v>-0.26735848942547447</v>
      </c>
      <c r="AJ44" s="360">
        <f>AJ37/AJ42</f>
        <v>-0.25964935777728826</v>
      </c>
      <c r="AK44" s="360">
        <f t="shared" ref="AK44" si="141">AK37/AK42</f>
        <v>-0.28516593679042129</v>
      </c>
      <c r="AL44" s="361">
        <f t="shared" ref="AL44:AR44" si="142">AL37/AL42</f>
        <v>-0.33218304167932566</v>
      </c>
      <c r="AM44" s="358">
        <f t="shared" si="142"/>
        <v>-1.1474337607357055</v>
      </c>
      <c r="AN44" s="359">
        <f t="shared" si="142"/>
        <v>-0.24564693955705302</v>
      </c>
      <c r="AO44" s="360">
        <f t="shared" si="142"/>
        <v>-0.32646145189459347</v>
      </c>
      <c r="AP44" s="360">
        <f t="shared" si="142"/>
        <v>-0.34890099547705911</v>
      </c>
      <c r="AQ44" s="361">
        <f t="shared" si="142"/>
        <v>-0.31902251136300108</v>
      </c>
      <c r="AR44" s="358">
        <f t="shared" si="142"/>
        <v>-1.2438727620760597</v>
      </c>
      <c r="AS44" s="359">
        <f t="shared" ref="AS44:AT44" si="143">AS37/AS42</f>
        <v>-0.30234863922510907</v>
      </c>
      <c r="AT44" s="360">
        <f t="shared" si="143"/>
        <v>-0.31569948458424812</v>
      </c>
      <c r="AU44" s="360">
        <f t="shared" ref="AU44:AW44" si="144">AU37/AU42</f>
        <v>-0.32058459238220799</v>
      </c>
      <c r="AV44" s="361">
        <f t="shared" si="144"/>
        <v>-3.5113016799098548E-2</v>
      </c>
      <c r="AW44" s="358">
        <f t="shared" si="144"/>
        <v>-0.97188430003777704</v>
      </c>
      <c r="AX44" s="359">
        <f t="shared" ref="AX44:BB44" si="145">AX37/AX42</f>
        <v>-0.27784182473275582</v>
      </c>
      <c r="AY44" s="360">
        <f t="shared" si="145"/>
        <v>-0.33870585770549161</v>
      </c>
      <c r="AZ44" s="360">
        <f t="shared" si="145"/>
        <v>-0.32466371698279523</v>
      </c>
      <c r="BA44" s="361">
        <f t="shared" si="145"/>
        <v>-0.32434073505359429</v>
      </c>
      <c r="BB44" s="358">
        <f t="shared" si="145"/>
        <v>-1.2655521344746368</v>
      </c>
      <c r="BC44" s="359">
        <f t="shared" ref="BC44:BL44" si="146">BC37/BC42</f>
        <v>-0.3080968283855321</v>
      </c>
      <c r="BD44" s="360">
        <f t="shared" si="146"/>
        <v>-0.34566215180870474</v>
      </c>
      <c r="BE44" s="360">
        <f t="shared" si="146"/>
        <v>-0.36642634210622538</v>
      </c>
      <c r="BF44" s="361">
        <f t="shared" si="146"/>
        <v>-0.35505845580981454</v>
      </c>
      <c r="BG44" s="358">
        <f t="shared" si="146"/>
        <v>-1.3752437781102769</v>
      </c>
      <c r="BH44" s="359">
        <f t="shared" si="146"/>
        <v>-0.32473726976818262</v>
      </c>
      <c r="BI44" s="360">
        <f t="shared" si="146"/>
        <v>-0.37246206400471982</v>
      </c>
      <c r="BJ44" s="360">
        <f t="shared" si="146"/>
        <v>-0.3928526726548498</v>
      </c>
      <c r="BK44" s="361">
        <f t="shared" si="146"/>
        <v>-0.36275271766911377</v>
      </c>
      <c r="BL44" s="358">
        <f t="shared" si="146"/>
        <v>-1.4528047240968656</v>
      </c>
      <c r="BM44" s="359">
        <f t="shared" ref="BM44:BQ44" si="147">BM37/BM42</f>
        <v>-0.34447534688575432</v>
      </c>
      <c r="BN44" s="360">
        <f t="shared" si="147"/>
        <v>-0.37765724698566228</v>
      </c>
      <c r="BO44" s="360">
        <f t="shared" si="147"/>
        <v>-0.39188250907595851</v>
      </c>
      <c r="BP44" s="361">
        <f t="shared" si="147"/>
        <v>-0.3709535614305331</v>
      </c>
      <c r="BQ44" s="358">
        <f t="shared" si="147"/>
        <v>-1.4849686643779094</v>
      </c>
      <c r="BR44" s="1508"/>
      <c r="BS44" s="358"/>
      <c r="BT44" s="358"/>
      <c r="BU44" s="358"/>
      <c r="BV44" s="358"/>
      <c r="BW44" s="358"/>
    </row>
    <row r="45" spans="1:75">
      <c r="B45" s="358"/>
      <c r="C45" s="1267" t="s">
        <v>864</v>
      </c>
      <c r="D45" s="442"/>
      <c r="E45" s="443">
        <f t="shared" ref="E45:U45" si="148">E39/E42</f>
        <v>-0.23519372875426561</v>
      </c>
      <c r="F45" s="444">
        <f t="shared" si="148"/>
        <v>7.3596482913370412E-3</v>
      </c>
      <c r="G45" s="444">
        <f t="shared" si="148"/>
        <v>-0.17776621395452682</v>
      </c>
      <c r="H45" s="445">
        <f t="shared" si="148"/>
        <v>4.5142782827244973E-2</v>
      </c>
      <c r="I45" s="446">
        <f t="shared" si="148"/>
        <v>-0.37412107851085552</v>
      </c>
      <c r="J45" s="443">
        <f t="shared" si="148"/>
        <v>-0.15212015704479451</v>
      </c>
      <c r="K45" s="444">
        <f t="shared" si="148"/>
        <v>-9.7195881260433589E-2</v>
      </c>
      <c r="L45" s="444">
        <f t="shared" si="148"/>
        <v>8.648016064487439E-2</v>
      </c>
      <c r="M45" s="445">
        <f t="shared" si="148"/>
        <v>-0.20295052189496365</v>
      </c>
      <c r="N45" s="446">
        <f t="shared" si="148"/>
        <v>-0.36062949891459517</v>
      </c>
      <c r="O45" s="443">
        <f t="shared" si="148"/>
        <v>-0.21216785538157265</v>
      </c>
      <c r="P45" s="444">
        <f t="shared" si="148"/>
        <v>1.2860136928880985E-2</v>
      </c>
      <c r="Q45" s="444">
        <f t="shared" si="148"/>
        <v>-0.14771299744962604</v>
      </c>
      <c r="R45" s="445">
        <f t="shared" si="148"/>
        <v>-0.97996657717357694</v>
      </c>
      <c r="S45" s="446">
        <f t="shared" si="148"/>
        <v>-1.3213717645715239</v>
      </c>
      <c r="T45" s="443">
        <f t="shared" si="148"/>
        <v>-0.25171369355809753</v>
      </c>
      <c r="U45" s="444">
        <f t="shared" si="148"/>
        <v>-0.1171906561883224</v>
      </c>
      <c r="V45" s="444">
        <f t="shared" ref="V45:AA45" si="149">V39/V42</f>
        <v>-0.43743203928977087</v>
      </c>
      <c r="W45" s="445">
        <f t="shared" si="149"/>
        <v>4.2505952027263635E-2</v>
      </c>
      <c r="X45" s="446">
        <f t="shared" si="149"/>
        <v>-0.76374963278022256</v>
      </c>
      <c r="Y45" s="443">
        <f t="shared" si="149"/>
        <v>-0.24783468060873751</v>
      </c>
      <c r="Z45" s="444">
        <f t="shared" si="149"/>
        <v>-0.24651430226646276</v>
      </c>
      <c r="AA45" s="444">
        <f t="shared" si="149"/>
        <v>-8.5602075675415445E-2</v>
      </c>
      <c r="AB45" s="445">
        <f>AB39/AB42</f>
        <v>-0.33544505270885278</v>
      </c>
      <c r="AC45" s="446">
        <f>AC39/AC42</f>
        <v>-0.915431672886442</v>
      </c>
      <c r="AD45" s="443">
        <f>AD39/AD42</f>
        <v>-0.23376489877044834</v>
      </c>
      <c r="AE45" s="444">
        <f>AE39/AE42</f>
        <v>-0.24613787480040089</v>
      </c>
      <c r="AF45" s="444">
        <f t="shared" ref="AF45" si="150">AF39/AF42</f>
        <v>-0.26405451466914365</v>
      </c>
      <c r="AG45" s="445">
        <f>AG39/AG42</f>
        <v>-0.25835413548139136</v>
      </c>
      <c r="AH45" s="446">
        <f>AH39/AH42</f>
        <v>-1.0025686245217114</v>
      </c>
      <c r="AI45" s="443">
        <f>AI39/AI42</f>
        <v>-0.26735848942547447</v>
      </c>
      <c r="AJ45" s="444">
        <f>AJ39/AJ42</f>
        <v>-0.25964935777728826</v>
      </c>
      <c r="AK45" s="444">
        <f t="shared" ref="AK45" si="151">AK39/AK42</f>
        <v>-0.28516593679042129</v>
      </c>
      <c r="AL45" s="445">
        <f t="shared" ref="AL45:AR45" si="152">AL39/AL42</f>
        <v>-0.33274148267468417</v>
      </c>
      <c r="AM45" s="446">
        <f t="shared" si="152"/>
        <v>-1.1479918700880347</v>
      </c>
      <c r="AN45" s="443">
        <f t="shared" si="152"/>
        <v>-0.24564693955705302</v>
      </c>
      <c r="AO45" s="444">
        <f t="shared" si="152"/>
        <v>-0.32646145189459347</v>
      </c>
      <c r="AP45" s="444">
        <f t="shared" si="152"/>
        <v>-0.34890099547705911</v>
      </c>
      <c r="AQ45" s="445">
        <f t="shared" si="152"/>
        <v>-0.31902251136300108</v>
      </c>
      <c r="AR45" s="446">
        <f t="shared" si="152"/>
        <v>-1.2438727620760597</v>
      </c>
      <c r="AS45" s="443">
        <f t="shared" ref="AS45:AT45" si="153">AS39/AS42</f>
        <v>-0.30234863922510907</v>
      </c>
      <c r="AT45" s="444">
        <f t="shared" si="153"/>
        <v>-0.31569948458424812</v>
      </c>
      <c r="AU45" s="444">
        <f t="shared" ref="AU45:AW45" si="154">AU39/AU42</f>
        <v>-0.32058459238220799</v>
      </c>
      <c r="AV45" s="445">
        <f t="shared" si="154"/>
        <v>-0.32462485962212134</v>
      </c>
      <c r="AW45" s="446">
        <f t="shared" si="154"/>
        <v>-1.2610234796910997</v>
      </c>
      <c r="AX45" s="443">
        <f t="shared" ref="AX45:BB45" si="155">AX39/AX42</f>
        <v>-0.27784182473275582</v>
      </c>
      <c r="AY45" s="444">
        <f t="shared" si="155"/>
        <v>-0.33870585770549161</v>
      </c>
      <c r="AZ45" s="444">
        <f t="shared" si="155"/>
        <v>-0.32466371698279523</v>
      </c>
      <c r="BA45" s="445">
        <f t="shared" si="155"/>
        <v>-0.32434073505359429</v>
      </c>
      <c r="BB45" s="446">
        <f t="shared" si="155"/>
        <v>-1.2655521344746368</v>
      </c>
      <c r="BC45" s="443">
        <f t="shared" ref="BC45:BL45" si="156">BC39/BC42</f>
        <v>-0.3080968283855321</v>
      </c>
      <c r="BD45" s="444">
        <f t="shared" si="156"/>
        <v>-0.34566215180870474</v>
      </c>
      <c r="BE45" s="444">
        <f t="shared" si="156"/>
        <v>-0.36642634210622538</v>
      </c>
      <c r="BF45" s="445">
        <f t="shared" si="156"/>
        <v>-0.35505845580981454</v>
      </c>
      <c r="BG45" s="446">
        <f t="shared" si="156"/>
        <v>-1.3752437781102769</v>
      </c>
      <c r="BH45" s="443">
        <f t="shared" si="156"/>
        <v>-0.32473726976818262</v>
      </c>
      <c r="BI45" s="444">
        <f t="shared" si="156"/>
        <v>-0.37246206400471982</v>
      </c>
      <c r="BJ45" s="444">
        <f t="shared" si="156"/>
        <v>-0.3928526726548498</v>
      </c>
      <c r="BK45" s="445">
        <f t="shared" si="156"/>
        <v>-0.36275271766911377</v>
      </c>
      <c r="BL45" s="446">
        <f t="shared" si="156"/>
        <v>-1.4528047240968656</v>
      </c>
      <c r="BM45" s="443">
        <f t="shared" ref="BM45:BQ45" si="157">BM39/BM42</f>
        <v>-0.34447534688575432</v>
      </c>
      <c r="BN45" s="444">
        <f t="shared" si="157"/>
        <v>-0.37765724698566228</v>
      </c>
      <c r="BO45" s="444">
        <f t="shared" si="157"/>
        <v>-0.39188250907595851</v>
      </c>
      <c r="BP45" s="445">
        <f t="shared" si="157"/>
        <v>-0.3709535614305331</v>
      </c>
      <c r="BQ45" s="447">
        <f t="shared" si="157"/>
        <v>-1.4849686643779094</v>
      </c>
      <c r="BR45" s="1545"/>
      <c r="BS45" s="366"/>
      <c r="BT45" s="366"/>
      <c r="BU45" s="366"/>
      <c r="BV45" s="366"/>
      <c r="BW45" s="366"/>
    </row>
    <row r="46" spans="1:75">
      <c r="B46" s="358"/>
      <c r="C46" s="1175"/>
      <c r="D46" s="366"/>
      <c r="E46" s="534"/>
      <c r="F46" s="535"/>
      <c r="G46" s="535"/>
      <c r="H46" s="536"/>
      <c r="I46" s="516"/>
      <c r="J46" s="534"/>
      <c r="K46" s="535"/>
      <c r="L46" s="535"/>
      <c r="M46" s="536"/>
      <c r="N46" s="516"/>
      <c r="O46" s="534"/>
      <c r="P46" s="535"/>
      <c r="Q46" s="535"/>
      <c r="R46" s="536"/>
      <c r="S46" s="516"/>
      <c r="T46" s="534"/>
      <c r="U46" s="535"/>
      <c r="V46" s="535"/>
      <c r="W46" s="536"/>
      <c r="X46" s="516"/>
      <c r="Y46" s="534"/>
      <c r="Z46" s="535"/>
      <c r="AA46" s="535"/>
      <c r="AB46" s="536"/>
      <c r="AC46" s="516"/>
      <c r="AD46" s="534"/>
      <c r="AE46" s="535"/>
      <c r="AF46" s="535"/>
      <c r="AG46" s="536"/>
      <c r="AH46" s="516"/>
      <c r="AI46" s="534"/>
      <c r="AJ46" s="535"/>
      <c r="AK46" s="535"/>
      <c r="AL46" s="536"/>
      <c r="AM46" s="516"/>
      <c r="AN46" s="534"/>
      <c r="AO46" s="535"/>
      <c r="AP46" s="535"/>
      <c r="AQ46" s="536"/>
      <c r="AR46" s="516"/>
      <c r="AS46" s="534"/>
      <c r="AT46" s="535"/>
      <c r="AU46" s="535"/>
      <c r="AV46" s="536"/>
      <c r="AW46" s="516"/>
      <c r="AX46" s="534"/>
      <c r="AY46" s="535"/>
      <c r="AZ46" s="535"/>
      <c r="BA46" s="536"/>
      <c r="BB46" s="516"/>
      <c r="BC46" s="534"/>
      <c r="BD46" s="535"/>
      <c r="BE46" s="535"/>
      <c r="BF46" s="536"/>
      <c r="BG46" s="516"/>
      <c r="BH46" s="534"/>
      <c r="BI46" s="535"/>
      <c r="BJ46" s="535"/>
      <c r="BK46" s="536"/>
      <c r="BL46" s="516"/>
      <c r="BM46" s="534"/>
      <c r="BN46" s="535"/>
      <c r="BO46" s="535"/>
      <c r="BP46" s="536"/>
      <c r="BQ46" s="516"/>
      <c r="BR46" s="1545"/>
      <c r="BS46" s="366"/>
      <c r="BT46" s="366"/>
      <c r="BU46" s="366"/>
      <c r="BV46" s="366"/>
      <c r="BW46" s="366"/>
    </row>
    <row r="47" spans="1:75">
      <c r="A47" s="5"/>
      <c r="B47" s="5"/>
      <c r="C47" s="1134" t="s">
        <v>168</v>
      </c>
      <c r="D47" s="495"/>
      <c r="E47" s="427"/>
      <c r="F47" s="428"/>
      <c r="G47" s="428"/>
      <c r="H47" s="429"/>
      <c r="I47" s="495"/>
      <c r="J47" s="427"/>
      <c r="K47" s="428"/>
      <c r="L47" s="428"/>
      <c r="M47" s="429"/>
      <c r="N47" s="495"/>
      <c r="O47" s="427"/>
      <c r="P47" s="428"/>
      <c r="Q47" s="428"/>
      <c r="R47" s="429"/>
      <c r="S47" s="495"/>
      <c r="T47" s="427"/>
      <c r="U47" s="428"/>
      <c r="V47" s="428"/>
      <c r="W47" s="429"/>
      <c r="X47" s="495"/>
      <c r="Y47" s="427"/>
      <c r="Z47" s="428"/>
      <c r="AA47" s="428"/>
      <c r="AB47" s="429"/>
      <c r="AC47" s="1392"/>
      <c r="AD47" s="139"/>
      <c r="AE47" s="428"/>
      <c r="AF47" s="18"/>
      <c r="AG47" s="140"/>
      <c r="AH47" s="1392"/>
      <c r="AI47" s="139"/>
      <c r="AJ47" s="18"/>
      <c r="AK47" s="18"/>
      <c r="AL47" s="140"/>
      <c r="AM47" s="27"/>
      <c r="AN47" s="139"/>
      <c r="AO47" s="18"/>
      <c r="AP47" s="18"/>
      <c r="AQ47" s="140"/>
      <c r="AR47" s="27"/>
      <c r="AS47" s="139"/>
      <c r="AT47" s="18"/>
      <c r="AU47" s="18"/>
      <c r="AV47" s="140"/>
      <c r="AW47" s="27"/>
      <c r="AX47" s="139"/>
      <c r="AY47" s="18"/>
      <c r="AZ47" s="18"/>
      <c r="BA47" s="140"/>
      <c r="BB47" s="27"/>
      <c r="BC47" s="139"/>
      <c r="BD47" s="18"/>
      <c r="BE47" s="18"/>
      <c r="BF47" s="140"/>
      <c r="BG47" s="27"/>
      <c r="BH47" s="139"/>
      <c r="BI47" s="18"/>
      <c r="BJ47" s="18"/>
      <c r="BK47" s="140"/>
      <c r="BL47" s="27"/>
      <c r="BM47" s="139"/>
      <c r="BN47" s="18"/>
      <c r="BO47" s="18"/>
      <c r="BP47" s="140"/>
      <c r="BQ47" s="27"/>
    </row>
    <row r="48" spans="1:75">
      <c r="B48" s="358"/>
      <c r="C48" s="1175"/>
      <c r="D48" s="366"/>
      <c r="E48" s="534"/>
      <c r="F48" s="535"/>
      <c r="G48" s="535"/>
      <c r="H48" s="536"/>
      <c r="I48" s="516"/>
      <c r="J48" s="534"/>
      <c r="K48" s="535"/>
      <c r="L48" s="535"/>
      <c r="M48" s="536"/>
      <c r="N48" s="516"/>
      <c r="O48" s="534"/>
      <c r="P48" s="535"/>
      <c r="Q48" s="535"/>
      <c r="R48" s="536"/>
      <c r="S48" s="516"/>
      <c r="T48" s="534"/>
      <c r="U48" s="535"/>
      <c r="V48" s="535"/>
      <c r="W48" s="536"/>
      <c r="X48" s="516"/>
      <c r="Y48" s="177"/>
      <c r="Z48" s="535"/>
      <c r="AA48" s="535"/>
      <c r="AB48" s="536"/>
      <c r="AC48" s="516"/>
      <c r="AD48" s="534"/>
      <c r="AE48" s="535"/>
      <c r="AF48" s="535"/>
      <c r="AG48" s="536"/>
      <c r="AH48" s="516"/>
      <c r="AI48" s="534"/>
      <c r="AJ48" s="535"/>
      <c r="AK48" s="535"/>
      <c r="AL48" s="536"/>
      <c r="AM48" s="516"/>
      <c r="AN48" s="534"/>
      <c r="AO48" s="535"/>
      <c r="AP48" s="535"/>
      <c r="AQ48" s="536"/>
      <c r="AR48" s="516"/>
      <c r="AS48" s="534"/>
      <c r="AT48" s="535"/>
      <c r="AU48" s="535"/>
      <c r="AV48" s="536"/>
      <c r="AW48" s="516"/>
      <c r="AX48" s="534"/>
      <c r="AY48" s="535"/>
      <c r="AZ48" s="535"/>
      <c r="BA48" s="536"/>
      <c r="BB48" s="1328"/>
      <c r="BC48" s="534"/>
      <c r="BD48" s="535"/>
      <c r="BE48" s="535"/>
      <c r="BF48" s="536"/>
      <c r="BG48" s="516"/>
      <c r="BH48" s="534"/>
      <c r="BI48" s="535"/>
      <c r="BJ48" s="535"/>
      <c r="BK48" s="536"/>
      <c r="BL48" s="516"/>
      <c r="BM48" s="534"/>
      <c r="BN48" s="535"/>
      <c r="BO48" s="535"/>
      <c r="BP48" s="536"/>
      <c r="BQ48" s="516"/>
      <c r="BR48" s="1545"/>
      <c r="BS48" s="366"/>
      <c r="BT48" s="366"/>
      <c r="BU48" s="366"/>
      <c r="BV48" s="366"/>
      <c r="BW48" s="366"/>
    </row>
    <row r="49" spans="2:75">
      <c r="B49" s="532" t="s">
        <v>386</v>
      </c>
      <c r="C49" s="1326"/>
      <c r="D49" s="533"/>
      <c r="E49" s="177"/>
      <c r="F49" s="178"/>
      <c r="G49" s="178"/>
      <c r="H49" s="179"/>
      <c r="I49" s="110"/>
      <c r="J49" s="177"/>
      <c r="K49" s="178"/>
      <c r="L49" s="178"/>
      <c r="M49" s="179"/>
      <c r="N49" s="110"/>
      <c r="O49" s="177"/>
      <c r="P49" s="178"/>
      <c r="Q49" s="178"/>
      <c r="R49" s="179"/>
      <c r="S49" s="110"/>
      <c r="T49" s="177"/>
      <c r="U49" s="178"/>
      <c r="V49" s="178"/>
      <c r="W49" s="179"/>
      <c r="X49" s="110"/>
      <c r="Y49" s="177"/>
      <c r="Z49" s="178"/>
      <c r="AA49" s="178"/>
      <c r="AB49" s="179"/>
      <c r="AC49" s="110"/>
      <c r="AD49" s="177"/>
      <c r="AE49" s="178"/>
      <c r="AF49" s="178"/>
      <c r="AG49" s="179"/>
      <c r="AH49" s="110"/>
      <c r="AI49" s="177"/>
      <c r="AJ49" s="178"/>
      <c r="AK49" s="178"/>
      <c r="AL49" s="179"/>
      <c r="AM49" s="110"/>
      <c r="AN49" s="177"/>
      <c r="AO49" s="178"/>
      <c r="AP49" s="178"/>
      <c r="AQ49" s="179"/>
      <c r="AR49" s="110"/>
      <c r="AS49" s="177"/>
      <c r="AT49" s="178"/>
      <c r="AU49" s="178"/>
      <c r="AV49" s="179"/>
      <c r="AW49" s="110"/>
      <c r="AX49" s="177"/>
      <c r="AY49" s="178"/>
      <c r="AZ49" s="178"/>
      <c r="BA49" s="179"/>
      <c r="BB49" s="110"/>
      <c r="BC49" s="177"/>
      <c r="BD49" s="178"/>
      <c r="BE49" s="178"/>
      <c r="BF49" s="179"/>
      <c r="BG49" s="110"/>
      <c r="BH49" s="177"/>
      <c r="BI49" s="178"/>
      <c r="BJ49" s="178"/>
      <c r="BK49" s="179"/>
      <c r="BL49" s="110"/>
      <c r="BM49" s="177"/>
      <c r="BN49" s="178"/>
      <c r="BO49" s="178"/>
      <c r="BP49" s="179"/>
      <c r="BQ49" s="110"/>
      <c r="BR49" s="1545"/>
      <c r="BS49" s="366"/>
      <c r="BT49" s="366"/>
      <c r="BU49" s="366"/>
      <c r="BV49" s="366"/>
      <c r="BW49" s="366"/>
    </row>
    <row r="50" spans="2:75">
      <c r="B50" s="338"/>
      <c r="C50" s="1280" t="s">
        <v>455</v>
      </c>
      <c r="D50" s="320"/>
      <c r="E50" s="217"/>
      <c r="F50" s="218"/>
      <c r="G50" s="218"/>
      <c r="H50" s="219"/>
      <c r="I50" s="110"/>
      <c r="J50" s="217"/>
      <c r="K50" s="218"/>
      <c r="L50" s="218"/>
      <c r="M50" s="219"/>
      <c r="N50" s="110"/>
      <c r="O50" s="217"/>
      <c r="P50" s="218"/>
      <c r="Q50" s="218"/>
      <c r="R50" s="219"/>
      <c r="S50" s="110"/>
      <c r="T50" s="217"/>
      <c r="U50" s="218"/>
      <c r="V50" s="218"/>
      <c r="W50" s="219"/>
      <c r="X50" s="110"/>
      <c r="Y50" s="217"/>
      <c r="Z50" s="218"/>
      <c r="AA50" s="218"/>
      <c r="AB50" s="219"/>
      <c r="AC50" s="110"/>
      <c r="AD50" s="217"/>
      <c r="AE50" s="218"/>
      <c r="AF50" s="218"/>
      <c r="AG50" s="219"/>
      <c r="AH50" s="110"/>
      <c r="AI50" s="217"/>
      <c r="AJ50" s="218"/>
      <c r="AK50" s="218"/>
      <c r="AL50" s="219"/>
      <c r="AM50" s="110"/>
      <c r="AN50" s="217"/>
      <c r="AO50" s="218"/>
      <c r="AP50" s="218"/>
      <c r="AQ50" s="219"/>
      <c r="AR50" s="110"/>
      <c r="AS50" s="217"/>
      <c r="AT50" s="218"/>
      <c r="AU50" s="218"/>
      <c r="AV50" s="219"/>
      <c r="AW50" s="110"/>
      <c r="AX50" s="217"/>
      <c r="AY50" s="218"/>
      <c r="AZ50" s="218"/>
      <c r="BA50" s="219"/>
      <c r="BB50" s="110"/>
      <c r="BC50" s="217"/>
      <c r="BD50" s="218"/>
      <c r="BE50" s="218"/>
      <c r="BF50" s="219"/>
      <c r="BG50" s="110"/>
      <c r="BH50" s="217"/>
      <c r="BI50" s="218"/>
      <c r="BJ50" s="218"/>
      <c r="BK50" s="219"/>
      <c r="BL50" s="110"/>
      <c r="BM50" s="217"/>
      <c r="BN50" s="218"/>
      <c r="BO50" s="218"/>
      <c r="BP50" s="219"/>
      <c r="BQ50" s="110"/>
      <c r="BR50" s="1545"/>
      <c r="BS50" s="366"/>
      <c r="BT50" s="366"/>
      <c r="BU50" s="366"/>
      <c r="BV50" s="366"/>
      <c r="BW50" s="366"/>
    </row>
    <row r="51" spans="2:75" s="103" customFormat="1">
      <c r="B51" s="422"/>
      <c r="C51" s="1327" t="s">
        <v>451</v>
      </c>
      <c r="D51" s="331"/>
      <c r="E51" s="177"/>
      <c r="F51" s="178"/>
      <c r="G51" s="178"/>
      <c r="H51" s="179"/>
      <c r="I51" s="44"/>
      <c r="J51" s="177"/>
      <c r="K51" s="178"/>
      <c r="L51" s="178"/>
      <c r="M51" s="179"/>
      <c r="N51" s="44"/>
      <c r="O51" s="177"/>
      <c r="P51" s="178"/>
      <c r="Q51" s="178"/>
      <c r="R51" s="179"/>
      <c r="S51" s="44"/>
      <c r="T51" s="177"/>
      <c r="U51" s="178"/>
      <c r="V51" s="178"/>
      <c r="W51" s="179"/>
      <c r="X51" s="518"/>
      <c r="Y51" s="177"/>
      <c r="Z51" s="178"/>
      <c r="AA51" s="178"/>
      <c r="AB51" s="179"/>
      <c r="AC51" s="518"/>
      <c r="AD51" s="177"/>
      <c r="AE51" s="178"/>
      <c r="AF51" s="178"/>
      <c r="AG51" s="179"/>
      <c r="AH51" s="518"/>
      <c r="AI51" s="177"/>
      <c r="AJ51" s="178"/>
      <c r="AK51" s="178"/>
      <c r="AL51" s="179"/>
      <c r="AM51" s="518"/>
      <c r="AN51" s="177"/>
      <c r="AO51" s="178"/>
      <c r="AP51" s="178"/>
      <c r="AQ51" s="179"/>
      <c r="AR51" s="518"/>
      <c r="AS51" s="177"/>
      <c r="AT51" s="178"/>
      <c r="AU51" s="178"/>
      <c r="AV51" s="179"/>
      <c r="AW51" s="518"/>
      <c r="AX51" s="177">
        <f>Debt!AW30</f>
        <v>0</v>
      </c>
      <c r="AY51" s="178">
        <f>Debt!AX30</f>
        <v>1200</v>
      </c>
      <c r="AZ51" s="178">
        <f>Debt!AY30</f>
        <v>0</v>
      </c>
      <c r="BA51" s="179">
        <f>Debt!AZ30</f>
        <v>0</v>
      </c>
      <c r="BB51" s="518">
        <v>1200</v>
      </c>
      <c r="BC51" s="177">
        <f>Debt!BB30</f>
        <v>0</v>
      </c>
      <c r="BD51" s="178">
        <f>Debt!BC30</f>
        <v>0</v>
      </c>
      <c r="BE51" s="178">
        <f>Debt!BD30</f>
        <v>700</v>
      </c>
      <c r="BF51" s="179">
        <f>Debt!BE30</f>
        <v>0</v>
      </c>
      <c r="BG51" s="518">
        <v>700</v>
      </c>
      <c r="BH51" s="177">
        <f>Debt!BG30</f>
        <v>0</v>
      </c>
      <c r="BI51" s="178">
        <f>Debt!BH30</f>
        <v>0</v>
      </c>
      <c r="BJ51" s="178">
        <f>Debt!BI30</f>
        <v>600</v>
      </c>
      <c r="BK51" s="179">
        <f>Debt!BJ30</f>
        <v>0</v>
      </c>
      <c r="BL51" s="518">
        <v>600</v>
      </c>
      <c r="BM51" s="177">
        <f>Debt!BL30</f>
        <v>0</v>
      </c>
      <c r="BN51" s="178">
        <f>Debt!BM30</f>
        <v>0</v>
      </c>
      <c r="BO51" s="178">
        <f>Debt!BN30</f>
        <v>200</v>
      </c>
      <c r="BP51" s="179">
        <f>Debt!BO30</f>
        <v>0</v>
      </c>
      <c r="BQ51" s="518">
        <v>200</v>
      </c>
      <c r="BR51" s="1546"/>
      <c r="BS51" s="1035"/>
      <c r="BT51" s="1035"/>
      <c r="BU51" s="1035"/>
      <c r="BV51" s="1035"/>
      <c r="BW51" s="1035"/>
    </row>
    <row r="52" spans="2:75" s="103" customFormat="1">
      <c r="B52" s="422"/>
      <c r="C52" s="1327" t="s">
        <v>454</v>
      </c>
      <c r="D52" s="331"/>
      <c r="E52" s="177"/>
      <c r="F52" s="178"/>
      <c r="G52" s="178"/>
      <c r="H52" s="179"/>
      <c r="I52" s="44"/>
      <c r="J52" s="177"/>
      <c r="K52" s="178"/>
      <c r="L52" s="178"/>
      <c r="M52" s="179"/>
      <c r="N52" s="44"/>
      <c r="O52" s="177"/>
      <c r="P52" s="178"/>
      <c r="Q52" s="178"/>
      <c r="R52" s="179"/>
      <c r="S52" s="44"/>
      <c r="T52" s="177"/>
      <c r="U52" s="178"/>
      <c r="V52" s="178"/>
      <c r="W52" s="179"/>
      <c r="X52" s="44"/>
      <c r="Y52" s="177"/>
      <c r="Z52" s="178"/>
      <c r="AA52" s="178"/>
      <c r="AB52" s="179"/>
      <c r="AC52" s="44"/>
      <c r="AD52" s="177"/>
      <c r="AE52" s="178"/>
      <c r="AF52" s="178"/>
      <c r="AG52" s="179"/>
      <c r="AH52" s="44"/>
      <c r="AI52" s="177"/>
      <c r="AJ52" s="178"/>
      <c r="AK52" s="178"/>
      <c r="AL52" s="179"/>
      <c r="AM52" s="44"/>
      <c r="AN52" s="177"/>
      <c r="AO52" s="178"/>
      <c r="AP52" s="178"/>
      <c r="AQ52" s="179"/>
      <c r="AR52" s="44"/>
      <c r="AS52" s="177"/>
      <c r="AT52" s="178"/>
      <c r="AU52" s="178"/>
      <c r="AV52" s="179"/>
      <c r="AW52" s="44"/>
      <c r="AX52" s="177">
        <f>Debt!AW22</f>
        <v>0</v>
      </c>
      <c r="AY52" s="178">
        <f>Debt!AX22</f>
        <v>0</v>
      </c>
      <c r="AZ52" s="178">
        <f>Debt!AY22</f>
        <v>0</v>
      </c>
      <c r="BA52" s="179">
        <f>Debt!AZ22</f>
        <v>0</v>
      </c>
      <c r="BB52" s="44">
        <f>+SUM(AX52:BA52)</f>
        <v>0</v>
      </c>
      <c r="BC52" s="177">
        <f>Debt!BB22</f>
        <v>0</v>
      </c>
      <c r="BD52" s="178">
        <f>Debt!BC22</f>
        <v>0</v>
      </c>
      <c r="BE52" s="178">
        <f>Debt!BD22</f>
        <v>0</v>
      </c>
      <c r="BF52" s="179">
        <f>Debt!BE22</f>
        <v>0</v>
      </c>
      <c r="BG52" s="44">
        <f>+SUM(BC52:BF52)</f>
        <v>0</v>
      </c>
      <c r="BH52" s="177">
        <f>Debt!BG22</f>
        <v>0</v>
      </c>
      <c r="BI52" s="178">
        <f>Debt!BH22</f>
        <v>0</v>
      </c>
      <c r="BJ52" s="178">
        <f>Debt!BI22</f>
        <v>-450</v>
      </c>
      <c r="BK52" s="179">
        <f>Debt!BJ22</f>
        <v>0</v>
      </c>
      <c r="BL52" s="44">
        <f>+SUM(BH52:BK52)</f>
        <v>-450</v>
      </c>
      <c r="BM52" s="177">
        <f>Debt!BL22</f>
        <v>0</v>
      </c>
      <c r="BN52" s="178">
        <f>Debt!BM22</f>
        <v>0</v>
      </c>
      <c r="BO52" s="178">
        <f>Debt!BN22</f>
        <v>0</v>
      </c>
      <c r="BP52" s="179">
        <f>Debt!BO22</f>
        <v>0</v>
      </c>
      <c r="BQ52" s="44">
        <f>+SUM(BM52:BP52)</f>
        <v>0</v>
      </c>
      <c r="BR52" s="1546"/>
      <c r="BS52" s="1035"/>
      <c r="BT52" s="1035"/>
      <c r="BU52" s="1035"/>
      <c r="BV52" s="1035"/>
      <c r="BW52" s="1035"/>
    </row>
    <row r="53" spans="2:75">
      <c r="B53" s="5"/>
      <c r="C53" s="1173"/>
      <c r="D53" s="5"/>
      <c r="E53" s="151"/>
      <c r="F53" s="152"/>
      <c r="G53" s="152"/>
      <c r="H53" s="153"/>
      <c r="I53" s="27"/>
      <c r="J53" s="151"/>
      <c r="K53" s="152"/>
      <c r="L53" s="152"/>
      <c r="M53" s="153"/>
      <c r="N53" s="27"/>
      <c r="O53" s="151"/>
      <c r="P53" s="152"/>
      <c r="Q53" s="152"/>
      <c r="R53" s="153"/>
      <c r="S53" s="27"/>
      <c r="T53" s="151"/>
      <c r="U53" s="152"/>
      <c r="V53" s="152"/>
      <c r="W53" s="153"/>
      <c r="X53" s="27"/>
      <c r="Y53" s="151"/>
      <c r="Z53" s="152"/>
      <c r="AA53" s="152"/>
      <c r="AB53" s="153"/>
      <c r="AC53" s="27"/>
      <c r="AD53" s="151"/>
      <c r="AE53" s="152"/>
      <c r="AF53" s="152"/>
      <c r="AG53" s="153"/>
      <c r="AH53" s="27"/>
      <c r="AI53" s="151"/>
      <c r="AJ53" s="152"/>
      <c r="AK53" s="152"/>
      <c r="AL53" s="153"/>
      <c r="AM53" s="27"/>
      <c r="AN53" s="151"/>
      <c r="AO53" s="152"/>
      <c r="AP53" s="152"/>
      <c r="AQ53" s="153"/>
      <c r="AR53" s="27"/>
      <c r="AS53" s="151"/>
      <c r="AT53" s="152"/>
      <c r="AU53" s="152"/>
      <c r="AV53" s="153"/>
      <c r="AW53" s="27"/>
      <c r="AX53" s="151"/>
      <c r="AY53" s="152"/>
      <c r="AZ53" s="152"/>
      <c r="BA53" s="153"/>
      <c r="BB53" s="27"/>
      <c r="BC53" s="151"/>
      <c r="BD53" s="152"/>
      <c r="BE53" s="152"/>
      <c r="BF53" s="153"/>
      <c r="BG53" s="27"/>
      <c r="BH53" s="151"/>
      <c r="BI53" s="152"/>
      <c r="BJ53" s="152"/>
      <c r="BK53" s="153"/>
      <c r="BL53" s="27"/>
      <c r="BM53" s="151"/>
      <c r="BN53" s="152"/>
      <c r="BO53" s="152"/>
      <c r="BP53" s="153"/>
      <c r="BQ53" s="27"/>
      <c r="BR53" s="1499"/>
      <c r="BS53" s="5"/>
      <c r="BT53" s="5"/>
      <c r="BU53" s="5"/>
      <c r="BV53" s="5"/>
      <c r="BW53" s="5"/>
    </row>
    <row r="54" spans="2:75">
      <c r="B54" s="5"/>
      <c r="C54" s="1173"/>
      <c r="D54" s="5"/>
      <c r="E54" s="151"/>
      <c r="F54" s="152"/>
      <c r="G54" s="152"/>
      <c r="H54" s="153"/>
      <c r="I54" s="27"/>
      <c r="J54" s="151"/>
      <c r="K54" s="152"/>
      <c r="L54" s="152"/>
      <c r="M54" s="153"/>
      <c r="N54" s="27"/>
      <c r="O54" s="151"/>
      <c r="P54" s="152"/>
      <c r="Q54" s="152"/>
      <c r="R54" s="153"/>
      <c r="S54" s="27"/>
      <c r="T54" s="151"/>
      <c r="U54" s="152"/>
      <c r="V54" s="152"/>
      <c r="W54" s="153"/>
      <c r="X54" s="27"/>
      <c r="Y54" s="151"/>
      <c r="Z54" s="152"/>
      <c r="AA54" s="152"/>
      <c r="AB54" s="153"/>
      <c r="AC54" s="27"/>
      <c r="AD54" s="151"/>
      <c r="AE54" s="152"/>
      <c r="AF54" s="152"/>
      <c r="AG54" s="153"/>
      <c r="AH54" s="27"/>
      <c r="AI54" s="151"/>
      <c r="AJ54" s="152"/>
      <c r="AK54" s="152"/>
      <c r="AL54" s="153"/>
      <c r="AM54" s="27"/>
      <c r="AN54" s="151"/>
      <c r="AO54" s="152"/>
      <c r="AP54" s="152"/>
      <c r="AQ54" s="153"/>
      <c r="AR54" s="27"/>
      <c r="AS54" s="151"/>
      <c r="AT54" s="152"/>
      <c r="AU54" s="152"/>
      <c r="AV54" s="153"/>
      <c r="AW54" s="27"/>
      <c r="AX54" s="151"/>
      <c r="AY54" s="152"/>
      <c r="AZ54" s="152"/>
      <c r="BA54" s="153"/>
      <c r="BB54" s="27"/>
      <c r="BC54" s="151"/>
      <c r="BD54" s="152"/>
      <c r="BE54" s="152"/>
      <c r="BF54" s="153"/>
      <c r="BG54" s="27"/>
      <c r="BH54" s="151"/>
      <c r="BI54" s="152"/>
      <c r="BJ54" s="152"/>
      <c r="BK54" s="153"/>
      <c r="BL54" s="27"/>
      <c r="BM54" s="151"/>
      <c r="BN54" s="152"/>
      <c r="BO54" s="152"/>
      <c r="BP54" s="153"/>
      <c r="BQ54" s="27"/>
      <c r="BR54" s="1499"/>
      <c r="BS54" s="5"/>
      <c r="BT54" s="5"/>
      <c r="BU54" s="5"/>
      <c r="BV54" s="5"/>
      <c r="BW54" s="5"/>
    </row>
    <row r="55" spans="2:75">
      <c r="B55" s="532" t="s">
        <v>5</v>
      </c>
      <c r="C55" s="1326"/>
      <c r="D55" s="532"/>
      <c r="E55" s="343"/>
      <c r="F55" s="344"/>
      <c r="G55" s="344"/>
      <c r="H55" s="345"/>
      <c r="I55" s="320"/>
      <c r="J55" s="343"/>
      <c r="K55" s="344"/>
      <c r="L55" s="344"/>
      <c r="M55" s="345"/>
      <c r="N55" s="320"/>
      <c r="O55" s="343"/>
      <c r="P55" s="344"/>
      <c r="Q55" s="344"/>
      <c r="R55" s="345"/>
      <c r="S55" s="320"/>
      <c r="T55" s="313"/>
      <c r="U55" s="314"/>
      <c r="V55" s="344"/>
      <c r="W55" s="345"/>
      <c r="X55" s="320"/>
      <c r="Y55" s="343"/>
      <c r="Z55" s="344"/>
      <c r="AA55" s="344"/>
      <c r="AB55" s="345"/>
      <c r="AC55" s="320"/>
      <c r="AD55" s="343"/>
      <c r="AE55" s="344"/>
      <c r="AF55" s="344"/>
      <c r="AG55" s="345"/>
      <c r="AH55" s="320"/>
      <c r="AI55" s="343"/>
      <c r="AJ55" s="344"/>
      <c r="AK55" s="344"/>
      <c r="AL55" s="345"/>
      <c r="AM55" s="320"/>
      <c r="AN55" s="343"/>
      <c r="AO55" s="344"/>
      <c r="AP55" s="344"/>
      <c r="AQ55" s="345"/>
      <c r="AR55" s="320"/>
      <c r="AS55" s="343"/>
      <c r="AT55" s="344"/>
      <c r="AU55" s="344"/>
      <c r="AV55" s="345"/>
      <c r="AW55" s="320"/>
      <c r="AX55" s="343"/>
      <c r="AY55" s="344"/>
      <c r="AZ55" s="344"/>
      <c r="BA55" s="345"/>
      <c r="BB55" s="320"/>
      <c r="BC55" s="343"/>
      <c r="BD55" s="344"/>
      <c r="BE55" s="344"/>
      <c r="BF55" s="345"/>
      <c r="BG55" s="320"/>
      <c r="BH55" s="343"/>
      <c r="BI55" s="344"/>
      <c r="BJ55" s="344"/>
      <c r="BK55" s="345"/>
      <c r="BL55" s="320"/>
      <c r="BM55" s="343"/>
      <c r="BN55" s="344"/>
      <c r="BO55" s="344"/>
      <c r="BP55" s="345"/>
      <c r="BQ55" s="320"/>
      <c r="BR55" s="1530"/>
      <c r="BS55" s="320"/>
      <c r="BT55" s="320"/>
      <c r="BU55" s="320"/>
      <c r="BV55" s="320"/>
      <c r="BW55" s="320"/>
    </row>
    <row r="56" spans="2:75">
      <c r="B56" s="320"/>
      <c r="C56" s="1174" t="s">
        <v>354</v>
      </c>
      <c r="D56" s="320"/>
      <c r="E56" s="197"/>
      <c r="F56" s="198"/>
      <c r="G56" s="198"/>
      <c r="H56" s="193"/>
      <c r="I56" s="357"/>
      <c r="J56" s="197">
        <f>+ETR!J124-Utility!J206-EWC!J454</f>
        <v>80.176000000000442</v>
      </c>
      <c r="K56" s="198">
        <f>+ETR!K124-Utility!K206-EWC!K454</f>
        <v>94.443999999999818</v>
      </c>
      <c r="L56" s="198">
        <f>+ETR!L124-Utility!L206-EWC!L454</f>
        <v>164.2920000000002</v>
      </c>
      <c r="M56" s="193">
        <f>+ETR!M124-Utility!M206-EWC!M454</f>
        <v>119.00599999999908</v>
      </c>
      <c r="N56" s="357">
        <f>SUM(J56:M56)</f>
        <v>457.91799999999955</v>
      </c>
      <c r="O56" s="197">
        <f>+ETR!O124-Utility!O206-EWC!O454</f>
        <v>89.357000000000028</v>
      </c>
      <c r="P56" s="198">
        <f>+ETR!P124-Utility!P206-EWC!P454</f>
        <v>72.190000000000055</v>
      </c>
      <c r="Q56" s="198">
        <f>+ETR!Q124-Utility!Q206-EWC!Q454</f>
        <v>108.94200000000035</v>
      </c>
      <c r="R56" s="193">
        <f>+ETR!R124-Utility!R206-EWC!R454</f>
        <v>-9.6529999999999063</v>
      </c>
      <c r="S56" s="357">
        <f>SUM(O56:R56)</f>
        <v>260.83600000000052</v>
      </c>
      <c r="T56" s="197">
        <f>+ETR!T124-Utility!T206-EWC!T454</f>
        <v>-215.4200000000003</v>
      </c>
      <c r="U56" s="198">
        <f>+ETR!U124-Utility!U206-EWC!U454</f>
        <v>56.490000000000748</v>
      </c>
      <c r="V56" s="198">
        <f>+ETR!V124-Utility!V206-EWC!V454</f>
        <v>35.795999999999935</v>
      </c>
      <c r="W56" s="193">
        <f>+ETR!W124-Utility!W206-EWC!W454</f>
        <v>11.403999999998973</v>
      </c>
      <c r="X56" s="357">
        <f>SUM(T56:W56)</f>
        <v>-111.73000000000064</v>
      </c>
      <c r="Y56" s="197">
        <f>+ETR!Y124-Utility!Y206-EWC!Y454</f>
        <v>37.179000000000315</v>
      </c>
      <c r="Z56" s="198">
        <f>+ETR!Z124-Utility!Z206-EWC!Z454</f>
        <v>-43.0679999999995</v>
      </c>
      <c r="AA56" s="198">
        <f>+ETR!AA124-Utility!AA206-EWC!AA454</f>
        <v>-119.08900000000014</v>
      </c>
      <c r="AB56" s="193">
        <f>+ETR!AB124-Utility!AB206-EWC!AB454</f>
        <v>-2.3370000000013817</v>
      </c>
      <c r="AC56" s="357">
        <f>SUM(Y56:AB56)</f>
        <v>-127.31500000000071</v>
      </c>
      <c r="AD56" s="197">
        <f>+ETR!AD124-Utility!AD206-EWC!AD454</f>
        <v>-39.277999999999679</v>
      </c>
      <c r="AE56" s="198">
        <f>+ETR!AE124-Utility!AE206-EWC!AE454</f>
        <v>-42.917999999999822</v>
      </c>
      <c r="AF56" s="198">
        <f>+ETR!AF124-Utility!AF206-EWC!AF454</f>
        <v>-43.089999999999669</v>
      </c>
      <c r="AG56" s="193">
        <f>+ETR!AG124-Utility!AG206-EWC!AG454</f>
        <v>-43.539000000000343</v>
      </c>
      <c r="AH56" s="357">
        <f>SUM(AD56:AG56)</f>
        <v>-168.82499999999953</v>
      </c>
      <c r="AI56" s="197">
        <f>+ETR!AI124-Utility!AI206-EWC!AI454</f>
        <v>-43.373999999999597</v>
      </c>
      <c r="AJ56" s="198">
        <f>+ETR!AJ124-Utility!AJ206-EWC!AJ454</f>
        <v>-41.889000000000202</v>
      </c>
      <c r="AK56" s="198">
        <f>+ETR!AK124-Utility!AK206-EWC!AK454</f>
        <v>-46.294000000000324</v>
      </c>
      <c r="AL56" s="193">
        <f>+ETR!AL124-Utility!AL206-EWC!AL454</f>
        <v>-54.207000000000448</v>
      </c>
      <c r="AM56" s="357">
        <f>SUM(AI56:AL56)</f>
        <v>-185.76400000000058</v>
      </c>
      <c r="AN56" s="197">
        <f>+ETR!AN124-Utility!AN206-EWC!AN454</f>
        <v>-38.688999999999993</v>
      </c>
      <c r="AO56" s="198">
        <f>+ETR!AO124-Utility!AO206-EWC!AO454</f>
        <v>-53.325000000000301</v>
      </c>
      <c r="AP56" s="198">
        <f>+ETR!AP124-Utility!AP206-EWC!AP454</f>
        <v>-57.764999999999979</v>
      </c>
      <c r="AQ56" s="193">
        <f>+ETR!AQ124-Utility!AQ206-EWC!AQ454</f>
        <v>-53.615999999999985</v>
      </c>
      <c r="AR56" s="357">
        <f>SUM(AN56:AQ56)</f>
        <v>-203.39500000000027</v>
      </c>
      <c r="AS56" s="197">
        <f>+ETR!AS124-Utility!AS206-EWC!AS454</f>
        <v>-50.928999999999775</v>
      </c>
      <c r="AT56" s="198">
        <f>+ETR!AT124-Utility!AT206-EWC!AT454</f>
        <v>-53.45399999999978</v>
      </c>
      <c r="AU56" s="198">
        <f>+ETR!AU124-Utility!AU206-EWC!AU454</f>
        <v>-54.408000000000214</v>
      </c>
      <c r="AV56" s="193">
        <f>+ETR!AV124-Utility!AV206-EWC!AV454</f>
        <v>-183.62900000000099</v>
      </c>
      <c r="AW56" s="357">
        <f>SUM(AS56:AV56)</f>
        <v>-342.42000000000075</v>
      </c>
      <c r="AX56" s="174">
        <f>AX39</f>
        <v>-50.155354105994434</v>
      </c>
      <c r="AY56" s="175">
        <f>AY39</f>
        <v>-61.142386490347306</v>
      </c>
      <c r="AZ56" s="175">
        <f>AZ39</f>
        <v>-58.607532203990431</v>
      </c>
      <c r="BA56" s="176">
        <f>BA39</f>
        <v>-58.54922826416967</v>
      </c>
      <c r="BB56" s="107">
        <f>SUM(AX56:BA56)</f>
        <v>-228.45450106450184</v>
      </c>
      <c r="BC56" s="174">
        <f>BC39</f>
        <v>-55.616916356900035</v>
      </c>
      <c r="BD56" s="175">
        <f>BD39</f>
        <v>-62.398120375437088</v>
      </c>
      <c r="BE56" s="175">
        <f>BE39</f>
        <v>-66.146423274390884</v>
      </c>
      <c r="BF56" s="176">
        <f>BF39</f>
        <v>-64.094319120591933</v>
      </c>
      <c r="BG56" s="107">
        <f>SUM(BC56:BF56)</f>
        <v>-248.25577912731995</v>
      </c>
      <c r="BH56" s="174">
        <f>BH39</f>
        <v>-58.620809780180181</v>
      </c>
      <c r="BI56" s="175">
        <f>BI39</f>
        <v>-67.2359776256678</v>
      </c>
      <c r="BJ56" s="175">
        <f>BJ39</f>
        <v>-70.916842442430763</v>
      </c>
      <c r="BK56" s="176">
        <f>BK39</f>
        <v>-65.483269213000042</v>
      </c>
      <c r="BL56" s="107">
        <f>SUM(BH56:BK56)</f>
        <v>-262.25689906127877</v>
      </c>
      <c r="BM56" s="174">
        <f>BM39</f>
        <v>-62.183881136177227</v>
      </c>
      <c r="BN56" s="175">
        <f>BN39</f>
        <v>-68.173799864293073</v>
      </c>
      <c r="BO56" s="175">
        <f>BO39</f>
        <v>-70.74171079014323</v>
      </c>
      <c r="BP56" s="176">
        <f>BP39</f>
        <v>-66.963666281431159</v>
      </c>
      <c r="BQ56" s="107">
        <f>SUM(BM56:BP56)</f>
        <v>-268.06305807204467</v>
      </c>
      <c r="BR56" s="1496"/>
      <c r="BS56" s="107"/>
      <c r="BT56" s="107"/>
      <c r="BU56" s="107"/>
      <c r="BV56" s="107"/>
      <c r="BW56" s="107"/>
    </row>
    <row r="57" spans="2:75">
      <c r="B57" s="320"/>
      <c r="C57" s="1129" t="s">
        <v>318</v>
      </c>
      <c r="D57" s="320"/>
      <c r="E57" s="197"/>
      <c r="F57" s="198"/>
      <c r="G57" s="198"/>
      <c r="H57" s="193"/>
      <c r="I57" s="357"/>
      <c r="J57" s="197">
        <f>+ETR!J125-Utility!J207-EWC!J455</f>
        <v>195.88500000000002</v>
      </c>
      <c r="K57" s="198">
        <f>+ETR!K125-Utility!K207-EWC!K455</f>
        <v>192.023</v>
      </c>
      <c r="L57" s="198">
        <f>+ETR!L125-Utility!L207-EWC!L455</f>
        <v>206.13099999999997</v>
      </c>
      <c r="M57" s="193">
        <f>+ETR!M125-Utility!M207-EWC!M455</f>
        <v>209.16500000000008</v>
      </c>
      <c r="N57" s="357">
        <f>SUM(J57:M57)</f>
        <v>803.20400000000006</v>
      </c>
      <c r="O57" s="197">
        <f>+ETR!O125-Utility!O207-EWC!O455</f>
        <v>201.80600000000001</v>
      </c>
      <c r="P57" s="198">
        <f>+ETR!P125-Utility!P207-EWC!P455</f>
        <v>210.74</v>
      </c>
      <c r="Q57" s="198">
        <f>+ETR!Q125-Utility!Q207-EWC!Q455</f>
        <v>226.505</v>
      </c>
      <c r="R57" s="193">
        <f>+ETR!R125-Utility!R207-EWC!R455</f>
        <v>187.95100000000002</v>
      </c>
      <c r="S57" s="357">
        <f>SUM(O57:R57)</f>
        <v>827.00200000000007</v>
      </c>
      <c r="T57" s="197">
        <f>+ETR!T125-Utility!T207-EWC!T455</f>
        <v>221.923</v>
      </c>
      <c r="U57" s="198">
        <f>+ETR!U125-Utility!U207-EWC!U455</f>
        <v>157.09700000000001</v>
      </c>
      <c r="V57" s="198">
        <f>+ETR!V125-Utility!V207-EWC!V455</f>
        <v>209.90600000000001</v>
      </c>
      <c r="W57" s="193">
        <f>+ETR!W125-Utility!W207-EWC!W455</f>
        <v>218.54199999999997</v>
      </c>
      <c r="X57" s="357">
        <f>SUM(T57:W57)</f>
        <v>807.46799999999985</v>
      </c>
      <c r="Y57" s="197">
        <f>+ETR!Y125-Utility!Y207-EWC!Y455</f>
        <v>222.40199999999999</v>
      </c>
      <c r="Z57" s="198">
        <f>+ETR!Z125-Utility!Z207-EWC!Z455</f>
        <v>229.827</v>
      </c>
      <c r="AA57" s="198">
        <f>+ETR!AA125-Utility!AA207-EWC!AA455</f>
        <v>255.029</v>
      </c>
      <c r="AB57" s="193">
        <f>+ETR!AB125-Utility!AB207-EWC!AB455</f>
        <v>263.78700000000003</v>
      </c>
      <c r="AC57" s="357">
        <f>SUM(Y57:AB57)</f>
        <v>971.04500000000007</v>
      </c>
      <c r="AD57" s="197">
        <f>+ETR!AD125-Utility!AD207-EWC!AD455</f>
        <v>188.73900000000003</v>
      </c>
      <c r="AE57" s="198">
        <f>+ETR!AE125-Utility!AE207-EWC!AE455</f>
        <v>194.846</v>
      </c>
      <c r="AF57" s="198">
        <f>+ETR!AF125-Utility!AF207-EWC!AF455</f>
        <v>212.36400000000003</v>
      </c>
      <c r="AG57" s="193">
        <f>+ETR!AG125-Utility!AG207-EWC!AG455</f>
        <v>217.00700000000012</v>
      </c>
      <c r="AH57" s="357">
        <f>SUM(AD57:AG57)</f>
        <v>812.95600000000013</v>
      </c>
      <c r="AI57" s="197">
        <f>+ETR!AI125-Utility!AI207-EWC!AI455</f>
        <v>194.45600000000005</v>
      </c>
      <c r="AJ57" s="198">
        <f>+ETR!AJ125-Utility!AJ207-EWC!AJ455</f>
        <v>204.12800000000001</v>
      </c>
      <c r="AK57" s="198">
        <f>+ETR!AK125-Utility!AK207-EWC!AK455</f>
        <v>208.45000000000002</v>
      </c>
      <c r="AL57" s="193">
        <f>+ETR!AL125-Utility!AL207-EWC!AL455</f>
        <v>175.08199999999994</v>
      </c>
      <c r="AM57" s="357">
        <f>SUM(AI57:AL57)</f>
        <v>782.11599999999999</v>
      </c>
      <c r="AN57" s="197">
        <f>+ETR!AN125-Utility!AN207-EWC!AN455</f>
        <v>166.23299999999998</v>
      </c>
      <c r="AO57" s="198">
        <f>+ETR!AO125-Utility!AO207-EWC!AO455</f>
        <v>177.553</v>
      </c>
      <c r="AP57" s="198">
        <f>+ETR!AP125-Utility!AP207-EWC!AP455</f>
        <v>195.983</v>
      </c>
      <c r="AQ57" s="193">
        <f>+ETR!AQ125-Utility!AQ207-EWC!AQ455</f>
        <v>237.98199999999983</v>
      </c>
      <c r="AR57" s="357">
        <f>SUM(AN57:AQ57)</f>
        <v>777.75099999999986</v>
      </c>
      <c r="AS57" s="197">
        <f>+ETR!AS125-Utility!AS207-EWC!AS455</f>
        <v>184.42200000000003</v>
      </c>
      <c r="AT57" s="198">
        <f>+ETR!AT125-Utility!AT207-EWC!AT455</f>
        <v>161.41300000000001</v>
      </c>
      <c r="AU57" s="198">
        <f>+ETR!AU125-Utility!AU207-EWC!AU455</f>
        <v>164.66</v>
      </c>
      <c r="AV57" s="193">
        <f>+ETR!AV125-Utility!AV207-EWC!AV455</f>
        <v>179.78299999999996</v>
      </c>
      <c r="AW57" s="357">
        <f>SUM(AS57:AV57)</f>
        <v>690.27800000000002</v>
      </c>
      <c r="AX57" s="174">
        <f>+AX17</f>
        <v>0.31399999999997874</v>
      </c>
      <c r="AY57" s="175">
        <f>+AY17</f>
        <v>0.44299999999996942</v>
      </c>
      <c r="AZ57" s="175">
        <f>+AZ17</f>
        <v>0.50499999999997414</v>
      </c>
      <c r="BA57" s="176">
        <f>+BA17</f>
        <v>0.4160000000001105</v>
      </c>
      <c r="BB57" s="107">
        <f>SUM(AX57:BA57)</f>
        <v>1.6780000000000328</v>
      </c>
      <c r="BC57" s="174">
        <f>+BC17</f>
        <v>0.31399999999997874</v>
      </c>
      <c r="BD57" s="175">
        <f>+BD17</f>
        <v>0.44299999999996942</v>
      </c>
      <c r="BE57" s="175">
        <f>+BE17</f>
        <v>0.50499999999997414</v>
      </c>
      <c r="BF57" s="176">
        <f>+BF17</f>
        <v>0.4160000000001105</v>
      </c>
      <c r="BG57" s="107">
        <f>SUM(BC57:BF57)</f>
        <v>1.6780000000000328</v>
      </c>
      <c r="BH57" s="174">
        <f>+BH17</f>
        <v>0.31399999999997874</v>
      </c>
      <c r="BI57" s="175">
        <f>+BI17</f>
        <v>0.44299999999996942</v>
      </c>
      <c r="BJ57" s="175">
        <f>+BJ17</f>
        <v>0.50499999999997414</v>
      </c>
      <c r="BK57" s="176">
        <f>+BK17</f>
        <v>0.4160000000001105</v>
      </c>
      <c r="BL57" s="107">
        <f>SUM(BH57:BK57)</f>
        <v>1.6780000000000328</v>
      </c>
      <c r="BM57" s="174">
        <f>+BM17</f>
        <v>0.31399999999997874</v>
      </c>
      <c r="BN57" s="175">
        <f>+BN17</f>
        <v>0.44299999999996942</v>
      </c>
      <c r="BO57" s="175">
        <f>+BO17</f>
        <v>0.50499999999997414</v>
      </c>
      <c r="BP57" s="176">
        <f>+BP17</f>
        <v>0.4160000000001105</v>
      </c>
      <c r="BQ57" s="107">
        <f>SUM(BM57:BP57)</f>
        <v>1.6780000000000328</v>
      </c>
      <c r="BR57" s="1496"/>
      <c r="BS57" s="320"/>
      <c r="BT57" s="320"/>
      <c r="BU57" s="320"/>
      <c r="BV57" s="320"/>
      <c r="BW57" s="320"/>
    </row>
    <row r="58" spans="2:75">
      <c r="B58" s="320"/>
      <c r="C58" s="1125" t="s">
        <v>101</v>
      </c>
      <c r="D58" s="320"/>
      <c r="E58" s="197"/>
      <c r="F58" s="198"/>
      <c r="G58" s="198"/>
      <c r="H58" s="193"/>
      <c r="I58" s="357"/>
      <c r="J58" s="197">
        <f t="shared" ref="J58:AA58" si="158">+J59-SUM(J56:J57)</f>
        <v>-307.06100000000049</v>
      </c>
      <c r="K58" s="198">
        <f t="shared" si="158"/>
        <v>-300.46699999999981</v>
      </c>
      <c r="L58" s="198">
        <f t="shared" si="158"/>
        <v>-245.42300000000017</v>
      </c>
      <c r="M58" s="193">
        <f t="shared" si="158"/>
        <v>-54.17099999999914</v>
      </c>
      <c r="N58" s="357">
        <f t="shared" si="158"/>
        <v>-907.12199999999962</v>
      </c>
      <c r="O58" s="197">
        <f t="shared" si="158"/>
        <v>-309.16300000000001</v>
      </c>
      <c r="P58" s="198">
        <f t="shared" si="158"/>
        <v>-308.93000000000006</v>
      </c>
      <c r="Q58" s="198">
        <f t="shared" si="158"/>
        <v>-389.44700000000034</v>
      </c>
      <c r="R58" s="193">
        <f t="shared" si="158"/>
        <v>192.70199999999988</v>
      </c>
      <c r="S58" s="357">
        <f t="shared" si="158"/>
        <v>-814.83800000000065</v>
      </c>
      <c r="T58" s="197">
        <f t="shared" si="158"/>
        <v>-57.502999999999702</v>
      </c>
      <c r="U58" s="198">
        <f t="shared" si="158"/>
        <v>-243.58700000000076</v>
      </c>
      <c r="V58" s="198">
        <f t="shared" si="158"/>
        <v>-307.70199999999994</v>
      </c>
      <c r="W58" s="193">
        <f t="shared" si="158"/>
        <v>-176.94599999999895</v>
      </c>
      <c r="X58" s="357">
        <f t="shared" si="158"/>
        <v>-785.73799999999915</v>
      </c>
      <c r="Y58" s="197">
        <f t="shared" si="158"/>
        <v>-319.5810000000003</v>
      </c>
      <c r="Z58" s="198">
        <f t="shared" si="158"/>
        <v>293.24099999999953</v>
      </c>
      <c r="AA58" s="198">
        <f t="shared" si="158"/>
        <v>-192.93999999999986</v>
      </c>
      <c r="AB58" s="193">
        <f>+AB59-SUM(AB56:AB57)</f>
        <v>-373.44999999999868</v>
      </c>
      <c r="AC58" s="357">
        <f>+AC59-SUM(AC56:AC57)</f>
        <v>-592.72999999999934</v>
      </c>
      <c r="AD58" s="197">
        <f>+AD59-SUM(AD56:AD57)</f>
        <v>-211.46100000000035</v>
      </c>
      <c r="AE58" s="198">
        <f>+AE59-SUM(AE56:AE57)</f>
        <v>-214.92800000000017</v>
      </c>
      <c r="AF58" s="198">
        <f t="shared" ref="AF58" si="159">+AF59-SUM(AF56:AF57)</f>
        <v>-252.27400000000037</v>
      </c>
      <c r="AG58" s="193">
        <f>+AG59-SUM(AG56:AG57)</f>
        <v>-428.46799999999979</v>
      </c>
      <c r="AH58" s="357">
        <f>+AH59-SUM(AH56:AH57)</f>
        <v>-1107.1310000000005</v>
      </c>
      <c r="AI58" s="197">
        <f>+AI59-SUM(AI56:AI57)</f>
        <v>-202.08200000000045</v>
      </c>
      <c r="AJ58" s="198">
        <f>+AJ59-SUM(AJ56:AJ57)</f>
        <v>-205.23899999999981</v>
      </c>
      <c r="AK58" s="198">
        <f t="shared" ref="AK58" si="160">+AK59-SUM(AK56:AK57)</f>
        <v>-149.15599999999969</v>
      </c>
      <c r="AL58" s="193">
        <f t="shared" ref="AL58:AR58" si="161">+AL59-SUM(AL56:AL57)</f>
        <v>-117.87499999999949</v>
      </c>
      <c r="AM58" s="357">
        <f t="shared" si="161"/>
        <v>-674.35199999999941</v>
      </c>
      <c r="AN58" s="197">
        <f t="shared" si="161"/>
        <v>-189.54399999999998</v>
      </c>
      <c r="AO58" s="198">
        <f t="shared" si="161"/>
        <v>-171.2279999999997</v>
      </c>
      <c r="AP58" s="198">
        <f t="shared" si="161"/>
        <v>-191.21800000000002</v>
      </c>
      <c r="AQ58" s="193">
        <f t="shared" si="161"/>
        <v>-130.36599999999984</v>
      </c>
      <c r="AR58" s="357">
        <f t="shared" si="161"/>
        <v>-682.35599999999954</v>
      </c>
      <c r="AS58" s="197">
        <f t="shared" ref="AS58:AW58" si="162">+AS59-SUM(AS56:AS57)</f>
        <v>-309.49300000000028</v>
      </c>
      <c r="AT58" s="198">
        <f t="shared" si="162"/>
        <v>-158.95900000000023</v>
      </c>
      <c r="AU58" s="198">
        <f t="shared" si="162"/>
        <v>-202.25199999999978</v>
      </c>
      <c r="AV58" s="193">
        <f t="shared" si="162"/>
        <v>-129.15399999999897</v>
      </c>
      <c r="AW58" s="357">
        <f t="shared" si="162"/>
        <v>-799.85799999999927</v>
      </c>
      <c r="AX58" s="174">
        <f>+SUM(ETR!AX126:AX128)-SUM(Utility!AX208:AX210)-SUM(EWC!AX456:AX457)</f>
        <v>-15.990966475727546</v>
      </c>
      <c r="AY58" s="175">
        <f>+SUM(ETR!AY126:AY128)-SUM(Utility!AY208:AY210)-SUM(EWC!AY456:AY457)</f>
        <v>-15.990966475727546</v>
      </c>
      <c r="AZ58" s="175">
        <f>+SUM(ETR!AZ126:AZ128)-SUM(Utility!AZ208:AZ210)-SUM(EWC!AZ456:AZ457)</f>
        <v>-15.990966475727546</v>
      </c>
      <c r="BA58" s="176">
        <f>+SUM(ETR!BA126:BA128)-SUM(Utility!BA208:BA210)-SUM(EWC!BA456:BA457)</f>
        <v>-15.990966475727546</v>
      </c>
      <c r="BB58" s="107">
        <f>SUM(AX58:BA58)</f>
        <v>-63.963865902910186</v>
      </c>
      <c r="BC58" s="174">
        <f>+SUM(ETR!BC126:BC128)-SUM(Utility!BC208:BC210)-SUM(EWC!BC456:BC457)</f>
        <v>26.459432299713548</v>
      </c>
      <c r="BD58" s="175">
        <f>+SUM(ETR!BD126:BD128)-SUM(Utility!BD208:BD210)-SUM(EWC!BD456:BD457)</f>
        <v>26.459432299713548</v>
      </c>
      <c r="BE58" s="175">
        <f>+SUM(ETR!BE126:BE128)-SUM(Utility!BE208:BE210)-SUM(EWC!BE456:BE457)</f>
        <v>26.459432299713548</v>
      </c>
      <c r="BF58" s="176">
        <f>+SUM(ETR!BF126:BF128)-SUM(Utility!BF208:BF210)-SUM(EWC!BF456:BF457)</f>
        <v>26.459432299713534</v>
      </c>
      <c r="BG58" s="107">
        <f>SUM(BC58:BF58)</f>
        <v>105.83772919885419</v>
      </c>
      <c r="BH58" s="174">
        <f>+SUM(ETR!BH126:BH128)-SUM(Utility!BH208:BH210)-SUM(EWC!BH456:BH457)</f>
        <v>110.74063369024753</v>
      </c>
      <c r="BI58" s="175">
        <f>+SUM(ETR!BI126:BI128)-SUM(Utility!BI208:BI210)-SUM(EWC!BI456:BI457)</f>
        <v>110.74063369024753</v>
      </c>
      <c r="BJ58" s="175">
        <f>+SUM(ETR!BJ126:BJ128)-SUM(Utility!BJ208:BJ210)-SUM(EWC!BJ456:BJ457)</f>
        <v>110.74063369024753</v>
      </c>
      <c r="BK58" s="176">
        <f>+SUM(ETR!BK126:BK128)-SUM(Utility!BK208:BK210)-SUM(EWC!BK456:BK457)</f>
        <v>110.74063369024753</v>
      </c>
      <c r="BL58" s="107">
        <f>SUM(BH58:BK58)</f>
        <v>442.96253476099014</v>
      </c>
      <c r="BM58" s="174">
        <f>+SUM(ETR!BM126:BM128)-SUM(Utility!BM208:BM210)-SUM(EWC!BM456:BM457)</f>
        <v>102.36240710076727</v>
      </c>
      <c r="BN58" s="175">
        <f>+SUM(ETR!BN126:BN128)-SUM(Utility!BN208:BN210)-SUM(EWC!BN456:BN457)</f>
        <v>102.36240710076727</v>
      </c>
      <c r="BO58" s="175">
        <f>+SUM(ETR!BO126:BO128)-SUM(Utility!BO208:BO210)-SUM(EWC!BO456:BO457)</f>
        <v>102.36240710076727</v>
      </c>
      <c r="BP58" s="176">
        <f>+SUM(ETR!BP126:BP128)-SUM(Utility!BP208:BP210)-SUM(EWC!BP456:BP457)</f>
        <v>102.36240710076727</v>
      </c>
      <c r="BQ58" s="107">
        <f>SUM(BM58:BP58)</f>
        <v>409.44962840306908</v>
      </c>
      <c r="BR58" s="1496"/>
      <c r="BS58" s="320"/>
      <c r="BT58" s="320"/>
      <c r="BU58" s="320"/>
      <c r="BV58" s="320"/>
      <c r="BW58" s="320"/>
    </row>
    <row r="59" spans="2:75">
      <c r="B59" s="327"/>
      <c r="C59" s="1173" t="s">
        <v>359</v>
      </c>
      <c r="D59" s="327"/>
      <c r="E59" s="448"/>
      <c r="F59" s="449"/>
      <c r="G59" s="449"/>
      <c r="H59" s="182"/>
      <c r="I59" s="496"/>
      <c r="J59" s="430">
        <v>-31</v>
      </c>
      <c r="K59" s="431">
        <v>-14</v>
      </c>
      <c r="L59" s="431">
        <v>125</v>
      </c>
      <c r="M59" s="182">
        <f>N59-SUM(J59:L59)</f>
        <v>274</v>
      </c>
      <c r="N59" s="496">
        <v>354</v>
      </c>
      <c r="O59" s="430">
        <v>-18</v>
      </c>
      <c r="P59" s="431">
        <v>-26</v>
      </c>
      <c r="Q59" s="431">
        <v>-54</v>
      </c>
      <c r="R59" s="182">
        <f>S59-SUM(O59:Q59)</f>
        <v>371</v>
      </c>
      <c r="S59" s="496">
        <v>273</v>
      </c>
      <c r="T59" s="430">
        <v>-51</v>
      </c>
      <c r="U59" s="431">
        <v>-30</v>
      </c>
      <c r="V59" s="431">
        <v>-62</v>
      </c>
      <c r="W59" s="182">
        <f>X59-SUM(T59:V59)</f>
        <v>53</v>
      </c>
      <c r="X59" s="496">
        <v>-90</v>
      </c>
      <c r="Y59" s="430">
        <v>-60</v>
      </c>
      <c r="Z59" s="431">
        <v>480</v>
      </c>
      <c r="AA59" s="431">
        <v>-57</v>
      </c>
      <c r="AB59" s="182">
        <f>AC59-SUM(Y59:AA59)</f>
        <v>-112</v>
      </c>
      <c r="AC59" s="496">
        <v>251</v>
      </c>
      <c r="AD59" s="430">
        <v>-62</v>
      </c>
      <c r="AE59" s="431">
        <v>-63</v>
      </c>
      <c r="AF59" s="431">
        <v>-83</v>
      </c>
      <c r="AG59" s="182">
        <f>AH59-SUM(AD59:AF59)</f>
        <v>-255</v>
      </c>
      <c r="AH59" s="496">
        <v>-463</v>
      </c>
      <c r="AI59" s="430">
        <v>-51</v>
      </c>
      <c r="AJ59" s="431">
        <v>-43</v>
      </c>
      <c r="AK59" s="431">
        <v>13</v>
      </c>
      <c r="AL59" s="182">
        <f>AM59-SUM(AI59:AK59)</f>
        <v>3</v>
      </c>
      <c r="AM59" s="496">
        <v>-78</v>
      </c>
      <c r="AN59" s="430">
        <v>-62</v>
      </c>
      <c r="AO59" s="431">
        <v>-47</v>
      </c>
      <c r="AP59" s="431">
        <v>-53</v>
      </c>
      <c r="AQ59" s="182">
        <f>AR59-SUM(AN59:AP59)</f>
        <v>54</v>
      </c>
      <c r="AR59" s="496">
        <v>-108</v>
      </c>
      <c r="AS59" s="430">
        <v>-176</v>
      </c>
      <c r="AT59" s="431">
        <v>-51</v>
      </c>
      <c r="AU59" s="431">
        <v>-92</v>
      </c>
      <c r="AV59" s="182">
        <f>AW59-SUM(AS59:AU59)</f>
        <v>-133</v>
      </c>
      <c r="AW59" s="496">
        <v>-452</v>
      </c>
      <c r="AX59" s="180">
        <f>+SUM(AX56:AX58)</f>
        <v>-65.832320581722001</v>
      </c>
      <c r="AY59" s="181">
        <f>+SUM(AY56:AY58)</f>
        <v>-76.690352966074883</v>
      </c>
      <c r="AZ59" s="181">
        <f>+SUM(AZ56:AZ58)</f>
        <v>-74.09349867971801</v>
      </c>
      <c r="BA59" s="182">
        <f>+SUM(BA56:BA58)</f>
        <v>-74.124194739897106</v>
      </c>
      <c r="BB59" s="110">
        <f>SUM(BB56:BB58)</f>
        <v>-290.740366967412</v>
      </c>
      <c r="BC59" s="180">
        <f>+SUM(BC56:BC58)</f>
        <v>-28.843484057186508</v>
      </c>
      <c r="BD59" s="181">
        <f>+SUM(BD56:BD58)</f>
        <v>-35.495688075723571</v>
      </c>
      <c r="BE59" s="181">
        <f>+SUM(BE56:BE58)</f>
        <v>-39.181990974677369</v>
      </c>
      <c r="BF59" s="182">
        <f>+SUM(BF56:BF58)</f>
        <v>-37.218886820878289</v>
      </c>
      <c r="BG59" s="110">
        <f>SUM(BG56:BG58)</f>
        <v>-140.74004992846574</v>
      </c>
      <c r="BH59" s="180">
        <f>+SUM(BH56:BH58)</f>
        <v>52.433823910067332</v>
      </c>
      <c r="BI59" s="181">
        <f>+SUM(BI56:BI58)</f>
        <v>43.947656064579704</v>
      </c>
      <c r="BJ59" s="181">
        <f>+SUM(BJ56:BJ58)</f>
        <v>40.328791247816753</v>
      </c>
      <c r="BK59" s="182">
        <f>+SUM(BK56:BK58)</f>
        <v>45.673364477247603</v>
      </c>
      <c r="BL59" s="110">
        <f>SUM(BL56:BL58)</f>
        <v>182.38363569971142</v>
      </c>
      <c r="BM59" s="180">
        <f>+SUM(BM56:BM58)</f>
        <v>40.492525964590023</v>
      </c>
      <c r="BN59" s="181">
        <f>+SUM(BN56:BN58)</f>
        <v>34.631607236474167</v>
      </c>
      <c r="BO59" s="181">
        <f>+SUM(BO56:BO58)</f>
        <v>32.125696310624008</v>
      </c>
      <c r="BP59" s="182">
        <f>+SUM(BP56:BP58)</f>
        <v>35.814740819336222</v>
      </c>
      <c r="BQ59" s="110">
        <f>SUM(BQ56:BQ58)</f>
        <v>143.06457033102447</v>
      </c>
      <c r="BR59" s="939"/>
      <c r="BS59" s="327"/>
      <c r="BT59" s="327"/>
      <c r="BU59" s="327"/>
      <c r="BV59" s="327"/>
      <c r="BW59" s="327"/>
    </row>
    <row r="60" spans="2:75">
      <c r="B60" s="320"/>
      <c r="C60" s="129"/>
      <c r="D60" s="320"/>
      <c r="E60" s="197"/>
      <c r="F60" s="198"/>
      <c r="G60" s="198"/>
      <c r="H60" s="193"/>
      <c r="I60" s="357"/>
      <c r="J60" s="197"/>
      <c r="K60" s="198"/>
      <c r="L60" s="198"/>
      <c r="M60" s="193"/>
      <c r="N60" s="357"/>
      <c r="O60" s="197"/>
      <c r="P60" s="198"/>
      <c r="Q60" s="198"/>
      <c r="R60" s="193"/>
      <c r="S60" s="357"/>
      <c r="T60" s="197"/>
      <c r="U60" s="198"/>
      <c r="V60" s="198"/>
      <c r="W60" s="193"/>
      <c r="X60" s="357"/>
      <c r="Y60" s="174"/>
      <c r="Z60" s="198"/>
      <c r="AA60" s="175"/>
      <c r="AB60" s="193"/>
      <c r="AC60" s="357"/>
      <c r="AD60" s="174"/>
      <c r="AE60" s="198"/>
      <c r="AF60" s="175"/>
      <c r="AG60" s="193"/>
      <c r="AH60" s="357"/>
      <c r="AI60" s="174"/>
      <c r="AJ60" s="198"/>
      <c r="AK60" s="175"/>
      <c r="AL60" s="193"/>
      <c r="AM60" s="357"/>
      <c r="AN60" s="174"/>
      <c r="AO60" s="198"/>
      <c r="AP60" s="198"/>
      <c r="AQ60" s="193"/>
      <c r="AR60" s="357"/>
      <c r="AS60" s="174"/>
      <c r="AT60" s="175"/>
      <c r="AU60" s="175"/>
      <c r="AV60" s="193"/>
      <c r="AW60" s="357"/>
      <c r="AX60" s="174"/>
      <c r="AY60" s="175"/>
      <c r="AZ60" s="175"/>
      <c r="BA60" s="176"/>
      <c r="BB60" s="107"/>
      <c r="BC60" s="174"/>
      <c r="BD60" s="175"/>
      <c r="BE60" s="175"/>
      <c r="BF60" s="176"/>
      <c r="BG60" s="107"/>
      <c r="BH60" s="174"/>
      <c r="BI60" s="175"/>
      <c r="BJ60" s="175"/>
      <c r="BK60" s="176"/>
      <c r="BL60" s="107"/>
      <c r="BM60" s="174"/>
      <c r="BN60" s="175"/>
      <c r="BO60" s="175"/>
      <c r="BP60" s="176"/>
      <c r="BQ60" s="107"/>
      <c r="BR60" s="1496"/>
      <c r="BS60" s="320"/>
      <c r="BT60" s="320"/>
      <c r="BU60" s="320"/>
      <c r="BV60" s="320"/>
      <c r="BW60" s="320"/>
    </row>
    <row r="61" spans="2:75">
      <c r="B61" s="320"/>
      <c r="C61" s="129" t="s">
        <v>709</v>
      </c>
      <c r="D61" s="320"/>
      <c r="E61" s="197"/>
      <c r="F61" s="198"/>
      <c r="G61" s="198"/>
      <c r="H61" s="193"/>
      <c r="I61" s="357"/>
      <c r="J61" s="197">
        <f>+ETR!J131-Utility!J213-EWC!J460</f>
        <v>-1310.1820000000021</v>
      </c>
      <c r="K61" s="198">
        <f>+ETR!K131-Utility!K213-EWC!K460</f>
        <v>534.77099999999677</v>
      </c>
      <c r="L61" s="198">
        <f>+ETR!L131-Utility!L213-EWC!L460</f>
        <v>1287.1890000000024</v>
      </c>
      <c r="M61" s="193">
        <f>+ETR!M131-Utility!M213-EWC!M460</f>
        <v>-176.46599999999899</v>
      </c>
      <c r="N61" s="357">
        <f>SUM(J61:M61)</f>
        <v>335.31199999999808</v>
      </c>
      <c r="O61" s="197">
        <f>+ETR!O131-Utility!O213-EWC!O460</f>
        <v>-1525.9390000000042</v>
      </c>
      <c r="P61" s="198">
        <f>+ETR!P131-Utility!P213-EWC!P460</f>
        <v>1546.7049999999981</v>
      </c>
      <c r="Q61" s="198">
        <f>+ETR!Q131-Utility!Q213-EWC!Q460</f>
        <v>-130.57099999999627</v>
      </c>
      <c r="R61" s="193">
        <f>+ETR!R131-Utility!R213-EWC!R460</f>
        <v>-307.36100000000044</v>
      </c>
      <c r="S61" s="357">
        <f>SUM(O61:R61)</f>
        <v>-417.16600000000278</v>
      </c>
      <c r="T61" s="197">
        <f>+ETR!T131-Utility!T213-EWC!T460</f>
        <v>-100.32700000000045</v>
      </c>
      <c r="U61" s="198">
        <f>+ETR!U131-Utility!U213-EWC!U460</f>
        <v>-176.04300000000035</v>
      </c>
      <c r="V61" s="198">
        <f>+ETR!V131-Utility!V213-EWC!V460</f>
        <v>-2.9389999999981455</v>
      </c>
      <c r="W61" s="193">
        <f>+ETR!W131-Utility!W213-EWC!W460</f>
        <v>80.39900000000398</v>
      </c>
      <c r="X61" s="357">
        <f>SUM(T61:W61)</f>
        <v>-198.90999999999497</v>
      </c>
      <c r="Y61" s="197">
        <f>+ETR!Y131-Utility!Y213-EWC!Y460</f>
        <v>-495.74100000000544</v>
      </c>
      <c r="Z61" s="198">
        <f>+ETR!Z131-Utility!Z213-EWC!Z460</f>
        <v>-195.53099999999495</v>
      </c>
      <c r="AA61" s="198">
        <f>+ETR!AA131-Utility!AA213-EWC!AA460</f>
        <v>-198.43900000000383</v>
      </c>
      <c r="AB61" s="193">
        <f>+ETR!AB131-Utility!AB213-EWC!AB460</f>
        <v>-355.78100000000063</v>
      </c>
      <c r="AC61" s="357">
        <f>SUM(Y61:AB61)</f>
        <v>-1245.4920000000047</v>
      </c>
      <c r="AD61" s="197">
        <f>+ETR!AD131-Utility!AD213-EWC!AD460</f>
        <v>-175.26199999999665</v>
      </c>
      <c r="AE61" s="198">
        <f>+ETR!AE131-Utility!AE213-EWC!AE460</f>
        <v>-129.14700000000079</v>
      </c>
      <c r="AF61" s="198">
        <f>+ETR!AF131-Utility!AF213-EWC!AF460</f>
        <v>-204.20600000000343</v>
      </c>
      <c r="AG61" s="193">
        <f>+ETR!AG131-Utility!AG213-EWC!AG460</f>
        <v>-39.550000000001205</v>
      </c>
      <c r="AH61" s="357">
        <f>SUM(AD61:AG61)</f>
        <v>-548.16500000000201</v>
      </c>
      <c r="AI61" s="197">
        <f>+ETR!AI131-Utility!AI213-EWC!AI460</f>
        <v>-271.13599999999985</v>
      </c>
      <c r="AJ61" s="198">
        <f>+ETR!AJ131-Utility!AJ213-EWC!AJ460</f>
        <v>-216.50799999999356</v>
      </c>
      <c r="AK61" s="198">
        <f>+ETR!AK131-Utility!AK213-EWC!AK460</f>
        <v>-110.32700000000261</v>
      </c>
      <c r="AL61" s="193">
        <f>+ETR!AL131-Utility!AL213-EWC!AL460</f>
        <v>34.648000000000025</v>
      </c>
      <c r="AM61" s="357">
        <f>SUM(AI61:AL61)</f>
        <v>-563.322999999996</v>
      </c>
      <c r="AN61" s="197">
        <f>+ETR!AN131-Utility!AN213-EWC!AN460</f>
        <v>1039.2239999999933</v>
      </c>
      <c r="AO61" s="198">
        <f>+ETR!AO131-Utility!AO213-EWC!AO460</f>
        <v>-417.08399999999426</v>
      </c>
      <c r="AP61" s="198">
        <f>+ETR!AP131-Utility!AP213-EWC!AP460</f>
        <v>-38.023000000004572</v>
      </c>
      <c r="AQ61" s="193">
        <f>+ETR!AQ131-Utility!AQ213-EWC!AQ460</f>
        <v>99.455000000000041</v>
      </c>
      <c r="AR61" s="357">
        <f>SUM(AN61:AQ61)</f>
        <v>683.57199999999455</v>
      </c>
      <c r="AS61" s="197">
        <f>+ETR!AS131-Utility!AS213-EWC!AS460</f>
        <v>85.552000000000021</v>
      </c>
      <c r="AT61" s="198">
        <f>+ETR!AT131-Utility!AT213-EWC!AT460</f>
        <v>-45.26400000000001</v>
      </c>
      <c r="AU61" s="198">
        <f>+ETR!AU131-Utility!AU213-EWC!AU460</f>
        <v>-22.392000000000053</v>
      </c>
      <c r="AV61" s="193">
        <f>+ETR!AV131-Utility!AV213-EWC!AV460</f>
        <v>-105.428</v>
      </c>
      <c r="AW61" s="357">
        <f>SUM(AS61:AV61)</f>
        <v>-87.532000000000039</v>
      </c>
      <c r="AX61" s="174">
        <v>0</v>
      </c>
      <c r="AY61" s="175">
        <v>0</v>
      </c>
      <c r="AZ61" s="175">
        <v>0</v>
      </c>
      <c r="BA61" s="176">
        <v>0</v>
      </c>
      <c r="BB61" s="107">
        <f>SUM(AX61:BA61)</f>
        <v>0</v>
      </c>
      <c r="BC61" s="174">
        <v>0</v>
      </c>
      <c r="BD61" s="175">
        <v>0</v>
      </c>
      <c r="BE61" s="175">
        <v>0</v>
      </c>
      <c r="BF61" s="176">
        <v>0</v>
      </c>
      <c r="BG61" s="107">
        <f>SUM(BC61:BF61)</f>
        <v>0</v>
      </c>
      <c r="BH61" s="174">
        <v>0</v>
      </c>
      <c r="BI61" s="175">
        <v>0</v>
      </c>
      <c r="BJ61" s="175">
        <v>0</v>
      </c>
      <c r="BK61" s="176">
        <v>0</v>
      </c>
      <c r="BL61" s="107">
        <f>SUM(BH61:BK61)</f>
        <v>0</v>
      </c>
      <c r="BM61" s="174">
        <v>0</v>
      </c>
      <c r="BN61" s="175">
        <v>0</v>
      </c>
      <c r="BO61" s="175">
        <v>0</v>
      </c>
      <c r="BP61" s="176">
        <v>0</v>
      </c>
      <c r="BQ61" s="107">
        <f>SUM(BM61:BP61)</f>
        <v>0</v>
      </c>
      <c r="BR61" s="1496"/>
      <c r="BS61" s="320"/>
      <c r="BT61" s="320"/>
      <c r="BU61" s="320"/>
      <c r="BV61" s="320"/>
      <c r="BW61" s="320"/>
    </row>
    <row r="62" spans="2:75">
      <c r="B62" s="320"/>
      <c r="C62" s="129" t="s">
        <v>202</v>
      </c>
      <c r="D62" s="320"/>
      <c r="E62" s="197"/>
      <c r="F62" s="198"/>
      <c r="G62" s="198"/>
      <c r="H62" s="193"/>
      <c r="I62" s="357"/>
      <c r="J62" s="197"/>
      <c r="K62" s="198"/>
      <c r="L62" s="198"/>
      <c r="M62" s="193"/>
      <c r="N62" s="357"/>
      <c r="O62" s="197"/>
      <c r="P62" s="198"/>
      <c r="Q62" s="198"/>
      <c r="R62" s="193"/>
      <c r="S62" s="357"/>
      <c r="T62" s="197"/>
      <c r="U62" s="198"/>
      <c r="V62" s="198"/>
      <c r="W62" s="193"/>
      <c r="X62" s="357"/>
      <c r="Y62" s="174"/>
      <c r="Z62" s="175"/>
      <c r="AA62" s="175"/>
      <c r="AB62" s="193"/>
      <c r="AC62" s="357"/>
      <c r="AD62" s="174"/>
      <c r="AE62" s="175"/>
      <c r="AF62" s="175"/>
      <c r="AG62" s="193"/>
      <c r="AH62" s="357"/>
      <c r="AI62" s="174"/>
      <c r="AJ62" s="175"/>
      <c r="AK62" s="175"/>
      <c r="AL62" s="193"/>
      <c r="AM62" s="357"/>
      <c r="AN62" s="174"/>
      <c r="AO62" s="175"/>
      <c r="AP62" s="175"/>
      <c r="AQ62" s="193"/>
      <c r="AR62" s="357"/>
      <c r="AS62" s="174"/>
      <c r="AT62" s="175"/>
      <c r="AU62" s="175"/>
      <c r="AV62" s="176"/>
      <c r="AW62" s="107"/>
      <c r="AX62" s="174">
        <v>0</v>
      </c>
      <c r="AY62" s="175">
        <v>0</v>
      </c>
      <c r="AZ62" s="175">
        <v>0</v>
      </c>
      <c r="BA62" s="176">
        <v>0</v>
      </c>
      <c r="BB62" s="107">
        <f>SUM(AX62:BA62)</f>
        <v>0</v>
      </c>
      <c r="BC62" s="174">
        <v>0</v>
      </c>
      <c r="BD62" s="175">
        <v>0</v>
      </c>
      <c r="BE62" s="175">
        <v>0</v>
      </c>
      <c r="BF62" s="176">
        <v>0</v>
      </c>
      <c r="BG62" s="107">
        <f>SUM(BC62:BF62)</f>
        <v>0</v>
      </c>
      <c r="BH62" s="174">
        <v>0</v>
      </c>
      <c r="BI62" s="175">
        <v>0</v>
      </c>
      <c r="BJ62" s="175">
        <v>0</v>
      </c>
      <c r="BK62" s="176">
        <v>0</v>
      </c>
      <c r="BL62" s="107">
        <f>SUM(BH62:BK62)</f>
        <v>0</v>
      </c>
      <c r="BM62" s="174">
        <v>0</v>
      </c>
      <c r="BN62" s="175">
        <v>0</v>
      </c>
      <c r="BO62" s="175">
        <v>0</v>
      </c>
      <c r="BP62" s="176">
        <v>0</v>
      </c>
      <c r="BQ62" s="107">
        <f>SUM(BM62:BP62)</f>
        <v>0</v>
      </c>
      <c r="BR62" s="1496"/>
      <c r="BS62" s="320"/>
      <c r="BT62" s="320"/>
      <c r="BU62" s="320"/>
      <c r="BV62" s="320"/>
      <c r="BW62" s="320"/>
    </row>
    <row r="63" spans="2:75">
      <c r="B63" s="327"/>
      <c r="C63" s="1173" t="s">
        <v>361</v>
      </c>
      <c r="D63" s="327"/>
      <c r="E63" s="180"/>
      <c r="F63" s="181"/>
      <c r="G63" s="181"/>
      <c r="H63" s="182"/>
      <c r="I63" s="110"/>
      <c r="J63" s="180"/>
      <c r="K63" s="181"/>
      <c r="L63" s="181"/>
      <c r="M63" s="182"/>
      <c r="N63" s="110"/>
      <c r="O63" s="180"/>
      <c r="P63" s="181"/>
      <c r="Q63" s="181"/>
      <c r="R63" s="182"/>
      <c r="S63" s="110"/>
      <c r="T63" s="180"/>
      <c r="U63" s="181"/>
      <c r="V63" s="181"/>
      <c r="W63" s="182"/>
      <c r="X63" s="110"/>
      <c r="Y63" s="180"/>
      <c r="Z63" s="181"/>
      <c r="AA63" s="181"/>
      <c r="AB63" s="182"/>
      <c r="AC63" s="110"/>
      <c r="AD63" s="180"/>
      <c r="AE63" s="181"/>
      <c r="AF63" s="181"/>
      <c r="AG63" s="182"/>
      <c r="AH63" s="110"/>
      <c r="AI63" s="180"/>
      <c r="AJ63" s="181"/>
      <c r="AK63" s="181"/>
      <c r="AL63" s="182"/>
      <c r="AM63" s="110"/>
      <c r="AN63" s="180"/>
      <c r="AO63" s="181"/>
      <c r="AP63" s="181"/>
      <c r="AQ63" s="182"/>
      <c r="AR63" s="110"/>
      <c r="AS63" s="180"/>
      <c r="AT63" s="181"/>
      <c r="AU63" s="181"/>
      <c r="AV63" s="182"/>
      <c r="AW63" s="110"/>
      <c r="AX63" s="180">
        <f t="shared" ref="AX63:BB63" si="163">SUM(AX61:AX62)</f>
        <v>0</v>
      </c>
      <c r="AY63" s="181">
        <f t="shared" si="163"/>
        <v>0</v>
      </c>
      <c r="AZ63" s="181">
        <f t="shared" si="163"/>
        <v>0</v>
      </c>
      <c r="BA63" s="182">
        <f t="shared" si="163"/>
        <v>0</v>
      </c>
      <c r="BB63" s="110">
        <f t="shared" si="163"/>
        <v>0</v>
      </c>
      <c r="BC63" s="180">
        <f t="shared" ref="BC63:BL63" si="164">SUM(BC61:BC62)</f>
        <v>0</v>
      </c>
      <c r="BD63" s="181">
        <f t="shared" si="164"/>
        <v>0</v>
      </c>
      <c r="BE63" s="181">
        <f t="shared" si="164"/>
        <v>0</v>
      </c>
      <c r="BF63" s="182">
        <f t="shared" si="164"/>
        <v>0</v>
      </c>
      <c r="BG63" s="110">
        <f t="shared" si="164"/>
        <v>0</v>
      </c>
      <c r="BH63" s="180">
        <f t="shared" si="164"/>
        <v>0</v>
      </c>
      <c r="BI63" s="181">
        <f t="shared" si="164"/>
        <v>0</v>
      </c>
      <c r="BJ63" s="181">
        <f t="shared" si="164"/>
        <v>0</v>
      </c>
      <c r="BK63" s="182">
        <f t="shared" si="164"/>
        <v>0</v>
      </c>
      <c r="BL63" s="110">
        <f t="shared" si="164"/>
        <v>0</v>
      </c>
      <c r="BM63" s="180">
        <f t="shared" ref="BM63:BQ63" si="165">SUM(BM61:BM62)</f>
        <v>0</v>
      </c>
      <c r="BN63" s="181">
        <f t="shared" si="165"/>
        <v>0</v>
      </c>
      <c r="BO63" s="181">
        <f t="shared" si="165"/>
        <v>0</v>
      </c>
      <c r="BP63" s="182">
        <f t="shared" si="165"/>
        <v>0</v>
      </c>
      <c r="BQ63" s="110">
        <f t="shared" si="165"/>
        <v>0</v>
      </c>
      <c r="BR63" s="939"/>
      <c r="BS63" s="327"/>
      <c r="BT63" s="327"/>
      <c r="BU63" s="327"/>
      <c r="BV63" s="327"/>
      <c r="BW63" s="327"/>
    </row>
    <row r="64" spans="2:75">
      <c r="B64" s="320"/>
      <c r="C64" s="129"/>
      <c r="D64" s="320"/>
      <c r="E64" s="197"/>
      <c r="F64" s="198"/>
      <c r="G64" s="198"/>
      <c r="H64" s="193"/>
      <c r="I64" s="357"/>
      <c r="J64" s="197"/>
      <c r="K64" s="198"/>
      <c r="L64" s="198"/>
      <c r="M64" s="193"/>
      <c r="N64" s="357"/>
      <c r="O64" s="197"/>
      <c r="P64" s="198"/>
      <c r="Q64" s="198"/>
      <c r="R64" s="193"/>
      <c r="S64" s="357"/>
      <c r="T64" s="197"/>
      <c r="U64" s="198"/>
      <c r="V64" s="198"/>
      <c r="W64" s="193"/>
      <c r="X64" s="357"/>
      <c r="Y64" s="174"/>
      <c r="Z64" s="175"/>
      <c r="AA64" s="175"/>
      <c r="AB64" s="176"/>
      <c r="AC64" s="107"/>
      <c r="AD64" s="174"/>
      <c r="AE64" s="175"/>
      <c r="AF64" s="175"/>
      <c r="AG64" s="176"/>
      <c r="AH64" s="107"/>
      <c r="AI64" s="174"/>
      <c r="AJ64" s="175"/>
      <c r="AK64" s="175"/>
      <c r="AL64" s="176"/>
      <c r="AM64" s="107"/>
      <c r="AN64" s="174"/>
      <c r="AO64" s="175"/>
      <c r="AP64" s="175"/>
      <c r="AQ64" s="176"/>
      <c r="AR64" s="107"/>
      <c r="AS64" s="174"/>
      <c r="AT64" s="175"/>
      <c r="AU64" s="175"/>
      <c r="AV64" s="176"/>
      <c r="AW64" s="107"/>
      <c r="AX64" s="174"/>
      <c r="AY64" s="175"/>
      <c r="AZ64" s="175"/>
      <c r="BA64" s="176"/>
      <c r="BB64" s="107"/>
      <c r="BC64" s="174"/>
      <c r="BD64" s="175"/>
      <c r="BE64" s="175"/>
      <c r="BF64" s="176"/>
      <c r="BG64" s="107"/>
      <c r="BH64" s="174"/>
      <c r="BI64" s="175"/>
      <c r="BJ64" s="175"/>
      <c r="BK64" s="176"/>
      <c r="BL64" s="107"/>
      <c r="BM64" s="174"/>
      <c r="BN64" s="175"/>
      <c r="BO64" s="175"/>
      <c r="BP64" s="176"/>
      <c r="BQ64" s="107"/>
      <c r="BR64" s="1496"/>
      <c r="BS64" s="320"/>
      <c r="BT64" s="320"/>
      <c r="BU64" s="320"/>
      <c r="BV64" s="320"/>
      <c r="BW64" s="320"/>
    </row>
    <row r="65" spans="1:75">
      <c r="B65" s="320"/>
      <c r="C65" s="129" t="s">
        <v>457</v>
      </c>
      <c r="D65" s="320"/>
      <c r="E65" s="197"/>
      <c r="F65" s="198"/>
      <c r="G65" s="198"/>
      <c r="H65" s="193"/>
      <c r="I65" s="357"/>
      <c r="J65" s="197"/>
      <c r="K65" s="198"/>
      <c r="L65" s="198"/>
      <c r="M65" s="193"/>
      <c r="N65" s="357"/>
      <c r="O65" s="197"/>
      <c r="P65" s="198"/>
      <c r="Q65" s="198"/>
      <c r="R65" s="193"/>
      <c r="S65" s="357"/>
      <c r="T65" s="197"/>
      <c r="U65" s="198"/>
      <c r="V65" s="198"/>
      <c r="W65" s="193"/>
      <c r="X65" s="357"/>
      <c r="Y65" s="174"/>
      <c r="Z65" s="175"/>
      <c r="AA65" s="175"/>
      <c r="AB65" s="176"/>
      <c r="AC65" s="107"/>
      <c r="AD65" s="174"/>
      <c r="AE65" s="175"/>
      <c r="AF65" s="175"/>
      <c r="AG65" s="176"/>
      <c r="AH65" s="107"/>
      <c r="AI65" s="174"/>
      <c r="AJ65" s="175"/>
      <c r="AK65" s="175"/>
      <c r="AL65" s="176"/>
      <c r="AM65" s="107"/>
      <c r="AN65" s="174"/>
      <c r="AO65" s="175"/>
      <c r="AP65" s="175"/>
      <c r="AQ65" s="176"/>
      <c r="AR65" s="107"/>
      <c r="AS65" s="174"/>
      <c r="AT65" s="175"/>
      <c r="AU65" s="175"/>
      <c r="AV65" s="176"/>
      <c r="AW65" s="107"/>
      <c r="AX65" s="174">
        <f t="shared" ref="AX65:BA66" si="166">+AX51</f>
        <v>0</v>
      </c>
      <c r="AY65" s="175">
        <f t="shared" si="166"/>
        <v>1200</v>
      </c>
      <c r="AZ65" s="175">
        <f t="shared" si="166"/>
        <v>0</v>
      </c>
      <c r="BA65" s="176">
        <f t="shared" si="166"/>
        <v>0</v>
      </c>
      <c r="BB65" s="107">
        <f t="shared" ref="BB65:BB70" si="167">SUM(AX65:BA65)</f>
        <v>1200</v>
      </c>
      <c r="BC65" s="174">
        <f t="shared" ref="BC65:BF65" si="168">+BC51</f>
        <v>0</v>
      </c>
      <c r="BD65" s="175">
        <f t="shared" si="168"/>
        <v>0</v>
      </c>
      <c r="BE65" s="175">
        <f t="shared" si="168"/>
        <v>700</v>
      </c>
      <c r="BF65" s="176">
        <f t="shared" si="168"/>
        <v>0</v>
      </c>
      <c r="BG65" s="107">
        <f t="shared" ref="BG65:BG70" si="169">SUM(BC65:BF65)</f>
        <v>700</v>
      </c>
      <c r="BH65" s="174">
        <f t="shared" ref="BH65:BK65" si="170">+BH51</f>
        <v>0</v>
      </c>
      <c r="BI65" s="175">
        <f t="shared" si="170"/>
        <v>0</v>
      </c>
      <c r="BJ65" s="175">
        <f t="shared" si="170"/>
        <v>600</v>
      </c>
      <c r="BK65" s="176">
        <f t="shared" si="170"/>
        <v>0</v>
      </c>
      <c r="BL65" s="107">
        <f t="shared" ref="BL65:BL70" si="171">SUM(BH65:BK65)</f>
        <v>600</v>
      </c>
      <c r="BM65" s="174">
        <f t="shared" ref="BM65:BP65" si="172">+BM51</f>
        <v>0</v>
      </c>
      <c r="BN65" s="175">
        <f t="shared" si="172"/>
        <v>0</v>
      </c>
      <c r="BO65" s="175">
        <f t="shared" si="172"/>
        <v>200</v>
      </c>
      <c r="BP65" s="176">
        <f t="shared" si="172"/>
        <v>0</v>
      </c>
      <c r="BQ65" s="107">
        <f t="shared" ref="BQ65:BQ70" si="173">SUM(BM65:BP65)</f>
        <v>200</v>
      </c>
      <c r="BR65" s="1496"/>
      <c r="BS65" s="320"/>
      <c r="BT65" s="320"/>
      <c r="BU65" s="320"/>
      <c r="BV65" s="320"/>
      <c r="BW65" s="320"/>
    </row>
    <row r="66" spans="1:75">
      <c r="B66" s="320"/>
      <c r="C66" s="129" t="s">
        <v>466</v>
      </c>
      <c r="D66" s="320"/>
      <c r="E66" s="197"/>
      <c r="F66" s="198"/>
      <c r="G66" s="198"/>
      <c r="H66" s="193"/>
      <c r="I66" s="357"/>
      <c r="J66" s="197"/>
      <c r="K66" s="198"/>
      <c r="L66" s="198"/>
      <c r="M66" s="193"/>
      <c r="N66" s="357"/>
      <c r="O66" s="197"/>
      <c r="P66" s="198"/>
      <c r="Q66" s="198"/>
      <c r="R66" s="193"/>
      <c r="S66" s="357"/>
      <c r="T66" s="197"/>
      <c r="U66" s="198"/>
      <c r="V66" s="198"/>
      <c r="W66" s="193"/>
      <c r="X66" s="357"/>
      <c r="Y66" s="174"/>
      <c r="Z66" s="175"/>
      <c r="AA66" s="175"/>
      <c r="AB66" s="176"/>
      <c r="AC66" s="107"/>
      <c r="AD66" s="174"/>
      <c r="AE66" s="175"/>
      <c r="AF66" s="175"/>
      <c r="AG66" s="176"/>
      <c r="AH66" s="107"/>
      <c r="AI66" s="174"/>
      <c r="AJ66" s="175"/>
      <c r="AK66" s="175"/>
      <c r="AL66" s="176"/>
      <c r="AM66" s="107"/>
      <c r="AN66" s="174"/>
      <c r="AO66" s="175"/>
      <c r="AP66" s="175"/>
      <c r="AQ66" s="176"/>
      <c r="AR66" s="107"/>
      <c r="AS66" s="174"/>
      <c r="AT66" s="175"/>
      <c r="AU66" s="175"/>
      <c r="AV66" s="176"/>
      <c r="AW66" s="107"/>
      <c r="AX66" s="174">
        <f t="shared" si="166"/>
        <v>0</v>
      </c>
      <c r="AY66" s="175">
        <f t="shared" si="166"/>
        <v>0</v>
      </c>
      <c r="AZ66" s="175">
        <f t="shared" si="166"/>
        <v>0</v>
      </c>
      <c r="BA66" s="176">
        <f t="shared" si="166"/>
        <v>0</v>
      </c>
      <c r="BB66" s="107">
        <f t="shared" si="167"/>
        <v>0</v>
      </c>
      <c r="BC66" s="174">
        <f t="shared" ref="BC66:BF66" si="174">+BC52</f>
        <v>0</v>
      </c>
      <c r="BD66" s="175">
        <f t="shared" si="174"/>
        <v>0</v>
      </c>
      <c r="BE66" s="175">
        <f t="shared" si="174"/>
        <v>0</v>
      </c>
      <c r="BF66" s="176">
        <f t="shared" si="174"/>
        <v>0</v>
      </c>
      <c r="BG66" s="107">
        <f t="shared" si="169"/>
        <v>0</v>
      </c>
      <c r="BH66" s="174">
        <f t="shared" ref="BH66:BK66" si="175">+BH52</f>
        <v>0</v>
      </c>
      <c r="BI66" s="175">
        <f t="shared" si="175"/>
        <v>0</v>
      </c>
      <c r="BJ66" s="175">
        <f t="shared" si="175"/>
        <v>-450</v>
      </c>
      <c r="BK66" s="176">
        <f t="shared" si="175"/>
        <v>0</v>
      </c>
      <c r="BL66" s="107">
        <f t="shared" si="171"/>
        <v>-450</v>
      </c>
      <c r="BM66" s="174">
        <f t="shared" ref="BM66:BP66" si="176">+BM52</f>
        <v>0</v>
      </c>
      <c r="BN66" s="175">
        <f t="shared" si="176"/>
        <v>0</v>
      </c>
      <c r="BO66" s="175">
        <f t="shared" si="176"/>
        <v>0</v>
      </c>
      <c r="BP66" s="176">
        <f t="shared" si="176"/>
        <v>0</v>
      </c>
      <c r="BQ66" s="107">
        <f t="shared" si="173"/>
        <v>0</v>
      </c>
      <c r="BR66" s="1496"/>
      <c r="BS66" s="320"/>
      <c r="BT66" s="320"/>
      <c r="BU66" s="320"/>
      <c r="BV66" s="320"/>
      <c r="BW66" s="320"/>
    </row>
    <row r="67" spans="1:75">
      <c r="B67" s="320"/>
      <c r="C67" s="129" t="s">
        <v>467</v>
      </c>
      <c r="D67" s="320"/>
      <c r="E67" s="197"/>
      <c r="F67" s="198"/>
      <c r="G67" s="198"/>
      <c r="H67" s="193"/>
      <c r="I67" s="357"/>
      <c r="J67" s="197"/>
      <c r="K67" s="198"/>
      <c r="L67" s="198"/>
      <c r="M67" s="193"/>
      <c r="N67" s="357"/>
      <c r="O67" s="197"/>
      <c r="P67" s="198"/>
      <c r="Q67" s="198"/>
      <c r="R67" s="193"/>
      <c r="S67" s="357"/>
      <c r="T67" s="197"/>
      <c r="U67" s="198"/>
      <c r="V67" s="198"/>
      <c r="W67" s="193"/>
      <c r="X67" s="357"/>
      <c r="Y67" s="183"/>
      <c r="Z67" s="184"/>
      <c r="AA67" s="184"/>
      <c r="AB67" s="185"/>
      <c r="AC67" s="107"/>
      <c r="AD67" s="183"/>
      <c r="AE67" s="184"/>
      <c r="AF67" s="184"/>
      <c r="AG67" s="185"/>
      <c r="AH67" s="107"/>
      <c r="AI67" s="183"/>
      <c r="AJ67" s="184"/>
      <c r="AK67" s="184"/>
      <c r="AL67" s="185"/>
      <c r="AM67" s="107"/>
      <c r="AN67" s="183"/>
      <c r="AO67" s="184"/>
      <c r="AP67" s="184"/>
      <c r="AQ67" s="185"/>
      <c r="AR67" s="107"/>
      <c r="AS67" s="183"/>
      <c r="AT67" s="184"/>
      <c r="AU67" s="184"/>
      <c r="AV67" s="185"/>
      <c r="AW67" s="107"/>
      <c r="AX67" s="183">
        <v>0</v>
      </c>
      <c r="AY67" s="184">
        <v>0</v>
      </c>
      <c r="AZ67" s="184">
        <v>0</v>
      </c>
      <c r="BA67" s="185">
        <v>0</v>
      </c>
      <c r="BB67" s="107">
        <f t="shared" si="167"/>
        <v>0</v>
      </c>
      <c r="BC67" s="183">
        <v>0</v>
      </c>
      <c r="BD67" s="184">
        <v>0</v>
      </c>
      <c r="BE67" s="184">
        <v>0</v>
      </c>
      <c r="BF67" s="185">
        <v>0</v>
      </c>
      <c r="BG67" s="107">
        <f t="shared" si="169"/>
        <v>0</v>
      </c>
      <c r="BH67" s="183">
        <v>0</v>
      </c>
      <c r="BI67" s="184">
        <v>0</v>
      </c>
      <c r="BJ67" s="184">
        <v>0</v>
      </c>
      <c r="BK67" s="185">
        <v>0</v>
      </c>
      <c r="BL67" s="107">
        <f t="shared" si="171"/>
        <v>0</v>
      </c>
      <c r="BM67" s="183">
        <v>0</v>
      </c>
      <c r="BN67" s="184">
        <v>0</v>
      </c>
      <c r="BO67" s="184">
        <v>0</v>
      </c>
      <c r="BP67" s="185">
        <v>0</v>
      </c>
      <c r="BQ67" s="107">
        <f t="shared" si="173"/>
        <v>0</v>
      </c>
      <c r="BR67" s="1496"/>
      <c r="BS67" s="320"/>
      <c r="BT67" s="320"/>
      <c r="BU67" s="320"/>
      <c r="BV67" s="320"/>
      <c r="BW67" s="320"/>
    </row>
    <row r="68" spans="1:75">
      <c r="B68" s="320"/>
      <c r="C68" s="129" t="s">
        <v>458</v>
      </c>
      <c r="D68" s="320"/>
      <c r="E68" s="197"/>
      <c r="F68" s="198"/>
      <c r="G68" s="198"/>
      <c r="H68" s="193"/>
      <c r="I68" s="357"/>
      <c r="J68" s="197"/>
      <c r="K68" s="198"/>
      <c r="L68" s="198"/>
      <c r="M68" s="193"/>
      <c r="N68" s="357"/>
      <c r="O68" s="197"/>
      <c r="P68" s="198"/>
      <c r="Q68" s="198"/>
      <c r="R68" s="193"/>
      <c r="S68" s="357"/>
      <c r="T68" s="197"/>
      <c r="U68" s="198"/>
      <c r="V68" s="198"/>
      <c r="W68" s="193"/>
      <c r="X68" s="357"/>
      <c r="Y68" s="183"/>
      <c r="Z68" s="184"/>
      <c r="AA68" s="184"/>
      <c r="AB68" s="185"/>
      <c r="AC68" s="107"/>
      <c r="AD68" s="183"/>
      <c r="AE68" s="184"/>
      <c r="AF68" s="184"/>
      <c r="AG68" s="185"/>
      <c r="AH68" s="107"/>
      <c r="AI68" s="183"/>
      <c r="AJ68" s="184"/>
      <c r="AK68" s="184"/>
      <c r="AL68" s="185"/>
      <c r="AM68" s="107"/>
      <c r="AN68" s="183"/>
      <c r="AO68" s="184"/>
      <c r="AP68" s="184"/>
      <c r="AQ68" s="185"/>
      <c r="AR68" s="107"/>
      <c r="AS68" s="183"/>
      <c r="AT68" s="184"/>
      <c r="AU68" s="184"/>
      <c r="AV68" s="185"/>
      <c r="AW68" s="107"/>
      <c r="AX68" s="183">
        <v>0</v>
      </c>
      <c r="AY68" s="184">
        <v>0</v>
      </c>
      <c r="AZ68" s="184">
        <v>0</v>
      </c>
      <c r="BA68" s="185">
        <v>0</v>
      </c>
      <c r="BB68" s="107">
        <f t="shared" si="167"/>
        <v>0</v>
      </c>
      <c r="BC68" s="183">
        <v>0</v>
      </c>
      <c r="BD68" s="184">
        <v>0</v>
      </c>
      <c r="BE68" s="184">
        <v>0</v>
      </c>
      <c r="BF68" s="185">
        <v>0</v>
      </c>
      <c r="BG68" s="107">
        <f t="shared" si="169"/>
        <v>0</v>
      </c>
      <c r="BH68" s="183">
        <v>0</v>
      </c>
      <c r="BI68" s="184">
        <v>0</v>
      </c>
      <c r="BJ68" s="184">
        <v>0</v>
      </c>
      <c r="BK68" s="185">
        <v>0</v>
      </c>
      <c r="BL68" s="107">
        <f t="shared" si="171"/>
        <v>0</v>
      </c>
      <c r="BM68" s="183">
        <v>0</v>
      </c>
      <c r="BN68" s="184">
        <v>0</v>
      </c>
      <c r="BO68" s="184">
        <v>0</v>
      </c>
      <c r="BP68" s="185">
        <v>0</v>
      </c>
      <c r="BQ68" s="107">
        <f t="shared" si="173"/>
        <v>0</v>
      </c>
      <c r="BR68" s="1496"/>
      <c r="BS68" s="320"/>
      <c r="BT68" s="320"/>
      <c r="BU68" s="320"/>
      <c r="BV68" s="320"/>
      <c r="BW68" s="320"/>
    </row>
    <row r="69" spans="1:75">
      <c r="B69" s="320"/>
      <c r="C69" s="129" t="s">
        <v>468</v>
      </c>
      <c r="D69" s="320"/>
      <c r="E69" s="197"/>
      <c r="F69" s="198"/>
      <c r="G69" s="198"/>
      <c r="H69" s="193"/>
      <c r="I69" s="357"/>
      <c r="J69" s="197"/>
      <c r="K69" s="198"/>
      <c r="L69" s="198"/>
      <c r="M69" s="193"/>
      <c r="N69" s="357"/>
      <c r="O69" s="197"/>
      <c r="P69" s="198"/>
      <c r="Q69" s="198"/>
      <c r="R69" s="193"/>
      <c r="S69" s="357"/>
      <c r="T69" s="197"/>
      <c r="U69" s="198"/>
      <c r="V69" s="198"/>
      <c r="W69" s="193"/>
      <c r="X69" s="357"/>
      <c r="Y69" s="174"/>
      <c r="Z69" s="175"/>
      <c r="AA69" s="175"/>
      <c r="AB69" s="176"/>
      <c r="AC69" s="107"/>
      <c r="AD69" s="174"/>
      <c r="AE69" s="175"/>
      <c r="AF69" s="175"/>
      <c r="AG69" s="176"/>
      <c r="AH69" s="107"/>
      <c r="AI69" s="174"/>
      <c r="AJ69" s="175"/>
      <c r="AK69" s="175"/>
      <c r="AL69" s="176"/>
      <c r="AM69" s="107"/>
      <c r="AN69" s="174"/>
      <c r="AO69" s="175"/>
      <c r="AP69" s="175"/>
      <c r="AQ69" s="176"/>
      <c r="AR69" s="107"/>
      <c r="AS69" s="174"/>
      <c r="AT69" s="175"/>
      <c r="AU69" s="175"/>
      <c r="AV69" s="176"/>
      <c r="AW69" s="107"/>
      <c r="AX69" s="174">
        <v>0</v>
      </c>
      <c r="AY69" s="175">
        <v>0</v>
      </c>
      <c r="AZ69" s="175">
        <v>0</v>
      </c>
      <c r="BA69" s="176">
        <v>0</v>
      </c>
      <c r="BB69" s="107">
        <f t="shared" si="167"/>
        <v>0</v>
      </c>
      <c r="BC69" s="174">
        <v>0</v>
      </c>
      <c r="BD69" s="175">
        <v>0</v>
      </c>
      <c r="BE69" s="175">
        <v>0</v>
      </c>
      <c r="BF69" s="176">
        <v>0</v>
      </c>
      <c r="BG69" s="107">
        <f t="shared" si="169"/>
        <v>0</v>
      </c>
      <c r="BH69" s="174">
        <v>0</v>
      </c>
      <c r="BI69" s="175">
        <v>0</v>
      </c>
      <c r="BJ69" s="175">
        <v>0</v>
      </c>
      <c r="BK69" s="176">
        <v>0</v>
      </c>
      <c r="BL69" s="107">
        <f t="shared" si="171"/>
        <v>0</v>
      </c>
      <c r="BM69" s="174">
        <v>0</v>
      </c>
      <c r="BN69" s="175">
        <v>0</v>
      </c>
      <c r="BO69" s="175">
        <v>0</v>
      </c>
      <c r="BP69" s="176">
        <v>0</v>
      </c>
      <c r="BQ69" s="107">
        <f t="shared" si="173"/>
        <v>0</v>
      </c>
      <c r="BR69" s="1496"/>
      <c r="BS69" s="320"/>
      <c r="BT69" s="320"/>
      <c r="BU69" s="320"/>
      <c r="BV69" s="320"/>
      <c r="BW69" s="320"/>
    </row>
    <row r="70" spans="1:75">
      <c r="B70" s="320"/>
      <c r="C70" s="129" t="s">
        <v>363</v>
      </c>
      <c r="D70" s="320"/>
      <c r="E70" s="197"/>
      <c r="F70" s="198"/>
      <c r="G70" s="198"/>
      <c r="H70" s="193"/>
      <c r="I70" s="357"/>
      <c r="J70" s="197"/>
      <c r="K70" s="198"/>
      <c r="L70" s="198"/>
      <c r="M70" s="193"/>
      <c r="N70" s="357"/>
      <c r="O70" s="197"/>
      <c r="P70" s="198"/>
      <c r="Q70" s="198"/>
      <c r="R70" s="193"/>
      <c r="S70" s="357"/>
      <c r="T70" s="197"/>
      <c r="U70" s="198"/>
      <c r="V70" s="198"/>
      <c r="W70" s="193"/>
      <c r="X70" s="357"/>
      <c r="Y70" s="183"/>
      <c r="Z70" s="184"/>
      <c r="AA70" s="184"/>
      <c r="AB70" s="185"/>
      <c r="AC70" s="107"/>
      <c r="AD70" s="183"/>
      <c r="AE70" s="184"/>
      <c r="AF70" s="184"/>
      <c r="AG70" s="185"/>
      <c r="AH70" s="107"/>
      <c r="AI70" s="183"/>
      <c r="AJ70" s="184"/>
      <c r="AK70" s="184"/>
      <c r="AL70" s="185"/>
      <c r="AM70" s="107"/>
      <c r="AN70" s="183"/>
      <c r="AO70" s="184"/>
      <c r="AP70" s="184"/>
      <c r="AQ70" s="185"/>
      <c r="AR70" s="107"/>
      <c r="AS70" s="183"/>
      <c r="AT70" s="184"/>
      <c r="AU70" s="184"/>
      <c r="AV70" s="185"/>
      <c r="AW70" s="107"/>
      <c r="AX70" s="183">
        <v>0</v>
      </c>
      <c r="AY70" s="184">
        <v>0</v>
      </c>
      <c r="AZ70" s="184">
        <v>0</v>
      </c>
      <c r="BA70" s="185">
        <v>0</v>
      </c>
      <c r="BB70" s="107">
        <f t="shared" si="167"/>
        <v>0</v>
      </c>
      <c r="BC70" s="183">
        <v>0</v>
      </c>
      <c r="BD70" s="184">
        <v>0</v>
      </c>
      <c r="BE70" s="184">
        <v>0</v>
      </c>
      <c r="BF70" s="185">
        <v>0</v>
      </c>
      <c r="BG70" s="107">
        <f t="shared" si="169"/>
        <v>0</v>
      </c>
      <c r="BH70" s="183">
        <v>0</v>
      </c>
      <c r="BI70" s="184">
        <v>0</v>
      </c>
      <c r="BJ70" s="184">
        <v>0</v>
      </c>
      <c r="BK70" s="185">
        <v>0</v>
      </c>
      <c r="BL70" s="107">
        <f t="shared" si="171"/>
        <v>0</v>
      </c>
      <c r="BM70" s="183">
        <v>0</v>
      </c>
      <c r="BN70" s="184">
        <v>0</v>
      </c>
      <c r="BO70" s="184">
        <v>0</v>
      </c>
      <c r="BP70" s="185">
        <v>0</v>
      </c>
      <c r="BQ70" s="107">
        <f t="shared" si="173"/>
        <v>0</v>
      </c>
      <c r="BR70" s="1496"/>
      <c r="BS70" s="320"/>
      <c r="BT70" s="320"/>
      <c r="BU70" s="320"/>
      <c r="BV70" s="320"/>
      <c r="BW70" s="320"/>
    </row>
    <row r="71" spans="1:75">
      <c r="B71" s="327"/>
      <c r="C71" s="1173" t="s">
        <v>364</v>
      </c>
      <c r="D71" s="327"/>
      <c r="E71" s="180"/>
      <c r="F71" s="181"/>
      <c r="G71" s="181"/>
      <c r="H71" s="182"/>
      <c r="I71" s="110"/>
      <c r="J71" s="180"/>
      <c r="K71" s="181"/>
      <c r="L71" s="181"/>
      <c r="M71" s="182"/>
      <c r="N71" s="110"/>
      <c r="O71" s="180"/>
      <c r="P71" s="181"/>
      <c r="Q71" s="181"/>
      <c r="R71" s="182"/>
      <c r="S71" s="110"/>
      <c r="T71" s="180"/>
      <c r="U71" s="181"/>
      <c r="V71" s="181"/>
      <c r="W71" s="182"/>
      <c r="X71" s="110"/>
      <c r="Y71" s="180"/>
      <c r="Z71" s="181"/>
      <c r="AA71" s="181"/>
      <c r="AB71" s="182"/>
      <c r="AC71" s="110"/>
      <c r="AD71" s="180"/>
      <c r="AE71" s="181"/>
      <c r="AF71" s="181"/>
      <c r="AG71" s="182"/>
      <c r="AH71" s="110"/>
      <c r="AI71" s="180"/>
      <c r="AJ71" s="181"/>
      <c r="AK71" s="181"/>
      <c r="AL71" s="182"/>
      <c r="AM71" s="110"/>
      <c r="AN71" s="180"/>
      <c r="AO71" s="181"/>
      <c r="AP71" s="181"/>
      <c r="AQ71" s="182"/>
      <c r="AR71" s="110"/>
      <c r="AS71" s="180"/>
      <c r="AT71" s="181"/>
      <c r="AU71" s="181"/>
      <c r="AV71" s="182"/>
      <c r="AW71" s="110"/>
      <c r="AX71" s="180">
        <f t="shared" ref="AX71:BL71" si="177">SUM(AX65:AX70)</f>
        <v>0</v>
      </c>
      <c r="AY71" s="181">
        <f t="shared" si="177"/>
        <v>1200</v>
      </c>
      <c r="AZ71" s="181">
        <f t="shared" si="177"/>
        <v>0</v>
      </c>
      <c r="BA71" s="182">
        <f t="shared" si="177"/>
        <v>0</v>
      </c>
      <c r="BB71" s="110">
        <f t="shared" si="177"/>
        <v>1200</v>
      </c>
      <c r="BC71" s="180">
        <f t="shared" si="177"/>
        <v>0</v>
      </c>
      <c r="BD71" s="181">
        <f t="shared" si="177"/>
        <v>0</v>
      </c>
      <c r="BE71" s="181">
        <f t="shared" si="177"/>
        <v>700</v>
      </c>
      <c r="BF71" s="182">
        <f t="shared" si="177"/>
        <v>0</v>
      </c>
      <c r="BG71" s="110">
        <f t="shared" si="177"/>
        <v>700</v>
      </c>
      <c r="BH71" s="180">
        <f t="shared" si="177"/>
        <v>0</v>
      </c>
      <c r="BI71" s="181">
        <f t="shared" si="177"/>
        <v>0</v>
      </c>
      <c r="BJ71" s="181">
        <f t="shared" si="177"/>
        <v>150</v>
      </c>
      <c r="BK71" s="182">
        <f t="shared" si="177"/>
        <v>0</v>
      </c>
      <c r="BL71" s="110">
        <f t="shared" si="177"/>
        <v>150</v>
      </c>
      <c r="BM71" s="180">
        <f t="shared" ref="BM71:BQ71" si="178">SUM(BM65:BM70)</f>
        <v>0</v>
      </c>
      <c r="BN71" s="181">
        <f t="shared" si="178"/>
        <v>0</v>
      </c>
      <c r="BO71" s="181">
        <f t="shared" si="178"/>
        <v>200</v>
      </c>
      <c r="BP71" s="182">
        <f t="shared" si="178"/>
        <v>0</v>
      </c>
      <c r="BQ71" s="110">
        <f t="shared" si="178"/>
        <v>200</v>
      </c>
      <c r="BR71" s="939"/>
      <c r="BS71" s="327"/>
      <c r="BT71" s="327"/>
      <c r="BU71" s="327"/>
      <c r="BV71" s="327"/>
      <c r="BW71" s="327"/>
    </row>
    <row r="72" spans="1:75">
      <c r="B72" s="320"/>
      <c r="C72" s="129"/>
      <c r="D72" s="320"/>
      <c r="E72" s="197"/>
      <c r="F72" s="198"/>
      <c r="G72" s="198"/>
      <c r="H72" s="193"/>
      <c r="I72" s="357"/>
      <c r="J72" s="197"/>
      <c r="K72" s="198"/>
      <c r="L72" s="198"/>
      <c r="M72" s="193"/>
      <c r="N72" s="357"/>
      <c r="O72" s="197"/>
      <c r="P72" s="198"/>
      <c r="Q72" s="198"/>
      <c r="R72" s="193"/>
      <c r="S72" s="357"/>
      <c r="T72" s="197"/>
      <c r="U72" s="198"/>
      <c r="V72" s="198"/>
      <c r="W72" s="193"/>
      <c r="X72" s="357"/>
      <c r="Y72" s="174"/>
      <c r="Z72" s="175"/>
      <c r="AA72" s="175"/>
      <c r="AB72" s="176"/>
      <c r="AC72" s="107"/>
      <c r="AD72" s="174"/>
      <c r="AE72" s="175"/>
      <c r="AF72" s="175"/>
      <c r="AG72" s="176"/>
      <c r="AH72" s="107"/>
      <c r="AI72" s="174"/>
      <c r="AJ72" s="175"/>
      <c r="AK72" s="175"/>
      <c r="AL72" s="176"/>
      <c r="AM72" s="107"/>
      <c r="AN72" s="174"/>
      <c r="AO72" s="175"/>
      <c r="AP72" s="175"/>
      <c r="AQ72" s="176"/>
      <c r="AR72" s="107"/>
      <c r="AS72" s="174"/>
      <c r="AT72" s="175"/>
      <c r="AU72" s="175"/>
      <c r="AV72" s="176"/>
      <c r="AW72" s="107"/>
      <c r="AX72" s="174"/>
      <c r="AY72" s="175"/>
      <c r="AZ72" s="175"/>
      <c r="BA72" s="176"/>
      <c r="BB72" s="107"/>
      <c r="BC72" s="174"/>
      <c r="BD72" s="175"/>
      <c r="BE72" s="175"/>
      <c r="BF72" s="176"/>
      <c r="BG72" s="107"/>
      <c r="BH72" s="174"/>
      <c r="BI72" s="175"/>
      <c r="BJ72" s="175"/>
      <c r="BK72" s="176"/>
      <c r="BL72" s="107"/>
      <c r="BM72" s="174"/>
      <c r="BN72" s="175"/>
      <c r="BO72" s="175"/>
      <c r="BP72" s="176"/>
      <c r="BQ72" s="107"/>
      <c r="BR72" s="1496"/>
      <c r="BS72" s="320"/>
      <c r="BT72" s="320"/>
      <c r="BU72" s="320"/>
      <c r="BV72" s="320"/>
      <c r="BW72" s="320"/>
    </row>
    <row r="73" spans="1:75">
      <c r="B73" s="320"/>
      <c r="C73" s="1173" t="s">
        <v>365</v>
      </c>
      <c r="D73" s="320"/>
      <c r="E73" s="248"/>
      <c r="F73" s="246"/>
      <c r="G73" s="246"/>
      <c r="H73" s="247"/>
      <c r="I73" s="245"/>
      <c r="J73" s="248"/>
      <c r="K73" s="246"/>
      <c r="L73" s="246"/>
      <c r="M73" s="247"/>
      <c r="N73" s="245"/>
      <c r="O73" s="248"/>
      <c r="P73" s="246"/>
      <c r="Q73" s="246"/>
      <c r="R73" s="247"/>
      <c r="S73" s="245"/>
      <c r="T73" s="248"/>
      <c r="U73" s="246"/>
      <c r="V73" s="246"/>
      <c r="W73" s="247"/>
      <c r="X73" s="245"/>
      <c r="Y73" s="180"/>
      <c r="Z73" s="181"/>
      <c r="AA73" s="181"/>
      <c r="AB73" s="182"/>
      <c r="AC73" s="110"/>
      <c r="AD73" s="180"/>
      <c r="AE73" s="181"/>
      <c r="AF73" s="181"/>
      <c r="AG73" s="182"/>
      <c r="AH73" s="110"/>
      <c r="AI73" s="180"/>
      <c r="AJ73" s="181"/>
      <c r="AK73" s="181"/>
      <c r="AL73" s="182"/>
      <c r="AM73" s="110"/>
      <c r="AN73" s="180"/>
      <c r="AO73" s="181"/>
      <c r="AP73" s="181"/>
      <c r="AQ73" s="182"/>
      <c r="AR73" s="110"/>
      <c r="AS73" s="180"/>
      <c r="AT73" s="181"/>
      <c r="AU73" s="181"/>
      <c r="AV73" s="182"/>
      <c r="AW73" s="110"/>
      <c r="AX73" s="180">
        <f t="shared" ref="AX73:BB73" si="179">AX59+AX63+AX71</f>
        <v>-65.832320581722001</v>
      </c>
      <c r="AY73" s="181">
        <f t="shared" si="179"/>
        <v>1123.3096470339251</v>
      </c>
      <c r="AZ73" s="181">
        <f t="shared" si="179"/>
        <v>-74.09349867971801</v>
      </c>
      <c r="BA73" s="182">
        <f t="shared" si="179"/>
        <v>-74.124194739897106</v>
      </c>
      <c r="BB73" s="110">
        <f t="shared" si="179"/>
        <v>909.259633032588</v>
      </c>
      <c r="BC73" s="180">
        <f t="shared" ref="BC73:BL73" si="180">BC59+BC63+BC71</f>
        <v>-28.843484057186508</v>
      </c>
      <c r="BD73" s="181">
        <f t="shared" si="180"/>
        <v>-35.495688075723571</v>
      </c>
      <c r="BE73" s="181">
        <f t="shared" si="180"/>
        <v>660.81800902532268</v>
      </c>
      <c r="BF73" s="182">
        <f t="shared" si="180"/>
        <v>-37.218886820878289</v>
      </c>
      <c r="BG73" s="110">
        <f t="shared" si="180"/>
        <v>559.25995007153426</v>
      </c>
      <c r="BH73" s="180">
        <f t="shared" si="180"/>
        <v>52.433823910067332</v>
      </c>
      <c r="BI73" s="181">
        <f t="shared" si="180"/>
        <v>43.947656064579704</v>
      </c>
      <c r="BJ73" s="181">
        <f t="shared" si="180"/>
        <v>190.32879124781675</v>
      </c>
      <c r="BK73" s="182">
        <f t="shared" si="180"/>
        <v>45.673364477247603</v>
      </c>
      <c r="BL73" s="110">
        <f t="shared" si="180"/>
        <v>332.38363569971142</v>
      </c>
      <c r="BM73" s="180">
        <f t="shared" ref="BM73:BQ73" si="181">BM59+BM63+BM71</f>
        <v>40.492525964590023</v>
      </c>
      <c r="BN73" s="181">
        <f t="shared" si="181"/>
        <v>34.631607236474167</v>
      </c>
      <c r="BO73" s="181">
        <f t="shared" si="181"/>
        <v>232.12569631062399</v>
      </c>
      <c r="BP73" s="182">
        <f t="shared" si="181"/>
        <v>35.814740819336222</v>
      </c>
      <c r="BQ73" s="110">
        <f t="shared" si="181"/>
        <v>343.06457033102447</v>
      </c>
      <c r="BR73" s="939"/>
      <c r="BS73" s="110"/>
      <c r="BT73" s="110"/>
      <c r="BU73" s="110"/>
      <c r="BV73" s="110"/>
      <c r="BW73" s="110"/>
    </row>
    <row r="74" spans="1:75">
      <c r="A74" s="320"/>
      <c r="B74" s="320"/>
      <c r="C74" s="1167"/>
      <c r="D74" s="320"/>
      <c r="E74" s="569"/>
      <c r="F74" s="570"/>
      <c r="G74" s="570"/>
      <c r="H74" s="571"/>
      <c r="I74" s="5"/>
      <c r="J74" s="569"/>
      <c r="K74" s="570"/>
      <c r="L74" s="570"/>
      <c r="M74" s="571"/>
      <c r="N74" s="5"/>
      <c r="O74" s="569"/>
      <c r="P74" s="570"/>
      <c r="Q74" s="570"/>
      <c r="R74" s="571"/>
      <c r="S74" s="5"/>
      <c r="T74" s="569"/>
      <c r="U74" s="570"/>
      <c r="V74" s="570"/>
      <c r="W74" s="571"/>
      <c r="X74" s="5"/>
      <c r="Y74" s="569"/>
      <c r="Z74" s="570"/>
      <c r="AA74" s="570"/>
      <c r="AB74" s="571"/>
      <c r="AC74" s="5"/>
      <c r="AD74" s="569"/>
      <c r="AE74" s="570"/>
      <c r="AF74" s="570"/>
      <c r="AG74" s="571"/>
      <c r="AH74" s="5"/>
      <c r="AI74" s="569"/>
      <c r="AJ74" s="570"/>
      <c r="AK74" s="570"/>
      <c r="AL74" s="571"/>
      <c r="AM74" s="5"/>
      <c r="AN74" s="569"/>
      <c r="AO74" s="570"/>
      <c r="AP74" s="570"/>
      <c r="AQ74" s="571"/>
      <c r="AR74" s="5"/>
      <c r="AS74" s="569"/>
      <c r="AT74" s="570"/>
      <c r="AU74" s="570"/>
      <c r="AV74" s="571"/>
      <c r="AW74" s="107"/>
      <c r="AX74" s="569"/>
      <c r="AY74" s="570"/>
      <c r="AZ74" s="570"/>
      <c r="BA74" s="571"/>
      <c r="BB74" s="107"/>
      <c r="BC74" s="569"/>
      <c r="BD74" s="570"/>
      <c r="BE74" s="570"/>
      <c r="BF74" s="571"/>
      <c r="BG74" s="107"/>
      <c r="BH74" s="569"/>
      <c r="BI74" s="570"/>
      <c r="BJ74" s="570"/>
      <c r="BK74" s="571"/>
      <c r="BL74" s="107"/>
      <c r="BM74" s="569"/>
      <c r="BN74" s="570"/>
      <c r="BO74" s="570"/>
      <c r="BP74" s="571"/>
      <c r="BQ74" s="107"/>
    </row>
  </sheetData>
  <phoneticPr fontId="2" type="noConversion"/>
  <conditionalFormatting sqref="C57">
    <cfRule type="cellIs" dxfId="0" priority="1" stopIfTrue="1" operator="equal">
      <formula>0</formula>
    </cfRule>
  </conditionalFormatting>
  <pageMargins left="0.75" right="0.75" top="1" bottom="1" header="0.5" footer="0.5"/>
  <pageSetup scale="53" orientation="portrait" r:id="rId1"/>
  <headerFooter alignWithMargins="0"/>
  <colBreaks count="1" manualBreakCount="1">
    <brk id="50" min="1" max="290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W223"/>
  <sheetViews>
    <sheetView zoomScale="85" zoomScaleNormal="85" workbookViewId="0">
      <pane xSplit="4" ySplit="5" topLeftCell="E6" activePane="bottomRight" state="frozen"/>
      <selection activeCell="I6" sqref="I6"/>
      <selection pane="topRight" activeCell="I6" sqref="I6"/>
      <selection pane="bottomLeft" activeCell="I6" sqref="I6"/>
      <selection pane="bottomRight" activeCell="E6" sqref="E6"/>
    </sheetView>
  </sheetViews>
  <sheetFormatPr defaultRowHeight="12.75" outlineLevelCol="1"/>
  <cols>
    <col min="1" max="2" width="2.7109375" customWidth="1"/>
    <col min="3" max="3" width="54.42578125" customWidth="1"/>
    <col min="4" max="4" width="2.7109375" customWidth="1"/>
    <col min="6" max="7" width="8" bestFit="1" customWidth="1"/>
    <col min="11" max="11" width="2.7109375" customWidth="1"/>
    <col min="12" max="13" width="9.140625" hidden="1" customWidth="1"/>
    <col min="14" max="17" width="9.140625" hidden="1" customWidth="1" outlineLevel="1"/>
    <col min="18" max="18" width="9.140625" customWidth="1" collapsed="1"/>
    <col min="19" max="22" width="9.140625" hidden="1" customWidth="1" outlineLevel="1"/>
    <col min="23" max="23" width="9.140625" customWidth="1" collapsed="1"/>
    <col min="24" max="27" width="9.140625" hidden="1" customWidth="1" outlineLevel="1"/>
    <col min="28" max="28" width="9.140625" customWidth="1" collapsed="1"/>
    <col min="29" max="32" width="9.140625" hidden="1" customWidth="1" outlineLevel="1"/>
    <col min="33" max="33" width="9.140625" collapsed="1"/>
    <col min="34" max="37" width="9.140625" hidden="1" customWidth="1" outlineLevel="1"/>
    <col min="38" max="38" width="9.140625" collapsed="1"/>
    <col min="39" max="42" width="9.140625" hidden="1" customWidth="1" outlineLevel="1"/>
    <col min="43" max="43" width="9.140625" collapsed="1"/>
    <col min="44" max="47" width="9.140625" hidden="1" customWidth="1" outlineLevel="1"/>
    <col min="48" max="48" width="9.140625" collapsed="1"/>
    <col min="49" max="52" width="9.140625" hidden="1" customWidth="1" outlineLevel="1"/>
    <col min="53" max="53" width="9.140625" collapsed="1"/>
    <col min="54" max="57" width="9.140625" hidden="1" customWidth="1" outlineLevel="1"/>
    <col min="58" max="58" width="9.140625" collapsed="1"/>
    <col min="59" max="62" width="9.140625" hidden="1" customWidth="1" outlineLevel="1"/>
    <col min="63" max="63" width="9.140625" collapsed="1"/>
    <col min="64" max="67" width="9.140625" hidden="1" customWidth="1" outlineLevel="1"/>
    <col min="68" max="68" width="9.140625" collapsed="1"/>
    <col min="69" max="69" width="1.7109375" customWidth="1"/>
    <col min="70" max="71" width="0" hidden="1" customWidth="1"/>
    <col min="72" max="75" width="9.140625" hidden="1" customWidth="1" outlineLevel="1"/>
    <col min="76" max="76" width="9.140625" collapsed="1"/>
    <col min="77" max="80" width="9.140625" hidden="1" customWidth="1" outlineLevel="1"/>
    <col min="81" max="81" width="9.140625" collapsed="1"/>
    <col min="82" max="85" width="9.140625" hidden="1" customWidth="1" outlineLevel="1"/>
    <col min="86" max="86" width="9.140625" collapsed="1"/>
    <col min="87" max="90" width="9.140625" hidden="1" customWidth="1" outlineLevel="1"/>
    <col min="91" max="91" width="9.140625" collapsed="1"/>
    <col min="92" max="95" width="9.140625" hidden="1" customWidth="1" outlineLevel="1"/>
    <col min="96" max="96" width="9.140625" collapsed="1"/>
    <col min="97" max="100" width="9.140625" hidden="1" customWidth="1" outlineLevel="1"/>
    <col min="101" max="101" width="9.140625" collapsed="1"/>
    <col min="102" max="105" width="9.140625" hidden="1" customWidth="1" outlineLevel="1"/>
    <col min="106" max="106" width="9.140625" collapsed="1"/>
    <col min="107" max="110" width="9.140625" customWidth="1" outlineLevel="1"/>
    <col min="112" max="115" width="9.140625" hidden="1" customWidth="1" outlineLevel="1"/>
    <col min="116" max="116" width="9.140625" collapsed="1"/>
    <col min="117" max="120" width="9.140625" hidden="1" customWidth="1" outlineLevel="1"/>
    <col min="121" max="121" width="9.140625" collapsed="1"/>
    <col min="122" max="125" width="9.140625" hidden="1" customWidth="1" outlineLevel="1"/>
    <col min="126" max="126" width="9.140625" collapsed="1"/>
  </cols>
  <sheetData>
    <row r="1" spans="1:126" ht="18">
      <c r="A1" s="9"/>
      <c r="B1" s="9"/>
      <c r="C1" s="1168"/>
      <c r="D1" s="11"/>
      <c r="E1" s="12"/>
      <c r="F1" s="12"/>
      <c r="G1" s="12"/>
      <c r="H1" s="1344"/>
      <c r="I1" s="1329"/>
      <c r="J1" s="1340"/>
      <c r="K1" s="12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45"/>
      <c r="CX1" s="45"/>
      <c r="CY1" s="45"/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  <c r="DM1" s="45"/>
      <c r="DN1" s="45"/>
      <c r="DO1" s="45"/>
      <c r="DP1" s="45"/>
      <c r="DQ1" s="45"/>
      <c r="DR1" s="45"/>
      <c r="DS1" s="45"/>
      <c r="DT1" s="45"/>
      <c r="DU1" s="45"/>
      <c r="DV1" s="45"/>
    </row>
    <row r="2" spans="1:126" ht="18">
      <c r="A2" s="9"/>
      <c r="B2" s="1897" t="str">
        <f>Cover!B2</f>
        <v>Entergy Corporation</v>
      </c>
      <c r="C2" s="1168"/>
      <c r="D2" s="11"/>
      <c r="E2" s="12"/>
      <c r="F2" s="12"/>
      <c r="G2" s="12"/>
      <c r="H2" s="1344"/>
      <c r="I2" s="1329"/>
      <c r="J2" s="1340"/>
      <c r="K2" s="12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</row>
    <row r="3" spans="1:126" ht="15.75">
      <c r="A3" s="10"/>
      <c r="B3" s="46" t="s">
        <v>120</v>
      </c>
      <c r="C3" s="1169"/>
      <c r="D3" s="12"/>
      <c r="E3" s="12"/>
      <c r="F3" s="12"/>
      <c r="G3" s="12"/>
      <c r="H3" s="1344"/>
      <c r="I3" s="1329"/>
      <c r="J3" s="1340"/>
      <c r="K3" s="12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</row>
    <row r="4" spans="1:126">
      <c r="A4" s="1895"/>
      <c r="B4" s="15" t="s">
        <v>321</v>
      </c>
      <c r="C4" s="1896"/>
      <c r="D4" s="1895"/>
      <c r="E4" s="14"/>
      <c r="F4" s="14"/>
      <c r="G4" s="14"/>
      <c r="H4" s="1345"/>
      <c r="I4" s="1330"/>
      <c r="J4" s="1341"/>
      <c r="K4" s="14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</row>
    <row r="5" spans="1:126">
      <c r="A5" s="47"/>
      <c r="B5" s="47" t="s">
        <v>121</v>
      </c>
      <c r="C5" s="1354"/>
      <c r="D5" s="48"/>
      <c r="E5" s="49" t="s">
        <v>119</v>
      </c>
      <c r="F5" s="50">
        <v>2017</v>
      </c>
      <c r="G5" s="50">
        <v>2016</v>
      </c>
      <c r="H5" s="1346" t="s">
        <v>122</v>
      </c>
      <c r="I5" s="1331" t="s">
        <v>123</v>
      </c>
      <c r="J5" s="51" t="s">
        <v>124</v>
      </c>
      <c r="K5" s="52"/>
      <c r="L5" s="53">
        <v>2009</v>
      </c>
      <c r="M5" s="53">
        <v>2010</v>
      </c>
      <c r="N5" s="55" t="s">
        <v>656</v>
      </c>
      <c r="O5" s="56" t="s">
        <v>657</v>
      </c>
      <c r="P5" s="56" t="s">
        <v>658</v>
      </c>
      <c r="Q5" s="57" t="s">
        <v>659</v>
      </c>
      <c r="R5" s="53">
        <v>2011</v>
      </c>
      <c r="S5" s="55" t="s">
        <v>150</v>
      </c>
      <c r="T5" s="56" t="s">
        <v>797</v>
      </c>
      <c r="U5" s="56" t="s">
        <v>108</v>
      </c>
      <c r="V5" s="57" t="s">
        <v>109</v>
      </c>
      <c r="W5" s="1049">
        <v>2012</v>
      </c>
      <c r="X5" s="55" t="s">
        <v>723</v>
      </c>
      <c r="Y5" s="56" t="s">
        <v>428</v>
      </c>
      <c r="Z5" s="56" t="s">
        <v>426</v>
      </c>
      <c r="AA5" s="57" t="s">
        <v>800</v>
      </c>
      <c r="AB5" s="1049">
        <v>2013</v>
      </c>
      <c r="AC5" s="55" t="s">
        <v>801</v>
      </c>
      <c r="AD5" s="56" t="s">
        <v>278</v>
      </c>
      <c r="AE5" s="56" t="s">
        <v>891</v>
      </c>
      <c r="AF5" s="57" t="s">
        <v>892</v>
      </c>
      <c r="AG5" s="1049">
        <v>2014</v>
      </c>
      <c r="AH5" s="55" t="s">
        <v>928</v>
      </c>
      <c r="AI5" s="56" t="s">
        <v>929</v>
      </c>
      <c r="AJ5" s="396" t="s">
        <v>930</v>
      </c>
      <c r="AK5" s="57" t="s">
        <v>949</v>
      </c>
      <c r="AL5" s="1049">
        <v>2015</v>
      </c>
      <c r="AM5" s="395" t="s">
        <v>952</v>
      </c>
      <c r="AN5" s="56" t="s">
        <v>962</v>
      </c>
      <c r="AO5" s="56" t="s">
        <v>987</v>
      </c>
      <c r="AP5" s="57" t="s">
        <v>1010</v>
      </c>
      <c r="AQ5" s="1049">
        <v>2016</v>
      </c>
      <c r="AR5" s="395" t="s">
        <v>1022</v>
      </c>
      <c r="AS5" s="56" t="s">
        <v>1023</v>
      </c>
      <c r="AT5" s="56" t="s">
        <v>1032</v>
      </c>
      <c r="AU5" s="57" t="s">
        <v>1037</v>
      </c>
      <c r="AV5" s="1049">
        <v>2017</v>
      </c>
      <c r="AW5" s="55" t="s">
        <v>279</v>
      </c>
      <c r="AX5" s="56" t="s">
        <v>280</v>
      </c>
      <c r="AY5" s="56" t="s">
        <v>281</v>
      </c>
      <c r="AZ5" s="57" t="s">
        <v>282</v>
      </c>
      <c r="BA5" s="54">
        <v>2018</v>
      </c>
      <c r="BB5" s="55" t="s">
        <v>909</v>
      </c>
      <c r="BC5" s="56" t="s">
        <v>910</v>
      </c>
      <c r="BD5" s="56" t="s">
        <v>911</v>
      </c>
      <c r="BE5" s="57" t="s">
        <v>912</v>
      </c>
      <c r="BF5" s="54">
        <v>2019</v>
      </c>
      <c r="BG5" s="55" t="s">
        <v>904</v>
      </c>
      <c r="BH5" s="56" t="s">
        <v>905</v>
      </c>
      <c r="BI5" s="56" t="s">
        <v>906</v>
      </c>
      <c r="BJ5" s="57" t="s">
        <v>907</v>
      </c>
      <c r="BK5" s="54">
        <v>2020</v>
      </c>
      <c r="BL5" s="55" t="s">
        <v>988</v>
      </c>
      <c r="BM5" s="56" t="s">
        <v>989</v>
      </c>
      <c r="BN5" s="56" t="s">
        <v>990</v>
      </c>
      <c r="BO5" s="57" t="s">
        <v>991</v>
      </c>
      <c r="BP5" s="54">
        <v>2021</v>
      </c>
      <c r="BQ5" s="58"/>
      <c r="BR5" s="53">
        <v>2009</v>
      </c>
      <c r="BS5" s="53">
        <v>2010</v>
      </c>
      <c r="BT5" s="55" t="s">
        <v>656</v>
      </c>
      <c r="BU5" s="56" t="s">
        <v>657</v>
      </c>
      <c r="BV5" s="56" t="s">
        <v>658</v>
      </c>
      <c r="BW5" s="57" t="s">
        <v>659</v>
      </c>
      <c r="BX5" s="53">
        <v>2011</v>
      </c>
      <c r="BY5" s="55" t="s">
        <v>150</v>
      </c>
      <c r="BZ5" s="56" t="s">
        <v>797</v>
      </c>
      <c r="CA5" s="56" t="s">
        <v>108</v>
      </c>
      <c r="CB5" s="57" t="s">
        <v>109</v>
      </c>
      <c r="CC5" s="1049">
        <v>2012</v>
      </c>
      <c r="CD5" s="55" t="s">
        <v>723</v>
      </c>
      <c r="CE5" s="56" t="s">
        <v>428</v>
      </c>
      <c r="CF5" s="56" t="s">
        <v>426</v>
      </c>
      <c r="CG5" s="57" t="s">
        <v>800</v>
      </c>
      <c r="CH5" s="1049">
        <v>2013</v>
      </c>
      <c r="CI5" s="55" t="s">
        <v>801</v>
      </c>
      <c r="CJ5" s="56" t="s">
        <v>278</v>
      </c>
      <c r="CK5" s="56" t="s">
        <v>891</v>
      </c>
      <c r="CL5" s="57" t="s">
        <v>892</v>
      </c>
      <c r="CM5" s="1049">
        <v>2014</v>
      </c>
      <c r="CN5" s="55" t="s">
        <v>928</v>
      </c>
      <c r="CO5" s="56" t="s">
        <v>929</v>
      </c>
      <c r="CP5" s="396" t="s">
        <v>930</v>
      </c>
      <c r="CQ5" s="57" t="s">
        <v>949</v>
      </c>
      <c r="CR5" s="1049">
        <v>2015</v>
      </c>
      <c r="CS5" s="395" t="s">
        <v>952</v>
      </c>
      <c r="CT5" s="56" t="s">
        <v>962</v>
      </c>
      <c r="CU5" s="56" t="s">
        <v>987</v>
      </c>
      <c r="CV5" s="57" t="s">
        <v>1010</v>
      </c>
      <c r="CW5" s="1049">
        <v>2016</v>
      </c>
      <c r="CX5" s="395" t="s">
        <v>1022</v>
      </c>
      <c r="CY5" s="56" t="s">
        <v>1023</v>
      </c>
      <c r="CZ5" s="56" t="s">
        <v>1032</v>
      </c>
      <c r="DA5" s="57" t="s">
        <v>1037</v>
      </c>
      <c r="DB5" s="1049">
        <v>2017</v>
      </c>
      <c r="DC5" s="55" t="s">
        <v>279</v>
      </c>
      <c r="DD5" s="56" t="s">
        <v>280</v>
      </c>
      <c r="DE5" s="56" t="s">
        <v>281</v>
      </c>
      <c r="DF5" s="57" t="s">
        <v>282</v>
      </c>
      <c r="DG5" s="54">
        <v>2018</v>
      </c>
      <c r="DH5" s="55" t="s">
        <v>909</v>
      </c>
      <c r="DI5" s="56" t="s">
        <v>910</v>
      </c>
      <c r="DJ5" s="56" t="s">
        <v>911</v>
      </c>
      <c r="DK5" s="57" t="s">
        <v>912</v>
      </c>
      <c r="DL5" s="54">
        <v>2019</v>
      </c>
      <c r="DM5" s="55" t="s">
        <v>904</v>
      </c>
      <c r="DN5" s="56" t="s">
        <v>905</v>
      </c>
      <c r="DO5" s="56" t="s">
        <v>906</v>
      </c>
      <c r="DP5" s="57" t="s">
        <v>907</v>
      </c>
      <c r="DQ5" s="54">
        <v>2020</v>
      </c>
      <c r="DR5" s="55" t="s">
        <v>988</v>
      </c>
      <c r="DS5" s="56" t="s">
        <v>989</v>
      </c>
      <c r="DT5" s="56" t="s">
        <v>990</v>
      </c>
      <c r="DU5" s="57" t="s">
        <v>991</v>
      </c>
      <c r="DV5" s="54">
        <v>2021</v>
      </c>
    </row>
    <row r="6" spans="1:126" ht="13.5" thickBot="1">
      <c r="A6" s="8"/>
      <c r="B6" s="59"/>
      <c r="C6" s="1355"/>
      <c r="D6" s="60"/>
      <c r="E6" s="61" t="s">
        <v>319</v>
      </c>
      <c r="F6" s="62"/>
      <c r="G6" s="62"/>
      <c r="H6" s="1347"/>
      <c r="I6" s="1332"/>
      <c r="J6" s="63"/>
      <c r="K6" s="64"/>
      <c r="L6" s="65" t="s">
        <v>125</v>
      </c>
      <c r="M6" s="65" t="s">
        <v>125</v>
      </c>
      <c r="N6" s="66" t="s">
        <v>125</v>
      </c>
      <c r="O6" s="67" t="s">
        <v>125</v>
      </c>
      <c r="P6" s="67" t="s">
        <v>125</v>
      </c>
      <c r="Q6" s="68" t="s">
        <v>125</v>
      </c>
      <c r="R6" s="65" t="s">
        <v>125</v>
      </c>
      <c r="S6" s="66" t="s">
        <v>125</v>
      </c>
      <c r="T6" s="67" t="s">
        <v>125</v>
      </c>
      <c r="U6" s="67" t="s">
        <v>125</v>
      </c>
      <c r="V6" s="68" t="s">
        <v>125</v>
      </c>
      <c r="W6" s="65" t="s">
        <v>125</v>
      </c>
      <c r="X6" s="66" t="s">
        <v>125</v>
      </c>
      <c r="Y6" s="67" t="s">
        <v>125</v>
      </c>
      <c r="Z6" s="67" t="s">
        <v>125</v>
      </c>
      <c r="AA6" s="68" t="s">
        <v>125</v>
      </c>
      <c r="AB6" s="65" t="s">
        <v>125</v>
      </c>
      <c r="AC6" s="66" t="s">
        <v>125</v>
      </c>
      <c r="AD6" s="67" t="s">
        <v>125</v>
      </c>
      <c r="AE6" s="67" t="s">
        <v>125</v>
      </c>
      <c r="AF6" s="68" t="s">
        <v>125</v>
      </c>
      <c r="AG6" s="65" t="s">
        <v>125</v>
      </c>
      <c r="AH6" s="66" t="s">
        <v>125</v>
      </c>
      <c r="AI6" s="67" t="s">
        <v>125</v>
      </c>
      <c r="AJ6" s="67" t="s">
        <v>125</v>
      </c>
      <c r="AK6" s="68" t="s">
        <v>125</v>
      </c>
      <c r="AL6" s="65" t="s">
        <v>125</v>
      </c>
      <c r="AM6" s="66" t="s">
        <v>125</v>
      </c>
      <c r="AN6" s="67" t="s">
        <v>125</v>
      </c>
      <c r="AO6" s="67" t="s">
        <v>125</v>
      </c>
      <c r="AP6" s="68" t="s">
        <v>125</v>
      </c>
      <c r="AQ6" s="65" t="s">
        <v>125</v>
      </c>
      <c r="AR6" s="66" t="s">
        <v>125</v>
      </c>
      <c r="AS6" s="67" t="s">
        <v>125</v>
      </c>
      <c r="AT6" s="67" t="s">
        <v>125</v>
      </c>
      <c r="AU6" s="68" t="s">
        <v>125</v>
      </c>
      <c r="AV6" s="65" t="s">
        <v>125</v>
      </c>
      <c r="AW6" s="66" t="s">
        <v>125</v>
      </c>
      <c r="AX6" s="67" t="s">
        <v>125</v>
      </c>
      <c r="AY6" s="67" t="s">
        <v>125</v>
      </c>
      <c r="AZ6" s="68" t="s">
        <v>125</v>
      </c>
      <c r="BA6" s="65" t="s">
        <v>125</v>
      </c>
      <c r="BB6" s="66" t="s">
        <v>125</v>
      </c>
      <c r="BC6" s="67" t="s">
        <v>125</v>
      </c>
      <c r="BD6" s="67" t="s">
        <v>125</v>
      </c>
      <c r="BE6" s="68" t="s">
        <v>125</v>
      </c>
      <c r="BF6" s="65" t="s">
        <v>125</v>
      </c>
      <c r="BG6" s="66" t="s">
        <v>125</v>
      </c>
      <c r="BH6" s="67" t="s">
        <v>125</v>
      </c>
      <c r="BI6" s="67" t="s">
        <v>125</v>
      </c>
      <c r="BJ6" s="68" t="s">
        <v>125</v>
      </c>
      <c r="BK6" s="65" t="s">
        <v>125</v>
      </c>
      <c r="BL6" s="66" t="s">
        <v>125</v>
      </c>
      <c r="BM6" s="67" t="s">
        <v>125</v>
      </c>
      <c r="BN6" s="67" t="s">
        <v>125</v>
      </c>
      <c r="BO6" s="68" t="s">
        <v>125</v>
      </c>
      <c r="BP6" s="65" t="s">
        <v>125</v>
      </c>
      <c r="BQ6" s="69"/>
      <c r="BR6" s="65" t="s">
        <v>227</v>
      </c>
      <c r="BS6" s="65" t="s">
        <v>227</v>
      </c>
      <c r="BT6" s="66" t="s">
        <v>227</v>
      </c>
      <c r="BU6" s="67" t="s">
        <v>227</v>
      </c>
      <c r="BV6" s="67" t="s">
        <v>227</v>
      </c>
      <c r="BW6" s="68" t="s">
        <v>227</v>
      </c>
      <c r="BX6" s="65" t="s">
        <v>227</v>
      </c>
      <c r="BY6" s="66" t="s">
        <v>227</v>
      </c>
      <c r="BZ6" s="67" t="s">
        <v>227</v>
      </c>
      <c r="CA6" s="67" t="s">
        <v>227</v>
      </c>
      <c r="CB6" s="68" t="s">
        <v>227</v>
      </c>
      <c r="CC6" s="65" t="s">
        <v>227</v>
      </c>
      <c r="CD6" s="66" t="s">
        <v>227</v>
      </c>
      <c r="CE6" s="67" t="s">
        <v>227</v>
      </c>
      <c r="CF6" s="67" t="s">
        <v>227</v>
      </c>
      <c r="CG6" s="68" t="s">
        <v>227</v>
      </c>
      <c r="CH6" s="65" t="s">
        <v>227</v>
      </c>
      <c r="CI6" s="66" t="s">
        <v>227</v>
      </c>
      <c r="CJ6" s="67" t="s">
        <v>227</v>
      </c>
      <c r="CK6" s="67" t="s">
        <v>227</v>
      </c>
      <c r="CL6" s="68" t="s">
        <v>227</v>
      </c>
      <c r="CM6" s="65" t="s">
        <v>227</v>
      </c>
      <c r="CN6" s="66" t="s">
        <v>227</v>
      </c>
      <c r="CO6" s="67" t="s">
        <v>227</v>
      </c>
      <c r="CP6" s="67" t="s">
        <v>227</v>
      </c>
      <c r="CQ6" s="68" t="s">
        <v>227</v>
      </c>
      <c r="CR6" s="65" t="s">
        <v>227</v>
      </c>
      <c r="CS6" s="66" t="s">
        <v>227</v>
      </c>
      <c r="CT6" s="67" t="s">
        <v>227</v>
      </c>
      <c r="CU6" s="67" t="s">
        <v>227</v>
      </c>
      <c r="CV6" s="68" t="s">
        <v>227</v>
      </c>
      <c r="CW6" s="65" t="s">
        <v>227</v>
      </c>
      <c r="CX6" s="66" t="s">
        <v>227</v>
      </c>
      <c r="CY6" s="67" t="s">
        <v>227</v>
      </c>
      <c r="CZ6" s="67" t="s">
        <v>227</v>
      </c>
      <c r="DA6" s="68" t="s">
        <v>227</v>
      </c>
      <c r="DB6" s="65" t="s">
        <v>227</v>
      </c>
      <c r="DC6" s="66" t="s">
        <v>227</v>
      </c>
      <c r="DD6" s="67" t="s">
        <v>227</v>
      </c>
      <c r="DE6" s="67" t="s">
        <v>227</v>
      </c>
      <c r="DF6" s="68" t="s">
        <v>227</v>
      </c>
      <c r="DG6" s="65" t="s">
        <v>227</v>
      </c>
      <c r="DH6" s="66" t="s">
        <v>227</v>
      </c>
      <c r="DI6" s="67" t="s">
        <v>227</v>
      </c>
      <c r="DJ6" s="67" t="s">
        <v>227</v>
      </c>
      <c r="DK6" s="68" t="s">
        <v>227</v>
      </c>
      <c r="DL6" s="65" t="s">
        <v>227</v>
      </c>
      <c r="DM6" s="66" t="s">
        <v>227</v>
      </c>
      <c r="DN6" s="67" t="s">
        <v>227</v>
      </c>
      <c r="DO6" s="67" t="s">
        <v>227</v>
      </c>
      <c r="DP6" s="68" t="s">
        <v>227</v>
      </c>
      <c r="DQ6" s="65" t="s">
        <v>227</v>
      </c>
      <c r="DR6" s="66" t="s">
        <v>227</v>
      </c>
      <c r="DS6" s="67" t="s">
        <v>227</v>
      </c>
      <c r="DT6" s="67" t="s">
        <v>227</v>
      </c>
      <c r="DU6" s="68" t="s">
        <v>227</v>
      </c>
      <c r="DV6" s="65" t="s">
        <v>227</v>
      </c>
    </row>
    <row r="7" spans="1:126">
      <c r="A7" s="8"/>
      <c r="B7" s="70" t="s">
        <v>131</v>
      </c>
      <c r="C7" s="1356"/>
      <c r="D7" s="17"/>
      <c r="E7" s="1796"/>
      <c r="F7" s="1795"/>
      <c r="G7" s="1795"/>
      <c r="H7" s="1667"/>
      <c r="I7" s="1794"/>
      <c r="J7" s="1793"/>
      <c r="K7" s="1792"/>
      <c r="L7" s="1791"/>
      <c r="M7" s="1791"/>
      <c r="N7" s="1789"/>
      <c r="O7" s="1788"/>
      <c r="P7" s="1788"/>
      <c r="Q7" s="1787"/>
      <c r="R7" s="1791"/>
      <c r="S7" s="1789"/>
      <c r="T7" s="1788"/>
      <c r="U7" s="1788"/>
      <c r="V7" s="1787"/>
      <c r="W7" s="1791"/>
      <c r="X7" s="1789"/>
      <c r="Y7" s="1788"/>
      <c r="Z7" s="1788"/>
      <c r="AA7" s="1787"/>
      <c r="AB7" s="1791"/>
      <c r="AC7" s="1789"/>
      <c r="AD7" s="1788"/>
      <c r="AE7" s="1788"/>
      <c r="AF7" s="1787"/>
      <c r="AG7" s="1791"/>
      <c r="AH7" s="1789"/>
      <c r="AI7" s="1788"/>
      <c r="AJ7" s="1788"/>
      <c r="AK7" s="1787"/>
      <c r="AL7" s="1791"/>
      <c r="AM7" s="1808"/>
      <c r="AN7" s="1807"/>
      <c r="AO7" s="1807"/>
      <c r="AP7" s="1806"/>
      <c r="AQ7" s="1791"/>
      <c r="AR7" s="1808"/>
      <c r="AS7" s="1807"/>
      <c r="AT7" s="1807"/>
      <c r="AU7" s="1806"/>
      <c r="AV7" s="1791"/>
      <c r="AW7" s="1789"/>
      <c r="AX7" s="1788"/>
      <c r="AY7" s="1788"/>
      <c r="AZ7" s="1787"/>
      <c r="BA7" s="1791"/>
      <c r="BB7" s="1789"/>
      <c r="BC7" s="1788"/>
      <c r="BD7" s="1788"/>
      <c r="BE7" s="1787"/>
      <c r="BF7" s="1791"/>
      <c r="BG7" s="1789"/>
      <c r="BH7" s="1788"/>
      <c r="BI7" s="1788"/>
      <c r="BJ7" s="1787"/>
      <c r="BK7" s="1791"/>
      <c r="BL7" s="1789"/>
      <c r="BM7" s="1788"/>
      <c r="BN7" s="1788"/>
      <c r="BO7" s="1787"/>
      <c r="BP7" s="1791"/>
      <c r="BQ7" s="1894"/>
      <c r="BR7" s="1786"/>
      <c r="BS7" s="1786"/>
      <c r="BT7" s="1789"/>
      <c r="BU7" s="1788"/>
      <c r="BV7" s="1788"/>
      <c r="BW7" s="1787"/>
      <c r="BX7" s="1786"/>
      <c r="BY7" s="1789"/>
      <c r="BZ7" s="1788"/>
      <c r="CA7" s="1788"/>
      <c r="CB7" s="1787"/>
      <c r="CC7" s="1786"/>
      <c r="CD7" s="1789"/>
      <c r="CE7" s="1788"/>
      <c r="CF7" s="1788"/>
      <c r="CG7" s="1787"/>
      <c r="CH7" s="1786"/>
      <c r="CI7" s="1789"/>
      <c r="CJ7" s="1788"/>
      <c r="CK7" s="1788"/>
      <c r="CL7" s="1787"/>
      <c r="CM7" s="1786"/>
      <c r="CN7" s="1789"/>
      <c r="CO7" s="1788"/>
      <c r="CP7" s="1788"/>
      <c r="CQ7" s="1787"/>
      <c r="CR7" s="1786"/>
      <c r="CS7" s="1789"/>
      <c r="CT7" s="1788"/>
      <c r="CU7" s="1788"/>
      <c r="CV7" s="1787"/>
      <c r="CW7" s="1786"/>
      <c r="CX7" s="1789"/>
      <c r="CY7" s="1788"/>
      <c r="CZ7" s="1788"/>
      <c r="DA7" s="1787"/>
      <c r="DB7" s="1786"/>
      <c r="DC7" s="1789"/>
      <c r="DD7" s="1788"/>
      <c r="DE7" s="1788"/>
      <c r="DF7" s="1787"/>
      <c r="DG7" s="1786"/>
      <c r="DH7" s="1789"/>
      <c r="DI7" s="1788"/>
      <c r="DJ7" s="1788"/>
      <c r="DK7" s="1787"/>
      <c r="DL7" s="1786"/>
      <c r="DM7" s="1789"/>
      <c r="DN7" s="1788"/>
      <c r="DO7" s="1788"/>
      <c r="DP7" s="1787"/>
      <c r="DQ7" s="1786"/>
      <c r="DR7" s="1789"/>
      <c r="DS7" s="1788"/>
      <c r="DT7" s="1788"/>
      <c r="DU7" s="1787"/>
      <c r="DV7" s="1786"/>
    </row>
    <row r="8" spans="1:126">
      <c r="A8" s="8"/>
      <c r="B8" s="8"/>
      <c r="C8" s="1357"/>
      <c r="D8" s="1893"/>
      <c r="E8" s="1796"/>
      <c r="F8" s="1795"/>
      <c r="G8" s="1795"/>
      <c r="H8" s="1667"/>
      <c r="I8" s="1794"/>
      <c r="J8" s="1793"/>
      <c r="K8" s="1792"/>
      <c r="L8" s="1791"/>
      <c r="M8" s="1791"/>
      <c r="N8" s="1789"/>
      <c r="O8" s="1788"/>
      <c r="P8" s="1788"/>
      <c r="Q8" s="1787"/>
      <c r="R8" s="1791"/>
      <c r="S8" s="1789"/>
      <c r="T8" s="1788"/>
      <c r="U8" s="1788"/>
      <c r="V8" s="1787"/>
      <c r="W8" s="1791"/>
      <c r="X8" s="1789"/>
      <c r="Y8" s="1788"/>
      <c r="Z8" s="1788"/>
      <c r="AA8" s="1787"/>
      <c r="AB8" s="1791"/>
      <c r="AC8" s="1789"/>
      <c r="AD8" s="1788"/>
      <c r="AE8" s="1788"/>
      <c r="AF8" s="1787"/>
      <c r="AG8" s="1791"/>
      <c r="AH8" s="1789"/>
      <c r="AI8" s="1788"/>
      <c r="AJ8" s="1788"/>
      <c r="AK8" s="1787"/>
      <c r="AL8" s="1791"/>
      <c r="AM8" s="1808"/>
      <c r="AN8" s="1807"/>
      <c r="AO8" s="1807"/>
      <c r="AP8" s="1806"/>
      <c r="AQ8" s="1791"/>
      <c r="AR8" s="1808"/>
      <c r="AS8" s="1807"/>
      <c r="AT8" s="1807"/>
      <c r="AU8" s="1806"/>
      <c r="AV8" s="1791"/>
      <c r="AW8" s="1789"/>
      <c r="AX8" s="1788"/>
      <c r="AY8" s="1788"/>
      <c r="AZ8" s="1787"/>
      <c r="BA8" s="1791"/>
      <c r="BB8" s="1789"/>
      <c r="BC8" s="1788"/>
      <c r="BD8" s="1788"/>
      <c r="BE8" s="1787"/>
      <c r="BF8" s="1791"/>
      <c r="BG8" s="1789"/>
      <c r="BH8" s="1788"/>
      <c r="BI8" s="1788"/>
      <c r="BJ8" s="1787"/>
      <c r="BK8" s="1791"/>
      <c r="BL8" s="1789"/>
      <c r="BM8" s="1788"/>
      <c r="BN8" s="1788"/>
      <c r="BO8" s="1787"/>
      <c r="BP8" s="1791"/>
      <c r="BQ8" s="1892"/>
      <c r="BR8" s="1786"/>
      <c r="BS8" s="1786"/>
      <c r="BT8" s="1789"/>
      <c r="BU8" s="1788"/>
      <c r="BV8" s="1788"/>
      <c r="BW8" s="1787"/>
      <c r="BX8" s="1786"/>
      <c r="BY8" s="1789"/>
      <c r="BZ8" s="1788"/>
      <c r="CA8" s="1788"/>
      <c r="CB8" s="1787"/>
      <c r="CC8" s="1786"/>
      <c r="CD8" s="1789"/>
      <c r="CE8" s="1788"/>
      <c r="CF8" s="1788"/>
      <c r="CG8" s="1787"/>
      <c r="CH8" s="1786"/>
      <c r="CI8" s="1789"/>
      <c r="CJ8" s="1788"/>
      <c r="CK8" s="1788"/>
      <c r="CL8" s="1787"/>
      <c r="CM8" s="1786"/>
      <c r="CN8" s="1789"/>
      <c r="CO8" s="1788"/>
      <c r="CP8" s="1788"/>
      <c r="CQ8" s="1787"/>
      <c r="CR8" s="1786"/>
      <c r="CS8" s="1789"/>
      <c r="CT8" s="1788"/>
      <c r="CU8" s="1788"/>
      <c r="CV8" s="1787"/>
      <c r="CW8" s="1786"/>
      <c r="CX8" s="1789"/>
      <c r="CY8" s="1788"/>
      <c r="CZ8" s="1788"/>
      <c r="DA8" s="1787"/>
      <c r="DB8" s="1786"/>
      <c r="DC8" s="1789"/>
      <c r="DD8" s="1788"/>
      <c r="DE8" s="1788"/>
      <c r="DF8" s="1787"/>
      <c r="DG8" s="1786"/>
      <c r="DH8" s="1789"/>
      <c r="DI8" s="1788"/>
      <c r="DJ8" s="1788"/>
      <c r="DK8" s="1787"/>
      <c r="DL8" s="1786"/>
      <c r="DM8" s="1789"/>
      <c r="DN8" s="1788"/>
      <c r="DO8" s="1788"/>
      <c r="DP8" s="1787"/>
      <c r="DQ8" s="1786"/>
      <c r="DR8" s="1789"/>
      <c r="DS8" s="1788"/>
      <c r="DT8" s="1788"/>
      <c r="DU8" s="1787"/>
      <c r="DV8" s="1786"/>
    </row>
    <row r="9" spans="1:126">
      <c r="A9" s="455"/>
      <c r="B9" s="455"/>
      <c r="C9" s="1357" t="s">
        <v>43</v>
      </c>
      <c r="D9" s="1891"/>
      <c r="E9" s="1818"/>
      <c r="F9" s="1898"/>
      <c r="G9" s="1898"/>
      <c r="H9" s="1667"/>
      <c r="I9" s="1794"/>
      <c r="J9" s="1817"/>
      <c r="K9" s="1792"/>
      <c r="L9" s="1791"/>
      <c r="M9" s="1791"/>
      <c r="N9" s="1808"/>
      <c r="O9" s="1807"/>
      <c r="P9" s="1807"/>
      <c r="Q9" s="1806"/>
      <c r="R9" s="1791"/>
      <c r="S9" s="1808"/>
      <c r="T9" s="1807"/>
      <c r="U9" s="1807"/>
      <c r="V9" s="1806"/>
      <c r="W9" s="1791"/>
      <c r="X9" s="1808"/>
      <c r="Y9" s="1807"/>
      <c r="Z9" s="1807"/>
      <c r="AA9" s="1806"/>
      <c r="AB9" s="1791"/>
      <c r="AC9" s="1789"/>
      <c r="AD9" s="1788"/>
      <c r="AE9" s="1788"/>
      <c r="AF9" s="1787"/>
      <c r="AG9" s="1791"/>
      <c r="AH9" s="1808"/>
      <c r="AI9" s="1807"/>
      <c r="AJ9" s="1807"/>
      <c r="AK9" s="1806"/>
      <c r="AL9" s="1791"/>
      <c r="AM9" s="1808"/>
      <c r="AN9" s="1807"/>
      <c r="AO9" s="1807"/>
      <c r="AP9" s="1806"/>
      <c r="AQ9" s="1791"/>
      <c r="AR9" s="1808"/>
      <c r="AS9" s="1807"/>
      <c r="AT9" s="1807"/>
      <c r="AU9" s="1806"/>
      <c r="AV9" s="1791"/>
      <c r="AW9" s="1808"/>
      <c r="AX9" s="1807"/>
      <c r="AY9" s="1807"/>
      <c r="AZ9" s="1806"/>
      <c r="BA9" s="1791"/>
      <c r="BB9" s="1808"/>
      <c r="BC9" s="1807"/>
      <c r="BD9" s="1807"/>
      <c r="BE9" s="1806"/>
      <c r="BF9" s="1791"/>
      <c r="BG9" s="1808"/>
      <c r="BH9" s="1807"/>
      <c r="BI9" s="1807"/>
      <c r="BJ9" s="1806"/>
      <c r="BK9" s="1791"/>
      <c r="BL9" s="1808"/>
      <c r="BM9" s="1807"/>
      <c r="BN9" s="1807"/>
      <c r="BO9" s="1806"/>
      <c r="BP9" s="1791"/>
      <c r="BQ9" s="1809"/>
      <c r="BR9" s="1791"/>
      <c r="BS9" s="1791"/>
      <c r="BT9" s="1808"/>
      <c r="BU9" s="1807"/>
      <c r="BV9" s="1807"/>
      <c r="BW9" s="1806"/>
      <c r="BX9" s="1791"/>
      <c r="BY9" s="1808"/>
      <c r="BZ9" s="1807"/>
      <c r="CA9" s="1807"/>
      <c r="CB9" s="1806"/>
      <c r="CC9" s="1791"/>
      <c r="CD9" s="1808"/>
      <c r="CE9" s="1807"/>
      <c r="CF9" s="1807"/>
      <c r="CG9" s="1806"/>
      <c r="CH9" s="1791"/>
      <c r="CI9" s="1808"/>
      <c r="CJ9" s="1807"/>
      <c r="CK9" s="1807"/>
      <c r="CL9" s="1806"/>
      <c r="CM9" s="1791"/>
      <c r="CN9" s="1808"/>
      <c r="CO9" s="1807"/>
      <c r="CP9" s="1807"/>
      <c r="CQ9" s="1806"/>
      <c r="CR9" s="1791"/>
      <c r="CS9" s="1808"/>
      <c r="CT9" s="1807"/>
      <c r="CU9" s="1807"/>
      <c r="CV9" s="1806"/>
      <c r="CW9" s="1791"/>
      <c r="CX9" s="1808"/>
      <c r="CY9" s="1807"/>
      <c r="CZ9" s="1807"/>
      <c r="DA9" s="1806"/>
      <c r="DB9" s="1791"/>
      <c r="DC9" s="1808"/>
      <c r="DD9" s="1807"/>
      <c r="DE9" s="1807"/>
      <c r="DF9" s="1806"/>
      <c r="DG9" s="1791"/>
      <c r="DH9" s="1808"/>
      <c r="DI9" s="1807"/>
      <c r="DJ9" s="1807"/>
      <c r="DK9" s="1806"/>
      <c r="DL9" s="1791"/>
      <c r="DM9" s="1808"/>
      <c r="DN9" s="1807"/>
      <c r="DO9" s="1807"/>
      <c r="DP9" s="1806"/>
      <c r="DQ9" s="1791"/>
      <c r="DR9" s="1808"/>
      <c r="DS9" s="1807"/>
      <c r="DT9" s="1807"/>
      <c r="DU9" s="1806"/>
      <c r="DV9" s="1791"/>
    </row>
    <row r="10" spans="1:126">
      <c r="A10" s="455"/>
      <c r="B10" s="455"/>
      <c r="C10" s="1829" t="s">
        <v>126</v>
      </c>
      <c r="D10" s="1891"/>
      <c r="E10" s="1818"/>
      <c r="F10" s="1791">
        <f>+SUM(F22,F169,F191)</f>
        <v>14724.800000000001</v>
      </c>
      <c r="G10" s="1791">
        <f>+SUM(G22,G169,G191)</f>
        <v>14309.245000000001</v>
      </c>
      <c r="H10" s="1667"/>
      <c r="I10" s="1794"/>
      <c r="J10" s="1817"/>
      <c r="K10" s="1792"/>
      <c r="L10" s="1791">
        <f t="shared" ref="L10:AQ10" si="0">+SUM(L22,L169,L191)</f>
        <v>0</v>
      </c>
      <c r="M10" s="1791">
        <f t="shared" si="0"/>
        <v>0</v>
      </c>
      <c r="N10" s="1808">
        <f t="shared" si="0"/>
        <v>0</v>
      </c>
      <c r="O10" s="1807">
        <f t="shared" si="0"/>
        <v>0</v>
      </c>
      <c r="P10" s="1807">
        <f t="shared" si="0"/>
        <v>0</v>
      </c>
      <c r="Q10" s="1806">
        <f t="shared" si="0"/>
        <v>0</v>
      </c>
      <c r="R10" s="1791">
        <f t="shared" si="0"/>
        <v>0</v>
      </c>
      <c r="S10" s="1808">
        <f t="shared" si="0"/>
        <v>0</v>
      </c>
      <c r="T10" s="1807">
        <f t="shared" si="0"/>
        <v>0</v>
      </c>
      <c r="U10" s="1807">
        <f t="shared" si="0"/>
        <v>0</v>
      </c>
      <c r="V10" s="1806">
        <f t="shared" si="0"/>
        <v>0</v>
      </c>
      <c r="W10" s="1791">
        <f t="shared" si="0"/>
        <v>0</v>
      </c>
      <c r="X10" s="1808">
        <f t="shared" si="0"/>
        <v>0</v>
      </c>
      <c r="Y10" s="1807">
        <f t="shared" si="0"/>
        <v>0</v>
      </c>
      <c r="Z10" s="1807">
        <f t="shared" si="0"/>
        <v>0</v>
      </c>
      <c r="AA10" s="1806">
        <f t="shared" si="0"/>
        <v>0</v>
      </c>
      <c r="AB10" s="1791">
        <f t="shared" si="0"/>
        <v>0</v>
      </c>
      <c r="AC10" s="1808">
        <f t="shared" si="0"/>
        <v>0</v>
      </c>
      <c r="AD10" s="1807">
        <f t="shared" si="0"/>
        <v>0</v>
      </c>
      <c r="AE10" s="1807">
        <f t="shared" si="0"/>
        <v>0</v>
      </c>
      <c r="AF10" s="1806">
        <f t="shared" si="0"/>
        <v>0</v>
      </c>
      <c r="AG10" s="1791">
        <f t="shared" si="0"/>
        <v>0</v>
      </c>
      <c r="AH10" s="1808">
        <f t="shared" si="0"/>
        <v>0</v>
      </c>
      <c r="AI10" s="1807">
        <f t="shared" si="0"/>
        <v>0</v>
      </c>
      <c r="AJ10" s="1807">
        <f t="shared" si="0"/>
        <v>0</v>
      </c>
      <c r="AK10" s="1806">
        <f t="shared" si="0"/>
        <v>0</v>
      </c>
      <c r="AL10" s="1791">
        <f t="shared" si="0"/>
        <v>0</v>
      </c>
      <c r="AM10" s="1808">
        <f t="shared" si="0"/>
        <v>0</v>
      </c>
      <c r="AN10" s="1807">
        <f t="shared" si="0"/>
        <v>0</v>
      </c>
      <c r="AO10" s="1807">
        <f t="shared" si="0"/>
        <v>0</v>
      </c>
      <c r="AP10" s="1806">
        <f t="shared" si="0"/>
        <v>0</v>
      </c>
      <c r="AQ10" s="1791">
        <f t="shared" si="0"/>
        <v>0</v>
      </c>
      <c r="AR10" s="1808">
        <f t="shared" ref="AR10:BP10" si="1">+SUM(AR22,AR169,AR191)</f>
        <v>-50</v>
      </c>
      <c r="AS10" s="1807">
        <f t="shared" si="1"/>
        <v>-54.7</v>
      </c>
      <c r="AT10" s="1807">
        <f t="shared" si="1"/>
        <v>-275.19499999999999</v>
      </c>
      <c r="AU10" s="1806">
        <f t="shared" si="1"/>
        <v>-83.584000000000003</v>
      </c>
      <c r="AV10" s="1791">
        <f t="shared" si="1"/>
        <v>-463.47899999999998</v>
      </c>
      <c r="AW10" s="1808">
        <f t="shared" si="1"/>
        <v>0</v>
      </c>
      <c r="AX10" s="1807">
        <f t="shared" si="1"/>
        <v>-375</v>
      </c>
      <c r="AY10" s="1807">
        <f t="shared" si="1"/>
        <v>-300</v>
      </c>
      <c r="AZ10" s="1806">
        <f t="shared" si="1"/>
        <v>-85</v>
      </c>
      <c r="BA10" s="1791">
        <f t="shared" si="1"/>
        <v>-760</v>
      </c>
      <c r="BB10" s="1808">
        <f t="shared" si="1"/>
        <v>-500</v>
      </c>
      <c r="BC10" s="1807">
        <f t="shared" si="1"/>
        <v>0</v>
      </c>
      <c r="BD10" s="1807">
        <f t="shared" si="1"/>
        <v>-180.76900000000001</v>
      </c>
      <c r="BE10" s="1806">
        <f t="shared" si="1"/>
        <v>0</v>
      </c>
      <c r="BF10" s="1791">
        <f t="shared" si="1"/>
        <v>-680.76900000000001</v>
      </c>
      <c r="BG10" s="1808">
        <f t="shared" si="1"/>
        <v>0</v>
      </c>
      <c r="BH10" s="1807">
        <f t="shared" si="1"/>
        <v>0</v>
      </c>
      <c r="BI10" s="1807">
        <f t="shared" si="1"/>
        <v>-520</v>
      </c>
      <c r="BJ10" s="1806">
        <f t="shared" si="1"/>
        <v>-275</v>
      </c>
      <c r="BK10" s="1791">
        <f t="shared" si="1"/>
        <v>-795</v>
      </c>
      <c r="BL10" s="1808">
        <f t="shared" si="1"/>
        <v>-390</v>
      </c>
      <c r="BM10" s="1807">
        <f t="shared" si="1"/>
        <v>-449.22800000000001</v>
      </c>
      <c r="BN10" s="1807">
        <f t="shared" si="1"/>
        <v>-200.76400000000001</v>
      </c>
      <c r="BO10" s="1806">
        <f t="shared" si="1"/>
        <v>0</v>
      </c>
      <c r="BP10" s="1791">
        <f t="shared" si="1"/>
        <v>-1039.992</v>
      </c>
      <c r="BQ10" s="1890"/>
      <c r="BR10" s="1791">
        <f t="shared" ref="BR10:CW10" si="2">+SUM(BR22,BR169,BR191)</f>
        <v>0</v>
      </c>
      <c r="BS10" s="1791">
        <f t="shared" si="2"/>
        <v>0</v>
      </c>
      <c r="BT10" s="1808">
        <f t="shared" si="2"/>
        <v>0</v>
      </c>
      <c r="BU10" s="1807">
        <f t="shared" si="2"/>
        <v>0</v>
      </c>
      <c r="BV10" s="1807">
        <f t="shared" si="2"/>
        <v>0</v>
      </c>
      <c r="BW10" s="1806">
        <f t="shared" si="2"/>
        <v>0</v>
      </c>
      <c r="BX10" s="1791">
        <f t="shared" si="2"/>
        <v>0</v>
      </c>
      <c r="BY10" s="1808">
        <f t="shared" si="2"/>
        <v>0</v>
      </c>
      <c r="BZ10" s="1807">
        <f t="shared" si="2"/>
        <v>0</v>
      </c>
      <c r="CA10" s="1807">
        <f t="shared" si="2"/>
        <v>0</v>
      </c>
      <c r="CB10" s="1806">
        <f t="shared" si="2"/>
        <v>0</v>
      </c>
      <c r="CC10" s="1791">
        <f t="shared" si="2"/>
        <v>0</v>
      </c>
      <c r="CD10" s="1808">
        <f t="shared" si="2"/>
        <v>0</v>
      </c>
      <c r="CE10" s="1807">
        <f t="shared" si="2"/>
        <v>0</v>
      </c>
      <c r="CF10" s="1807">
        <f t="shared" si="2"/>
        <v>0</v>
      </c>
      <c r="CG10" s="1806">
        <f t="shared" si="2"/>
        <v>0</v>
      </c>
      <c r="CH10" s="1791">
        <f t="shared" si="2"/>
        <v>0</v>
      </c>
      <c r="CI10" s="1808">
        <f t="shared" si="2"/>
        <v>0</v>
      </c>
      <c r="CJ10" s="1807">
        <f t="shared" si="2"/>
        <v>0</v>
      </c>
      <c r="CK10" s="1807">
        <f t="shared" si="2"/>
        <v>0</v>
      </c>
      <c r="CL10" s="1806">
        <f t="shared" si="2"/>
        <v>0</v>
      </c>
      <c r="CM10" s="1791">
        <f t="shared" si="2"/>
        <v>0</v>
      </c>
      <c r="CN10" s="1808">
        <f t="shared" si="2"/>
        <v>0</v>
      </c>
      <c r="CO10" s="1807">
        <f t="shared" si="2"/>
        <v>0</v>
      </c>
      <c r="CP10" s="1807">
        <f t="shared" si="2"/>
        <v>0</v>
      </c>
      <c r="CQ10" s="1806">
        <f t="shared" si="2"/>
        <v>0</v>
      </c>
      <c r="CR10" s="1791">
        <f t="shared" si="2"/>
        <v>0</v>
      </c>
      <c r="CS10" s="1808">
        <f t="shared" si="2"/>
        <v>0</v>
      </c>
      <c r="CT10" s="1807">
        <f t="shared" si="2"/>
        <v>0</v>
      </c>
      <c r="CU10" s="1807">
        <f t="shared" si="2"/>
        <v>0</v>
      </c>
      <c r="CV10" s="1806">
        <f t="shared" si="2"/>
        <v>0</v>
      </c>
      <c r="CW10" s="1791">
        <f t="shared" si="2"/>
        <v>0</v>
      </c>
      <c r="CX10" s="1808">
        <f t="shared" ref="CX10:DV10" si="3">+SUM(CX22,CX169,CX191)</f>
        <v>-0.33499999999999996</v>
      </c>
      <c r="CY10" s="1807">
        <f t="shared" si="3"/>
        <v>-0.57315416666666663</v>
      </c>
      <c r="CZ10" s="1807">
        <f t="shared" si="3"/>
        <v>-3.7409135</v>
      </c>
      <c r="DA10" s="1806">
        <f t="shared" si="3"/>
        <v>-4.2132918999999998</v>
      </c>
      <c r="DB10" s="1791">
        <f t="shared" si="3"/>
        <v>-8.8623595666666652</v>
      </c>
      <c r="DC10" s="1808">
        <f t="shared" si="3"/>
        <v>-4.1402918999999994</v>
      </c>
      <c r="DD10" s="1807">
        <f t="shared" si="3"/>
        <v>-7.6521377333333334</v>
      </c>
      <c r="DE10" s="1807">
        <f t="shared" si="3"/>
        <v>-7.9843783999999998</v>
      </c>
      <c r="DF10" s="1806">
        <f t="shared" si="3"/>
        <v>-11.565250000000001</v>
      </c>
      <c r="DG10" s="1791">
        <f t="shared" si="3"/>
        <v>-31.342058033333334</v>
      </c>
      <c r="DH10" s="1808">
        <f t="shared" si="3"/>
        <v>-17.240749999999998</v>
      </c>
      <c r="DI10" s="1807">
        <f t="shared" si="3"/>
        <v>-16.459499999999998</v>
      </c>
      <c r="DJ10" s="1807">
        <f t="shared" si="3"/>
        <v>-15.636678083333333</v>
      </c>
      <c r="DK10" s="1806">
        <f t="shared" si="3"/>
        <v>-11.677017125000001</v>
      </c>
      <c r="DL10" s="1791">
        <f t="shared" si="3"/>
        <v>-61.01394520833334</v>
      </c>
      <c r="DM10" s="1808">
        <f t="shared" si="3"/>
        <v>-5.7395171249999999</v>
      </c>
      <c r="DN10" s="1807">
        <f t="shared" si="3"/>
        <v>-2.7707671250000003</v>
      </c>
      <c r="DO10" s="1807">
        <f t="shared" si="3"/>
        <v>-2.4097973750000001</v>
      </c>
      <c r="DP10" s="1806">
        <f t="shared" si="3"/>
        <v>-8.9321249999999992</v>
      </c>
      <c r="DQ10" s="1791">
        <f t="shared" si="3"/>
        <v>-19.852206625000001</v>
      </c>
      <c r="DR10" s="1808">
        <f t="shared" si="3"/>
        <v>-11.593458333333333</v>
      </c>
      <c r="DS10" s="1807">
        <f t="shared" si="3"/>
        <v>-14.907250099999999</v>
      </c>
      <c r="DT10" s="1807">
        <f t="shared" si="3"/>
        <v>-15.584387299999998</v>
      </c>
      <c r="DU10" s="1806">
        <f t="shared" si="3"/>
        <v>-9.5495183000000008</v>
      </c>
      <c r="DV10" s="1791">
        <f t="shared" si="3"/>
        <v>-51.634614033333335</v>
      </c>
    </row>
    <row r="11" spans="1:126">
      <c r="A11" s="455"/>
      <c r="B11" s="455"/>
      <c r="C11" s="1889" t="s">
        <v>127</v>
      </c>
      <c r="D11" s="1888"/>
      <c r="E11" s="1804"/>
      <c r="F11" s="1799">
        <f>+SUM(F30,F181,F199)</f>
        <v>0</v>
      </c>
      <c r="G11" s="1799">
        <f>+SUM(G30,G181,G199)</f>
        <v>0</v>
      </c>
      <c r="H11" s="1887"/>
      <c r="I11" s="1866"/>
      <c r="J11" s="1803"/>
      <c r="K11" s="1886"/>
      <c r="L11" s="1799">
        <f t="shared" ref="L11:AQ11" si="4">+SUM(L30,L181,L199)</f>
        <v>0</v>
      </c>
      <c r="M11" s="1799">
        <f t="shared" si="4"/>
        <v>0</v>
      </c>
      <c r="N11" s="1802">
        <f t="shared" si="4"/>
        <v>0</v>
      </c>
      <c r="O11" s="1801">
        <f t="shared" si="4"/>
        <v>0</v>
      </c>
      <c r="P11" s="1801">
        <f t="shared" si="4"/>
        <v>0</v>
      </c>
      <c r="Q11" s="1800">
        <f t="shared" si="4"/>
        <v>0</v>
      </c>
      <c r="R11" s="1799">
        <f t="shared" si="4"/>
        <v>0</v>
      </c>
      <c r="S11" s="1802">
        <f t="shared" si="4"/>
        <v>0</v>
      </c>
      <c r="T11" s="1801">
        <f t="shared" si="4"/>
        <v>0</v>
      </c>
      <c r="U11" s="1801">
        <f t="shared" si="4"/>
        <v>0</v>
      </c>
      <c r="V11" s="1800">
        <f t="shared" si="4"/>
        <v>0</v>
      </c>
      <c r="W11" s="1799">
        <f t="shared" si="4"/>
        <v>0</v>
      </c>
      <c r="X11" s="1802">
        <f t="shared" si="4"/>
        <v>0</v>
      </c>
      <c r="Y11" s="1801">
        <f t="shared" si="4"/>
        <v>0</v>
      </c>
      <c r="Z11" s="1801">
        <f t="shared" si="4"/>
        <v>0</v>
      </c>
      <c r="AA11" s="1800">
        <f t="shared" si="4"/>
        <v>0</v>
      </c>
      <c r="AB11" s="1799">
        <f t="shared" si="4"/>
        <v>0</v>
      </c>
      <c r="AC11" s="1802">
        <f t="shared" si="4"/>
        <v>0</v>
      </c>
      <c r="AD11" s="1801">
        <f t="shared" si="4"/>
        <v>0</v>
      </c>
      <c r="AE11" s="1801">
        <f t="shared" si="4"/>
        <v>0</v>
      </c>
      <c r="AF11" s="1800">
        <f t="shared" si="4"/>
        <v>0</v>
      </c>
      <c r="AG11" s="1799">
        <f t="shared" si="4"/>
        <v>0</v>
      </c>
      <c r="AH11" s="1802">
        <f t="shared" si="4"/>
        <v>0</v>
      </c>
      <c r="AI11" s="1801">
        <f t="shared" si="4"/>
        <v>0</v>
      </c>
      <c r="AJ11" s="1801">
        <f t="shared" si="4"/>
        <v>0</v>
      </c>
      <c r="AK11" s="1800">
        <f t="shared" si="4"/>
        <v>0</v>
      </c>
      <c r="AL11" s="1799">
        <f t="shared" si="4"/>
        <v>0</v>
      </c>
      <c r="AM11" s="1802">
        <f t="shared" si="4"/>
        <v>0</v>
      </c>
      <c r="AN11" s="1801">
        <f t="shared" si="4"/>
        <v>0</v>
      </c>
      <c r="AO11" s="1801">
        <f t="shared" si="4"/>
        <v>0</v>
      </c>
      <c r="AP11" s="1800">
        <f t="shared" si="4"/>
        <v>0</v>
      </c>
      <c r="AQ11" s="1799">
        <f t="shared" si="4"/>
        <v>0</v>
      </c>
      <c r="AR11" s="1802">
        <f t="shared" ref="AR11:BP11" si="5">+SUM(AR30,AR181,AR199)</f>
        <v>220</v>
      </c>
      <c r="AS11" s="1801">
        <f t="shared" si="5"/>
        <v>450</v>
      </c>
      <c r="AT11" s="1801">
        <f t="shared" si="5"/>
        <v>0</v>
      </c>
      <c r="AU11" s="1800">
        <f t="shared" si="5"/>
        <v>300</v>
      </c>
      <c r="AV11" s="1799">
        <f t="shared" si="5"/>
        <v>970</v>
      </c>
      <c r="AW11" s="1802">
        <f t="shared" si="5"/>
        <v>0</v>
      </c>
      <c r="AX11" s="1801">
        <f t="shared" si="5"/>
        <v>3700</v>
      </c>
      <c r="AY11" s="1801">
        <f t="shared" si="5"/>
        <v>0</v>
      </c>
      <c r="AZ11" s="1800">
        <f t="shared" si="5"/>
        <v>0</v>
      </c>
      <c r="BA11" s="1799">
        <f t="shared" si="5"/>
        <v>3700</v>
      </c>
      <c r="BB11" s="1802">
        <f t="shared" si="5"/>
        <v>0</v>
      </c>
      <c r="BC11" s="1801">
        <f t="shared" si="5"/>
        <v>0</v>
      </c>
      <c r="BD11" s="1801">
        <f t="shared" si="5"/>
        <v>2500</v>
      </c>
      <c r="BE11" s="1800">
        <f t="shared" si="5"/>
        <v>0</v>
      </c>
      <c r="BF11" s="1799">
        <f t="shared" si="5"/>
        <v>2500</v>
      </c>
      <c r="BG11" s="1802">
        <f t="shared" si="5"/>
        <v>0</v>
      </c>
      <c r="BH11" s="1801">
        <f t="shared" si="5"/>
        <v>0</v>
      </c>
      <c r="BI11" s="1801">
        <f t="shared" si="5"/>
        <v>2300</v>
      </c>
      <c r="BJ11" s="1800">
        <f t="shared" si="5"/>
        <v>0</v>
      </c>
      <c r="BK11" s="1799">
        <f t="shared" si="5"/>
        <v>2300</v>
      </c>
      <c r="BL11" s="1802">
        <f t="shared" si="5"/>
        <v>0</v>
      </c>
      <c r="BM11" s="1801">
        <f t="shared" si="5"/>
        <v>0</v>
      </c>
      <c r="BN11" s="1801">
        <f t="shared" si="5"/>
        <v>2300</v>
      </c>
      <c r="BO11" s="1800">
        <f t="shared" si="5"/>
        <v>0</v>
      </c>
      <c r="BP11" s="1799">
        <f t="shared" si="5"/>
        <v>2300</v>
      </c>
      <c r="BQ11" s="1885"/>
      <c r="BR11" s="1799">
        <f t="shared" ref="BR11:CW11" si="6">+SUM(BR30,BR181,BR199)</f>
        <v>0</v>
      </c>
      <c r="BS11" s="1799">
        <f t="shared" si="6"/>
        <v>0</v>
      </c>
      <c r="BT11" s="1802">
        <f t="shared" si="6"/>
        <v>0</v>
      </c>
      <c r="BU11" s="1801">
        <f t="shared" si="6"/>
        <v>0</v>
      </c>
      <c r="BV11" s="1801">
        <f t="shared" si="6"/>
        <v>0</v>
      </c>
      <c r="BW11" s="1800">
        <f t="shared" si="6"/>
        <v>0</v>
      </c>
      <c r="BX11" s="1799">
        <f t="shared" si="6"/>
        <v>0</v>
      </c>
      <c r="BY11" s="1802">
        <f t="shared" si="6"/>
        <v>0</v>
      </c>
      <c r="BZ11" s="1801">
        <f t="shared" si="6"/>
        <v>0</v>
      </c>
      <c r="CA11" s="1801">
        <f t="shared" si="6"/>
        <v>0</v>
      </c>
      <c r="CB11" s="1800">
        <f t="shared" si="6"/>
        <v>0</v>
      </c>
      <c r="CC11" s="1799">
        <f t="shared" si="6"/>
        <v>0</v>
      </c>
      <c r="CD11" s="1802">
        <f t="shared" si="6"/>
        <v>0</v>
      </c>
      <c r="CE11" s="1801">
        <f t="shared" si="6"/>
        <v>0</v>
      </c>
      <c r="CF11" s="1801">
        <f t="shared" si="6"/>
        <v>0</v>
      </c>
      <c r="CG11" s="1800">
        <f t="shared" si="6"/>
        <v>0</v>
      </c>
      <c r="CH11" s="1799">
        <f t="shared" si="6"/>
        <v>0</v>
      </c>
      <c r="CI11" s="1802">
        <f t="shared" si="6"/>
        <v>0</v>
      </c>
      <c r="CJ11" s="1801">
        <f t="shared" si="6"/>
        <v>0</v>
      </c>
      <c r="CK11" s="1801">
        <f t="shared" si="6"/>
        <v>0</v>
      </c>
      <c r="CL11" s="1800">
        <f t="shared" si="6"/>
        <v>0</v>
      </c>
      <c r="CM11" s="1799">
        <f t="shared" si="6"/>
        <v>0</v>
      </c>
      <c r="CN11" s="1802">
        <f t="shared" si="6"/>
        <v>0</v>
      </c>
      <c r="CO11" s="1801">
        <f t="shared" si="6"/>
        <v>0</v>
      </c>
      <c r="CP11" s="1801">
        <f t="shared" si="6"/>
        <v>0</v>
      </c>
      <c r="CQ11" s="1800">
        <f t="shared" si="6"/>
        <v>0</v>
      </c>
      <c r="CR11" s="1799">
        <f t="shared" si="6"/>
        <v>0</v>
      </c>
      <c r="CS11" s="1802">
        <f t="shared" si="6"/>
        <v>0</v>
      </c>
      <c r="CT11" s="1801">
        <f t="shared" si="6"/>
        <v>0</v>
      </c>
      <c r="CU11" s="1801">
        <f t="shared" si="6"/>
        <v>0</v>
      </c>
      <c r="CV11" s="1800">
        <f t="shared" si="6"/>
        <v>0</v>
      </c>
      <c r="CW11" s="1799">
        <f t="shared" si="6"/>
        <v>0</v>
      </c>
      <c r="CX11" s="1802">
        <f t="shared" ref="CX11:DV11" si="7">+SUM(CX30,CX181,CX199)</f>
        <v>0.64166666666666672</v>
      </c>
      <c r="CY11" s="1801">
        <f t="shared" si="7"/>
        <v>3.0950000000000002</v>
      </c>
      <c r="CZ11" s="1801">
        <f t="shared" si="7"/>
        <v>5.4350000000000005</v>
      </c>
      <c r="DA11" s="1800">
        <f t="shared" si="7"/>
        <v>6.3037500000000009</v>
      </c>
      <c r="DB11" s="1799">
        <f t="shared" si="7"/>
        <v>15.475416666666668</v>
      </c>
      <c r="DC11" s="1802">
        <f t="shared" si="7"/>
        <v>7.3995833333333332</v>
      </c>
      <c r="DD11" s="1801">
        <f t="shared" si="7"/>
        <v>57.446249999999999</v>
      </c>
      <c r="DE11" s="1801">
        <f t="shared" si="7"/>
        <v>55.106250000000003</v>
      </c>
      <c r="DF11" s="1800">
        <f t="shared" si="7"/>
        <v>54.237499999999997</v>
      </c>
      <c r="DG11" s="1799">
        <f t="shared" si="7"/>
        <v>174.18958333333333</v>
      </c>
      <c r="DH11" s="1802">
        <f t="shared" si="7"/>
        <v>52.5</v>
      </c>
      <c r="DI11" s="1801">
        <f t="shared" si="7"/>
        <v>0</v>
      </c>
      <c r="DJ11" s="1801">
        <f t="shared" si="7"/>
        <v>35.75</v>
      </c>
      <c r="DK11" s="1800">
        <f t="shared" si="7"/>
        <v>35.75</v>
      </c>
      <c r="DL11" s="1799">
        <f t="shared" si="7"/>
        <v>124</v>
      </c>
      <c r="DM11" s="1802">
        <f t="shared" si="7"/>
        <v>35.75</v>
      </c>
      <c r="DN11" s="1801">
        <f t="shared" si="7"/>
        <v>35.75</v>
      </c>
      <c r="DO11" s="1801">
        <f t="shared" si="7"/>
        <v>33</v>
      </c>
      <c r="DP11" s="1800">
        <f t="shared" si="7"/>
        <v>33</v>
      </c>
      <c r="DQ11" s="1799">
        <f t="shared" si="7"/>
        <v>137.5</v>
      </c>
      <c r="DR11" s="1802">
        <f t="shared" si="7"/>
        <v>33</v>
      </c>
      <c r="DS11" s="1801">
        <f t="shared" si="7"/>
        <v>33</v>
      </c>
      <c r="DT11" s="1801">
        <f t="shared" si="7"/>
        <v>34</v>
      </c>
      <c r="DU11" s="1800">
        <f t="shared" si="7"/>
        <v>34</v>
      </c>
      <c r="DV11" s="1799">
        <f t="shared" si="7"/>
        <v>134</v>
      </c>
    </row>
    <row r="12" spans="1:126">
      <c r="A12" s="455"/>
      <c r="B12" s="455"/>
      <c r="C12" s="1357" t="s">
        <v>128</v>
      </c>
      <c r="D12" s="456"/>
      <c r="E12" s="457"/>
      <c r="F12" s="451">
        <f>+F10+F11</f>
        <v>14724.800000000001</v>
      </c>
      <c r="G12" s="451">
        <f>+G10+G11</f>
        <v>14309.245000000001</v>
      </c>
      <c r="H12" s="1348"/>
      <c r="I12" s="1333"/>
      <c r="J12" s="458"/>
      <c r="K12" s="2010"/>
      <c r="L12" s="72">
        <f t="shared" ref="L12:AQ12" si="8">+L10+L11</f>
        <v>0</v>
      </c>
      <c r="M12" s="73">
        <f t="shared" si="8"/>
        <v>0</v>
      </c>
      <c r="N12" s="74">
        <f t="shared" si="8"/>
        <v>0</v>
      </c>
      <c r="O12" s="75">
        <f t="shared" si="8"/>
        <v>0</v>
      </c>
      <c r="P12" s="75">
        <f t="shared" si="8"/>
        <v>0</v>
      </c>
      <c r="Q12" s="76">
        <f t="shared" si="8"/>
        <v>0</v>
      </c>
      <c r="R12" s="73">
        <f t="shared" si="8"/>
        <v>0</v>
      </c>
      <c r="S12" s="74">
        <f t="shared" si="8"/>
        <v>0</v>
      </c>
      <c r="T12" s="75">
        <f t="shared" si="8"/>
        <v>0</v>
      </c>
      <c r="U12" s="75">
        <f t="shared" si="8"/>
        <v>0</v>
      </c>
      <c r="V12" s="76">
        <f t="shared" si="8"/>
        <v>0</v>
      </c>
      <c r="W12" s="73">
        <f t="shared" si="8"/>
        <v>0</v>
      </c>
      <c r="X12" s="74">
        <f t="shared" si="8"/>
        <v>0</v>
      </c>
      <c r="Y12" s="75">
        <f t="shared" si="8"/>
        <v>0</v>
      </c>
      <c r="Z12" s="75">
        <f t="shared" si="8"/>
        <v>0</v>
      </c>
      <c r="AA12" s="76">
        <f t="shared" si="8"/>
        <v>0</v>
      </c>
      <c r="AB12" s="73">
        <f t="shared" si="8"/>
        <v>0</v>
      </c>
      <c r="AC12" s="74">
        <f t="shared" si="8"/>
        <v>0</v>
      </c>
      <c r="AD12" s="75">
        <f t="shared" si="8"/>
        <v>0</v>
      </c>
      <c r="AE12" s="75">
        <f t="shared" si="8"/>
        <v>0</v>
      </c>
      <c r="AF12" s="76">
        <f t="shared" si="8"/>
        <v>0</v>
      </c>
      <c r="AG12" s="73">
        <f t="shared" si="8"/>
        <v>0</v>
      </c>
      <c r="AH12" s="74">
        <f t="shared" si="8"/>
        <v>0</v>
      </c>
      <c r="AI12" s="75">
        <f t="shared" si="8"/>
        <v>0</v>
      </c>
      <c r="AJ12" s="75">
        <f t="shared" si="8"/>
        <v>0</v>
      </c>
      <c r="AK12" s="76">
        <f t="shared" si="8"/>
        <v>0</v>
      </c>
      <c r="AL12" s="73">
        <f t="shared" si="8"/>
        <v>0</v>
      </c>
      <c r="AM12" s="74">
        <f t="shared" si="8"/>
        <v>0</v>
      </c>
      <c r="AN12" s="75">
        <f t="shared" si="8"/>
        <v>0</v>
      </c>
      <c r="AO12" s="75">
        <f t="shared" si="8"/>
        <v>0</v>
      </c>
      <c r="AP12" s="76">
        <f t="shared" si="8"/>
        <v>0</v>
      </c>
      <c r="AQ12" s="73">
        <f t="shared" si="8"/>
        <v>0</v>
      </c>
      <c r="AR12" s="74">
        <f t="shared" ref="AR12:BK12" si="9">+AR10+AR11</f>
        <v>170</v>
      </c>
      <c r="AS12" s="75">
        <f t="shared" si="9"/>
        <v>395.3</v>
      </c>
      <c r="AT12" s="75">
        <f t="shared" si="9"/>
        <v>-275.19499999999999</v>
      </c>
      <c r="AU12" s="76">
        <f t="shared" si="9"/>
        <v>216.416</v>
      </c>
      <c r="AV12" s="73">
        <f t="shared" si="9"/>
        <v>506.52100000000002</v>
      </c>
      <c r="AW12" s="74">
        <f t="shared" si="9"/>
        <v>0</v>
      </c>
      <c r="AX12" s="75">
        <f t="shared" si="9"/>
        <v>3325</v>
      </c>
      <c r="AY12" s="75">
        <f t="shared" si="9"/>
        <v>-300</v>
      </c>
      <c r="AZ12" s="76">
        <f t="shared" si="9"/>
        <v>-85</v>
      </c>
      <c r="BA12" s="73">
        <f t="shared" si="9"/>
        <v>2940</v>
      </c>
      <c r="BB12" s="74">
        <f t="shared" si="9"/>
        <v>-500</v>
      </c>
      <c r="BC12" s="75">
        <f t="shared" si="9"/>
        <v>0</v>
      </c>
      <c r="BD12" s="75">
        <f t="shared" si="9"/>
        <v>2319.2309999999998</v>
      </c>
      <c r="BE12" s="76">
        <f t="shared" si="9"/>
        <v>0</v>
      </c>
      <c r="BF12" s="73">
        <f t="shared" si="9"/>
        <v>1819.231</v>
      </c>
      <c r="BG12" s="74">
        <f t="shared" si="9"/>
        <v>0</v>
      </c>
      <c r="BH12" s="75">
        <f t="shared" si="9"/>
        <v>0</v>
      </c>
      <c r="BI12" s="75">
        <f t="shared" si="9"/>
        <v>1780</v>
      </c>
      <c r="BJ12" s="76">
        <f t="shared" si="9"/>
        <v>-275</v>
      </c>
      <c r="BK12" s="73">
        <f t="shared" si="9"/>
        <v>1505</v>
      </c>
      <c r="BL12" s="74">
        <f t="shared" ref="BL12:BP12" si="10">+BL10+BL11</f>
        <v>-390</v>
      </c>
      <c r="BM12" s="75">
        <f t="shared" si="10"/>
        <v>-449.22800000000001</v>
      </c>
      <c r="BN12" s="75">
        <f t="shared" si="10"/>
        <v>2099.2359999999999</v>
      </c>
      <c r="BO12" s="76">
        <f t="shared" si="10"/>
        <v>0</v>
      </c>
      <c r="BP12" s="73">
        <f t="shared" si="10"/>
        <v>1260.008</v>
      </c>
      <c r="BQ12" s="454"/>
      <c r="BR12" s="73">
        <f t="shared" ref="BR12:CW12" si="11">+BR10+BR11</f>
        <v>0</v>
      </c>
      <c r="BS12" s="73">
        <f t="shared" si="11"/>
        <v>0</v>
      </c>
      <c r="BT12" s="74">
        <f t="shared" si="11"/>
        <v>0</v>
      </c>
      <c r="BU12" s="75">
        <f t="shared" si="11"/>
        <v>0</v>
      </c>
      <c r="BV12" s="75">
        <f t="shared" si="11"/>
        <v>0</v>
      </c>
      <c r="BW12" s="76">
        <f t="shared" si="11"/>
        <v>0</v>
      </c>
      <c r="BX12" s="73">
        <f t="shared" si="11"/>
        <v>0</v>
      </c>
      <c r="BY12" s="74">
        <f t="shared" si="11"/>
        <v>0</v>
      </c>
      <c r="BZ12" s="75">
        <f t="shared" si="11"/>
        <v>0</v>
      </c>
      <c r="CA12" s="75">
        <f t="shared" si="11"/>
        <v>0</v>
      </c>
      <c r="CB12" s="76">
        <f t="shared" si="11"/>
        <v>0</v>
      </c>
      <c r="CC12" s="73">
        <f t="shared" si="11"/>
        <v>0</v>
      </c>
      <c r="CD12" s="74">
        <f t="shared" si="11"/>
        <v>0</v>
      </c>
      <c r="CE12" s="75">
        <f t="shared" si="11"/>
        <v>0</v>
      </c>
      <c r="CF12" s="75">
        <f t="shared" si="11"/>
        <v>0</v>
      </c>
      <c r="CG12" s="76">
        <f t="shared" si="11"/>
        <v>0</v>
      </c>
      <c r="CH12" s="73">
        <f t="shared" si="11"/>
        <v>0</v>
      </c>
      <c r="CI12" s="74">
        <f t="shared" si="11"/>
        <v>0</v>
      </c>
      <c r="CJ12" s="75">
        <f t="shared" si="11"/>
        <v>0</v>
      </c>
      <c r="CK12" s="75">
        <f t="shared" si="11"/>
        <v>0</v>
      </c>
      <c r="CL12" s="76">
        <f t="shared" si="11"/>
        <v>0</v>
      </c>
      <c r="CM12" s="73">
        <f t="shared" si="11"/>
        <v>0</v>
      </c>
      <c r="CN12" s="74">
        <f t="shared" si="11"/>
        <v>0</v>
      </c>
      <c r="CO12" s="75">
        <f t="shared" si="11"/>
        <v>0</v>
      </c>
      <c r="CP12" s="75">
        <f t="shared" si="11"/>
        <v>0</v>
      </c>
      <c r="CQ12" s="76">
        <f t="shared" si="11"/>
        <v>0</v>
      </c>
      <c r="CR12" s="73">
        <f t="shared" si="11"/>
        <v>0</v>
      </c>
      <c r="CS12" s="74">
        <f t="shared" si="11"/>
        <v>0</v>
      </c>
      <c r="CT12" s="75">
        <f t="shared" si="11"/>
        <v>0</v>
      </c>
      <c r="CU12" s="75">
        <f t="shared" si="11"/>
        <v>0</v>
      </c>
      <c r="CV12" s="76">
        <f t="shared" si="11"/>
        <v>0</v>
      </c>
      <c r="CW12" s="73">
        <f t="shared" si="11"/>
        <v>0</v>
      </c>
      <c r="CX12" s="74">
        <f t="shared" ref="CX12:DQ12" si="12">+CX10+CX11</f>
        <v>0.30666666666666675</v>
      </c>
      <c r="CY12" s="75">
        <f t="shared" si="12"/>
        <v>2.5218458333333338</v>
      </c>
      <c r="CZ12" s="75">
        <f t="shared" si="12"/>
        <v>1.6940865000000005</v>
      </c>
      <c r="DA12" s="76">
        <f t="shared" si="12"/>
        <v>2.0904581000000011</v>
      </c>
      <c r="DB12" s="73">
        <f t="shared" si="12"/>
        <v>6.6130571000000025</v>
      </c>
      <c r="DC12" s="74">
        <f t="shared" si="12"/>
        <v>3.2592914333333338</v>
      </c>
      <c r="DD12" s="75">
        <f t="shared" si="12"/>
        <v>49.794112266666666</v>
      </c>
      <c r="DE12" s="75">
        <f t="shared" si="12"/>
        <v>47.121871600000006</v>
      </c>
      <c r="DF12" s="76">
        <f t="shared" si="12"/>
        <v>42.672249999999998</v>
      </c>
      <c r="DG12" s="73">
        <f t="shared" si="12"/>
        <v>142.8475253</v>
      </c>
      <c r="DH12" s="74">
        <f t="shared" si="12"/>
        <v>35.259250000000002</v>
      </c>
      <c r="DI12" s="75">
        <f t="shared" si="12"/>
        <v>-16.459499999999998</v>
      </c>
      <c r="DJ12" s="75">
        <f t="shared" si="12"/>
        <v>20.113321916666667</v>
      </c>
      <c r="DK12" s="76">
        <f t="shared" si="12"/>
        <v>24.072982875000001</v>
      </c>
      <c r="DL12" s="73">
        <f t="shared" si="12"/>
        <v>62.98605479166666</v>
      </c>
      <c r="DM12" s="74">
        <f t="shared" si="12"/>
        <v>30.010482875000001</v>
      </c>
      <c r="DN12" s="75">
        <f t="shared" si="12"/>
        <v>32.979232875000001</v>
      </c>
      <c r="DO12" s="75">
        <f t="shared" si="12"/>
        <v>30.590202625</v>
      </c>
      <c r="DP12" s="76">
        <f t="shared" si="12"/>
        <v>24.067875000000001</v>
      </c>
      <c r="DQ12" s="73">
        <f t="shared" si="12"/>
        <v>117.64779337499999</v>
      </c>
      <c r="DR12" s="74">
        <f t="shared" ref="DR12:DV12" si="13">+DR10+DR11</f>
        <v>21.406541666666669</v>
      </c>
      <c r="DS12" s="75">
        <f t="shared" si="13"/>
        <v>18.092749900000001</v>
      </c>
      <c r="DT12" s="75">
        <f t="shared" si="13"/>
        <v>18.415612700000004</v>
      </c>
      <c r="DU12" s="76">
        <f t="shared" si="13"/>
        <v>24.450481699999997</v>
      </c>
      <c r="DV12" s="73">
        <f t="shared" si="13"/>
        <v>82.365385966666665</v>
      </c>
    </row>
    <row r="13" spans="1:126">
      <c r="A13" s="455"/>
      <c r="B13" s="455"/>
      <c r="C13" s="1357"/>
      <c r="D13" s="456"/>
      <c r="E13" s="457"/>
      <c r="F13" s="1333"/>
      <c r="G13" s="1333"/>
      <c r="H13" s="1333"/>
      <c r="I13" s="1333"/>
      <c r="J13" s="458"/>
      <c r="K13" s="81"/>
      <c r="L13" s="77"/>
      <c r="M13" s="73"/>
      <c r="N13" s="74"/>
      <c r="O13" s="75"/>
      <c r="P13" s="75"/>
      <c r="Q13" s="76"/>
      <c r="R13" s="73"/>
      <c r="S13" s="74"/>
      <c r="T13" s="75"/>
      <c r="U13" s="75"/>
      <c r="V13" s="76"/>
      <c r="W13" s="73"/>
      <c r="X13" s="74"/>
      <c r="Y13" s="75"/>
      <c r="Z13" s="75"/>
      <c r="AA13" s="76"/>
      <c r="AB13" s="73"/>
      <c r="AC13" s="74"/>
      <c r="AD13" s="1668"/>
      <c r="AE13" s="75"/>
      <c r="AF13" s="76"/>
      <c r="AG13" s="73"/>
      <c r="AH13" s="74"/>
      <c r="AI13" s="75"/>
      <c r="AJ13" s="75"/>
      <c r="AK13" s="76"/>
      <c r="AL13" s="73"/>
      <c r="AM13" s="74"/>
      <c r="AN13" s="75"/>
      <c r="AO13" s="75"/>
      <c r="AP13" s="76"/>
      <c r="AQ13" s="73"/>
      <c r="AR13" s="74"/>
      <c r="AS13" s="75"/>
      <c r="AT13" s="75"/>
      <c r="AU13" s="76"/>
      <c r="AV13" s="73"/>
      <c r="AW13" s="74"/>
      <c r="AX13" s="75"/>
      <c r="AY13" s="75"/>
      <c r="AZ13" s="76"/>
      <c r="BA13" s="73"/>
      <c r="BB13" s="74"/>
      <c r="BC13" s="75"/>
      <c r="BD13" s="75"/>
      <c r="BE13" s="76"/>
      <c r="BF13" s="73"/>
      <c r="BG13" s="74"/>
      <c r="BH13" s="75"/>
      <c r="BI13" s="75"/>
      <c r="BJ13" s="76"/>
      <c r="BK13" s="73"/>
      <c r="BL13" s="74"/>
      <c r="BM13" s="75"/>
      <c r="BN13" s="75"/>
      <c r="BO13" s="76"/>
      <c r="BP13" s="73"/>
      <c r="BQ13" s="454"/>
      <c r="BR13" s="73"/>
      <c r="BS13" s="73"/>
      <c r="BT13" s="74"/>
      <c r="BU13" s="75"/>
      <c r="BV13" s="75"/>
      <c r="BW13" s="76"/>
      <c r="BX13" s="73"/>
      <c r="BY13" s="74"/>
      <c r="BZ13" s="75"/>
      <c r="CA13" s="75"/>
      <c r="CB13" s="76"/>
      <c r="CC13" s="73"/>
      <c r="CD13" s="74"/>
      <c r="CE13" s="75"/>
      <c r="CF13" s="75"/>
      <c r="CG13" s="76"/>
      <c r="CH13" s="73"/>
      <c r="CI13" s="74"/>
      <c r="CJ13" s="75"/>
      <c r="CK13" s="75"/>
      <c r="CL13" s="76"/>
      <c r="CM13" s="73"/>
      <c r="CN13" s="74"/>
      <c r="CO13" s="75"/>
      <c r="CP13" s="75"/>
      <c r="CQ13" s="76"/>
      <c r="CR13" s="73"/>
      <c r="CS13" s="74"/>
      <c r="CT13" s="75"/>
      <c r="CU13" s="75"/>
      <c r="CV13" s="76"/>
      <c r="CW13" s="73"/>
      <c r="CX13" s="74"/>
      <c r="CY13" s="75"/>
      <c r="CZ13" s="75"/>
      <c r="DA13" s="76"/>
      <c r="DB13" s="73"/>
      <c r="DC13" s="74"/>
      <c r="DD13" s="75"/>
      <c r="DE13" s="75"/>
      <c r="DF13" s="76"/>
      <c r="DG13" s="73"/>
      <c r="DH13" s="74"/>
      <c r="DI13" s="75"/>
      <c r="DJ13" s="75"/>
      <c r="DK13" s="76"/>
      <c r="DL13" s="73"/>
      <c r="DM13" s="74"/>
      <c r="DN13" s="75"/>
      <c r="DO13" s="75"/>
      <c r="DP13" s="76"/>
      <c r="DQ13" s="73"/>
      <c r="DR13" s="74"/>
      <c r="DS13" s="75"/>
      <c r="DT13" s="75"/>
      <c r="DU13" s="76"/>
      <c r="DV13" s="73"/>
    </row>
    <row r="14" spans="1:126" ht="13.5" thickBot="1">
      <c r="A14" s="455"/>
      <c r="B14" s="1884"/>
      <c r="C14" s="1859"/>
      <c r="D14" s="1884"/>
      <c r="E14" s="1839"/>
      <c r="F14" s="1883"/>
      <c r="G14" s="1883"/>
      <c r="H14" s="1883"/>
      <c r="I14" s="1837"/>
      <c r="J14" s="1836"/>
      <c r="K14" s="2006"/>
      <c r="L14" s="1854"/>
      <c r="M14" s="1853"/>
      <c r="N14" s="1802"/>
      <c r="O14" s="1801"/>
      <c r="P14" s="1801"/>
      <c r="Q14" s="1800"/>
      <c r="R14" s="1853"/>
      <c r="S14" s="1802"/>
      <c r="T14" s="1801"/>
      <c r="U14" s="1801"/>
      <c r="V14" s="1800"/>
      <c r="W14" s="1853"/>
      <c r="X14" s="1802"/>
      <c r="Y14" s="1801"/>
      <c r="Z14" s="1801"/>
      <c r="AA14" s="1800"/>
      <c r="AB14" s="1853"/>
      <c r="AC14" s="1802"/>
      <c r="AD14" s="1801"/>
      <c r="AE14" s="1801"/>
      <c r="AF14" s="1800"/>
      <c r="AG14" s="1853"/>
      <c r="AH14" s="1802"/>
      <c r="AI14" s="1801"/>
      <c r="AJ14" s="1801"/>
      <c r="AK14" s="1800"/>
      <c r="AL14" s="1853"/>
      <c r="AM14" s="1802"/>
      <c r="AN14" s="1801"/>
      <c r="AO14" s="1801"/>
      <c r="AP14" s="1800"/>
      <c r="AQ14" s="1853"/>
      <c r="AR14" s="1802"/>
      <c r="AS14" s="1801"/>
      <c r="AT14" s="1801"/>
      <c r="AU14" s="1800"/>
      <c r="AV14" s="1853"/>
      <c r="AW14" s="1802"/>
      <c r="AX14" s="1801"/>
      <c r="AY14" s="1801"/>
      <c r="AZ14" s="1800"/>
      <c r="BA14" s="1853"/>
      <c r="BB14" s="1802"/>
      <c r="BC14" s="1801"/>
      <c r="BD14" s="1801"/>
      <c r="BE14" s="1800"/>
      <c r="BF14" s="1853"/>
      <c r="BG14" s="1802"/>
      <c r="BH14" s="1801"/>
      <c r="BI14" s="1801"/>
      <c r="BJ14" s="1800"/>
      <c r="BK14" s="1853"/>
      <c r="BL14" s="1802"/>
      <c r="BM14" s="1801"/>
      <c r="BN14" s="1801"/>
      <c r="BO14" s="1800"/>
      <c r="BP14" s="1853"/>
      <c r="BQ14" s="1882"/>
      <c r="BR14" s="1853"/>
      <c r="BS14" s="1853"/>
      <c r="BT14" s="1802"/>
      <c r="BU14" s="1801"/>
      <c r="BV14" s="1801"/>
      <c r="BW14" s="1800"/>
      <c r="BX14" s="1853"/>
      <c r="BY14" s="1802"/>
      <c r="BZ14" s="1801"/>
      <c r="CA14" s="1801"/>
      <c r="CB14" s="1800"/>
      <c r="CC14" s="1853"/>
      <c r="CD14" s="1802"/>
      <c r="CE14" s="1801"/>
      <c r="CF14" s="1801"/>
      <c r="CG14" s="1800"/>
      <c r="CH14" s="1853"/>
      <c r="CI14" s="1802"/>
      <c r="CJ14" s="1801"/>
      <c r="CK14" s="1801"/>
      <c r="CL14" s="1800"/>
      <c r="CM14" s="1853"/>
      <c r="CN14" s="1802"/>
      <c r="CO14" s="1801"/>
      <c r="CP14" s="1801"/>
      <c r="CQ14" s="1800"/>
      <c r="CR14" s="1853"/>
      <c r="CS14" s="1802"/>
      <c r="CT14" s="1801"/>
      <c r="CU14" s="1801"/>
      <c r="CV14" s="1800"/>
      <c r="CW14" s="1853"/>
      <c r="CX14" s="1802"/>
      <c r="CY14" s="1801"/>
      <c r="CZ14" s="1801"/>
      <c r="DA14" s="1800"/>
      <c r="DB14" s="1853"/>
      <c r="DC14" s="1802"/>
      <c r="DD14" s="1801"/>
      <c r="DE14" s="1801"/>
      <c r="DF14" s="1800"/>
      <c r="DG14" s="1853"/>
      <c r="DH14" s="1802"/>
      <c r="DI14" s="1801"/>
      <c r="DJ14" s="1801"/>
      <c r="DK14" s="1800"/>
      <c r="DL14" s="1853"/>
      <c r="DM14" s="1802"/>
      <c r="DN14" s="1801"/>
      <c r="DO14" s="1801"/>
      <c r="DP14" s="1800"/>
      <c r="DQ14" s="1853"/>
      <c r="DR14" s="1802"/>
      <c r="DS14" s="1801"/>
      <c r="DT14" s="1801"/>
      <c r="DU14" s="1800"/>
      <c r="DV14" s="1853"/>
    </row>
    <row r="15" spans="1:126">
      <c r="A15" s="455"/>
      <c r="B15" s="466" t="s">
        <v>376</v>
      </c>
      <c r="C15" s="1356"/>
      <c r="D15" s="467"/>
      <c r="E15" s="1818"/>
      <c r="F15" s="1817"/>
      <c r="G15" s="1817"/>
      <c r="H15" s="1667"/>
      <c r="I15" s="1846"/>
      <c r="J15" s="1881"/>
      <c r="K15" s="1880"/>
      <c r="L15" s="1816"/>
      <c r="M15" s="1816"/>
      <c r="N15" s="1822"/>
      <c r="O15" s="1821"/>
      <c r="P15" s="1821"/>
      <c r="Q15" s="1820"/>
      <c r="R15" s="1816"/>
      <c r="S15" s="1822"/>
      <c r="T15" s="1821"/>
      <c r="U15" s="1821"/>
      <c r="V15" s="1820"/>
      <c r="W15" s="1816"/>
      <c r="X15" s="1822"/>
      <c r="Y15" s="1821"/>
      <c r="Z15" s="1821"/>
      <c r="AA15" s="1820"/>
      <c r="AB15" s="1816"/>
      <c r="AC15" s="1822"/>
      <c r="AD15" s="1821"/>
      <c r="AE15" s="1821"/>
      <c r="AF15" s="1820"/>
      <c r="AG15" s="1816"/>
      <c r="AH15" s="1822"/>
      <c r="AI15" s="1821"/>
      <c r="AJ15" s="1821"/>
      <c r="AK15" s="1820"/>
      <c r="AL15" s="1816"/>
      <c r="AM15" s="1822"/>
      <c r="AN15" s="1821"/>
      <c r="AO15" s="1821"/>
      <c r="AP15" s="1820"/>
      <c r="AQ15" s="1816"/>
      <c r="AR15" s="1822"/>
      <c r="AS15" s="1821"/>
      <c r="AT15" s="1821"/>
      <c r="AU15" s="1820"/>
      <c r="AV15" s="1816"/>
      <c r="AW15" s="1822"/>
      <c r="AX15" s="1821"/>
      <c r="AY15" s="1821"/>
      <c r="AZ15" s="1820"/>
      <c r="BA15" s="1816"/>
      <c r="BB15" s="1822"/>
      <c r="BC15" s="1821"/>
      <c r="BD15" s="1821"/>
      <c r="BE15" s="1820"/>
      <c r="BF15" s="1816"/>
      <c r="BG15" s="1822"/>
      <c r="BH15" s="1821"/>
      <c r="BI15" s="1821"/>
      <c r="BJ15" s="1820"/>
      <c r="BK15" s="1816"/>
      <c r="BL15" s="1822"/>
      <c r="BM15" s="1821"/>
      <c r="BN15" s="1821"/>
      <c r="BO15" s="1820"/>
      <c r="BP15" s="1816"/>
      <c r="BQ15" s="1809"/>
      <c r="BR15" s="1816"/>
      <c r="BS15" s="1816"/>
      <c r="BT15" s="1822"/>
      <c r="BU15" s="1821"/>
      <c r="BV15" s="1821"/>
      <c r="BW15" s="1820"/>
      <c r="BX15" s="1816"/>
      <c r="BY15" s="1822"/>
      <c r="BZ15" s="1821"/>
      <c r="CA15" s="1821"/>
      <c r="CB15" s="1820"/>
      <c r="CC15" s="1816"/>
      <c r="CD15" s="1822"/>
      <c r="CE15" s="1821"/>
      <c r="CF15" s="1821"/>
      <c r="CG15" s="1820"/>
      <c r="CH15" s="1816"/>
      <c r="CI15" s="1822"/>
      <c r="CJ15" s="1821"/>
      <c r="CK15" s="1821"/>
      <c r="CL15" s="1820"/>
      <c r="CM15" s="1816"/>
      <c r="CN15" s="1822"/>
      <c r="CO15" s="1821"/>
      <c r="CP15" s="1821"/>
      <c r="CQ15" s="1820"/>
      <c r="CR15" s="1816"/>
      <c r="CS15" s="1822"/>
      <c r="CT15" s="1821"/>
      <c r="CU15" s="1821"/>
      <c r="CV15" s="1820"/>
      <c r="CW15" s="1816"/>
      <c r="CX15" s="1822"/>
      <c r="CY15" s="1821"/>
      <c r="CZ15" s="1821"/>
      <c r="DA15" s="1820"/>
      <c r="DB15" s="1816"/>
      <c r="DC15" s="1822"/>
      <c r="DD15" s="1821"/>
      <c r="DE15" s="1821"/>
      <c r="DF15" s="1820"/>
      <c r="DG15" s="1816"/>
      <c r="DH15" s="1822"/>
      <c r="DI15" s="1821"/>
      <c r="DJ15" s="1821"/>
      <c r="DK15" s="1820"/>
      <c r="DL15" s="1816"/>
      <c r="DM15" s="1822"/>
      <c r="DN15" s="1821"/>
      <c r="DO15" s="1821"/>
      <c r="DP15" s="1820"/>
      <c r="DQ15" s="1816"/>
      <c r="DR15" s="1822"/>
      <c r="DS15" s="1821"/>
      <c r="DT15" s="1821"/>
      <c r="DU15" s="1820"/>
      <c r="DV15" s="1816"/>
    </row>
    <row r="16" spans="1:126">
      <c r="A16" s="455"/>
      <c r="B16" s="455"/>
      <c r="C16" s="1357"/>
      <c r="D16" s="456"/>
      <c r="E16" s="1879"/>
      <c r="F16" s="1878"/>
      <c r="G16" s="1878"/>
      <c r="H16" s="1878"/>
      <c r="I16" s="1878"/>
      <c r="J16" s="1877"/>
      <c r="K16" s="1876"/>
      <c r="L16" s="1819"/>
      <c r="M16" s="1819"/>
      <c r="N16" s="1822"/>
      <c r="O16" s="1821"/>
      <c r="P16" s="1821"/>
      <c r="Q16" s="1820"/>
      <c r="R16" s="1819"/>
      <c r="S16" s="1822"/>
      <c r="T16" s="1821"/>
      <c r="U16" s="1821"/>
      <c r="V16" s="1820"/>
      <c r="W16" s="1819"/>
      <c r="X16" s="1822"/>
      <c r="Y16" s="1821"/>
      <c r="Z16" s="1821"/>
      <c r="AA16" s="1820"/>
      <c r="AB16" s="1819"/>
      <c r="AC16" s="1822"/>
      <c r="AD16" s="1821"/>
      <c r="AE16" s="1821"/>
      <c r="AF16" s="1820"/>
      <c r="AG16" s="1819"/>
      <c r="AH16" s="1822"/>
      <c r="AI16" s="1821"/>
      <c r="AJ16" s="1821"/>
      <c r="AK16" s="1820"/>
      <c r="AL16" s="1819"/>
      <c r="AM16" s="1822"/>
      <c r="AN16" s="1821"/>
      <c r="AO16" s="1821"/>
      <c r="AP16" s="1820"/>
      <c r="AQ16" s="1819"/>
      <c r="AR16" s="1822"/>
      <c r="AS16" s="1821"/>
      <c r="AT16" s="1821"/>
      <c r="AU16" s="1820"/>
      <c r="AV16" s="1819"/>
      <c r="AW16" s="1822"/>
      <c r="AX16" s="1821"/>
      <c r="AY16" s="1821"/>
      <c r="AZ16" s="1820"/>
      <c r="BA16" s="1819"/>
      <c r="BB16" s="1822"/>
      <c r="BC16" s="1821"/>
      <c r="BD16" s="1821"/>
      <c r="BE16" s="1820"/>
      <c r="BF16" s="1819"/>
      <c r="BG16" s="1822"/>
      <c r="BH16" s="1821"/>
      <c r="BI16" s="1821"/>
      <c r="BJ16" s="1820"/>
      <c r="BK16" s="1819"/>
      <c r="BL16" s="1822"/>
      <c r="BM16" s="1821"/>
      <c r="BN16" s="1821"/>
      <c r="BO16" s="1820"/>
      <c r="BP16" s="1819"/>
      <c r="BQ16" s="1871"/>
      <c r="BR16" s="1819"/>
      <c r="BS16" s="1819"/>
      <c r="BT16" s="1822"/>
      <c r="BU16" s="1821"/>
      <c r="BV16" s="1821"/>
      <c r="BW16" s="1820"/>
      <c r="BX16" s="1819"/>
      <c r="BY16" s="1822"/>
      <c r="BZ16" s="1821"/>
      <c r="CA16" s="1821"/>
      <c r="CB16" s="1820"/>
      <c r="CC16" s="1819"/>
      <c r="CD16" s="1822"/>
      <c r="CE16" s="1821"/>
      <c r="CF16" s="1821"/>
      <c r="CG16" s="1820"/>
      <c r="CH16" s="1819"/>
      <c r="CI16" s="1822"/>
      <c r="CJ16" s="1821"/>
      <c r="CK16" s="1821"/>
      <c r="CL16" s="1820"/>
      <c r="CM16" s="1819"/>
      <c r="CN16" s="1822"/>
      <c r="CO16" s="1821"/>
      <c r="CP16" s="1821"/>
      <c r="CQ16" s="1820"/>
      <c r="CR16" s="1819"/>
      <c r="CS16" s="1822"/>
      <c r="CT16" s="1821"/>
      <c r="CU16" s="1821"/>
      <c r="CV16" s="1820"/>
      <c r="CW16" s="1819"/>
      <c r="CX16" s="1822"/>
      <c r="CY16" s="1821"/>
      <c r="CZ16" s="1821"/>
      <c r="DA16" s="1820"/>
      <c r="DB16" s="1819"/>
      <c r="DC16" s="1822"/>
      <c r="DD16" s="1821"/>
      <c r="DE16" s="1821"/>
      <c r="DF16" s="1820"/>
      <c r="DG16" s="1819"/>
      <c r="DH16" s="1822"/>
      <c r="DI16" s="1821"/>
      <c r="DJ16" s="1821"/>
      <c r="DK16" s="1820"/>
      <c r="DL16" s="1819"/>
      <c r="DM16" s="1822"/>
      <c r="DN16" s="1821"/>
      <c r="DO16" s="1821"/>
      <c r="DP16" s="1820"/>
      <c r="DQ16" s="1819"/>
      <c r="DR16" s="1822"/>
      <c r="DS16" s="1821"/>
      <c r="DT16" s="1821"/>
      <c r="DU16" s="1820"/>
      <c r="DV16" s="1819"/>
    </row>
    <row r="17" spans="1:126">
      <c r="A17" s="455"/>
      <c r="B17" s="455"/>
      <c r="C17" s="1358" t="s">
        <v>129</v>
      </c>
      <c r="D17" s="468"/>
      <c r="E17" s="1875"/>
      <c r="F17" s="1874"/>
      <c r="G17" s="1874"/>
      <c r="H17" s="1873"/>
      <c r="I17" s="1826"/>
      <c r="J17" s="1825"/>
      <c r="K17" s="1872"/>
      <c r="L17" s="1819"/>
      <c r="M17" s="1819"/>
      <c r="N17" s="1822"/>
      <c r="O17" s="1821"/>
      <c r="P17" s="1821"/>
      <c r="Q17" s="1820"/>
      <c r="R17" s="1819"/>
      <c r="S17" s="1822"/>
      <c r="T17" s="1821"/>
      <c r="U17" s="1821"/>
      <c r="V17" s="1820"/>
      <c r="W17" s="1819"/>
      <c r="X17" s="1822"/>
      <c r="Y17" s="1821"/>
      <c r="Z17" s="1821"/>
      <c r="AA17" s="1820"/>
      <c r="AB17" s="1819"/>
      <c r="AC17" s="1822"/>
      <c r="AD17" s="1821"/>
      <c r="AE17" s="1821"/>
      <c r="AF17" s="1820"/>
      <c r="AG17" s="1819"/>
      <c r="AH17" s="1822"/>
      <c r="AI17" s="1821"/>
      <c r="AJ17" s="1821"/>
      <c r="AK17" s="1820"/>
      <c r="AL17" s="1819"/>
      <c r="AM17" s="1822"/>
      <c r="AN17" s="1821"/>
      <c r="AO17" s="1821"/>
      <c r="AP17" s="1820"/>
      <c r="AQ17" s="1819"/>
      <c r="AR17" s="1822"/>
      <c r="AS17" s="1821"/>
      <c r="AT17" s="1821"/>
      <c r="AU17" s="1820"/>
      <c r="AV17" s="1819"/>
      <c r="AW17" s="1822"/>
      <c r="AX17" s="1821"/>
      <c r="AY17" s="1821"/>
      <c r="AZ17" s="1820"/>
      <c r="BA17" s="1819"/>
      <c r="BB17" s="1822"/>
      <c r="BC17" s="1821"/>
      <c r="BD17" s="1821"/>
      <c r="BE17" s="1820"/>
      <c r="BF17" s="1819"/>
      <c r="BG17" s="1822"/>
      <c r="BH17" s="1821"/>
      <c r="BI17" s="1821"/>
      <c r="BJ17" s="1820"/>
      <c r="BK17" s="1819"/>
      <c r="BL17" s="1822"/>
      <c r="BM17" s="1821"/>
      <c r="BN17" s="1821"/>
      <c r="BO17" s="1820"/>
      <c r="BP17" s="1819"/>
      <c r="BQ17" s="1871"/>
      <c r="BR17" s="1989"/>
      <c r="BS17" s="1989"/>
      <c r="BT17" s="1990"/>
      <c r="BU17" s="1990"/>
      <c r="BV17" s="1990"/>
      <c r="BW17" s="1990"/>
      <c r="BX17" s="1823"/>
      <c r="BY17" s="1821"/>
      <c r="BZ17" s="1821"/>
      <c r="CA17" s="1821"/>
      <c r="CB17" s="1820"/>
      <c r="CC17" s="1819"/>
      <c r="CD17" s="1822"/>
      <c r="CE17" s="1821"/>
      <c r="CF17" s="1821"/>
      <c r="CG17" s="1820"/>
      <c r="CH17" s="1819"/>
      <c r="CI17" s="1822"/>
      <c r="CJ17" s="1821"/>
      <c r="CK17" s="1821"/>
      <c r="CL17" s="1820"/>
      <c r="CM17" s="1819"/>
      <c r="CN17" s="1822"/>
      <c r="CO17" s="1821"/>
      <c r="CP17" s="1821"/>
      <c r="CQ17" s="1820"/>
      <c r="CR17" s="1819"/>
      <c r="CS17" s="1822"/>
      <c r="CT17" s="1821"/>
      <c r="CU17" s="1821"/>
      <c r="CV17" s="1820"/>
      <c r="CW17" s="1819"/>
      <c r="CX17" s="1822"/>
      <c r="CY17" s="1821"/>
      <c r="CZ17" s="1821"/>
      <c r="DA17" s="1820"/>
      <c r="DB17" s="1819"/>
      <c r="DC17" s="1822"/>
      <c r="DD17" s="1821"/>
      <c r="DE17" s="1821"/>
      <c r="DF17" s="1820"/>
      <c r="DG17" s="1819"/>
      <c r="DH17" s="1822"/>
      <c r="DI17" s="1821"/>
      <c r="DJ17" s="1821"/>
      <c r="DK17" s="1820"/>
      <c r="DL17" s="1819"/>
      <c r="DM17" s="1822"/>
      <c r="DN17" s="1821"/>
      <c r="DO17" s="1821"/>
      <c r="DP17" s="1820"/>
      <c r="DQ17" s="1819"/>
      <c r="DR17" s="1822"/>
      <c r="DS17" s="1821"/>
      <c r="DT17" s="1821"/>
      <c r="DU17" s="1820"/>
      <c r="DV17" s="1819"/>
    </row>
    <row r="18" spans="1:126">
      <c r="A18" s="455"/>
      <c r="B18" s="455"/>
      <c r="C18" s="1724" t="s">
        <v>788</v>
      </c>
      <c r="D18" s="94"/>
      <c r="E18" s="1817">
        <f>IF(F18=0,G18,F18)</f>
        <v>450</v>
      </c>
      <c r="F18" s="486">
        <v>450</v>
      </c>
      <c r="G18" s="486">
        <v>450</v>
      </c>
      <c r="H18" s="1349">
        <v>2020</v>
      </c>
      <c r="I18" s="1334">
        <v>5.1249999999999997E-2</v>
      </c>
      <c r="J18" s="1342">
        <v>9</v>
      </c>
      <c r="K18" s="1792"/>
      <c r="L18" s="1791">
        <f t="shared" ref="L18:M20" si="14">IF(L$5=$H18,-$E18,0)</f>
        <v>0</v>
      </c>
      <c r="M18" s="1791">
        <f t="shared" si="14"/>
        <v>0</v>
      </c>
      <c r="N18" s="1808">
        <f>IF(R18=0,0,IF(R18&lt;0,IF($J18=3,R18,IF($J18=2,R18,IF($J18=1,R18,0)))))</f>
        <v>0</v>
      </c>
      <c r="O18" s="1807">
        <f>IF(R18=0,0,IF(R18&lt;0,IF($J18=6,R18,IF($J18=5,R18,IF($J18=4,R18,0)))))</f>
        <v>0</v>
      </c>
      <c r="P18" s="1807">
        <f>IF(R18=0,0,IF(R18&lt;0,IF($J18=9,R18,IF($J18=8,R18,IF($J18=7,R18,0)))))</f>
        <v>0</v>
      </c>
      <c r="Q18" s="1806">
        <f>IF(R18=0,0,IF(R18&lt;0,IF($J18=12,R18,IF($J18=11,R18,IF($J18=10,R18,0)))))</f>
        <v>0</v>
      </c>
      <c r="R18" s="1791">
        <f>IF(R$5=$H18,-$E18,0)</f>
        <v>0</v>
      </c>
      <c r="S18" s="1808">
        <f>IF(W18=0,0,IF(W18&lt;0,IF($J18=3,W18,IF($J18=2,W18,IF($J18=1,W18,0)))))</f>
        <v>0</v>
      </c>
      <c r="T18" s="1807">
        <f>IF(W18=0,0,IF(W18&lt;0,IF($J18=6,W18,IF($J18=5,W18,IF($J18=4,W18,0)))))</f>
        <v>0</v>
      </c>
      <c r="U18" s="1807">
        <f>IF(W18=0,0,IF(W18&lt;0,IF($J18=9,W18,IF($J18=8,W18,IF($J18=7,W18,0)))))</f>
        <v>0</v>
      </c>
      <c r="V18" s="1806">
        <f>IF(W18=0,0,IF(W18&lt;0,IF($J18=12,W18,IF($J18=11,W18,IF($J18=10,W18,0)))))</f>
        <v>0</v>
      </c>
      <c r="W18" s="1791">
        <f>IF(W$5=$H18,-$E18,0)</f>
        <v>0</v>
      </c>
      <c r="X18" s="1808">
        <f>IF(AB18=0,0,IF(AB18&lt;0,IF($J18=3,AB18,IF($J18=2,AB18,IF($J18=1,AB18,0)))))</f>
        <v>0</v>
      </c>
      <c r="Y18" s="1807">
        <f>IF(AB18=0,0,IF(AB18&lt;0,IF($J18=6,AB18,IF($J18=5,AB18,IF($J18=4,AB18,0)))))</f>
        <v>0</v>
      </c>
      <c r="Z18" s="1807">
        <f>IF(AB18=0,0,IF(AB18&lt;0,IF($J18=9,AB18,IF($J18=8,AB18,IF($J18=7,AB18,0)))))</f>
        <v>0</v>
      </c>
      <c r="AA18" s="1806">
        <f>IF(AB18=0,0,IF(AB18&lt;0,IF($J18=12,AB18,IF($J18=11,AB18,IF($J18=10,AB18,0)))))</f>
        <v>0</v>
      </c>
      <c r="AB18" s="1791">
        <f>IF(AB$5=$H18,-$E18,0)</f>
        <v>0</v>
      </c>
      <c r="AC18" s="1808">
        <f>IF(AG18=0,0,IF(AG18&lt;0,IF($J18=3,AG18,IF($J18=2,AG18,IF($J18=1,AG18,0)))))</f>
        <v>0</v>
      </c>
      <c r="AD18" s="1807">
        <f>IF(AG18=0,0,IF(AG18&lt;0,IF($J18=6,AG18,IF($J18=5,AG18,IF($J18=4,AG18,0)))))</f>
        <v>0</v>
      </c>
      <c r="AE18" s="1807">
        <f>IF(AG18=0,0,IF(AG18&lt;0,IF($J18=9,AG18,IF($J18=8,AG18,IF($J18=7,AG18,0)))))</f>
        <v>0</v>
      </c>
      <c r="AF18" s="1806">
        <f>IF(AG18=0,0,IF(AG18&lt;0,IF($J18=12,AG18,IF($J18=11,AG18,IF($J18=10,AG18,0)))))</f>
        <v>0</v>
      </c>
      <c r="AG18" s="1791">
        <f>IF(AG$5=$H18,-$E18,0)</f>
        <v>0</v>
      </c>
      <c r="AH18" s="1808">
        <f>IF(AL18=0,0,IF(AL18&lt;0,IF($J18=3,AL18,IF($J18=2,AL18,IF($J18=1,AL18,0)))))</f>
        <v>0</v>
      </c>
      <c r="AI18" s="1807">
        <f>IF(AL18=0,0,IF(AL18&lt;0,IF($J18=6,AL18,IF($J18=5,AL18,IF($J18=4,AL18,0)))))</f>
        <v>0</v>
      </c>
      <c r="AJ18" s="1807">
        <f>IF(AL18=0,0,IF(AL18&lt;0,IF($J18=9,AL18,IF($J18=8,AL18,IF($J18=7,AL18,0)))))</f>
        <v>0</v>
      </c>
      <c r="AK18" s="1806">
        <f>IF(AL18=0,0,IF(AL18&lt;0,IF($J18=12,AL18,IF($J18=11,AL18,IF($J18=10,AL18,0)))))</f>
        <v>0</v>
      </c>
      <c r="AL18" s="1791">
        <f>IF(AL$5=$H18,-$E18,0)</f>
        <v>0</v>
      </c>
      <c r="AM18" s="1808">
        <f>IF(AQ18=0,0,IF(AQ18&lt;0,IF($J18=3,AQ18,IF($J18=2,AQ18,IF($J18=1,AQ18,0)))))</f>
        <v>0</v>
      </c>
      <c r="AN18" s="1807">
        <f>IF(AQ18=0,0,IF(AQ18&lt;0,IF($J18=6,AQ18,IF($J18=5,AQ18,IF($J18=4,AQ18,0)))))</f>
        <v>0</v>
      </c>
      <c r="AO18" s="1807">
        <f>IF(AQ18=0,0,IF(AQ18&lt;0,IF($J18=9,AQ18,IF($J18=8,AQ18,IF($J18=7,AQ18,0)))))</f>
        <v>0</v>
      </c>
      <c r="AP18" s="1806">
        <f>IF(AQ18=0,0,IF(AQ18&lt;0,IF($J18=12,AQ18,IF($J18=11,AQ18,IF($J18=10,AQ18,0)))))</f>
        <v>0</v>
      </c>
      <c r="AQ18" s="1791">
        <f>IF(AQ$5=$H18,-$E18,0)</f>
        <v>0</v>
      </c>
      <c r="AR18" s="1808">
        <f>IF(AV18=0,0,IF(AV18&lt;0,IF($J18=3,AV18,IF($J18=2,AV18,IF($J18=1,AV18,0)))))</f>
        <v>0</v>
      </c>
      <c r="AS18" s="1807">
        <f>IF(AV18=0,0,IF(AV18&lt;0,IF($J18=6,AV18,IF($J18=5,AV18,IF($J18=4,AV18,0)))))</f>
        <v>0</v>
      </c>
      <c r="AT18" s="1807">
        <f>IF(AV18=0,0,IF(AV18&lt;0,IF($J18=9,AV18,IF($J18=8,AV18,IF($J18=7,AV18,0)))))</f>
        <v>0</v>
      </c>
      <c r="AU18" s="1806">
        <f>IF(AV18=0,0,IF(AV18&lt;0,IF($J18=12,AV18,IF($J18=11,AV18,IF($J18=10,AV18,0)))))</f>
        <v>0</v>
      </c>
      <c r="AV18" s="1791">
        <f>IF(AV$5=$H18,-$E18,0)</f>
        <v>0</v>
      </c>
      <c r="AW18" s="1808">
        <f>IF(BA18=0,0,IF(BA18&lt;0,IF($J18=3,BA18,IF($J18=2,BA18,IF($J18=1,BA18,0)))))</f>
        <v>0</v>
      </c>
      <c r="AX18" s="1807">
        <f>IF(BA18=0,0,IF(BA18&lt;0,IF($J18=6,BA18,IF($J18=5,BA18,IF($J18=4,BA18,0)))))</f>
        <v>0</v>
      </c>
      <c r="AY18" s="1807">
        <f>IF(BA18=0,0,IF(BA18&lt;0,IF($J18=9,BA18,IF($J18=8,BA18,IF($J18=7,BA18,0)))))</f>
        <v>0</v>
      </c>
      <c r="AZ18" s="1806">
        <f>IF(BA18=0,0,IF(BA18&lt;0,IF($J18=12,BA18,IF($J18=11,BA18,IF($J18=10,BA18,0)))))</f>
        <v>0</v>
      </c>
      <c r="BA18" s="1791">
        <f>IF(BA$5=$H18,-$E18,0)</f>
        <v>0</v>
      </c>
      <c r="BB18" s="1808">
        <f>IF(BF18=0,0,IF(BF18&lt;0,IF($J18=3,BF18,IF($J18=2,BF18,IF($J18=1,BF18,0)))))</f>
        <v>0</v>
      </c>
      <c r="BC18" s="1807">
        <f>IF(BF18=0,0,IF(BF18&lt;0,IF($J18=6,BF18,IF($J18=5,BF18,IF($J18=4,BF18,0)))))</f>
        <v>0</v>
      </c>
      <c r="BD18" s="1807">
        <f>IF(BF18=0,0,IF(BF18&lt;0,IF($J18=9,BF18,IF($J18=8,BF18,IF($J18=7,BF18,0)))))</f>
        <v>0</v>
      </c>
      <c r="BE18" s="1806">
        <f>IF(BF18=0,0,IF(BF18&lt;0,IF($J18=12,BF18,IF($J18=11,BF18,IF($J18=10,BF18,0)))))</f>
        <v>0</v>
      </c>
      <c r="BF18" s="1791">
        <f>IF(BF$5=$H18,-$E18,0)</f>
        <v>0</v>
      </c>
      <c r="BG18" s="1808">
        <f>IF(BK18=0,0,IF(BK18&lt;0,IF($J18=3,BK18,IF($J18=2,BK18,IF($J18=1,BK18,0)))))</f>
        <v>0</v>
      </c>
      <c r="BH18" s="1807">
        <f>IF(BK18=0,0,IF(BK18&lt;0,IF($J18=6,BK18,IF($J18=5,BK18,IF($J18=4,BK18,0)))))</f>
        <v>0</v>
      </c>
      <c r="BI18" s="1807">
        <f>IF(BK18=0,0,IF(BK18&lt;0,IF($J18=9,BK18,IF($J18=8,BK18,IF($J18=7,BK18,0)))))</f>
        <v>-450</v>
      </c>
      <c r="BJ18" s="1806">
        <f>IF(BK18=0,0,IF(BK18&lt;0,IF($J18=12,BK18,IF($J18=11,BK18,IF($J18=10,BK18,0)))))</f>
        <v>0</v>
      </c>
      <c r="BK18" s="1791">
        <f>IF(BK$5=$H18,-$E18,0)</f>
        <v>-450</v>
      </c>
      <c r="BL18" s="1808">
        <f>IF(BP18=0,0,IF(BP18&lt;0,IF($J18=3,BP18,IF($J18=2,BP18,IF($J18=1,BP18,0)))))</f>
        <v>0</v>
      </c>
      <c r="BM18" s="1807">
        <f>IF(BP18=0,0,IF(BP18&lt;0,IF($J18=6,BP18,IF($J18=5,BP18,IF($J18=4,BP18,0)))))</f>
        <v>0</v>
      </c>
      <c r="BN18" s="1807">
        <f>IF(BP18=0,0,IF(BP18&lt;0,IF($J18=9,BP18,IF($J18=8,BP18,IF($J18=7,BP18,0)))))</f>
        <v>0</v>
      </c>
      <c r="BO18" s="1806">
        <f>IF(BP18=0,0,IF(BP18&lt;0,IF($J18=12,BP18,IF($J18=11,BP18,IF($J18=10,BP18,0)))))</f>
        <v>0</v>
      </c>
      <c r="BP18" s="1791">
        <f>IF(BP$5=$H18,-$E18,0)</f>
        <v>0</v>
      </c>
      <c r="BQ18" s="1827"/>
      <c r="BR18" s="1991">
        <f t="shared" ref="BR18:BS19" si="15">IF(AND(BQ18&lt;&gt;0,BQ$5=$H18),-$I18*$E18-BQ18,IF(BR$5=$H18,-$I18*$E18*(12-$J18+1)/12,0))</f>
        <v>0</v>
      </c>
      <c r="BS18" s="1991">
        <f t="shared" si="15"/>
        <v>0</v>
      </c>
      <c r="BT18" s="1992">
        <f>IF($H18&lt;&gt;BX$5,0,IF(BX18&lt;0,IF($J18=1,-$E18*$I18/12*3,IF($J18=2,-$E18*$I18/12*2,IF($J18=3,-$E18*$I18/12*1,0)))))+IF(BS$5&lt;&gt;$H18,0,IF(BS18&lt;0,IF($J18=1,-$E18*$I18/12*0,IF($J18=2,-$E18*$I18/12*1,IF($J18=3,-$E18*$I18/12*2,IF($J18&gt;=4,-$E18*$I18/12*3,0))))))</f>
        <v>0</v>
      </c>
      <c r="BU18" s="1992">
        <f>IF($H18&lt;&gt;BX$5,0,IF(BX18&lt;0,IF(OR($J18=1,$J18=2,$J18=3,$J18=4),-$E18*$I18/12*3,IF($J18=5,-$E18*$I18/12*2,IF($J18=6,-$E18*$I18/12*1,0)))))+IF(BS$5&lt;&gt;$H18,0,IF(BS18&lt;0,IF($J18=4,-$E18*$I18/12*0,IF($J18=5,-$E18*$I18/12*1,IF($J18=6,-$E18*$I18/12*2,IF($J18&gt;=7,-$E18*$I18/12*3,0))))))</f>
        <v>0</v>
      </c>
      <c r="BV18" s="1992">
        <f>IF($H18&lt;&gt;BX$5,0,IF(BX18&lt;0,IF(OR($J18=1,$J18=2,$J18=3,$J18=4,$J18=5,$J18=6,$J18=7),-$E18*$I18/12*3,IF($J18=8,-$E18*$I18/12*2,IF($J18=9,-$E18*$I18/12*1,0)))))+IF(BS$5&lt;&gt;$H18,0,IF(BS18&lt;0,IF($J18=7,-$E18*$I18/12*0,IF($J18=8,-$E18*$I18/12*1,IF($J18=9,-$E18*$I18/12*2,IF($J18&gt;=10,-$E18*$I18/12*3,0))))))</f>
        <v>0</v>
      </c>
      <c r="BW18" s="1992">
        <f>IF($H18&lt;&gt;BX$5,0,IF(BX18&lt;0,IF(OR($J18=1,$J18=2,$J18=3,$J18=4,$J18=5,$J18=6,$J18=7,$J18=8,$J18=9,$J18=10),-$E18*$I18/12*3,IF($J18=11,-$E18*$I18/12*2,IF($J18=12,-$E18*$I18/12*1,0)))))+IF(BS$5&lt;&gt;$H18,0,IF(BS18&lt;0,IF($J18=10,-$E18*$I18/12*0,IF($J18=11,-$E18*$I18/12*1,IF($J18=12,-$E18*$I18/12*2,0)))))</f>
        <v>0</v>
      </c>
      <c r="BX18" s="1810">
        <f>IF(AND(BS18&lt;&gt;0,BS$5=$H18),-$I18*$E18-BS18,IF(BX$5=$H18,-$I18*$E18*(12-$J18+1)/12,0))</f>
        <v>0</v>
      </c>
      <c r="BY18" s="1807">
        <f>IF($H18&lt;&gt;CC$5,0,IF(CC18&lt;0,IF($J18=1,-$E18*$I18/12*3,IF($J18=2,-$E18*$I18/12*2,IF($J18=3,-$E18*$I18/12*1,0)))))+IF(BX$5&lt;&gt;$H18,0,IF(BX18&lt;0,IF($J18=1,-$E18*$I18/12*0,IF($J18=2,-$E18*$I18/12*1,IF($J18=3,-$E18*$I18/12*2,IF($J18&gt;=4,-$E18*$I18/12*3,0))))))</f>
        <v>0</v>
      </c>
      <c r="BZ18" s="1807">
        <f>IF($H18&lt;&gt;CC$5,0,IF(CC18&lt;0,IF(OR($J18=1,$J18=2,$J18=3,$J18=4),-$E18*$I18/12*3,IF($J18=5,-$E18*$I18/12*2,IF($J18=6,-$E18*$I18/12*1,0)))))+IF(BX$5&lt;&gt;$H18,0,IF(BX18&lt;0,IF($J18=4,-$E18*$I18/12*0,IF($J18=5,-$E18*$I18/12*1,IF($J18=6,-$E18*$I18/12*2,IF($J18&gt;=7,-$E18*$I18/12*3,0))))))</f>
        <v>0</v>
      </c>
      <c r="CA18" s="1807">
        <f>IF($H18&lt;&gt;CC$5,0,IF(CC18&lt;0,IF(OR($J18=1,$J18=2,$J18=3,$J18=4,$J18=5,$J18=6,$J18=7),-$E18*$I18/12*3,IF($J18=8,-$E18*$I18/12*2,IF($J18=9,-$E18*$I18/12*1,0)))))+IF(BX$5&lt;&gt;$H18,0,IF(BX18&lt;0,IF($J18=7,-$E18*$I18/12*0,IF($J18=8,-$E18*$I18/12*1,IF($J18=9,-$E18*$I18/12*2,IF($J18&gt;=10,-$E18*$I18/12*3,0))))))</f>
        <v>0</v>
      </c>
      <c r="CB18" s="1806">
        <f>IF($H18&lt;&gt;CC$5,0,IF(CC18&lt;0,IF(OR($J18=1,$J18=2,$J18=3,$J18=4,$J18=5,$J18=6,$J18=7,$J18=8,$J18=9,$J18=10),-$E18*$I18/12*3,IF($J18=11,-$E18*$I18/12*2,IF($J18=12,-$E18*$I18/12*1,0)))))+IF(BX$5&lt;&gt;$H18,0,IF(BX18&lt;0,IF($J18=10,-$E18*$I18/12*0,IF($J18=11,-$E18*$I18/12*1,IF($J18=12,-$E18*$I18/12*2,0)))))</f>
        <v>0</v>
      </c>
      <c r="CC18" s="1791">
        <f>IF(AND(BX18&lt;&gt;0,BX$5=$H18),-$I18*$E18-BX18,IF(CC$5=$H18,-$I18*$E18*(12-$J18+1)/12,0))</f>
        <v>0</v>
      </c>
      <c r="CD18" s="1808">
        <f>IF($H18&lt;&gt;CH$5,0,IF(CH18&lt;0,IF($J18=1,-$E18*$I18/12*3,IF($J18=2,-$E18*$I18/12*2,IF($J18=3,-$E18*$I18/12*1,0)))))+IF(CC$5&lt;&gt;$H18,0,IF(CC18&lt;0,IF($J18=1,-$E18*$I18/12*0,IF($J18=2,-$E18*$I18/12*1,IF($J18=3,-$E18*$I18/12*2,IF($J18&gt;=4,-$E18*$I18/12*3,0))))))</f>
        <v>0</v>
      </c>
      <c r="CE18" s="1807">
        <f>IF($H18&lt;&gt;CH$5,0,IF(CH18&lt;0,IF(OR($J18=1,$J18=2,$J18=3,$J18=4),-$E18*$I18/12*3,IF($J18=5,-$E18*$I18/12*2,IF($J18=6,-$E18*$I18/12*1,0)))))+IF(CC$5&lt;&gt;$H18,0,IF(CC18&lt;0,IF($J18=4,-$E18*$I18/12*0,IF($J18=5,-$E18*$I18/12*1,IF($J18=6,-$E18*$I18/12*2,IF($J18&gt;=7,-$E18*$I18/12*3,0))))))</f>
        <v>0</v>
      </c>
      <c r="CF18" s="1807">
        <f>IF($H18&lt;&gt;CH$5,0,IF(CH18&lt;0,IF(OR($J18=1,$J18=2,$J18=3,$J18=4,$J18=5,$J18=6,$J18=7),-$E18*$I18/12*3,IF($J18=8,-$E18*$I18/12*2,IF($J18=9,-$E18*$I18/12*1,0)))))+IF(CC$5&lt;&gt;$H18,0,IF(CC18&lt;0,IF($J18=7,-$E18*$I18/12*0,IF($J18=8,-$E18*$I18/12*1,IF($J18=9,-$E18*$I18/12*2,IF($J18&gt;=10,-$E18*$I18/12*3,0))))))</f>
        <v>0</v>
      </c>
      <c r="CG18" s="1806">
        <f>IF($H18&lt;&gt;CH$5,0,IF(CH18&lt;0,IF(OR($J18=1,$J18=2,$J18=3,$J18=4,$J18=5,$J18=6,$J18=7,$J18=8,$J18=9,$J18=10),-$E18*$I18/12*3,IF($J18=11,-$E18*$I18/12*2,IF($J18=12,-$E18*$I18/12*1,0)))))+IF(CC$5&lt;&gt;$H18,0,IF(CC18&lt;0,IF($J18=10,-$E18*$I18/12*0,IF($J18=11,-$E18*$I18/12*1,IF($J18=12,-$E18*$I18/12*2,0)))))</f>
        <v>0</v>
      </c>
      <c r="CH18" s="1791">
        <f>IF(AND(CC18&lt;&gt;0,CC$5=$H18),-$I18*$E18-CC18,IF(CH$5=$H18,-$I18*$E18*(12-$J18+1)/12,0))</f>
        <v>0</v>
      </c>
      <c r="CI18" s="1808">
        <f>IF($H18&lt;&gt;CM$5,0,IF(CM18&lt;0,IF($J18=1,-$E18*$I18/12*3,IF($J18=2,-$E18*$I18/12*2,IF($J18=3,-$E18*$I18/12*1,0)))))+IF(CH$5&lt;&gt;$H18,0,IF(CH18&lt;0,IF($J18=1,-$E18*$I18/12*0,IF($J18=2,-$E18*$I18/12*1,IF($J18=3,-$E18*$I18/12*2,IF($J18&gt;=4,-$E18*$I18/12*3,0))))))</f>
        <v>0</v>
      </c>
      <c r="CJ18" s="1807">
        <f>IF($H18&lt;&gt;CM$5,0,IF(CM18&lt;0,IF(OR($J18=1,$J18=2,$J18=3,$J18=4),-$E18*$I18/12*3,IF($J18=5,-$E18*$I18/12*2,IF($J18=6,-$E18*$I18/12*1,0)))))+IF(CH$5&lt;&gt;$H18,0,IF(CH18&lt;0,IF($J18=4,-$E18*$I18/12*0,IF($J18=5,-$E18*$I18/12*1,IF($J18=6,-$E18*$I18/12*2,IF($J18&gt;=7,-$E18*$I18/12*3,0))))))</f>
        <v>0</v>
      </c>
      <c r="CK18" s="1807">
        <f>IF($H18&lt;&gt;CM$5,0,IF(CM18&lt;0,IF(OR($J18=1,$J18=2,$J18=3,$J18=4,$J18=5,$J18=6,$J18=7),-$E18*$I18/12*3,IF($J18=8,-$E18*$I18/12*2,IF($J18=9,-$E18*$I18/12*1,0)))))+IF(CH$5&lt;&gt;$H18,0,IF(CH18&lt;0,IF($J18=7,-$E18*$I18/12*0,IF($J18=8,-$E18*$I18/12*1,IF($J18=9,-$E18*$I18/12*2,IF($J18&gt;=10,-$E18*$I18/12*3,0))))))</f>
        <v>0</v>
      </c>
      <c r="CL18" s="1806">
        <f>IF($H18&lt;&gt;CM$5,0,IF(CM18&lt;0,IF(OR($J18=1,$J18=2,$J18=3,$J18=4,$J18=5,$J18=6,$J18=7,$J18=8,$J18=9,$J18=10),-$E18*$I18/12*3,IF($J18=11,-$E18*$I18/12*2,IF($J18=12,-$E18*$I18/12*1,0)))))+IF(CH$5&lt;&gt;$H18,0,IF(CH18&lt;0,IF($J18=10,-$E18*$I18/12*0,IF($J18=11,-$E18*$I18/12*1,IF($J18=12,-$E18*$I18/12*2,0)))))</f>
        <v>0</v>
      </c>
      <c r="CM18" s="1791">
        <f>IF(AND(CH18&lt;&gt;0,CH$5=$H18),-$I18*$E18-CH18,IF(CM$5=$H18,-$I18*$E18*(12-$J18+1)/12,0))</f>
        <v>0</v>
      </c>
      <c r="CN18" s="1808">
        <f>IF($H18&lt;&gt;CR$5,0,IF(CR18&lt;0,IF($J18=1,-$E18*$I18/12*3,IF($J18=2,-$E18*$I18/12*2,IF($J18=3,-$E18*$I18/12*1,0)))))+IF(CM$5&lt;&gt;$H18,0,IF(CM18&lt;0,IF($J18=1,-$E18*$I18/12*0,IF($J18=2,-$E18*$I18/12*1,IF($J18=3,-$E18*$I18/12*2,IF($J18&gt;=4,-$E18*$I18/12*3,0))))))</f>
        <v>0</v>
      </c>
      <c r="CO18" s="1807">
        <f>IF($H18&lt;&gt;CR$5,0,IF(CR18&lt;0,IF(OR($J18=1,$J18=2,$J18=3,$J18=4),-$E18*$I18/12*3,IF($J18=5,-$E18*$I18/12*2,IF($J18=6,-$E18*$I18/12*1,0)))))+IF(CM$5&lt;&gt;$H18,0,IF(CM18&lt;0,IF($J18=4,-$E18*$I18/12*0,IF($J18=5,-$E18*$I18/12*1,IF($J18=6,-$E18*$I18/12*2,IF($J18&gt;=7,-$E18*$I18/12*3,0))))))</f>
        <v>0</v>
      </c>
      <c r="CP18" s="1807">
        <f>IF($H18&lt;&gt;CR$5,0,IF(CR18&lt;0,IF(OR($J18=1,$J18=2,$J18=3,$J18=4,$J18=5,$J18=6,$J18=7),-$E18*$I18/12*3,IF($J18=8,-$E18*$I18/12*2,IF($J18=9,-$E18*$I18/12*1,0)))))+IF(CM$5&lt;&gt;$H18,0,IF(CM18&lt;0,IF($J18=7,-$E18*$I18/12*0,IF($J18=8,-$E18*$I18/12*1,IF($J18=9,-$E18*$I18/12*2,IF($J18&gt;=10,-$E18*$I18/12*3,0))))))</f>
        <v>0</v>
      </c>
      <c r="CQ18" s="1806">
        <f>IF($H18&lt;&gt;CR$5,0,IF(CR18&lt;0,IF(OR($J18=1,$J18=2,$J18=3,$J18=4,$J18=5,$J18=6,$J18=7,$J18=8,$J18=9,$J18=10),-$E18*$I18/12*3,IF($J18=11,-$E18*$I18/12*2,IF($J18=12,-$E18*$I18/12*1,0)))))+IF(CM$5&lt;&gt;$H18,0,IF(CM18&lt;0,IF($J18=10,-$E18*$I18/12*0,IF($J18=11,-$E18*$I18/12*1,IF($J18=12,-$E18*$I18/12*2,0)))))</f>
        <v>0</v>
      </c>
      <c r="CR18" s="1791">
        <f>IF(AND(CM18&lt;&gt;0,CM$5=$H18),-$I18*$E18-CM18,IF(CR$5=$H18,-$I18*$E18*(12-$J18+1)/12,0))</f>
        <v>0</v>
      </c>
      <c r="CS18" s="1808">
        <f>IF($H18&lt;&gt;CW$5,0,IF(CW18&lt;0,IF($J18=1,-$E18*$I18/12*3,IF($J18=2,-$E18*$I18/12*2,IF($J18=3,-$E18*$I18/12*1,0)))))+IF(CR$5&lt;&gt;$H18,0,IF(CR18&lt;0,IF($J18=1,-$E18*$I18/12*0,IF($J18=2,-$E18*$I18/12*1,IF($J18=3,-$E18*$I18/12*2,IF($J18&gt;=4,-$E18*$I18/12*3,0))))))</f>
        <v>0</v>
      </c>
      <c r="CT18" s="1807">
        <f>IF($H18&lt;&gt;CW$5,0,IF(CW18&lt;0,IF(OR($J18=1,$J18=2,$J18=3,$J18=4),-$E18*$I18/12*3,IF($J18=5,-$E18*$I18/12*2,IF($J18=6,-$E18*$I18/12*1,0)))))+IF(CR$5&lt;&gt;$H18,0,IF(CR18&lt;0,IF($J18=4,-$E18*$I18/12*0,IF($J18=5,-$E18*$I18/12*1,IF($J18=6,-$E18*$I18/12*2,IF($J18&gt;=7,-$E18*$I18/12*3,0))))))</f>
        <v>0</v>
      </c>
      <c r="CU18" s="1807">
        <f>IF($H18&lt;&gt;CW$5,0,IF(CW18&lt;0,IF(OR($J18=1,$J18=2,$J18=3,$J18=4,$J18=5,$J18=6,$J18=7),-$E18*$I18/12*3,IF($J18=8,-$E18*$I18/12*2,IF($J18=9,-$E18*$I18/12*1,0)))))+IF(CR$5&lt;&gt;$H18,0,IF(CR18&lt;0,IF($J18=7,-$E18*$I18/12*0,IF($J18=8,-$E18*$I18/12*1,IF($J18=9,-$E18*$I18/12*2,IF($J18&gt;=10,-$E18*$I18/12*3,0))))))</f>
        <v>0</v>
      </c>
      <c r="CV18" s="1806">
        <f>IF($H18&lt;&gt;CW$5,0,IF(CW18&lt;0,IF(OR($J18=1,$J18=2,$J18=3,$J18=4,$J18=5,$J18=6,$J18=7,$J18=8,$J18=9,$J18=10),-$E18*$I18/12*3,IF($J18=11,-$E18*$I18/12*2,IF($J18=12,-$E18*$I18/12*1,0)))))+IF(CR$5&lt;&gt;$H18,0,IF(CR18&lt;0,IF($J18=10,-$E18*$I18/12*0,IF($J18=11,-$E18*$I18/12*1,IF($J18=12,-$E18*$I18/12*2,0)))))</f>
        <v>0</v>
      </c>
      <c r="CW18" s="1791">
        <f>IF(AND(CR18&lt;&gt;0,CR$5=$H18),-$I18*$E18-CR18,IF(CW$5=$H18,-$I18*$E18*(12-$J18+1)/12,0))</f>
        <v>0</v>
      </c>
      <c r="CX18" s="1808">
        <f>IF($H18&lt;&gt;DB$5,0,IF(DB18&lt;0,IF($J18=1,-$E18*$I18/12*3,IF($J18=2,-$E18*$I18/12*2,IF($J18=3,-$E18*$I18/12*1,0)))))+IF(CW$5&lt;&gt;$H18,0,IF(CW18&lt;0,IF($J18=1,-$E18*$I18/12*0,IF($J18=2,-$E18*$I18/12*1,IF($J18=3,-$E18*$I18/12*2,IF($J18&gt;=4,-$E18*$I18/12*3,0))))))</f>
        <v>0</v>
      </c>
      <c r="CY18" s="1807">
        <f>IF($H18&lt;&gt;DB$5,0,IF(DB18&lt;0,IF(OR($J18=1,$J18=2,$J18=3,$J18=4),-$E18*$I18/12*3,IF($J18=5,-$E18*$I18/12*2,IF($J18=6,-$E18*$I18/12*1,0)))))+IF(CW$5&lt;&gt;$H18,0,IF(CW18&lt;0,IF($J18=4,-$E18*$I18/12*0,IF($J18=5,-$E18*$I18/12*1,IF($J18=6,-$E18*$I18/12*2,IF($J18&gt;=7,-$E18*$I18/12*3,0))))))</f>
        <v>0</v>
      </c>
      <c r="CZ18" s="1807">
        <f>IF($H18&lt;&gt;DB$5,0,IF(DB18&lt;0,IF(OR($J18=1,$J18=2,$J18=3,$J18=4,$J18=5,$J18=6,$J18=7),-$E18*$I18/12*3,IF($J18=8,-$E18*$I18/12*2,IF($J18=9,-$E18*$I18/12*1,0)))))+IF(CW$5&lt;&gt;$H18,0,IF(CW18&lt;0,IF($J18=7,-$E18*$I18/12*0,IF($J18=8,-$E18*$I18/12*1,IF($J18=9,-$E18*$I18/12*2,IF($J18&gt;=10,-$E18*$I18/12*3,0))))))</f>
        <v>0</v>
      </c>
      <c r="DA18" s="1806">
        <f>IF($H18&lt;&gt;DB$5,0,IF(DB18&lt;0,IF(OR($J18=1,$J18=2,$J18=3,$J18=4,$J18=5,$J18=6,$J18=7,$J18=8,$J18=9,$J18=10),-$E18*$I18/12*3,IF($J18=11,-$E18*$I18/12*2,IF($J18=12,-$E18*$I18/12*1,0)))))+IF(CW$5&lt;&gt;$H18,0,IF(CW18&lt;0,IF($J18=10,-$E18*$I18/12*0,IF($J18=11,-$E18*$I18/12*1,IF($J18=12,-$E18*$I18/12*2,0)))))</f>
        <v>0</v>
      </c>
      <c r="DB18" s="1791">
        <f>IF(AND(CW18&lt;&gt;0,CW$5=$H18),-$I18*$E18-CW18,IF(DB$5=$H18,-$I18*$E18*(12-$J18+1)/12,0))</f>
        <v>0</v>
      </c>
      <c r="DC18" s="1808">
        <f>IF($H18&lt;&gt;DG$5,0,IF(DG18&lt;0,IF($J18=1,-$E18*$I18/12*3,IF($J18=2,-$E18*$I18/12*2,IF($J18=3,-$E18*$I18/12*1,0)))))+IF(DB$5&lt;&gt;$H18,0,IF(DB18&lt;0,IF($J18=1,-$E18*$I18/12*0,IF($J18=2,-$E18*$I18/12*1,IF($J18=3,-$E18*$I18/12*2,IF($J18&gt;=4,-$E18*$I18/12*3,0))))))</f>
        <v>0</v>
      </c>
      <c r="DD18" s="1807">
        <f>IF($H18&lt;&gt;DG$5,0,IF(DG18&lt;0,IF(OR($J18=1,$J18=2,$J18=3,$J18=4),-$E18*$I18/12*3,IF($J18=5,-$E18*$I18/12*2,IF($J18=6,-$E18*$I18/12*1,0)))))+IF(DB$5&lt;&gt;$H18,0,IF(DB18&lt;0,IF($J18=4,-$E18*$I18/12*0,IF($J18=5,-$E18*$I18/12*1,IF($J18=6,-$E18*$I18/12*2,IF($J18&gt;=7,-$E18*$I18/12*3,0))))))</f>
        <v>0</v>
      </c>
      <c r="DE18" s="1807">
        <f>IF($H18&lt;&gt;DG$5,0,IF(DG18&lt;0,IF(OR($J18=1,$J18=2,$J18=3,$J18=4,$J18=5,$J18=6,$J18=7),-$E18*$I18/12*3,IF($J18=8,-$E18*$I18/12*2,IF($J18=9,-$E18*$I18/12*1,0)))))+IF(DB$5&lt;&gt;$H18,0,IF(DB18&lt;0,IF($J18=7,-$E18*$I18/12*0,IF($J18=8,-$E18*$I18/12*1,IF($J18=9,-$E18*$I18/12*2,IF($J18&gt;=10,-$E18*$I18/12*3,0))))))</f>
        <v>0</v>
      </c>
      <c r="DF18" s="1806">
        <f>IF($H18&lt;&gt;DG$5,0,IF(DG18&lt;0,IF(OR($J18=1,$J18=2,$J18=3,$J18=4,$J18=5,$J18=6,$J18=7,$J18=8,$J18=9,$J18=10),-$E18*$I18/12*3,IF($J18=11,-$E18*$I18/12*2,IF($J18=12,-$E18*$I18/12*1,0)))))+IF(DB$5&lt;&gt;$H18,0,IF(DB18&lt;0,IF($J18=10,-$E18*$I18/12*0,IF($J18=11,-$E18*$I18/12*1,IF($J18=12,-$E18*$I18/12*2,0)))))</f>
        <v>0</v>
      </c>
      <c r="DG18" s="1791">
        <f>IF(AND(DB18&lt;&gt;0,DB$5=$H18),-$I18*$E18-DB18,IF(DG$5=$H18,-$I18*$E18*(12-$J18+1)/12,0))</f>
        <v>0</v>
      </c>
      <c r="DH18" s="1808">
        <f>IF($H18&lt;&gt;DL$5,0,IF(DL18&lt;0,IF($J18=1,-$E18*$I18/12*3,IF($J18=2,-$E18*$I18/12*2,IF($J18=3,-$E18*$I18/12*1,0)))))+IF(DG$5&lt;&gt;$H18,0,IF(DG18&lt;0,IF($J18=1,-$E18*$I18/12*0,IF($J18=2,-$E18*$I18/12*1,IF($J18=3,-$E18*$I18/12*2,IF($J18&gt;=4,-$E18*$I18/12*3,0))))))</f>
        <v>0</v>
      </c>
      <c r="DI18" s="1807">
        <f>IF($H18&lt;&gt;DL$5,0,IF(DL18&lt;0,IF(OR($J18=1,$J18=2,$J18=3,$J18=4),-$E18*$I18/12*3,IF($J18=5,-$E18*$I18/12*2,IF($J18=6,-$E18*$I18/12*1,0)))))+IF(DG$5&lt;&gt;$H18,0,IF(DG18&lt;0,IF($J18=4,-$E18*$I18/12*0,IF($J18=5,-$E18*$I18/12*1,IF($J18=6,-$E18*$I18/12*2,IF($J18&gt;=7,-$E18*$I18/12*3,0))))))</f>
        <v>0</v>
      </c>
      <c r="DJ18" s="1807">
        <f>IF($H18&lt;&gt;DL$5,0,IF(DL18&lt;0,IF(OR($J18=1,$J18=2,$J18=3,$J18=4,$J18=5,$J18=6,$J18=7),-$E18*$I18/12*3,IF($J18=8,-$E18*$I18/12*2,IF($J18=9,-$E18*$I18/12*1,0)))))+IF(DG$5&lt;&gt;$H18,0,IF(DG18&lt;0,IF($J18=7,-$E18*$I18/12*0,IF($J18=8,-$E18*$I18/12*1,IF($J18=9,-$E18*$I18/12*2,IF($J18&gt;=10,-$E18*$I18/12*3,0))))))</f>
        <v>0</v>
      </c>
      <c r="DK18" s="1806">
        <f>IF($H18&lt;&gt;DL$5,0,IF(DL18&lt;0,IF(OR($J18=1,$J18=2,$J18=3,$J18=4,$J18=5,$J18=6,$J18=7,$J18=8,$J18=9,$J18=10),-$E18*$I18/12*3,IF($J18=11,-$E18*$I18/12*2,IF($J18=12,-$E18*$I18/12*1,0)))))+IF(DG$5&lt;&gt;$H18,0,IF(DG18&lt;0,IF($J18=10,-$E18*$I18/12*0,IF($J18=11,-$E18*$I18/12*1,IF($J18=12,-$E18*$I18/12*2,0)))))</f>
        <v>0</v>
      </c>
      <c r="DL18" s="1791">
        <f>IF(AND(DG18&lt;&gt;0,DG$5=$H18),-$I18*$E18-DG18,IF(DL$5=$H18,-$I18*$E18*(12-$J18+1)/12,0))</f>
        <v>0</v>
      </c>
      <c r="DM18" s="1808">
        <f>IF($H18&lt;&gt;DQ$5,0,IF(DQ18&lt;0,IF($J18=1,-$E18*$I18/12*3,IF($J18=2,-$E18*$I18/12*2,IF($J18=3,-$E18*$I18/12*1,0)))))+IF(DL$5&lt;&gt;$H18,0,IF(DL18&lt;0,IF($J18=1,-$E18*$I18/12*0,IF($J18=2,-$E18*$I18/12*1,IF($J18=3,-$E18*$I18/12*2,IF($J18&gt;=4,-$E18*$I18/12*3,0))))))</f>
        <v>0</v>
      </c>
      <c r="DN18" s="1807">
        <f>IF($H18&lt;&gt;DQ$5,0,IF(DQ18&lt;0,IF(OR($J18=1,$J18=2,$J18=3,$J18=4),-$E18*$I18/12*3,IF($J18=5,-$E18*$I18/12*2,IF($J18=6,-$E18*$I18/12*1,0)))))+IF(DL$5&lt;&gt;$H18,0,IF(DL18&lt;0,IF($J18=4,-$E18*$I18/12*0,IF($J18=5,-$E18*$I18/12*1,IF($J18=6,-$E18*$I18/12*2,IF($J18&gt;=7,-$E18*$I18/12*3,0))))))</f>
        <v>0</v>
      </c>
      <c r="DO18" s="1807">
        <f>IF($H18&lt;&gt;DQ$5,0,IF(DQ18&lt;0,IF(OR($J18=1,$J18=2,$J18=3,$J18=4,$J18=5,$J18=6,$J18=7),-$E18*$I18/12*3,IF($J18=8,-$E18*$I18/12*2,IF($J18=9,-$E18*$I18/12*1,0)))))+IF(DL$5&lt;&gt;$H18,0,IF(DL18&lt;0,IF($J18=7,-$E18*$I18/12*0,IF($J18=8,-$E18*$I18/12*1,IF($J18=9,-$E18*$I18/12*2,IF($J18&gt;=10,-$E18*$I18/12*3,0))))))</f>
        <v>-1.921875</v>
      </c>
      <c r="DP18" s="1806">
        <f>IF($H18&lt;&gt;DQ$5,0,IF(DQ18&lt;0,IF(OR($J18=1,$J18=2,$J18=3,$J18=4,$J18=5,$J18=6,$J18=7,$J18=8,$J18=9,$J18=10),-$E18*$I18/12*3,IF($J18=11,-$E18*$I18/12*2,IF($J18=12,-$E18*$I18/12*1,0)))))+IF(DL$5&lt;&gt;$H18,0,IF(DL18&lt;0,IF($J18=10,-$E18*$I18/12*0,IF($J18=11,-$E18*$I18/12*1,IF($J18=12,-$E18*$I18/12*2,0)))))</f>
        <v>-5.765625</v>
      </c>
      <c r="DQ18" s="1791">
        <f>IF(AND(DL18&lt;&gt;0,DL$5=$H18),-$I18*$E18-DL18,IF(DQ$5=$H18,-$I18*$E18*(12-$J18+1)/12,0))</f>
        <v>-7.6875</v>
      </c>
      <c r="DR18" s="1808">
        <f>IF($H18&lt;&gt;DV$5,0,IF(DV18&lt;0,IF($J18=1,-$E18*$I18/12*3,IF($J18=2,-$E18*$I18/12*2,IF($J18=3,-$E18*$I18/12*1,0)))))+IF(DQ$5&lt;&gt;$H18,0,IF(DQ18&lt;0,IF($J18=1,-$E18*$I18/12*0,IF($J18=2,-$E18*$I18/12*1,IF($J18=3,-$E18*$I18/12*2,IF($J18&gt;=4,-$E18*$I18/12*3,0))))))</f>
        <v>-5.765625</v>
      </c>
      <c r="DS18" s="1807">
        <f>IF($H18&lt;&gt;DV$5,0,IF(DV18&lt;0,IF(OR($J18=1,$J18=2,$J18=3,$J18=4),-$E18*$I18/12*3,IF($J18=5,-$E18*$I18/12*2,IF($J18=6,-$E18*$I18/12*1,0)))))+IF(DQ$5&lt;&gt;$H18,0,IF(DQ18&lt;0,IF($J18=4,-$E18*$I18/12*0,IF($J18=5,-$E18*$I18/12*1,IF($J18=6,-$E18*$I18/12*2,IF($J18&gt;=7,-$E18*$I18/12*3,0))))))</f>
        <v>-5.765625</v>
      </c>
      <c r="DT18" s="1807">
        <f>IF($H18&lt;&gt;DV$5,0,IF(DV18&lt;0,IF(OR($J18=1,$J18=2,$J18=3,$J18=4,$J18=5,$J18=6,$J18=7),-$E18*$I18/12*3,IF($J18=8,-$E18*$I18/12*2,IF($J18=9,-$E18*$I18/12*1,0)))))+IF(DQ$5&lt;&gt;$H18,0,IF(DQ18&lt;0,IF($J18=7,-$E18*$I18/12*0,IF($J18=8,-$E18*$I18/12*1,IF($J18=9,-$E18*$I18/12*2,IF($J18&gt;=10,-$E18*$I18/12*3,0))))))</f>
        <v>-3.84375</v>
      </c>
      <c r="DU18" s="1806">
        <f>IF($H18&lt;&gt;DV$5,0,IF(DV18&lt;0,IF(OR($J18=1,$J18=2,$J18=3,$J18=4,$J18=5,$J18=6,$J18=7,$J18=8,$J18=9,$J18=10),-$E18*$I18/12*3,IF($J18=11,-$E18*$I18/12*2,IF($J18=12,-$E18*$I18/12*1,0)))))+IF(DQ$5&lt;&gt;$H18,0,IF(DQ18&lt;0,IF($J18=10,-$E18*$I18/12*0,IF($J18=11,-$E18*$I18/12*1,IF($J18=12,-$E18*$I18/12*2,0)))))</f>
        <v>0</v>
      </c>
      <c r="DV18" s="1791">
        <f>IF(AND(DQ18&lt;&gt;0,DQ$5=$H18),-$I18*$E18-DQ18,IF(DV$5=$H18,-$I18*$E18*(12-$J18+1)/12,0))</f>
        <v>-15.375</v>
      </c>
    </row>
    <row r="19" spans="1:126">
      <c r="A19" s="455"/>
      <c r="B19" s="455"/>
      <c r="C19" s="1678" t="s">
        <v>931</v>
      </c>
      <c r="D19" s="1860"/>
      <c r="E19" s="1817">
        <f>IF(F19=0,G19,F19)</f>
        <v>650</v>
      </c>
      <c r="F19" s="486">
        <v>650</v>
      </c>
      <c r="G19" s="486">
        <v>650</v>
      </c>
      <c r="H19" s="1350">
        <v>2022</v>
      </c>
      <c r="I19" s="1335">
        <v>0.04</v>
      </c>
      <c r="J19" s="1343">
        <v>7</v>
      </c>
      <c r="K19" s="1792"/>
      <c r="L19" s="1791">
        <f t="shared" si="14"/>
        <v>0</v>
      </c>
      <c r="M19" s="1791">
        <f t="shared" si="14"/>
        <v>0</v>
      </c>
      <c r="N19" s="1808">
        <f>IF(R19=0,0,IF(R19&lt;0,IF($J19=3,R19,IF($J19=2,R19,IF($J19=1,R19,0)))))</f>
        <v>0</v>
      </c>
      <c r="O19" s="1807">
        <f>IF(R19=0,0,IF(R19&lt;0,IF($J19=6,R19,IF($J19=5,R19,IF($J19=4,R19,0)))))</f>
        <v>0</v>
      </c>
      <c r="P19" s="1807">
        <f>IF(R19=0,0,IF(R19&lt;0,IF($J19=9,R19,IF($J19=8,R19,IF($J19=7,R19,0)))))</f>
        <v>0</v>
      </c>
      <c r="Q19" s="1806">
        <f>IF(R19=0,0,IF(R19&lt;0,IF($J19=12,R19,IF($J19=11,R19,IF($J19=10,R19,0)))))</f>
        <v>0</v>
      </c>
      <c r="R19" s="1791">
        <f>IF(R$5=$H19,-$E19,0)</f>
        <v>0</v>
      </c>
      <c r="S19" s="1808">
        <f>IF(W19=0,0,IF(W19&lt;0,IF($J19=3,W19,IF($J19=2,W19,IF($J19=1,W19,0)))))</f>
        <v>0</v>
      </c>
      <c r="T19" s="1807">
        <f>IF(W19=0,0,IF(W19&lt;0,IF($J19=6,W19,IF($J19=5,W19,IF($J19=4,W19,0)))))</f>
        <v>0</v>
      </c>
      <c r="U19" s="1807">
        <f>IF(W19=0,0,IF(W19&lt;0,IF($J19=9,W19,IF($J19=8,W19,IF($J19=7,W19,0)))))</f>
        <v>0</v>
      </c>
      <c r="V19" s="1806">
        <f>IF(W19=0,0,IF(W19&lt;0,IF($J19=12,W19,IF($J19=11,W19,IF($J19=10,W19,0)))))</f>
        <v>0</v>
      </c>
      <c r="W19" s="1791">
        <f>IF(W$5=$H19,-$E19,0)</f>
        <v>0</v>
      </c>
      <c r="X19" s="1808">
        <f>IF(AB19=0,0,IF(AB19&lt;0,IF($J19=3,AB19,IF($J19=2,AB19,IF($J19=1,AB19,0)))))</f>
        <v>0</v>
      </c>
      <c r="Y19" s="1807">
        <f>IF(AB19=0,0,IF(AB19&lt;0,IF($J19=6,AB19,IF($J19=5,AB19,IF($J19=4,AB19,0)))))</f>
        <v>0</v>
      </c>
      <c r="Z19" s="1807">
        <f>IF(AB19=0,0,IF(AB19&lt;0,IF($J19=9,AB19,IF($J19=8,AB19,IF($J19=7,AB19,0)))))</f>
        <v>0</v>
      </c>
      <c r="AA19" s="1806">
        <f>IF(AB19=0,0,IF(AB19&lt;0,IF($J19=12,AB19,IF($J19=11,AB19,IF($J19=10,AB19,0)))))</f>
        <v>0</v>
      </c>
      <c r="AB19" s="1791">
        <f>IF(AB$5=$H19,-$E19,0)</f>
        <v>0</v>
      </c>
      <c r="AC19" s="1808">
        <f>IF(AG19=0,0,IF(AG19&lt;0,IF($J19=3,AG19,IF($J19=2,AG19,IF($J19=1,AG19,0)))))</f>
        <v>0</v>
      </c>
      <c r="AD19" s="1807">
        <f>IF(AG19=0,0,IF(AG19&lt;0,IF($J19=6,AG19,IF($J19=5,AG19,IF($J19=4,AG19,0)))))</f>
        <v>0</v>
      </c>
      <c r="AE19" s="1807">
        <f>IF(AG19=0,0,IF(AG19&lt;0,IF($J19=9,AG19,IF($J19=8,AG19,IF($J19=7,AG19,0)))))</f>
        <v>0</v>
      </c>
      <c r="AF19" s="1806">
        <f>IF(AG19=0,0,IF(AG19&lt;0,IF($J19=12,AG19,IF($J19=11,AG19,IF($J19=10,AG19,0)))))</f>
        <v>0</v>
      </c>
      <c r="AG19" s="1791">
        <f>IF(AG$5=$H19,-$E19,0)</f>
        <v>0</v>
      </c>
      <c r="AH19" s="1808">
        <f>IF(AL19=0,0,IF(AL19&lt;0,IF($J19=3,AL19,IF($J19=2,AL19,IF($J19=1,AL19,0)))))</f>
        <v>0</v>
      </c>
      <c r="AI19" s="1807">
        <f>IF(AL19=0,0,IF(AL19&lt;0,IF($J19=6,AL19,IF($J19=5,AL19,IF($J19=4,AL19,0)))))</f>
        <v>0</v>
      </c>
      <c r="AJ19" s="1807">
        <f>IF(AL19=0,0,IF(AL19&lt;0,IF($J19=9,AL19,IF($J19=8,AL19,IF($J19=7,AL19,0)))))</f>
        <v>0</v>
      </c>
      <c r="AK19" s="1806">
        <f>IF(AL19=0,0,IF(AL19&lt;0,IF($J19=12,AL19,IF($J19=11,AL19,IF($J19=10,AL19,0)))))</f>
        <v>0</v>
      </c>
      <c r="AL19" s="1791">
        <f>IF(AL$5=$H19,-$E19,0)</f>
        <v>0</v>
      </c>
      <c r="AM19" s="1808">
        <f>IF(AQ19=0,0,IF(AQ19&lt;0,IF($J19=3,AQ19,IF($J19=2,AQ19,IF($J19=1,AQ19,0)))))</f>
        <v>0</v>
      </c>
      <c r="AN19" s="1807">
        <f>IF(AQ19=0,0,IF(AQ19&lt;0,IF($J19=6,AQ19,IF($J19=5,AQ19,IF($J19=4,AQ19,0)))))</f>
        <v>0</v>
      </c>
      <c r="AO19" s="1807">
        <f>IF(AQ19=0,0,IF(AQ19&lt;0,IF($J19=9,AQ19,IF($J19=8,AQ19,IF($J19=7,AQ19,0)))))</f>
        <v>0</v>
      </c>
      <c r="AP19" s="1806">
        <f>IF(AQ19=0,0,IF(AQ19&lt;0,IF($J19=12,AQ19,IF($J19=11,AQ19,IF($J19=10,AQ19,0)))))</f>
        <v>0</v>
      </c>
      <c r="AQ19" s="1791">
        <f>IF(AQ$5=$H19,-$E19,0)</f>
        <v>0</v>
      </c>
      <c r="AR19" s="1808">
        <f>IF(AV19=0,0,IF(AV19&lt;0,IF($J19=3,AV19,IF($J19=2,AV19,IF($J19=1,AV19,0)))))</f>
        <v>0</v>
      </c>
      <c r="AS19" s="1807">
        <f>IF(AV19=0,0,IF(AV19&lt;0,IF($J19=6,AV19,IF($J19=5,AV19,IF($J19=4,AV19,0)))))</f>
        <v>0</v>
      </c>
      <c r="AT19" s="1807">
        <f>IF(AV19=0,0,IF(AV19&lt;0,IF($J19=9,AV19,IF($J19=8,AV19,IF($J19=7,AV19,0)))))</f>
        <v>0</v>
      </c>
      <c r="AU19" s="1806">
        <f>IF(AV19=0,0,IF(AV19&lt;0,IF($J19=12,AV19,IF($J19=11,AV19,IF($J19=10,AV19,0)))))</f>
        <v>0</v>
      </c>
      <c r="AV19" s="1791">
        <f>IF(AV$5=$H19,-$E19,0)</f>
        <v>0</v>
      </c>
      <c r="AW19" s="1808">
        <f>IF(BA19=0,0,IF(BA19&lt;0,IF($J19=3,BA19,IF($J19=2,BA19,IF($J19=1,BA19,0)))))</f>
        <v>0</v>
      </c>
      <c r="AX19" s="1807">
        <f>IF(BA19=0,0,IF(BA19&lt;0,IF($J19=6,BA19,IF($J19=5,BA19,IF($J19=4,BA19,0)))))</f>
        <v>0</v>
      </c>
      <c r="AY19" s="1807">
        <f>IF(BA19=0,0,IF(BA19&lt;0,IF($J19=9,BA19,IF($J19=8,BA19,IF($J19=7,BA19,0)))))</f>
        <v>0</v>
      </c>
      <c r="AZ19" s="1806">
        <f>IF(BA19=0,0,IF(BA19&lt;0,IF($J19=12,BA19,IF($J19=11,BA19,IF($J19=10,BA19,0)))))</f>
        <v>0</v>
      </c>
      <c r="BA19" s="1791">
        <f>IF(BA$5=$H19,-$E19,0)</f>
        <v>0</v>
      </c>
      <c r="BB19" s="1808">
        <f>IF(BF19=0,0,IF(BF19&lt;0,IF($J19=3,BF19,IF($J19=2,BF19,IF($J19=1,BF19,0)))))</f>
        <v>0</v>
      </c>
      <c r="BC19" s="1807">
        <f>IF(BF19=0,0,IF(BF19&lt;0,IF($J19=6,BF19,IF($J19=5,BF19,IF($J19=4,BF19,0)))))</f>
        <v>0</v>
      </c>
      <c r="BD19" s="1807">
        <f>IF(BF19=0,0,IF(BF19&lt;0,IF($J19=9,BF19,IF($J19=8,BF19,IF($J19=7,BF19,0)))))</f>
        <v>0</v>
      </c>
      <c r="BE19" s="1806">
        <f>IF(BF19=0,0,IF(BF19&lt;0,IF($J19=12,BF19,IF($J19=11,BF19,IF($J19=10,BF19,0)))))</f>
        <v>0</v>
      </c>
      <c r="BF19" s="1791">
        <f>IF(BF$5=$H19,-$E19,0)</f>
        <v>0</v>
      </c>
      <c r="BG19" s="1808">
        <f>IF(BK19=0,0,IF(BK19&lt;0,IF($J19=3,BK19,IF($J19=2,BK19,IF($J19=1,BK19,0)))))</f>
        <v>0</v>
      </c>
      <c r="BH19" s="1807">
        <f>IF(BK19=0,0,IF(BK19&lt;0,IF($J19=6,BK19,IF($J19=5,BK19,IF($J19=4,BK19,0)))))</f>
        <v>0</v>
      </c>
      <c r="BI19" s="1807">
        <f>IF(BK19=0,0,IF(BK19&lt;0,IF($J19=9,BK19,IF($J19=8,BK19,IF($J19=7,BK19,0)))))</f>
        <v>0</v>
      </c>
      <c r="BJ19" s="1806">
        <f>IF(BK19=0,0,IF(BK19&lt;0,IF($J19=12,BK19,IF($J19=11,BK19,IF($J19=10,BK19,0)))))</f>
        <v>0</v>
      </c>
      <c r="BK19" s="1791">
        <f>IF(BK$5=$H19,-$E19,0)</f>
        <v>0</v>
      </c>
      <c r="BL19" s="1808">
        <f>IF(BP19=0,0,IF(BP19&lt;0,IF($J19=3,BP19,IF($J19=2,BP19,IF($J19=1,BP19,0)))))</f>
        <v>0</v>
      </c>
      <c r="BM19" s="1807">
        <f>IF(BP19=0,0,IF(BP19&lt;0,IF($J19=6,BP19,IF($J19=5,BP19,IF($J19=4,BP19,0)))))</f>
        <v>0</v>
      </c>
      <c r="BN19" s="1807">
        <f>IF(BP19=0,0,IF(BP19&lt;0,IF($J19=9,BP19,IF($J19=8,BP19,IF($J19=7,BP19,0)))))</f>
        <v>0</v>
      </c>
      <c r="BO19" s="1806">
        <f>IF(BP19=0,0,IF(BP19&lt;0,IF($J19=12,BP19,IF($J19=11,BP19,IF($J19=10,BP19,0)))))</f>
        <v>0</v>
      </c>
      <c r="BP19" s="1791">
        <f>IF(BP$5=$H19,-$E19,0)</f>
        <v>0</v>
      </c>
      <c r="BQ19" s="1827"/>
      <c r="BR19" s="1991">
        <f t="shared" si="15"/>
        <v>0</v>
      </c>
      <c r="BS19" s="1991">
        <f t="shared" si="15"/>
        <v>0</v>
      </c>
      <c r="BT19" s="1992">
        <f>IF($H19&lt;&gt;BX$5,0,IF(BX19&lt;0,IF($J19=1,-$E19*$I19/12*3,IF($J19=2,-$E19*$I19/12*2,IF($J19=3,-$E19*$I19/12*1,0)))))+IF(BS$5&lt;&gt;$H19,0,IF(BS19&lt;0,IF($J19=1,-$E19*$I19/12*0,IF($J19=2,-$E19*$I19/12*1,IF($J19=3,-$E19*$I19/12*2,IF($J19&gt;=4,-$E19*$I19/12*3,0))))))</f>
        <v>0</v>
      </c>
      <c r="BU19" s="1992">
        <f>IF($H19&lt;&gt;BX$5,0,IF(BX19&lt;0,IF(OR($J19=1,$J19=2,$J19=3,$J19=4),-$E19*$I19/12*3,IF($J19=5,-$E19*$I19/12*2,IF($J19=6,-$E19*$I19/12*1,0)))))+IF(BS$5&lt;&gt;$H19,0,IF(BS19&lt;0,IF($J19=4,-$E19*$I19/12*0,IF($J19=5,-$E19*$I19/12*1,IF($J19=6,-$E19*$I19/12*2,IF($J19&gt;=7,-$E19*$I19/12*3,0))))))</f>
        <v>0</v>
      </c>
      <c r="BV19" s="1992">
        <f>IF($H19&lt;&gt;BX$5,0,IF(BX19&lt;0,IF(OR($J19=1,$J19=2,$J19=3,$J19=4,$J19=5,$J19=6,$J19=7),-$E19*$I19/12*3,IF($J19=8,-$E19*$I19/12*2,IF($J19=9,-$E19*$I19/12*1,0)))))+IF(BS$5&lt;&gt;$H19,0,IF(BS19&lt;0,IF($J19=7,-$E19*$I19/12*0,IF($J19=8,-$E19*$I19/12*1,IF($J19=9,-$E19*$I19/12*2,IF($J19&gt;=10,-$E19*$I19/12*3,0))))))</f>
        <v>0</v>
      </c>
      <c r="BW19" s="1992">
        <f>IF($H19&lt;&gt;BX$5,0,IF(BX19&lt;0,IF(OR($J19=1,$J19=2,$J19=3,$J19=4,$J19=5,$J19=6,$J19=7,$J19=8,$J19=9,$J19=10),-$E19*$I19/12*3,IF($J19=11,-$E19*$I19/12*2,IF($J19=12,-$E19*$I19/12*1,0)))))+IF(BS$5&lt;&gt;$H19,0,IF(BS19&lt;0,IF($J19=10,-$E19*$I19/12*0,IF($J19=11,-$E19*$I19/12*1,IF($J19=12,-$E19*$I19/12*2,0)))))</f>
        <v>0</v>
      </c>
      <c r="BX19" s="1810">
        <f>IF(AND(BS19&lt;&gt;0,BS$5=$H19),-$I19*$E19-BS19,IF(BX$5=$H19,-$I19*$E19*(12-$J19+1)/12,0))</f>
        <v>0</v>
      </c>
      <c r="BY19" s="1807">
        <f>IF($H19&lt;&gt;CC$5,0,IF(CC19&lt;0,IF($J19=1,-$E19*$I19/12*3,IF($J19=2,-$E19*$I19/12*2,IF($J19=3,-$E19*$I19/12*1,0)))))+IF(BX$5&lt;&gt;$H19,0,IF(BX19&lt;0,IF($J19=1,-$E19*$I19/12*0,IF($J19=2,-$E19*$I19/12*1,IF($J19=3,-$E19*$I19/12*2,IF($J19&gt;=4,-$E19*$I19/12*3,0))))))</f>
        <v>0</v>
      </c>
      <c r="BZ19" s="1807">
        <f>IF($H19&lt;&gt;CC$5,0,IF(CC19&lt;0,IF(OR($J19=1,$J19=2,$J19=3,$J19=4),-$E19*$I19/12*3,IF($J19=5,-$E19*$I19/12*2,IF($J19=6,-$E19*$I19/12*1,0)))))+IF(BX$5&lt;&gt;$H19,0,IF(BX19&lt;0,IF($J19=4,-$E19*$I19/12*0,IF($J19=5,-$E19*$I19/12*1,IF($J19=6,-$E19*$I19/12*2,IF($J19&gt;=7,-$E19*$I19/12*3,0))))))</f>
        <v>0</v>
      </c>
      <c r="CA19" s="1807">
        <f>IF($H19&lt;&gt;CC$5,0,IF(CC19&lt;0,IF(OR($J19=1,$J19=2,$J19=3,$J19=4,$J19=5,$J19=6,$J19=7),-$E19*$I19/12*3,IF($J19=8,-$E19*$I19/12*2,IF($J19=9,-$E19*$I19/12*1,0)))))+IF(BX$5&lt;&gt;$H19,0,IF(BX19&lt;0,IF($J19=7,-$E19*$I19/12*0,IF($J19=8,-$E19*$I19/12*1,IF($J19=9,-$E19*$I19/12*2,IF($J19&gt;=10,-$E19*$I19/12*3,0))))))</f>
        <v>0</v>
      </c>
      <c r="CB19" s="1806">
        <f>IF($H19&lt;&gt;CC$5,0,IF(CC19&lt;0,IF(OR($J19=1,$J19=2,$J19=3,$J19=4,$J19=5,$J19=6,$J19=7,$J19=8,$J19=9,$J19=10),-$E19*$I19/12*3,IF($J19=11,-$E19*$I19/12*2,IF($J19=12,-$E19*$I19/12*1,0)))))+IF(BX$5&lt;&gt;$H19,0,IF(BX19&lt;0,IF($J19=10,-$E19*$I19/12*0,IF($J19=11,-$E19*$I19/12*1,IF($J19=12,-$E19*$I19/12*2,0)))))</f>
        <v>0</v>
      </c>
      <c r="CC19" s="1791">
        <f>IF(AND(BX19&lt;&gt;0,BX$5=$H19),-$I19*$E19-BX19,IF(CC$5=$H19,-$I19*$E19*(12-$J19+1)/12,0))</f>
        <v>0</v>
      </c>
      <c r="CD19" s="1808">
        <f>IF($H19&lt;&gt;CH$5,0,IF(CH19&lt;0,IF($J19=1,-$E19*$I19/12*3,IF($J19=2,-$E19*$I19/12*2,IF($J19=3,-$E19*$I19/12*1,0)))))+IF(CC$5&lt;&gt;$H19,0,IF(CC19&lt;0,IF($J19=1,-$E19*$I19/12*0,IF($J19=2,-$E19*$I19/12*1,IF($J19=3,-$E19*$I19/12*2,IF($J19&gt;=4,-$E19*$I19/12*3,0))))))</f>
        <v>0</v>
      </c>
      <c r="CE19" s="1807">
        <f>IF($H19&lt;&gt;CH$5,0,IF(CH19&lt;0,IF(OR($J19=1,$J19=2,$J19=3,$J19=4),-$E19*$I19/12*3,IF($J19=5,-$E19*$I19/12*2,IF($J19=6,-$E19*$I19/12*1,0)))))+IF(CC$5&lt;&gt;$H19,0,IF(CC19&lt;0,IF($J19=4,-$E19*$I19/12*0,IF($J19=5,-$E19*$I19/12*1,IF($J19=6,-$E19*$I19/12*2,IF($J19&gt;=7,-$E19*$I19/12*3,0))))))</f>
        <v>0</v>
      </c>
      <c r="CF19" s="1807">
        <f>IF($H19&lt;&gt;CH$5,0,IF(CH19&lt;0,IF(OR($J19=1,$J19=2,$J19=3,$J19=4,$J19=5,$J19=6,$J19=7),-$E19*$I19/12*3,IF($J19=8,-$E19*$I19/12*2,IF($J19=9,-$E19*$I19/12*1,0)))))+IF(CC$5&lt;&gt;$H19,0,IF(CC19&lt;0,IF($J19=7,-$E19*$I19/12*0,IF($J19=8,-$E19*$I19/12*1,IF($J19=9,-$E19*$I19/12*2,IF($J19&gt;=10,-$E19*$I19/12*3,0))))))</f>
        <v>0</v>
      </c>
      <c r="CG19" s="1806">
        <f>IF($H19&lt;&gt;CH$5,0,IF(CH19&lt;0,IF(OR($J19=1,$J19=2,$J19=3,$J19=4,$J19=5,$J19=6,$J19=7,$J19=8,$J19=9,$J19=10),-$E19*$I19/12*3,IF($J19=11,-$E19*$I19/12*2,IF($J19=12,-$E19*$I19/12*1,0)))))+IF(CC$5&lt;&gt;$H19,0,IF(CC19&lt;0,IF($J19=10,-$E19*$I19/12*0,IF($J19=11,-$E19*$I19/12*1,IF($J19=12,-$E19*$I19/12*2,0)))))</f>
        <v>0</v>
      </c>
      <c r="CH19" s="1791">
        <f>IF(AND(CC19&lt;&gt;0,CC$5=$H19),-$I19*$E19-CC19,IF(CH$5=$H19,-$I19*$E19*(12-$J19+1)/12,0))</f>
        <v>0</v>
      </c>
      <c r="CI19" s="1808">
        <f>IF($H19&lt;&gt;CM$5,0,IF(CM19&lt;0,IF($J19=1,-$E19*$I19/12*3,IF($J19=2,-$E19*$I19/12*2,IF($J19=3,-$E19*$I19/12*1,0)))))+IF(CH$5&lt;&gt;$H19,0,IF(CH19&lt;0,IF($J19=1,-$E19*$I19/12*0,IF($J19=2,-$E19*$I19/12*1,IF($J19=3,-$E19*$I19/12*2,IF($J19&gt;=4,-$E19*$I19/12*3,0))))))</f>
        <v>0</v>
      </c>
      <c r="CJ19" s="1807">
        <f>IF($H19&lt;&gt;CM$5,0,IF(CM19&lt;0,IF(OR($J19=1,$J19=2,$J19=3,$J19=4),-$E19*$I19/12*3,IF($J19=5,-$E19*$I19/12*2,IF($J19=6,-$E19*$I19/12*1,0)))))+IF(CH$5&lt;&gt;$H19,0,IF(CH19&lt;0,IF($J19=4,-$E19*$I19/12*0,IF($J19=5,-$E19*$I19/12*1,IF($J19=6,-$E19*$I19/12*2,IF($J19&gt;=7,-$E19*$I19/12*3,0))))))</f>
        <v>0</v>
      </c>
      <c r="CK19" s="1807">
        <f>IF($H19&lt;&gt;CM$5,0,IF(CM19&lt;0,IF(OR($J19=1,$J19=2,$J19=3,$J19=4,$J19=5,$J19=6,$J19=7),-$E19*$I19/12*3,IF($J19=8,-$E19*$I19/12*2,IF($J19=9,-$E19*$I19/12*1,0)))))+IF(CH$5&lt;&gt;$H19,0,IF(CH19&lt;0,IF($J19=7,-$E19*$I19/12*0,IF($J19=8,-$E19*$I19/12*1,IF($J19=9,-$E19*$I19/12*2,IF($J19&gt;=10,-$E19*$I19/12*3,0))))))</f>
        <v>0</v>
      </c>
      <c r="CL19" s="1806">
        <f>IF($H19&lt;&gt;CM$5,0,IF(CM19&lt;0,IF(OR($J19=1,$J19=2,$J19=3,$J19=4,$J19=5,$J19=6,$J19=7,$J19=8,$J19=9,$J19=10),-$E19*$I19/12*3,IF($J19=11,-$E19*$I19/12*2,IF($J19=12,-$E19*$I19/12*1,0)))))+IF(CH$5&lt;&gt;$H19,0,IF(CH19&lt;0,IF($J19=10,-$E19*$I19/12*0,IF($J19=11,-$E19*$I19/12*1,IF($J19=12,-$E19*$I19/12*2,0)))))</f>
        <v>0</v>
      </c>
      <c r="CM19" s="1791">
        <f>IF(AND(CH19&lt;&gt;0,CH$5=$H19),-$I19*$E19-CH19,IF(CM$5=$H19,-$I19*$E19*(12-$J19+1)/12,0))</f>
        <v>0</v>
      </c>
      <c r="CN19" s="1808">
        <f>IF($H19&lt;&gt;CR$5,0,IF(CR19&lt;0,IF($J19=1,-$E19*$I19/12*3,IF($J19=2,-$E19*$I19/12*2,IF($J19=3,-$E19*$I19/12*1,0)))))+IF(CM$5&lt;&gt;$H19,0,IF(CM19&lt;0,IF($J19=1,-$E19*$I19/12*0,IF($J19=2,-$E19*$I19/12*1,IF($J19=3,-$E19*$I19/12*2,IF($J19&gt;=4,-$E19*$I19/12*3,0))))))</f>
        <v>0</v>
      </c>
      <c r="CO19" s="1807">
        <f>IF($H19&lt;&gt;CR$5,0,IF(CR19&lt;0,IF(OR($J19=1,$J19=2,$J19=3,$J19=4),-$E19*$I19/12*3,IF($J19=5,-$E19*$I19/12*2,IF($J19=6,-$E19*$I19/12*1,0)))))+IF(CM$5&lt;&gt;$H19,0,IF(CM19&lt;0,IF($J19=4,-$E19*$I19/12*0,IF($J19=5,-$E19*$I19/12*1,IF($J19=6,-$E19*$I19/12*2,IF($J19&gt;=7,-$E19*$I19/12*3,0))))))</f>
        <v>0</v>
      </c>
      <c r="CP19" s="1807">
        <f>IF($H19&lt;&gt;CR$5,0,IF(CR19&lt;0,IF(OR($J19=1,$J19=2,$J19=3,$J19=4,$J19=5,$J19=6,$J19=7),-$E19*$I19/12*3,IF($J19=8,-$E19*$I19/12*2,IF($J19=9,-$E19*$I19/12*1,0)))))+IF(CM$5&lt;&gt;$H19,0,IF(CM19&lt;0,IF($J19=7,-$E19*$I19/12*0,IF($J19=8,-$E19*$I19/12*1,IF($J19=9,-$E19*$I19/12*2,IF($J19&gt;=10,-$E19*$I19/12*3,0))))))</f>
        <v>0</v>
      </c>
      <c r="CQ19" s="1806">
        <f>IF($H19&lt;&gt;CR$5,0,IF(CR19&lt;0,IF(OR($J19=1,$J19=2,$J19=3,$J19=4,$J19=5,$J19=6,$J19=7,$J19=8,$J19=9,$J19=10),-$E19*$I19/12*3,IF($J19=11,-$E19*$I19/12*2,IF($J19=12,-$E19*$I19/12*1,0)))))+IF(CM$5&lt;&gt;$H19,0,IF(CM19&lt;0,IF($J19=10,-$E19*$I19/12*0,IF($J19=11,-$E19*$I19/12*1,IF($J19=12,-$E19*$I19/12*2,0)))))</f>
        <v>0</v>
      </c>
      <c r="CR19" s="1791">
        <f>IF(AND(CM19&lt;&gt;0,CM$5=$H19),-$I19*$E19-CM19,IF(CR$5=$H19,-$I19*$E19*(12-$J19+1)/12,0))</f>
        <v>0</v>
      </c>
      <c r="CS19" s="1808">
        <f>IF($H19&lt;&gt;CW$5,0,IF(CW19&lt;0,IF($J19=1,-$E19*$I19/12*3,IF($J19=2,-$E19*$I19/12*2,IF($J19=3,-$E19*$I19/12*1,0)))))+IF(CR$5&lt;&gt;$H19,0,IF(CR19&lt;0,IF($J19=1,-$E19*$I19/12*0,IF($J19=2,-$E19*$I19/12*1,IF($J19=3,-$E19*$I19/12*2,IF($J19&gt;=4,-$E19*$I19/12*3,0))))))</f>
        <v>0</v>
      </c>
      <c r="CT19" s="1807">
        <f>IF($H19&lt;&gt;CW$5,0,IF(CW19&lt;0,IF(OR($J19=1,$J19=2,$J19=3,$J19=4),-$E19*$I19/12*3,IF($J19=5,-$E19*$I19/12*2,IF($J19=6,-$E19*$I19/12*1,0)))))+IF(CR$5&lt;&gt;$H19,0,IF(CR19&lt;0,IF($J19=4,-$E19*$I19/12*0,IF($J19=5,-$E19*$I19/12*1,IF($J19=6,-$E19*$I19/12*2,IF($J19&gt;=7,-$E19*$I19/12*3,0))))))</f>
        <v>0</v>
      </c>
      <c r="CU19" s="1807">
        <f>IF($H19&lt;&gt;CW$5,0,IF(CW19&lt;0,IF(OR($J19=1,$J19=2,$J19=3,$J19=4,$J19=5,$J19=6,$J19=7),-$E19*$I19/12*3,IF($J19=8,-$E19*$I19/12*2,IF($J19=9,-$E19*$I19/12*1,0)))))+IF(CR$5&lt;&gt;$H19,0,IF(CR19&lt;0,IF($J19=7,-$E19*$I19/12*0,IF($J19=8,-$E19*$I19/12*1,IF($J19=9,-$E19*$I19/12*2,IF($J19&gt;=10,-$E19*$I19/12*3,0))))))</f>
        <v>0</v>
      </c>
      <c r="CV19" s="1806">
        <f>IF($H19&lt;&gt;CW$5,0,IF(CW19&lt;0,IF(OR($J19=1,$J19=2,$J19=3,$J19=4,$J19=5,$J19=6,$J19=7,$J19=8,$J19=9,$J19=10),-$E19*$I19/12*3,IF($J19=11,-$E19*$I19/12*2,IF($J19=12,-$E19*$I19/12*1,0)))))+IF(CR$5&lt;&gt;$H19,0,IF(CR19&lt;0,IF($J19=10,-$E19*$I19/12*0,IF($J19=11,-$E19*$I19/12*1,IF($J19=12,-$E19*$I19/12*2,0)))))</f>
        <v>0</v>
      </c>
      <c r="CW19" s="1791">
        <f>IF(AND(CR19&lt;&gt;0,CR$5=$H19),-$I19*$E19-CR19,IF(CW$5=$H19,-$I19*$E19*(12-$J19+1)/12,0))</f>
        <v>0</v>
      </c>
      <c r="CX19" s="1808">
        <f>IF($H19&lt;&gt;DB$5,0,IF(DB19&lt;0,IF($J19=1,-$E19*$I19/12*3,IF($J19=2,-$E19*$I19/12*2,IF($J19=3,-$E19*$I19/12*1,0)))))+IF(CW$5&lt;&gt;$H19,0,IF(CW19&lt;0,IF($J19=1,-$E19*$I19/12*0,IF($J19=2,-$E19*$I19/12*1,IF($J19=3,-$E19*$I19/12*2,IF($J19&gt;=4,-$E19*$I19/12*3,0))))))</f>
        <v>0</v>
      </c>
      <c r="CY19" s="1807">
        <f>IF($H19&lt;&gt;DB$5,0,IF(DB19&lt;0,IF(OR($J19=1,$J19=2,$J19=3,$J19=4),-$E19*$I19/12*3,IF($J19=5,-$E19*$I19/12*2,IF($J19=6,-$E19*$I19/12*1,0)))))+IF(CW$5&lt;&gt;$H19,0,IF(CW19&lt;0,IF($J19=4,-$E19*$I19/12*0,IF($J19=5,-$E19*$I19/12*1,IF($J19=6,-$E19*$I19/12*2,IF($J19&gt;=7,-$E19*$I19/12*3,0))))))</f>
        <v>0</v>
      </c>
      <c r="CZ19" s="1807">
        <f>IF($H19&lt;&gt;DB$5,0,IF(DB19&lt;0,IF(OR($J19=1,$J19=2,$J19=3,$J19=4,$J19=5,$J19=6,$J19=7),-$E19*$I19/12*3,IF($J19=8,-$E19*$I19/12*2,IF($J19=9,-$E19*$I19/12*1,0)))))+IF(CW$5&lt;&gt;$H19,0,IF(CW19&lt;0,IF($J19=7,-$E19*$I19/12*0,IF($J19=8,-$E19*$I19/12*1,IF($J19=9,-$E19*$I19/12*2,IF($J19&gt;=10,-$E19*$I19/12*3,0))))))</f>
        <v>0</v>
      </c>
      <c r="DA19" s="1806">
        <f>IF($H19&lt;&gt;DB$5,0,IF(DB19&lt;0,IF(OR($J19=1,$J19=2,$J19=3,$J19=4,$J19=5,$J19=6,$J19=7,$J19=8,$J19=9,$J19=10),-$E19*$I19/12*3,IF($J19=11,-$E19*$I19/12*2,IF($J19=12,-$E19*$I19/12*1,0)))))+IF(CW$5&lt;&gt;$H19,0,IF(CW19&lt;0,IF($J19=10,-$E19*$I19/12*0,IF($J19=11,-$E19*$I19/12*1,IF($J19=12,-$E19*$I19/12*2,0)))))</f>
        <v>0</v>
      </c>
      <c r="DB19" s="1791">
        <f>IF(AND(CW19&lt;&gt;0,CW$5=$H19),-$I19*$E19-CW19,IF(DB$5=$H19,-$I19*$E19*(12-$J19+1)/12,0))</f>
        <v>0</v>
      </c>
      <c r="DC19" s="1808">
        <f>IF($H19&lt;&gt;DG$5,0,IF(DG19&lt;0,IF($J19=1,-$E19*$I19/12*3,IF($J19=2,-$E19*$I19/12*2,IF($J19=3,-$E19*$I19/12*1,0)))))+IF(DB$5&lt;&gt;$H19,0,IF(DB19&lt;0,IF($J19=1,-$E19*$I19/12*0,IF($J19=2,-$E19*$I19/12*1,IF($J19=3,-$E19*$I19/12*2,IF($J19&gt;=4,-$E19*$I19/12*3,0))))))</f>
        <v>0</v>
      </c>
      <c r="DD19" s="1807">
        <f>IF($H19&lt;&gt;DG$5,0,IF(DG19&lt;0,IF(OR($J19=1,$J19=2,$J19=3,$J19=4),-$E19*$I19/12*3,IF($J19=5,-$E19*$I19/12*2,IF($J19=6,-$E19*$I19/12*1,0)))))+IF(DB$5&lt;&gt;$H19,0,IF(DB19&lt;0,IF($J19=4,-$E19*$I19/12*0,IF($J19=5,-$E19*$I19/12*1,IF($J19=6,-$E19*$I19/12*2,IF($J19&gt;=7,-$E19*$I19/12*3,0))))))</f>
        <v>0</v>
      </c>
      <c r="DE19" s="1807">
        <f>IF($H19&lt;&gt;DG$5,0,IF(DG19&lt;0,IF(OR($J19=1,$J19=2,$J19=3,$J19=4,$J19=5,$J19=6,$J19=7),-$E19*$I19/12*3,IF($J19=8,-$E19*$I19/12*2,IF($J19=9,-$E19*$I19/12*1,0)))))+IF(DB$5&lt;&gt;$H19,0,IF(DB19&lt;0,IF($J19=7,-$E19*$I19/12*0,IF($J19=8,-$E19*$I19/12*1,IF($J19=9,-$E19*$I19/12*2,IF($J19&gt;=10,-$E19*$I19/12*3,0))))))</f>
        <v>0</v>
      </c>
      <c r="DF19" s="1806">
        <f>IF($H19&lt;&gt;DG$5,0,IF(DG19&lt;0,IF(OR($J19=1,$J19=2,$J19=3,$J19=4,$J19=5,$J19=6,$J19=7,$J19=8,$J19=9,$J19=10),-$E19*$I19/12*3,IF($J19=11,-$E19*$I19/12*2,IF($J19=12,-$E19*$I19/12*1,0)))))+IF(DB$5&lt;&gt;$H19,0,IF(DB19&lt;0,IF($J19=10,-$E19*$I19/12*0,IF($J19=11,-$E19*$I19/12*1,IF($J19=12,-$E19*$I19/12*2,0)))))</f>
        <v>0</v>
      </c>
      <c r="DG19" s="1791">
        <f>IF(AND(DB19&lt;&gt;0,DB$5=$H19),-$I19*$E19-DB19,IF(DG$5=$H19,-$I19*$E19*(12-$J19+1)/12,0))</f>
        <v>0</v>
      </c>
      <c r="DH19" s="1808">
        <f>IF($H19&lt;&gt;DL$5,0,IF(DL19&lt;0,IF($J19=1,-$E19*$I19/12*3,IF($J19=2,-$E19*$I19/12*2,IF($J19=3,-$E19*$I19/12*1,0)))))+IF(DG$5&lt;&gt;$H19,0,IF(DG19&lt;0,IF($J19=1,-$E19*$I19/12*0,IF($J19=2,-$E19*$I19/12*1,IF($J19=3,-$E19*$I19/12*2,IF($J19&gt;=4,-$E19*$I19/12*3,0))))))</f>
        <v>0</v>
      </c>
      <c r="DI19" s="1807">
        <f>IF($H19&lt;&gt;DL$5,0,IF(DL19&lt;0,IF(OR($J19=1,$J19=2,$J19=3,$J19=4),-$E19*$I19/12*3,IF($J19=5,-$E19*$I19/12*2,IF($J19=6,-$E19*$I19/12*1,0)))))+IF(DG$5&lt;&gt;$H19,0,IF(DG19&lt;0,IF($J19=4,-$E19*$I19/12*0,IF($J19=5,-$E19*$I19/12*1,IF($J19=6,-$E19*$I19/12*2,IF($J19&gt;=7,-$E19*$I19/12*3,0))))))</f>
        <v>0</v>
      </c>
      <c r="DJ19" s="1807">
        <f>IF($H19&lt;&gt;DL$5,0,IF(DL19&lt;0,IF(OR($J19=1,$J19=2,$J19=3,$J19=4,$J19=5,$J19=6,$J19=7),-$E19*$I19/12*3,IF($J19=8,-$E19*$I19/12*2,IF($J19=9,-$E19*$I19/12*1,0)))))+IF(DG$5&lt;&gt;$H19,0,IF(DG19&lt;0,IF($J19=7,-$E19*$I19/12*0,IF($J19=8,-$E19*$I19/12*1,IF($J19=9,-$E19*$I19/12*2,IF($J19&gt;=10,-$E19*$I19/12*3,0))))))</f>
        <v>0</v>
      </c>
      <c r="DK19" s="1806">
        <f>IF($H19&lt;&gt;DL$5,0,IF(DL19&lt;0,IF(OR($J19=1,$J19=2,$J19=3,$J19=4,$J19=5,$J19=6,$J19=7,$J19=8,$J19=9,$J19=10),-$E19*$I19/12*3,IF($J19=11,-$E19*$I19/12*2,IF($J19=12,-$E19*$I19/12*1,0)))))+IF(DG$5&lt;&gt;$H19,0,IF(DG19&lt;0,IF($J19=10,-$E19*$I19/12*0,IF($J19=11,-$E19*$I19/12*1,IF($J19=12,-$E19*$I19/12*2,0)))))</f>
        <v>0</v>
      </c>
      <c r="DL19" s="1791">
        <f>IF(AND(DG19&lt;&gt;0,DG$5=$H19),-$I19*$E19-DG19,IF(DL$5=$H19,-$I19*$E19*(12-$J19+1)/12,0))</f>
        <v>0</v>
      </c>
      <c r="DM19" s="1808">
        <f>IF($H19&lt;&gt;DQ$5,0,IF(DQ19&lt;0,IF($J19=1,-$E19*$I19/12*3,IF($J19=2,-$E19*$I19/12*2,IF($J19=3,-$E19*$I19/12*1,0)))))+IF(DL$5&lt;&gt;$H19,0,IF(DL19&lt;0,IF($J19=1,-$E19*$I19/12*0,IF($J19=2,-$E19*$I19/12*1,IF($J19=3,-$E19*$I19/12*2,IF($J19&gt;=4,-$E19*$I19/12*3,0))))))</f>
        <v>0</v>
      </c>
      <c r="DN19" s="1807">
        <f>IF($H19&lt;&gt;DQ$5,0,IF(DQ19&lt;0,IF(OR($J19=1,$J19=2,$J19=3,$J19=4),-$E19*$I19/12*3,IF($J19=5,-$E19*$I19/12*2,IF($J19=6,-$E19*$I19/12*1,0)))))+IF(DL$5&lt;&gt;$H19,0,IF(DL19&lt;0,IF($J19=4,-$E19*$I19/12*0,IF($J19=5,-$E19*$I19/12*1,IF($J19=6,-$E19*$I19/12*2,IF($J19&gt;=7,-$E19*$I19/12*3,0))))))</f>
        <v>0</v>
      </c>
      <c r="DO19" s="1807">
        <f>IF($H19&lt;&gt;DQ$5,0,IF(DQ19&lt;0,IF(OR($J19=1,$J19=2,$J19=3,$J19=4,$J19=5,$J19=6,$J19=7),-$E19*$I19/12*3,IF($J19=8,-$E19*$I19/12*2,IF($J19=9,-$E19*$I19/12*1,0)))))+IF(DL$5&lt;&gt;$H19,0,IF(DL19&lt;0,IF($J19=7,-$E19*$I19/12*0,IF($J19=8,-$E19*$I19/12*1,IF($J19=9,-$E19*$I19/12*2,IF($J19&gt;=10,-$E19*$I19/12*3,0))))))</f>
        <v>0</v>
      </c>
      <c r="DP19" s="1806">
        <f>IF($H19&lt;&gt;DQ$5,0,IF(DQ19&lt;0,IF(OR($J19=1,$J19=2,$J19=3,$J19=4,$J19=5,$J19=6,$J19=7,$J19=8,$J19=9,$J19=10),-$E19*$I19/12*3,IF($J19=11,-$E19*$I19/12*2,IF($J19=12,-$E19*$I19/12*1,0)))))+IF(DL$5&lt;&gt;$H19,0,IF(DL19&lt;0,IF($J19=10,-$E19*$I19/12*0,IF($J19=11,-$E19*$I19/12*1,IF($J19=12,-$E19*$I19/12*2,0)))))</f>
        <v>0</v>
      </c>
      <c r="DQ19" s="1791">
        <f>IF(AND(DL19&lt;&gt;0,DL$5=$H19),-$I19*$E19-DL19,IF(DQ$5=$H19,-$I19*$E19*(12-$J19+1)/12,0))</f>
        <v>0</v>
      </c>
      <c r="DR19" s="1808">
        <f>IF($H19&lt;&gt;DV$5,0,IF(DV19&lt;0,IF($J19=1,-$E19*$I19/12*3,IF($J19=2,-$E19*$I19/12*2,IF($J19=3,-$E19*$I19/12*1,0)))))+IF(DQ$5&lt;&gt;$H19,0,IF(DQ19&lt;0,IF($J19=1,-$E19*$I19/12*0,IF($J19=2,-$E19*$I19/12*1,IF($J19=3,-$E19*$I19/12*2,IF($J19&gt;=4,-$E19*$I19/12*3,0))))))</f>
        <v>0</v>
      </c>
      <c r="DS19" s="1807">
        <f>IF($H19&lt;&gt;DV$5,0,IF(DV19&lt;0,IF(OR($J19=1,$J19=2,$J19=3,$J19=4),-$E19*$I19/12*3,IF($J19=5,-$E19*$I19/12*2,IF($J19=6,-$E19*$I19/12*1,0)))))+IF(DQ$5&lt;&gt;$H19,0,IF(DQ19&lt;0,IF($J19=4,-$E19*$I19/12*0,IF($J19=5,-$E19*$I19/12*1,IF($J19=6,-$E19*$I19/12*2,IF($J19&gt;=7,-$E19*$I19/12*3,0))))))</f>
        <v>0</v>
      </c>
      <c r="DT19" s="1807">
        <f>IF($H19&lt;&gt;DV$5,0,IF(DV19&lt;0,IF(OR($J19=1,$J19=2,$J19=3,$J19=4,$J19=5,$J19=6,$J19=7),-$E19*$I19/12*3,IF($J19=8,-$E19*$I19/12*2,IF($J19=9,-$E19*$I19/12*1,0)))))+IF(DQ$5&lt;&gt;$H19,0,IF(DQ19&lt;0,IF($J19=7,-$E19*$I19/12*0,IF($J19=8,-$E19*$I19/12*1,IF($J19=9,-$E19*$I19/12*2,IF($J19&gt;=10,-$E19*$I19/12*3,0))))))</f>
        <v>0</v>
      </c>
      <c r="DU19" s="1806">
        <f>IF($H19&lt;&gt;DV$5,0,IF(DV19&lt;0,IF(OR($J19=1,$J19=2,$J19=3,$J19=4,$J19=5,$J19=6,$J19=7,$J19=8,$J19=9,$J19=10),-$E19*$I19/12*3,IF($J19=11,-$E19*$I19/12*2,IF($J19=12,-$E19*$I19/12*1,0)))))+IF(DQ$5&lt;&gt;$H19,0,IF(DQ19&lt;0,IF($J19=10,-$E19*$I19/12*0,IF($J19=11,-$E19*$I19/12*1,IF($J19=12,-$E19*$I19/12*2,0)))))</f>
        <v>0</v>
      </c>
      <c r="DV19" s="1791">
        <f>IF(AND(DQ19&lt;&gt;0,DQ$5=$H19),-$I19*$E19-DQ19,IF(DV$5=$H19,-$I19*$E19*(12-$J19+1)/12,0))</f>
        <v>0</v>
      </c>
    </row>
    <row r="20" spans="1:126">
      <c r="A20" s="455"/>
      <c r="B20" s="455"/>
      <c r="C20" s="1678" t="s">
        <v>1001</v>
      </c>
      <c r="D20" s="1860"/>
      <c r="E20" s="1817">
        <f>IF(F20=0,G20,F20)</f>
        <v>750</v>
      </c>
      <c r="F20" s="486">
        <v>750</v>
      </c>
      <c r="G20" s="486">
        <v>750</v>
      </c>
      <c r="H20" s="1350">
        <v>2026</v>
      </c>
      <c r="I20" s="1335">
        <v>2.9499999999999998E-2</v>
      </c>
      <c r="J20" s="1343">
        <v>9</v>
      </c>
      <c r="K20" s="1792"/>
      <c r="L20" s="1791">
        <f t="shared" si="14"/>
        <v>0</v>
      </c>
      <c r="M20" s="1791">
        <f t="shared" si="14"/>
        <v>0</v>
      </c>
      <c r="N20" s="1808">
        <f>IF(R20=0,0,IF(R20&lt;0,IF($J20=3,R20,IF($J20=2,R20,IF($J20=1,R20,0)))))</f>
        <v>0</v>
      </c>
      <c r="O20" s="1807">
        <f>IF(R20=0,0,IF(R20&lt;0,IF($J20=6,R20,IF($J20=5,R20,IF($J20=4,R20,0)))))</f>
        <v>0</v>
      </c>
      <c r="P20" s="1807">
        <f>IF(R20=0,0,IF(R20&lt;0,IF($J20=9,R20,IF($J20=8,R20,IF($J20=7,R20,0)))))</f>
        <v>0</v>
      </c>
      <c r="Q20" s="1806">
        <f>IF(R20=0,0,IF(R20&lt;0,IF($J20=12,R20,IF($J20=11,R20,IF($J20=10,R20,0)))))</f>
        <v>0</v>
      </c>
      <c r="R20" s="1791">
        <f>IF(R$5=$H20,-$E20,0)</f>
        <v>0</v>
      </c>
      <c r="S20" s="1808">
        <f>IF(W20=0,0,IF(W20&lt;0,IF($J20=3,W20,IF($J20=2,W20,IF($J20=1,W20,0)))))</f>
        <v>0</v>
      </c>
      <c r="T20" s="1807">
        <f>IF(W20=0,0,IF(W20&lt;0,IF($J20=6,W20,IF($J20=5,W20,IF($J20=4,W20,0)))))</f>
        <v>0</v>
      </c>
      <c r="U20" s="1807">
        <f>IF(W20=0,0,IF(W20&lt;0,IF($J20=9,W20,IF($J20=8,W20,IF($J20=7,W20,0)))))</f>
        <v>0</v>
      </c>
      <c r="V20" s="1806">
        <f>IF(W20=0,0,IF(W20&lt;0,IF($J20=12,W20,IF($J20=11,W20,IF($J20=10,W20,0)))))</f>
        <v>0</v>
      </c>
      <c r="W20" s="1791">
        <f>IF(W$5=$H20,-$E20,0)</f>
        <v>0</v>
      </c>
      <c r="X20" s="1808">
        <f>IF(AB20=0,0,IF(AB20&lt;0,IF($J20=3,AB20,IF($J20=2,AB20,IF($J20=1,AB20,0)))))</f>
        <v>0</v>
      </c>
      <c r="Y20" s="1807">
        <f>IF(AB20=0,0,IF(AB20&lt;0,IF($J20=6,AB20,IF($J20=5,AB20,IF($J20=4,AB20,0)))))</f>
        <v>0</v>
      </c>
      <c r="Z20" s="1807">
        <f>IF(AB20=0,0,IF(AB20&lt;0,IF($J20=9,AB20,IF($J20=8,AB20,IF($J20=7,AB20,0)))))</f>
        <v>0</v>
      </c>
      <c r="AA20" s="1806">
        <f>IF(AB20=0,0,IF(AB20&lt;0,IF($J20=12,AB20,IF($J20=11,AB20,IF($J20=10,AB20,0)))))</f>
        <v>0</v>
      </c>
      <c r="AB20" s="1791">
        <f>IF(AB$5=$H20,-$E20,0)</f>
        <v>0</v>
      </c>
      <c r="AC20" s="1808">
        <f>IF(AG20=0,0,IF(AG20&lt;0,IF($J20=3,AG20,IF($J20=2,AG20,IF($J20=1,AG20,0)))))</f>
        <v>0</v>
      </c>
      <c r="AD20" s="1807">
        <f>IF(AG20=0,0,IF(AG20&lt;0,IF($J20=6,AG20,IF($J20=5,AG20,IF($J20=4,AG20,0)))))</f>
        <v>0</v>
      </c>
      <c r="AE20" s="1807">
        <f>IF(AG20=0,0,IF(AG20&lt;0,IF($J20=9,AG20,IF($J20=8,AG20,IF($J20=7,AG20,0)))))</f>
        <v>0</v>
      </c>
      <c r="AF20" s="1806">
        <f>IF(AG20=0,0,IF(AG20&lt;0,IF($J20=12,AG20,IF($J20=11,AG20,IF($J20=10,AG20,0)))))</f>
        <v>0</v>
      </c>
      <c r="AG20" s="1791">
        <f>IF(AG$5=$H20,-$E20,0)</f>
        <v>0</v>
      </c>
      <c r="AH20" s="1808">
        <f>IF(AL20=0,0,IF(AL20&lt;0,IF($J20=3,AL20,IF($J20=2,AL20,IF($J20=1,AL20,0)))))</f>
        <v>0</v>
      </c>
      <c r="AI20" s="1807">
        <f>IF(AL20=0,0,IF(AL20&lt;0,IF($J20=6,AL20,IF($J20=5,AL20,IF($J20=4,AL20,0)))))</f>
        <v>0</v>
      </c>
      <c r="AJ20" s="1807">
        <f>IF(AL20=0,0,IF(AL20&lt;0,IF($J20=9,AL20,IF($J20=8,AL20,IF($J20=7,AL20,0)))))</f>
        <v>0</v>
      </c>
      <c r="AK20" s="1806">
        <f>IF(AL20=0,0,IF(AL20&lt;0,IF($J20=12,AL20,IF($J20=11,AL20,IF($J20=10,AL20,0)))))</f>
        <v>0</v>
      </c>
      <c r="AL20" s="1791">
        <f>IF(AL$5=$H20,-$E20,0)</f>
        <v>0</v>
      </c>
      <c r="AM20" s="1808">
        <f>IF(AQ20=0,0,IF(AQ20&lt;0,IF($J20=3,AQ20,IF($J20=2,AQ20,IF($J20=1,AQ20,0)))))</f>
        <v>0</v>
      </c>
      <c r="AN20" s="1807">
        <f>IF(AQ20=0,0,IF(AQ20&lt;0,IF($J20=6,AQ20,IF($J20=5,AQ20,IF($J20=4,AQ20,0)))))</f>
        <v>0</v>
      </c>
      <c r="AO20" s="1807">
        <f>IF(AQ20=0,0,IF(AQ20&lt;0,IF($J20=9,AQ20,IF($J20=8,AQ20,IF($J20=7,AQ20,0)))))</f>
        <v>0</v>
      </c>
      <c r="AP20" s="1806">
        <f>IF(AQ20=0,0,IF(AQ20&lt;0,IF($J20=12,AQ20,IF($J20=11,AQ20,IF($J20=10,AQ20,0)))))</f>
        <v>0</v>
      </c>
      <c r="AQ20" s="1791">
        <f>IF(AQ$5=$H20,-$E20,0)</f>
        <v>0</v>
      </c>
      <c r="AR20" s="1808">
        <f>IF(AV20=0,0,IF(AV20&lt;0,IF($J20=3,AV20,IF($J20=2,AV20,IF($J20=1,AV20,0)))))</f>
        <v>0</v>
      </c>
      <c r="AS20" s="1807">
        <f>IF(AV20=0,0,IF(AV20&lt;0,IF($J20=6,AV20,IF($J20=5,AV20,IF($J20=4,AV20,0)))))</f>
        <v>0</v>
      </c>
      <c r="AT20" s="1807">
        <f>IF(AV20=0,0,IF(AV20&lt;0,IF($J20=9,AV20,IF($J20=8,AV20,IF($J20=7,AV20,0)))))</f>
        <v>0</v>
      </c>
      <c r="AU20" s="1806">
        <f>IF(AV20=0,0,IF(AV20&lt;0,IF($J20=12,AV20,IF($J20=11,AV20,IF($J20=10,AV20,0)))))</f>
        <v>0</v>
      </c>
      <c r="AV20" s="1791">
        <f>IF(AV$5=$H20,-$E20,0)</f>
        <v>0</v>
      </c>
      <c r="AW20" s="1808">
        <f>IF(BA20=0,0,IF(BA20&lt;0,IF($J20=3,BA20,IF($J20=2,BA20,IF($J20=1,BA20,0)))))</f>
        <v>0</v>
      </c>
      <c r="AX20" s="1807">
        <f>IF(BA20=0,0,IF(BA20&lt;0,IF($J20=6,BA20,IF($J20=5,BA20,IF($J20=4,BA20,0)))))</f>
        <v>0</v>
      </c>
      <c r="AY20" s="1807">
        <f>IF(BA20=0,0,IF(BA20&lt;0,IF($J20=9,BA20,IF($J20=8,BA20,IF($J20=7,BA20,0)))))</f>
        <v>0</v>
      </c>
      <c r="AZ20" s="1806">
        <f>IF(BA20=0,0,IF(BA20&lt;0,IF($J20=12,BA20,IF($J20=11,BA20,IF($J20=10,BA20,0)))))</f>
        <v>0</v>
      </c>
      <c r="BA20" s="1791">
        <f>IF(BA$5=$H20,-$E20,0)</f>
        <v>0</v>
      </c>
      <c r="BB20" s="1808">
        <f>IF(BF20=0,0,IF(BF20&lt;0,IF($J20=3,BF20,IF($J20=2,BF20,IF($J20=1,BF20,0)))))</f>
        <v>0</v>
      </c>
      <c r="BC20" s="1807">
        <f>IF(BF20=0,0,IF(BF20&lt;0,IF($J20=6,BF20,IF($J20=5,BF20,IF($J20=4,BF20,0)))))</f>
        <v>0</v>
      </c>
      <c r="BD20" s="1807">
        <f>IF(BF20=0,0,IF(BF20&lt;0,IF($J20=9,BF20,IF($J20=8,BF20,IF($J20=7,BF20,0)))))</f>
        <v>0</v>
      </c>
      <c r="BE20" s="1806">
        <f>IF(BF20=0,0,IF(BF20&lt;0,IF($J20=12,BF20,IF($J20=11,BF20,IF($J20=10,BF20,0)))))</f>
        <v>0</v>
      </c>
      <c r="BF20" s="1791">
        <f>IF(BF$5=$H20,-$E20,0)</f>
        <v>0</v>
      </c>
      <c r="BG20" s="1808">
        <f>IF(BK20=0,0,IF(BK20&lt;0,IF($J20=3,BK20,IF($J20=2,BK20,IF($J20=1,BK20,0)))))</f>
        <v>0</v>
      </c>
      <c r="BH20" s="1807">
        <f>IF(BK20=0,0,IF(BK20&lt;0,IF($J20=6,BK20,IF($J20=5,BK20,IF($J20=4,BK20,0)))))</f>
        <v>0</v>
      </c>
      <c r="BI20" s="1807">
        <f>IF(BK20=0,0,IF(BK20&lt;0,IF($J20=9,BK20,IF($J20=8,BK20,IF($J20=7,BK20,0)))))</f>
        <v>0</v>
      </c>
      <c r="BJ20" s="1806">
        <f>IF(BK20=0,0,IF(BK20&lt;0,IF($J20=12,BK20,IF($J20=11,BK20,IF($J20=10,BK20,0)))))</f>
        <v>0</v>
      </c>
      <c r="BK20" s="1791">
        <f>IF(BK$5=$H20,-$E20,0)</f>
        <v>0</v>
      </c>
      <c r="BL20" s="1808">
        <f>IF(BP20=0,0,IF(BP20&lt;0,IF($J20=3,BP20,IF($J20=2,BP20,IF($J20=1,BP20,0)))))</f>
        <v>0</v>
      </c>
      <c r="BM20" s="1807">
        <f>IF(BP20=0,0,IF(BP20&lt;0,IF($J20=6,BP20,IF($J20=5,BP20,IF($J20=4,BP20,0)))))</f>
        <v>0</v>
      </c>
      <c r="BN20" s="1807">
        <f>IF(BP20=0,0,IF(BP20&lt;0,IF($J20=9,BP20,IF($J20=8,BP20,IF($J20=7,BP20,0)))))</f>
        <v>0</v>
      </c>
      <c r="BO20" s="1806">
        <f>IF(BP20=0,0,IF(BP20&lt;0,IF($J20=12,BP20,IF($J20=11,BP20,IF($J20=10,BP20,0)))))</f>
        <v>0</v>
      </c>
      <c r="BP20" s="1791">
        <f>IF(BP$5=$H20,-$E20,0)</f>
        <v>0</v>
      </c>
      <c r="BQ20" s="1827"/>
      <c r="BR20" s="1991">
        <f t="shared" ref="BR20" si="16">IF(AND(BQ20&lt;&gt;0,BQ$5=$H20),-$I20*$E20-BQ20,IF(BR$5=$H20,-$I20*$E20*(12-$J20+1)/12,0))</f>
        <v>0</v>
      </c>
      <c r="BS20" s="1991">
        <f t="shared" ref="BS20" si="17">IF(AND(BR20&lt;&gt;0,BR$5=$H20),-$I20*$E20-BR20,IF(BS$5=$H20,-$I20*$E20*(12-$J20+1)/12,0))</f>
        <v>0</v>
      </c>
      <c r="BT20" s="1992">
        <f>IF($H20&lt;&gt;BX$5,0,IF(BX20&lt;0,IF($J20=1,-$E20*$I20/12*3,IF($J20=2,-$E20*$I20/12*2,IF($J20=3,-$E20*$I20/12*1,0)))))+IF(BS$5&lt;&gt;$H20,0,IF(BS20&lt;0,IF($J20=1,-$E20*$I20/12*0,IF($J20=2,-$E20*$I20/12*1,IF($J20=3,-$E20*$I20/12*2,IF($J20&gt;=4,-$E20*$I20/12*3,0))))))</f>
        <v>0</v>
      </c>
      <c r="BU20" s="1992">
        <f>IF($H20&lt;&gt;BX$5,0,IF(BX20&lt;0,IF(OR($J20=1,$J20=2,$J20=3,$J20=4),-$E20*$I20/12*3,IF($J20=5,-$E20*$I20/12*2,IF($J20=6,-$E20*$I20/12*1,0)))))+IF(BS$5&lt;&gt;$H20,0,IF(BS20&lt;0,IF($J20=4,-$E20*$I20/12*0,IF($J20=5,-$E20*$I20/12*1,IF($J20=6,-$E20*$I20/12*2,IF($J20&gt;=7,-$E20*$I20/12*3,0))))))</f>
        <v>0</v>
      </c>
      <c r="BV20" s="1992">
        <f>IF($H20&lt;&gt;BX$5,0,IF(BX20&lt;0,IF(OR($J20=1,$J20=2,$J20=3,$J20=4,$J20=5,$J20=6,$J20=7),-$E20*$I20/12*3,IF($J20=8,-$E20*$I20/12*2,IF($J20=9,-$E20*$I20/12*1,0)))))+IF(BS$5&lt;&gt;$H20,0,IF(BS20&lt;0,IF($J20=7,-$E20*$I20/12*0,IF($J20=8,-$E20*$I20/12*1,IF($J20=9,-$E20*$I20/12*2,IF($J20&gt;=10,-$E20*$I20/12*3,0))))))</f>
        <v>0</v>
      </c>
      <c r="BW20" s="1992">
        <f>IF($H20&lt;&gt;BX$5,0,IF(BX20&lt;0,IF(OR($J20=1,$J20=2,$J20=3,$J20=4,$J20=5,$J20=6,$J20=7,$J20=8,$J20=9,$J20=10),-$E20*$I20/12*3,IF($J20=11,-$E20*$I20/12*2,IF($J20=12,-$E20*$I20/12*1,0)))))+IF(BS$5&lt;&gt;$H20,0,IF(BS20&lt;0,IF($J20=10,-$E20*$I20/12*0,IF($J20=11,-$E20*$I20/12*1,IF($J20=12,-$E20*$I20/12*2,0)))))</f>
        <v>0</v>
      </c>
      <c r="BX20" s="1810">
        <f>IF(AND(BS20&lt;&gt;0,BS$5=$H20),-$I20*$E20-BS20,IF(BX$5=$H20,-$I20*$E20*(12-$J20+1)/12,0))</f>
        <v>0</v>
      </c>
      <c r="BY20" s="1807">
        <f>IF($H20&lt;&gt;CC$5,0,IF(CC20&lt;0,IF($J20=1,-$E20*$I20/12*3,IF($J20=2,-$E20*$I20/12*2,IF($J20=3,-$E20*$I20/12*1,0)))))+IF(BX$5&lt;&gt;$H20,0,IF(BX20&lt;0,IF($J20=1,-$E20*$I20/12*0,IF($J20=2,-$E20*$I20/12*1,IF($J20=3,-$E20*$I20/12*2,IF($J20&gt;=4,-$E20*$I20/12*3,0))))))</f>
        <v>0</v>
      </c>
      <c r="BZ20" s="1807">
        <f>IF($H20&lt;&gt;CC$5,0,IF(CC20&lt;0,IF(OR($J20=1,$J20=2,$J20=3,$J20=4),-$E20*$I20/12*3,IF($J20=5,-$E20*$I20/12*2,IF($J20=6,-$E20*$I20/12*1,0)))))+IF(BX$5&lt;&gt;$H20,0,IF(BX20&lt;0,IF($J20=4,-$E20*$I20/12*0,IF($J20=5,-$E20*$I20/12*1,IF($J20=6,-$E20*$I20/12*2,IF($J20&gt;=7,-$E20*$I20/12*3,0))))))</f>
        <v>0</v>
      </c>
      <c r="CA20" s="1807">
        <f>IF($H20&lt;&gt;CC$5,0,IF(CC20&lt;0,IF(OR($J20=1,$J20=2,$J20=3,$J20=4,$J20=5,$J20=6,$J20=7),-$E20*$I20/12*3,IF($J20=8,-$E20*$I20/12*2,IF($J20=9,-$E20*$I20/12*1,0)))))+IF(BX$5&lt;&gt;$H20,0,IF(BX20&lt;0,IF($J20=7,-$E20*$I20/12*0,IF($J20=8,-$E20*$I20/12*1,IF($J20=9,-$E20*$I20/12*2,IF($J20&gt;=10,-$E20*$I20/12*3,0))))))</f>
        <v>0</v>
      </c>
      <c r="CB20" s="1806">
        <f>IF($H20&lt;&gt;CC$5,0,IF(CC20&lt;0,IF(OR($J20=1,$J20=2,$J20=3,$J20=4,$J20=5,$J20=6,$J20=7,$J20=8,$J20=9,$J20=10),-$E20*$I20/12*3,IF($J20=11,-$E20*$I20/12*2,IF($J20=12,-$E20*$I20/12*1,0)))))+IF(BX$5&lt;&gt;$H20,0,IF(BX20&lt;0,IF($J20=10,-$E20*$I20/12*0,IF($J20=11,-$E20*$I20/12*1,IF($J20=12,-$E20*$I20/12*2,0)))))</f>
        <v>0</v>
      </c>
      <c r="CC20" s="1791">
        <f>IF(AND(BX20&lt;&gt;0,BX$5=$H20),-$I20*$E20-BX20,IF(CC$5=$H20,-$I20*$E20*(12-$J20+1)/12,0))</f>
        <v>0</v>
      </c>
      <c r="CD20" s="1808">
        <f>IF($H20&lt;&gt;CH$5,0,IF(CH20&lt;0,IF($J20=1,-$E20*$I20/12*3,IF($J20=2,-$E20*$I20/12*2,IF($J20=3,-$E20*$I20/12*1,0)))))+IF(CC$5&lt;&gt;$H20,0,IF(CC20&lt;0,IF($J20=1,-$E20*$I20/12*0,IF($J20=2,-$E20*$I20/12*1,IF($J20=3,-$E20*$I20/12*2,IF($J20&gt;=4,-$E20*$I20/12*3,0))))))</f>
        <v>0</v>
      </c>
      <c r="CE20" s="1807">
        <f>IF($H20&lt;&gt;CH$5,0,IF(CH20&lt;0,IF(OR($J20=1,$J20=2,$J20=3,$J20=4),-$E20*$I20/12*3,IF($J20=5,-$E20*$I20/12*2,IF($J20=6,-$E20*$I20/12*1,0)))))+IF(CC$5&lt;&gt;$H20,0,IF(CC20&lt;0,IF($J20=4,-$E20*$I20/12*0,IF($J20=5,-$E20*$I20/12*1,IF($J20=6,-$E20*$I20/12*2,IF($J20&gt;=7,-$E20*$I20/12*3,0))))))</f>
        <v>0</v>
      </c>
      <c r="CF20" s="1807">
        <f>IF($H20&lt;&gt;CH$5,0,IF(CH20&lt;0,IF(OR($J20=1,$J20=2,$J20=3,$J20=4,$J20=5,$J20=6,$J20=7),-$E20*$I20/12*3,IF($J20=8,-$E20*$I20/12*2,IF($J20=9,-$E20*$I20/12*1,0)))))+IF(CC$5&lt;&gt;$H20,0,IF(CC20&lt;0,IF($J20=7,-$E20*$I20/12*0,IF($J20=8,-$E20*$I20/12*1,IF($J20=9,-$E20*$I20/12*2,IF($J20&gt;=10,-$E20*$I20/12*3,0))))))</f>
        <v>0</v>
      </c>
      <c r="CG20" s="1806">
        <f>IF($H20&lt;&gt;CH$5,0,IF(CH20&lt;0,IF(OR($J20=1,$J20=2,$J20=3,$J20=4,$J20=5,$J20=6,$J20=7,$J20=8,$J20=9,$J20=10),-$E20*$I20/12*3,IF($J20=11,-$E20*$I20/12*2,IF($J20=12,-$E20*$I20/12*1,0)))))+IF(CC$5&lt;&gt;$H20,0,IF(CC20&lt;0,IF($J20=10,-$E20*$I20/12*0,IF($J20=11,-$E20*$I20/12*1,IF($J20=12,-$E20*$I20/12*2,0)))))</f>
        <v>0</v>
      </c>
      <c r="CH20" s="1791">
        <f>IF(AND(CC20&lt;&gt;0,CC$5=$H20),-$I20*$E20-CC20,IF(CH$5=$H20,-$I20*$E20*(12-$J20+1)/12,0))</f>
        <v>0</v>
      </c>
      <c r="CI20" s="1808">
        <f>IF($H20&lt;&gt;CM$5,0,IF(CM20&lt;0,IF($J20=1,-$E20*$I20/12*3,IF($J20=2,-$E20*$I20/12*2,IF($J20=3,-$E20*$I20/12*1,0)))))+IF(CH$5&lt;&gt;$H20,0,IF(CH20&lt;0,IF($J20=1,-$E20*$I20/12*0,IF($J20=2,-$E20*$I20/12*1,IF($J20=3,-$E20*$I20/12*2,IF($J20&gt;=4,-$E20*$I20/12*3,0))))))</f>
        <v>0</v>
      </c>
      <c r="CJ20" s="1807">
        <f>IF($H20&lt;&gt;CM$5,0,IF(CM20&lt;0,IF(OR($J20=1,$J20=2,$J20=3,$J20=4),-$E20*$I20/12*3,IF($J20=5,-$E20*$I20/12*2,IF($J20=6,-$E20*$I20/12*1,0)))))+IF(CH$5&lt;&gt;$H20,0,IF(CH20&lt;0,IF($J20=4,-$E20*$I20/12*0,IF($J20=5,-$E20*$I20/12*1,IF($J20=6,-$E20*$I20/12*2,IF($J20&gt;=7,-$E20*$I20/12*3,0))))))</f>
        <v>0</v>
      </c>
      <c r="CK20" s="1807">
        <f>IF($H20&lt;&gt;CM$5,0,IF(CM20&lt;0,IF(OR($J20=1,$J20=2,$J20=3,$J20=4,$J20=5,$J20=6,$J20=7),-$E20*$I20/12*3,IF($J20=8,-$E20*$I20/12*2,IF($J20=9,-$E20*$I20/12*1,0)))))+IF(CH$5&lt;&gt;$H20,0,IF(CH20&lt;0,IF($J20=7,-$E20*$I20/12*0,IF($J20=8,-$E20*$I20/12*1,IF($J20=9,-$E20*$I20/12*2,IF($J20&gt;=10,-$E20*$I20/12*3,0))))))</f>
        <v>0</v>
      </c>
      <c r="CL20" s="1806">
        <f>IF($H20&lt;&gt;CM$5,0,IF(CM20&lt;0,IF(OR($J20=1,$J20=2,$J20=3,$J20=4,$J20=5,$J20=6,$J20=7,$J20=8,$J20=9,$J20=10),-$E20*$I20/12*3,IF($J20=11,-$E20*$I20/12*2,IF($J20=12,-$E20*$I20/12*1,0)))))+IF(CH$5&lt;&gt;$H20,0,IF(CH20&lt;0,IF($J20=10,-$E20*$I20/12*0,IF($J20=11,-$E20*$I20/12*1,IF($J20=12,-$E20*$I20/12*2,0)))))</f>
        <v>0</v>
      </c>
      <c r="CM20" s="1791">
        <f>IF(AND(CH20&lt;&gt;0,CH$5=$H20),-$I20*$E20-CH20,IF(CM$5=$H20,-$I20*$E20*(12-$J20+1)/12,0))</f>
        <v>0</v>
      </c>
      <c r="CN20" s="1808">
        <f>IF($H20&lt;&gt;CR$5,0,IF(CR20&lt;0,IF($J20=1,-$E20*$I20/12*3,IF($J20=2,-$E20*$I20/12*2,IF($J20=3,-$E20*$I20/12*1,0)))))+IF(CM$5&lt;&gt;$H20,0,IF(CM20&lt;0,IF($J20=1,-$E20*$I20/12*0,IF($J20=2,-$E20*$I20/12*1,IF($J20=3,-$E20*$I20/12*2,IF($J20&gt;=4,-$E20*$I20/12*3,0))))))</f>
        <v>0</v>
      </c>
      <c r="CO20" s="1807">
        <f>IF($H20&lt;&gt;CR$5,0,IF(CR20&lt;0,IF(OR($J20=1,$J20=2,$J20=3,$J20=4),-$E20*$I20/12*3,IF($J20=5,-$E20*$I20/12*2,IF($J20=6,-$E20*$I20/12*1,0)))))+IF(CM$5&lt;&gt;$H20,0,IF(CM20&lt;0,IF($J20=4,-$E20*$I20/12*0,IF($J20=5,-$E20*$I20/12*1,IF($J20=6,-$E20*$I20/12*2,IF($J20&gt;=7,-$E20*$I20/12*3,0))))))</f>
        <v>0</v>
      </c>
      <c r="CP20" s="1807">
        <f>IF($H20&lt;&gt;CR$5,0,IF(CR20&lt;0,IF(OR($J20=1,$J20=2,$J20=3,$J20=4,$J20=5,$J20=6,$J20=7),-$E20*$I20/12*3,IF($J20=8,-$E20*$I20/12*2,IF($J20=9,-$E20*$I20/12*1,0)))))+IF(CM$5&lt;&gt;$H20,0,IF(CM20&lt;0,IF($J20=7,-$E20*$I20/12*0,IF($J20=8,-$E20*$I20/12*1,IF($J20=9,-$E20*$I20/12*2,IF($J20&gt;=10,-$E20*$I20/12*3,0))))))</f>
        <v>0</v>
      </c>
      <c r="CQ20" s="1806">
        <f>IF($H20&lt;&gt;CR$5,0,IF(CR20&lt;0,IF(OR($J20=1,$J20=2,$J20=3,$J20=4,$J20=5,$J20=6,$J20=7,$J20=8,$J20=9,$J20=10),-$E20*$I20/12*3,IF($J20=11,-$E20*$I20/12*2,IF($J20=12,-$E20*$I20/12*1,0)))))+IF(CM$5&lt;&gt;$H20,0,IF(CM20&lt;0,IF($J20=10,-$E20*$I20/12*0,IF($J20=11,-$E20*$I20/12*1,IF($J20=12,-$E20*$I20/12*2,0)))))</f>
        <v>0</v>
      </c>
      <c r="CR20" s="1791">
        <f>IF(AND(CM20&lt;&gt;0,CM$5=$H20),-$I20*$E20-CM20,IF(CR$5=$H20,-$I20*$E20*(12-$J20+1)/12,0))</f>
        <v>0</v>
      </c>
      <c r="CS20" s="1808">
        <f>IF($H20&lt;&gt;CW$5,0,IF(CW20&lt;0,IF($J20=1,-$E20*$I20/12*3,IF($J20=2,-$E20*$I20/12*2,IF($J20=3,-$E20*$I20/12*1,0)))))+IF(CR$5&lt;&gt;$H20,0,IF(CR20&lt;0,IF($J20=1,-$E20*$I20/12*0,IF($J20=2,-$E20*$I20/12*1,IF($J20=3,-$E20*$I20/12*2,IF($J20&gt;=4,-$E20*$I20/12*3,0))))))</f>
        <v>0</v>
      </c>
      <c r="CT20" s="1807">
        <f>IF($H20&lt;&gt;CW$5,0,IF(CW20&lt;0,IF(OR($J20=1,$J20=2,$J20=3,$J20=4),-$E20*$I20/12*3,IF($J20=5,-$E20*$I20/12*2,IF($J20=6,-$E20*$I20/12*1,0)))))+IF(CR$5&lt;&gt;$H20,0,IF(CR20&lt;0,IF($J20=4,-$E20*$I20/12*0,IF($J20=5,-$E20*$I20/12*1,IF($J20=6,-$E20*$I20/12*2,IF($J20&gt;=7,-$E20*$I20/12*3,0))))))</f>
        <v>0</v>
      </c>
      <c r="CU20" s="1807">
        <f>IF($H20&lt;&gt;CW$5,0,IF(CW20&lt;0,IF(OR($J20=1,$J20=2,$J20=3,$J20=4,$J20=5,$J20=6,$J20=7),-$E20*$I20/12*3,IF($J20=8,-$E20*$I20/12*2,IF($J20=9,-$E20*$I20/12*1,0)))))+IF(CR$5&lt;&gt;$H20,0,IF(CR20&lt;0,IF($J20=7,-$E20*$I20/12*0,IF($J20=8,-$E20*$I20/12*1,IF($J20=9,-$E20*$I20/12*2,IF($J20&gt;=10,-$E20*$I20/12*3,0))))))</f>
        <v>0</v>
      </c>
      <c r="CV20" s="1806">
        <f>IF($H20&lt;&gt;CW$5,0,IF(CW20&lt;0,IF(OR($J20=1,$J20=2,$J20=3,$J20=4,$J20=5,$J20=6,$J20=7,$J20=8,$J20=9,$J20=10),-$E20*$I20/12*3,IF($J20=11,-$E20*$I20/12*2,IF($J20=12,-$E20*$I20/12*1,0)))))+IF(CR$5&lt;&gt;$H20,0,IF(CR20&lt;0,IF($J20=10,-$E20*$I20/12*0,IF($J20=11,-$E20*$I20/12*1,IF($J20=12,-$E20*$I20/12*2,0)))))</f>
        <v>0</v>
      </c>
      <c r="CW20" s="1791">
        <f>IF(AND(CR20&lt;&gt;0,CR$5=$H20),-$I20*$E20-CR20,IF(CW$5=$H20,-$I20*$E20*(12-$J20+1)/12,0))</f>
        <v>0</v>
      </c>
      <c r="CX20" s="1808">
        <f>IF($H20&lt;&gt;DB$5,0,IF(DB20&lt;0,IF($J20=1,-$E20*$I20/12*3,IF($J20=2,-$E20*$I20/12*2,IF($J20=3,-$E20*$I20/12*1,0)))))+IF(CW$5&lt;&gt;$H20,0,IF(CW20&lt;0,IF($J20=1,-$E20*$I20/12*0,IF($J20=2,-$E20*$I20/12*1,IF($J20=3,-$E20*$I20/12*2,IF($J20&gt;=4,-$E20*$I20/12*3,0))))))</f>
        <v>0</v>
      </c>
      <c r="CY20" s="1807">
        <f>IF($H20&lt;&gt;DB$5,0,IF(DB20&lt;0,IF(OR($J20=1,$J20=2,$J20=3,$J20=4),-$E20*$I20/12*3,IF($J20=5,-$E20*$I20/12*2,IF($J20=6,-$E20*$I20/12*1,0)))))+IF(CW$5&lt;&gt;$H20,0,IF(CW20&lt;0,IF($J20=4,-$E20*$I20/12*0,IF($J20=5,-$E20*$I20/12*1,IF($J20=6,-$E20*$I20/12*2,IF($J20&gt;=7,-$E20*$I20/12*3,0))))))</f>
        <v>0</v>
      </c>
      <c r="CZ20" s="1807">
        <f>IF($H20&lt;&gt;DB$5,0,IF(DB20&lt;0,IF(OR($J20=1,$J20=2,$J20=3,$J20=4,$J20=5,$J20=6,$J20=7),-$E20*$I20/12*3,IF($J20=8,-$E20*$I20/12*2,IF($J20=9,-$E20*$I20/12*1,0)))))+IF(CW$5&lt;&gt;$H20,0,IF(CW20&lt;0,IF($J20=7,-$E20*$I20/12*0,IF($J20=8,-$E20*$I20/12*1,IF($J20=9,-$E20*$I20/12*2,IF($J20&gt;=10,-$E20*$I20/12*3,0))))))</f>
        <v>0</v>
      </c>
      <c r="DA20" s="1806">
        <f>IF($H20&lt;&gt;DB$5,0,IF(DB20&lt;0,IF(OR($J20=1,$J20=2,$J20=3,$J20=4,$J20=5,$J20=6,$J20=7,$J20=8,$J20=9,$J20=10),-$E20*$I20/12*3,IF($J20=11,-$E20*$I20/12*2,IF($J20=12,-$E20*$I20/12*1,0)))))+IF(CW$5&lt;&gt;$H20,0,IF(CW20&lt;0,IF($J20=10,-$E20*$I20/12*0,IF($J20=11,-$E20*$I20/12*1,IF($J20=12,-$E20*$I20/12*2,0)))))</f>
        <v>0</v>
      </c>
      <c r="DB20" s="1791">
        <f>IF(AND(CW20&lt;&gt;0,CW$5=$H20),-$I20*$E20-CW20,IF(DB$5=$H20,-$I20*$E20*(12-$J20+1)/12,0))</f>
        <v>0</v>
      </c>
      <c r="DC20" s="1808">
        <f>IF($H20&lt;&gt;DG$5,0,IF(DG20&lt;0,IF($J20=1,-$E20*$I20/12*3,IF($J20=2,-$E20*$I20/12*2,IF($J20=3,-$E20*$I20/12*1,0)))))+IF(DB$5&lt;&gt;$H20,0,IF(DB20&lt;0,IF($J20=1,-$E20*$I20/12*0,IF($J20=2,-$E20*$I20/12*1,IF($J20=3,-$E20*$I20/12*2,IF($J20&gt;=4,-$E20*$I20/12*3,0))))))</f>
        <v>0</v>
      </c>
      <c r="DD20" s="1807">
        <f>IF($H20&lt;&gt;DG$5,0,IF(DG20&lt;0,IF(OR($J20=1,$J20=2,$J20=3,$J20=4),-$E20*$I20/12*3,IF($J20=5,-$E20*$I20/12*2,IF($J20=6,-$E20*$I20/12*1,0)))))+IF(DB$5&lt;&gt;$H20,0,IF(DB20&lt;0,IF($J20=4,-$E20*$I20/12*0,IF($J20=5,-$E20*$I20/12*1,IF($J20=6,-$E20*$I20/12*2,IF($J20&gt;=7,-$E20*$I20/12*3,0))))))</f>
        <v>0</v>
      </c>
      <c r="DE20" s="1807">
        <f>IF($H20&lt;&gt;DG$5,0,IF(DG20&lt;0,IF(OR($J20=1,$J20=2,$J20=3,$J20=4,$J20=5,$J20=6,$J20=7),-$E20*$I20/12*3,IF($J20=8,-$E20*$I20/12*2,IF($J20=9,-$E20*$I20/12*1,0)))))+IF(DB$5&lt;&gt;$H20,0,IF(DB20&lt;0,IF($J20=7,-$E20*$I20/12*0,IF($J20=8,-$E20*$I20/12*1,IF($J20=9,-$E20*$I20/12*2,IF($J20&gt;=10,-$E20*$I20/12*3,0))))))</f>
        <v>0</v>
      </c>
      <c r="DF20" s="1806">
        <f>IF($H20&lt;&gt;DG$5,0,IF(DG20&lt;0,IF(OR($J20=1,$J20=2,$J20=3,$J20=4,$J20=5,$J20=6,$J20=7,$J20=8,$J20=9,$J20=10),-$E20*$I20/12*3,IF($J20=11,-$E20*$I20/12*2,IF($J20=12,-$E20*$I20/12*1,0)))))+IF(DB$5&lt;&gt;$H20,0,IF(DB20&lt;0,IF($J20=10,-$E20*$I20/12*0,IF($J20=11,-$E20*$I20/12*1,IF($J20=12,-$E20*$I20/12*2,0)))))</f>
        <v>0</v>
      </c>
      <c r="DG20" s="1791">
        <f>IF(AND(DB20&lt;&gt;0,DB$5=$H20),-$I20*$E20-DB20,IF(DG$5=$H20,-$I20*$E20*(12-$J20+1)/12,0))</f>
        <v>0</v>
      </c>
      <c r="DH20" s="1808">
        <f>IF($H20&lt;&gt;DL$5,0,IF(DL20&lt;0,IF($J20=1,-$E20*$I20/12*3,IF($J20=2,-$E20*$I20/12*2,IF($J20=3,-$E20*$I20/12*1,0)))))+IF(DG$5&lt;&gt;$H20,0,IF(DG20&lt;0,IF($J20=1,-$E20*$I20/12*0,IF($J20=2,-$E20*$I20/12*1,IF($J20=3,-$E20*$I20/12*2,IF($J20&gt;=4,-$E20*$I20/12*3,0))))))</f>
        <v>0</v>
      </c>
      <c r="DI20" s="1807">
        <f>IF($H20&lt;&gt;DL$5,0,IF(DL20&lt;0,IF(OR($J20=1,$J20=2,$J20=3,$J20=4),-$E20*$I20/12*3,IF($J20=5,-$E20*$I20/12*2,IF($J20=6,-$E20*$I20/12*1,0)))))+IF(DG$5&lt;&gt;$H20,0,IF(DG20&lt;0,IF($J20=4,-$E20*$I20/12*0,IF($J20=5,-$E20*$I20/12*1,IF($J20=6,-$E20*$I20/12*2,IF($J20&gt;=7,-$E20*$I20/12*3,0))))))</f>
        <v>0</v>
      </c>
      <c r="DJ20" s="1807">
        <f>IF($H20&lt;&gt;DL$5,0,IF(DL20&lt;0,IF(OR($J20=1,$J20=2,$J20=3,$J20=4,$J20=5,$J20=6,$J20=7),-$E20*$I20/12*3,IF($J20=8,-$E20*$I20/12*2,IF($J20=9,-$E20*$I20/12*1,0)))))+IF(DG$5&lt;&gt;$H20,0,IF(DG20&lt;0,IF($J20=7,-$E20*$I20/12*0,IF($J20=8,-$E20*$I20/12*1,IF($J20=9,-$E20*$I20/12*2,IF($J20&gt;=10,-$E20*$I20/12*3,0))))))</f>
        <v>0</v>
      </c>
      <c r="DK20" s="1806">
        <f>IF($H20&lt;&gt;DL$5,0,IF(DL20&lt;0,IF(OR($J20=1,$J20=2,$J20=3,$J20=4,$J20=5,$J20=6,$J20=7,$J20=8,$J20=9,$J20=10),-$E20*$I20/12*3,IF($J20=11,-$E20*$I20/12*2,IF($J20=12,-$E20*$I20/12*1,0)))))+IF(DG$5&lt;&gt;$H20,0,IF(DG20&lt;0,IF($J20=10,-$E20*$I20/12*0,IF($J20=11,-$E20*$I20/12*1,IF($J20=12,-$E20*$I20/12*2,0)))))</f>
        <v>0</v>
      </c>
      <c r="DL20" s="1791">
        <f>IF(AND(DG20&lt;&gt;0,DG$5=$H20),-$I20*$E20-DG20,IF(DL$5=$H20,-$I20*$E20*(12-$J20+1)/12,0))</f>
        <v>0</v>
      </c>
      <c r="DM20" s="1808">
        <f>IF($H20&lt;&gt;DQ$5,0,IF(DQ20&lt;0,IF($J20=1,-$E20*$I20/12*3,IF($J20=2,-$E20*$I20/12*2,IF($J20=3,-$E20*$I20/12*1,0)))))+IF(DL$5&lt;&gt;$H20,0,IF(DL20&lt;0,IF($J20=1,-$E20*$I20/12*0,IF($J20=2,-$E20*$I20/12*1,IF($J20=3,-$E20*$I20/12*2,IF($J20&gt;=4,-$E20*$I20/12*3,0))))))</f>
        <v>0</v>
      </c>
      <c r="DN20" s="1807">
        <f>IF($H20&lt;&gt;DQ$5,0,IF(DQ20&lt;0,IF(OR($J20=1,$J20=2,$J20=3,$J20=4),-$E20*$I20/12*3,IF($J20=5,-$E20*$I20/12*2,IF($J20=6,-$E20*$I20/12*1,0)))))+IF(DL$5&lt;&gt;$H20,0,IF(DL20&lt;0,IF($J20=4,-$E20*$I20/12*0,IF($J20=5,-$E20*$I20/12*1,IF($J20=6,-$E20*$I20/12*2,IF($J20&gt;=7,-$E20*$I20/12*3,0))))))</f>
        <v>0</v>
      </c>
      <c r="DO20" s="1807">
        <f>IF($H20&lt;&gt;DQ$5,0,IF(DQ20&lt;0,IF(OR($J20=1,$J20=2,$J20=3,$J20=4,$J20=5,$J20=6,$J20=7),-$E20*$I20/12*3,IF($J20=8,-$E20*$I20/12*2,IF($J20=9,-$E20*$I20/12*1,0)))))+IF(DL$5&lt;&gt;$H20,0,IF(DL20&lt;0,IF($J20=7,-$E20*$I20/12*0,IF($J20=8,-$E20*$I20/12*1,IF($J20=9,-$E20*$I20/12*2,IF($J20&gt;=10,-$E20*$I20/12*3,0))))))</f>
        <v>0</v>
      </c>
      <c r="DP20" s="1806">
        <f>IF($H20&lt;&gt;DQ$5,0,IF(DQ20&lt;0,IF(OR($J20=1,$J20=2,$J20=3,$J20=4,$J20=5,$J20=6,$J20=7,$J20=8,$J20=9,$J20=10),-$E20*$I20/12*3,IF($J20=11,-$E20*$I20/12*2,IF($J20=12,-$E20*$I20/12*1,0)))))+IF(DL$5&lt;&gt;$H20,0,IF(DL20&lt;0,IF($J20=10,-$E20*$I20/12*0,IF($J20=11,-$E20*$I20/12*1,IF($J20=12,-$E20*$I20/12*2,0)))))</f>
        <v>0</v>
      </c>
      <c r="DQ20" s="1791">
        <f>IF(AND(DL20&lt;&gt;0,DL$5=$H20),-$I20*$E20-DL20,IF(DQ$5=$H20,-$I20*$E20*(12-$J20+1)/12,0))</f>
        <v>0</v>
      </c>
      <c r="DR20" s="1808">
        <f>IF($H20&lt;&gt;DV$5,0,IF(DV20&lt;0,IF($J20=1,-$E20*$I20/12*3,IF($J20=2,-$E20*$I20/12*2,IF($J20=3,-$E20*$I20/12*1,0)))))+IF(DQ$5&lt;&gt;$H20,0,IF(DQ20&lt;0,IF($J20=1,-$E20*$I20/12*0,IF($J20=2,-$E20*$I20/12*1,IF($J20=3,-$E20*$I20/12*2,IF($J20&gt;=4,-$E20*$I20/12*3,0))))))</f>
        <v>0</v>
      </c>
      <c r="DS20" s="1807">
        <f>IF($H20&lt;&gt;DV$5,0,IF(DV20&lt;0,IF(OR($J20=1,$J20=2,$J20=3,$J20=4),-$E20*$I20/12*3,IF($J20=5,-$E20*$I20/12*2,IF($J20=6,-$E20*$I20/12*1,0)))))+IF(DQ$5&lt;&gt;$H20,0,IF(DQ20&lt;0,IF($J20=4,-$E20*$I20/12*0,IF($J20=5,-$E20*$I20/12*1,IF($J20=6,-$E20*$I20/12*2,IF($J20&gt;=7,-$E20*$I20/12*3,0))))))</f>
        <v>0</v>
      </c>
      <c r="DT20" s="1807">
        <f>IF($H20&lt;&gt;DV$5,0,IF(DV20&lt;0,IF(OR($J20=1,$J20=2,$J20=3,$J20=4,$J20=5,$J20=6,$J20=7),-$E20*$I20/12*3,IF($J20=8,-$E20*$I20/12*2,IF($J20=9,-$E20*$I20/12*1,0)))))+IF(DQ$5&lt;&gt;$H20,0,IF(DQ20&lt;0,IF($J20=7,-$E20*$I20/12*0,IF($J20=8,-$E20*$I20/12*1,IF($J20=9,-$E20*$I20/12*2,IF($J20&gt;=10,-$E20*$I20/12*3,0))))))</f>
        <v>0</v>
      </c>
      <c r="DU20" s="1806">
        <f>IF($H20&lt;&gt;DV$5,0,IF(DV20&lt;0,IF(OR($J20=1,$J20=2,$J20=3,$J20=4,$J20=5,$J20=6,$J20=7,$J20=8,$J20=9,$J20=10),-$E20*$I20/12*3,IF($J20=11,-$E20*$I20/12*2,IF($J20=12,-$E20*$I20/12*1,0)))))+IF(DQ$5&lt;&gt;$H20,0,IF(DQ20&lt;0,IF($J20=10,-$E20*$I20/12*0,IF($J20=11,-$E20*$I20/12*1,IF($J20=12,-$E20*$I20/12*2,0)))))</f>
        <v>0</v>
      </c>
      <c r="DV20" s="1791">
        <f>IF(AND(DQ20&lt;&gt;0,DQ$5=$H20),-$I20*$E20-DQ20,IF(DV$5=$H20,-$I20*$E20*(12-$J20+1)/12,0))</f>
        <v>0</v>
      </c>
    </row>
    <row r="21" spans="1:126">
      <c r="A21" s="455"/>
      <c r="B21" s="455"/>
      <c r="C21" s="1870"/>
      <c r="D21" s="1869"/>
      <c r="E21" s="1868"/>
      <c r="F21" s="1865"/>
      <c r="G21" s="1865"/>
      <c r="H21" s="1867"/>
      <c r="I21" s="1866"/>
      <c r="J21" s="1865"/>
      <c r="K21" s="1886"/>
      <c r="L21" s="1843"/>
      <c r="M21" s="1799"/>
      <c r="N21" s="1802"/>
      <c r="O21" s="1801"/>
      <c r="P21" s="1801"/>
      <c r="Q21" s="1800"/>
      <c r="R21" s="1799"/>
      <c r="S21" s="1802"/>
      <c r="T21" s="1801"/>
      <c r="U21" s="1801"/>
      <c r="V21" s="1800"/>
      <c r="W21" s="1799"/>
      <c r="X21" s="1802"/>
      <c r="Y21" s="1801"/>
      <c r="Z21" s="1801"/>
      <c r="AA21" s="1800"/>
      <c r="AB21" s="1799"/>
      <c r="AC21" s="1802"/>
      <c r="AD21" s="1801"/>
      <c r="AE21" s="1801"/>
      <c r="AF21" s="1800"/>
      <c r="AG21" s="1799"/>
      <c r="AH21" s="1802"/>
      <c r="AI21" s="1801"/>
      <c r="AJ21" s="1801"/>
      <c r="AK21" s="1800"/>
      <c r="AL21" s="1799"/>
      <c r="AM21" s="1802"/>
      <c r="AN21" s="1801"/>
      <c r="AO21" s="1801"/>
      <c r="AP21" s="1800"/>
      <c r="AQ21" s="1799"/>
      <c r="AR21" s="1802"/>
      <c r="AS21" s="1801"/>
      <c r="AT21" s="1801"/>
      <c r="AU21" s="1800"/>
      <c r="AV21" s="1799"/>
      <c r="AW21" s="1802"/>
      <c r="AX21" s="1801"/>
      <c r="AY21" s="1801"/>
      <c r="AZ21" s="1800"/>
      <c r="BA21" s="1799"/>
      <c r="BB21" s="1802"/>
      <c r="BC21" s="1801"/>
      <c r="BD21" s="1801"/>
      <c r="BE21" s="1800"/>
      <c r="BF21" s="1799"/>
      <c r="BG21" s="1802"/>
      <c r="BH21" s="1801"/>
      <c r="BI21" s="1801"/>
      <c r="BJ21" s="1800"/>
      <c r="BK21" s="1799"/>
      <c r="BL21" s="1802"/>
      <c r="BM21" s="1801"/>
      <c r="BN21" s="1801"/>
      <c r="BO21" s="1800"/>
      <c r="BP21" s="1799"/>
      <c r="BQ21" s="1842"/>
      <c r="BR21" s="1993"/>
      <c r="BS21" s="1993"/>
      <c r="BT21" s="1994"/>
      <c r="BU21" s="1994"/>
      <c r="BV21" s="1994"/>
      <c r="BW21" s="1994"/>
      <c r="BX21" s="1843"/>
      <c r="BY21" s="1801"/>
      <c r="BZ21" s="1801"/>
      <c r="CA21" s="1801"/>
      <c r="CB21" s="1800"/>
      <c r="CC21" s="1799"/>
      <c r="CD21" s="1802"/>
      <c r="CE21" s="1801"/>
      <c r="CF21" s="1801"/>
      <c r="CG21" s="1800"/>
      <c r="CH21" s="1799"/>
      <c r="CI21" s="1802"/>
      <c r="CJ21" s="1801"/>
      <c r="CK21" s="1801"/>
      <c r="CL21" s="1800"/>
      <c r="CM21" s="1799"/>
      <c r="CN21" s="1802"/>
      <c r="CO21" s="1801"/>
      <c r="CP21" s="1801"/>
      <c r="CQ21" s="1800"/>
      <c r="CR21" s="1799"/>
      <c r="CS21" s="1802"/>
      <c r="CT21" s="1801"/>
      <c r="CU21" s="1801"/>
      <c r="CV21" s="1800"/>
      <c r="CW21" s="1799"/>
      <c r="CX21" s="1802"/>
      <c r="CY21" s="1801"/>
      <c r="CZ21" s="1801"/>
      <c r="DA21" s="1800"/>
      <c r="DB21" s="1799"/>
      <c r="DC21" s="1802"/>
      <c r="DD21" s="1801"/>
      <c r="DE21" s="1801"/>
      <c r="DF21" s="1800"/>
      <c r="DG21" s="1799"/>
      <c r="DH21" s="1802"/>
      <c r="DI21" s="1801"/>
      <c r="DJ21" s="1801"/>
      <c r="DK21" s="1800"/>
      <c r="DL21" s="1799"/>
      <c r="DM21" s="1802"/>
      <c r="DN21" s="1801"/>
      <c r="DO21" s="1801"/>
      <c r="DP21" s="1800"/>
      <c r="DQ21" s="1799"/>
      <c r="DR21" s="1802"/>
      <c r="DS21" s="1801"/>
      <c r="DT21" s="1801"/>
      <c r="DU21" s="1800"/>
      <c r="DV21" s="1799"/>
    </row>
    <row r="22" spans="1:126">
      <c r="A22" s="455"/>
      <c r="B22" s="459"/>
      <c r="C22" s="1359" t="s">
        <v>617</v>
      </c>
      <c r="D22" s="460"/>
      <c r="E22" s="461">
        <f>SUM(E18:E21)</f>
        <v>1850</v>
      </c>
      <c r="F22" s="462">
        <f>SUM(F18:F21)</f>
        <v>1850</v>
      </c>
      <c r="G22" s="462">
        <f>SUM(G18:G21)</f>
        <v>1850</v>
      </c>
      <c r="H22" s="1351"/>
      <c r="I22" s="1333"/>
      <c r="J22" s="463"/>
      <c r="K22" s="2005"/>
      <c r="L22" s="452">
        <f t="shared" ref="L22:AQ22" si="18">SUM(L18:L21)</f>
        <v>0</v>
      </c>
      <c r="M22" s="78">
        <f t="shared" si="18"/>
        <v>0</v>
      </c>
      <c r="N22" s="74">
        <f t="shared" si="18"/>
        <v>0</v>
      </c>
      <c r="O22" s="75">
        <f t="shared" si="18"/>
        <v>0</v>
      </c>
      <c r="P22" s="75">
        <f t="shared" si="18"/>
        <v>0</v>
      </c>
      <c r="Q22" s="76">
        <f t="shared" si="18"/>
        <v>0</v>
      </c>
      <c r="R22" s="78">
        <f t="shared" si="18"/>
        <v>0</v>
      </c>
      <c r="S22" s="74">
        <f t="shared" si="18"/>
        <v>0</v>
      </c>
      <c r="T22" s="75">
        <f t="shared" si="18"/>
        <v>0</v>
      </c>
      <c r="U22" s="75">
        <f t="shared" si="18"/>
        <v>0</v>
      </c>
      <c r="V22" s="76">
        <f t="shared" si="18"/>
        <v>0</v>
      </c>
      <c r="W22" s="78">
        <f t="shared" si="18"/>
        <v>0</v>
      </c>
      <c r="X22" s="74">
        <f t="shared" si="18"/>
        <v>0</v>
      </c>
      <c r="Y22" s="75">
        <f t="shared" si="18"/>
        <v>0</v>
      </c>
      <c r="Z22" s="75">
        <f t="shared" si="18"/>
        <v>0</v>
      </c>
      <c r="AA22" s="76">
        <f t="shared" si="18"/>
        <v>0</v>
      </c>
      <c r="AB22" s="78">
        <f t="shared" si="18"/>
        <v>0</v>
      </c>
      <c r="AC22" s="74">
        <f t="shared" si="18"/>
        <v>0</v>
      </c>
      <c r="AD22" s="75">
        <f t="shared" si="18"/>
        <v>0</v>
      </c>
      <c r="AE22" s="75">
        <f t="shared" si="18"/>
        <v>0</v>
      </c>
      <c r="AF22" s="76">
        <f t="shared" si="18"/>
        <v>0</v>
      </c>
      <c r="AG22" s="78">
        <f t="shared" si="18"/>
        <v>0</v>
      </c>
      <c r="AH22" s="74">
        <f t="shared" si="18"/>
        <v>0</v>
      </c>
      <c r="AI22" s="75">
        <f t="shared" si="18"/>
        <v>0</v>
      </c>
      <c r="AJ22" s="75">
        <f t="shared" si="18"/>
        <v>0</v>
      </c>
      <c r="AK22" s="76">
        <f t="shared" si="18"/>
        <v>0</v>
      </c>
      <c r="AL22" s="78">
        <f t="shared" si="18"/>
        <v>0</v>
      </c>
      <c r="AM22" s="74">
        <f t="shared" si="18"/>
        <v>0</v>
      </c>
      <c r="AN22" s="75">
        <f t="shared" si="18"/>
        <v>0</v>
      </c>
      <c r="AO22" s="75">
        <f t="shared" si="18"/>
        <v>0</v>
      </c>
      <c r="AP22" s="76">
        <f t="shared" si="18"/>
        <v>0</v>
      </c>
      <c r="AQ22" s="78">
        <f t="shared" si="18"/>
        <v>0</v>
      </c>
      <c r="AR22" s="74">
        <f t="shared" ref="AR22:BP22" si="19">SUM(AR18:AR21)</f>
        <v>0</v>
      </c>
      <c r="AS22" s="75">
        <f t="shared" si="19"/>
        <v>0</v>
      </c>
      <c r="AT22" s="75">
        <f t="shared" si="19"/>
        <v>0</v>
      </c>
      <c r="AU22" s="76">
        <f t="shared" si="19"/>
        <v>0</v>
      </c>
      <c r="AV22" s="78">
        <f t="shared" si="19"/>
        <v>0</v>
      </c>
      <c r="AW22" s="74">
        <f t="shared" si="19"/>
        <v>0</v>
      </c>
      <c r="AX22" s="75">
        <f t="shared" si="19"/>
        <v>0</v>
      </c>
      <c r="AY22" s="75">
        <f t="shared" si="19"/>
        <v>0</v>
      </c>
      <c r="AZ22" s="76">
        <f t="shared" si="19"/>
        <v>0</v>
      </c>
      <c r="BA22" s="78">
        <f t="shared" si="19"/>
        <v>0</v>
      </c>
      <c r="BB22" s="74">
        <f t="shared" si="19"/>
        <v>0</v>
      </c>
      <c r="BC22" s="75">
        <f t="shared" si="19"/>
        <v>0</v>
      </c>
      <c r="BD22" s="75">
        <f t="shared" si="19"/>
        <v>0</v>
      </c>
      <c r="BE22" s="76">
        <f t="shared" si="19"/>
        <v>0</v>
      </c>
      <c r="BF22" s="78">
        <f t="shared" si="19"/>
        <v>0</v>
      </c>
      <c r="BG22" s="74">
        <f t="shared" si="19"/>
        <v>0</v>
      </c>
      <c r="BH22" s="75">
        <f t="shared" si="19"/>
        <v>0</v>
      </c>
      <c r="BI22" s="75">
        <f t="shared" si="19"/>
        <v>-450</v>
      </c>
      <c r="BJ22" s="76">
        <f t="shared" si="19"/>
        <v>0</v>
      </c>
      <c r="BK22" s="78">
        <f t="shared" si="19"/>
        <v>-450</v>
      </c>
      <c r="BL22" s="74">
        <f t="shared" si="19"/>
        <v>0</v>
      </c>
      <c r="BM22" s="75">
        <f t="shared" si="19"/>
        <v>0</v>
      </c>
      <c r="BN22" s="75">
        <f t="shared" si="19"/>
        <v>0</v>
      </c>
      <c r="BO22" s="76">
        <f t="shared" si="19"/>
        <v>0</v>
      </c>
      <c r="BP22" s="78">
        <f t="shared" si="19"/>
        <v>0</v>
      </c>
      <c r="BQ22" s="1995"/>
      <c r="BR22" s="1996">
        <f t="shared" ref="BR22:CW22" si="20">SUM(BR18:BR21)</f>
        <v>0</v>
      </c>
      <c r="BS22" s="1996">
        <f t="shared" si="20"/>
        <v>0</v>
      </c>
      <c r="BT22" s="1997">
        <f t="shared" si="20"/>
        <v>0</v>
      </c>
      <c r="BU22" s="1997">
        <f t="shared" si="20"/>
        <v>0</v>
      </c>
      <c r="BV22" s="1997">
        <f t="shared" si="20"/>
        <v>0</v>
      </c>
      <c r="BW22" s="1997">
        <f t="shared" si="20"/>
        <v>0</v>
      </c>
      <c r="BX22" s="452">
        <f t="shared" si="20"/>
        <v>0</v>
      </c>
      <c r="BY22" s="75">
        <f t="shared" si="20"/>
        <v>0</v>
      </c>
      <c r="BZ22" s="75">
        <f t="shared" si="20"/>
        <v>0</v>
      </c>
      <c r="CA22" s="75">
        <f t="shared" si="20"/>
        <v>0</v>
      </c>
      <c r="CB22" s="76">
        <f t="shared" si="20"/>
        <v>0</v>
      </c>
      <c r="CC22" s="78">
        <f t="shared" si="20"/>
        <v>0</v>
      </c>
      <c r="CD22" s="74">
        <f t="shared" si="20"/>
        <v>0</v>
      </c>
      <c r="CE22" s="75">
        <f t="shared" si="20"/>
        <v>0</v>
      </c>
      <c r="CF22" s="75">
        <f t="shared" si="20"/>
        <v>0</v>
      </c>
      <c r="CG22" s="76">
        <f t="shared" si="20"/>
        <v>0</v>
      </c>
      <c r="CH22" s="78">
        <f t="shared" si="20"/>
        <v>0</v>
      </c>
      <c r="CI22" s="74">
        <f t="shared" si="20"/>
        <v>0</v>
      </c>
      <c r="CJ22" s="75">
        <f t="shared" si="20"/>
        <v>0</v>
      </c>
      <c r="CK22" s="75">
        <f t="shared" si="20"/>
        <v>0</v>
      </c>
      <c r="CL22" s="76">
        <f t="shared" si="20"/>
        <v>0</v>
      </c>
      <c r="CM22" s="78">
        <f t="shared" si="20"/>
        <v>0</v>
      </c>
      <c r="CN22" s="74">
        <f t="shared" si="20"/>
        <v>0</v>
      </c>
      <c r="CO22" s="75">
        <f t="shared" si="20"/>
        <v>0</v>
      </c>
      <c r="CP22" s="75">
        <f t="shared" si="20"/>
        <v>0</v>
      </c>
      <c r="CQ22" s="76">
        <f t="shared" si="20"/>
        <v>0</v>
      </c>
      <c r="CR22" s="78">
        <f t="shared" si="20"/>
        <v>0</v>
      </c>
      <c r="CS22" s="74">
        <f t="shared" si="20"/>
        <v>0</v>
      </c>
      <c r="CT22" s="75">
        <f t="shared" si="20"/>
        <v>0</v>
      </c>
      <c r="CU22" s="75">
        <f t="shared" si="20"/>
        <v>0</v>
      </c>
      <c r="CV22" s="76">
        <f t="shared" si="20"/>
        <v>0</v>
      </c>
      <c r="CW22" s="78">
        <f t="shared" si="20"/>
        <v>0</v>
      </c>
      <c r="CX22" s="74">
        <f t="shared" ref="CX22:DV22" si="21">SUM(CX18:CX21)</f>
        <v>0</v>
      </c>
      <c r="CY22" s="75">
        <f t="shared" si="21"/>
        <v>0</v>
      </c>
      <c r="CZ22" s="75">
        <f t="shared" si="21"/>
        <v>0</v>
      </c>
      <c r="DA22" s="76">
        <f t="shared" si="21"/>
        <v>0</v>
      </c>
      <c r="DB22" s="78">
        <f t="shared" si="21"/>
        <v>0</v>
      </c>
      <c r="DC22" s="74">
        <f t="shared" si="21"/>
        <v>0</v>
      </c>
      <c r="DD22" s="75">
        <f t="shared" si="21"/>
        <v>0</v>
      </c>
      <c r="DE22" s="75">
        <f t="shared" si="21"/>
        <v>0</v>
      </c>
      <c r="DF22" s="76">
        <f t="shared" si="21"/>
        <v>0</v>
      </c>
      <c r="DG22" s="78">
        <f t="shared" si="21"/>
        <v>0</v>
      </c>
      <c r="DH22" s="74">
        <f t="shared" si="21"/>
        <v>0</v>
      </c>
      <c r="DI22" s="75">
        <f t="shared" si="21"/>
        <v>0</v>
      </c>
      <c r="DJ22" s="75">
        <f t="shared" si="21"/>
        <v>0</v>
      </c>
      <c r="DK22" s="76">
        <f t="shared" si="21"/>
        <v>0</v>
      </c>
      <c r="DL22" s="78">
        <f t="shared" si="21"/>
        <v>0</v>
      </c>
      <c r="DM22" s="74">
        <f t="shared" si="21"/>
        <v>0</v>
      </c>
      <c r="DN22" s="75">
        <f t="shared" si="21"/>
        <v>0</v>
      </c>
      <c r="DO22" s="75">
        <f t="shared" si="21"/>
        <v>-1.921875</v>
      </c>
      <c r="DP22" s="76">
        <f t="shared" si="21"/>
        <v>-5.765625</v>
      </c>
      <c r="DQ22" s="78">
        <f t="shared" si="21"/>
        <v>-7.6875</v>
      </c>
      <c r="DR22" s="74">
        <f t="shared" si="21"/>
        <v>-5.765625</v>
      </c>
      <c r="DS22" s="75">
        <f t="shared" si="21"/>
        <v>-5.765625</v>
      </c>
      <c r="DT22" s="75">
        <f t="shared" si="21"/>
        <v>-3.84375</v>
      </c>
      <c r="DU22" s="76">
        <f t="shared" si="21"/>
        <v>0</v>
      </c>
      <c r="DV22" s="78">
        <f t="shared" si="21"/>
        <v>-15.375</v>
      </c>
    </row>
    <row r="23" spans="1:126">
      <c r="A23" s="455"/>
      <c r="B23" s="455"/>
      <c r="C23" s="1864"/>
      <c r="D23" s="1863"/>
      <c r="E23" s="1814"/>
      <c r="F23" s="1840"/>
      <c r="G23" s="1840"/>
      <c r="H23" s="1841"/>
      <c r="I23" s="1794"/>
      <c r="J23" s="1840"/>
      <c r="K23" s="1792"/>
      <c r="L23" s="1810"/>
      <c r="M23" s="1791"/>
      <c r="N23" s="1808"/>
      <c r="O23" s="1807"/>
      <c r="P23" s="1807"/>
      <c r="Q23" s="1806"/>
      <c r="R23" s="1791"/>
      <c r="S23" s="1808"/>
      <c r="T23" s="1807"/>
      <c r="U23" s="1807"/>
      <c r="V23" s="1806"/>
      <c r="W23" s="1791"/>
      <c r="X23" s="1808"/>
      <c r="Y23" s="1807"/>
      <c r="Z23" s="1807"/>
      <c r="AA23" s="1806"/>
      <c r="AB23" s="1791"/>
      <c r="AC23" s="1808"/>
      <c r="AD23" s="1807"/>
      <c r="AE23" s="1807"/>
      <c r="AF23" s="1806"/>
      <c r="AG23" s="1791"/>
      <c r="AH23" s="1808"/>
      <c r="AI23" s="1807"/>
      <c r="AJ23" s="1807"/>
      <c r="AK23" s="1806"/>
      <c r="AL23" s="1791"/>
      <c r="AM23" s="1808"/>
      <c r="AN23" s="1807"/>
      <c r="AO23" s="1807"/>
      <c r="AP23" s="1806"/>
      <c r="AQ23" s="1791"/>
      <c r="AR23" s="1808"/>
      <c r="AS23" s="1807"/>
      <c r="AT23" s="1807"/>
      <c r="AU23" s="1806"/>
      <c r="AV23" s="1791"/>
      <c r="AW23" s="1808"/>
      <c r="AX23" s="1807"/>
      <c r="AY23" s="1807"/>
      <c r="AZ23" s="1806"/>
      <c r="BA23" s="1791"/>
      <c r="BB23" s="1808"/>
      <c r="BC23" s="1807"/>
      <c r="BD23" s="1807"/>
      <c r="BE23" s="1806"/>
      <c r="BF23" s="1791"/>
      <c r="BG23" s="1808"/>
      <c r="BH23" s="1807"/>
      <c r="BI23" s="1807"/>
      <c r="BJ23" s="1806"/>
      <c r="BK23" s="1791"/>
      <c r="BL23" s="1808"/>
      <c r="BM23" s="1807"/>
      <c r="BN23" s="1807"/>
      <c r="BO23" s="1806"/>
      <c r="BP23" s="1791"/>
      <c r="BQ23" s="1827"/>
      <c r="BR23" s="1991" t="s">
        <v>319</v>
      </c>
      <c r="BS23" s="1991" t="s">
        <v>319</v>
      </c>
      <c r="BT23" s="1992"/>
      <c r="BU23" s="1992"/>
      <c r="BV23" s="1992"/>
      <c r="BW23" s="1992"/>
      <c r="BX23" s="1810"/>
      <c r="BY23" s="1807"/>
      <c r="BZ23" s="1807"/>
      <c r="CA23" s="1807"/>
      <c r="CB23" s="1806"/>
      <c r="CC23" s="1791"/>
      <c r="CD23" s="1808"/>
      <c r="CE23" s="1807"/>
      <c r="CF23" s="1807"/>
      <c r="CG23" s="1806"/>
      <c r="CH23" s="1791"/>
      <c r="CI23" s="1808"/>
      <c r="CJ23" s="1807"/>
      <c r="CK23" s="1807"/>
      <c r="CL23" s="1806"/>
      <c r="CM23" s="1791"/>
      <c r="CN23" s="1808"/>
      <c r="CO23" s="1807"/>
      <c r="CP23" s="1807"/>
      <c r="CQ23" s="1806"/>
      <c r="CR23" s="1791"/>
      <c r="CS23" s="1808"/>
      <c r="CT23" s="1807"/>
      <c r="CU23" s="1807"/>
      <c r="CV23" s="1806"/>
      <c r="CW23" s="1791"/>
      <c r="CX23" s="1808"/>
      <c r="CY23" s="1807"/>
      <c r="CZ23" s="1807"/>
      <c r="DA23" s="1806"/>
      <c r="DB23" s="1791"/>
      <c r="DC23" s="1808"/>
      <c r="DD23" s="1807"/>
      <c r="DE23" s="1807"/>
      <c r="DF23" s="1806"/>
      <c r="DG23" s="1791"/>
      <c r="DH23" s="1808"/>
      <c r="DI23" s="1807"/>
      <c r="DJ23" s="1807"/>
      <c r="DK23" s="1806"/>
      <c r="DL23" s="1791"/>
      <c r="DM23" s="1808"/>
      <c r="DN23" s="1807"/>
      <c r="DO23" s="1807"/>
      <c r="DP23" s="1806"/>
      <c r="DQ23" s="1791"/>
      <c r="DR23" s="1808"/>
      <c r="DS23" s="1807"/>
      <c r="DT23" s="1807"/>
      <c r="DU23" s="1806"/>
      <c r="DV23" s="1791"/>
    </row>
    <row r="24" spans="1:126">
      <c r="A24" s="455"/>
      <c r="B24" s="455"/>
      <c r="C24" s="1360" t="s">
        <v>127</v>
      </c>
      <c r="D24" s="469"/>
      <c r="E24" s="1818"/>
      <c r="F24" s="1840"/>
      <c r="G24" s="1840"/>
      <c r="H24" s="1667"/>
      <c r="I24" s="1794"/>
      <c r="J24" s="1817"/>
      <c r="K24" s="1792"/>
      <c r="L24" s="1862"/>
      <c r="M24" s="1861"/>
      <c r="N24" s="1808"/>
      <c r="O24" s="1807"/>
      <c r="P24" s="1807"/>
      <c r="Q24" s="1806"/>
      <c r="R24" s="1861"/>
      <c r="S24" s="1808"/>
      <c r="T24" s="1807"/>
      <c r="U24" s="1807"/>
      <c r="V24" s="1806"/>
      <c r="W24" s="1861"/>
      <c r="X24" s="1808"/>
      <c r="Y24" s="1807"/>
      <c r="Z24" s="1807"/>
      <c r="AA24" s="1806"/>
      <c r="AB24" s="1861"/>
      <c r="AC24" s="1808"/>
      <c r="AD24" s="1807"/>
      <c r="AE24" s="1807"/>
      <c r="AF24" s="1806"/>
      <c r="AG24" s="1861"/>
      <c r="AH24" s="1808"/>
      <c r="AI24" s="1807"/>
      <c r="AJ24" s="1807"/>
      <c r="AK24" s="1806"/>
      <c r="AL24" s="1861"/>
      <c r="AM24" s="1808"/>
      <c r="AN24" s="1807"/>
      <c r="AO24" s="1807"/>
      <c r="AP24" s="1806"/>
      <c r="AQ24" s="1861"/>
      <c r="AR24" s="1808"/>
      <c r="AS24" s="1807"/>
      <c r="AT24" s="1807"/>
      <c r="AU24" s="1806"/>
      <c r="AV24" s="1861"/>
      <c r="AW24" s="1808"/>
      <c r="AX24" s="1807"/>
      <c r="AY24" s="1807"/>
      <c r="AZ24" s="1806"/>
      <c r="BA24" s="1861"/>
      <c r="BB24" s="1808"/>
      <c r="BC24" s="1807"/>
      <c r="BD24" s="1807"/>
      <c r="BE24" s="1806"/>
      <c r="BF24" s="1861"/>
      <c r="BG24" s="1808"/>
      <c r="BH24" s="1807"/>
      <c r="BI24" s="1807"/>
      <c r="BJ24" s="1806"/>
      <c r="BK24" s="1861"/>
      <c r="BL24" s="1808"/>
      <c r="BM24" s="1807"/>
      <c r="BN24" s="1807"/>
      <c r="BO24" s="1806"/>
      <c r="BP24" s="1861"/>
      <c r="BQ24" s="1871"/>
      <c r="BR24" s="1998"/>
      <c r="BS24" s="1998"/>
      <c r="BT24" s="1992"/>
      <c r="BU24" s="1992"/>
      <c r="BV24" s="1992"/>
      <c r="BW24" s="1992"/>
      <c r="BX24" s="1862"/>
      <c r="BY24" s="1807"/>
      <c r="BZ24" s="1807"/>
      <c r="CA24" s="1807"/>
      <c r="CB24" s="1806"/>
      <c r="CC24" s="1861"/>
      <c r="CD24" s="1808"/>
      <c r="CE24" s="1807"/>
      <c r="CF24" s="1807"/>
      <c r="CG24" s="1806"/>
      <c r="CH24" s="1861"/>
      <c r="CI24" s="1808"/>
      <c r="CJ24" s="1807"/>
      <c r="CK24" s="1807"/>
      <c r="CL24" s="1806"/>
      <c r="CM24" s="1861"/>
      <c r="CN24" s="1808"/>
      <c r="CO24" s="1807"/>
      <c r="CP24" s="1807"/>
      <c r="CQ24" s="1806"/>
      <c r="CR24" s="1861"/>
      <c r="CS24" s="1808"/>
      <c r="CT24" s="1807"/>
      <c r="CU24" s="1807"/>
      <c r="CV24" s="1806"/>
      <c r="CW24" s="1861"/>
      <c r="CX24" s="1808"/>
      <c r="CY24" s="1807"/>
      <c r="CZ24" s="1807"/>
      <c r="DA24" s="1806"/>
      <c r="DB24" s="1861"/>
      <c r="DC24" s="1808"/>
      <c r="DD24" s="1807"/>
      <c r="DE24" s="1807"/>
      <c r="DF24" s="1806"/>
      <c r="DG24" s="1861"/>
      <c r="DH24" s="1808"/>
      <c r="DI24" s="1807"/>
      <c r="DJ24" s="1807"/>
      <c r="DK24" s="1806"/>
      <c r="DL24" s="1861"/>
      <c r="DM24" s="1808"/>
      <c r="DN24" s="1807"/>
      <c r="DO24" s="1807"/>
      <c r="DP24" s="1806"/>
      <c r="DQ24" s="1861"/>
      <c r="DR24" s="1808"/>
      <c r="DS24" s="1807"/>
      <c r="DT24" s="1807"/>
      <c r="DU24" s="1806"/>
      <c r="DV24" s="1861"/>
    </row>
    <row r="25" spans="1:126">
      <c r="A25" s="455"/>
      <c r="B25" s="455"/>
      <c r="C25" s="1678" t="s">
        <v>287</v>
      </c>
      <c r="D25" s="1860"/>
      <c r="E25" s="1814">
        <f>Parent!BB51</f>
        <v>1200</v>
      </c>
      <c r="F25" s="1811"/>
      <c r="G25" s="1811"/>
      <c r="H25" s="1813">
        <v>2018</v>
      </c>
      <c r="I25" s="1812">
        <v>0.05</v>
      </c>
      <c r="J25" s="1811">
        <v>4</v>
      </c>
      <c r="K25" s="1792"/>
      <c r="L25" s="1810">
        <f t="shared" ref="L25:M28" si="22">IF(L$5=$H25,$E25,0)</f>
        <v>0</v>
      </c>
      <c r="M25" s="1791">
        <f t="shared" si="22"/>
        <v>0</v>
      </c>
      <c r="N25" s="1808">
        <f t="shared" ref="N25:N27" si="23">IF(R25=0,0,IF(R25&gt;0,IF($J25=3,R25,IF($J25=2,R25,IF($J25=1,R25,0)))))</f>
        <v>0</v>
      </c>
      <c r="O25" s="1807">
        <f t="shared" ref="O25:O27" si="24">IF(R25=0,0,IF(R25&gt;0,IF($J25=6,R25,IF($J25=5,R25,IF($J25=4,R25,0)))))</f>
        <v>0</v>
      </c>
      <c r="P25" s="1807">
        <f t="shared" ref="P25:P27" si="25">IF(R25=0,0,IF(R25&gt;0,IF($J25=9,R25,IF($J25=8,R25,IF($J25=7,R25,0)))))</f>
        <v>0</v>
      </c>
      <c r="Q25" s="1806">
        <f t="shared" ref="Q25:Q27" si="26">IF(R25=0,0,IF(R25&gt;0,IF($J25=12,R25,IF($J25=11,R25,IF($J25=10,R25,0)))))</f>
        <v>0</v>
      </c>
      <c r="R25" s="1791">
        <f t="shared" ref="R25:R28" si="27">IF(R$5=$H25,$E25,0)</f>
        <v>0</v>
      </c>
      <c r="S25" s="1808">
        <f t="shared" ref="S25:S27" si="28">IF(W25=0,0,IF(W25&gt;0,IF($J25=3,W25,IF($J25=2,W25,IF($J25=1,W25,0)))))</f>
        <v>0</v>
      </c>
      <c r="T25" s="1807">
        <f t="shared" ref="T25:T27" si="29">IF(W25=0,0,IF(W25&gt;0,IF($J25=6,W25,IF($J25=5,W25,IF($J25=4,W25,0)))))</f>
        <v>0</v>
      </c>
      <c r="U25" s="1807">
        <f t="shared" ref="U25:U27" si="30">IF(W25=0,0,IF(W25&gt;0,IF($J25=9,W25,IF($J25=8,W25,IF($J25=7,W25,0)))))</f>
        <v>0</v>
      </c>
      <c r="V25" s="1806">
        <f t="shared" ref="V25:V27" si="31">IF(W25=0,0,IF(W25&gt;0,IF($J25=12,W25,IF($J25=11,W25,IF($J25=10,W25,0)))))</f>
        <v>0</v>
      </c>
      <c r="W25" s="1791">
        <f t="shared" ref="W25:W28" si="32">IF(W$5=$H25,$E25,0)</f>
        <v>0</v>
      </c>
      <c r="X25" s="1808">
        <f t="shared" ref="X25:X27" si="33">IF(AB25=0,0,IF(AB25&gt;0,IF($J25=3,AB25,IF($J25=2,AB25,IF($J25=1,AB25,0)))))</f>
        <v>0</v>
      </c>
      <c r="Y25" s="1807">
        <f t="shared" ref="Y25:Y27" si="34">IF(AB25=0,0,IF(AB25&gt;0,IF($J25=6,AB25,IF($J25=5,AB25,IF($J25=4,AB25,0)))))</f>
        <v>0</v>
      </c>
      <c r="Z25" s="1807">
        <f t="shared" ref="Z25:Z27" si="35">IF(AB25=0,0,IF(AB25&gt;0,IF($J25=9,AB25,IF($J25=8,AB25,IF($J25=7,AB25,0)))))</f>
        <v>0</v>
      </c>
      <c r="AA25" s="1806">
        <f t="shared" ref="AA25:AA27" si="36">IF(AB25=0,0,IF(AB25&gt;0,IF($J25=12,AB25,IF($J25=11,AB25,IF($J25=10,AB25,0)))))</f>
        <v>0</v>
      </c>
      <c r="AB25" s="1791">
        <f t="shared" ref="AB25:AB28" si="37">IF(AB$5=$H25,$E25,0)</f>
        <v>0</v>
      </c>
      <c r="AC25" s="1808">
        <f t="shared" ref="AC25:AC27" si="38">IF(AG25=0,0,IF(AG25&gt;0,IF($J25=3,AG25,IF($J25=2,AG25,IF($J25=1,AG25,0)))))</f>
        <v>0</v>
      </c>
      <c r="AD25" s="1807">
        <f t="shared" ref="AD25:AD27" si="39">IF(AG25=0,0,IF(AG25&gt;0,IF($J25=6,AG25,IF($J25=5,AG25,IF($J25=4,AG25,0)))))</f>
        <v>0</v>
      </c>
      <c r="AE25" s="1807">
        <f t="shared" ref="AE25:AE27" si="40">IF(AG25=0,0,IF(AG25&gt;0,IF($J25=9,AG25,IF($J25=8,AG25,IF($J25=7,AG25,0)))))</f>
        <v>0</v>
      </c>
      <c r="AF25" s="1806">
        <f t="shared" ref="AF25:AF27" si="41">IF(AG25=0,0,IF(AG25&gt;0,IF($J25=12,AG25,IF($J25=11,AG25,IF($J25=10,AG25,0)))))</f>
        <v>0</v>
      </c>
      <c r="AG25" s="1791">
        <f t="shared" ref="AG25:AG28" si="42">IF(AG$5=$H25,$E25,0)</f>
        <v>0</v>
      </c>
      <c r="AH25" s="1808">
        <f t="shared" ref="AH25:AH27" si="43">IF(AL25=0,0,IF(AL25&gt;0,IF($J25=3,AL25,IF($J25=2,AL25,IF($J25=1,AL25,0)))))</f>
        <v>0</v>
      </c>
      <c r="AI25" s="1807">
        <f t="shared" ref="AI25:AI27" si="44">IF(AL25=0,0,IF(AL25&gt;0,IF($J25=6,AL25,IF($J25=5,AL25,IF($J25=4,AL25,0)))))</f>
        <v>0</v>
      </c>
      <c r="AJ25" s="1807">
        <f t="shared" ref="AJ25:AJ27" si="45">IF(AL25=0,0,IF(AL25&gt;0,IF($J25=9,AL25,IF($J25=8,AL25,IF($J25=7,AL25,0)))))</f>
        <v>0</v>
      </c>
      <c r="AK25" s="1806">
        <f t="shared" ref="AK25:AK27" si="46">IF(AL25=0,0,IF(AL25&gt;0,IF($J25=12,AL25,IF($J25=11,AL25,IF($J25=10,AL25,0)))))</f>
        <v>0</v>
      </c>
      <c r="AL25" s="1791">
        <f t="shared" ref="AL25:AL28" si="47">IF(AL$5=$H25,$E25,0)</f>
        <v>0</v>
      </c>
      <c r="AM25" s="1808">
        <f t="shared" ref="AM25:AM27" si="48">IF(AQ25=0,0,IF(AQ25&gt;0,IF($J25=3,AQ25,IF($J25=2,AQ25,IF($J25=1,AQ25,0)))))</f>
        <v>0</v>
      </c>
      <c r="AN25" s="1807">
        <f t="shared" ref="AN25:AN27" si="49">IF(AQ25=0,0,IF(AQ25&gt;0,IF($J25=6,AQ25,IF($J25=5,AQ25,IF($J25=4,AQ25,0)))))</f>
        <v>0</v>
      </c>
      <c r="AO25" s="1807">
        <f t="shared" ref="AO25:AO27" si="50">IF(AQ25=0,0,IF(AQ25&gt;0,IF($J25=9,AQ25,IF($J25=8,AQ25,IF($J25=7,AQ25,0)))))</f>
        <v>0</v>
      </c>
      <c r="AP25" s="1806">
        <f t="shared" ref="AP25:AP27" si="51">IF(AQ25=0,0,IF(AQ25&gt;0,IF($J25=12,AQ25,IF($J25=11,AQ25,IF($J25=10,AQ25,0)))))</f>
        <v>0</v>
      </c>
      <c r="AQ25" s="1791">
        <f t="shared" ref="AQ25:AQ28" si="52">IF(AQ$5=$H25,$E25,0)</f>
        <v>0</v>
      </c>
      <c r="AR25" s="1808">
        <f t="shared" ref="AR25:AR27" si="53">IF(AV25=0,0,IF(AV25&gt;0,IF($J25=3,AV25,IF($J25=2,AV25,IF($J25=1,AV25,0)))))</f>
        <v>0</v>
      </c>
      <c r="AS25" s="1807">
        <f t="shared" ref="AS25:AS28" si="54">IF(AV25=0,0,IF(AV25&gt;0,IF($J25=6,AV25,IF($J25=5,AV25,IF($J25=4,AV25,0)))))</f>
        <v>0</v>
      </c>
      <c r="AT25" s="1807">
        <f t="shared" ref="AT25:AT27" si="55">IF(AV25=0,0,IF(AV25&gt;0,IF($J25=9,AV25,IF($J25=8,AV25,IF($J25=7,AV25,0)))))</f>
        <v>0</v>
      </c>
      <c r="AU25" s="1806">
        <f t="shared" ref="AU25:AU27" si="56">IF(AV25=0,0,IF(AV25&gt;0,IF($J25=12,AV25,IF($J25=11,AV25,IF($J25=10,AV25,0)))))</f>
        <v>0</v>
      </c>
      <c r="AV25" s="1791">
        <f t="shared" ref="AV25:AV28" si="57">IF(AV$5=$H25,$E25,0)</f>
        <v>0</v>
      </c>
      <c r="AW25" s="1808">
        <f t="shared" ref="AW25:AW27" si="58">IF(BA25=0,0,IF(BA25&gt;0,IF($J25=3,BA25,IF($J25=2,BA25,IF($J25=1,BA25,0)))))</f>
        <v>0</v>
      </c>
      <c r="AX25" s="1807">
        <f t="shared" ref="AX25:AX27" si="59">IF(BA25=0,0,IF(BA25&gt;0,IF($J25=6,BA25,IF($J25=5,BA25,IF($J25=4,BA25,0)))))</f>
        <v>1200</v>
      </c>
      <c r="AY25" s="1807">
        <f t="shared" ref="AY25:AY27" si="60">IF(BA25=0,0,IF(BA25&gt;0,IF($J25=9,BA25,IF($J25=8,BA25,IF($J25=7,BA25,0)))))</f>
        <v>0</v>
      </c>
      <c r="AZ25" s="1806">
        <f t="shared" ref="AZ25:AZ27" si="61">IF(BA25=0,0,IF(BA25&gt;0,IF($J25=12,BA25,IF($J25=11,BA25,IF($J25=10,BA25,0)))))</f>
        <v>0</v>
      </c>
      <c r="BA25" s="1791">
        <f t="shared" ref="BA25:BA28" si="62">IF(BA$5=$H25,$E25,0)</f>
        <v>1200</v>
      </c>
      <c r="BB25" s="1808">
        <f t="shared" ref="BB25:BB27" si="63">IF(BF25=0,0,IF(BF25&gt;0,IF($J25=3,BF25,IF($J25=2,BF25,IF($J25=1,BF25,0)))))</f>
        <v>0</v>
      </c>
      <c r="BC25" s="1807">
        <f t="shared" ref="BC25:BC27" si="64">IF(BF25=0,0,IF(BF25&gt;0,IF($J25=6,BF25,IF($J25=5,BF25,IF($J25=4,BF25,0)))))</f>
        <v>0</v>
      </c>
      <c r="BD25" s="1807">
        <f t="shared" ref="BD25:BD27" si="65">IF(BF25=0,0,IF(BF25&gt;0,IF($J25=9,BF25,IF($J25=8,BF25,IF($J25=7,BF25,0)))))</f>
        <v>0</v>
      </c>
      <c r="BE25" s="1806">
        <f t="shared" ref="BE25:BE27" si="66">IF(BF25=0,0,IF(BF25&gt;0,IF($J25=12,BF25,IF($J25=11,BF25,IF($J25=10,BF25,0)))))</f>
        <v>0</v>
      </c>
      <c r="BF25" s="1791">
        <f t="shared" ref="BF25:BF28" si="67">IF(BF$5=$H25,$E25,0)</f>
        <v>0</v>
      </c>
      <c r="BG25" s="1808">
        <f t="shared" ref="BG25:BG27" si="68">IF(BK25=0,0,IF(BK25&gt;0,IF($J25=3,BK25,IF($J25=2,BK25,IF($J25=1,BK25,0)))))</f>
        <v>0</v>
      </c>
      <c r="BH25" s="1807">
        <f t="shared" ref="BH25:BH27" si="69">IF(BK25=0,0,IF(BK25&gt;0,IF($J25=6,BK25,IF($J25=5,BK25,IF($J25=4,BK25,0)))))</f>
        <v>0</v>
      </c>
      <c r="BI25" s="1807">
        <f t="shared" ref="BI25:BI27" si="70">IF(BK25=0,0,IF(BK25&gt;0,IF($J25=9,BK25,IF($J25=8,BK25,IF($J25=7,BK25,0)))))</f>
        <v>0</v>
      </c>
      <c r="BJ25" s="1806">
        <f t="shared" ref="BJ25:BJ27" si="71">IF(BK25=0,0,IF(BK25&gt;0,IF($J25=12,BK25,IF($J25=11,BK25,IF($J25=10,BK25,0)))))</f>
        <v>0</v>
      </c>
      <c r="BK25" s="1791">
        <f t="shared" ref="BK25:BK28" si="72">IF(BK$5=$H25,$E25,0)</f>
        <v>0</v>
      </c>
      <c r="BL25" s="1808">
        <f t="shared" ref="BL25:BL27" si="73">IF(BP25=0,0,IF(BP25&gt;0,IF($J25=3,BP25,IF($J25=2,BP25,IF($J25=1,BP25,0)))))</f>
        <v>0</v>
      </c>
      <c r="BM25" s="1807">
        <f t="shared" ref="BM25:BM27" si="74">IF(BP25=0,0,IF(BP25&gt;0,IF($J25=6,BP25,IF($J25=5,BP25,IF($J25=4,BP25,0)))))</f>
        <v>0</v>
      </c>
      <c r="BN25" s="1807">
        <f t="shared" ref="BN25:BN27" si="75">IF(BP25=0,0,IF(BP25&gt;0,IF($J25=9,BP25,IF($J25=8,BP25,IF($J25=7,BP25,0)))))</f>
        <v>0</v>
      </c>
      <c r="BO25" s="1806">
        <f t="shared" ref="BO25:BO27" si="76">IF(BP25=0,0,IF(BP25&gt;0,IF($J25=12,BP25,IF($J25=11,BP25,IF($J25=10,BP25,0)))))</f>
        <v>0</v>
      </c>
      <c r="BP25" s="1791">
        <f t="shared" ref="BP25:BP28" si="77">IF(BP$5=$H25,$E25,0)</f>
        <v>0</v>
      </c>
      <c r="BQ25" s="1809"/>
      <c r="BR25" s="1991">
        <f t="shared" ref="BR25:BS27" si="78">IF(AND(BQ25&lt;&gt;0,BQ$5=$H25),$I25*$E25-BQ25,IF(BR$5=$H25,$I25*$E25*(12-$J25+1)/12,0))</f>
        <v>0</v>
      </c>
      <c r="BS25" s="1991">
        <f t="shared" si="78"/>
        <v>0</v>
      </c>
      <c r="BT25" s="1992">
        <f t="shared" ref="BT25:BT27" si="79">IF($H25&lt;&gt;BX$5,0,IF(BX25&gt;0,IF($J25=1,$E25*$I25/12*3,IF($J25=2,$E25*$I25/12*2,IF($J25=3,$E25*$I25/12*1,0)))))+IF(BS$5&lt;&gt;$H25,0,IF(BS25&gt;0,IF($J25=1,$E25*$I25/12*0,IF($J25=2,$E25*$I25/12*1,IF($J25=3,$E25*$I25/12*2,IF($J25&gt;=4,$E25*$I25/12*3,0))))))</f>
        <v>0</v>
      </c>
      <c r="BU25" s="1992">
        <f t="shared" ref="BU25:BU27" si="80">IF($H25&lt;&gt;BX$5,0,IF(BX25&gt;0,IF(OR($J25=1,$J25=2,$J25=3,$J25=4),$E25*$I25/12*3,IF($J25=5,$E25*$I25/12*2,IF($J25=6,$E25*$I25/12*1,0)))))+IF(BS$5&lt;&gt;$H25,0,IF(BS25&gt;0,IF($J25=4,$E25*$I25/12*0,IF($J25=5,$E25*$I25/12*1,IF($J25=6,$E25*$I25/12*2,IF($J25&gt;=7,$E25*$I25/12*3,0))))))</f>
        <v>0</v>
      </c>
      <c r="BV25" s="1992">
        <f t="shared" ref="BV25:BV27" si="81">IF($H25&lt;&gt;BX$5,0,IF(BX25&gt;0,IF(OR($J25=1,$J25=2,$J25=3,$J25=4,$J25=5,$J25=6,$J25=7),$E25*$I25/12*3,IF($J25=8,$E25*$I25/12*2,IF($J25=9,$E25*$I25/12*1,0)))))+IF(BS$5&lt;&gt;$H25,0,IF(BS25&gt;0,IF($J25=7,$E25*$I25/12*0,IF($J25=8,$E25*$I25/12*1,IF($J25=9,$E25*$I25/12*2,IF($J25&gt;=10,$E25*$I25/12*3,0))))))</f>
        <v>0</v>
      </c>
      <c r="BW25" s="1992">
        <f t="shared" ref="BW25:BW27" si="82">IF($H25&lt;&gt;BX$5,0,IF(BX25&gt;0,IF(OR($J25=1,$J25=2,$J25=3,$J25=4,$J25=5,$J25=6,$J25=7,$J25=8,$J25=9,$J25=10),$E25*$I25/12*3,IF($J25=11,$E25*$I25/12*2,IF($J25=12,$E25*$I25/12*1,0)))))+IF(BS$5&lt;&gt;$H25,0,IF(BS25&gt;0,IF($J25=10,$E25*$I25/12*0,IF($J25=11,$E25*$I25/12*1,IF($J25=12,$E25*$I25/12*2,0)))))</f>
        <v>0</v>
      </c>
      <c r="BX25" s="1810">
        <f t="shared" ref="BX25:BX27" si="83">IF(AND(BS25&lt;&gt;0,BS$5=$H25),$I25*$E25-BS25,IF(BX$5=$H25,$I25*$E25*(12-$J25+1)/12,0))</f>
        <v>0</v>
      </c>
      <c r="BY25" s="1807">
        <f t="shared" ref="BY25:BY27" si="84">IF($H25&lt;&gt;CC$5,0,IF(CC25&gt;0,IF($J25=1,$E25*$I25/12*3,IF($J25=2,$E25*$I25/12*2,IF($J25=3,$E25*$I25/12*1,0)))))+IF(BX$5&lt;&gt;$H25,0,IF(BX25&gt;0,IF($J25=1,$E25*$I25/12*0,IF($J25=2,$E25*$I25/12*1,IF($J25=3,$E25*$I25/12*2,IF($J25&gt;=4,$E25*$I25/12*3,0))))))</f>
        <v>0</v>
      </c>
      <c r="BZ25" s="1807">
        <f t="shared" ref="BZ25:BZ27" si="85">IF($H25&lt;&gt;CC$5,0,IF(CC25&gt;0,IF(OR($J25=1,$J25=2,$J25=3,$J25=4),$E25*$I25/12*3,IF($J25=5,$E25*$I25/12*2,IF($J25=6,$E25*$I25/12*1,0)))))+IF(BX$5&lt;&gt;$H25,0,IF(BX25&gt;0,IF($J25=4,$E25*$I25/12*0,IF($J25=5,$E25*$I25/12*1,IF($J25=6,$E25*$I25/12*2,IF($J25&gt;=7,$E25*$I25/12*3,0))))))</f>
        <v>0</v>
      </c>
      <c r="CA25" s="1807">
        <f t="shared" ref="CA25:CA27" si="86">IF($H25&lt;&gt;CC$5,0,IF(CC25&gt;0,IF(OR($J25=1,$J25=2,$J25=3,$J25=4,$J25=5,$J25=6,$J25=7),$E25*$I25/12*3,IF($J25=8,$E25*$I25/12*2,IF($J25=9,$E25*$I25/12*1,0)))))+IF(BX$5&lt;&gt;$H25,0,IF(BX25&gt;0,IF($J25=7,$E25*$I25/12*0,IF($J25=8,$E25*$I25/12*1,IF($J25=9,$E25*$I25/12*2,IF($J25&gt;=10,$E25*$I25/12*3,0))))))</f>
        <v>0</v>
      </c>
      <c r="CB25" s="1806">
        <f t="shared" ref="CB25:CB27" si="87">IF($H25&lt;&gt;CC$5,0,IF(CC25&gt;0,IF(OR($J25=1,$J25=2,$J25=3,$J25=4,$J25=5,$J25=6,$J25=7,$J25=8,$J25=9,$J25=10),$E25*$I25/12*3,IF($J25=11,$E25*$I25/12*2,IF($J25=12,$E25*$I25/12*1,0)))))+IF(BX$5&lt;&gt;$H25,0,IF(BX25&gt;0,IF($J25=10,$E25*$I25/12*0,IF($J25=11,$E25*$I25/12*1,IF($J25=12,$E25*$I25/12*2,0)))))</f>
        <v>0</v>
      </c>
      <c r="CC25" s="1791">
        <f t="shared" ref="CC25:CC27" si="88">IF(AND(BX25&lt;&gt;0,BX$5=$H25),$I25*$E25-BX25,IF(CC$5=$H25,$I25*$E25*(12-$J25+1)/12,0))</f>
        <v>0</v>
      </c>
      <c r="CD25" s="1808">
        <f t="shared" ref="CD25:CD27" si="89">IF($H25&lt;&gt;CH$5,0,IF(CH25&gt;0,IF($J25=1,$E25*$I25/12*3,IF($J25=2,$E25*$I25/12*2,IF($J25=3,$E25*$I25/12*1,0)))))+IF(CC$5&lt;&gt;$H25,0,IF(CC25&gt;0,IF($J25=1,$E25*$I25/12*0,IF($J25=2,$E25*$I25/12*1,IF($J25=3,$E25*$I25/12*2,IF($J25&gt;=4,$E25*$I25/12*3,0))))))</f>
        <v>0</v>
      </c>
      <c r="CE25" s="1807">
        <f t="shared" ref="CE25:CE27" si="90">IF($H25&lt;&gt;CH$5,0,IF(CH25&gt;0,IF(OR($J25=1,$J25=2,$J25=3,$J25=4),$E25*$I25/12*3,IF($J25=5,$E25*$I25/12*2,IF($J25=6,$E25*$I25/12*1,0)))))+IF(CC$5&lt;&gt;$H25,0,IF(CC25&gt;0,IF($J25=4,$E25*$I25/12*0,IF($J25=5,$E25*$I25/12*1,IF($J25=6,$E25*$I25/12*2,IF($J25&gt;=7,$E25*$I25/12*3,0))))))</f>
        <v>0</v>
      </c>
      <c r="CF25" s="1807">
        <f t="shared" ref="CF25:CF27" si="91">IF($H25&lt;&gt;CH$5,0,IF(CH25&gt;0,IF(OR($J25=1,$J25=2,$J25=3,$J25=4,$J25=5,$J25=6,$J25=7),$E25*$I25/12*3,IF($J25=8,$E25*$I25/12*2,IF($J25=9,$E25*$I25/12*1,0)))))+IF(CC$5&lt;&gt;$H25,0,IF(CC25&gt;0,IF($J25=7,$E25*$I25/12*0,IF($J25=8,$E25*$I25/12*1,IF($J25=9,$E25*$I25/12*2,IF($J25&gt;=10,$E25*$I25/12*3,0))))))</f>
        <v>0</v>
      </c>
      <c r="CG25" s="1806">
        <f t="shared" ref="CG25:CG27" si="92">IF($H25&lt;&gt;CH$5,0,IF(CH25&gt;0,IF(OR($J25=1,$J25=2,$J25=3,$J25=4,$J25=5,$J25=6,$J25=7,$J25=8,$J25=9,$J25=10),$E25*$I25/12*3,IF($J25=11,$E25*$I25/12*2,IF($J25=12,$E25*$I25/12*1,0)))))+IF(CC$5&lt;&gt;$H25,0,IF(CC25&gt;0,IF($J25=10,$E25*$I25/12*0,IF($J25=11,$E25*$I25/12*1,IF($J25=12,$E25*$I25/12*2,0)))))</f>
        <v>0</v>
      </c>
      <c r="CH25" s="1791">
        <f t="shared" ref="CH25:CH27" si="93">IF(AND(CC25&lt;&gt;0,CC$5=$H25),$I25*$E25-CC25,IF(CH$5=$H25,$I25*$E25*(12-$J25+1)/12,0))</f>
        <v>0</v>
      </c>
      <c r="CI25" s="1808">
        <f t="shared" ref="CI25:CI27" si="94">IF($H25&lt;&gt;CM$5,0,IF(CM25&gt;0,IF($J25=1,$E25*$I25/12*3,IF($J25=2,$E25*$I25/12*2,IF($J25=3,$E25*$I25/12*1,0)))))+IF(CH$5&lt;&gt;$H25,0,IF(CH25&gt;0,IF($J25=1,$E25*$I25/12*0,IF($J25=2,$E25*$I25/12*1,IF($J25=3,$E25*$I25/12*2,IF($J25&gt;=4,$E25*$I25/12*3,0))))))</f>
        <v>0</v>
      </c>
      <c r="CJ25" s="1807">
        <f t="shared" ref="CJ25:CJ27" si="95">IF($H25&lt;&gt;CM$5,0,IF(CM25&gt;0,IF(OR($J25=1,$J25=2,$J25=3,$J25=4),$E25*$I25/12*3,IF($J25=5,$E25*$I25/12*2,IF($J25=6,$E25*$I25/12*1,0)))))+IF(CH$5&lt;&gt;$H25,0,IF(CH25&gt;0,IF($J25=4,$E25*$I25/12*0,IF($J25=5,$E25*$I25/12*1,IF($J25=6,$E25*$I25/12*2,IF($J25&gt;=7,$E25*$I25/12*3,0))))))</f>
        <v>0</v>
      </c>
      <c r="CK25" s="1807">
        <f t="shared" ref="CK25:CK27" si="96">IF($H25&lt;&gt;CM$5,0,IF(CM25&gt;0,IF(OR($J25=1,$J25=2,$J25=3,$J25=4,$J25=5,$J25=6,$J25=7),$E25*$I25/12*3,IF($J25=8,$E25*$I25/12*2,IF($J25=9,$E25*$I25/12*1,0)))))+IF(CH$5&lt;&gt;$H25,0,IF(CH25&gt;0,IF($J25=7,$E25*$I25/12*0,IF($J25=8,$E25*$I25/12*1,IF($J25=9,$E25*$I25/12*2,IF($J25&gt;=10,$E25*$I25/12*3,0))))))</f>
        <v>0</v>
      </c>
      <c r="CL25" s="1806">
        <f t="shared" ref="CL25:CL27" si="97">IF($H25&lt;&gt;CM$5,0,IF(CM25&gt;0,IF(OR($J25=1,$J25=2,$J25=3,$J25=4,$J25=5,$J25=6,$J25=7,$J25=8,$J25=9,$J25=10),$E25*$I25/12*3,IF($J25=11,$E25*$I25/12*2,IF($J25=12,$E25*$I25/12*1,0)))))+IF(CH$5&lt;&gt;$H25,0,IF(CH25&gt;0,IF($J25=10,$E25*$I25/12*0,IF($J25=11,$E25*$I25/12*1,IF($J25=12,$E25*$I25/12*2,0)))))</f>
        <v>0</v>
      </c>
      <c r="CM25" s="1791">
        <f t="shared" ref="CM25:CM27" si="98">IF(AND(CH25&lt;&gt;0,CH$5=$H25),$I25*$E25-CH25,IF(CM$5=$H25,$I25*$E25*(12-$J25+1)/12,0))</f>
        <v>0</v>
      </c>
      <c r="CN25" s="1808">
        <f t="shared" ref="CN25:CN27" si="99">IF($H25&lt;&gt;CR$5,0,IF(CR25&gt;0,IF($J25=1,$E25*$I25/12*3,IF($J25=2,$E25*$I25/12*2,IF($J25=3,$E25*$I25/12*1,0)))))+IF(CM$5&lt;&gt;$H25,0,IF(CM25&gt;0,IF($J25=1,$E25*$I25/12*0,IF($J25=2,$E25*$I25/12*1,IF($J25=3,$E25*$I25/12*2,IF($J25&gt;=4,$E25*$I25/12*3,0))))))</f>
        <v>0</v>
      </c>
      <c r="CO25" s="1807">
        <f t="shared" ref="CO25:CO27" si="100">IF($H25&lt;&gt;CR$5,0,IF(CR25&gt;0,IF(OR($J25=1,$J25=2,$J25=3,$J25=4),$E25*$I25/12*3,IF($J25=5,$E25*$I25/12*2,IF($J25=6,$E25*$I25/12*1,0)))))+IF(CM$5&lt;&gt;$H25,0,IF(CM25&gt;0,IF($J25=4,$E25*$I25/12*0,IF($J25=5,$E25*$I25/12*1,IF($J25=6,$E25*$I25/12*2,IF($J25&gt;=7,$E25*$I25/12*3,0))))))</f>
        <v>0</v>
      </c>
      <c r="CP25" s="1807">
        <f t="shared" ref="CP25:CP27" si="101">IF($H25&lt;&gt;CR$5,0,IF(CR25&gt;0,IF(OR($J25=1,$J25=2,$J25=3,$J25=4,$J25=5,$J25=6,$J25=7),$E25*$I25/12*3,IF($J25=8,$E25*$I25/12*2,IF($J25=9,$E25*$I25/12*1,0)))))+IF(CM$5&lt;&gt;$H25,0,IF(CM25&gt;0,IF($J25=7,$E25*$I25/12*0,IF($J25=8,$E25*$I25/12*1,IF($J25=9,$E25*$I25/12*2,IF($J25&gt;=10,$E25*$I25/12*3,0))))))</f>
        <v>0</v>
      </c>
      <c r="CQ25" s="1806">
        <f t="shared" ref="CQ25:CQ27" si="102">IF($H25&lt;&gt;CR$5,0,IF(CR25&gt;0,IF(OR($J25=1,$J25=2,$J25=3,$J25=4,$J25=5,$J25=6,$J25=7,$J25=8,$J25=9,$J25=10),$E25*$I25/12*3,IF($J25=11,$E25*$I25/12*2,IF($J25=12,$E25*$I25/12*1,0)))))+IF(CM$5&lt;&gt;$H25,0,IF(CM25&gt;0,IF($J25=10,$E25*$I25/12*0,IF($J25=11,$E25*$I25/12*1,IF($J25=12,$E25*$I25/12*2,0)))))</f>
        <v>0</v>
      </c>
      <c r="CR25" s="1791">
        <f t="shared" ref="CR25:CR27" si="103">IF(AND(CM25&lt;&gt;0,CM$5=$H25),$I25*$E25-CM25,IF(CR$5=$H25,$I25*$E25*(12-$J25+1)/12,0))</f>
        <v>0</v>
      </c>
      <c r="CS25" s="1808">
        <f t="shared" ref="CS25:CS27" si="104">IF($H25&lt;&gt;CW$5,0,IF(CW25&gt;0,IF($J25=1,$E25*$I25/12*3,IF($J25=2,$E25*$I25/12*2,IF($J25=3,$E25*$I25/12*1,0)))))+IF(CR$5&lt;&gt;$H25,0,IF(CR25&gt;0,IF($J25=1,$E25*$I25/12*0,IF($J25=2,$E25*$I25/12*1,IF($J25=3,$E25*$I25/12*2,IF($J25&gt;=4,$E25*$I25/12*3,0))))))</f>
        <v>0</v>
      </c>
      <c r="CT25" s="1807">
        <f t="shared" ref="CT25:CT27" si="105">IF($H25&lt;&gt;CW$5,0,IF(CW25&gt;0,IF(OR($J25=1,$J25=2,$J25=3,$J25=4),$E25*$I25/12*3,IF($J25=5,$E25*$I25/12*2,IF($J25=6,$E25*$I25/12*1,0)))))+IF(CR$5&lt;&gt;$H25,0,IF(CR25&gt;0,IF($J25=4,$E25*$I25/12*0,IF($J25=5,$E25*$I25/12*1,IF($J25=6,$E25*$I25/12*2,IF($J25&gt;=7,$E25*$I25/12*3,0))))))</f>
        <v>0</v>
      </c>
      <c r="CU25" s="1807">
        <f t="shared" ref="CU25:CU27" si="106">IF($H25&lt;&gt;CW$5,0,IF(CW25&gt;0,IF(OR($J25=1,$J25=2,$J25=3,$J25=4,$J25=5,$J25=6,$J25=7),$E25*$I25/12*3,IF($J25=8,$E25*$I25/12*2,IF($J25=9,$E25*$I25/12*1,0)))))+IF(CR$5&lt;&gt;$H25,0,IF(CR25&gt;0,IF($J25=7,$E25*$I25/12*0,IF($J25=8,$E25*$I25/12*1,IF($J25=9,$E25*$I25/12*2,IF($J25&gt;=10,$E25*$I25/12*3,0))))))</f>
        <v>0</v>
      </c>
      <c r="CV25" s="1806">
        <f t="shared" ref="CV25:CV27" si="107">IF($H25&lt;&gt;CW$5,0,IF(CW25&gt;0,IF(OR($J25=1,$J25=2,$J25=3,$J25=4,$J25=5,$J25=6,$J25=7,$J25=8,$J25=9,$J25=10),$E25*$I25/12*3,IF($J25=11,$E25*$I25/12*2,IF($J25=12,$E25*$I25/12*1,0)))))+IF(CR$5&lt;&gt;$H25,0,IF(CR25&gt;0,IF($J25=10,$E25*$I25/12*0,IF($J25=11,$E25*$I25/12*1,IF($J25=12,$E25*$I25/12*2,0)))))</f>
        <v>0</v>
      </c>
      <c r="CW25" s="1791">
        <f t="shared" ref="CW25:CW27" si="108">IF(AND(CR25&lt;&gt;0,CR$5=$H25),$I25*$E25-CR25,IF(CW$5=$H25,$I25*$E25*(12-$J25+1)/12,0))</f>
        <v>0</v>
      </c>
      <c r="CX25" s="1808">
        <f t="shared" ref="CX25:CX27" si="109">IF($H25&lt;&gt;DB$5,0,IF(DB25&gt;0,IF($J25=1,$E25*$I25/12*3,IF($J25=2,$E25*$I25/12*2,IF($J25=3,$E25*$I25/12*1,0)))))+IF(CW$5&lt;&gt;$H25,0,IF(CW25&gt;0,IF($J25=1,$E25*$I25/12*0,IF($J25=2,$E25*$I25/12*1,IF($J25=3,$E25*$I25/12*2,IF($J25&gt;=4,$E25*$I25/12*3,0))))))</f>
        <v>0</v>
      </c>
      <c r="CY25" s="1807">
        <f t="shared" ref="CY25:CY27" si="110">IF($H25&lt;&gt;DB$5,0,IF(DB25&gt;0,IF(OR($J25=1,$J25=2,$J25=3,$J25=4),$E25*$I25/12*3,IF($J25=5,$E25*$I25/12*2,IF($J25=6,$E25*$I25/12*1,0)))))+IF(CW$5&lt;&gt;$H25,0,IF(CW25&gt;0,IF($J25=4,$E25*$I25/12*0,IF($J25=5,$E25*$I25/12*1,IF($J25=6,$E25*$I25/12*2,IF($J25&gt;=7,$E25*$I25/12*3,0))))))</f>
        <v>0</v>
      </c>
      <c r="CZ25" s="1807">
        <f t="shared" ref="CZ25:CZ27" si="111">IF($H25&lt;&gt;DB$5,0,IF(DB25&gt;0,IF(OR($J25=1,$J25=2,$J25=3,$J25=4,$J25=5,$J25=6,$J25=7),$E25*$I25/12*3,IF($J25=8,$E25*$I25/12*2,IF($J25=9,$E25*$I25/12*1,0)))))+IF(CW$5&lt;&gt;$H25,0,IF(CW25&gt;0,IF($J25=7,$E25*$I25/12*0,IF($J25=8,$E25*$I25/12*1,IF($J25=9,$E25*$I25/12*2,IF($J25&gt;=10,$E25*$I25/12*3,0))))))</f>
        <v>0</v>
      </c>
      <c r="DA25" s="1806">
        <f t="shared" ref="DA25:DA27" si="112">IF($H25&lt;&gt;DB$5,0,IF(DB25&gt;0,IF(OR($J25=1,$J25=2,$J25=3,$J25=4,$J25=5,$J25=6,$J25=7,$J25=8,$J25=9,$J25=10),$E25*$I25/12*3,IF($J25=11,$E25*$I25/12*2,IF($J25=12,$E25*$I25/12*1,0)))))+IF(CW$5&lt;&gt;$H25,0,IF(CW25&gt;0,IF($J25=10,$E25*$I25/12*0,IF($J25=11,$E25*$I25/12*1,IF($J25=12,$E25*$I25/12*2,0)))))</f>
        <v>0</v>
      </c>
      <c r="DB25" s="1791">
        <f t="shared" ref="DB25:DB27" si="113">IF(AND(CW25&lt;&gt;0,CW$5=$H25),$I25*$E25-CW25,IF(DB$5=$H25,$I25*$E25*(12-$J25+1)/12,0))</f>
        <v>0</v>
      </c>
      <c r="DC25" s="1808">
        <f t="shared" ref="DC25:DC27" si="114">IF($H25&lt;&gt;DG$5,0,IF(DG25&gt;0,IF($J25=1,$E25*$I25/12*3,IF($J25=2,$E25*$I25/12*2,IF($J25=3,$E25*$I25/12*1,0)))))+IF(DB$5&lt;&gt;$H25,0,IF(DB25&gt;0,IF($J25=1,$E25*$I25/12*0,IF($J25=2,$E25*$I25/12*1,IF($J25=3,$E25*$I25/12*2,IF($J25&gt;=4,$E25*$I25/12*3,0))))))</f>
        <v>0</v>
      </c>
      <c r="DD25" s="1807">
        <f t="shared" ref="DD25:DD27" si="115">IF($H25&lt;&gt;DG$5,0,IF(DG25&gt;0,IF(OR($J25=1,$J25=2,$J25=3,$J25=4),$E25*$I25/12*3,IF($J25=5,$E25*$I25/12*2,IF($J25=6,$E25*$I25/12*1,0)))))+IF(DB$5&lt;&gt;$H25,0,IF(DB25&gt;0,IF($J25=4,$E25*$I25/12*0,IF($J25=5,$E25*$I25/12*1,IF($J25=6,$E25*$I25/12*2,IF($J25&gt;=7,$E25*$I25/12*3,0))))))</f>
        <v>15</v>
      </c>
      <c r="DE25" s="1807">
        <f t="shared" ref="DE25:DE27" si="116">IF($H25&lt;&gt;DG$5,0,IF(DG25&gt;0,IF(OR($J25=1,$J25=2,$J25=3,$J25=4,$J25=5,$J25=6,$J25=7),$E25*$I25/12*3,IF($J25=8,$E25*$I25/12*2,IF($J25=9,$E25*$I25/12*1,0)))))+IF(DB$5&lt;&gt;$H25,0,IF(DB25&gt;0,IF($J25=7,$E25*$I25/12*0,IF($J25=8,$E25*$I25/12*1,IF($J25=9,$E25*$I25/12*2,IF($J25&gt;=10,$E25*$I25/12*3,0))))))</f>
        <v>15</v>
      </c>
      <c r="DF25" s="1806">
        <f t="shared" ref="DF25:DF27" si="117">IF($H25&lt;&gt;DG$5,0,IF(DG25&gt;0,IF(OR($J25=1,$J25=2,$J25=3,$J25=4,$J25=5,$J25=6,$J25=7,$J25=8,$J25=9,$J25=10),$E25*$I25/12*3,IF($J25=11,$E25*$I25/12*2,IF($J25=12,$E25*$I25/12*1,0)))))+IF(DB$5&lt;&gt;$H25,0,IF(DB25&gt;0,IF($J25=10,$E25*$I25/12*0,IF($J25=11,$E25*$I25/12*1,IF($J25=12,$E25*$I25/12*2,0)))))</f>
        <v>15</v>
      </c>
      <c r="DG25" s="1791">
        <f t="shared" ref="DG25:DG27" si="118">IF(AND(DB25&lt;&gt;0,DB$5=$H25),$I25*$E25-DB25,IF(DG$5=$H25,$I25*$E25*(12-$J25+1)/12,0))</f>
        <v>45</v>
      </c>
      <c r="DH25" s="1808">
        <f t="shared" ref="DH25:DH27" si="119">IF($H25&lt;&gt;DL$5,0,IF(DL25&gt;0,IF($J25=1,$E25*$I25/12*3,IF($J25=2,$E25*$I25/12*2,IF($J25=3,$E25*$I25/12*1,0)))))+IF(DG$5&lt;&gt;$H25,0,IF(DG25&gt;0,IF($J25=1,$E25*$I25/12*0,IF($J25=2,$E25*$I25/12*1,IF($J25=3,$E25*$I25/12*2,IF($J25&gt;=4,$E25*$I25/12*3,0))))))</f>
        <v>15</v>
      </c>
      <c r="DI25" s="1807">
        <f t="shared" ref="DI25:DI27" si="120">IF($H25&lt;&gt;DL$5,0,IF(DL25&gt;0,IF(OR($J25=1,$J25=2,$J25=3,$J25=4),$E25*$I25/12*3,IF($J25=5,$E25*$I25/12*2,IF($J25=6,$E25*$I25/12*1,0)))))+IF(DG$5&lt;&gt;$H25,0,IF(DG25&gt;0,IF($J25=4,$E25*$I25/12*0,IF($J25=5,$E25*$I25/12*1,IF($J25=6,$E25*$I25/12*2,IF($J25&gt;=7,$E25*$I25/12*3,0))))))</f>
        <v>0</v>
      </c>
      <c r="DJ25" s="1807">
        <f t="shared" ref="DJ25:DJ27" si="121">IF($H25&lt;&gt;DL$5,0,IF(DL25&gt;0,IF(OR($J25=1,$J25=2,$J25=3,$J25=4,$J25=5,$J25=6,$J25=7),$E25*$I25/12*3,IF($J25=8,$E25*$I25/12*2,IF($J25=9,$E25*$I25/12*1,0)))))+IF(DG$5&lt;&gt;$H25,0,IF(DG25&gt;0,IF($J25=7,$E25*$I25/12*0,IF($J25=8,$E25*$I25/12*1,IF($J25=9,$E25*$I25/12*2,IF($J25&gt;=10,$E25*$I25/12*3,0))))))</f>
        <v>0</v>
      </c>
      <c r="DK25" s="1806">
        <f t="shared" ref="DK25:DK27" si="122">IF($H25&lt;&gt;DL$5,0,IF(DL25&gt;0,IF(OR($J25=1,$J25=2,$J25=3,$J25=4,$J25=5,$J25=6,$J25=7,$J25=8,$J25=9,$J25=10),$E25*$I25/12*3,IF($J25=11,$E25*$I25/12*2,IF($J25=12,$E25*$I25/12*1,0)))))+IF(DG$5&lt;&gt;$H25,0,IF(DG25&gt;0,IF($J25=10,$E25*$I25/12*0,IF($J25=11,$E25*$I25/12*1,IF($J25=12,$E25*$I25/12*2,0)))))</f>
        <v>0</v>
      </c>
      <c r="DL25" s="1791">
        <f t="shared" ref="DL25:DL27" si="123">IF(AND(DG25&lt;&gt;0,DG$5=$H25),$I25*$E25-DG25,IF(DL$5=$H25,$I25*$E25*(12-$J25+1)/12,0))</f>
        <v>15</v>
      </c>
      <c r="DM25" s="1808">
        <f t="shared" ref="DM25:DM27" si="124">IF($H25&lt;&gt;DQ$5,0,IF(DQ25&gt;0,IF($J25=1,$E25*$I25/12*3,IF($J25=2,$E25*$I25/12*2,IF($J25=3,$E25*$I25/12*1,0)))))+IF(DL$5&lt;&gt;$H25,0,IF(DL25&gt;0,IF($J25=1,$E25*$I25/12*0,IF($J25=2,$E25*$I25/12*1,IF($J25=3,$E25*$I25/12*2,IF($J25&gt;=4,$E25*$I25/12*3,0))))))</f>
        <v>0</v>
      </c>
      <c r="DN25" s="1807">
        <f t="shared" ref="DN25:DN27" si="125">IF($H25&lt;&gt;DQ$5,0,IF(DQ25&gt;0,IF(OR($J25=1,$J25=2,$J25=3,$J25=4),$E25*$I25/12*3,IF($J25=5,$E25*$I25/12*2,IF($J25=6,$E25*$I25/12*1,0)))))+IF(DL$5&lt;&gt;$H25,0,IF(DL25&gt;0,IF($J25=4,$E25*$I25/12*0,IF($J25=5,$E25*$I25/12*1,IF($J25=6,$E25*$I25/12*2,IF($J25&gt;=7,$E25*$I25/12*3,0))))))</f>
        <v>0</v>
      </c>
      <c r="DO25" s="1807">
        <f t="shared" ref="DO25:DO27" si="126">IF($H25&lt;&gt;DQ$5,0,IF(DQ25&gt;0,IF(OR($J25=1,$J25=2,$J25=3,$J25=4,$J25=5,$J25=6,$J25=7),$E25*$I25/12*3,IF($J25=8,$E25*$I25/12*2,IF($J25=9,$E25*$I25/12*1,0)))))+IF(DL$5&lt;&gt;$H25,0,IF(DL25&gt;0,IF($J25=7,$E25*$I25/12*0,IF($J25=8,$E25*$I25/12*1,IF($J25=9,$E25*$I25/12*2,IF($J25&gt;=10,$E25*$I25/12*3,0))))))</f>
        <v>0</v>
      </c>
      <c r="DP25" s="1806">
        <f t="shared" ref="DP25:DP27" si="127">IF($H25&lt;&gt;DQ$5,0,IF(DQ25&gt;0,IF(OR($J25=1,$J25=2,$J25=3,$J25=4,$J25=5,$J25=6,$J25=7,$J25=8,$J25=9,$J25=10),$E25*$I25/12*3,IF($J25=11,$E25*$I25/12*2,IF($J25=12,$E25*$I25/12*1,0)))))+IF(DL$5&lt;&gt;$H25,0,IF(DL25&gt;0,IF($J25=10,$E25*$I25/12*0,IF($J25=11,$E25*$I25/12*1,IF($J25=12,$E25*$I25/12*2,0)))))</f>
        <v>0</v>
      </c>
      <c r="DQ25" s="1791">
        <f t="shared" ref="DQ25:DQ27" si="128">IF(AND(DL25&lt;&gt;0,DL$5=$H25),$I25*$E25-DL25,IF(DQ$5=$H25,$I25*$E25*(12-$J25+1)/12,0))</f>
        <v>0</v>
      </c>
      <c r="DR25" s="1808">
        <f t="shared" ref="DR25:DR27" si="129">IF($H25&lt;&gt;DV$5,0,IF(DV25&gt;0,IF($J25=1,$E25*$I25/12*3,IF($J25=2,$E25*$I25/12*2,IF($J25=3,$E25*$I25/12*1,0)))))+IF(DQ$5&lt;&gt;$H25,0,IF(DQ25&gt;0,IF($J25=1,$E25*$I25/12*0,IF($J25=2,$E25*$I25/12*1,IF($J25=3,$E25*$I25/12*2,IF($J25&gt;=4,$E25*$I25/12*3,0))))))</f>
        <v>0</v>
      </c>
      <c r="DS25" s="1807">
        <f t="shared" ref="DS25:DS27" si="130">IF($H25&lt;&gt;DV$5,0,IF(DV25&gt;0,IF(OR($J25=1,$J25=2,$J25=3,$J25=4),$E25*$I25/12*3,IF($J25=5,$E25*$I25/12*2,IF($J25=6,$E25*$I25/12*1,0)))))+IF(DQ$5&lt;&gt;$H25,0,IF(DQ25&gt;0,IF($J25=4,$E25*$I25/12*0,IF($J25=5,$E25*$I25/12*1,IF($J25=6,$E25*$I25/12*2,IF($J25&gt;=7,$E25*$I25/12*3,0))))))</f>
        <v>0</v>
      </c>
      <c r="DT25" s="1807">
        <f t="shared" ref="DT25:DT27" si="131">IF($H25&lt;&gt;DV$5,0,IF(DV25&gt;0,IF(OR($J25=1,$J25=2,$J25=3,$J25=4,$J25=5,$J25=6,$J25=7),$E25*$I25/12*3,IF($J25=8,$E25*$I25/12*2,IF($J25=9,$E25*$I25/12*1,0)))))+IF(DQ$5&lt;&gt;$H25,0,IF(DQ25&gt;0,IF($J25=7,$E25*$I25/12*0,IF($J25=8,$E25*$I25/12*1,IF($J25=9,$E25*$I25/12*2,IF($J25&gt;=10,$E25*$I25/12*3,0))))))</f>
        <v>0</v>
      </c>
      <c r="DU25" s="1806">
        <f t="shared" ref="DU25:DU27" si="132">IF($H25&lt;&gt;DV$5,0,IF(DV25&gt;0,IF(OR($J25=1,$J25=2,$J25=3,$J25=4,$J25=5,$J25=6,$J25=7,$J25=8,$J25=9,$J25=10),$E25*$I25/12*3,IF($J25=11,$E25*$I25/12*2,IF($J25=12,$E25*$I25/12*1,0)))))+IF(DQ$5&lt;&gt;$H25,0,IF(DQ25&gt;0,IF($J25=10,$E25*$I25/12*0,IF($J25=11,$E25*$I25/12*1,IF($J25=12,$E25*$I25/12*2,0)))))</f>
        <v>0</v>
      </c>
      <c r="DV25" s="1791">
        <f t="shared" ref="DV25:DV27" si="133">IF(AND(DQ25&lt;&gt;0,DQ$5=$H25),$I25*$E25-DQ25,IF(DV$5=$H25,$I25*$E25*(12-$J25+1)/12,0))</f>
        <v>0</v>
      </c>
    </row>
    <row r="26" spans="1:126">
      <c r="A26" s="455"/>
      <c r="B26" s="455"/>
      <c r="C26" s="1678" t="s">
        <v>914</v>
      </c>
      <c r="D26" s="1860"/>
      <c r="E26" s="1814">
        <f>Parent!BG51</f>
        <v>700</v>
      </c>
      <c r="F26" s="1811"/>
      <c r="G26" s="1811"/>
      <c r="H26" s="1813">
        <f>+H25+1</f>
        <v>2019</v>
      </c>
      <c r="I26" s="1812">
        <v>0.05</v>
      </c>
      <c r="J26" s="1811">
        <v>7</v>
      </c>
      <c r="K26" s="1792"/>
      <c r="L26" s="1810">
        <f t="shared" si="22"/>
        <v>0</v>
      </c>
      <c r="M26" s="1791">
        <f t="shared" si="22"/>
        <v>0</v>
      </c>
      <c r="N26" s="1808">
        <f t="shared" si="23"/>
        <v>0</v>
      </c>
      <c r="O26" s="1807">
        <f t="shared" si="24"/>
        <v>0</v>
      </c>
      <c r="P26" s="1807">
        <f t="shared" si="25"/>
        <v>0</v>
      </c>
      <c r="Q26" s="1806">
        <f t="shared" si="26"/>
        <v>0</v>
      </c>
      <c r="R26" s="1791">
        <f t="shared" si="27"/>
        <v>0</v>
      </c>
      <c r="S26" s="1808">
        <f t="shared" si="28"/>
        <v>0</v>
      </c>
      <c r="T26" s="1807">
        <f t="shared" si="29"/>
        <v>0</v>
      </c>
      <c r="U26" s="1807">
        <f t="shared" si="30"/>
        <v>0</v>
      </c>
      <c r="V26" s="1806">
        <f t="shared" si="31"/>
        <v>0</v>
      </c>
      <c r="W26" s="1791">
        <f t="shared" si="32"/>
        <v>0</v>
      </c>
      <c r="X26" s="1808">
        <f t="shared" si="33"/>
        <v>0</v>
      </c>
      <c r="Y26" s="1807">
        <f t="shared" si="34"/>
        <v>0</v>
      </c>
      <c r="Z26" s="1807">
        <f t="shared" si="35"/>
        <v>0</v>
      </c>
      <c r="AA26" s="1806">
        <f t="shared" si="36"/>
        <v>0</v>
      </c>
      <c r="AB26" s="1791">
        <f t="shared" si="37"/>
        <v>0</v>
      </c>
      <c r="AC26" s="1808">
        <f t="shared" si="38"/>
        <v>0</v>
      </c>
      <c r="AD26" s="1807">
        <f t="shared" si="39"/>
        <v>0</v>
      </c>
      <c r="AE26" s="1807">
        <f t="shared" si="40"/>
        <v>0</v>
      </c>
      <c r="AF26" s="1806">
        <f t="shared" si="41"/>
        <v>0</v>
      </c>
      <c r="AG26" s="1791">
        <f t="shared" si="42"/>
        <v>0</v>
      </c>
      <c r="AH26" s="1808">
        <f t="shared" si="43"/>
        <v>0</v>
      </c>
      <c r="AI26" s="1807">
        <f t="shared" si="44"/>
        <v>0</v>
      </c>
      <c r="AJ26" s="1807">
        <f t="shared" si="45"/>
        <v>0</v>
      </c>
      <c r="AK26" s="1806">
        <f t="shared" si="46"/>
        <v>0</v>
      </c>
      <c r="AL26" s="1791">
        <f t="shared" si="47"/>
        <v>0</v>
      </c>
      <c r="AM26" s="1808">
        <f t="shared" si="48"/>
        <v>0</v>
      </c>
      <c r="AN26" s="1807">
        <f t="shared" si="49"/>
        <v>0</v>
      </c>
      <c r="AO26" s="1807">
        <f t="shared" si="50"/>
        <v>0</v>
      </c>
      <c r="AP26" s="1806">
        <f t="shared" si="51"/>
        <v>0</v>
      </c>
      <c r="AQ26" s="1791">
        <f t="shared" si="52"/>
        <v>0</v>
      </c>
      <c r="AR26" s="1808">
        <f t="shared" si="53"/>
        <v>0</v>
      </c>
      <c r="AS26" s="1807">
        <f t="shared" si="54"/>
        <v>0</v>
      </c>
      <c r="AT26" s="1807">
        <f t="shared" si="55"/>
        <v>0</v>
      </c>
      <c r="AU26" s="1806">
        <f t="shared" si="56"/>
        <v>0</v>
      </c>
      <c r="AV26" s="1791">
        <f t="shared" si="57"/>
        <v>0</v>
      </c>
      <c r="AW26" s="1808">
        <f t="shared" si="58"/>
        <v>0</v>
      </c>
      <c r="AX26" s="1807">
        <f t="shared" si="59"/>
        <v>0</v>
      </c>
      <c r="AY26" s="1807">
        <f t="shared" si="60"/>
        <v>0</v>
      </c>
      <c r="AZ26" s="1806">
        <f t="shared" si="61"/>
        <v>0</v>
      </c>
      <c r="BA26" s="1791">
        <f t="shared" si="62"/>
        <v>0</v>
      </c>
      <c r="BB26" s="1808">
        <f t="shared" si="63"/>
        <v>0</v>
      </c>
      <c r="BC26" s="1807">
        <f t="shared" si="64"/>
        <v>0</v>
      </c>
      <c r="BD26" s="1807">
        <f t="shared" si="65"/>
        <v>700</v>
      </c>
      <c r="BE26" s="1806">
        <f t="shared" si="66"/>
        <v>0</v>
      </c>
      <c r="BF26" s="1791">
        <f t="shared" si="67"/>
        <v>700</v>
      </c>
      <c r="BG26" s="1808">
        <f t="shared" si="68"/>
        <v>0</v>
      </c>
      <c r="BH26" s="1807">
        <f t="shared" si="69"/>
        <v>0</v>
      </c>
      <c r="BI26" s="1807">
        <f t="shared" si="70"/>
        <v>0</v>
      </c>
      <c r="BJ26" s="1806">
        <f t="shared" si="71"/>
        <v>0</v>
      </c>
      <c r="BK26" s="1791">
        <f t="shared" si="72"/>
        <v>0</v>
      </c>
      <c r="BL26" s="1808">
        <f t="shared" si="73"/>
        <v>0</v>
      </c>
      <c r="BM26" s="1807">
        <f t="shared" si="74"/>
        <v>0</v>
      </c>
      <c r="BN26" s="1807">
        <f t="shared" si="75"/>
        <v>0</v>
      </c>
      <c r="BO26" s="1806">
        <f t="shared" si="76"/>
        <v>0</v>
      </c>
      <c r="BP26" s="1791">
        <f t="shared" si="77"/>
        <v>0</v>
      </c>
      <c r="BQ26" s="1809"/>
      <c r="BR26" s="1991">
        <f t="shared" si="78"/>
        <v>0</v>
      </c>
      <c r="BS26" s="1991">
        <f t="shared" si="78"/>
        <v>0</v>
      </c>
      <c r="BT26" s="1992">
        <f t="shared" si="79"/>
        <v>0</v>
      </c>
      <c r="BU26" s="1992">
        <f t="shared" si="80"/>
        <v>0</v>
      </c>
      <c r="BV26" s="1992">
        <f t="shared" si="81"/>
        <v>0</v>
      </c>
      <c r="BW26" s="1992">
        <f t="shared" si="82"/>
        <v>0</v>
      </c>
      <c r="BX26" s="1810">
        <f t="shared" si="83"/>
        <v>0</v>
      </c>
      <c r="BY26" s="1807">
        <f t="shared" si="84"/>
        <v>0</v>
      </c>
      <c r="BZ26" s="1807">
        <f t="shared" si="85"/>
        <v>0</v>
      </c>
      <c r="CA26" s="1807">
        <f t="shared" si="86"/>
        <v>0</v>
      </c>
      <c r="CB26" s="1806">
        <f t="shared" si="87"/>
        <v>0</v>
      </c>
      <c r="CC26" s="1791">
        <f t="shared" si="88"/>
        <v>0</v>
      </c>
      <c r="CD26" s="1808">
        <f t="shared" si="89"/>
        <v>0</v>
      </c>
      <c r="CE26" s="1807">
        <f t="shared" si="90"/>
        <v>0</v>
      </c>
      <c r="CF26" s="1807">
        <f t="shared" si="91"/>
        <v>0</v>
      </c>
      <c r="CG26" s="1806">
        <f t="shared" si="92"/>
        <v>0</v>
      </c>
      <c r="CH26" s="1791">
        <f t="shared" si="93"/>
        <v>0</v>
      </c>
      <c r="CI26" s="1808">
        <f t="shared" si="94"/>
        <v>0</v>
      </c>
      <c r="CJ26" s="1807">
        <f t="shared" si="95"/>
        <v>0</v>
      </c>
      <c r="CK26" s="1807">
        <f t="shared" si="96"/>
        <v>0</v>
      </c>
      <c r="CL26" s="1806">
        <f t="shared" si="97"/>
        <v>0</v>
      </c>
      <c r="CM26" s="1791">
        <f t="shared" si="98"/>
        <v>0</v>
      </c>
      <c r="CN26" s="1808">
        <f t="shared" si="99"/>
        <v>0</v>
      </c>
      <c r="CO26" s="1807">
        <f t="shared" si="100"/>
        <v>0</v>
      </c>
      <c r="CP26" s="1807">
        <f t="shared" si="101"/>
        <v>0</v>
      </c>
      <c r="CQ26" s="1806">
        <f t="shared" si="102"/>
        <v>0</v>
      </c>
      <c r="CR26" s="1791">
        <f t="shared" si="103"/>
        <v>0</v>
      </c>
      <c r="CS26" s="1808">
        <f t="shared" si="104"/>
        <v>0</v>
      </c>
      <c r="CT26" s="1807">
        <f t="shared" si="105"/>
        <v>0</v>
      </c>
      <c r="CU26" s="1807">
        <f t="shared" si="106"/>
        <v>0</v>
      </c>
      <c r="CV26" s="1806">
        <f t="shared" si="107"/>
        <v>0</v>
      </c>
      <c r="CW26" s="1791">
        <f t="shared" si="108"/>
        <v>0</v>
      </c>
      <c r="CX26" s="1808">
        <f t="shared" si="109"/>
        <v>0</v>
      </c>
      <c r="CY26" s="1807">
        <f t="shared" si="110"/>
        <v>0</v>
      </c>
      <c r="CZ26" s="1807">
        <f t="shared" si="111"/>
        <v>0</v>
      </c>
      <c r="DA26" s="1806">
        <f t="shared" si="112"/>
        <v>0</v>
      </c>
      <c r="DB26" s="1791">
        <f t="shared" si="113"/>
        <v>0</v>
      </c>
      <c r="DC26" s="1808">
        <f t="shared" si="114"/>
        <v>0</v>
      </c>
      <c r="DD26" s="1807">
        <f t="shared" si="115"/>
        <v>0</v>
      </c>
      <c r="DE26" s="1807">
        <f t="shared" si="116"/>
        <v>0</v>
      </c>
      <c r="DF26" s="1806">
        <f t="shared" si="117"/>
        <v>0</v>
      </c>
      <c r="DG26" s="1791">
        <f t="shared" si="118"/>
        <v>0</v>
      </c>
      <c r="DH26" s="1808">
        <f t="shared" si="119"/>
        <v>0</v>
      </c>
      <c r="DI26" s="1807">
        <f t="shared" si="120"/>
        <v>0</v>
      </c>
      <c r="DJ26" s="1807">
        <f t="shared" si="121"/>
        <v>8.75</v>
      </c>
      <c r="DK26" s="1806">
        <f t="shared" si="122"/>
        <v>8.75</v>
      </c>
      <c r="DL26" s="1791">
        <f t="shared" si="123"/>
        <v>17.5</v>
      </c>
      <c r="DM26" s="1808">
        <f t="shared" si="124"/>
        <v>8.75</v>
      </c>
      <c r="DN26" s="1807">
        <f t="shared" si="125"/>
        <v>8.75</v>
      </c>
      <c r="DO26" s="1807">
        <f t="shared" si="126"/>
        <v>0</v>
      </c>
      <c r="DP26" s="1806">
        <f t="shared" si="127"/>
        <v>0</v>
      </c>
      <c r="DQ26" s="1791">
        <f t="shared" si="128"/>
        <v>17.5</v>
      </c>
      <c r="DR26" s="1808">
        <f t="shared" si="129"/>
        <v>0</v>
      </c>
      <c r="DS26" s="1807">
        <f t="shared" si="130"/>
        <v>0</v>
      </c>
      <c r="DT26" s="1807">
        <f t="shared" si="131"/>
        <v>0</v>
      </c>
      <c r="DU26" s="1806">
        <f t="shared" si="132"/>
        <v>0</v>
      </c>
      <c r="DV26" s="1791">
        <f t="shared" si="133"/>
        <v>0</v>
      </c>
    </row>
    <row r="27" spans="1:126">
      <c r="A27" s="455"/>
      <c r="B27" s="455"/>
      <c r="C27" s="1678" t="s">
        <v>915</v>
      </c>
      <c r="D27" s="1860"/>
      <c r="E27" s="1814">
        <f>Parent!BL51</f>
        <v>600</v>
      </c>
      <c r="F27" s="1811"/>
      <c r="G27" s="1811"/>
      <c r="H27" s="1813">
        <f>+H26+1</f>
        <v>2020</v>
      </c>
      <c r="I27" s="1812">
        <v>0.05</v>
      </c>
      <c r="J27" s="1811">
        <v>7</v>
      </c>
      <c r="K27" s="1792"/>
      <c r="L27" s="1810">
        <f t="shared" si="22"/>
        <v>0</v>
      </c>
      <c r="M27" s="1791">
        <f t="shared" si="22"/>
        <v>0</v>
      </c>
      <c r="N27" s="1808">
        <f t="shared" si="23"/>
        <v>0</v>
      </c>
      <c r="O27" s="1807">
        <f t="shared" si="24"/>
        <v>0</v>
      </c>
      <c r="P27" s="1807">
        <f t="shared" si="25"/>
        <v>0</v>
      </c>
      <c r="Q27" s="1806">
        <f t="shared" si="26"/>
        <v>0</v>
      </c>
      <c r="R27" s="1791">
        <f t="shared" si="27"/>
        <v>0</v>
      </c>
      <c r="S27" s="1808">
        <f t="shared" si="28"/>
        <v>0</v>
      </c>
      <c r="T27" s="1807">
        <f t="shared" si="29"/>
        <v>0</v>
      </c>
      <c r="U27" s="1807">
        <f t="shared" si="30"/>
        <v>0</v>
      </c>
      <c r="V27" s="1806">
        <f t="shared" si="31"/>
        <v>0</v>
      </c>
      <c r="W27" s="1791">
        <f t="shared" si="32"/>
        <v>0</v>
      </c>
      <c r="X27" s="1808">
        <f t="shared" si="33"/>
        <v>0</v>
      </c>
      <c r="Y27" s="1807">
        <f t="shared" si="34"/>
        <v>0</v>
      </c>
      <c r="Z27" s="1807">
        <f t="shared" si="35"/>
        <v>0</v>
      </c>
      <c r="AA27" s="1806">
        <f t="shared" si="36"/>
        <v>0</v>
      </c>
      <c r="AB27" s="1791">
        <f t="shared" si="37"/>
        <v>0</v>
      </c>
      <c r="AC27" s="1808">
        <f t="shared" si="38"/>
        <v>0</v>
      </c>
      <c r="AD27" s="1807">
        <f t="shared" si="39"/>
        <v>0</v>
      </c>
      <c r="AE27" s="1807">
        <f t="shared" si="40"/>
        <v>0</v>
      </c>
      <c r="AF27" s="1806">
        <f t="shared" si="41"/>
        <v>0</v>
      </c>
      <c r="AG27" s="1791">
        <f t="shared" si="42"/>
        <v>0</v>
      </c>
      <c r="AH27" s="1808">
        <f t="shared" si="43"/>
        <v>0</v>
      </c>
      <c r="AI27" s="1807">
        <f t="shared" si="44"/>
        <v>0</v>
      </c>
      <c r="AJ27" s="1807">
        <f t="shared" si="45"/>
        <v>0</v>
      </c>
      <c r="AK27" s="1806">
        <f t="shared" si="46"/>
        <v>0</v>
      </c>
      <c r="AL27" s="1791">
        <f t="shared" si="47"/>
        <v>0</v>
      </c>
      <c r="AM27" s="1808">
        <f t="shared" si="48"/>
        <v>0</v>
      </c>
      <c r="AN27" s="1807">
        <f t="shared" si="49"/>
        <v>0</v>
      </c>
      <c r="AO27" s="1807">
        <f t="shared" si="50"/>
        <v>0</v>
      </c>
      <c r="AP27" s="1806">
        <f t="shared" si="51"/>
        <v>0</v>
      </c>
      <c r="AQ27" s="1791">
        <f t="shared" si="52"/>
        <v>0</v>
      </c>
      <c r="AR27" s="1808">
        <f t="shared" si="53"/>
        <v>0</v>
      </c>
      <c r="AS27" s="1807">
        <f t="shared" si="54"/>
        <v>0</v>
      </c>
      <c r="AT27" s="1807">
        <f t="shared" si="55"/>
        <v>0</v>
      </c>
      <c r="AU27" s="1806">
        <f t="shared" si="56"/>
        <v>0</v>
      </c>
      <c r="AV27" s="1791">
        <f t="shared" si="57"/>
        <v>0</v>
      </c>
      <c r="AW27" s="1808">
        <f t="shared" si="58"/>
        <v>0</v>
      </c>
      <c r="AX27" s="1807">
        <f t="shared" si="59"/>
        <v>0</v>
      </c>
      <c r="AY27" s="1807">
        <f t="shared" si="60"/>
        <v>0</v>
      </c>
      <c r="AZ27" s="1806">
        <f t="shared" si="61"/>
        <v>0</v>
      </c>
      <c r="BA27" s="1791">
        <f t="shared" si="62"/>
        <v>0</v>
      </c>
      <c r="BB27" s="1808">
        <f t="shared" si="63"/>
        <v>0</v>
      </c>
      <c r="BC27" s="1807">
        <f t="shared" si="64"/>
        <v>0</v>
      </c>
      <c r="BD27" s="1807">
        <f t="shared" si="65"/>
        <v>0</v>
      </c>
      <c r="BE27" s="1806">
        <f t="shared" si="66"/>
        <v>0</v>
      </c>
      <c r="BF27" s="1791">
        <f t="shared" si="67"/>
        <v>0</v>
      </c>
      <c r="BG27" s="1808">
        <f t="shared" si="68"/>
        <v>0</v>
      </c>
      <c r="BH27" s="1807">
        <f t="shared" si="69"/>
        <v>0</v>
      </c>
      <c r="BI27" s="1807">
        <f t="shared" si="70"/>
        <v>600</v>
      </c>
      <c r="BJ27" s="1806">
        <f t="shared" si="71"/>
        <v>0</v>
      </c>
      <c r="BK27" s="1791">
        <f t="shared" si="72"/>
        <v>600</v>
      </c>
      <c r="BL27" s="1808">
        <f t="shared" si="73"/>
        <v>0</v>
      </c>
      <c r="BM27" s="1807">
        <f t="shared" si="74"/>
        <v>0</v>
      </c>
      <c r="BN27" s="1807">
        <f t="shared" si="75"/>
        <v>0</v>
      </c>
      <c r="BO27" s="1806">
        <f t="shared" si="76"/>
        <v>0</v>
      </c>
      <c r="BP27" s="1791">
        <f t="shared" si="77"/>
        <v>0</v>
      </c>
      <c r="BQ27" s="1809"/>
      <c r="BR27" s="1991">
        <f t="shared" si="78"/>
        <v>0</v>
      </c>
      <c r="BS27" s="1991">
        <f t="shared" si="78"/>
        <v>0</v>
      </c>
      <c r="BT27" s="1992">
        <f t="shared" si="79"/>
        <v>0</v>
      </c>
      <c r="BU27" s="1992">
        <f t="shared" si="80"/>
        <v>0</v>
      </c>
      <c r="BV27" s="1992">
        <f t="shared" si="81"/>
        <v>0</v>
      </c>
      <c r="BW27" s="1992">
        <f t="shared" si="82"/>
        <v>0</v>
      </c>
      <c r="BX27" s="1810">
        <f t="shared" si="83"/>
        <v>0</v>
      </c>
      <c r="BY27" s="1807">
        <f t="shared" si="84"/>
        <v>0</v>
      </c>
      <c r="BZ27" s="1807">
        <f t="shared" si="85"/>
        <v>0</v>
      </c>
      <c r="CA27" s="1807">
        <f t="shared" si="86"/>
        <v>0</v>
      </c>
      <c r="CB27" s="1806">
        <f t="shared" si="87"/>
        <v>0</v>
      </c>
      <c r="CC27" s="1791">
        <f t="shared" si="88"/>
        <v>0</v>
      </c>
      <c r="CD27" s="1808">
        <f t="shared" si="89"/>
        <v>0</v>
      </c>
      <c r="CE27" s="1807">
        <f t="shared" si="90"/>
        <v>0</v>
      </c>
      <c r="CF27" s="1807">
        <f t="shared" si="91"/>
        <v>0</v>
      </c>
      <c r="CG27" s="1806">
        <f t="shared" si="92"/>
        <v>0</v>
      </c>
      <c r="CH27" s="1791">
        <f t="shared" si="93"/>
        <v>0</v>
      </c>
      <c r="CI27" s="1808">
        <f t="shared" si="94"/>
        <v>0</v>
      </c>
      <c r="CJ27" s="1807">
        <f t="shared" si="95"/>
        <v>0</v>
      </c>
      <c r="CK27" s="1807">
        <f t="shared" si="96"/>
        <v>0</v>
      </c>
      <c r="CL27" s="1806">
        <f t="shared" si="97"/>
        <v>0</v>
      </c>
      <c r="CM27" s="1791">
        <f t="shared" si="98"/>
        <v>0</v>
      </c>
      <c r="CN27" s="1808">
        <f t="shared" si="99"/>
        <v>0</v>
      </c>
      <c r="CO27" s="1807">
        <f t="shared" si="100"/>
        <v>0</v>
      </c>
      <c r="CP27" s="1807">
        <f t="shared" si="101"/>
        <v>0</v>
      </c>
      <c r="CQ27" s="1806">
        <f t="shared" si="102"/>
        <v>0</v>
      </c>
      <c r="CR27" s="1791">
        <f t="shared" si="103"/>
        <v>0</v>
      </c>
      <c r="CS27" s="1808">
        <f t="shared" si="104"/>
        <v>0</v>
      </c>
      <c r="CT27" s="1807">
        <f t="shared" si="105"/>
        <v>0</v>
      </c>
      <c r="CU27" s="1807">
        <f t="shared" si="106"/>
        <v>0</v>
      </c>
      <c r="CV27" s="1806">
        <f t="shared" si="107"/>
        <v>0</v>
      </c>
      <c r="CW27" s="1791">
        <f t="shared" si="108"/>
        <v>0</v>
      </c>
      <c r="CX27" s="1808">
        <f t="shared" si="109"/>
        <v>0</v>
      </c>
      <c r="CY27" s="1807">
        <f t="shared" si="110"/>
        <v>0</v>
      </c>
      <c r="CZ27" s="1807">
        <f t="shared" si="111"/>
        <v>0</v>
      </c>
      <c r="DA27" s="1806">
        <f t="shared" si="112"/>
        <v>0</v>
      </c>
      <c r="DB27" s="1791">
        <f t="shared" si="113"/>
        <v>0</v>
      </c>
      <c r="DC27" s="1808">
        <f t="shared" si="114"/>
        <v>0</v>
      </c>
      <c r="DD27" s="1807">
        <f t="shared" si="115"/>
        <v>0</v>
      </c>
      <c r="DE27" s="1807">
        <f t="shared" si="116"/>
        <v>0</v>
      </c>
      <c r="DF27" s="1806">
        <f t="shared" si="117"/>
        <v>0</v>
      </c>
      <c r="DG27" s="1791">
        <f t="shared" si="118"/>
        <v>0</v>
      </c>
      <c r="DH27" s="1808">
        <f t="shared" si="119"/>
        <v>0</v>
      </c>
      <c r="DI27" s="1807">
        <f t="shared" si="120"/>
        <v>0</v>
      </c>
      <c r="DJ27" s="1807">
        <f t="shared" si="121"/>
        <v>0</v>
      </c>
      <c r="DK27" s="1806">
        <f t="shared" si="122"/>
        <v>0</v>
      </c>
      <c r="DL27" s="1791">
        <f t="shared" si="123"/>
        <v>0</v>
      </c>
      <c r="DM27" s="1808">
        <f t="shared" si="124"/>
        <v>0</v>
      </c>
      <c r="DN27" s="1807">
        <f t="shared" si="125"/>
        <v>0</v>
      </c>
      <c r="DO27" s="1807">
        <f t="shared" si="126"/>
        <v>7.5</v>
      </c>
      <c r="DP27" s="1806">
        <f t="shared" si="127"/>
        <v>7.5</v>
      </c>
      <c r="DQ27" s="1791">
        <f t="shared" si="128"/>
        <v>15</v>
      </c>
      <c r="DR27" s="1808">
        <f t="shared" si="129"/>
        <v>7.5</v>
      </c>
      <c r="DS27" s="1807">
        <f t="shared" si="130"/>
        <v>7.5</v>
      </c>
      <c r="DT27" s="1807">
        <f t="shared" si="131"/>
        <v>0</v>
      </c>
      <c r="DU27" s="1806">
        <f t="shared" si="132"/>
        <v>0</v>
      </c>
      <c r="DV27" s="1791">
        <f t="shared" si="133"/>
        <v>15</v>
      </c>
    </row>
    <row r="28" spans="1:126">
      <c r="A28" s="455"/>
      <c r="B28" s="455"/>
      <c r="C28" s="1678" t="s">
        <v>999</v>
      </c>
      <c r="D28" s="1860"/>
      <c r="E28" s="1814">
        <f>Parent!BQ51</f>
        <v>200</v>
      </c>
      <c r="F28" s="1811"/>
      <c r="G28" s="1811"/>
      <c r="H28" s="1813">
        <f>+H27+1</f>
        <v>2021</v>
      </c>
      <c r="I28" s="1812">
        <v>0.05</v>
      </c>
      <c r="J28" s="1811">
        <v>7</v>
      </c>
      <c r="K28" s="1792"/>
      <c r="L28" s="1810">
        <f t="shared" si="22"/>
        <v>0</v>
      </c>
      <c r="M28" s="1791">
        <f t="shared" si="22"/>
        <v>0</v>
      </c>
      <c r="N28" s="1808">
        <f t="shared" ref="N28" si="134">IF(R28=0,0,IF(R28&gt;0,IF($J28=3,R28,IF($J28=2,R28,IF($J28=1,R28,0)))))</f>
        <v>0</v>
      </c>
      <c r="O28" s="1807">
        <f t="shared" ref="O28" si="135">IF(R28=0,0,IF(R28&gt;0,IF($J28=6,R28,IF($J28=5,R28,IF($J28=4,R28,0)))))</f>
        <v>0</v>
      </c>
      <c r="P28" s="1807">
        <f t="shared" ref="P28" si="136">IF(R28=0,0,IF(R28&gt;0,IF($J28=9,R28,IF($J28=8,R28,IF($J28=7,R28,0)))))</f>
        <v>0</v>
      </c>
      <c r="Q28" s="1806">
        <f t="shared" ref="Q28" si="137">IF(R28=0,0,IF(R28&gt;0,IF($J28=12,R28,IF($J28=11,R28,IF($J28=10,R28,0)))))</f>
        <v>0</v>
      </c>
      <c r="R28" s="1791">
        <f t="shared" si="27"/>
        <v>0</v>
      </c>
      <c r="S28" s="1808">
        <f t="shared" ref="S28" si="138">IF(W28=0,0,IF(W28&gt;0,IF($J28=3,W28,IF($J28=2,W28,IF($J28=1,W28,0)))))</f>
        <v>0</v>
      </c>
      <c r="T28" s="1807">
        <f t="shared" ref="T28" si="139">IF(W28=0,0,IF(W28&gt;0,IF($J28=6,W28,IF($J28=5,W28,IF($J28=4,W28,0)))))</f>
        <v>0</v>
      </c>
      <c r="U28" s="1807">
        <f t="shared" ref="U28" si="140">IF(W28=0,0,IF(W28&gt;0,IF($J28=9,W28,IF($J28=8,W28,IF($J28=7,W28,0)))))</f>
        <v>0</v>
      </c>
      <c r="V28" s="1806">
        <f t="shared" ref="V28" si="141">IF(W28=0,0,IF(W28&gt;0,IF($J28=12,W28,IF($J28=11,W28,IF($J28=10,W28,0)))))</f>
        <v>0</v>
      </c>
      <c r="W28" s="1791">
        <f t="shared" si="32"/>
        <v>0</v>
      </c>
      <c r="X28" s="1808">
        <f t="shared" ref="X28" si="142">IF(AB28=0,0,IF(AB28&gt;0,IF($J28=3,AB28,IF($J28=2,AB28,IF($J28=1,AB28,0)))))</f>
        <v>0</v>
      </c>
      <c r="Y28" s="1807">
        <f t="shared" ref="Y28" si="143">IF(AB28=0,0,IF(AB28&gt;0,IF($J28=6,AB28,IF($J28=5,AB28,IF($J28=4,AB28,0)))))</f>
        <v>0</v>
      </c>
      <c r="Z28" s="1807">
        <f t="shared" ref="Z28" si="144">IF(AB28=0,0,IF(AB28&gt;0,IF($J28=9,AB28,IF($J28=8,AB28,IF($J28=7,AB28,0)))))</f>
        <v>0</v>
      </c>
      <c r="AA28" s="1806">
        <f t="shared" ref="AA28" si="145">IF(AB28=0,0,IF(AB28&gt;0,IF($J28=12,AB28,IF($J28=11,AB28,IF($J28=10,AB28,0)))))</f>
        <v>0</v>
      </c>
      <c r="AB28" s="1791">
        <f t="shared" si="37"/>
        <v>0</v>
      </c>
      <c r="AC28" s="1808">
        <f t="shared" ref="AC28" si="146">IF(AG28=0,0,IF(AG28&gt;0,IF($J28=3,AG28,IF($J28=2,AG28,IF($J28=1,AG28,0)))))</f>
        <v>0</v>
      </c>
      <c r="AD28" s="1807">
        <f t="shared" ref="AD28" si="147">IF(AG28=0,0,IF(AG28&gt;0,IF($J28=6,AG28,IF($J28=5,AG28,IF($J28=4,AG28,0)))))</f>
        <v>0</v>
      </c>
      <c r="AE28" s="1807">
        <f t="shared" ref="AE28" si="148">IF(AG28=0,0,IF(AG28&gt;0,IF($J28=9,AG28,IF($J28=8,AG28,IF($J28=7,AG28,0)))))</f>
        <v>0</v>
      </c>
      <c r="AF28" s="1806">
        <f t="shared" ref="AF28" si="149">IF(AG28=0,0,IF(AG28&gt;0,IF($J28=12,AG28,IF($J28=11,AG28,IF($J28=10,AG28,0)))))</f>
        <v>0</v>
      </c>
      <c r="AG28" s="1791">
        <f t="shared" si="42"/>
        <v>0</v>
      </c>
      <c r="AH28" s="1808">
        <f t="shared" ref="AH28" si="150">IF(AL28=0,0,IF(AL28&gt;0,IF($J28=3,AL28,IF($J28=2,AL28,IF($J28=1,AL28,0)))))</f>
        <v>0</v>
      </c>
      <c r="AI28" s="1807">
        <f t="shared" ref="AI28" si="151">IF(AL28=0,0,IF(AL28&gt;0,IF($J28=6,AL28,IF($J28=5,AL28,IF($J28=4,AL28,0)))))</f>
        <v>0</v>
      </c>
      <c r="AJ28" s="1807">
        <f t="shared" ref="AJ28" si="152">IF(AL28=0,0,IF(AL28&gt;0,IF($J28=9,AL28,IF($J28=8,AL28,IF($J28=7,AL28,0)))))</f>
        <v>0</v>
      </c>
      <c r="AK28" s="1806">
        <f t="shared" ref="AK28" si="153">IF(AL28=0,0,IF(AL28&gt;0,IF($J28=12,AL28,IF($J28=11,AL28,IF($J28=10,AL28,0)))))</f>
        <v>0</v>
      </c>
      <c r="AL28" s="1791">
        <f t="shared" si="47"/>
        <v>0</v>
      </c>
      <c r="AM28" s="1808">
        <f t="shared" ref="AM28" si="154">IF(AQ28=0,0,IF(AQ28&gt;0,IF($J28=3,AQ28,IF($J28=2,AQ28,IF($J28=1,AQ28,0)))))</f>
        <v>0</v>
      </c>
      <c r="AN28" s="1807">
        <f t="shared" ref="AN28" si="155">IF(AQ28=0,0,IF(AQ28&gt;0,IF($J28=6,AQ28,IF($J28=5,AQ28,IF($J28=4,AQ28,0)))))</f>
        <v>0</v>
      </c>
      <c r="AO28" s="1807">
        <f t="shared" ref="AO28" si="156">IF(AQ28=0,0,IF(AQ28&gt;0,IF($J28=9,AQ28,IF($J28=8,AQ28,IF($J28=7,AQ28,0)))))</f>
        <v>0</v>
      </c>
      <c r="AP28" s="1806">
        <f t="shared" ref="AP28" si="157">IF(AQ28=0,0,IF(AQ28&gt;0,IF($J28=12,AQ28,IF($J28=11,AQ28,IF($J28=10,AQ28,0)))))</f>
        <v>0</v>
      </c>
      <c r="AQ28" s="1791">
        <f t="shared" si="52"/>
        <v>0</v>
      </c>
      <c r="AR28" s="1808">
        <f t="shared" ref="AR28" si="158">IF(AV28=0,0,IF(AV28&gt;0,IF($J28=3,AV28,IF($J28=2,AV28,IF($J28=1,AV28,0)))))</f>
        <v>0</v>
      </c>
      <c r="AS28" s="1807">
        <f t="shared" si="54"/>
        <v>0</v>
      </c>
      <c r="AT28" s="1807">
        <f t="shared" ref="AT28" si="159">IF(AV28=0,0,IF(AV28&gt;0,IF($J28=9,AV28,IF($J28=8,AV28,IF($J28=7,AV28,0)))))</f>
        <v>0</v>
      </c>
      <c r="AU28" s="1806">
        <f t="shared" ref="AU28" si="160">IF(AV28=0,0,IF(AV28&gt;0,IF($J28=12,AV28,IF($J28=11,AV28,IF($J28=10,AV28,0)))))</f>
        <v>0</v>
      </c>
      <c r="AV28" s="1791">
        <f t="shared" si="57"/>
        <v>0</v>
      </c>
      <c r="AW28" s="1808">
        <f t="shared" ref="AW28" si="161">IF(BA28=0,0,IF(BA28&gt;0,IF($J28=3,BA28,IF($J28=2,BA28,IF($J28=1,BA28,0)))))</f>
        <v>0</v>
      </c>
      <c r="AX28" s="1807">
        <f t="shared" ref="AX28" si="162">IF(BA28=0,0,IF(BA28&gt;0,IF($J28=6,BA28,IF($J28=5,BA28,IF($J28=4,BA28,0)))))</f>
        <v>0</v>
      </c>
      <c r="AY28" s="1807">
        <f t="shared" ref="AY28" si="163">IF(BA28=0,0,IF(BA28&gt;0,IF($J28=9,BA28,IF($J28=8,BA28,IF($J28=7,BA28,0)))))</f>
        <v>0</v>
      </c>
      <c r="AZ28" s="1806">
        <f t="shared" ref="AZ28" si="164">IF(BA28=0,0,IF(BA28&gt;0,IF($J28=12,BA28,IF($J28=11,BA28,IF($J28=10,BA28,0)))))</f>
        <v>0</v>
      </c>
      <c r="BA28" s="1791">
        <f t="shared" si="62"/>
        <v>0</v>
      </c>
      <c r="BB28" s="1808">
        <f t="shared" ref="BB28" si="165">IF(BF28=0,0,IF(BF28&gt;0,IF($J28=3,BF28,IF($J28=2,BF28,IF($J28=1,BF28,0)))))</f>
        <v>0</v>
      </c>
      <c r="BC28" s="1807">
        <f t="shared" ref="BC28" si="166">IF(BF28=0,0,IF(BF28&gt;0,IF($J28=6,BF28,IF($J28=5,BF28,IF($J28=4,BF28,0)))))</f>
        <v>0</v>
      </c>
      <c r="BD28" s="1807">
        <f t="shared" ref="BD28" si="167">IF(BF28=0,0,IF(BF28&gt;0,IF($J28=9,BF28,IF($J28=8,BF28,IF($J28=7,BF28,0)))))</f>
        <v>0</v>
      </c>
      <c r="BE28" s="1806">
        <f t="shared" ref="BE28" si="168">IF(BF28=0,0,IF(BF28&gt;0,IF($J28=12,BF28,IF($J28=11,BF28,IF($J28=10,BF28,0)))))</f>
        <v>0</v>
      </c>
      <c r="BF28" s="1791">
        <f t="shared" si="67"/>
        <v>0</v>
      </c>
      <c r="BG28" s="1808">
        <f t="shared" ref="BG28" si="169">IF(BK28=0,0,IF(BK28&gt;0,IF($J28=3,BK28,IF($J28=2,BK28,IF($J28=1,BK28,0)))))</f>
        <v>0</v>
      </c>
      <c r="BH28" s="1807">
        <f t="shared" ref="BH28" si="170">IF(BK28=0,0,IF(BK28&gt;0,IF($J28=6,BK28,IF($J28=5,BK28,IF($J28=4,BK28,0)))))</f>
        <v>0</v>
      </c>
      <c r="BI28" s="1807">
        <f t="shared" ref="BI28" si="171">IF(BK28=0,0,IF(BK28&gt;0,IF($J28=9,BK28,IF($J28=8,BK28,IF($J28=7,BK28,0)))))</f>
        <v>0</v>
      </c>
      <c r="BJ28" s="1806">
        <f t="shared" ref="BJ28" si="172">IF(BK28=0,0,IF(BK28&gt;0,IF($J28=12,BK28,IF($J28=11,BK28,IF($J28=10,BK28,0)))))</f>
        <v>0</v>
      </c>
      <c r="BK28" s="1791">
        <f t="shared" si="72"/>
        <v>0</v>
      </c>
      <c r="BL28" s="1808">
        <f t="shared" ref="BL28" si="173">IF(BP28=0,0,IF(BP28&gt;0,IF($J28=3,BP28,IF($J28=2,BP28,IF($J28=1,BP28,0)))))</f>
        <v>0</v>
      </c>
      <c r="BM28" s="1807">
        <f t="shared" ref="BM28" si="174">IF(BP28=0,0,IF(BP28&gt;0,IF($J28=6,BP28,IF($J28=5,BP28,IF($J28=4,BP28,0)))))</f>
        <v>0</v>
      </c>
      <c r="BN28" s="1807">
        <f t="shared" ref="BN28" si="175">IF(BP28=0,0,IF(BP28&gt;0,IF($J28=9,BP28,IF($J28=8,BP28,IF($J28=7,BP28,0)))))</f>
        <v>200</v>
      </c>
      <c r="BO28" s="1806">
        <f t="shared" ref="BO28" si="176">IF(BP28=0,0,IF(BP28&gt;0,IF($J28=12,BP28,IF($J28=11,BP28,IF($J28=10,BP28,0)))))</f>
        <v>0</v>
      </c>
      <c r="BP28" s="1791">
        <f t="shared" si="77"/>
        <v>200</v>
      </c>
      <c r="BQ28" s="1809"/>
      <c r="BR28" s="1991">
        <f t="shared" ref="BR28" si="177">IF(AND(BQ28&lt;&gt;0,BQ$5=$H28),$I28*$E28-BQ28,IF(BR$5=$H28,$I28*$E28*(12-$J28+1)/12,0))</f>
        <v>0</v>
      </c>
      <c r="BS28" s="1991">
        <f t="shared" ref="BS28" si="178">IF(AND(BR28&lt;&gt;0,BR$5=$H28),$I28*$E28-BR28,IF(BS$5=$H28,$I28*$E28*(12-$J28+1)/12,0))</f>
        <v>0</v>
      </c>
      <c r="BT28" s="1992">
        <f t="shared" ref="BT28" si="179">IF($H28&lt;&gt;BX$5,0,IF(BX28&gt;0,IF($J28=1,$E28*$I28/12*3,IF($J28=2,$E28*$I28/12*2,IF($J28=3,$E28*$I28/12*1,0)))))+IF(BS$5&lt;&gt;$H28,0,IF(BS28&gt;0,IF($J28=1,$E28*$I28/12*0,IF($J28=2,$E28*$I28/12*1,IF($J28=3,$E28*$I28/12*2,IF($J28&gt;=4,$E28*$I28/12*3,0))))))</f>
        <v>0</v>
      </c>
      <c r="BU28" s="1992">
        <f t="shared" ref="BU28" si="180">IF($H28&lt;&gt;BX$5,0,IF(BX28&gt;0,IF(OR($J28=1,$J28=2,$J28=3,$J28=4),$E28*$I28/12*3,IF($J28=5,$E28*$I28/12*2,IF($J28=6,$E28*$I28/12*1,0)))))+IF(BS$5&lt;&gt;$H28,0,IF(BS28&gt;0,IF($J28=4,$E28*$I28/12*0,IF($J28=5,$E28*$I28/12*1,IF($J28=6,$E28*$I28/12*2,IF($J28&gt;=7,$E28*$I28/12*3,0))))))</f>
        <v>0</v>
      </c>
      <c r="BV28" s="1992">
        <f t="shared" ref="BV28" si="181">IF($H28&lt;&gt;BX$5,0,IF(BX28&gt;0,IF(OR($J28=1,$J28=2,$J28=3,$J28=4,$J28=5,$J28=6,$J28=7),$E28*$I28/12*3,IF($J28=8,$E28*$I28/12*2,IF($J28=9,$E28*$I28/12*1,0)))))+IF(BS$5&lt;&gt;$H28,0,IF(BS28&gt;0,IF($J28=7,$E28*$I28/12*0,IF($J28=8,$E28*$I28/12*1,IF($J28=9,$E28*$I28/12*2,IF($J28&gt;=10,$E28*$I28/12*3,0))))))</f>
        <v>0</v>
      </c>
      <c r="BW28" s="1992">
        <f t="shared" ref="BW28" si="182">IF($H28&lt;&gt;BX$5,0,IF(BX28&gt;0,IF(OR($J28=1,$J28=2,$J28=3,$J28=4,$J28=5,$J28=6,$J28=7,$J28=8,$J28=9,$J28=10),$E28*$I28/12*3,IF($J28=11,$E28*$I28/12*2,IF($J28=12,$E28*$I28/12*1,0)))))+IF(BS$5&lt;&gt;$H28,0,IF(BS28&gt;0,IF($J28=10,$E28*$I28/12*0,IF($J28=11,$E28*$I28/12*1,IF($J28=12,$E28*$I28/12*2,0)))))</f>
        <v>0</v>
      </c>
      <c r="BX28" s="1810">
        <f t="shared" ref="BX28" si="183">IF(AND(BS28&lt;&gt;0,BS$5=$H28),$I28*$E28-BS28,IF(BX$5=$H28,$I28*$E28*(12-$J28+1)/12,0))</f>
        <v>0</v>
      </c>
      <c r="BY28" s="1807">
        <f t="shared" ref="BY28" si="184">IF($H28&lt;&gt;CC$5,0,IF(CC28&gt;0,IF($J28=1,$E28*$I28/12*3,IF($J28=2,$E28*$I28/12*2,IF($J28=3,$E28*$I28/12*1,0)))))+IF(BX$5&lt;&gt;$H28,0,IF(BX28&gt;0,IF($J28=1,$E28*$I28/12*0,IF($J28=2,$E28*$I28/12*1,IF($J28=3,$E28*$I28/12*2,IF($J28&gt;=4,$E28*$I28/12*3,0))))))</f>
        <v>0</v>
      </c>
      <c r="BZ28" s="1807">
        <f t="shared" ref="BZ28" si="185">IF($H28&lt;&gt;CC$5,0,IF(CC28&gt;0,IF(OR($J28=1,$J28=2,$J28=3,$J28=4),$E28*$I28/12*3,IF($J28=5,$E28*$I28/12*2,IF($J28=6,$E28*$I28/12*1,0)))))+IF(BX$5&lt;&gt;$H28,0,IF(BX28&gt;0,IF($J28=4,$E28*$I28/12*0,IF($J28=5,$E28*$I28/12*1,IF($J28=6,$E28*$I28/12*2,IF($J28&gt;=7,$E28*$I28/12*3,0))))))</f>
        <v>0</v>
      </c>
      <c r="CA28" s="1807">
        <f t="shared" ref="CA28" si="186">IF($H28&lt;&gt;CC$5,0,IF(CC28&gt;0,IF(OR($J28=1,$J28=2,$J28=3,$J28=4,$J28=5,$J28=6,$J28=7),$E28*$I28/12*3,IF($J28=8,$E28*$I28/12*2,IF($J28=9,$E28*$I28/12*1,0)))))+IF(BX$5&lt;&gt;$H28,0,IF(BX28&gt;0,IF($J28=7,$E28*$I28/12*0,IF($J28=8,$E28*$I28/12*1,IF($J28=9,$E28*$I28/12*2,IF($J28&gt;=10,$E28*$I28/12*3,0))))))</f>
        <v>0</v>
      </c>
      <c r="CB28" s="1806">
        <f t="shared" ref="CB28" si="187">IF($H28&lt;&gt;CC$5,0,IF(CC28&gt;0,IF(OR($J28=1,$J28=2,$J28=3,$J28=4,$J28=5,$J28=6,$J28=7,$J28=8,$J28=9,$J28=10),$E28*$I28/12*3,IF($J28=11,$E28*$I28/12*2,IF($J28=12,$E28*$I28/12*1,0)))))+IF(BX$5&lt;&gt;$H28,0,IF(BX28&gt;0,IF($J28=10,$E28*$I28/12*0,IF($J28=11,$E28*$I28/12*1,IF($J28=12,$E28*$I28/12*2,0)))))</f>
        <v>0</v>
      </c>
      <c r="CC28" s="1791">
        <f t="shared" ref="CC28" si="188">IF(AND(BX28&lt;&gt;0,BX$5=$H28),$I28*$E28-BX28,IF(CC$5=$H28,$I28*$E28*(12-$J28+1)/12,0))</f>
        <v>0</v>
      </c>
      <c r="CD28" s="1808">
        <f t="shared" ref="CD28" si="189">IF($H28&lt;&gt;CH$5,0,IF(CH28&gt;0,IF($J28=1,$E28*$I28/12*3,IF($J28=2,$E28*$I28/12*2,IF($J28=3,$E28*$I28/12*1,0)))))+IF(CC$5&lt;&gt;$H28,0,IF(CC28&gt;0,IF($J28=1,$E28*$I28/12*0,IF($J28=2,$E28*$I28/12*1,IF($J28=3,$E28*$I28/12*2,IF($J28&gt;=4,$E28*$I28/12*3,0))))))</f>
        <v>0</v>
      </c>
      <c r="CE28" s="1807">
        <f t="shared" ref="CE28" si="190">IF($H28&lt;&gt;CH$5,0,IF(CH28&gt;0,IF(OR($J28=1,$J28=2,$J28=3,$J28=4),$E28*$I28/12*3,IF($J28=5,$E28*$I28/12*2,IF($J28=6,$E28*$I28/12*1,0)))))+IF(CC$5&lt;&gt;$H28,0,IF(CC28&gt;0,IF($J28=4,$E28*$I28/12*0,IF($J28=5,$E28*$I28/12*1,IF($J28=6,$E28*$I28/12*2,IF($J28&gt;=7,$E28*$I28/12*3,0))))))</f>
        <v>0</v>
      </c>
      <c r="CF28" s="1807">
        <f t="shared" ref="CF28" si="191">IF($H28&lt;&gt;CH$5,0,IF(CH28&gt;0,IF(OR($J28=1,$J28=2,$J28=3,$J28=4,$J28=5,$J28=6,$J28=7),$E28*$I28/12*3,IF($J28=8,$E28*$I28/12*2,IF($J28=9,$E28*$I28/12*1,0)))))+IF(CC$5&lt;&gt;$H28,0,IF(CC28&gt;0,IF($J28=7,$E28*$I28/12*0,IF($J28=8,$E28*$I28/12*1,IF($J28=9,$E28*$I28/12*2,IF($J28&gt;=10,$E28*$I28/12*3,0))))))</f>
        <v>0</v>
      </c>
      <c r="CG28" s="1806">
        <f t="shared" ref="CG28" si="192">IF($H28&lt;&gt;CH$5,0,IF(CH28&gt;0,IF(OR($J28=1,$J28=2,$J28=3,$J28=4,$J28=5,$J28=6,$J28=7,$J28=8,$J28=9,$J28=10),$E28*$I28/12*3,IF($J28=11,$E28*$I28/12*2,IF($J28=12,$E28*$I28/12*1,0)))))+IF(CC$5&lt;&gt;$H28,0,IF(CC28&gt;0,IF($J28=10,$E28*$I28/12*0,IF($J28=11,$E28*$I28/12*1,IF($J28=12,$E28*$I28/12*2,0)))))</f>
        <v>0</v>
      </c>
      <c r="CH28" s="1791">
        <f t="shared" ref="CH28" si="193">IF(AND(CC28&lt;&gt;0,CC$5=$H28),$I28*$E28-CC28,IF(CH$5=$H28,$I28*$E28*(12-$J28+1)/12,0))</f>
        <v>0</v>
      </c>
      <c r="CI28" s="1808">
        <f t="shared" ref="CI28" si="194">IF($H28&lt;&gt;CM$5,0,IF(CM28&gt;0,IF($J28=1,$E28*$I28/12*3,IF($J28=2,$E28*$I28/12*2,IF($J28=3,$E28*$I28/12*1,0)))))+IF(CH$5&lt;&gt;$H28,0,IF(CH28&gt;0,IF($J28=1,$E28*$I28/12*0,IF($J28=2,$E28*$I28/12*1,IF($J28=3,$E28*$I28/12*2,IF($J28&gt;=4,$E28*$I28/12*3,0))))))</f>
        <v>0</v>
      </c>
      <c r="CJ28" s="1807">
        <f t="shared" ref="CJ28" si="195">IF($H28&lt;&gt;CM$5,0,IF(CM28&gt;0,IF(OR($J28=1,$J28=2,$J28=3,$J28=4),$E28*$I28/12*3,IF($J28=5,$E28*$I28/12*2,IF($J28=6,$E28*$I28/12*1,0)))))+IF(CH$5&lt;&gt;$H28,0,IF(CH28&gt;0,IF($J28=4,$E28*$I28/12*0,IF($J28=5,$E28*$I28/12*1,IF($J28=6,$E28*$I28/12*2,IF($J28&gt;=7,$E28*$I28/12*3,0))))))</f>
        <v>0</v>
      </c>
      <c r="CK28" s="1807">
        <f t="shared" ref="CK28" si="196">IF($H28&lt;&gt;CM$5,0,IF(CM28&gt;0,IF(OR($J28=1,$J28=2,$J28=3,$J28=4,$J28=5,$J28=6,$J28=7),$E28*$I28/12*3,IF($J28=8,$E28*$I28/12*2,IF($J28=9,$E28*$I28/12*1,0)))))+IF(CH$5&lt;&gt;$H28,0,IF(CH28&gt;0,IF($J28=7,$E28*$I28/12*0,IF($J28=8,$E28*$I28/12*1,IF($J28=9,$E28*$I28/12*2,IF($J28&gt;=10,$E28*$I28/12*3,0))))))</f>
        <v>0</v>
      </c>
      <c r="CL28" s="1806">
        <f t="shared" ref="CL28" si="197">IF($H28&lt;&gt;CM$5,0,IF(CM28&gt;0,IF(OR($J28=1,$J28=2,$J28=3,$J28=4,$J28=5,$J28=6,$J28=7,$J28=8,$J28=9,$J28=10),$E28*$I28/12*3,IF($J28=11,$E28*$I28/12*2,IF($J28=12,$E28*$I28/12*1,0)))))+IF(CH$5&lt;&gt;$H28,0,IF(CH28&gt;0,IF($J28=10,$E28*$I28/12*0,IF($J28=11,$E28*$I28/12*1,IF($J28=12,$E28*$I28/12*2,0)))))</f>
        <v>0</v>
      </c>
      <c r="CM28" s="1791">
        <f t="shared" ref="CM28" si="198">IF(AND(CH28&lt;&gt;0,CH$5=$H28),$I28*$E28-CH28,IF(CM$5=$H28,$I28*$E28*(12-$J28+1)/12,0))</f>
        <v>0</v>
      </c>
      <c r="CN28" s="1808">
        <f t="shared" ref="CN28" si="199">IF($H28&lt;&gt;CR$5,0,IF(CR28&gt;0,IF($J28=1,$E28*$I28/12*3,IF($J28=2,$E28*$I28/12*2,IF($J28=3,$E28*$I28/12*1,0)))))+IF(CM$5&lt;&gt;$H28,0,IF(CM28&gt;0,IF($J28=1,$E28*$I28/12*0,IF($J28=2,$E28*$I28/12*1,IF($J28=3,$E28*$I28/12*2,IF($J28&gt;=4,$E28*$I28/12*3,0))))))</f>
        <v>0</v>
      </c>
      <c r="CO28" s="1807">
        <f t="shared" ref="CO28" si="200">IF($H28&lt;&gt;CR$5,0,IF(CR28&gt;0,IF(OR($J28=1,$J28=2,$J28=3,$J28=4),$E28*$I28/12*3,IF($J28=5,$E28*$I28/12*2,IF($J28=6,$E28*$I28/12*1,0)))))+IF(CM$5&lt;&gt;$H28,0,IF(CM28&gt;0,IF($J28=4,$E28*$I28/12*0,IF($J28=5,$E28*$I28/12*1,IF($J28=6,$E28*$I28/12*2,IF($J28&gt;=7,$E28*$I28/12*3,0))))))</f>
        <v>0</v>
      </c>
      <c r="CP28" s="1807">
        <f t="shared" ref="CP28" si="201">IF($H28&lt;&gt;CR$5,0,IF(CR28&gt;0,IF(OR($J28=1,$J28=2,$J28=3,$J28=4,$J28=5,$J28=6,$J28=7),$E28*$I28/12*3,IF($J28=8,$E28*$I28/12*2,IF($J28=9,$E28*$I28/12*1,0)))))+IF(CM$5&lt;&gt;$H28,0,IF(CM28&gt;0,IF($J28=7,$E28*$I28/12*0,IF($J28=8,$E28*$I28/12*1,IF($J28=9,$E28*$I28/12*2,IF($J28&gt;=10,$E28*$I28/12*3,0))))))</f>
        <v>0</v>
      </c>
      <c r="CQ28" s="1806">
        <f t="shared" ref="CQ28" si="202">IF($H28&lt;&gt;CR$5,0,IF(CR28&gt;0,IF(OR($J28=1,$J28=2,$J28=3,$J28=4,$J28=5,$J28=6,$J28=7,$J28=8,$J28=9,$J28=10),$E28*$I28/12*3,IF($J28=11,$E28*$I28/12*2,IF($J28=12,$E28*$I28/12*1,0)))))+IF(CM$5&lt;&gt;$H28,0,IF(CM28&gt;0,IF($J28=10,$E28*$I28/12*0,IF($J28=11,$E28*$I28/12*1,IF($J28=12,$E28*$I28/12*2,0)))))</f>
        <v>0</v>
      </c>
      <c r="CR28" s="1791">
        <f t="shared" ref="CR28" si="203">IF(AND(CM28&lt;&gt;0,CM$5=$H28),$I28*$E28-CM28,IF(CR$5=$H28,$I28*$E28*(12-$J28+1)/12,0))</f>
        <v>0</v>
      </c>
      <c r="CS28" s="1808">
        <f t="shared" ref="CS28" si="204">IF($H28&lt;&gt;CW$5,0,IF(CW28&gt;0,IF($J28=1,$E28*$I28/12*3,IF($J28=2,$E28*$I28/12*2,IF($J28=3,$E28*$I28/12*1,0)))))+IF(CR$5&lt;&gt;$H28,0,IF(CR28&gt;0,IF($J28=1,$E28*$I28/12*0,IF($J28=2,$E28*$I28/12*1,IF($J28=3,$E28*$I28/12*2,IF($J28&gt;=4,$E28*$I28/12*3,0))))))</f>
        <v>0</v>
      </c>
      <c r="CT28" s="1807">
        <f t="shared" ref="CT28" si="205">IF($H28&lt;&gt;CW$5,0,IF(CW28&gt;0,IF(OR($J28=1,$J28=2,$J28=3,$J28=4),$E28*$I28/12*3,IF($J28=5,$E28*$I28/12*2,IF($J28=6,$E28*$I28/12*1,0)))))+IF(CR$5&lt;&gt;$H28,0,IF(CR28&gt;0,IF($J28=4,$E28*$I28/12*0,IF($J28=5,$E28*$I28/12*1,IF($J28=6,$E28*$I28/12*2,IF($J28&gt;=7,$E28*$I28/12*3,0))))))</f>
        <v>0</v>
      </c>
      <c r="CU28" s="1807">
        <f t="shared" ref="CU28" si="206">IF($H28&lt;&gt;CW$5,0,IF(CW28&gt;0,IF(OR($J28=1,$J28=2,$J28=3,$J28=4,$J28=5,$J28=6,$J28=7),$E28*$I28/12*3,IF($J28=8,$E28*$I28/12*2,IF($J28=9,$E28*$I28/12*1,0)))))+IF(CR$5&lt;&gt;$H28,0,IF(CR28&gt;0,IF($J28=7,$E28*$I28/12*0,IF($J28=8,$E28*$I28/12*1,IF($J28=9,$E28*$I28/12*2,IF($J28&gt;=10,$E28*$I28/12*3,0))))))</f>
        <v>0</v>
      </c>
      <c r="CV28" s="1806">
        <f t="shared" ref="CV28" si="207">IF($H28&lt;&gt;CW$5,0,IF(CW28&gt;0,IF(OR($J28=1,$J28=2,$J28=3,$J28=4,$J28=5,$J28=6,$J28=7,$J28=8,$J28=9,$J28=10),$E28*$I28/12*3,IF($J28=11,$E28*$I28/12*2,IF($J28=12,$E28*$I28/12*1,0)))))+IF(CR$5&lt;&gt;$H28,0,IF(CR28&gt;0,IF($J28=10,$E28*$I28/12*0,IF($J28=11,$E28*$I28/12*1,IF($J28=12,$E28*$I28/12*2,0)))))</f>
        <v>0</v>
      </c>
      <c r="CW28" s="1791">
        <f t="shared" ref="CW28" si="208">IF(AND(CR28&lt;&gt;0,CR$5=$H28),$I28*$E28-CR28,IF(CW$5=$H28,$I28*$E28*(12-$J28+1)/12,0))</f>
        <v>0</v>
      </c>
      <c r="CX28" s="1808">
        <f t="shared" ref="CX28" si="209">IF($H28&lt;&gt;DB$5,0,IF(DB28&gt;0,IF($J28=1,$E28*$I28/12*3,IF($J28=2,$E28*$I28/12*2,IF($J28=3,$E28*$I28/12*1,0)))))+IF(CW$5&lt;&gt;$H28,0,IF(CW28&gt;0,IF($J28=1,$E28*$I28/12*0,IF($J28=2,$E28*$I28/12*1,IF($J28=3,$E28*$I28/12*2,IF($J28&gt;=4,$E28*$I28/12*3,0))))))</f>
        <v>0</v>
      </c>
      <c r="CY28" s="1807">
        <f t="shared" ref="CY28" si="210">IF($H28&lt;&gt;DB$5,0,IF(DB28&gt;0,IF(OR($J28=1,$J28=2,$J28=3,$J28=4),$E28*$I28/12*3,IF($J28=5,$E28*$I28/12*2,IF($J28=6,$E28*$I28/12*1,0)))))+IF(CW$5&lt;&gt;$H28,0,IF(CW28&gt;0,IF($J28=4,$E28*$I28/12*0,IF($J28=5,$E28*$I28/12*1,IF($J28=6,$E28*$I28/12*2,IF($J28&gt;=7,$E28*$I28/12*3,0))))))</f>
        <v>0</v>
      </c>
      <c r="CZ28" s="1807">
        <f t="shared" ref="CZ28" si="211">IF($H28&lt;&gt;DB$5,0,IF(DB28&gt;0,IF(OR($J28=1,$J28=2,$J28=3,$J28=4,$J28=5,$J28=6,$J28=7),$E28*$I28/12*3,IF($J28=8,$E28*$I28/12*2,IF($J28=9,$E28*$I28/12*1,0)))))+IF(CW$5&lt;&gt;$H28,0,IF(CW28&gt;0,IF($J28=7,$E28*$I28/12*0,IF($J28=8,$E28*$I28/12*1,IF($J28=9,$E28*$I28/12*2,IF($J28&gt;=10,$E28*$I28/12*3,0))))))</f>
        <v>0</v>
      </c>
      <c r="DA28" s="1806">
        <f t="shared" ref="DA28" si="212">IF($H28&lt;&gt;DB$5,0,IF(DB28&gt;0,IF(OR($J28=1,$J28=2,$J28=3,$J28=4,$J28=5,$J28=6,$J28=7,$J28=8,$J28=9,$J28=10),$E28*$I28/12*3,IF($J28=11,$E28*$I28/12*2,IF($J28=12,$E28*$I28/12*1,0)))))+IF(CW$5&lt;&gt;$H28,0,IF(CW28&gt;0,IF($J28=10,$E28*$I28/12*0,IF($J28=11,$E28*$I28/12*1,IF($J28=12,$E28*$I28/12*2,0)))))</f>
        <v>0</v>
      </c>
      <c r="DB28" s="1791">
        <f t="shared" ref="DB28" si="213">IF(AND(CW28&lt;&gt;0,CW$5=$H28),$I28*$E28-CW28,IF(DB$5=$H28,$I28*$E28*(12-$J28+1)/12,0))</f>
        <v>0</v>
      </c>
      <c r="DC28" s="1808">
        <f t="shared" ref="DC28" si="214">IF($H28&lt;&gt;DG$5,0,IF(DG28&gt;0,IF($J28=1,$E28*$I28/12*3,IF($J28=2,$E28*$I28/12*2,IF($J28=3,$E28*$I28/12*1,0)))))+IF(DB$5&lt;&gt;$H28,0,IF(DB28&gt;0,IF($J28=1,$E28*$I28/12*0,IF($J28=2,$E28*$I28/12*1,IF($J28=3,$E28*$I28/12*2,IF($J28&gt;=4,$E28*$I28/12*3,0))))))</f>
        <v>0</v>
      </c>
      <c r="DD28" s="1807">
        <f t="shared" ref="DD28" si="215">IF($H28&lt;&gt;DG$5,0,IF(DG28&gt;0,IF(OR($J28=1,$J28=2,$J28=3,$J28=4),$E28*$I28/12*3,IF($J28=5,$E28*$I28/12*2,IF($J28=6,$E28*$I28/12*1,0)))))+IF(DB$5&lt;&gt;$H28,0,IF(DB28&gt;0,IF($J28=4,$E28*$I28/12*0,IF($J28=5,$E28*$I28/12*1,IF($J28=6,$E28*$I28/12*2,IF($J28&gt;=7,$E28*$I28/12*3,0))))))</f>
        <v>0</v>
      </c>
      <c r="DE28" s="1807">
        <f t="shared" ref="DE28" si="216">IF($H28&lt;&gt;DG$5,0,IF(DG28&gt;0,IF(OR($J28=1,$J28=2,$J28=3,$J28=4,$J28=5,$J28=6,$J28=7),$E28*$I28/12*3,IF($J28=8,$E28*$I28/12*2,IF($J28=9,$E28*$I28/12*1,0)))))+IF(DB$5&lt;&gt;$H28,0,IF(DB28&gt;0,IF($J28=7,$E28*$I28/12*0,IF($J28=8,$E28*$I28/12*1,IF($J28=9,$E28*$I28/12*2,IF($J28&gt;=10,$E28*$I28/12*3,0))))))</f>
        <v>0</v>
      </c>
      <c r="DF28" s="1806">
        <f t="shared" ref="DF28" si="217">IF($H28&lt;&gt;DG$5,0,IF(DG28&gt;0,IF(OR($J28=1,$J28=2,$J28=3,$J28=4,$J28=5,$J28=6,$J28=7,$J28=8,$J28=9,$J28=10),$E28*$I28/12*3,IF($J28=11,$E28*$I28/12*2,IF($J28=12,$E28*$I28/12*1,0)))))+IF(DB$5&lt;&gt;$H28,0,IF(DB28&gt;0,IF($J28=10,$E28*$I28/12*0,IF($J28=11,$E28*$I28/12*1,IF($J28=12,$E28*$I28/12*2,0)))))</f>
        <v>0</v>
      </c>
      <c r="DG28" s="1791">
        <f t="shared" ref="DG28" si="218">IF(AND(DB28&lt;&gt;0,DB$5=$H28),$I28*$E28-DB28,IF(DG$5=$H28,$I28*$E28*(12-$J28+1)/12,0))</f>
        <v>0</v>
      </c>
      <c r="DH28" s="1808">
        <f t="shared" ref="DH28" si="219">IF($H28&lt;&gt;DL$5,0,IF(DL28&gt;0,IF($J28=1,$E28*$I28/12*3,IF($J28=2,$E28*$I28/12*2,IF($J28=3,$E28*$I28/12*1,0)))))+IF(DG$5&lt;&gt;$H28,0,IF(DG28&gt;0,IF($J28=1,$E28*$I28/12*0,IF($J28=2,$E28*$I28/12*1,IF($J28=3,$E28*$I28/12*2,IF($J28&gt;=4,$E28*$I28/12*3,0))))))</f>
        <v>0</v>
      </c>
      <c r="DI28" s="1807">
        <f t="shared" ref="DI28" si="220">IF($H28&lt;&gt;DL$5,0,IF(DL28&gt;0,IF(OR($J28=1,$J28=2,$J28=3,$J28=4),$E28*$I28/12*3,IF($J28=5,$E28*$I28/12*2,IF($J28=6,$E28*$I28/12*1,0)))))+IF(DG$5&lt;&gt;$H28,0,IF(DG28&gt;0,IF($J28=4,$E28*$I28/12*0,IF($J28=5,$E28*$I28/12*1,IF($J28=6,$E28*$I28/12*2,IF($J28&gt;=7,$E28*$I28/12*3,0))))))</f>
        <v>0</v>
      </c>
      <c r="DJ28" s="1807">
        <f t="shared" ref="DJ28" si="221">IF($H28&lt;&gt;DL$5,0,IF(DL28&gt;0,IF(OR($J28=1,$J28=2,$J28=3,$J28=4,$J28=5,$J28=6,$J28=7),$E28*$I28/12*3,IF($J28=8,$E28*$I28/12*2,IF($J28=9,$E28*$I28/12*1,0)))))+IF(DG$5&lt;&gt;$H28,0,IF(DG28&gt;0,IF($J28=7,$E28*$I28/12*0,IF($J28=8,$E28*$I28/12*1,IF($J28=9,$E28*$I28/12*2,IF($J28&gt;=10,$E28*$I28/12*3,0))))))</f>
        <v>0</v>
      </c>
      <c r="DK28" s="1806">
        <f t="shared" ref="DK28" si="222">IF($H28&lt;&gt;DL$5,0,IF(DL28&gt;0,IF(OR($J28=1,$J28=2,$J28=3,$J28=4,$J28=5,$J28=6,$J28=7,$J28=8,$J28=9,$J28=10),$E28*$I28/12*3,IF($J28=11,$E28*$I28/12*2,IF($J28=12,$E28*$I28/12*1,0)))))+IF(DG$5&lt;&gt;$H28,0,IF(DG28&gt;0,IF($J28=10,$E28*$I28/12*0,IF($J28=11,$E28*$I28/12*1,IF($J28=12,$E28*$I28/12*2,0)))))</f>
        <v>0</v>
      </c>
      <c r="DL28" s="1791">
        <f t="shared" ref="DL28" si="223">IF(AND(DG28&lt;&gt;0,DG$5=$H28),$I28*$E28-DG28,IF(DL$5=$H28,$I28*$E28*(12-$J28+1)/12,0))</f>
        <v>0</v>
      </c>
      <c r="DM28" s="1808">
        <f t="shared" ref="DM28" si="224">IF($H28&lt;&gt;DQ$5,0,IF(DQ28&gt;0,IF($J28=1,$E28*$I28/12*3,IF($J28=2,$E28*$I28/12*2,IF($J28=3,$E28*$I28/12*1,0)))))+IF(DL$5&lt;&gt;$H28,0,IF(DL28&gt;0,IF($J28=1,$E28*$I28/12*0,IF($J28=2,$E28*$I28/12*1,IF($J28=3,$E28*$I28/12*2,IF($J28&gt;=4,$E28*$I28/12*3,0))))))</f>
        <v>0</v>
      </c>
      <c r="DN28" s="1807">
        <f t="shared" ref="DN28" si="225">IF($H28&lt;&gt;DQ$5,0,IF(DQ28&gt;0,IF(OR($J28=1,$J28=2,$J28=3,$J28=4),$E28*$I28/12*3,IF($J28=5,$E28*$I28/12*2,IF($J28=6,$E28*$I28/12*1,0)))))+IF(DL$5&lt;&gt;$H28,0,IF(DL28&gt;0,IF($J28=4,$E28*$I28/12*0,IF($J28=5,$E28*$I28/12*1,IF($J28=6,$E28*$I28/12*2,IF($J28&gt;=7,$E28*$I28/12*3,0))))))</f>
        <v>0</v>
      </c>
      <c r="DO28" s="1807">
        <f t="shared" ref="DO28" si="226">IF($H28&lt;&gt;DQ$5,0,IF(DQ28&gt;0,IF(OR($J28=1,$J28=2,$J28=3,$J28=4,$J28=5,$J28=6,$J28=7),$E28*$I28/12*3,IF($J28=8,$E28*$I28/12*2,IF($J28=9,$E28*$I28/12*1,0)))))+IF(DL$5&lt;&gt;$H28,0,IF(DL28&gt;0,IF($J28=7,$E28*$I28/12*0,IF($J28=8,$E28*$I28/12*1,IF($J28=9,$E28*$I28/12*2,IF($J28&gt;=10,$E28*$I28/12*3,0))))))</f>
        <v>0</v>
      </c>
      <c r="DP28" s="1806">
        <f t="shared" ref="DP28" si="227">IF($H28&lt;&gt;DQ$5,0,IF(DQ28&gt;0,IF(OR($J28=1,$J28=2,$J28=3,$J28=4,$J28=5,$J28=6,$J28=7,$J28=8,$J28=9,$J28=10),$E28*$I28/12*3,IF($J28=11,$E28*$I28/12*2,IF($J28=12,$E28*$I28/12*1,0)))))+IF(DL$5&lt;&gt;$H28,0,IF(DL28&gt;0,IF($J28=10,$E28*$I28/12*0,IF($J28=11,$E28*$I28/12*1,IF($J28=12,$E28*$I28/12*2,0)))))</f>
        <v>0</v>
      </c>
      <c r="DQ28" s="1791">
        <f t="shared" ref="DQ28" si="228">IF(AND(DL28&lt;&gt;0,DL$5=$H28),$I28*$E28-DL28,IF(DQ$5=$H28,$I28*$E28*(12-$J28+1)/12,0))</f>
        <v>0</v>
      </c>
      <c r="DR28" s="1808">
        <f t="shared" ref="DR28" si="229">IF($H28&lt;&gt;DV$5,0,IF(DV28&gt;0,IF($J28=1,$E28*$I28/12*3,IF($J28=2,$E28*$I28/12*2,IF($J28=3,$E28*$I28/12*1,0)))))+IF(DQ$5&lt;&gt;$H28,0,IF(DQ28&gt;0,IF($J28=1,$E28*$I28/12*0,IF($J28=2,$E28*$I28/12*1,IF($J28=3,$E28*$I28/12*2,IF($J28&gt;=4,$E28*$I28/12*3,0))))))</f>
        <v>0</v>
      </c>
      <c r="DS28" s="1807">
        <f t="shared" ref="DS28" si="230">IF($H28&lt;&gt;DV$5,0,IF(DV28&gt;0,IF(OR($J28=1,$J28=2,$J28=3,$J28=4),$E28*$I28/12*3,IF($J28=5,$E28*$I28/12*2,IF($J28=6,$E28*$I28/12*1,0)))))+IF(DQ$5&lt;&gt;$H28,0,IF(DQ28&gt;0,IF($J28=4,$E28*$I28/12*0,IF($J28=5,$E28*$I28/12*1,IF($J28=6,$E28*$I28/12*2,IF($J28&gt;=7,$E28*$I28/12*3,0))))))</f>
        <v>0</v>
      </c>
      <c r="DT28" s="1807">
        <f t="shared" ref="DT28" si="231">IF($H28&lt;&gt;DV$5,0,IF(DV28&gt;0,IF(OR($J28=1,$J28=2,$J28=3,$J28=4,$J28=5,$J28=6,$J28=7),$E28*$I28/12*3,IF($J28=8,$E28*$I28/12*2,IF($J28=9,$E28*$I28/12*1,0)))))+IF(DQ$5&lt;&gt;$H28,0,IF(DQ28&gt;0,IF($J28=7,$E28*$I28/12*0,IF($J28=8,$E28*$I28/12*1,IF($J28=9,$E28*$I28/12*2,IF($J28&gt;=10,$E28*$I28/12*3,0))))))</f>
        <v>2.5</v>
      </c>
      <c r="DU28" s="1806">
        <f t="shared" ref="DU28" si="232">IF($H28&lt;&gt;DV$5,0,IF(DV28&gt;0,IF(OR($J28=1,$J28=2,$J28=3,$J28=4,$J28=5,$J28=6,$J28=7,$J28=8,$J28=9,$J28=10),$E28*$I28/12*3,IF($J28=11,$E28*$I28/12*2,IF($J28=12,$E28*$I28/12*1,0)))))+IF(DQ$5&lt;&gt;$H28,0,IF(DQ28&gt;0,IF($J28=10,$E28*$I28/12*0,IF($J28=11,$E28*$I28/12*1,IF($J28=12,$E28*$I28/12*2,0)))))</f>
        <v>2.5</v>
      </c>
      <c r="DV28" s="1791">
        <f t="shared" ref="DV28" si="233">IF(AND(DQ28&lt;&gt;0,DQ$5=$H28),$I28*$E28-DQ28,IF(DV$5=$H28,$I28*$E28*(12-$J28+1)/12,0))</f>
        <v>5</v>
      </c>
    </row>
    <row r="29" spans="1:126">
      <c r="A29" s="455"/>
      <c r="B29" s="455"/>
      <c r="C29" s="1805"/>
      <c r="D29" s="470"/>
      <c r="E29" s="1804"/>
      <c r="F29" s="1803"/>
      <c r="G29" s="1803"/>
      <c r="H29" s="1352"/>
      <c r="I29" s="1336"/>
      <c r="J29" s="471"/>
      <c r="K29" s="79"/>
      <c r="L29" s="453"/>
      <c r="M29" s="80"/>
      <c r="N29" s="1802"/>
      <c r="O29" s="1801"/>
      <c r="P29" s="1801"/>
      <c r="Q29" s="1800"/>
      <c r="R29" s="80"/>
      <c r="S29" s="1802"/>
      <c r="T29" s="1801"/>
      <c r="U29" s="1801"/>
      <c r="V29" s="1800"/>
      <c r="W29" s="80"/>
      <c r="X29" s="1802"/>
      <c r="Y29" s="1801"/>
      <c r="Z29" s="1801"/>
      <c r="AA29" s="1800"/>
      <c r="AB29" s="80"/>
      <c r="AC29" s="1802"/>
      <c r="AD29" s="1801"/>
      <c r="AE29" s="1801"/>
      <c r="AF29" s="1800"/>
      <c r="AG29" s="80"/>
      <c r="AH29" s="1802"/>
      <c r="AI29" s="1801"/>
      <c r="AJ29" s="1801"/>
      <c r="AK29" s="1800"/>
      <c r="AL29" s="80"/>
      <c r="AM29" s="1802"/>
      <c r="AN29" s="1801"/>
      <c r="AO29" s="1801"/>
      <c r="AP29" s="1800"/>
      <c r="AQ29" s="80"/>
      <c r="AR29" s="1802"/>
      <c r="AS29" s="1801"/>
      <c r="AT29" s="1801"/>
      <c r="AU29" s="1800"/>
      <c r="AV29" s="80"/>
      <c r="AW29" s="1802"/>
      <c r="AX29" s="1801"/>
      <c r="AY29" s="1801"/>
      <c r="AZ29" s="1800"/>
      <c r="BA29" s="80"/>
      <c r="BB29" s="1802"/>
      <c r="BC29" s="1801"/>
      <c r="BD29" s="1801"/>
      <c r="BE29" s="1800"/>
      <c r="BF29" s="80"/>
      <c r="BG29" s="1802"/>
      <c r="BH29" s="1801"/>
      <c r="BI29" s="1801"/>
      <c r="BJ29" s="1800"/>
      <c r="BK29" s="80"/>
      <c r="BL29" s="1802"/>
      <c r="BM29" s="1801"/>
      <c r="BN29" s="1801"/>
      <c r="BO29" s="1800"/>
      <c r="BP29" s="80"/>
      <c r="BQ29" s="472"/>
      <c r="BR29" s="1993"/>
      <c r="BS29" s="1993"/>
      <c r="BT29" s="1994"/>
      <c r="BU29" s="1994"/>
      <c r="BV29" s="1994"/>
      <c r="BW29" s="1994"/>
      <c r="BX29" s="1843"/>
      <c r="BY29" s="1801"/>
      <c r="BZ29" s="1801"/>
      <c r="CA29" s="1801"/>
      <c r="CB29" s="1800"/>
      <c r="CC29" s="1799"/>
      <c r="CD29" s="1802"/>
      <c r="CE29" s="1801"/>
      <c r="CF29" s="1801"/>
      <c r="CG29" s="1800"/>
      <c r="CH29" s="1799"/>
      <c r="CI29" s="1802"/>
      <c r="CJ29" s="1801"/>
      <c r="CK29" s="1801"/>
      <c r="CL29" s="1800"/>
      <c r="CM29" s="1799"/>
      <c r="CN29" s="1802"/>
      <c r="CO29" s="1801"/>
      <c r="CP29" s="1801"/>
      <c r="CQ29" s="1800"/>
      <c r="CR29" s="1799"/>
      <c r="CS29" s="1802"/>
      <c r="CT29" s="1801"/>
      <c r="CU29" s="1801"/>
      <c r="CV29" s="1800"/>
      <c r="CW29" s="1799"/>
      <c r="CX29" s="1802"/>
      <c r="CY29" s="1801"/>
      <c r="CZ29" s="1801"/>
      <c r="DA29" s="1800"/>
      <c r="DB29" s="1799"/>
      <c r="DC29" s="1802"/>
      <c r="DD29" s="1801"/>
      <c r="DE29" s="1801"/>
      <c r="DF29" s="1800"/>
      <c r="DG29" s="1799"/>
      <c r="DH29" s="1802"/>
      <c r="DI29" s="1801"/>
      <c r="DJ29" s="1801"/>
      <c r="DK29" s="1800"/>
      <c r="DL29" s="1799"/>
      <c r="DM29" s="1802"/>
      <c r="DN29" s="1801"/>
      <c r="DO29" s="1801"/>
      <c r="DP29" s="1800"/>
      <c r="DQ29" s="1799"/>
      <c r="DR29" s="1802"/>
      <c r="DS29" s="1801"/>
      <c r="DT29" s="1801"/>
      <c r="DU29" s="1800"/>
      <c r="DV29" s="1799"/>
    </row>
    <row r="30" spans="1:126">
      <c r="A30" s="455"/>
      <c r="B30" s="459"/>
      <c r="C30" s="1359" t="s">
        <v>617</v>
      </c>
      <c r="D30" s="456"/>
      <c r="E30" s="457">
        <f>SUM(E25:E29)</f>
        <v>2700</v>
      </c>
      <c r="F30" s="458">
        <f>SUM(F25:F29)</f>
        <v>0</v>
      </c>
      <c r="G30" s="458">
        <f>SUM(G25:G29)</f>
        <v>0</v>
      </c>
      <c r="H30" s="1348"/>
      <c r="I30" s="1333"/>
      <c r="J30" s="458"/>
      <c r="K30" s="81"/>
      <c r="L30" s="77">
        <f t="shared" ref="L30:AQ30" si="234">SUM(L25:L29)</f>
        <v>0</v>
      </c>
      <c r="M30" s="73">
        <f t="shared" si="234"/>
        <v>0</v>
      </c>
      <c r="N30" s="74">
        <f t="shared" si="234"/>
        <v>0</v>
      </c>
      <c r="O30" s="75">
        <f t="shared" si="234"/>
        <v>0</v>
      </c>
      <c r="P30" s="75">
        <f t="shared" si="234"/>
        <v>0</v>
      </c>
      <c r="Q30" s="76">
        <f t="shared" si="234"/>
        <v>0</v>
      </c>
      <c r="R30" s="73">
        <f t="shared" si="234"/>
        <v>0</v>
      </c>
      <c r="S30" s="74">
        <f t="shared" si="234"/>
        <v>0</v>
      </c>
      <c r="T30" s="75">
        <f t="shared" si="234"/>
        <v>0</v>
      </c>
      <c r="U30" s="75">
        <f t="shared" si="234"/>
        <v>0</v>
      </c>
      <c r="V30" s="76">
        <f t="shared" si="234"/>
        <v>0</v>
      </c>
      <c r="W30" s="73">
        <f t="shared" si="234"/>
        <v>0</v>
      </c>
      <c r="X30" s="74">
        <f t="shared" si="234"/>
        <v>0</v>
      </c>
      <c r="Y30" s="75">
        <f t="shared" si="234"/>
        <v>0</v>
      </c>
      <c r="Z30" s="75">
        <f t="shared" si="234"/>
        <v>0</v>
      </c>
      <c r="AA30" s="76">
        <f t="shared" si="234"/>
        <v>0</v>
      </c>
      <c r="AB30" s="73">
        <f t="shared" si="234"/>
        <v>0</v>
      </c>
      <c r="AC30" s="74">
        <f t="shared" si="234"/>
        <v>0</v>
      </c>
      <c r="AD30" s="75">
        <f t="shared" si="234"/>
        <v>0</v>
      </c>
      <c r="AE30" s="75">
        <f t="shared" si="234"/>
        <v>0</v>
      </c>
      <c r="AF30" s="76">
        <f t="shared" si="234"/>
        <v>0</v>
      </c>
      <c r="AG30" s="73">
        <f t="shared" si="234"/>
        <v>0</v>
      </c>
      <c r="AH30" s="74">
        <f t="shared" si="234"/>
        <v>0</v>
      </c>
      <c r="AI30" s="75">
        <f t="shared" si="234"/>
        <v>0</v>
      </c>
      <c r="AJ30" s="75">
        <f t="shared" si="234"/>
        <v>0</v>
      </c>
      <c r="AK30" s="76">
        <f t="shared" si="234"/>
        <v>0</v>
      </c>
      <c r="AL30" s="73">
        <f t="shared" si="234"/>
        <v>0</v>
      </c>
      <c r="AM30" s="74">
        <f t="shared" si="234"/>
        <v>0</v>
      </c>
      <c r="AN30" s="75">
        <f t="shared" si="234"/>
        <v>0</v>
      </c>
      <c r="AO30" s="75">
        <f t="shared" si="234"/>
        <v>0</v>
      </c>
      <c r="AP30" s="76">
        <f t="shared" si="234"/>
        <v>0</v>
      </c>
      <c r="AQ30" s="73">
        <f t="shared" si="234"/>
        <v>0</v>
      </c>
      <c r="AR30" s="74">
        <f t="shared" ref="AR30:BP30" si="235">SUM(AR25:AR29)</f>
        <v>0</v>
      </c>
      <c r="AS30" s="75">
        <f t="shared" si="235"/>
        <v>0</v>
      </c>
      <c r="AT30" s="75">
        <f t="shared" si="235"/>
        <v>0</v>
      </c>
      <c r="AU30" s="76">
        <f t="shared" si="235"/>
        <v>0</v>
      </c>
      <c r="AV30" s="73">
        <f t="shared" si="235"/>
        <v>0</v>
      </c>
      <c r="AW30" s="74">
        <f t="shared" si="235"/>
        <v>0</v>
      </c>
      <c r="AX30" s="75">
        <f t="shared" si="235"/>
        <v>1200</v>
      </c>
      <c r="AY30" s="75">
        <f t="shared" si="235"/>
        <v>0</v>
      </c>
      <c r="AZ30" s="76">
        <f t="shared" si="235"/>
        <v>0</v>
      </c>
      <c r="BA30" s="73">
        <f t="shared" si="235"/>
        <v>1200</v>
      </c>
      <c r="BB30" s="74">
        <f t="shared" si="235"/>
        <v>0</v>
      </c>
      <c r="BC30" s="75">
        <f t="shared" si="235"/>
        <v>0</v>
      </c>
      <c r="BD30" s="75">
        <f t="shared" si="235"/>
        <v>700</v>
      </c>
      <c r="BE30" s="76">
        <f t="shared" si="235"/>
        <v>0</v>
      </c>
      <c r="BF30" s="73">
        <f t="shared" si="235"/>
        <v>700</v>
      </c>
      <c r="BG30" s="74">
        <f t="shared" si="235"/>
        <v>0</v>
      </c>
      <c r="BH30" s="75">
        <f t="shared" si="235"/>
        <v>0</v>
      </c>
      <c r="BI30" s="75">
        <f t="shared" si="235"/>
        <v>600</v>
      </c>
      <c r="BJ30" s="76">
        <f t="shared" si="235"/>
        <v>0</v>
      </c>
      <c r="BK30" s="73">
        <f t="shared" si="235"/>
        <v>600</v>
      </c>
      <c r="BL30" s="74">
        <f t="shared" si="235"/>
        <v>0</v>
      </c>
      <c r="BM30" s="75">
        <f t="shared" si="235"/>
        <v>0</v>
      </c>
      <c r="BN30" s="75">
        <f t="shared" si="235"/>
        <v>200</v>
      </c>
      <c r="BO30" s="76">
        <f t="shared" si="235"/>
        <v>0</v>
      </c>
      <c r="BP30" s="73">
        <f t="shared" si="235"/>
        <v>200</v>
      </c>
      <c r="BQ30" s="464"/>
      <c r="BR30" s="1999">
        <f t="shared" ref="BR30:CW30" si="236">SUM(BR25:BR29)</f>
        <v>0</v>
      </c>
      <c r="BS30" s="1999">
        <f t="shared" si="236"/>
        <v>0</v>
      </c>
      <c r="BT30" s="1997">
        <f t="shared" si="236"/>
        <v>0</v>
      </c>
      <c r="BU30" s="1997">
        <f t="shared" si="236"/>
        <v>0</v>
      </c>
      <c r="BV30" s="1997">
        <f t="shared" si="236"/>
        <v>0</v>
      </c>
      <c r="BW30" s="1997">
        <f t="shared" si="236"/>
        <v>0</v>
      </c>
      <c r="BX30" s="77">
        <f t="shared" si="236"/>
        <v>0</v>
      </c>
      <c r="BY30" s="75">
        <f t="shared" si="236"/>
        <v>0</v>
      </c>
      <c r="BZ30" s="75">
        <f t="shared" si="236"/>
        <v>0</v>
      </c>
      <c r="CA30" s="75">
        <f t="shared" si="236"/>
        <v>0</v>
      </c>
      <c r="CB30" s="76">
        <f t="shared" si="236"/>
        <v>0</v>
      </c>
      <c r="CC30" s="73">
        <f t="shared" si="236"/>
        <v>0</v>
      </c>
      <c r="CD30" s="74">
        <f t="shared" si="236"/>
        <v>0</v>
      </c>
      <c r="CE30" s="75">
        <f t="shared" si="236"/>
        <v>0</v>
      </c>
      <c r="CF30" s="75">
        <f t="shared" si="236"/>
        <v>0</v>
      </c>
      <c r="CG30" s="76">
        <f t="shared" si="236"/>
        <v>0</v>
      </c>
      <c r="CH30" s="73">
        <f t="shared" si="236"/>
        <v>0</v>
      </c>
      <c r="CI30" s="74">
        <f t="shared" si="236"/>
        <v>0</v>
      </c>
      <c r="CJ30" s="75">
        <f t="shared" si="236"/>
        <v>0</v>
      </c>
      <c r="CK30" s="75">
        <f t="shared" si="236"/>
        <v>0</v>
      </c>
      <c r="CL30" s="76">
        <f t="shared" si="236"/>
        <v>0</v>
      </c>
      <c r="CM30" s="73">
        <f t="shared" si="236"/>
        <v>0</v>
      </c>
      <c r="CN30" s="74">
        <f t="shared" si="236"/>
        <v>0</v>
      </c>
      <c r="CO30" s="75">
        <f t="shared" si="236"/>
        <v>0</v>
      </c>
      <c r="CP30" s="75">
        <f t="shared" si="236"/>
        <v>0</v>
      </c>
      <c r="CQ30" s="76">
        <f t="shared" si="236"/>
        <v>0</v>
      </c>
      <c r="CR30" s="73">
        <f t="shared" si="236"/>
        <v>0</v>
      </c>
      <c r="CS30" s="74">
        <f t="shared" si="236"/>
        <v>0</v>
      </c>
      <c r="CT30" s="75">
        <f t="shared" si="236"/>
        <v>0</v>
      </c>
      <c r="CU30" s="75">
        <f t="shared" si="236"/>
        <v>0</v>
      </c>
      <c r="CV30" s="76">
        <f t="shared" si="236"/>
        <v>0</v>
      </c>
      <c r="CW30" s="73">
        <f t="shared" si="236"/>
        <v>0</v>
      </c>
      <c r="CX30" s="74">
        <f t="shared" ref="CX30:DV30" si="237">SUM(CX25:CX29)</f>
        <v>0</v>
      </c>
      <c r="CY30" s="75">
        <f t="shared" si="237"/>
        <v>0</v>
      </c>
      <c r="CZ30" s="75">
        <f t="shared" si="237"/>
        <v>0</v>
      </c>
      <c r="DA30" s="76">
        <f t="shared" si="237"/>
        <v>0</v>
      </c>
      <c r="DB30" s="73">
        <f t="shared" si="237"/>
        <v>0</v>
      </c>
      <c r="DC30" s="74">
        <f t="shared" si="237"/>
        <v>0</v>
      </c>
      <c r="DD30" s="75">
        <f t="shared" si="237"/>
        <v>15</v>
      </c>
      <c r="DE30" s="75">
        <f t="shared" si="237"/>
        <v>15</v>
      </c>
      <c r="DF30" s="76">
        <f t="shared" si="237"/>
        <v>15</v>
      </c>
      <c r="DG30" s="73">
        <f t="shared" si="237"/>
        <v>45</v>
      </c>
      <c r="DH30" s="74">
        <f t="shared" si="237"/>
        <v>15</v>
      </c>
      <c r="DI30" s="75">
        <f t="shared" si="237"/>
        <v>0</v>
      </c>
      <c r="DJ30" s="75">
        <f t="shared" si="237"/>
        <v>8.75</v>
      </c>
      <c r="DK30" s="76">
        <f t="shared" si="237"/>
        <v>8.75</v>
      </c>
      <c r="DL30" s="73">
        <f t="shared" si="237"/>
        <v>32.5</v>
      </c>
      <c r="DM30" s="74">
        <f t="shared" si="237"/>
        <v>8.75</v>
      </c>
      <c r="DN30" s="75">
        <f t="shared" si="237"/>
        <v>8.75</v>
      </c>
      <c r="DO30" s="75">
        <f t="shared" si="237"/>
        <v>7.5</v>
      </c>
      <c r="DP30" s="76">
        <f t="shared" si="237"/>
        <v>7.5</v>
      </c>
      <c r="DQ30" s="73">
        <f t="shared" si="237"/>
        <v>32.5</v>
      </c>
      <c r="DR30" s="74">
        <f t="shared" si="237"/>
        <v>7.5</v>
      </c>
      <c r="DS30" s="75">
        <f t="shared" si="237"/>
        <v>7.5</v>
      </c>
      <c r="DT30" s="75">
        <f t="shared" si="237"/>
        <v>2.5</v>
      </c>
      <c r="DU30" s="76">
        <f t="shared" si="237"/>
        <v>2.5</v>
      </c>
      <c r="DV30" s="73">
        <f t="shared" si="237"/>
        <v>20</v>
      </c>
    </row>
    <row r="31" spans="1:126">
      <c r="A31" s="455"/>
      <c r="B31" s="455"/>
      <c r="C31" s="1357"/>
      <c r="D31" s="456"/>
      <c r="E31" s="1818"/>
      <c r="F31" s="1817"/>
      <c r="G31" s="1817"/>
      <c r="H31" s="1667"/>
      <c r="I31" s="1794"/>
      <c r="J31" s="1817"/>
      <c r="K31" s="1792"/>
      <c r="L31" s="1810"/>
      <c r="M31" s="1791"/>
      <c r="N31" s="1808"/>
      <c r="O31" s="1807"/>
      <c r="P31" s="1807"/>
      <c r="Q31" s="1806"/>
      <c r="R31" s="1791"/>
      <c r="S31" s="1808"/>
      <c r="T31" s="1807"/>
      <c r="U31" s="1807"/>
      <c r="V31" s="1806"/>
      <c r="W31" s="1791"/>
      <c r="X31" s="1808"/>
      <c r="Y31" s="1807"/>
      <c r="Z31" s="1807"/>
      <c r="AA31" s="1806"/>
      <c r="AB31" s="1791"/>
      <c r="AC31" s="1808"/>
      <c r="AD31" s="1807"/>
      <c r="AE31" s="1807"/>
      <c r="AF31" s="1806"/>
      <c r="AG31" s="1791"/>
      <c r="AH31" s="1808"/>
      <c r="AI31" s="1807"/>
      <c r="AJ31" s="1807"/>
      <c r="AK31" s="1806"/>
      <c r="AL31" s="1791"/>
      <c r="AM31" s="1808"/>
      <c r="AN31" s="1807"/>
      <c r="AO31" s="1807"/>
      <c r="AP31" s="1806"/>
      <c r="AQ31" s="1791"/>
      <c r="AR31" s="1808"/>
      <c r="AS31" s="1807"/>
      <c r="AT31" s="1807"/>
      <c r="AU31" s="1806"/>
      <c r="AV31" s="1791"/>
      <c r="AW31" s="1808"/>
      <c r="AX31" s="1807"/>
      <c r="AY31" s="1807"/>
      <c r="AZ31" s="1806"/>
      <c r="BA31" s="1791"/>
      <c r="BB31" s="1808"/>
      <c r="BC31" s="1807"/>
      <c r="BD31" s="1807"/>
      <c r="BE31" s="1806"/>
      <c r="BF31" s="1791"/>
      <c r="BG31" s="1808"/>
      <c r="BH31" s="1807"/>
      <c r="BI31" s="1807"/>
      <c r="BJ31" s="1806"/>
      <c r="BK31" s="1791"/>
      <c r="BL31" s="1808"/>
      <c r="BM31" s="1807"/>
      <c r="BN31" s="1807"/>
      <c r="BO31" s="1806"/>
      <c r="BP31" s="1791"/>
      <c r="BQ31" s="1809"/>
      <c r="BR31" s="1991"/>
      <c r="BS31" s="1991"/>
      <c r="BT31" s="1992"/>
      <c r="BU31" s="1992"/>
      <c r="BV31" s="1992"/>
      <c r="BW31" s="1992"/>
      <c r="BX31" s="1810"/>
      <c r="BY31" s="1807"/>
      <c r="BZ31" s="1807"/>
      <c r="CA31" s="1807"/>
      <c r="CB31" s="1806"/>
      <c r="CC31" s="1791"/>
      <c r="CD31" s="1808"/>
      <c r="CE31" s="1807"/>
      <c r="CF31" s="1807"/>
      <c r="CG31" s="1806"/>
      <c r="CH31" s="1791"/>
      <c r="CI31" s="1808"/>
      <c r="CJ31" s="1807"/>
      <c r="CK31" s="1807"/>
      <c r="CL31" s="1806"/>
      <c r="CM31" s="1791"/>
      <c r="CN31" s="1808"/>
      <c r="CO31" s="1807"/>
      <c r="CP31" s="1807"/>
      <c r="CQ31" s="1806"/>
      <c r="CR31" s="1791"/>
      <c r="CS31" s="1808"/>
      <c r="CT31" s="1807"/>
      <c r="CU31" s="1807"/>
      <c r="CV31" s="1806"/>
      <c r="CW31" s="1791"/>
      <c r="CX31" s="1808"/>
      <c r="CY31" s="1807"/>
      <c r="CZ31" s="1807"/>
      <c r="DA31" s="1806"/>
      <c r="DB31" s="1791"/>
      <c r="DC31" s="1808"/>
      <c r="DD31" s="1807"/>
      <c r="DE31" s="1807"/>
      <c r="DF31" s="1806"/>
      <c r="DG31" s="1791"/>
      <c r="DH31" s="1808"/>
      <c r="DI31" s="1807"/>
      <c r="DJ31" s="1807"/>
      <c r="DK31" s="1806"/>
      <c r="DL31" s="1791"/>
      <c r="DM31" s="1808"/>
      <c r="DN31" s="1807"/>
      <c r="DO31" s="1807"/>
      <c r="DP31" s="1806"/>
      <c r="DQ31" s="1791"/>
      <c r="DR31" s="1808"/>
      <c r="DS31" s="1807"/>
      <c r="DT31" s="1807"/>
      <c r="DU31" s="1806"/>
      <c r="DV31" s="1791"/>
    </row>
    <row r="32" spans="1:126">
      <c r="A32" s="455"/>
      <c r="B32" s="455"/>
      <c r="C32" s="1357" t="s">
        <v>130</v>
      </c>
      <c r="D32" s="456"/>
      <c r="E32" s="457"/>
      <c r="F32" s="458"/>
      <c r="G32" s="458"/>
      <c r="H32" s="1348"/>
      <c r="I32" s="1333"/>
      <c r="J32" s="458"/>
      <c r="K32" s="81"/>
      <c r="L32" s="77">
        <f t="shared" ref="L32:AQ32" si="238">+L22+L30</f>
        <v>0</v>
      </c>
      <c r="M32" s="73">
        <f t="shared" si="238"/>
        <v>0</v>
      </c>
      <c r="N32" s="74">
        <f t="shared" si="238"/>
        <v>0</v>
      </c>
      <c r="O32" s="75">
        <f t="shared" si="238"/>
        <v>0</v>
      </c>
      <c r="P32" s="75">
        <f t="shared" si="238"/>
        <v>0</v>
      </c>
      <c r="Q32" s="76">
        <f t="shared" si="238"/>
        <v>0</v>
      </c>
      <c r="R32" s="73">
        <f t="shared" si="238"/>
        <v>0</v>
      </c>
      <c r="S32" s="74">
        <f t="shared" si="238"/>
        <v>0</v>
      </c>
      <c r="T32" s="75">
        <f t="shared" si="238"/>
        <v>0</v>
      </c>
      <c r="U32" s="75">
        <f t="shared" si="238"/>
        <v>0</v>
      </c>
      <c r="V32" s="76">
        <f t="shared" si="238"/>
        <v>0</v>
      </c>
      <c r="W32" s="73">
        <f t="shared" si="238"/>
        <v>0</v>
      </c>
      <c r="X32" s="74">
        <f t="shared" si="238"/>
        <v>0</v>
      </c>
      <c r="Y32" s="75">
        <f t="shared" si="238"/>
        <v>0</v>
      </c>
      <c r="Z32" s="75">
        <f t="shared" si="238"/>
        <v>0</v>
      </c>
      <c r="AA32" s="76">
        <f t="shared" si="238"/>
        <v>0</v>
      </c>
      <c r="AB32" s="73">
        <f t="shared" si="238"/>
        <v>0</v>
      </c>
      <c r="AC32" s="74">
        <f t="shared" si="238"/>
        <v>0</v>
      </c>
      <c r="AD32" s="75">
        <f t="shared" si="238"/>
        <v>0</v>
      </c>
      <c r="AE32" s="75">
        <f t="shared" si="238"/>
        <v>0</v>
      </c>
      <c r="AF32" s="76">
        <f t="shared" si="238"/>
        <v>0</v>
      </c>
      <c r="AG32" s="73">
        <f t="shared" si="238"/>
        <v>0</v>
      </c>
      <c r="AH32" s="74">
        <f t="shared" si="238"/>
        <v>0</v>
      </c>
      <c r="AI32" s="75">
        <f t="shared" si="238"/>
        <v>0</v>
      </c>
      <c r="AJ32" s="75">
        <f t="shared" si="238"/>
        <v>0</v>
      </c>
      <c r="AK32" s="76">
        <f t="shared" si="238"/>
        <v>0</v>
      </c>
      <c r="AL32" s="73">
        <f t="shared" si="238"/>
        <v>0</v>
      </c>
      <c r="AM32" s="74">
        <f t="shared" si="238"/>
        <v>0</v>
      </c>
      <c r="AN32" s="75">
        <f t="shared" si="238"/>
        <v>0</v>
      </c>
      <c r="AO32" s="75">
        <f t="shared" si="238"/>
        <v>0</v>
      </c>
      <c r="AP32" s="76">
        <f t="shared" si="238"/>
        <v>0</v>
      </c>
      <c r="AQ32" s="73">
        <f t="shared" si="238"/>
        <v>0</v>
      </c>
      <c r="AR32" s="74">
        <f t="shared" ref="AR32:BP32" si="239">+AR22+AR30</f>
        <v>0</v>
      </c>
      <c r="AS32" s="75">
        <f t="shared" si="239"/>
        <v>0</v>
      </c>
      <c r="AT32" s="75">
        <f t="shared" si="239"/>
        <v>0</v>
      </c>
      <c r="AU32" s="76">
        <f t="shared" si="239"/>
        <v>0</v>
      </c>
      <c r="AV32" s="73">
        <f t="shared" si="239"/>
        <v>0</v>
      </c>
      <c r="AW32" s="74">
        <f t="shared" si="239"/>
        <v>0</v>
      </c>
      <c r="AX32" s="75">
        <f t="shared" si="239"/>
        <v>1200</v>
      </c>
      <c r="AY32" s="75">
        <f t="shared" si="239"/>
        <v>0</v>
      </c>
      <c r="AZ32" s="76">
        <f t="shared" si="239"/>
        <v>0</v>
      </c>
      <c r="BA32" s="73">
        <f t="shared" si="239"/>
        <v>1200</v>
      </c>
      <c r="BB32" s="74">
        <f t="shared" si="239"/>
        <v>0</v>
      </c>
      <c r="BC32" s="75">
        <f t="shared" si="239"/>
        <v>0</v>
      </c>
      <c r="BD32" s="75">
        <f t="shared" si="239"/>
        <v>700</v>
      </c>
      <c r="BE32" s="76">
        <f t="shared" si="239"/>
        <v>0</v>
      </c>
      <c r="BF32" s="73">
        <f t="shared" si="239"/>
        <v>700</v>
      </c>
      <c r="BG32" s="74">
        <f t="shared" si="239"/>
        <v>0</v>
      </c>
      <c r="BH32" s="75">
        <f t="shared" si="239"/>
        <v>0</v>
      </c>
      <c r="BI32" s="75">
        <f t="shared" si="239"/>
        <v>150</v>
      </c>
      <c r="BJ32" s="76">
        <f t="shared" si="239"/>
        <v>0</v>
      </c>
      <c r="BK32" s="73">
        <f t="shared" si="239"/>
        <v>150</v>
      </c>
      <c r="BL32" s="74">
        <f t="shared" si="239"/>
        <v>0</v>
      </c>
      <c r="BM32" s="75">
        <f t="shared" si="239"/>
        <v>0</v>
      </c>
      <c r="BN32" s="75">
        <f t="shared" si="239"/>
        <v>200</v>
      </c>
      <c r="BO32" s="76">
        <f t="shared" si="239"/>
        <v>0</v>
      </c>
      <c r="BP32" s="73">
        <f t="shared" si="239"/>
        <v>200</v>
      </c>
      <c r="BQ32" s="464"/>
      <c r="BR32" s="1999">
        <f t="shared" ref="BR32:CW32" si="240">+BR22+BR30</f>
        <v>0</v>
      </c>
      <c r="BS32" s="1999">
        <f t="shared" si="240"/>
        <v>0</v>
      </c>
      <c r="BT32" s="1997">
        <f t="shared" si="240"/>
        <v>0</v>
      </c>
      <c r="BU32" s="1997">
        <f t="shared" si="240"/>
        <v>0</v>
      </c>
      <c r="BV32" s="1997">
        <f t="shared" si="240"/>
        <v>0</v>
      </c>
      <c r="BW32" s="1997">
        <f t="shared" si="240"/>
        <v>0</v>
      </c>
      <c r="BX32" s="77">
        <f t="shared" si="240"/>
        <v>0</v>
      </c>
      <c r="BY32" s="75">
        <f t="shared" si="240"/>
        <v>0</v>
      </c>
      <c r="BZ32" s="75">
        <f t="shared" si="240"/>
        <v>0</v>
      </c>
      <c r="CA32" s="75">
        <f t="shared" si="240"/>
        <v>0</v>
      </c>
      <c r="CB32" s="76">
        <f t="shared" si="240"/>
        <v>0</v>
      </c>
      <c r="CC32" s="73">
        <f t="shared" si="240"/>
        <v>0</v>
      </c>
      <c r="CD32" s="74">
        <f t="shared" si="240"/>
        <v>0</v>
      </c>
      <c r="CE32" s="75">
        <f t="shared" si="240"/>
        <v>0</v>
      </c>
      <c r="CF32" s="75">
        <f t="shared" si="240"/>
        <v>0</v>
      </c>
      <c r="CG32" s="76">
        <f t="shared" si="240"/>
        <v>0</v>
      </c>
      <c r="CH32" s="73">
        <f t="shared" si="240"/>
        <v>0</v>
      </c>
      <c r="CI32" s="74">
        <f t="shared" si="240"/>
        <v>0</v>
      </c>
      <c r="CJ32" s="75">
        <f t="shared" si="240"/>
        <v>0</v>
      </c>
      <c r="CK32" s="75">
        <f t="shared" si="240"/>
        <v>0</v>
      </c>
      <c r="CL32" s="76">
        <f t="shared" si="240"/>
        <v>0</v>
      </c>
      <c r="CM32" s="73">
        <f t="shared" si="240"/>
        <v>0</v>
      </c>
      <c r="CN32" s="74">
        <f t="shared" si="240"/>
        <v>0</v>
      </c>
      <c r="CO32" s="75">
        <f t="shared" si="240"/>
        <v>0</v>
      </c>
      <c r="CP32" s="75">
        <f t="shared" si="240"/>
        <v>0</v>
      </c>
      <c r="CQ32" s="76">
        <f t="shared" si="240"/>
        <v>0</v>
      </c>
      <c r="CR32" s="73">
        <f t="shared" si="240"/>
        <v>0</v>
      </c>
      <c r="CS32" s="74">
        <f t="shared" si="240"/>
        <v>0</v>
      </c>
      <c r="CT32" s="75">
        <f t="shared" si="240"/>
        <v>0</v>
      </c>
      <c r="CU32" s="75">
        <f t="shared" si="240"/>
        <v>0</v>
      </c>
      <c r="CV32" s="76">
        <f t="shared" si="240"/>
        <v>0</v>
      </c>
      <c r="CW32" s="73">
        <f t="shared" si="240"/>
        <v>0</v>
      </c>
      <c r="CX32" s="74">
        <f t="shared" ref="CX32:DV32" si="241">+CX22+CX30</f>
        <v>0</v>
      </c>
      <c r="CY32" s="75">
        <f t="shared" si="241"/>
        <v>0</v>
      </c>
      <c r="CZ32" s="75">
        <f t="shared" si="241"/>
        <v>0</v>
      </c>
      <c r="DA32" s="76">
        <f t="shared" si="241"/>
        <v>0</v>
      </c>
      <c r="DB32" s="73">
        <f t="shared" si="241"/>
        <v>0</v>
      </c>
      <c r="DC32" s="74">
        <f t="shared" si="241"/>
        <v>0</v>
      </c>
      <c r="DD32" s="75">
        <f t="shared" si="241"/>
        <v>15</v>
      </c>
      <c r="DE32" s="75">
        <f t="shared" si="241"/>
        <v>15</v>
      </c>
      <c r="DF32" s="76">
        <f t="shared" si="241"/>
        <v>15</v>
      </c>
      <c r="DG32" s="73">
        <f t="shared" si="241"/>
        <v>45</v>
      </c>
      <c r="DH32" s="74">
        <f t="shared" si="241"/>
        <v>15</v>
      </c>
      <c r="DI32" s="75">
        <f t="shared" si="241"/>
        <v>0</v>
      </c>
      <c r="DJ32" s="75">
        <f t="shared" si="241"/>
        <v>8.75</v>
      </c>
      <c r="DK32" s="76">
        <f t="shared" si="241"/>
        <v>8.75</v>
      </c>
      <c r="DL32" s="73">
        <f t="shared" si="241"/>
        <v>32.5</v>
      </c>
      <c r="DM32" s="74">
        <f t="shared" si="241"/>
        <v>8.75</v>
      </c>
      <c r="DN32" s="75">
        <f t="shared" si="241"/>
        <v>8.75</v>
      </c>
      <c r="DO32" s="75">
        <f t="shared" si="241"/>
        <v>5.578125</v>
      </c>
      <c r="DP32" s="76">
        <f t="shared" si="241"/>
        <v>1.734375</v>
      </c>
      <c r="DQ32" s="73">
        <f t="shared" si="241"/>
        <v>24.8125</v>
      </c>
      <c r="DR32" s="74">
        <f t="shared" si="241"/>
        <v>1.734375</v>
      </c>
      <c r="DS32" s="75">
        <f t="shared" si="241"/>
        <v>1.734375</v>
      </c>
      <c r="DT32" s="75">
        <f t="shared" si="241"/>
        <v>-1.34375</v>
      </c>
      <c r="DU32" s="76">
        <f t="shared" si="241"/>
        <v>2.5</v>
      </c>
      <c r="DV32" s="73">
        <f t="shared" si="241"/>
        <v>4.625</v>
      </c>
    </row>
    <row r="33" spans="1:126" ht="13.5" thickBot="1">
      <c r="A33" s="455"/>
      <c r="B33" s="59"/>
      <c r="C33" s="1859"/>
      <c r="D33" s="1858"/>
      <c r="E33" s="1857"/>
      <c r="F33" s="1856"/>
      <c r="G33" s="1856"/>
      <c r="H33" s="1838"/>
      <c r="I33" s="1837"/>
      <c r="J33" s="1855"/>
      <c r="K33" s="2006"/>
      <c r="L33" s="1854"/>
      <c r="M33" s="1853"/>
      <c r="N33" s="1851"/>
      <c r="O33" s="1850"/>
      <c r="P33" s="1850"/>
      <c r="Q33" s="1849"/>
      <c r="R33" s="1853"/>
      <c r="S33" s="1851"/>
      <c r="T33" s="1850"/>
      <c r="U33" s="1850"/>
      <c r="V33" s="1849"/>
      <c r="W33" s="1853"/>
      <c r="X33" s="1851"/>
      <c r="Y33" s="1850"/>
      <c r="Z33" s="1850"/>
      <c r="AA33" s="1849"/>
      <c r="AB33" s="1853"/>
      <c r="AC33" s="1851"/>
      <c r="AD33" s="1850"/>
      <c r="AE33" s="1850"/>
      <c r="AF33" s="1849"/>
      <c r="AG33" s="1853"/>
      <c r="AH33" s="1851"/>
      <c r="AI33" s="1850"/>
      <c r="AJ33" s="1850"/>
      <c r="AK33" s="1849"/>
      <c r="AL33" s="1853"/>
      <c r="AM33" s="1851"/>
      <c r="AN33" s="1850"/>
      <c r="AO33" s="1850"/>
      <c r="AP33" s="1849"/>
      <c r="AQ33" s="1853"/>
      <c r="AR33" s="1851"/>
      <c r="AS33" s="1850"/>
      <c r="AT33" s="1850"/>
      <c r="AU33" s="1849"/>
      <c r="AV33" s="1853"/>
      <c r="AW33" s="1851"/>
      <c r="AX33" s="1850"/>
      <c r="AY33" s="1850"/>
      <c r="AZ33" s="1849"/>
      <c r="BA33" s="1853"/>
      <c r="BB33" s="1851"/>
      <c r="BC33" s="1850"/>
      <c r="BD33" s="1850"/>
      <c r="BE33" s="1849"/>
      <c r="BF33" s="1853"/>
      <c r="BG33" s="1851"/>
      <c r="BH33" s="1850"/>
      <c r="BI33" s="1850"/>
      <c r="BJ33" s="1849"/>
      <c r="BK33" s="1853"/>
      <c r="BL33" s="1851"/>
      <c r="BM33" s="1850"/>
      <c r="BN33" s="1850"/>
      <c r="BO33" s="1849"/>
      <c r="BP33" s="1853"/>
      <c r="BQ33" s="2000"/>
      <c r="BR33" s="2001"/>
      <c r="BS33" s="2001"/>
      <c r="BT33" s="2002"/>
      <c r="BU33" s="2002"/>
      <c r="BV33" s="2002"/>
      <c r="BW33" s="2002"/>
      <c r="BX33" s="1852"/>
      <c r="BY33" s="1850"/>
      <c r="BZ33" s="1850"/>
      <c r="CA33" s="1850"/>
      <c r="CB33" s="1849"/>
      <c r="CC33" s="1848"/>
      <c r="CD33" s="1851"/>
      <c r="CE33" s="1850"/>
      <c r="CF33" s="1850"/>
      <c r="CG33" s="1849"/>
      <c r="CH33" s="1848"/>
      <c r="CI33" s="1851"/>
      <c r="CJ33" s="1850"/>
      <c r="CK33" s="1850"/>
      <c r="CL33" s="1849"/>
      <c r="CM33" s="1848"/>
      <c r="CN33" s="1851"/>
      <c r="CO33" s="1850"/>
      <c r="CP33" s="1850"/>
      <c r="CQ33" s="1849"/>
      <c r="CR33" s="1848"/>
      <c r="CS33" s="1851"/>
      <c r="CT33" s="1850"/>
      <c r="CU33" s="1850"/>
      <c r="CV33" s="1849"/>
      <c r="CW33" s="1848"/>
      <c r="CX33" s="1851"/>
      <c r="CY33" s="1850"/>
      <c r="CZ33" s="1850"/>
      <c r="DA33" s="1849"/>
      <c r="DB33" s="1848"/>
      <c r="DC33" s="1851"/>
      <c r="DD33" s="1850"/>
      <c r="DE33" s="1850"/>
      <c r="DF33" s="1849"/>
      <c r="DG33" s="1848"/>
      <c r="DH33" s="1851"/>
      <c r="DI33" s="1850"/>
      <c r="DJ33" s="1850"/>
      <c r="DK33" s="1849"/>
      <c r="DL33" s="1848"/>
      <c r="DM33" s="1851"/>
      <c r="DN33" s="1850"/>
      <c r="DO33" s="1850"/>
      <c r="DP33" s="1849"/>
      <c r="DQ33" s="1848"/>
      <c r="DR33" s="1851"/>
      <c r="DS33" s="1850"/>
      <c r="DT33" s="1850"/>
      <c r="DU33" s="1849"/>
      <c r="DV33" s="1848"/>
    </row>
    <row r="34" spans="1:126">
      <c r="A34" s="455"/>
      <c r="B34" s="70" t="s">
        <v>237</v>
      </c>
      <c r="C34" s="1356"/>
      <c r="D34" s="17"/>
      <c r="E34" s="1796"/>
      <c r="F34" s="1667"/>
      <c r="G34" s="1667"/>
      <c r="H34" s="1667"/>
      <c r="I34" s="1794"/>
      <c r="J34" s="1793"/>
      <c r="K34" s="1792"/>
      <c r="L34" s="1810"/>
      <c r="M34" s="1791"/>
      <c r="N34" s="1789"/>
      <c r="O34" s="1788"/>
      <c r="P34" s="1788"/>
      <c r="Q34" s="1787"/>
      <c r="R34" s="1791"/>
      <c r="S34" s="1789"/>
      <c r="T34" s="1788"/>
      <c r="U34" s="1788"/>
      <c r="V34" s="1787"/>
      <c r="W34" s="1791"/>
      <c r="X34" s="1789"/>
      <c r="Y34" s="1788"/>
      <c r="Z34" s="1788"/>
      <c r="AA34" s="1787"/>
      <c r="AB34" s="1791"/>
      <c r="AC34" s="1789"/>
      <c r="AD34" s="1788"/>
      <c r="AE34" s="1788"/>
      <c r="AF34" s="1787"/>
      <c r="AG34" s="1791"/>
      <c r="AH34" s="1789"/>
      <c r="AI34" s="1788"/>
      <c r="AJ34" s="1788"/>
      <c r="AK34" s="1787"/>
      <c r="AL34" s="1791"/>
      <c r="AM34" s="1789"/>
      <c r="AN34" s="1788"/>
      <c r="AO34" s="1788"/>
      <c r="AP34" s="1787"/>
      <c r="AQ34" s="1791"/>
      <c r="AR34" s="1789"/>
      <c r="AS34" s="1788"/>
      <c r="AT34" s="1788"/>
      <c r="AU34" s="1787"/>
      <c r="AV34" s="1791"/>
      <c r="AW34" s="1789"/>
      <c r="AX34" s="1788"/>
      <c r="AY34" s="1788"/>
      <c r="AZ34" s="1787"/>
      <c r="BA34" s="1791"/>
      <c r="BB34" s="1789"/>
      <c r="BC34" s="1788"/>
      <c r="BD34" s="1788"/>
      <c r="BE34" s="1787"/>
      <c r="BF34" s="1791"/>
      <c r="BG34" s="1789"/>
      <c r="BH34" s="1788"/>
      <c r="BI34" s="1788"/>
      <c r="BJ34" s="1787"/>
      <c r="BK34" s="1791"/>
      <c r="BL34" s="1789"/>
      <c r="BM34" s="1788"/>
      <c r="BN34" s="1788"/>
      <c r="BO34" s="1787"/>
      <c r="BP34" s="1791"/>
      <c r="BQ34" s="1790"/>
      <c r="BR34" s="2003"/>
      <c r="BS34" s="2003"/>
      <c r="BT34" s="2004"/>
      <c r="BU34" s="2004"/>
      <c r="BV34" s="2004"/>
      <c r="BW34" s="2004"/>
      <c r="BX34" s="1844"/>
      <c r="BY34" s="1788"/>
      <c r="BZ34" s="1788"/>
      <c r="CA34" s="1788"/>
      <c r="CB34" s="1787"/>
      <c r="CC34" s="1786"/>
      <c r="CD34" s="1789"/>
      <c r="CE34" s="1788"/>
      <c r="CF34" s="1788"/>
      <c r="CG34" s="1787"/>
      <c r="CH34" s="1786"/>
      <c r="CI34" s="1789"/>
      <c r="CJ34" s="1788"/>
      <c r="CK34" s="1788"/>
      <c r="CL34" s="1787"/>
      <c r="CM34" s="1786"/>
      <c r="CN34" s="1789"/>
      <c r="CO34" s="1788"/>
      <c r="CP34" s="1788"/>
      <c r="CQ34" s="1787"/>
      <c r="CR34" s="1786"/>
      <c r="CS34" s="1789"/>
      <c r="CT34" s="1788"/>
      <c r="CU34" s="1788"/>
      <c r="CV34" s="1787"/>
      <c r="CW34" s="1786"/>
      <c r="CX34" s="1789"/>
      <c r="CY34" s="1788"/>
      <c r="CZ34" s="1788"/>
      <c r="DA34" s="1787"/>
      <c r="DB34" s="1786"/>
      <c r="DC34" s="1789"/>
      <c r="DD34" s="1788"/>
      <c r="DE34" s="1788"/>
      <c r="DF34" s="1787"/>
      <c r="DG34" s="1786"/>
      <c r="DH34" s="1789"/>
      <c r="DI34" s="1788"/>
      <c r="DJ34" s="1788"/>
      <c r="DK34" s="1787"/>
      <c r="DL34" s="1786"/>
      <c r="DM34" s="1789"/>
      <c r="DN34" s="1788"/>
      <c r="DO34" s="1788"/>
      <c r="DP34" s="1787"/>
      <c r="DQ34" s="1786"/>
      <c r="DR34" s="1789"/>
      <c r="DS34" s="1788"/>
      <c r="DT34" s="1788"/>
      <c r="DU34" s="1787"/>
      <c r="DV34" s="1786"/>
    </row>
    <row r="35" spans="1:126">
      <c r="A35" s="455"/>
      <c r="B35" s="8"/>
      <c r="C35" s="1357"/>
      <c r="D35" s="71"/>
      <c r="E35" s="1796"/>
      <c r="F35" s="1847"/>
      <c r="G35" s="1847"/>
      <c r="H35" s="1847"/>
      <c r="I35" s="1846"/>
      <c r="J35" s="1845"/>
      <c r="K35" s="1792"/>
      <c r="L35" s="1810"/>
      <c r="M35" s="1791"/>
      <c r="N35" s="1789"/>
      <c r="O35" s="1788"/>
      <c r="P35" s="1788"/>
      <c r="Q35" s="1787"/>
      <c r="R35" s="1791"/>
      <c r="S35" s="1789"/>
      <c r="T35" s="1788"/>
      <c r="U35" s="1788"/>
      <c r="V35" s="1787"/>
      <c r="W35" s="1791"/>
      <c r="X35" s="1789"/>
      <c r="Y35" s="1788"/>
      <c r="Z35" s="1788"/>
      <c r="AA35" s="1787"/>
      <c r="AB35" s="1791"/>
      <c r="AC35" s="1789"/>
      <c r="AD35" s="1788"/>
      <c r="AE35" s="1788"/>
      <c r="AF35" s="1787"/>
      <c r="AG35" s="1791"/>
      <c r="AH35" s="1789"/>
      <c r="AI35" s="1788"/>
      <c r="AJ35" s="1788"/>
      <c r="AK35" s="1787"/>
      <c r="AL35" s="1791"/>
      <c r="AM35" s="1789"/>
      <c r="AN35" s="1788"/>
      <c r="AO35" s="1788"/>
      <c r="AP35" s="1787"/>
      <c r="AQ35" s="1791"/>
      <c r="AR35" s="1789"/>
      <c r="AS35" s="1788"/>
      <c r="AT35" s="1788"/>
      <c r="AU35" s="1787"/>
      <c r="AV35" s="1791"/>
      <c r="AW35" s="1789"/>
      <c r="AX35" s="1788"/>
      <c r="AY35" s="1788"/>
      <c r="AZ35" s="1787"/>
      <c r="BA35" s="1791"/>
      <c r="BB35" s="1789"/>
      <c r="BC35" s="1788"/>
      <c r="BD35" s="1788"/>
      <c r="BE35" s="1787"/>
      <c r="BF35" s="1791"/>
      <c r="BG35" s="1789"/>
      <c r="BH35" s="1788"/>
      <c r="BI35" s="1788"/>
      <c r="BJ35" s="1787"/>
      <c r="BK35" s="1791"/>
      <c r="BL35" s="1789"/>
      <c r="BM35" s="1788"/>
      <c r="BN35" s="1788"/>
      <c r="BO35" s="1787"/>
      <c r="BP35" s="1791"/>
      <c r="BQ35" s="1790"/>
      <c r="BR35" s="2003"/>
      <c r="BS35" s="2003"/>
      <c r="BT35" s="2004"/>
      <c r="BU35" s="2004"/>
      <c r="BV35" s="2004"/>
      <c r="BW35" s="2004"/>
      <c r="BX35" s="1844"/>
      <c r="BY35" s="1788"/>
      <c r="BZ35" s="1788"/>
      <c r="CA35" s="1788"/>
      <c r="CB35" s="1787"/>
      <c r="CC35" s="1786"/>
      <c r="CD35" s="1789"/>
      <c r="CE35" s="1788"/>
      <c r="CF35" s="1788"/>
      <c r="CG35" s="1787"/>
      <c r="CH35" s="1786"/>
      <c r="CI35" s="1789"/>
      <c r="CJ35" s="1788"/>
      <c r="CK35" s="1788"/>
      <c r="CL35" s="1787"/>
      <c r="CM35" s="1786"/>
      <c r="CN35" s="1789"/>
      <c r="CO35" s="1788"/>
      <c r="CP35" s="1788"/>
      <c r="CQ35" s="1787"/>
      <c r="CR35" s="1786"/>
      <c r="CS35" s="1789"/>
      <c r="CT35" s="1788"/>
      <c r="CU35" s="1788"/>
      <c r="CV35" s="1787"/>
      <c r="CW35" s="1786"/>
      <c r="CX35" s="1789"/>
      <c r="CY35" s="1788"/>
      <c r="CZ35" s="1788"/>
      <c r="DA35" s="1787"/>
      <c r="DB35" s="1786"/>
      <c r="DC35" s="1789"/>
      <c r="DD35" s="1788"/>
      <c r="DE35" s="1788"/>
      <c r="DF35" s="1787"/>
      <c r="DG35" s="1786"/>
      <c r="DH35" s="1789"/>
      <c r="DI35" s="1788"/>
      <c r="DJ35" s="1788"/>
      <c r="DK35" s="1787"/>
      <c r="DL35" s="1786"/>
      <c r="DM35" s="1789"/>
      <c r="DN35" s="1788"/>
      <c r="DO35" s="1788"/>
      <c r="DP35" s="1787"/>
      <c r="DQ35" s="1786"/>
      <c r="DR35" s="1789"/>
      <c r="DS35" s="1788"/>
      <c r="DT35" s="1788"/>
      <c r="DU35" s="1787"/>
      <c r="DV35" s="1786"/>
    </row>
    <row r="36" spans="1:126">
      <c r="A36" s="455"/>
      <c r="B36" s="455"/>
      <c r="C36" s="1361" t="s">
        <v>161</v>
      </c>
      <c r="D36" s="94"/>
      <c r="E36" s="94"/>
      <c r="F36" s="1597"/>
      <c r="G36" s="1597"/>
      <c r="H36" s="1597"/>
      <c r="I36" s="1598"/>
      <c r="J36" s="1599"/>
      <c r="K36" s="2007"/>
      <c r="L36" s="1810"/>
      <c r="M36" s="1791"/>
      <c r="N36" s="1808"/>
      <c r="O36" s="1807"/>
      <c r="P36" s="1807"/>
      <c r="Q36" s="1806"/>
      <c r="R36" s="1791"/>
      <c r="S36" s="1808"/>
      <c r="T36" s="1807"/>
      <c r="U36" s="1807"/>
      <c r="V36" s="1806"/>
      <c r="W36" s="1791"/>
      <c r="X36" s="1808"/>
      <c r="Y36" s="1807"/>
      <c r="Z36" s="1807"/>
      <c r="AA36" s="1806"/>
      <c r="AB36" s="1791"/>
      <c r="AC36" s="1808"/>
      <c r="AD36" s="1807"/>
      <c r="AE36" s="1807"/>
      <c r="AF36" s="1806"/>
      <c r="AG36" s="1791"/>
      <c r="AH36" s="1808"/>
      <c r="AI36" s="1807"/>
      <c r="AJ36" s="1807"/>
      <c r="AK36" s="1806"/>
      <c r="AL36" s="1791"/>
      <c r="AM36" s="1808"/>
      <c r="AN36" s="1807"/>
      <c r="AO36" s="1807"/>
      <c r="AP36" s="1806"/>
      <c r="AQ36" s="1791"/>
      <c r="AR36" s="1808"/>
      <c r="AS36" s="1807"/>
      <c r="AT36" s="1807"/>
      <c r="AU36" s="1806"/>
      <c r="AV36" s="1791"/>
      <c r="AW36" s="1808"/>
      <c r="AX36" s="1807"/>
      <c r="AY36" s="1807"/>
      <c r="AZ36" s="1806"/>
      <c r="BA36" s="1791"/>
      <c r="BB36" s="1808"/>
      <c r="BC36" s="1807"/>
      <c r="BD36" s="1807"/>
      <c r="BE36" s="1806"/>
      <c r="BF36" s="1791"/>
      <c r="BG36" s="1808"/>
      <c r="BH36" s="1807"/>
      <c r="BI36" s="1807"/>
      <c r="BJ36" s="1806"/>
      <c r="BK36" s="1791"/>
      <c r="BL36" s="1808"/>
      <c r="BM36" s="1807"/>
      <c r="BN36" s="1807"/>
      <c r="BO36" s="1806"/>
      <c r="BP36" s="1791"/>
      <c r="BQ36" s="1809"/>
      <c r="BR36" s="1991"/>
      <c r="BS36" s="1991"/>
      <c r="BT36" s="1992"/>
      <c r="BU36" s="1992"/>
      <c r="BV36" s="1992"/>
      <c r="BW36" s="1992"/>
      <c r="BX36" s="1810"/>
      <c r="BY36" s="1807"/>
      <c r="BZ36" s="1807"/>
      <c r="CA36" s="1807"/>
      <c r="CB36" s="1806"/>
      <c r="CC36" s="1791"/>
      <c r="CD36" s="1808"/>
      <c r="CE36" s="1807"/>
      <c r="CF36" s="1807"/>
      <c r="CG36" s="1806"/>
      <c r="CH36" s="1791"/>
      <c r="CI36" s="1808"/>
      <c r="CJ36" s="1807"/>
      <c r="CK36" s="1807"/>
      <c r="CL36" s="1806"/>
      <c r="CM36" s="1791"/>
      <c r="CN36" s="1808"/>
      <c r="CO36" s="1807"/>
      <c r="CP36" s="1807"/>
      <c r="CQ36" s="1806"/>
      <c r="CR36" s="1791"/>
      <c r="CS36" s="1808"/>
      <c r="CT36" s="1807"/>
      <c r="CU36" s="1807"/>
      <c r="CV36" s="1806"/>
      <c r="CW36" s="1791"/>
      <c r="CX36" s="1808"/>
      <c r="CY36" s="1807"/>
      <c r="CZ36" s="1807"/>
      <c r="DA36" s="1806"/>
      <c r="DB36" s="1791"/>
      <c r="DC36" s="1808"/>
      <c r="DD36" s="1807"/>
      <c r="DE36" s="1807"/>
      <c r="DF36" s="1806"/>
      <c r="DG36" s="1791"/>
      <c r="DH36" s="1808"/>
      <c r="DI36" s="1807"/>
      <c r="DJ36" s="1807"/>
      <c r="DK36" s="1806"/>
      <c r="DL36" s="1791"/>
      <c r="DM36" s="1808"/>
      <c r="DN36" s="1807"/>
      <c r="DO36" s="1807"/>
      <c r="DP36" s="1806"/>
      <c r="DQ36" s="1791"/>
      <c r="DR36" s="1808"/>
      <c r="DS36" s="1807"/>
      <c r="DT36" s="1807"/>
      <c r="DU36" s="1806"/>
      <c r="DV36" s="1791"/>
    </row>
    <row r="37" spans="1:126">
      <c r="A37" s="455"/>
      <c r="B37" s="455"/>
      <c r="C37" s="1362" t="s">
        <v>745</v>
      </c>
      <c r="D37" s="94"/>
      <c r="E37" s="94"/>
      <c r="F37" s="1597"/>
      <c r="G37" s="1597"/>
      <c r="H37" s="1597"/>
      <c r="I37" s="1598"/>
      <c r="J37" s="1599"/>
      <c r="K37" s="2007"/>
      <c r="L37" s="1810"/>
      <c r="M37" s="1791"/>
      <c r="N37" s="1808"/>
      <c r="O37" s="1807"/>
      <c r="P37" s="1807"/>
      <c r="Q37" s="1806"/>
      <c r="R37" s="1791"/>
      <c r="S37" s="1808"/>
      <c r="T37" s="1807"/>
      <c r="U37" s="1807"/>
      <c r="V37" s="1806"/>
      <c r="W37" s="1791"/>
      <c r="X37" s="1808"/>
      <c r="Y37" s="1807"/>
      <c r="Z37" s="1807"/>
      <c r="AA37" s="1806"/>
      <c r="AB37" s="1791"/>
      <c r="AC37" s="1808"/>
      <c r="AD37" s="1807"/>
      <c r="AE37" s="1807"/>
      <c r="AF37" s="1806"/>
      <c r="AG37" s="1791"/>
      <c r="AH37" s="1808"/>
      <c r="AI37" s="1807"/>
      <c r="AJ37" s="1807"/>
      <c r="AK37" s="1806"/>
      <c r="AL37" s="1791"/>
      <c r="AM37" s="1808"/>
      <c r="AN37" s="1807"/>
      <c r="AO37" s="1807"/>
      <c r="AP37" s="1806"/>
      <c r="AQ37" s="1791"/>
      <c r="AR37" s="1808"/>
      <c r="AS37" s="1807"/>
      <c r="AT37" s="1807"/>
      <c r="AU37" s="1806"/>
      <c r="AV37" s="1791"/>
      <c r="AW37" s="1808"/>
      <c r="AX37" s="1807"/>
      <c r="AY37" s="1807"/>
      <c r="AZ37" s="1806"/>
      <c r="BA37" s="1791"/>
      <c r="BB37" s="1808"/>
      <c r="BC37" s="1807"/>
      <c r="BD37" s="1807"/>
      <c r="BE37" s="1806"/>
      <c r="BF37" s="1791"/>
      <c r="BG37" s="1808"/>
      <c r="BH37" s="1807"/>
      <c r="BI37" s="1807"/>
      <c r="BJ37" s="1806"/>
      <c r="BK37" s="1791"/>
      <c r="BL37" s="1808"/>
      <c r="BM37" s="1807"/>
      <c r="BN37" s="1807"/>
      <c r="BO37" s="1806"/>
      <c r="BP37" s="1791"/>
      <c r="BQ37" s="1809"/>
      <c r="BR37" s="1991"/>
      <c r="BS37" s="1991"/>
      <c r="BT37" s="1992"/>
      <c r="BU37" s="1992"/>
      <c r="BV37" s="1992"/>
      <c r="BW37" s="1992"/>
      <c r="BX37" s="1810"/>
      <c r="BY37" s="1807"/>
      <c r="BZ37" s="1807"/>
      <c r="CA37" s="1807"/>
      <c r="CB37" s="1806"/>
      <c r="CC37" s="1791"/>
      <c r="CD37" s="1808"/>
      <c r="CE37" s="1807"/>
      <c r="CF37" s="1807"/>
      <c r="CG37" s="1806"/>
      <c r="CH37" s="1791"/>
      <c r="CI37" s="1808"/>
      <c r="CJ37" s="1807"/>
      <c r="CK37" s="1807"/>
      <c r="CL37" s="1806"/>
      <c r="CM37" s="1791"/>
      <c r="CN37" s="1808"/>
      <c r="CO37" s="1807"/>
      <c r="CP37" s="1807"/>
      <c r="CQ37" s="1806"/>
      <c r="CR37" s="1791"/>
      <c r="CS37" s="1808"/>
      <c r="CT37" s="1807"/>
      <c r="CU37" s="1807"/>
      <c r="CV37" s="1806"/>
      <c r="CW37" s="1791"/>
      <c r="CX37" s="1808"/>
      <c r="CY37" s="1807"/>
      <c r="CZ37" s="1807"/>
      <c r="DA37" s="1806"/>
      <c r="DB37" s="1791"/>
      <c r="DC37" s="1808"/>
      <c r="DD37" s="1807"/>
      <c r="DE37" s="1807"/>
      <c r="DF37" s="1806"/>
      <c r="DG37" s="1791"/>
      <c r="DH37" s="1808"/>
      <c r="DI37" s="1807"/>
      <c r="DJ37" s="1807"/>
      <c r="DK37" s="1806"/>
      <c r="DL37" s="1791"/>
      <c r="DM37" s="1808"/>
      <c r="DN37" s="1807"/>
      <c r="DO37" s="1807"/>
      <c r="DP37" s="1806"/>
      <c r="DQ37" s="1791"/>
      <c r="DR37" s="1808"/>
      <c r="DS37" s="1807"/>
      <c r="DT37" s="1807"/>
      <c r="DU37" s="1806"/>
      <c r="DV37" s="1791"/>
    </row>
    <row r="38" spans="1:126">
      <c r="A38" s="455"/>
      <c r="B38" s="455"/>
      <c r="C38" s="1363" t="s">
        <v>740</v>
      </c>
      <c r="D38" s="94"/>
      <c r="E38" s="1817">
        <f>IF(F38=0,G38,F38)</f>
        <v>350</v>
      </c>
      <c r="F38" s="1435">
        <v>350</v>
      </c>
      <c r="G38" s="1435">
        <v>350</v>
      </c>
      <c r="H38" s="1350">
        <v>2021</v>
      </c>
      <c r="I38" s="1335">
        <v>3.7499999999999999E-2</v>
      </c>
      <c r="J38" s="1343">
        <v>2</v>
      </c>
      <c r="K38" s="1792"/>
      <c r="L38" s="1810">
        <f t="shared" ref="L38:M42" si="242">IF(L$5=$H38,-$E38,0)</f>
        <v>0</v>
      </c>
      <c r="M38" s="1791">
        <f t="shared" si="242"/>
        <v>0</v>
      </c>
      <c r="N38" s="1808">
        <f t="shared" ref="N38:N42" si="243">IF(R38=0,0,IF(R38&lt;0,IF($J38=3,R38,IF($J38=2,R38,IF($J38=1,R38,0)))))</f>
        <v>0</v>
      </c>
      <c r="O38" s="1807">
        <f t="shared" ref="O38:O42" si="244">IF(R38=0,0,IF(R38&lt;0,IF($J38=6,R38,IF($J38=5,R38,IF($J38=4,R38,0)))))</f>
        <v>0</v>
      </c>
      <c r="P38" s="1807">
        <f t="shared" ref="P38:P42" si="245">IF(R38=0,0,IF(R38&lt;0,IF($J38=9,R38,IF($J38=8,R38,IF($J38=7,R38,0)))))</f>
        <v>0</v>
      </c>
      <c r="Q38" s="1806">
        <f t="shared" ref="Q38:Q42" si="246">IF(R38=0,0,IF(R38&lt;0,IF($J38=12,R38,IF($J38=11,R38,IF($J38=10,R38,0)))))</f>
        <v>0</v>
      </c>
      <c r="R38" s="1791">
        <f t="shared" ref="R38:R42" si="247">IF(R$5=$H38,-$E38,0)</f>
        <v>0</v>
      </c>
      <c r="S38" s="1808">
        <f t="shared" ref="S38:S42" si="248">IF(W38=0,0,IF(W38&lt;0,IF($J38=3,W38,IF($J38=2,W38,IF($J38=1,W38,0)))))</f>
        <v>0</v>
      </c>
      <c r="T38" s="1807">
        <f t="shared" ref="T38:T42" si="249">IF(W38=0,0,IF(W38&lt;0,IF($J38=6,W38,IF($J38=5,W38,IF($J38=4,W38,0)))))</f>
        <v>0</v>
      </c>
      <c r="U38" s="1807">
        <f t="shared" ref="U38:U42" si="250">IF(W38=0,0,IF(W38&lt;0,IF($J38=9,W38,IF($J38=8,W38,IF($J38=7,W38,0)))))</f>
        <v>0</v>
      </c>
      <c r="V38" s="1806">
        <f t="shared" ref="V38:V42" si="251">IF(W38=0,0,IF(W38&lt;0,IF($J38=12,W38,IF($J38=11,W38,IF($J38=10,W38,0)))))</f>
        <v>0</v>
      </c>
      <c r="W38" s="1791">
        <f t="shared" ref="W38:W42" si="252">IF(W$5=$H38,-$E38,0)</f>
        <v>0</v>
      </c>
      <c r="X38" s="1808">
        <f t="shared" ref="X38:X42" si="253">IF(AB38=0,0,IF(AB38&lt;0,IF($J38=3,AB38,IF($J38=2,AB38,IF($J38=1,AB38,0)))))</f>
        <v>0</v>
      </c>
      <c r="Y38" s="1807">
        <f t="shared" ref="Y38:Y42" si="254">IF(AB38=0,0,IF(AB38&lt;0,IF($J38=6,AB38,IF($J38=5,AB38,IF($J38=4,AB38,0)))))</f>
        <v>0</v>
      </c>
      <c r="Z38" s="1807">
        <f t="shared" ref="Z38:Z42" si="255">IF(AB38=0,0,IF(AB38&lt;0,IF($J38=9,AB38,IF($J38=8,AB38,IF($J38=7,AB38,0)))))</f>
        <v>0</v>
      </c>
      <c r="AA38" s="1806">
        <f t="shared" ref="AA38:AA42" si="256">IF(AB38=0,0,IF(AB38&lt;0,IF($J38=12,AB38,IF($J38=11,AB38,IF($J38=10,AB38,0)))))</f>
        <v>0</v>
      </c>
      <c r="AB38" s="1791">
        <f t="shared" ref="AB38:AB42" si="257">IF(AB$5=$H38,-$E38,0)</f>
        <v>0</v>
      </c>
      <c r="AC38" s="1808">
        <f t="shared" ref="AC38:AC42" si="258">IF(AG38=0,0,IF(AG38&lt;0,IF($J38=3,AG38,IF($J38=2,AG38,IF($J38=1,AG38,0)))))</f>
        <v>0</v>
      </c>
      <c r="AD38" s="1807">
        <f t="shared" ref="AD38:AD42" si="259">IF(AG38=0,0,IF(AG38&lt;0,IF($J38=6,AG38,IF($J38=5,AG38,IF($J38=4,AG38,0)))))</f>
        <v>0</v>
      </c>
      <c r="AE38" s="1807">
        <f t="shared" ref="AE38:AE42" si="260">IF(AG38=0,0,IF(AG38&lt;0,IF($J38=9,AG38,IF($J38=8,AG38,IF($J38=7,AG38,0)))))</f>
        <v>0</v>
      </c>
      <c r="AF38" s="1806">
        <f t="shared" ref="AF38:AF42" si="261">IF(AG38=0,0,IF(AG38&lt;0,IF($J38=12,AG38,IF($J38=11,AG38,IF($J38=10,AG38,0)))))</f>
        <v>0</v>
      </c>
      <c r="AG38" s="1791">
        <f t="shared" ref="AG38:AG42" si="262">IF(AG$5=$H38,-$E38,0)</f>
        <v>0</v>
      </c>
      <c r="AH38" s="1808">
        <f t="shared" ref="AH38:AH42" si="263">IF(AL38=0,0,IF(AL38&lt;0,IF($J38=3,AL38,IF($J38=2,AL38,IF($J38=1,AL38,0)))))</f>
        <v>0</v>
      </c>
      <c r="AI38" s="1807">
        <f t="shared" ref="AI38:AI42" si="264">IF(AL38=0,0,IF(AL38&lt;0,IF($J38=6,AL38,IF($J38=5,AL38,IF($J38=4,AL38,0)))))</f>
        <v>0</v>
      </c>
      <c r="AJ38" s="1807">
        <f t="shared" ref="AJ38:AJ42" si="265">IF(AL38=0,0,IF(AL38&lt;0,IF($J38=9,AL38,IF($J38=8,AL38,IF($J38=7,AL38,0)))))</f>
        <v>0</v>
      </c>
      <c r="AK38" s="1806">
        <f t="shared" ref="AK38:AK42" si="266">IF(AL38=0,0,IF(AL38&lt;0,IF($J38=12,AL38,IF($J38=11,AL38,IF($J38=10,AL38,0)))))</f>
        <v>0</v>
      </c>
      <c r="AL38" s="1791">
        <f t="shared" ref="AL38:AL42" si="267">IF(AL$5=$H38,-$E38,0)</f>
        <v>0</v>
      </c>
      <c r="AM38" s="1808">
        <f t="shared" ref="AM38:AM42" si="268">IF(AQ38=0,0,IF(AQ38&lt;0,IF($J38=3,AQ38,IF($J38=2,AQ38,IF($J38=1,AQ38,0)))))</f>
        <v>0</v>
      </c>
      <c r="AN38" s="1807">
        <f t="shared" ref="AN38:AN42" si="269">IF(AQ38=0,0,IF(AQ38&lt;0,IF($J38=6,AQ38,IF($J38=5,AQ38,IF($J38=4,AQ38,0)))))</f>
        <v>0</v>
      </c>
      <c r="AO38" s="1807">
        <f t="shared" ref="AO38:AO42" si="270">IF(AQ38=0,0,IF(AQ38&lt;0,IF($J38=9,AQ38,IF($J38=8,AQ38,IF($J38=7,AQ38,0)))))</f>
        <v>0</v>
      </c>
      <c r="AP38" s="1806">
        <f t="shared" ref="AP38:AP42" si="271">IF(AQ38=0,0,IF(AQ38&lt;0,IF($J38=12,AQ38,IF($J38=11,AQ38,IF($J38=10,AQ38,0)))))</f>
        <v>0</v>
      </c>
      <c r="AQ38" s="1791">
        <f t="shared" ref="AQ38:AQ42" si="272">IF(AQ$5=$H38,-$E38,0)</f>
        <v>0</v>
      </c>
      <c r="AR38" s="1808">
        <f t="shared" ref="AR38:AR42" si="273">IF(AV38=0,0,IF(AV38&lt;0,IF($J38=3,AV38,IF($J38=2,AV38,IF($J38=1,AV38,0)))))</f>
        <v>0</v>
      </c>
      <c r="AS38" s="1807">
        <f t="shared" ref="AS38:AS43" si="274">IF(AV38=0,0,IF(AV38&lt;0,IF($J38=6,AV38,IF($J38=5,AV38,IF($J38=4,AV38,0)))))</f>
        <v>0</v>
      </c>
      <c r="AT38" s="1807">
        <f t="shared" ref="AT38:AT42" si="275">IF(AV38=0,0,IF(AV38&lt;0,IF($J38=9,AV38,IF($J38=8,AV38,IF($J38=7,AV38,0)))))</f>
        <v>0</v>
      </c>
      <c r="AU38" s="1806">
        <f t="shared" ref="AU38:AU42" si="276">IF(AV38=0,0,IF(AV38&lt;0,IF($J38=12,AV38,IF($J38=11,AV38,IF($J38=10,AV38,0)))))</f>
        <v>0</v>
      </c>
      <c r="AV38" s="1791">
        <f t="shared" ref="AV38:AV42" si="277">IF(AV$5=$H38,-$E38,0)</f>
        <v>0</v>
      </c>
      <c r="AW38" s="1808">
        <f t="shared" ref="AW38:AW42" si="278">IF(BA38=0,0,IF(BA38&lt;0,IF($J38=3,BA38,IF($J38=2,BA38,IF($J38=1,BA38,0)))))</f>
        <v>0</v>
      </c>
      <c r="AX38" s="1807">
        <f t="shared" ref="AX38:AX42" si="279">IF(BA38=0,0,IF(BA38&lt;0,IF($J38=6,BA38,IF($J38=5,BA38,IF($J38=4,BA38,0)))))</f>
        <v>0</v>
      </c>
      <c r="AY38" s="1807">
        <f t="shared" ref="AY38:AY42" si="280">IF(BA38=0,0,IF(BA38&lt;0,IF($J38=9,BA38,IF($J38=8,BA38,IF($J38=7,BA38,0)))))</f>
        <v>0</v>
      </c>
      <c r="AZ38" s="1806">
        <f t="shared" ref="AZ38:AZ42" si="281">IF(BA38=0,0,IF(BA38&lt;0,IF($J38=12,BA38,IF($J38=11,BA38,IF($J38=10,BA38,0)))))</f>
        <v>0</v>
      </c>
      <c r="BA38" s="1791">
        <f t="shared" ref="BA38:BA42" si="282">IF(BA$5=$H38,-$E38,0)</f>
        <v>0</v>
      </c>
      <c r="BB38" s="1808">
        <f t="shared" ref="BB38:BB42" si="283">IF(BF38=0,0,IF(BF38&lt;0,IF($J38=3,BF38,IF($J38=2,BF38,IF($J38=1,BF38,0)))))</f>
        <v>0</v>
      </c>
      <c r="BC38" s="1807">
        <f t="shared" ref="BC38:BC42" si="284">IF(BF38=0,0,IF(BF38&lt;0,IF($J38=6,BF38,IF($J38=5,BF38,IF($J38=4,BF38,0)))))</f>
        <v>0</v>
      </c>
      <c r="BD38" s="1807">
        <f t="shared" ref="BD38:BD42" si="285">IF(BF38=0,0,IF(BF38&lt;0,IF($J38=9,BF38,IF($J38=8,BF38,IF($J38=7,BF38,0)))))</f>
        <v>0</v>
      </c>
      <c r="BE38" s="1806">
        <f t="shared" ref="BE38:BE42" si="286">IF(BF38=0,0,IF(BF38&lt;0,IF($J38=12,BF38,IF($J38=11,BF38,IF($J38=10,BF38,0)))))</f>
        <v>0</v>
      </c>
      <c r="BF38" s="1791">
        <f t="shared" ref="BF38:BF42" si="287">IF(BF$5=$H38,-$E38,0)</f>
        <v>0</v>
      </c>
      <c r="BG38" s="1808">
        <f t="shared" ref="BG38:BG42" si="288">IF(BK38=0,0,IF(BK38&lt;0,IF($J38=3,BK38,IF($J38=2,BK38,IF($J38=1,BK38,0)))))</f>
        <v>0</v>
      </c>
      <c r="BH38" s="1807">
        <f t="shared" ref="BH38:BH42" si="289">IF(BK38=0,0,IF(BK38&lt;0,IF($J38=6,BK38,IF($J38=5,BK38,IF($J38=4,BK38,0)))))</f>
        <v>0</v>
      </c>
      <c r="BI38" s="1807">
        <f t="shared" ref="BI38:BI42" si="290">IF(BK38=0,0,IF(BK38&lt;0,IF($J38=9,BK38,IF($J38=8,BK38,IF($J38=7,BK38,0)))))</f>
        <v>0</v>
      </c>
      <c r="BJ38" s="1806">
        <f t="shared" ref="BJ38:BJ42" si="291">IF(BK38=0,0,IF(BK38&lt;0,IF($J38=12,BK38,IF($J38=11,BK38,IF($J38=10,BK38,0)))))</f>
        <v>0</v>
      </c>
      <c r="BK38" s="1791">
        <f t="shared" ref="BK38:BK42" si="292">IF(BK$5=$H38,-$E38,0)</f>
        <v>0</v>
      </c>
      <c r="BL38" s="1808">
        <f t="shared" ref="BL38:BL42" si="293">IF(BP38=0,0,IF(BP38&lt;0,IF($J38=3,BP38,IF($J38=2,BP38,IF($J38=1,BP38,0)))))</f>
        <v>-350</v>
      </c>
      <c r="BM38" s="1807">
        <f t="shared" ref="BM38:BM42" si="294">IF(BP38=0,0,IF(BP38&lt;0,IF($J38=6,BP38,IF($J38=5,BP38,IF($J38=4,BP38,0)))))</f>
        <v>0</v>
      </c>
      <c r="BN38" s="1807">
        <f t="shared" ref="BN38:BN42" si="295">IF(BP38=0,0,IF(BP38&lt;0,IF($J38=9,BP38,IF($J38=8,BP38,IF($J38=7,BP38,0)))))</f>
        <v>0</v>
      </c>
      <c r="BO38" s="1806">
        <f t="shared" ref="BO38:BO42" si="296">IF(BP38=0,0,IF(BP38&lt;0,IF($J38=12,BP38,IF($J38=11,BP38,IF($J38=10,BP38,0)))))</f>
        <v>0</v>
      </c>
      <c r="BP38" s="1791">
        <f t="shared" ref="BP38:BP42" si="297">IF(BP$5=$H38,-$E38,0)</f>
        <v>-350</v>
      </c>
      <c r="BQ38" s="1827"/>
      <c r="BR38" s="1991">
        <f t="shared" ref="BR38:BS42" si="298">IF(AND(BQ38&lt;&gt;0,BQ$5=$H38),-$I38*$E38-BQ38,IF(BR$5=$H38,-$I38*$E38*(12-$J38+1)/12,0))</f>
        <v>0</v>
      </c>
      <c r="BS38" s="1991">
        <f t="shared" si="298"/>
        <v>0</v>
      </c>
      <c r="BT38" s="1992">
        <f t="shared" ref="BT38:BT42" si="299">IF($H38&lt;&gt;BX$5,0,IF(BX38&lt;0,IF($J38=1,-$E38*$I38/12*3,IF($J38=2,-$E38*$I38/12*2,IF($J38=3,-$E38*$I38/12*1,0)))))+IF(BS$5&lt;&gt;$H38,0,IF(BS38&lt;0,IF($J38=1,-$E38*$I38/12*0,IF($J38=2,-$E38*$I38/12*1,IF($J38=3,-$E38*$I38/12*2,IF($J38&gt;=4,-$E38*$I38/12*3,0))))))</f>
        <v>0</v>
      </c>
      <c r="BU38" s="1992">
        <f t="shared" ref="BU38:BU42" si="300">IF($H38&lt;&gt;BX$5,0,IF(BX38&lt;0,IF(OR($J38=1,$J38=2,$J38=3,$J38=4),-$E38*$I38/12*3,IF($J38=5,-$E38*$I38/12*2,IF($J38=6,-$E38*$I38/12*1,0)))))+IF(BS$5&lt;&gt;$H38,0,IF(BS38&lt;0,IF($J38=4,-$E38*$I38/12*0,IF($J38=5,-$E38*$I38/12*1,IF($J38=6,-$E38*$I38/12*2,IF($J38&gt;=7,-$E38*$I38/12*3,0))))))</f>
        <v>0</v>
      </c>
      <c r="BV38" s="1992">
        <f t="shared" ref="BV38:BV42" si="301">IF($H38&lt;&gt;BX$5,0,IF(BX38&lt;0,IF(OR($J38=1,$J38=2,$J38=3,$J38=4,$J38=5,$J38=6,$J38=7),-$E38*$I38/12*3,IF($J38=8,-$E38*$I38/12*2,IF($J38=9,-$E38*$I38/12*1,0)))))+IF(BS$5&lt;&gt;$H38,0,IF(BS38&lt;0,IF($J38=7,-$E38*$I38/12*0,IF($J38=8,-$E38*$I38/12*1,IF($J38=9,-$E38*$I38/12*2,IF($J38&gt;=10,-$E38*$I38/12*3,0))))))</f>
        <v>0</v>
      </c>
      <c r="BW38" s="1992">
        <f t="shared" ref="BW38:BW42" si="302">IF($H38&lt;&gt;BX$5,0,IF(BX38&lt;0,IF(OR($J38=1,$J38=2,$J38=3,$J38=4,$J38=5,$J38=6,$J38=7,$J38=8,$J38=9,$J38=10),-$E38*$I38/12*3,IF($J38=11,-$E38*$I38/12*2,IF($J38=12,-$E38*$I38/12*1,0)))))+IF(BS$5&lt;&gt;$H38,0,IF(BS38&lt;0,IF($J38=10,-$E38*$I38/12*0,IF($J38=11,-$E38*$I38/12*1,IF($J38=12,-$E38*$I38/12*2,0)))))</f>
        <v>0</v>
      </c>
      <c r="BX38" s="1810">
        <f t="shared" ref="BX38:BX42" si="303">IF(AND(BS38&lt;&gt;0,BS$5=$H38),-$I38*$E38-BS38,IF(BX$5=$H38,-$I38*$E38*(12-$J38+1)/12,0))</f>
        <v>0</v>
      </c>
      <c r="BY38" s="1807">
        <f t="shared" ref="BY38:BY42" si="304">IF($H38&lt;&gt;CC$5,0,IF(CC38&lt;0,IF($J38=1,-$E38*$I38/12*3,IF($J38=2,-$E38*$I38/12*2,IF($J38=3,-$E38*$I38/12*1,0)))))+IF(BX$5&lt;&gt;$H38,0,IF(BX38&lt;0,IF($J38=1,-$E38*$I38/12*0,IF($J38=2,-$E38*$I38/12*1,IF($J38=3,-$E38*$I38/12*2,IF($J38&gt;=4,-$E38*$I38/12*3,0))))))</f>
        <v>0</v>
      </c>
      <c r="BZ38" s="1807">
        <f t="shared" ref="BZ38:BZ42" si="305">IF($H38&lt;&gt;CC$5,0,IF(CC38&lt;0,IF(OR($J38=1,$J38=2,$J38=3,$J38=4),-$E38*$I38/12*3,IF($J38=5,-$E38*$I38/12*2,IF($J38=6,-$E38*$I38/12*1,0)))))+IF(BX$5&lt;&gt;$H38,0,IF(BX38&lt;0,IF($J38=4,-$E38*$I38/12*0,IF($J38=5,-$E38*$I38/12*1,IF($J38=6,-$E38*$I38/12*2,IF($J38&gt;=7,-$E38*$I38/12*3,0))))))</f>
        <v>0</v>
      </c>
      <c r="CA38" s="1807">
        <f t="shared" ref="CA38:CA42" si="306">IF($H38&lt;&gt;CC$5,0,IF(CC38&lt;0,IF(OR($J38=1,$J38=2,$J38=3,$J38=4,$J38=5,$J38=6,$J38=7),-$E38*$I38/12*3,IF($J38=8,-$E38*$I38/12*2,IF($J38=9,-$E38*$I38/12*1,0)))))+IF(BX$5&lt;&gt;$H38,0,IF(BX38&lt;0,IF($J38=7,-$E38*$I38/12*0,IF($J38=8,-$E38*$I38/12*1,IF($J38=9,-$E38*$I38/12*2,IF($J38&gt;=10,-$E38*$I38/12*3,0))))))</f>
        <v>0</v>
      </c>
      <c r="CB38" s="1806">
        <f t="shared" ref="CB38:CB42" si="307">IF($H38&lt;&gt;CC$5,0,IF(CC38&lt;0,IF(OR($J38=1,$J38=2,$J38=3,$J38=4,$J38=5,$J38=6,$J38=7,$J38=8,$J38=9,$J38=10),-$E38*$I38/12*3,IF($J38=11,-$E38*$I38/12*2,IF($J38=12,-$E38*$I38/12*1,0)))))+IF(BX$5&lt;&gt;$H38,0,IF(BX38&lt;0,IF($J38=10,-$E38*$I38/12*0,IF($J38=11,-$E38*$I38/12*1,IF($J38=12,-$E38*$I38/12*2,0)))))</f>
        <v>0</v>
      </c>
      <c r="CC38" s="1791">
        <f t="shared" ref="CC38:CC42" si="308">IF(AND(BX38&lt;&gt;0,BX$5=$H38),-$I38*$E38-BX38,IF(CC$5=$H38,-$I38*$E38*(12-$J38+1)/12,0))</f>
        <v>0</v>
      </c>
      <c r="CD38" s="1808">
        <f t="shared" ref="CD38:CD42" si="309">IF($H38&lt;&gt;CH$5,0,IF(CH38&lt;0,IF($J38=1,-$E38*$I38/12*3,IF($J38=2,-$E38*$I38/12*2,IF($J38=3,-$E38*$I38/12*1,0)))))+IF(CC$5&lt;&gt;$H38,0,IF(CC38&lt;0,IF($J38=1,-$E38*$I38/12*0,IF($J38=2,-$E38*$I38/12*1,IF($J38=3,-$E38*$I38/12*2,IF($J38&gt;=4,-$E38*$I38/12*3,0))))))</f>
        <v>0</v>
      </c>
      <c r="CE38" s="1807">
        <f t="shared" ref="CE38:CE42" si="310">IF($H38&lt;&gt;CH$5,0,IF(CH38&lt;0,IF(OR($J38=1,$J38=2,$J38=3,$J38=4),-$E38*$I38/12*3,IF($J38=5,-$E38*$I38/12*2,IF($J38=6,-$E38*$I38/12*1,0)))))+IF(CC$5&lt;&gt;$H38,0,IF(CC38&lt;0,IF($J38=4,-$E38*$I38/12*0,IF($J38=5,-$E38*$I38/12*1,IF($J38=6,-$E38*$I38/12*2,IF($J38&gt;=7,-$E38*$I38/12*3,0))))))</f>
        <v>0</v>
      </c>
      <c r="CF38" s="1807">
        <f t="shared" ref="CF38:CF42" si="311">IF($H38&lt;&gt;CH$5,0,IF(CH38&lt;0,IF(OR($J38=1,$J38=2,$J38=3,$J38=4,$J38=5,$J38=6,$J38=7),-$E38*$I38/12*3,IF($J38=8,-$E38*$I38/12*2,IF($J38=9,-$E38*$I38/12*1,0)))))+IF(CC$5&lt;&gt;$H38,0,IF(CC38&lt;0,IF($J38=7,-$E38*$I38/12*0,IF($J38=8,-$E38*$I38/12*1,IF($J38=9,-$E38*$I38/12*2,IF($J38&gt;=10,-$E38*$I38/12*3,0))))))</f>
        <v>0</v>
      </c>
      <c r="CG38" s="1806">
        <f t="shared" ref="CG38:CG42" si="312">IF($H38&lt;&gt;CH$5,0,IF(CH38&lt;0,IF(OR($J38=1,$J38=2,$J38=3,$J38=4,$J38=5,$J38=6,$J38=7,$J38=8,$J38=9,$J38=10),-$E38*$I38/12*3,IF($J38=11,-$E38*$I38/12*2,IF($J38=12,-$E38*$I38/12*1,0)))))+IF(CC$5&lt;&gt;$H38,0,IF(CC38&lt;0,IF($J38=10,-$E38*$I38/12*0,IF($J38=11,-$E38*$I38/12*1,IF($J38=12,-$E38*$I38/12*2,0)))))</f>
        <v>0</v>
      </c>
      <c r="CH38" s="1791">
        <f t="shared" ref="CH38:CH42" si="313">IF(AND(CC38&lt;&gt;0,CC$5=$H38),-$I38*$E38-CC38,IF(CH$5=$H38,-$I38*$E38*(12-$J38+1)/12,0))</f>
        <v>0</v>
      </c>
      <c r="CI38" s="1808">
        <f t="shared" ref="CI38:CI42" si="314">IF($H38&lt;&gt;CM$5,0,IF(CM38&lt;0,IF($J38=1,-$E38*$I38/12*3,IF($J38=2,-$E38*$I38/12*2,IF($J38=3,-$E38*$I38/12*1,0)))))+IF(CH$5&lt;&gt;$H38,0,IF(CH38&lt;0,IF($J38=1,-$E38*$I38/12*0,IF($J38=2,-$E38*$I38/12*1,IF($J38=3,-$E38*$I38/12*2,IF($J38&gt;=4,-$E38*$I38/12*3,0))))))</f>
        <v>0</v>
      </c>
      <c r="CJ38" s="1807">
        <f t="shared" ref="CJ38:CJ42" si="315">IF($H38&lt;&gt;CM$5,0,IF(CM38&lt;0,IF(OR($J38=1,$J38=2,$J38=3,$J38=4),-$E38*$I38/12*3,IF($J38=5,-$E38*$I38/12*2,IF($J38=6,-$E38*$I38/12*1,0)))))+IF(CH$5&lt;&gt;$H38,0,IF(CH38&lt;0,IF($J38=4,-$E38*$I38/12*0,IF($J38=5,-$E38*$I38/12*1,IF($J38=6,-$E38*$I38/12*2,IF($J38&gt;=7,-$E38*$I38/12*3,0))))))</f>
        <v>0</v>
      </c>
      <c r="CK38" s="1807">
        <f t="shared" ref="CK38:CK42" si="316">IF($H38&lt;&gt;CM$5,0,IF(CM38&lt;0,IF(OR($J38=1,$J38=2,$J38=3,$J38=4,$J38=5,$J38=6,$J38=7),-$E38*$I38/12*3,IF($J38=8,-$E38*$I38/12*2,IF($J38=9,-$E38*$I38/12*1,0)))))+IF(CH$5&lt;&gt;$H38,0,IF(CH38&lt;0,IF($J38=7,-$E38*$I38/12*0,IF($J38=8,-$E38*$I38/12*1,IF($J38=9,-$E38*$I38/12*2,IF($J38&gt;=10,-$E38*$I38/12*3,0))))))</f>
        <v>0</v>
      </c>
      <c r="CL38" s="1806">
        <f t="shared" ref="CL38:CL42" si="317">IF($H38&lt;&gt;CM$5,0,IF(CM38&lt;0,IF(OR($J38=1,$J38=2,$J38=3,$J38=4,$J38=5,$J38=6,$J38=7,$J38=8,$J38=9,$J38=10),-$E38*$I38/12*3,IF($J38=11,-$E38*$I38/12*2,IF($J38=12,-$E38*$I38/12*1,0)))))+IF(CH$5&lt;&gt;$H38,0,IF(CH38&lt;0,IF($J38=10,-$E38*$I38/12*0,IF($J38=11,-$E38*$I38/12*1,IF($J38=12,-$E38*$I38/12*2,0)))))</f>
        <v>0</v>
      </c>
      <c r="CM38" s="1791">
        <f t="shared" ref="CM38:CM42" si="318">IF(AND(CH38&lt;&gt;0,CH$5=$H38),-$I38*$E38-CH38,IF(CM$5=$H38,-$I38*$E38*(12-$J38+1)/12,0))</f>
        <v>0</v>
      </c>
      <c r="CN38" s="1808">
        <f t="shared" ref="CN38:CN42" si="319">IF($H38&lt;&gt;CR$5,0,IF(CR38&lt;0,IF($J38=1,-$E38*$I38/12*3,IF($J38=2,-$E38*$I38/12*2,IF($J38=3,-$E38*$I38/12*1,0)))))+IF(CM$5&lt;&gt;$H38,0,IF(CM38&lt;0,IF($J38=1,-$E38*$I38/12*0,IF($J38=2,-$E38*$I38/12*1,IF($J38=3,-$E38*$I38/12*2,IF($J38&gt;=4,-$E38*$I38/12*3,0))))))</f>
        <v>0</v>
      </c>
      <c r="CO38" s="1807">
        <f t="shared" ref="CO38:CO42" si="320">IF($H38&lt;&gt;CR$5,0,IF(CR38&lt;0,IF(OR($J38=1,$J38=2,$J38=3,$J38=4),-$E38*$I38/12*3,IF($J38=5,-$E38*$I38/12*2,IF($J38=6,-$E38*$I38/12*1,0)))))+IF(CM$5&lt;&gt;$H38,0,IF(CM38&lt;0,IF($J38=4,-$E38*$I38/12*0,IF($J38=5,-$E38*$I38/12*1,IF($J38=6,-$E38*$I38/12*2,IF($J38&gt;=7,-$E38*$I38/12*3,0))))))</f>
        <v>0</v>
      </c>
      <c r="CP38" s="1807">
        <f t="shared" ref="CP38:CP42" si="321">IF($H38&lt;&gt;CR$5,0,IF(CR38&lt;0,IF(OR($J38=1,$J38=2,$J38=3,$J38=4,$J38=5,$J38=6,$J38=7),-$E38*$I38/12*3,IF($J38=8,-$E38*$I38/12*2,IF($J38=9,-$E38*$I38/12*1,0)))))+IF(CM$5&lt;&gt;$H38,0,IF(CM38&lt;0,IF($J38=7,-$E38*$I38/12*0,IF($J38=8,-$E38*$I38/12*1,IF($J38=9,-$E38*$I38/12*2,IF($J38&gt;=10,-$E38*$I38/12*3,0))))))</f>
        <v>0</v>
      </c>
      <c r="CQ38" s="1806">
        <f t="shared" ref="CQ38:CQ42" si="322">IF($H38&lt;&gt;CR$5,0,IF(CR38&lt;0,IF(OR($J38=1,$J38=2,$J38=3,$J38=4,$J38=5,$J38=6,$J38=7,$J38=8,$J38=9,$J38=10),-$E38*$I38/12*3,IF($J38=11,-$E38*$I38/12*2,IF($J38=12,-$E38*$I38/12*1,0)))))+IF(CM$5&lt;&gt;$H38,0,IF(CM38&lt;0,IF($J38=10,-$E38*$I38/12*0,IF($J38=11,-$E38*$I38/12*1,IF($J38=12,-$E38*$I38/12*2,0)))))</f>
        <v>0</v>
      </c>
      <c r="CR38" s="1791">
        <f t="shared" ref="CR38:CR42" si="323">IF(AND(CM38&lt;&gt;0,CM$5=$H38),-$I38*$E38-CM38,IF(CR$5=$H38,-$I38*$E38*(12-$J38+1)/12,0))</f>
        <v>0</v>
      </c>
      <c r="CS38" s="1808">
        <f t="shared" ref="CS38:CS42" si="324">IF($H38&lt;&gt;CW$5,0,IF(CW38&lt;0,IF($J38=1,-$E38*$I38/12*3,IF($J38=2,-$E38*$I38/12*2,IF($J38=3,-$E38*$I38/12*1,0)))))+IF(CR$5&lt;&gt;$H38,0,IF(CR38&lt;0,IF($J38=1,-$E38*$I38/12*0,IF($J38=2,-$E38*$I38/12*1,IF($J38=3,-$E38*$I38/12*2,IF($J38&gt;=4,-$E38*$I38/12*3,0))))))</f>
        <v>0</v>
      </c>
      <c r="CT38" s="1807">
        <f t="shared" ref="CT38:CT42" si="325">IF($H38&lt;&gt;CW$5,0,IF(CW38&lt;0,IF(OR($J38=1,$J38=2,$J38=3,$J38=4),-$E38*$I38/12*3,IF($J38=5,-$E38*$I38/12*2,IF($J38=6,-$E38*$I38/12*1,0)))))+IF(CR$5&lt;&gt;$H38,0,IF(CR38&lt;0,IF($J38=4,-$E38*$I38/12*0,IF($J38=5,-$E38*$I38/12*1,IF($J38=6,-$E38*$I38/12*2,IF($J38&gt;=7,-$E38*$I38/12*3,0))))))</f>
        <v>0</v>
      </c>
      <c r="CU38" s="1807">
        <f t="shared" ref="CU38:CU42" si="326">IF($H38&lt;&gt;CW$5,0,IF(CW38&lt;0,IF(OR($J38=1,$J38=2,$J38=3,$J38=4,$J38=5,$J38=6,$J38=7),-$E38*$I38/12*3,IF($J38=8,-$E38*$I38/12*2,IF($J38=9,-$E38*$I38/12*1,0)))))+IF(CR$5&lt;&gt;$H38,0,IF(CR38&lt;0,IF($J38=7,-$E38*$I38/12*0,IF($J38=8,-$E38*$I38/12*1,IF($J38=9,-$E38*$I38/12*2,IF($J38&gt;=10,-$E38*$I38/12*3,0))))))</f>
        <v>0</v>
      </c>
      <c r="CV38" s="1806">
        <f t="shared" ref="CV38:CV42" si="327">IF($H38&lt;&gt;CW$5,0,IF(CW38&lt;0,IF(OR($J38=1,$J38=2,$J38=3,$J38=4,$J38=5,$J38=6,$J38=7,$J38=8,$J38=9,$J38=10),-$E38*$I38/12*3,IF($J38=11,-$E38*$I38/12*2,IF($J38=12,-$E38*$I38/12*1,0)))))+IF(CR$5&lt;&gt;$H38,0,IF(CR38&lt;0,IF($J38=10,-$E38*$I38/12*0,IF($J38=11,-$E38*$I38/12*1,IF($J38=12,-$E38*$I38/12*2,0)))))</f>
        <v>0</v>
      </c>
      <c r="CW38" s="1791">
        <f t="shared" ref="CW38:CW42" si="328">IF(AND(CR38&lt;&gt;0,CR$5=$H38),-$I38*$E38-CR38,IF(CW$5=$H38,-$I38*$E38*(12-$J38+1)/12,0))</f>
        <v>0</v>
      </c>
      <c r="CX38" s="1808">
        <f t="shared" ref="CX38:CX42" si="329">IF($H38&lt;&gt;DB$5,0,IF(DB38&lt;0,IF($J38=1,-$E38*$I38/12*3,IF($J38=2,-$E38*$I38/12*2,IF($J38=3,-$E38*$I38/12*1,0)))))+IF(CW$5&lt;&gt;$H38,0,IF(CW38&lt;0,IF($J38=1,-$E38*$I38/12*0,IF($J38=2,-$E38*$I38/12*1,IF($J38=3,-$E38*$I38/12*2,IF($J38&gt;=4,-$E38*$I38/12*3,0))))))</f>
        <v>0</v>
      </c>
      <c r="CY38" s="1807">
        <f t="shared" ref="CY38:CY42" si="330">IF($H38&lt;&gt;DB$5,0,IF(DB38&lt;0,IF(OR($J38=1,$J38=2,$J38=3,$J38=4),-$E38*$I38/12*3,IF($J38=5,-$E38*$I38/12*2,IF($J38=6,-$E38*$I38/12*1,0)))))+IF(CW$5&lt;&gt;$H38,0,IF(CW38&lt;0,IF($J38=4,-$E38*$I38/12*0,IF($J38=5,-$E38*$I38/12*1,IF($J38=6,-$E38*$I38/12*2,IF($J38&gt;=7,-$E38*$I38/12*3,0))))))</f>
        <v>0</v>
      </c>
      <c r="CZ38" s="1807">
        <f t="shared" ref="CZ38:CZ42" si="331">IF($H38&lt;&gt;DB$5,0,IF(DB38&lt;0,IF(OR($J38=1,$J38=2,$J38=3,$J38=4,$J38=5,$J38=6,$J38=7),-$E38*$I38/12*3,IF($J38=8,-$E38*$I38/12*2,IF($J38=9,-$E38*$I38/12*1,0)))))+IF(CW$5&lt;&gt;$H38,0,IF(CW38&lt;0,IF($J38=7,-$E38*$I38/12*0,IF($J38=8,-$E38*$I38/12*1,IF($J38=9,-$E38*$I38/12*2,IF($J38&gt;=10,-$E38*$I38/12*3,0))))))</f>
        <v>0</v>
      </c>
      <c r="DA38" s="1806">
        <f t="shared" ref="DA38:DA42" si="332">IF($H38&lt;&gt;DB$5,0,IF(DB38&lt;0,IF(OR($J38=1,$J38=2,$J38=3,$J38=4,$J38=5,$J38=6,$J38=7,$J38=8,$J38=9,$J38=10),-$E38*$I38/12*3,IF($J38=11,-$E38*$I38/12*2,IF($J38=12,-$E38*$I38/12*1,0)))))+IF(CW$5&lt;&gt;$H38,0,IF(CW38&lt;0,IF($J38=10,-$E38*$I38/12*0,IF($J38=11,-$E38*$I38/12*1,IF($J38=12,-$E38*$I38/12*2,0)))))</f>
        <v>0</v>
      </c>
      <c r="DB38" s="1791">
        <f t="shared" ref="DB38:DB42" si="333">IF(AND(CW38&lt;&gt;0,CW$5=$H38),-$I38*$E38-CW38,IF(DB$5=$H38,-$I38*$E38*(12-$J38+1)/12,0))</f>
        <v>0</v>
      </c>
      <c r="DC38" s="1808">
        <f t="shared" ref="DC38:DC42" si="334">IF($H38&lt;&gt;DG$5,0,IF(DG38&lt;0,IF($J38=1,-$E38*$I38/12*3,IF($J38=2,-$E38*$I38/12*2,IF($J38=3,-$E38*$I38/12*1,0)))))+IF(DB$5&lt;&gt;$H38,0,IF(DB38&lt;0,IF($J38=1,-$E38*$I38/12*0,IF($J38=2,-$E38*$I38/12*1,IF($J38=3,-$E38*$I38/12*2,IF($J38&gt;=4,-$E38*$I38/12*3,0))))))</f>
        <v>0</v>
      </c>
      <c r="DD38" s="1807">
        <f t="shared" ref="DD38:DD42" si="335">IF($H38&lt;&gt;DG$5,0,IF(DG38&lt;0,IF(OR($J38=1,$J38=2,$J38=3,$J38=4),-$E38*$I38/12*3,IF($J38=5,-$E38*$I38/12*2,IF($J38=6,-$E38*$I38/12*1,0)))))+IF(DB$5&lt;&gt;$H38,0,IF(DB38&lt;0,IF($J38=4,-$E38*$I38/12*0,IF($J38=5,-$E38*$I38/12*1,IF($J38=6,-$E38*$I38/12*2,IF($J38&gt;=7,-$E38*$I38/12*3,0))))))</f>
        <v>0</v>
      </c>
      <c r="DE38" s="1807">
        <f t="shared" ref="DE38:DE42" si="336">IF($H38&lt;&gt;DG$5,0,IF(DG38&lt;0,IF(OR($J38=1,$J38=2,$J38=3,$J38=4,$J38=5,$J38=6,$J38=7),-$E38*$I38/12*3,IF($J38=8,-$E38*$I38/12*2,IF($J38=9,-$E38*$I38/12*1,0)))))+IF(DB$5&lt;&gt;$H38,0,IF(DB38&lt;0,IF($J38=7,-$E38*$I38/12*0,IF($J38=8,-$E38*$I38/12*1,IF($J38=9,-$E38*$I38/12*2,IF($J38&gt;=10,-$E38*$I38/12*3,0))))))</f>
        <v>0</v>
      </c>
      <c r="DF38" s="1806">
        <f t="shared" ref="DF38:DF42" si="337">IF($H38&lt;&gt;DG$5,0,IF(DG38&lt;0,IF(OR($J38=1,$J38=2,$J38=3,$J38=4,$J38=5,$J38=6,$J38=7,$J38=8,$J38=9,$J38=10),-$E38*$I38/12*3,IF($J38=11,-$E38*$I38/12*2,IF($J38=12,-$E38*$I38/12*1,0)))))+IF(DB$5&lt;&gt;$H38,0,IF(DB38&lt;0,IF($J38=10,-$E38*$I38/12*0,IF($J38=11,-$E38*$I38/12*1,IF($J38=12,-$E38*$I38/12*2,0)))))</f>
        <v>0</v>
      </c>
      <c r="DG38" s="1791">
        <f t="shared" ref="DG38:DG42" si="338">IF(AND(DB38&lt;&gt;0,DB$5=$H38),-$I38*$E38-DB38,IF(DG$5=$H38,-$I38*$E38*(12-$J38+1)/12,0))</f>
        <v>0</v>
      </c>
      <c r="DH38" s="1808">
        <f t="shared" ref="DH38:DH42" si="339">IF($H38&lt;&gt;DL$5,0,IF(DL38&lt;0,IF($J38=1,-$E38*$I38/12*3,IF($J38=2,-$E38*$I38/12*2,IF($J38=3,-$E38*$I38/12*1,0)))))+IF(DG$5&lt;&gt;$H38,0,IF(DG38&lt;0,IF($J38=1,-$E38*$I38/12*0,IF($J38=2,-$E38*$I38/12*1,IF($J38=3,-$E38*$I38/12*2,IF($J38&gt;=4,-$E38*$I38/12*3,0))))))</f>
        <v>0</v>
      </c>
      <c r="DI38" s="1807">
        <f t="shared" ref="DI38:DI42" si="340">IF($H38&lt;&gt;DL$5,0,IF(DL38&lt;0,IF(OR($J38=1,$J38=2,$J38=3,$J38=4),-$E38*$I38/12*3,IF($J38=5,-$E38*$I38/12*2,IF($J38=6,-$E38*$I38/12*1,0)))))+IF(DG$5&lt;&gt;$H38,0,IF(DG38&lt;0,IF($J38=4,-$E38*$I38/12*0,IF($J38=5,-$E38*$I38/12*1,IF($J38=6,-$E38*$I38/12*2,IF($J38&gt;=7,-$E38*$I38/12*3,0))))))</f>
        <v>0</v>
      </c>
      <c r="DJ38" s="1807">
        <f t="shared" ref="DJ38:DJ42" si="341">IF($H38&lt;&gt;DL$5,0,IF(DL38&lt;0,IF(OR($J38=1,$J38=2,$J38=3,$J38=4,$J38=5,$J38=6,$J38=7),-$E38*$I38/12*3,IF($J38=8,-$E38*$I38/12*2,IF($J38=9,-$E38*$I38/12*1,0)))))+IF(DG$5&lt;&gt;$H38,0,IF(DG38&lt;0,IF($J38=7,-$E38*$I38/12*0,IF($J38=8,-$E38*$I38/12*1,IF($J38=9,-$E38*$I38/12*2,IF($J38&gt;=10,-$E38*$I38/12*3,0))))))</f>
        <v>0</v>
      </c>
      <c r="DK38" s="1806">
        <f t="shared" ref="DK38:DK42" si="342">IF($H38&lt;&gt;DL$5,0,IF(DL38&lt;0,IF(OR($J38=1,$J38=2,$J38=3,$J38=4,$J38=5,$J38=6,$J38=7,$J38=8,$J38=9,$J38=10),-$E38*$I38/12*3,IF($J38=11,-$E38*$I38/12*2,IF($J38=12,-$E38*$I38/12*1,0)))))+IF(DG$5&lt;&gt;$H38,0,IF(DG38&lt;0,IF($J38=10,-$E38*$I38/12*0,IF($J38=11,-$E38*$I38/12*1,IF($J38=12,-$E38*$I38/12*2,0)))))</f>
        <v>0</v>
      </c>
      <c r="DL38" s="1791">
        <f t="shared" ref="DL38:DL42" si="343">IF(AND(DG38&lt;&gt;0,DG$5=$H38),-$I38*$E38-DG38,IF(DL$5=$H38,-$I38*$E38*(12-$J38+1)/12,0))</f>
        <v>0</v>
      </c>
      <c r="DM38" s="1808">
        <f t="shared" ref="DM38:DM42" si="344">IF($H38&lt;&gt;DQ$5,0,IF(DQ38&lt;0,IF($J38=1,-$E38*$I38/12*3,IF($J38=2,-$E38*$I38/12*2,IF($J38=3,-$E38*$I38/12*1,0)))))+IF(DL$5&lt;&gt;$H38,0,IF(DL38&lt;0,IF($J38=1,-$E38*$I38/12*0,IF($J38=2,-$E38*$I38/12*1,IF($J38=3,-$E38*$I38/12*2,IF($J38&gt;=4,-$E38*$I38/12*3,0))))))</f>
        <v>0</v>
      </c>
      <c r="DN38" s="1807">
        <f t="shared" ref="DN38:DN42" si="345">IF($H38&lt;&gt;DQ$5,0,IF(DQ38&lt;0,IF(OR($J38=1,$J38=2,$J38=3,$J38=4),-$E38*$I38/12*3,IF($J38=5,-$E38*$I38/12*2,IF($J38=6,-$E38*$I38/12*1,0)))))+IF(DL$5&lt;&gt;$H38,0,IF(DL38&lt;0,IF($J38=4,-$E38*$I38/12*0,IF($J38=5,-$E38*$I38/12*1,IF($J38=6,-$E38*$I38/12*2,IF($J38&gt;=7,-$E38*$I38/12*3,0))))))</f>
        <v>0</v>
      </c>
      <c r="DO38" s="1807">
        <f t="shared" ref="DO38:DO42" si="346">IF($H38&lt;&gt;DQ$5,0,IF(DQ38&lt;0,IF(OR($J38=1,$J38=2,$J38=3,$J38=4,$J38=5,$J38=6,$J38=7),-$E38*$I38/12*3,IF($J38=8,-$E38*$I38/12*2,IF($J38=9,-$E38*$I38/12*1,0)))))+IF(DL$5&lt;&gt;$H38,0,IF(DL38&lt;0,IF($J38=7,-$E38*$I38/12*0,IF($J38=8,-$E38*$I38/12*1,IF($J38=9,-$E38*$I38/12*2,IF($J38&gt;=10,-$E38*$I38/12*3,0))))))</f>
        <v>0</v>
      </c>
      <c r="DP38" s="1806">
        <f t="shared" ref="DP38:DP42" si="347">IF($H38&lt;&gt;DQ$5,0,IF(DQ38&lt;0,IF(OR($J38=1,$J38=2,$J38=3,$J38=4,$J38=5,$J38=6,$J38=7,$J38=8,$J38=9,$J38=10),-$E38*$I38/12*3,IF($J38=11,-$E38*$I38/12*2,IF($J38=12,-$E38*$I38/12*1,0)))))+IF(DL$5&lt;&gt;$H38,0,IF(DL38&lt;0,IF($J38=10,-$E38*$I38/12*0,IF($J38=11,-$E38*$I38/12*1,IF($J38=12,-$E38*$I38/12*2,0)))))</f>
        <v>0</v>
      </c>
      <c r="DQ38" s="1791">
        <f t="shared" ref="DQ38:DQ42" si="348">IF(AND(DL38&lt;&gt;0,DL$5=$H38),-$I38*$E38-DL38,IF(DQ$5=$H38,-$I38*$E38*(12-$J38+1)/12,0))</f>
        <v>0</v>
      </c>
      <c r="DR38" s="1808">
        <f t="shared" ref="DR38:DR42" si="349">IF($H38&lt;&gt;DV$5,0,IF(DV38&lt;0,IF($J38=1,-$E38*$I38/12*3,IF($J38=2,-$E38*$I38/12*2,IF($J38=3,-$E38*$I38/12*1,0)))))+IF(DQ$5&lt;&gt;$H38,0,IF(DQ38&lt;0,IF($J38=1,-$E38*$I38/12*0,IF($J38=2,-$E38*$I38/12*1,IF($J38=3,-$E38*$I38/12*2,IF($J38&gt;=4,-$E38*$I38/12*3,0))))))</f>
        <v>-2.1875</v>
      </c>
      <c r="DS38" s="1807">
        <f t="shared" ref="DS38:DS42" si="350">IF($H38&lt;&gt;DV$5,0,IF(DV38&lt;0,IF(OR($J38=1,$J38=2,$J38=3,$J38=4),-$E38*$I38/12*3,IF($J38=5,-$E38*$I38/12*2,IF($J38=6,-$E38*$I38/12*1,0)))))+IF(DQ$5&lt;&gt;$H38,0,IF(DQ38&lt;0,IF($J38=4,-$E38*$I38/12*0,IF($J38=5,-$E38*$I38/12*1,IF($J38=6,-$E38*$I38/12*2,IF($J38&gt;=7,-$E38*$I38/12*3,0))))))</f>
        <v>-3.28125</v>
      </c>
      <c r="DT38" s="1807">
        <f t="shared" ref="DT38:DT42" si="351">IF($H38&lt;&gt;DV$5,0,IF(DV38&lt;0,IF(OR($J38=1,$J38=2,$J38=3,$J38=4,$J38=5,$J38=6,$J38=7),-$E38*$I38/12*3,IF($J38=8,-$E38*$I38/12*2,IF($J38=9,-$E38*$I38/12*1,0)))))+IF(DQ$5&lt;&gt;$H38,0,IF(DQ38&lt;0,IF($J38=7,-$E38*$I38/12*0,IF($J38=8,-$E38*$I38/12*1,IF($J38=9,-$E38*$I38/12*2,IF($J38&gt;=10,-$E38*$I38/12*3,0))))))</f>
        <v>-3.28125</v>
      </c>
      <c r="DU38" s="1806">
        <f t="shared" ref="DU38:DU42" si="352">IF($H38&lt;&gt;DV$5,0,IF(DV38&lt;0,IF(OR($J38=1,$J38=2,$J38=3,$J38=4,$J38=5,$J38=6,$J38=7,$J38=8,$J38=9,$J38=10),-$E38*$I38/12*3,IF($J38=11,-$E38*$I38/12*2,IF($J38=12,-$E38*$I38/12*1,0)))))+IF(DQ$5&lt;&gt;$H38,0,IF(DQ38&lt;0,IF($J38=10,-$E38*$I38/12*0,IF($J38=11,-$E38*$I38/12*1,IF($J38=12,-$E38*$I38/12*2,0)))))</f>
        <v>-3.28125</v>
      </c>
      <c r="DV38" s="1791">
        <f t="shared" ref="DV38:DV42" si="353">IF(AND(DQ38&lt;&gt;0,DQ$5=$H38),-$I38*$E38-DQ38,IF(DV$5=$H38,-$I38*$E38*(12-$J38+1)/12,0))</f>
        <v>-12.03125</v>
      </c>
    </row>
    <row r="39" spans="1:126">
      <c r="A39" s="455"/>
      <c r="B39" s="455"/>
      <c r="C39" s="1363" t="s">
        <v>434</v>
      </c>
      <c r="D39" s="94"/>
      <c r="E39" s="1817">
        <f>IF(F39=0,G39,F39)</f>
        <v>250</v>
      </c>
      <c r="F39" s="1435">
        <v>250</v>
      </c>
      <c r="G39" s="1435">
        <v>250</v>
      </c>
      <c r="H39" s="1350">
        <v>2023</v>
      </c>
      <c r="I39" s="1337">
        <v>3.0499999999999999E-2</v>
      </c>
      <c r="J39" s="1343">
        <v>6</v>
      </c>
      <c r="K39" s="1792"/>
      <c r="L39" s="1810">
        <f t="shared" si="242"/>
        <v>0</v>
      </c>
      <c r="M39" s="1791">
        <f t="shared" si="242"/>
        <v>0</v>
      </c>
      <c r="N39" s="1808">
        <f t="shared" si="243"/>
        <v>0</v>
      </c>
      <c r="O39" s="1807">
        <f t="shared" si="244"/>
        <v>0</v>
      </c>
      <c r="P39" s="1807">
        <f t="shared" si="245"/>
        <v>0</v>
      </c>
      <c r="Q39" s="1806">
        <f t="shared" si="246"/>
        <v>0</v>
      </c>
      <c r="R39" s="1791">
        <f t="shared" si="247"/>
        <v>0</v>
      </c>
      <c r="S39" s="1808">
        <f t="shared" si="248"/>
        <v>0</v>
      </c>
      <c r="T39" s="1807">
        <f t="shared" si="249"/>
        <v>0</v>
      </c>
      <c r="U39" s="1807">
        <f t="shared" si="250"/>
        <v>0</v>
      </c>
      <c r="V39" s="1806">
        <f t="shared" si="251"/>
        <v>0</v>
      </c>
      <c r="W39" s="1791">
        <f t="shared" si="252"/>
        <v>0</v>
      </c>
      <c r="X39" s="1808">
        <f t="shared" si="253"/>
        <v>0</v>
      </c>
      <c r="Y39" s="1807">
        <f t="shared" si="254"/>
        <v>0</v>
      </c>
      <c r="Z39" s="1807">
        <f t="shared" si="255"/>
        <v>0</v>
      </c>
      <c r="AA39" s="1806">
        <f t="shared" si="256"/>
        <v>0</v>
      </c>
      <c r="AB39" s="1791">
        <f t="shared" si="257"/>
        <v>0</v>
      </c>
      <c r="AC39" s="1808">
        <f t="shared" si="258"/>
        <v>0</v>
      </c>
      <c r="AD39" s="1807">
        <f t="shared" si="259"/>
        <v>0</v>
      </c>
      <c r="AE39" s="1807">
        <f t="shared" si="260"/>
        <v>0</v>
      </c>
      <c r="AF39" s="1806">
        <f t="shared" si="261"/>
        <v>0</v>
      </c>
      <c r="AG39" s="1791">
        <f t="shared" si="262"/>
        <v>0</v>
      </c>
      <c r="AH39" s="1808">
        <f t="shared" si="263"/>
        <v>0</v>
      </c>
      <c r="AI39" s="1807">
        <f t="shared" si="264"/>
        <v>0</v>
      </c>
      <c r="AJ39" s="1807">
        <f t="shared" si="265"/>
        <v>0</v>
      </c>
      <c r="AK39" s="1806">
        <f t="shared" si="266"/>
        <v>0</v>
      </c>
      <c r="AL39" s="1791">
        <f t="shared" si="267"/>
        <v>0</v>
      </c>
      <c r="AM39" s="1808">
        <f t="shared" si="268"/>
        <v>0</v>
      </c>
      <c r="AN39" s="1807">
        <f t="shared" si="269"/>
        <v>0</v>
      </c>
      <c r="AO39" s="1807">
        <f t="shared" si="270"/>
        <v>0</v>
      </c>
      <c r="AP39" s="1806">
        <f t="shared" si="271"/>
        <v>0</v>
      </c>
      <c r="AQ39" s="1791">
        <f t="shared" si="272"/>
        <v>0</v>
      </c>
      <c r="AR39" s="1808">
        <f t="shared" si="273"/>
        <v>0</v>
      </c>
      <c r="AS39" s="1807">
        <f t="shared" si="274"/>
        <v>0</v>
      </c>
      <c r="AT39" s="1807">
        <f t="shared" si="275"/>
        <v>0</v>
      </c>
      <c r="AU39" s="1806">
        <f t="shared" si="276"/>
        <v>0</v>
      </c>
      <c r="AV39" s="1791">
        <f t="shared" si="277"/>
        <v>0</v>
      </c>
      <c r="AW39" s="1808">
        <f t="shared" si="278"/>
        <v>0</v>
      </c>
      <c r="AX39" s="1807">
        <f t="shared" si="279"/>
        <v>0</v>
      </c>
      <c r="AY39" s="1807">
        <f t="shared" si="280"/>
        <v>0</v>
      </c>
      <c r="AZ39" s="1806">
        <f t="shared" si="281"/>
        <v>0</v>
      </c>
      <c r="BA39" s="1791">
        <f t="shared" si="282"/>
        <v>0</v>
      </c>
      <c r="BB39" s="1808">
        <f t="shared" si="283"/>
        <v>0</v>
      </c>
      <c r="BC39" s="1807">
        <f t="shared" si="284"/>
        <v>0</v>
      </c>
      <c r="BD39" s="1807">
        <f t="shared" si="285"/>
        <v>0</v>
      </c>
      <c r="BE39" s="1806">
        <f t="shared" si="286"/>
        <v>0</v>
      </c>
      <c r="BF39" s="1791">
        <f t="shared" si="287"/>
        <v>0</v>
      </c>
      <c r="BG39" s="1808">
        <f t="shared" si="288"/>
        <v>0</v>
      </c>
      <c r="BH39" s="1807">
        <f t="shared" si="289"/>
        <v>0</v>
      </c>
      <c r="BI39" s="1807">
        <f t="shared" si="290"/>
        <v>0</v>
      </c>
      <c r="BJ39" s="1806">
        <f t="shared" si="291"/>
        <v>0</v>
      </c>
      <c r="BK39" s="1791">
        <f t="shared" si="292"/>
        <v>0</v>
      </c>
      <c r="BL39" s="1808">
        <f t="shared" si="293"/>
        <v>0</v>
      </c>
      <c r="BM39" s="1807">
        <f t="shared" si="294"/>
        <v>0</v>
      </c>
      <c r="BN39" s="1807">
        <f t="shared" si="295"/>
        <v>0</v>
      </c>
      <c r="BO39" s="1806">
        <f t="shared" si="296"/>
        <v>0</v>
      </c>
      <c r="BP39" s="1791">
        <f t="shared" si="297"/>
        <v>0</v>
      </c>
      <c r="BQ39" s="1827"/>
      <c r="BR39" s="1991">
        <f t="shared" si="298"/>
        <v>0</v>
      </c>
      <c r="BS39" s="1991">
        <f t="shared" si="298"/>
        <v>0</v>
      </c>
      <c r="BT39" s="1992">
        <f t="shared" si="299"/>
        <v>0</v>
      </c>
      <c r="BU39" s="1992">
        <f t="shared" si="300"/>
        <v>0</v>
      </c>
      <c r="BV39" s="1992">
        <f t="shared" si="301"/>
        <v>0</v>
      </c>
      <c r="BW39" s="1992">
        <f t="shared" si="302"/>
        <v>0</v>
      </c>
      <c r="BX39" s="1810">
        <f t="shared" si="303"/>
        <v>0</v>
      </c>
      <c r="BY39" s="1807">
        <f t="shared" si="304"/>
        <v>0</v>
      </c>
      <c r="BZ39" s="1807">
        <f t="shared" si="305"/>
        <v>0</v>
      </c>
      <c r="CA39" s="1807">
        <f t="shared" si="306"/>
        <v>0</v>
      </c>
      <c r="CB39" s="1806">
        <f t="shared" si="307"/>
        <v>0</v>
      </c>
      <c r="CC39" s="1791">
        <f t="shared" si="308"/>
        <v>0</v>
      </c>
      <c r="CD39" s="1808">
        <f t="shared" si="309"/>
        <v>0</v>
      </c>
      <c r="CE39" s="1807">
        <f t="shared" si="310"/>
        <v>0</v>
      </c>
      <c r="CF39" s="1807">
        <f t="shared" si="311"/>
        <v>0</v>
      </c>
      <c r="CG39" s="1806">
        <f t="shared" si="312"/>
        <v>0</v>
      </c>
      <c r="CH39" s="1791">
        <f t="shared" si="313"/>
        <v>0</v>
      </c>
      <c r="CI39" s="1808">
        <f t="shared" si="314"/>
        <v>0</v>
      </c>
      <c r="CJ39" s="1807">
        <f t="shared" si="315"/>
        <v>0</v>
      </c>
      <c r="CK39" s="1807">
        <f t="shared" si="316"/>
        <v>0</v>
      </c>
      <c r="CL39" s="1806">
        <f t="shared" si="317"/>
        <v>0</v>
      </c>
      <c r="CM39" s="1791">
        <f t="shared" si="318"/>
        <v>0</v>
      </c>
      <c r="CN39" s="1808">
        <f t="shared" si="319"/>
        <v>0</v>
      </c>
      <c r="CO39" s="1807">
        <f t="shared" si="320"/>
        <v>0</v>
      </c>
      <c r="CP39" s="1807">
        <f t="shared" si="321"/>
        <v>0</v>
      </c>
      <c r="CQ39" s="1806">
        <f t="shared" si="322"/>
        <v>0</v>
      </c>
      <c r="CR39" s="1791">
        <f t="shared" si="323"/>
        <v>0</v>
      </c>
      <c r="CS39" s="1808">
        <f t="shared" si="324"/>
        <v>0</v>
      </c>
      <c r="CT39" s="1807">
        <f t="shared" si="325"/>
        <v>0</v>
      </c>
      <c r="CU39" s="1807">
        <f t="shared" si="326"/>
        <v>0</v>
      </c>
      <c r="CV39" s="1806">
        <f t="shared" si="327"/>
        <v>0</v>
      </c>
      <c r="CW39" s="1791">
        <f t="shared" si="328"/>
        <v>0</v>
      </c>
      <c r="CX39" s="1808">
        <f t="shared" si="329"/>
        <v>0</v>
      </c>
      <c r="CY39" s="1807">
        <f t="shared" si="330"/>
        <v>0</v>
      </c>
      <c r="CZ39" s="1807">
        <f t="shared" si="331"/>
        <v>0</v>
      </c>
      <c r="DA39" s="1806">
        <f t="shared" si="332"/>
        <v>0</v>
      </c>
      <c r="DB39" s="1791">
        <f t="shared" si="333"/>
        <v>0</v>
      </c>
      <c r="DC39" s="1808">
        <f t="shared" si="334"/>
        <v>0</v>
      </c>
      <c r="DD39" s="1807">
        <f t="shared" si="335"/>
        <v>0</v>
      </c>
      <c r="DE39" s="1807">
        <f t="shared" si="336"/>
        <v>0</v>
      </c>
      <c r="DF39" s="1806">
        <f t="shared" si="337"/>
        <v>0</v>
      </c>
      <c r="DG39" s="1791">
        <f t="shared" si="338"/>
        <v>0</v>
      </c>
      <c r="DH39" s="1808">
        <f t="shared" si="339"/>
        <v>0</v>
      </c>
      <c r="DI39" s="1807">
        <f t="shared" si="340"/>
        <v>0</v>
      </c>
      <c r="DJ39" s="1807">
        <f t="shared" si="341"/>
        <v>0</v>
      </c>
      <c r="DK39" s="1806">
        <f t="shared" si="342"/>
        <v>0</v>
      </c>
      <c r="DL39" s="1791">
        <f t="shared" si="343"/>
        <v>0</v>
      </c>
      <c r="DM39" s="1808">
        <f t="shared" si="344"/>
        <v>0</v>
      </c>
      <c r="DN39" s="1807">
        <f t="shared" si="345"/>
        <v>0</v>
      </c>
      <c r="DO39" s="1807">
        <f t="shared" si="346"/>
        <v>0</v>
      </c>
      <c r="DP39" s="1806">
        <f t="shared" si="347"/>
        <v>0</v>
      </c>
      <c r="DQ39" s="1791">
        <f t="shared" si="348"/>
        <v>0</v>
      </c>
      <c r="DR39" s="1808">
        <f t="shared" si="349"/>
        <v>0</v>
      </c>
      <c r="DS39" s="1807">
        <f t="shared" si="350"/>
        <v>0</v>
      </c>
      <c r="DT39" s="1807">
        <f t="shared" si="351"/>
        <v>0</v>
      </c>
      <c r="DU39" s="1806">
        <f t="shared" si="352"/>
        <v>0</v>
      </c>
      <c r="DV39" s="1791">
        <f t="shared" si="353"/>
        <v>0</v>
      </c>
    </row>
    <row r="40" spans="1:126">
      <c r="A40" s="455"/>
      <c r="B40" s="455"/>
      <c r="C40" s="1363" t="s">
        <v>793</v>
      </c>
      <c r="D40" s="94"/>
      <c r="E40" s="1817">
        <f>IF(F40=0,G40,F40)</f>
        <v>375</v>
      </c>
      <c r="F40" s="1435">
        <v>375</v>
      </c>
      <c r="G40" s="1435">
        <v>375</v>
      </c>
      <c r="H40" s="1350">
        <v>2024</v>
      </c>
      <c r="I40" s="1337">
        <v>3.6999999999999998E-2</v>
      </c>
      <c r="J40" s="1343">
        <v>6</v>
      </c>
      <c r="K40" s="2007"/>
      <c r="L40" s="1810">
        <f t="shared" si="242"/>
        <v>0</v>
      </c>
      <c r="M40" s="1791">
        <f t="shared" si="242"/>
        <v>0</v>
      </c>
      <c r="N40" s="1808">
        <f t="shared" si="243"/>
        <v>0</v>
      </c>
      <c r="O40" s="1807">
        <f t="shared" si="244"/>
        <v>0</v>
      </c>
      <c r="P40" s="1807">
        <f t="shared" si="245"/>
        <v>0</v>
      </c>
      <c r="Q40" s="1806">
        <f t="shared" si="246"/>
        <v>0</v>
      </c>
      <c r="R40" s="1791">
        <f t="shared" si="247"/>
        <v>0</v>
      </c>
      <c r="S40" s="1808">
        <f t="shared" si="248"/>
        <v>0</v>
      </c>
      <c r="T40" s="1807">
        <f t="shared" si="249"/>
        <v>0</v>
      </c>
      <c r="U40" s="1807">
        <f t="shared" si="250"/>
        <v>0</v>
      </c>
      <c r="V40" s="1806">
        <f t="shared" si="251"/>
        <v>0</v>
      </c>
      <c r="W40" s="1791">
        <f t="shared" si="252"/>
        <v>0</v>
      </c>
      <c r="X40" s="1808">
        <f t="shared" si="253"/>
        <v>0</v>
      </c>
      <c r="Y40" s="1807">
        <f t="shared" si="254"/>
        <v>0</v>
      </c>
      <c r="Z40" s="1807">
        <f t="shared" si="255"/>
        <v>0</v>
      </c>
      <c r="AA40" s="1806">
        <f t="shared" si="256"/>
        <v>0</v>
      </c>
      <c r="AB40" s="1791">
        <f t="shared" si="257"/>
        <v>0</v>
      </c>
      <c r="AC40" s="1808">
        <f t="shared" si="258"/>
        <v>0</v>
      </c>
      <c r="AD40" s="1807">
        <f t="shared" si="259"/>
        <v>0</v>
      </c>
      <c r="AE40" s="1807">
        <f t="shared" si="260"/>
        <v>0</v>
      </c>
      <c r="AF40" s="1806">
        <f t="shared" si="261"/>
        <v>0</v>
      </c>
      <c r="AG40" s="1791">
        <f t="shared" si="262"/>
        <v>0</v>
      </c>
      <c r="AH40" s="1808">
        <f t="shared" si="263"/>
        <v>0</v>
      </c>
      <c r="AI40" s="1807">
        <f t="shared" si="264"/>
        <v>0</v>
      </c>
      <c r="AJ40" s="1807">
        <f t="shared" si="265"/>
        <v>0</v>
      </c>
      <c r="AK40" s="1806">
        <f t="shared" si="266"/>
        <v>0</v>
      </c>
      <c r="AL40" s="1791">
        <f t="shared" si="267"/>
        <v>0</v>
      </c>
      <c r="AM40" s="1808">
        <f t="shared" si="268"/>
        <v>0</v>
      </c>
      <c r="AN40" s="1807">
        <f t="shared" si="269"/>
        <v>0</v>
      </c>
      <c r="AO40" s="1807">
        <f t="shared" si="270"/>
        <v>0</v>
      </c>
      <c r="AP40" s="1806">
        <f t="shared" si="271"/>
        <v>0</v>
      </c>
      <c r="AQ40" s="1791">
        <f t="shared" si="272"/>
        <v>0</v>
      </c>
      <c r="AR40" s="1808">
        <f t="shared" si="273"/>
        <v>0</v>
      </c>
      <c r="AS40" s="1807">
        <f t="shared" si="274"/>
        <v>0</v>
      </c>
      <c r="AT40" s="1807">
        <f t="shared" si="275"/>
        <v>0</v>
      </c>
      <c r="AU40" s="1806">
        <f t="shared" si="276"/>
        <v>0</v>
      </c>
      <c r="AV40" s="1791">
        <f t="shared" si="277"/>
        <v>0</v>
      </c>
      <c r="AW40" s="1808">
        <f t="shared" si="278"/>
        <v>0</v>
      </c>
      <c r="AX40" s="1807">
        <f t="shared" si="279"/>
        <v>0</v>
      </c>
      <c r="AY40" s="1807">
        <f t="shared" si="280"/>
        <v>0</v>
      </c>
      <c r="AZ40" s="1806">
        <f t="shared" si="281"/>
        <v>0</v>
      </c>
      <c r="BA40" s="1791">
        <f t="shared" si="282"/>
        <v>0</v>
      </c>
      <c r="BB40" s="1808">
        <f t="shared" si="283"/>
        <v>0</v>
      </c>
      <c r="BC40" s="1807">
        <f t="shared" si="284"/>
        <v>0</v>
      </c>
      <c r="BD40" s="1807">
        <f t="shared" si="285"/>
        <v>0</v>
      </c>
      <c r="BE40" s="1806">
        <f t="shared" si="286"/>
        <v>0</v>
      </c>
      <c r="BF40" s="1791">
        <f t="shared" si="287"/>
        <v>0</v>
      </c>
      <c r="BG40" s="1808">
        <f t="shared" si="288"/>
        <v>0</v>
      </c>
      <c r="BH40" s="1807">
        <f t="shared" si="289"/>
        <v>0</v>
      </c>
      <c r="BI40" s="1807">
        <f t="shared" si="290"/>
        <v>0</v>
      </c>
      <c r="BJ40" s="1806">
        <f t="shared" si="291"/>
        <v>0</v>
      </c>
      <c r="BK40" s="1791">
        <f t="shared" si="292"/>
        <v>0</v>
      </c>
      <c r="BL40" s="1808">
        <f t="shared" si="293"/>
        <v>0</v>
      </c>
      <c r="BM40" s="1807">
        <f t="shared" si="294"/>
        <v>0</v>
      </c>
      <c r="BN40" s="1807">
        <f t="shared" si="295"/>
        <v>0</v>
      </c>
      <c r="BO40" s="1806">
        <f t="shared" si="296"/>
        <v>0</v>
      </c>
      <c r="BP40" s="1791">
        <f t="shared" si="297"/>
        <v>0</v>
      </c>
      <c r="BQ40" s="1809"/>
      <c r="BR40" s="1991">
        <f t="shared" si="298"/>
        <v>0</v>
      </c>
      <c r="BS40" s="1991">
        <f t="shared" si="298"/>
        <v>0</v>
      </c>
      <c r="BT40" s="1992">
        <f t="shared" si="299"/>
        <v>0</v>
      </c>
      <c r="BU40" s="1992">
        <f t="shared" si="300"/>
        <v>0</v>
      </c>
      <c r="BV40" s="1992">
        <f t="shared" si="301"/>
        <v>0</v>
      </c>
      <c r="BW40" s="1992">
        <f t="shared" si="302"/>
        <v>0</v>
      </c>
      <c r="BX40" s="1810">
        <f t="shared" si="303"/>
        <v>0</v>
      </c>
      <c r="BY40" s="1807">
        <f t="shared" si="304"/>
        <v>0</v>
      </c>
      <c r="BZ40" s="1807">
        <f t="shared" si="305"/>
        <v>0</v>
      </c>
      <c r="CA40" s="1807">
        <f t="shared" si="306"/>
        <v>0</v>
      </c>
      <c r="CB40" s="1806">
        <f t="shared" si="307"/>
        <v>0</v>
      </c>
      <c r="CC40" s="1791">
        <f t="shared" si="308"/>
        <v>0</v>
      </c>
      <c r="CD40" s="1808">
        <f t="shared" si="309"/>
        <v>0</v>
      </c>
      <c r="CE40" s="1807">
        <f t="shared" si="310"/>
        <v>0</v>
      </c>
      <c r="CF40" s="1807">
        <f t="shared" si="311"/>
        <v>0</v>
      </c>
      <c r="CG40" s="1806">
        <f t="shared" si="312"/>
        <v>0</v>
      </c>
      <c r="CH40" s="1791">
        <f t="shared" si="313"/>
        <v>0</v>
      </c>
      <c r="CI40" s="1808">
        <f t="shared" si="314"/>
        <v>0</v>
      </c>
      <c r="CJ40" s="1807">
        <f t="shared" si="315"/>
        <v>0</v>
      </c>
      <c r="CK40" s="1807">
        <f t="shared" si="316"/>
        <v>0</v>
      </c>
      <c r="CL40" s="1806">
        <f t="shared" si="317"/>
        <v>0</v>
      </c>
      <c r="CM40" s="1791">
        <f t="shared" si="318"/>
        <v>0</v>
      </c>
      <c r="CN40" s="1808">
        <f t="shared" si="319"/>
        <v>0</v>
      </c>
      <c r="CO40" s="1807">
        <f t="shared" si="320"/>
        <v>0</v>
      </c>
      <c r="CP40" s="1807">
        <f t="shared" si="321"/>
        <v>0</v>
      </c>
      <c r="CQ40" s="1806">
        <f t="shared" si="322"/>
        <v>0</v>
      </c>
      <c r="CR40" s="1791">
        <f t="shared" si="323"/>
        <v>0</v>
      </c>
      <c r="CS40" s="1808">
        <f t="shared" si="324"/>
        <v>0</v>
      </c>
      <c r="CT40" s="1807">
        <f t="shared" si="325"/>
        <v>0</v>
      </c>
      <c r="CU40" s="1807">
        <f t="shared" si="326"/>
        <v>0</v>
      </c>
      <c r="CV40" s="1806">
        <f t="shared" si="327"/>
        <v>0</v>
      </c>
      <c r="CW40" s="1791">
        <f t="shared" si="328"/>
        <v>0</v>
      </c>
      <c r="CX40" s="1808">
        <f t="shared" si="329"/>
        <v>0</v>
      </c>
      <c r="CY40" s="1807">
        <f t="shared" si="330"/>
        <v>0</v>
      </c>
      <c r="CZ40" s="1807">
        <f t="shared" si="331"/>
        <v>0</v>
      </c>
      <c r="DA40" s="1806">
        <f t="shared" si="332"/>
        <v>0</v>
      </c>
      <c r="DB40" s="1791">
        <f t="shared" si="333"/>
        <v>0</v>
      </c>
      <c r="DC40" s="1808">
        <f t="shared" si="334"/>
        <v>0</v>
      </c>
      <c r="DD40" s="1807">
        <f t="shared" si="335"/>
        <v>0</v>
      </c>
      <c r="DE40" s="1807">
        <f t="shared" si="336"/>
        <v>0</v>
      </c>
      <c r="DF40" s="1806">
        <f t="shared" si="337"/>
        <v>0</v>
      </c>
      <c r="DG40" s="1791">
        <f t="shared" si="338"/>
        <v>0</v>
      </c>
      <c r="DH40" s="1808">
        <f t="shared" si="339"/>
        <v>0</v>
      </c>
      <c r="DI40" s="1807">
        <f t="shared" si="340"/>
        <v>0</v>
      </c>
      <c r="DJ40" s="1807">
        <f t="shared" si="341"/>
        <v>0</v>
      </c>
      <c r="DK40" s="1806">
        <f t="shared" si="342"/>
        <v>0</v>
      </c>
      <c r="DL40" s="1791">
        <f t="shared" si="343"/>
        <v>0</v>
      </c>
      <c r="DM40" s="1808">
        <f t="shared" si="344"/>
        <v>0</v>
      </c>
      <c r="DN40" s="1807">
        <f t="shared" si="345"/>
        <v>0</v>
      </c>
      <c r="DO40" s="1807">
        <f t="shared" si="346"/>
        <v>0</v>
      </c>
      <c r="DP40" s="1806">
        <f t="shared" si="347"/>
        <v>0</v>
      </c>
      <c r="DQ40" s="1791">
        <f t="shared" si="348"/>
        <v>0</v>
      </c>
      <c r="DR40" s="1808">
        <f t="shared" si="349"/>
        <v>0</v>
      </c>
      <c r="DS40" s="1807">
        <f t="shared" si="350"/>
        <v>0</v>
      </c>
      <c r="DT40" s="1807">
        <f t="shared" si="351"/>
        <v>0</v>
      </c>
      <c r="DU40" s="1806">
        <f t="shared" si="352"/>
        <v>0</v>
      </c>
      <c r="DV40" s="1791">
        <f t="shared" si="353"/>
        <v>0</v>
      </c>
    </row>
    <row r="41" spans="1:126">
      <c r="A41" s="455"/>
      <c r="B41" s="455"/>
      <c r="C41" s="1363" t="s">
        <v>953</v>
      </c>
      <c r="D41" s="94"/>
      <c r="E41" s="1817">
        <f t="shared" ref="E41:E43" si="354">IF(F41=0,G41,F41)</f>
        <v>600</v>
      </c>
      <c r="F41" s="1435">
        <v>600</v>
      </c>
      <c r="G41" s="1435">
        <v>380</v>
      </c>
      <c r="H41" s="1350">
        <v>2026</v>
      </c>
      <c r="I41" s="1337">
        <v>3.5000000000000003E-2</v>
      </c>
      <c r="J41" s="1343">
        <v>4</v>
      </c>
      <c r="K41" s="2007"/>
      <c r="L41" s="1810">
        <f t="shared" si="242"/>
        <v>0</v>
      </c>
      <c r="M41" s="1791">
        <f t="shared" si="242"/>
        <v>0</v>
      </c>
      <c r="N41" s="1808">
        <f t="shared" si="243"/>
        <v>0</v>
      </c>
      <c r="O41" s="1807">
        <f t="shared" si="244"/>
        <v>0</v>
      </c>
      <c r="P41" s="1807">
        <f t="shared" si="245"/>
        <v>0</v>
      </c>
      <c r="Q41" s="1806">
        <f t="shared" si="246"/>
        <v>0</v>
      </c>
      <c r="R41" s="1791">
        <f t="shared" si="247"/>
        <v>0</v>
      </c>
      <c r="S41" s="1808">
        <f t="shared" si="248"/>
        <v>0</v>
      </c>
      <c r="T41" s="1807">
        <f t="shared" si="249"/>
        <v>0</v>
      </c>
      <c r="U41" s="1807">
        <f t="shared" si="250"/>
        <v>0</v>
      </c>
      <c r="V41" s="1806">
        <f t="shared" si="251"/>
        <v>0</v>
      </c>
      <c r="W41" s="1791">
        <f t="shared" si="252"/>
        <v>0</v>
      </c>
      <c r="X41" s="1808">
        <f t="shared" si="253"/>
        <v>0</v>
      </c>
      <c r="Y41" s="1807">
        <f t="shared" si="254"/>
        <v>0</v>
      </c>
      <c r="Z41" s="1807">
        <f t="shared" si="255"/>
        <v>0</v>
      </c>
      <c r="AA41" s="1806">
        <f t="shared" si="256"/>
        <v>0</v>
      </c>
      <c r="AB41" s="1791">
        <f t="shared" si="257"/>
        <v>0</v>
      </c>
      <c r="AC41" s="1808">
        <f t="shared" si="258"/>
        <v>0</v>
      </c>
      <c r="AD41" s="1807">
        <f t="shared" si="259"/>
        <v>0</v>
      </c>
      <c r="AE41" s="1807">
        <f t="shared" si="260"/>
        <v>0</v>
      </c>
      <c r="AF41" s="1806">
        <f t="shared" si="261"/>
        <v>0</v>
      </c>
      <c r="AG41" s="1791">
        <f t="shared" si="262"/>
        <v>0</v>
      </c>
      <c r="AH41" s="1808">
        <f t="shared" si="263"/>
        <v>0</v>
      </c>
      <c r="AI41" s="1807">
        <f t="shared" si="264"/>
        <v>0</v>
      </c>
      <c r="AJ41" s="1807">
        <f t="shared" si="265"/>
        <v>0</v>
      </c>
      <c r="AK41" s="1806">
        <f t="shared" si="266"/>
        <v>0</v>
      </c>
      <c r="AL41" s="1791">
        <f t="shared" si="267"/>
        <v>0</v>
      </c>
      <c r="AM41" s="1808">
        <f t="shared" si="268"/>
        <v>0</v>
      </c>
      <c r="AN41" s="1807">
        <f t="shared" si="269"/>
        <v>0</v>
      </c>
      <c r="AO41" s="1807">
        <f t="shared" si="270"/>
        <v>0</v>
      </c>
      <c r="AP41" s="1806">
        <f t="shared" si="271"/>
        <v>0</v>
      </c>
      <c r="AQ41" s="1791">
        <f t="shared" si="272"/>
        <v>0</v>
      </c>
      <c r="AR41" s="1808">
        <f t="shared" si="273"/>
        <v>0</v>
      </c>
      <c r="AS41" s="1807">
        <f t="shared" si="274"/>
        <v>0</v>
      </c>
      <c r="AT41" s="1807">
        <f t="shared" si="275"/>
        <v>0</v>
      </c>
      <c r="AU41" s="1806">
        <f t="shared" si="276"/>
        <v>0</v>
      </c>
      <c r="AV41" s="1791">
        <f t="shared" si="277"/>
        <v>0</v>
      </c>
      <c r="AW41" s="1808">
        <f t="shared" si="278"/>
        <v>0</v>
      </c>
      <c r="AX41" s="1807">
        <f t="shared" si="279"/>
        <v>0</v>
      </c>
      <c r="AY41" s="1807">
        <f t="shared" si="280"/>
        <v>0</v>
      </c>
      <c r="AZ41" s="1806">
        <f t="shared" si="281"/>
        <v>0</v>
      </c>
      <c r="BA41" s="1791">
        <f t="shared" si="282"/>
        <v>0</v>
      </c>
      <c r="BB41" s="1808">
        <f t="shared" si="283"/>
        <v>0</v>
      </c>
      <c r="BC41" s="1807">
        <f t="shared" si="284"/>
        <v>0</v>
      </c>
      <c r="BD41" s="1807">
        <f t="shared" si="285"/>
        <v>0</v>
      </c>
      <c r="BE41" s="1806">
        <f t="shared" si="286"/>
        <v>0</v>
      </c>
      <c r="BF41" s="1791">
        <f t="shared" si="287"/>
        <v>0</v>
      </c>
      <c r="BG41" s="1808">
        <f t="shared" si="288"/>
        <v>0</v>
      </c>
      <c r="BH41" s="1807">
        <f t="shared" si="289"/>
        <v>0</v>
      </c>
      <c r="BI41" s="1807">
        <f t="shared" si="290"/>
        <v>0</v>
      </c>
      <c r="BJ41" s="1806">
        <f t="shared" si="291"/>
        <v>0</v>
      </c>
      <c r="BK41" s="1791">
        <f t="shared" si="292"/>
        <v>0</v>
      </c>
      <c r="BL41" s="1808">
        <f t="shared" si="293"/>
        <v>0</v>
      </c>
      <c r="BM41" s="1807">
        <f t="shared" si="294"/>
        <v>0</v>
      </c>
      <c r="BN41" s="1807">
        <f t="shared" si="295"/>
        <v>0</v>
      </c>
      <c r="BO41" s="1806">
        <f t="shared" si="296"/>
        <v>0</v>
      </c>
      <c r="BP41" s="1791">
        <f t="shared" si="297"/>
        <v>0</v>
      </c>
      <c r="BQ41" s="1809"/>
      <c r="BR41" s="1991">
        <f t="shared" si="298"/>
        <v>0</v>
      </c>
      <c r="BS41" s="1991">
        <f t="shared" si="298"/>
        <v>0</v>
      </c>
      <c r="BT41" s="1992">
        <f t="shared" si="299"/>
        <v>0</v>
      </c>
      <c r="BU41" s="1992">
        <f t="shared" si="300"/>
        <v>0</v>
      </c>
      <c r="BV41" s="1992">
        <f t="shared" si="301"/>
        <v>0</v>
      </c>
      <c r="BW41" s="1992">
        <f t="shared" si="302"/>
        <v>0</v>
      </c>
      <c r="BX41" s="1810">
        <f t="shared" si="303"/>
        <v>0</v>
      </c>
      <c r="BY41" s="1807">
        <f t="shared" si="304"/>
        <v>0</v>
      </c>
      <c r="BZ41" s="1807">
        <f t="shared" si="305"/>
        <v>0</v>
      </c>
      <c r="CA41" s="1807">
        <f t="shared" si="306"/>
        <v>0</v>
      </c>
      <c r="CB41" s="1806">
        <f t="shared" si="307"/>
        <v>0</v>
      </c>
      <c r="CC41" s="1791">
        <f t="shared" si="308"/>
        <v>0</v>
      </c>
      <c r="CD41" s="1808">
        <f t="shared" si="309"/>
        <v>0</v>
      </c>
      <c r="CE41" s="1807">
        <f t="shared" si="310"/>
        <v>0</v>
      </c>
      <c r="CF41" s="1807">
        <f t="shared" si="311"/>
        <v>0</v>
      </c>
      <c r="CG41" s="1806">
        <f t="shared" si="312"/>
        <v>0</v>
      </c>
      <c r="CH41" s="1791">
        <f t="shared" si="313"/>
        <v>0</v>
      </c>
      <c r="CI41" s="1808">
        <f t="shared" si="314"/>
        <v>0</v>
      </c>
      <c r="CJ41" s="1807">
        <f t="shared" si="315"/>
        <v>0</v>
      </c>
      <c r="CK41" s="1807">
        <f t="shared" si="316"/>
        <v>0</v>
      </c>
      <c r="CL41" s="1806">
        <f t="shared" si="317"/>
        <v>0</v>
      </c>
      <c r="CM41" s="1791">
        <f t="shared" si="318"/>
        <v>0</v>
      </c>
      <c r="CN41" s="1808">
        <f t="shared" si="319"/>
        <v>0</v>
      </c>
      <c r="CO41" s="1807">
        <f t="shared" si="320"/>
        <v>0</v>
      </c>
      <c r="CP41" s="1807">
        <f t="shared" si="321"/>
        <v>0</v>
      </c>
      <c r="CQ41" s="1806">
        <f t="shared" si="322"/>
        <v>0</v>
      </c>
      <c r="CR41" s="1791">
        <f t="shared" si="323"/>
        <v>0</v>
      </c>
      <c r="CS41" s="1808">
        <f t="shared" si="324"/>
        <v>0</v>
      </c>
      <c r="CT41" s="1807">
        <f t="shared" si="325"/>
        <v>0</v>
      </c>
      <c r="CU41" s="1807">
        <f t="shared" si="326"/>
        <v>0</v>
      </c>
      <c r="CV41" s="1806">
        <f t="shared" si="327"/>
        <v>0</v>
      </c>
      <c r="CW41" s="1791">
        <f t="shared" si="328"/>
        <v>0</v>
      </c>
      <c r="CX41" s="1808">
        <f t="shared" si="329"/>
        <v>0</v>
      </c>
      <c r="CY41" s="1807">
        <f t="shared" si="330"/>
        <v>0</v>
      </c>
      <c r="CZ41" s="1807">
        <f t="shared" si="331"/>
        <v>0</v>
      </c>
      <c r="DA41" s="1806">
        <f t="shared" si="332"/>
        <v>0</v>
      </c>
      <c r="DB41" s="1791">
        <f t="shared" si="333"/>
        <v>0</v>
      </c>
      <c r="DC41" s="1808">
        <f t="shared" si="334"/>
        <v>0</v>
      </c>
      <c r="DD41" s="1807">
        <f t="shared" si="335"/>
        <v>0</v>
      </c>
      <c r="DE41" s="1807">
        <f t="shared" si="336"/>
        <v>0</v>
      </c>
      <c r="DF41" s="1806">
        <f t="shared" si="337"/>
        <v>0</v>
      </c>
      <c r="DG41" s="1791">
        <f t="shared" si="338"/>
        <v>0</v>
      </c>
      <c r="DH41" s="1808">
        <f t="shared" si="339"/>
        <v>0</v>
      </c>
      <c r="DI41" s="1807">
        <f t="shared" si="340"/>
        <v>0</v>
      </c>
      <c r="DJ41" s="1807">
        <f t="shared" si="341"/>
        <v>0</v>
      </c>
      <c r="DK41" s="1806">
        <f t="shared" si="342"/>
        <v>0</v>
      </c>
      <c r="DL41" s="1791">
        <f t="shared" si="343"/>
        <v>0</v>
      </c>
      <c r="DM41" s="1808">
        <f t="shared" si="344"/>
        <v>0</v>
      </c>
      <c r="DN41" s="1807">
        <f t="shared" si="345"/>
        <v>0</v>
      </c>
      <c r="DO41" s="1807">
        <f t="shared" si="346"/>
        <v>0</v>
      </c>
      <c r="DP41" s="1806">
        <f t="shared" si="347"/>
        <v>0</v>
      </c>
      <c r="DQ41" s="1791">
        <f t="shared" si="348"/>
        <v>0</v>
      </c>
      <c r="DR41" s="1808">
        <f t="shared" si="349"/>
        <v>0</v>
      </c>
      <c r="DS41" s="1807">
        <f t="shared" si="350"/>
        <v>0</v>
      </c>
      <c r="DT41" s="1807">
        <f t="shared" si="351"/>
        <v>0</v>
      </c>
      <c r="DU41" s="1806">
        <f t="shared" si="352"/>
        <v>0</v>
      </c>
      <c r="DV41" s="1791">
        <f t="shared" si="353"/>
        <v>0</v>
      </c>
    </row>
    <row r="42" spans="1:126">
      <c r="A42" s="455"/>
      <c r="B42" s="455"/>
      <c r="C42" s="1363" t="s">
        <v>894</v>
      </c>
      <c r="D42" s="94"/>
      <c r="E42" s="1817">
        <f>IF(F42=0,G42,F42)</f>
        <v>250</v>
      </c>
      <c r="F42" s="1435">
        <v>250</v>
      </c>
      <c r="G42" s="1435">
        <v>250</v>
      </c>
      <c r="H42" s="1350">
        <v>2044</v>
      </c>
      <c r="I42" s="1335">
        <v>4.9500000000000002E-2</v>
      </c>
      <c r="J42" s="1343">
        <v>12</v>
      </c>
      <c r="K42" s="2007"/>
      <c r="L42" s="1810">
        <f t="shared" si="242"/>
        <v>0</v>
      </c>
      <c r="M42" s="1791">
        <f t="shared" si="242"/>
        <v>0</v>
      </c>
      <c r="N42" s="1808">
        <f t="shared" si="243"/>
        <v>0</v>
      </c>
      <c r="O42" s="1807">
        <f t="shared" si="244"/>
        <v>0</v>
      </c>
      <c r="P42" s="1807">
        <f t="shared" si="245"/>
        <v>0</v>
      </c>
      <c r="Q42" s="1806">
        <f t="shared" si="246"/>
        <v>0</v>
      </c>
      <c r="R42" s="1791">
        <f t="shared" si="247"/>
        <v>0</v>
      </c>
      <c r="S42" s="1808">
        <f t="shared" si="248"/>
        <v>0</v>
      </c>
      <c r="T42" s="1807">
        <f t="shared" si="249"/>
        <v>0</v>
      </c>
      <c r="U42" s="1807">
        <f t="shared" si="250"/>
        <v>0</v>
      </c>
      <c r="V42" s="1806">
        <f t="shared" si="251"/>
        <v>0</v>
      </c>
      <c r="W42" s="1791">
        <f t="shared" si="252"/>
        <v>0</v>
      </c>
      <c r="X42" s="1808">
        <f t="shared" si="253"/>
        <v>0</v>
      </c>
      <c r="Y42" s="1807">
        <f t="shared" si="254"/>
        <v>0</v>
      </c>
      <c r="Z42" s="1807">
        <f t="shared" si="255"/>
        <v>0</v>
      </c>
      <c r="AA42" s="1806">
        <f t="shared" si="256"/>
        <v>0</v>
      </c>
      <c r="AB42" s="1791">
        <f t="shared" si="257"/>
        <v>0</v>
      </c>
      <c r="AC42" s="1808">
        <f t="shared" si="258"/>
        <v>0</v>
      </c>
      <c r="AD42" s="1807">
        <f t="shared" si="259"/>
        <v>0</v>
      </c>
      <c r="AE42" s="1807">
        <f t="shared" si="260"/>
        <v>0</v>
      </c>
      <c r="AF42" s="1806">
        <f t="shared" si="261"/>
        <v>0</v>
      </c>
      <c r="AG42" s="1791">
        <f t="shared" si="262"/>
        <v>0</v>
      </c>
      <c r="AH42" s="1808">
        <f t="shared" si="263"/>
        <v>0</v>
      </c>
      <c r="AI42" s="1807">
        <f t="shared" si="264"/>
        <v>0</v>
      </c>
      <c r="AJ42" s="1807">
        <f t="shared" si="265"/>
        <v>0</v>
      </c>
      <c r="AK42" s="1806">
        <f t="shared" si="266"/>
        <v>0</v>
      </c>
      <c r="AL42" s="1791">
        <f t="shared" si="267"/>
        <v>0</v>
      </c>
      <c r="AM42" s="1808">
        <f t="shared" si="268"/>
        <v>0</v>
      </c>
      <c r="AN42" s="1807">
        <f t="shared" si="269"/>
        <v>0</v>
      </c>
      <c r="AO42" s="1807">
        <f t="shared" si="270"/>
        <v>0</v>
      </c>
      <c r="AP42" s="1806">
        <f t="shared" si="271"/>
        <v>0</v>
      </c>
      <c r="AQ42" s="1791">
        <f t="shared" si="272"/>
        <v>0</v>
      </c>
      <c r="AR42" s="1808">
        <f t="shared" si="273"/>
        <v>0</v>
      </c>
      <c r="AS42" s="1807">
        <f t="shared" si="274"/>
        <v>0</v>
      </c>
      <c r="AT42" s="1807">
        <f t="shared" si="275"/>
        <v>0</v>
      </c>
      <c r="AU42" s="1806">
        <f t="shared" si="276"/>
        <v>0</v>
      </c>
      <c r="AV42" s="1791">
        <f t="shared" si="277"/>
        <v>0</v>
      </c>
      <c r="AW42" s="1808">
        <f t="shared" si="278"/>
        <v>0</v>
      </c>
      <c r="AX42" s="1807">
        <f t="shared" si="279"/>
        <v>0</v>
      </c>
      <c r="AY42" s="1807">
        <f t="shared" si="280"/>
        <v>0</v>
      </c>
      <c r="AZ42" s="1806">
        <f t="shared" si="281"/>
        <v>0</v>
      </c>
      <c r="BA42" s="1791">
        <f t="shared" si="282"/>
        <v>0</v>
      </c>
      <c r="BB42" s="1808">
        <f t="shared" si="283"/>
        <v>0</v>
      </c>
      <c r="BC42" s="1807">
        <f t="shared" si="284"/>
        <v>0</v>
      </c>
      <c r="BD42" s="1807">
        <f t="shared" si="285"/>
        <v>0</v>
      </c>
      <c r="BE42" s="1806">
        <f t="shared" si="286"/>
        <v>0</v>
      </c>
      <c r="BF42" s="1791">
        <f t="shared" si="287"/>
        <v>0</v>
      </c>
      <c r="BG42" s="1808">
        <f t="shared" si="288"/>
        <v>0</v>
      </c>
      <c r="BH42" s="1807">
        <f t="shared" si="289"/>
        <v>0</v>
      </c>
      <c r="BI42" s="1807">
        <f t="shared" si="290"/>
        <v>0</v>
      </c>
      <c r="BJ42" s="1806">
        <f t="shared" si="291"/>
        <v>0</v>
      </c>
      <c r="BK42" s="1791">
        <f t="shared" si="292"/>
        <v>0</v>
      </c>
      <c r="BL42" s="1808">
        <f t="shared" si="293"/>
        <v>0</v>
      </c>
      <c r="BM42" s="1807">
        <f t="shared" si="294"/>
        <v>0</v>
      </c>
      <c r="BN42" s="1807">
        <f t="shared" si="295"/>
        <v>0</v>
      </c>
      <c r="BO42" s="1806">
        <f t="shared" si="296"/>
        <v>0</v>
      </c>
      <c r="BP42" s="1791">
        <f t="shared" si="297"/>
        <v>0</v>
      </c>
      <c r="BQ42" s="1809"/>
      <c r="BR42" s="1991">
        <f t="shared" si="298"/>
        <v>0</v>
      </c>
      <c r="BS42" s="1991">
        <f t="shared" si="298"/>
        <v>0</v>
      </c>
      <c r="BT42" s="1992">
        <f t="shared" si="299"/>
        <v>0</v>
      </c>
      <c r="BU42" s="1992">
        <f t="shared" si="300"/>
        <v>0</v>
      </c>
      <c r="BV42" s="1992">
        <f t="shared" si="301"/>
        <v>0</v>
      </c>
      <c r="BW42" s="1992">
        <f t="shared" si="302"/>
        <v>0</v>
      </c>
      <c r="BX42" s="1810">
        <f t="shared" si="303"/>
        <v>0</v>
      </c>
      <c r="BY42" s="1807">
        <f t="shared" si="304"/>
        <v>0</v>
      </c>
      <c r="BZ42" s="1807">
        <f t="shared" si="305"/>
        <v>0</v>
      </c>
      <c r="CA42" s="1807">
        <f t="shared" si="306"/>
        <v>0</v>
      </c>
      <c r="CB42" s="1806">
        <f t="shared" si="307"/>
        <v>0</v>
      </c>
      <c r="CC42" s="1791">
        <f t="shared" si="308"/>
        <v>0</v>
      </c>
      <c r="CD42" s="1808">
        <f t="shared" si="309"/>
        <v>0</v>
      </c>
      <c r="CE42" s="1807">
        <f t="shared" si="310"/>
        <v>0</v>
      </c>
      <c r="CF42" s="1807">
        <f t="shared" si="311"/>
        <v>0</v>
      </c>
      <c r="CG42" s="1806">
        <f t="shared" si="312"/>
        <v>0</v>
      </c>
      <c r="CH42" s="1791">
        <f t="shared" si="313"/>
        <v>0</v>
      </c>
      <c r="CI42" s="1808">
        <f t="shared" si="314"/>
        <v>0</v>
      </c>
      <c r="CJ42" s="1807">
        <f t="shared" si="315"/>
        <v>0</v>
      </c>
      <c r="CK42" s="1807">
        <f t="shared" si="316"/>
        <v>0</v>
      </c>
      <c r="CL42" s="1806">
        <f t="shared" si="317"/>
        <v>0</v>
      </c>
      <c r="CM42" s="1791">
        <f t="shared" si="318"/>
        <v>0</v>
      </c>
      <c r="CN42" s="1808">
        <f t="shared" si="319"/>
        <v>0</v>
      </c>
      <c r="CO42" s="1807">
        <f t="shared" si="320"/>
        <v>0</v>
      </c>
      <c r="CP42" s="1807">
        <f t="shared" si="321"/>
        <v>0</v>
      </c>
      <c r="CQ42" s="1806">
        <f t="shared" si="322"/>
        <v>0</v>
      </c>
      <c r="CR42" s="1791">
        <f t="shared" si="323"/>
        <v>0</v>
      </c>
      <c r="CS42" s="1808">
        <f t="shared" si="324"/>
        <v>0</v>
      </c>
      <c r="CT42" s="1807">
        <f t="shared" si="325"/>
        <v>0</v>
      </c>
      <c r="CU42" s="1807">
        <f t="shared" si="326"/>
        <v>0</v>
      </c>
      <c r="CV42" s="1806">
        <f t="shared" si="327"/>
        <v>0</v>
      </c>
      <c r="CW42" s="1791">
        <f t="shared" si="328"/>
        <v>0</v>
      </c>
      <c r="CX42" s="1808">
        <f t="shared" si="329"/>
        <v>0</v>
      </c>
      <c r="CY42" s="1807">
        <f t="shared" si="330"/>
        <v>0</v>
      </c>
      <c r="CZ42" s="1807">
        <f t="shared" si="331"/>
        <v>0</v>
      </c>
      <c r="DA42" s="1806">
        <f t="shared" si="332"/>
        <v>0</v>
      </c>
      <c r="DB42" s="1791">
        <f t="shared" si="333"/>
        <v>0</v>
      </c>
      <c r="DC42" s="1808">
        <f t="shared" si="334"/>
        <v>0</v>
      </c>
      <c r="DD42" s="1807">
        <f t="shared" si="335"/>
        <v>0</v>
      </c>
      <c r="DE42" s="1807">
        <f t="shared" si="336"/>
        <v>0</v>
      </c>
      <c r="DF42" s="1806">
        <f t="shared" si="337"/>
        <v>0</v>
      </c>
      <c r="DG42" s="1791">
        <f t="shared" si="338"/>
        <v>0</v>
      </c>
      <c r="DH42" s="1808">
        <f t="shared" si="339"/>
        <v>0</v>
      </c>
      <c r="DI42" s="1807">
        <f t="shared" si="340"/>
        <v>0</v>
      </c>
      <c r="DJ42" s="1807">
        <f t="shared" si="341"/>
        <v>0</v>
      </c>
      <c r="DK42" s="1806">
        <f t="shared" si="342"/>
        <v>0</v>
      </c>
      <c r="DL42" s="1791">
        <f t="shared" si="343"/>
        <v>0</v>
      </c>
      <c r="DM42" s="1808">
        <f t="shared" si="344"/>
        <v>0</v>
      </c>
      <c r="DN42" s="1807">
        <f t="shared" si="345"/>
        <v>0</v>
      </c>
      <c r="DO42" s="1807">
        <f t="shared" si="346"/>
        <v>0</v>
      </c>
      <c r="DP42" s="1806">
        <f t="shared" si="347"/>
        <v>0</v>
      </c>
      <c r="DQ42" s="1791">
        <f t="shared" si="348"/>
        <v>0</v>
      </c>
      <c r="DR42" s="1808">
        <f t="shared" si="349"/>
        <v>0</v>
      </c>
      <c r="DS42" s="1807">
        <f t="shared" si="350"/>
        <v>0</v>
      </c>
      <c r="DT42" s="1807">
        <f t="shared" si="351"/>
        <v>0</v>
      </c>
      <c r="DU42" s="1806">
        <f t="shared" si="352"/>
        <v>0</v>
      </c>
      <c r="DV42" s="1791">
        <f t="shared" si="353"/>
        <v>0</v>
      </c>
    </row>
    <row r="43" spans="1:126">
      <c r="A43" s="455"/>
      <c r="B43" s="455"/>
      <c r="C43" s="1363" t="s">
        <v>111</v>
      </c>
      <c r="D43" s="94"/>
      <c r="E43" s="1817">
        <f t="shared" si="354"/>
        <v>200</v>
      </c>
      <c r="F43" s="1435">
        <v>200</v>
      </c>
      <c r="G43" s="1435">
        <v>200</v>
      </c>
      <c r="H43" s="1350">
        <v>2052</v>
      </c>
      <c r="I43" s="1335">
        <v>4.9000000000000002E-2</v>
      </c>
      <c r="J43" s="1343">
        <v>12</v>
      </c>
      <c r="K43" s="1792"/>
      <c r="L43" s="1810">
        <f t="shared" ref="L43:M45" si="355">IF(L$5=$H43,-$E43,0)</f>
        <v>0</v>
      </c>
      <c r="M43" s="1791">
        <f t="shared" si="355"/>
        <v>0</v>
      </c>
      <c r="N43" s="1808">
        <f t="shared" ref="N43" si="356">IF(R43=0,0,IF(R43&lt;0,IF($J43=3,R43,IF($J43=2,R43,IF($J43=1,R43,0)))))</f>
        <v>0</v>
      </c>
      <c r="O43" s="1807">
        <f t="shared" ref="O43" si="357">IF(R43=0,0,IF(R43&lt;0,IF($J43=6,R43,IF($J43=5,R43,IF($J43=4,R43,0)))))</f>
        <v>0</v>
      </c>
      <c r="P43" s="1807">
        <f t="shared" ref="P43" si="358">IF(R43=0,0,IF(R43&lt;0,IF($J43=9,R43,IF($J43=8,R43,IF($J43=7,R43,0)))))</f>
        <v>0</v>
      </c>
      <c r="Q43" s="1806">
        <f t="shared" ref="Q43" si="359">IF(R43=0,0,IF(R43&lt;0,IF($J43=12,R43,IF($J43=11,R43,IF($J43=10,R43,0)))))</f>
        <v>0</v>
      </c>
      <c r="R43" s="1791">
        <f t="shared" ref="R43:R45" si="360">IF(R$5=$H43,-$E43,0)</f>
        <v>0</v>
      </c>
      <c r="S43" s="1808">
        <f t="shared" ref="S43" si="361">IF(W43=0,0,IF(W43&lt;0,IF($J43=3,W43,IF($J43=2,W43,IF($J43=1,W43,0)))))</f>
        <v>0</v>
      </c>
      <c r="T43" s="1807">
        <f t="shared" ref="T43" si="362">IF(W43=0,0,IF(W43&lt;0,IF($J43=6,W43,IF($J43=5,W43,IF($J43=4,W43,0)))))</f>
        <v>0</v>
      </c>
      <c r="U43" s="1807">
        <f t="shared" ref="U43" si="363">IF(W43=0,0,IF(W43&lt;0,IF($J43=9,W43,IF($J43=8,W43,IF($J43=7,W43,0)))))</f>
        <v>0</v>
      </c>
      <c r="V43" s="1806">
        <f t="shared" ref="V43" si="364">IF(W43=0,0,IF(W43&lt;0,IF($J43=12,W43,IF($J43=11,W43,IF($J43=10,W43,0)))))</f>
        <v>0</v>
      </c>
      <c r="W43" s="1791">
        <f t="shared" ref="W43:W45" si="365">IF(W$5=$H43,-$E43,0)</f>
        <v>0</v>
      </c>
      <c r="X43" s="1808">
        <f t="shared" ref="X43" si="366">IF(AB43=0,0,IF(AB43&lt;0,IF($J43=3,AB43,IF($J43=2,AB43,IF($J43=1,AB43,0)))))</f>
        <v>0</v>
      </c>
      <c r="Y43" s="1807">
        <f t="shared" ref="Y43" si="367">IF(AB43=0,0,IF(AB43&lt;0,IF($J43=6,AB43,IF($J43=5,AB43,IF($J43=4,AB43,0)))))</f>
        <v>0</v>
      </c>
      <c r="Z43" s="1807">
        <f t="shared" ref="Z43" si="368">IF(AB43=0,0,IF(AB43&lt;0,IF($J43=9,AB43,IF($J43=8,AB43,IF($J43=7,AB43,0)))))</f>
        <v>0</v>
      </c>
      <c r="AA43" s="1806">
        <f t="shared" ref="AA43" si="369">IF(AB43=0,0,IF(AB43&lt;0,IF($J43=12,AB43,IF($J43=11,AB43,IF($J43=10,AB43,0)))))</f>
        <v>0</v>
      </c>
      <c r="AB43" s="1791">
        <f t="shared" ref="AB43:AB45" si="370">IF(AB$5=$H43,-$E43,0)</f>
        <v>0</v>
      </c>
      <c r="AC43" s="1808">
        <f t="shared" ref="AC43" si="371">IF(AG43=0,0,IF(AG43&lt;0,IF($J43=3,AG43,IF($J43=2,AG43,IF($J43=1,AG43,0)))))</f>
        <v>0</v>
      </c>
      <c r="AD43" s="1807">
        <f t="shared" ref="AD43" si="372">IF(AG43=0,0,IF(AG43&lt;0,IF($J43=6,AG43,IF($J43=5,AG43,IF($J43=4,AG43,0)))))</f>
        <v>0</v>
      </c>
      <c r="AE43" s="1807">
        <f t="shared" ref="AE43" si="373">IF(AG43=0,0,IF(AG43&lt;0,IF($J43=9,AG43,IF($J43=8,AG43,IF($J43=7,AG43,0)))))</f>
        <v>0</v>
      </c>
      <c r="AF43" s="1806">
        <f t="shared" ref="AF43" si="374">IF(AG43=0,0,IF(AG43&lt;0,IF($J43=12,AG43,IF($J43=11,AG43,IF($J43=10,AG43,0)))))</f>
        <v>0</v>
      </c>
      <c r="AG43" s="1791">
        <f t="shared" ref="AG43:AG45" si="375">IF(AG$5=$H43,-$E43,0)</f>
        <v>0</v>
      </c>
      <c r="AH43" s="1808">
        <f t="shared" ref="AH43" si="376">IF(AL43=0,0,IF(AL43&lt;0,IF($J43=3,AL43,IF($J43=2,AL43,IF($J43=1,AL43,0)))))</f>
        <v>0</v>
      </c>
      <c r="AI43" s="1807">
        <f t="shared" ref="AI43" si="377">IF(AL43=0,0,IF(AL43&lt;0,IF($J43=6,AL43,IF($J43=5,AL43,IF($J43=4,AL43,0)))))</f>
        <v>0</v>
      </c>
      <c r="AJ43" s="1807">
        <f t="shared" ref="AJ43" si="378">IF(AL43=0,0,IF(AL43&lt;0,IF($J43=9,AL43,IF($J43=8,AL43,IF($J43=7,AL43,0)))))</f>
        <v>0</v>
      </c>
      <c r="AK43" s="1806">
        <f t="shared" ref="AK43" si="379">IF(AL43=0,0,IF(AL43&lt;0,IF($J43=12,AL43,IF($J43=11,AL43,IF($J43=10,AL43,0)))))</f>
        <v>0</v>
      </c>
      <c r="AL43" s="1791">
        <f t="shared" ref="AL43:AL45" si="380">IF(AL$5=$H43,-$E43,0)</f>
        <v>0</v>
      </c>
      <c r="AM43" s="1808">
        <f t="shared" ref="AM43" si="381">IF(AQ43=0,0,IF(AQ43&lt;0,IF($J43=3,AQ43,IF($J43=2,AQ43,IF($J43=1,AQ43,0)))))</f>
        <v>0</v>
      </c>
      <c r="AN43" s="1807">
        <f t="shared" ref="AN43" si="382">IF(AQ43=0,0,IF(AQ43&lt;0,IF($J43=6,AQ43,IF($J43=5,AQ43,IF($J43=4,AQ43,0)))))</f>
        <v>0</v>
      </c>
      <c r="AO43" s="1807">
        <f t="shared" ref="AO43" si="383">IF(AQ43=0,0,IF(AQ43&lt;0,IF($J43=9,AQ43,IF($J43=8,AQ43,IF($J43=7,AQ43,0)))))</f>
        <v>0</v>
      </c>
      <c r="AP43" s="1806">
        <f t="shared" ref="AP43" si="384">IF(AQ43=0,0,IF(AQ43&lt;0,IF($J43=12,AQ43,IF($J43=11,AQ43,IF($J43=10,AQ43,0)))))</f>
        <v>0</v>
      </c>
      <c r="AQ43" s="1791">
        <f t="shared" ref="AQ43:AQ45" si="385">IF(AQ$5=$H43,-$E43,0)</f>
        <v>0</v>
      </c>
      <c r="AR43" s="1808">
        <f t="shared" ref="AR43" si="386">IF(AV43=0,0,IF(AV43&lt;0,IF($J43=3,AV43,IF($J43=2,AV43,IF($J43=1,AV43,0)))))</f>
        <v>0</v>
      </c>
      <c r="AS43" s="1807">
        <f t="shared" si="274"/>
        <v>0</v>
      </c>
      <c r="AT43" s="1807">
        <f t="shared" ref="AT43" si="387">IF(AV43=0,0,IF(AV43&lt;0,IF($J43=9,AV43,IF($J43=8,AV43,IF($J43=7,AV43,0)))))</f>
        <v>0</v>
      </c>
      <c r="AU43" s="1806">
        <f t="shared" ref="AU43" si="388">IF(AV43=0,0,IF(AV43&lt;0,IF($J43=12,AV43,IF($J43=11,AV43,IF($J43=10,AV43,0)))))</f>
        <v>0</v>
      </c>
      <c r="AV43" s="1791">
        <f t="shared" ref="AV43:AV45" si="389">IF(AV$5=$H43,-$E43,0)</f>
        <v>0</v>
      </c>
      <c r="AW43" s="1808">
        <f t="shared" ref="AW43" si="390">IF(BA43=0,0,IF(BA43&lt;0,IF($J43=3,BA43,IF($J43=2,BA43,IF($J43=1,BA43,0)))))</f>
        <v>0</v>
      </c>
      <c r="AX43" s="1807">
        <f t="shared" ref="AX43" si="391">IF(BA43=0,0,IF(BA43&lt;0,IF($J43=6,BA43,IF($J43=5,BA43,IF($J43=4,BA43,0)))))</f>
        <v>0</v>
      </c>
      <c r="AY43" s="1807">
        <f t="shared" ref="AY43" si="392">IF(BA43=0,0,IF(BA43&lt;0,IF($J43=9,BA43,IF($J43=8,BA43,IF($J43=7,BA43,0)))))</f>
        <v>0</v>
      </c>
      <c r="AZ43" s="1806">
        <f t="shared" ref="AZ43" si="393">IF(BA43=0,0,IF(BA43&lt;0,IF($J43=12,BA43,IF($J43=11,BA43,IF($J43=10,BA43,0)))))</f>
        <v>0</v>
      </c>
      <c r="BA43" s="1791">
        <f t="shared" ref="BA43:BA45" si="394">IF(BA$5=$H43,-$E43,0)</f>
        <v>0</v>
      </c>
      <c r="BB43" s="1808">
        <f t="shared" ref="BB43" si="395">IF(BF43=0,0,IF(BF43&lt;0,IF($J43=3,BF43,IF($J43=2,BF43,IF($J43=1,BF43,0)))))</f>
        <v>0</v>
      </c>
      <c r="BC43" s="1807">
        <f t="shared" ref="BC43" si="396">IF(BF43=0,0,IF(BF43&lt;0,IF($J43=6,BF43,IF($J43=5,BF43,IF($J43=4,BF43,0)))))</f>
        <v>0</v>
      </c>
      <c r="BD43" s="1807">
        <f t="shared" ref="BD43" si="397">IF(BF43=0,0,IF(BF43&lt;0,IF($J43=9,BF43,IF($J43=8,BF43,IF($J43=7,BF43,0)))))</f>
        <v>0</v>
      </c>
      <c r="BE43" s="1806">
        <f t="shared" ref="BE43" si="398">IF(BF43=0,0,IF(BF43&lt;0,IF($J43=12,BF43,IF($J43=11,BF43,IF($J43=10,BF43,0)))))</f>
        <v>0</v>
      </c>
      <c r="BF43" s="1791">
        <f t="shared" ref="BF43:BF45" si="399">IF(BF$5=$H43,-$E43,0)</f>
        <v>0</v>
      </c>
      <c r="BG43" s="1808">
        <f t="shared" ref="BG43" si="400">IF(BK43=0,0,IF(BK43&lt;0,IF($J43=3,BK43,IF($J43=2,BK43,IF($J43=1,BK43,0)))))</f>
        <v>0</v>
      </c>
      <c r="BH43" s="1807">
        <f t="shared" ref="BH43" si="401">IF(BK43=0,0,IF(BK43&lt;0,IF($J43=6,BK43,IF($J43=5,BK43,IF($J43=4,BK43,0)))))</f>
        <v>0</v>
      </c>
      <c r="BI43" s="1807">
        <f t="shared" ref="BI43" si="402">IF(BK43=0,0,IF(BK43&lt;0,IF($J43=9,BK43,IF($J43=8,BK43,IF($J43=7,BK43,0)))))</f>
        <v>0</v>
      </c>
      <c r="BJ43" s="1806">
        <f t="shared" ref="BJ43" si="403">IF(BK43=0,0,IF(BK43&lt;0,IF($J43=12,BK43,IF($J43=11,BK43,IF($J43=10,BK43,0)))))</f>
        <v>0</v>
      </c>
      <c r="BK43" s="1791">
        <f t="shared" ref="BK43:BK45" si="404">IF(BK$5=$H43,-$E43,0)</f>
        <v>0</v>
      </c>
      <c r="BL43" s="1808">
        <f t="shared" ref="BL43" si="405">IF(BP43=0,0,IF(BP43&lt;0,IF($J43=3,BP43,IF($J43=2,BP43,IF($J43=1,BP43,0)))))</f>
        <v>0</v>
      </c>
      <c r="BM43" s="1807">
        <f t="shared" ref="BM43" si="406">IF(BP43=0,0,IF(BP43&lt;0,IF($J43=6,BP43,IF($J43=5,BP43,IF($J43=4,BP43,0)))))</f>
        <v>0</v>
      </c>
      <c r="BN43" s="1807">
        <f t="shared" ref="BN43" si="407">IF(BP43=0,0,IF(BP43&lt;0,IF($J43=9,BP43,IF($J43=8,BP43,IF($J43=7,BP43,0)))))</f>
        <v>0</v>
      </c>
      <c r="BO43" s="1806">
        <f t="shared" ref="BO43" si="408">IF(BP43=0,0,IF(BP43&lt;0,IF($J43=12,BP43,IF($J43=11,BP43,IF($J43=10,BP43,0)))))</f>
        <v>0</v>
      </c>
      <c r="BP43" s="1791">
        <f t="shared" ref="BP43:BP45" si="409">IF(BP$5=$H43,-$E43,0)</f>
        <v>0</v>
      </c>
      <c r="BQ43" s="1827"/>
      <c r="BR43" s="1991">
        <f t="shared" ref="BR43:BS43" si="410">IF(AND(BQ43&lt;&gt;0,BQ$5=$H43),-$I43*$E43-BQ43,IF(BR$5=$H43,-$I43*$E43*(12-$J43+1)/12,0))</f>
        <v>0</v>
      </c>
      <c r="BS43" s="1991">
        <f t="shared" si="410"/>
        <v>0</v>
      </c>
      <c r="BT43" s="1992">
        <f t="shared" ref="BT43" si="411">IF($H43&lt;&gt;BX$5,0,IF(BX43&lt;0,IF($J43=1,-$E43*$I43/12*3,IF($J43=2,-$E43*$I43/12*2,IF($J43=3,-$E43*$I43/12*1,0)))))+IF(BS$5&lt;&gt;$H43,0,IF(BS43&lt;0,IF($J43=1,-$E43*$I43/12*0,IF($J43=2,-$E43*$I43/12*1,IF($J43=3,-$E43*$I43/12*2,IF($J43&gt;=4,-$E43*$I43/12*3,0))))))</f>
        <v>0</v>
      </c>
      <c r="BU43" s="1992">
        <f t="shared" ref="BU43" si="412">IF($H43&lt;&gt;BX$5,0,IF(BX43&lt;0,IF(OR($J43=1,$J43=2,$J43=3,$J43=4),-$E43*$I43/12*3,IF($J43=5,-$E43*$I43/12*2,IF($J43=6,-$E43*$I43/12*1,0)))))+IF(BS$5&lt;&gt;$H43,0,IF(BS43&lt;0,IF($J43=4,-$E43*$I43/12*0,IF($J43=5,-$E43*$I43/12*1,IF($J43=6,-$E43*$I43/12*2,IF($J43&gt;=7,-$E43*$I43/12*3,0))))))</f>
        <v>0</v>
      </c>
      <c r="BV43" s="1992">
        <f t="shared" ref="BV43" si="413">IF($H43&lt;&gt;BX$5,0,IF(BX43&lt;0,IF(OR($J43=1,$J43=2,$J43=3,$J43=4,$J43=5,$J43=6,$J43=7),-$E43*$I43/12*3,IF($J43=8,-$E43*$I43/12*2,IF($J43=9,-$E43*$I43/12*1,0)))))+IF(BS$5&lt;&gt;$H43,0,IF(BS43&lt;0,IF($J43=7,-$E43*$I43/12*0,IF($J43=8,-$E43*$I43/12*1,IF($J43=9,-$E43*$I43/12*2,IF($J43&gt;=10,-$E43*$I43/12*3,0))))))</f>
        <v>0</v>
      </c>
      <c r="BW43" s="1992">
        <f t="shared" ref="BW43" si="414">IF($H43&lt;&gt;BX$5,0,IF(BX43&lt;0,IF(OR($J43=1,$J43=2,$J43=3,$J43=4,$J43=5,$J43=6,$J43=7,$J43=8,$J43=9,$J43=10),-$E43*$I43/12*3,IF($J43=11,-$E43*$I43/12*2,IF($J43=12,-$E43*$I43/12*1,0)))))+IF(BS$5&lt;&gt;$H43,0,IF(BS43&lt;0,IF($J43=10,-$E43*$I43/12*0,IF($J43=11,-$E43*$I43/12*1,IF($J43=12,-$E43*$I43/12*2,0)))))</f>
        <v>0</v>
      </c>
      <c r="BX43" s="1810">
        <f t="shared" ref="BX43" si="415">IF(AND(BS43&lt;&gt;0,BS$5=$H43),-$I43*$E43-BS43,IF(BX$5=$H43,-$I43*$E43*(12-$J43+1)/12,0))</f>
        <v>0</v>
      </c>
      <c r="BY43" s="1807">
        <f t="shared" ref="BY43" si="416">IF($H43&lt;&gt;CC$5,0,IF(CC43&lt;0,IF($J43=1,-$E43*$I43/12*3,IF($J43=2,-$E43*$I43/12*2,IF($J43=3,-$E43*$I43/12*1,0)))))+IF(BX$5&lt;&gt;$H43,0,IF(BX43&lt;0,IF($J43=1,-$E43*$I43/12*0,IF($J43=2,-$E43*$I43/12*1,IF($J43=3,-$E43*$I43/12*2,IF($J43&gt;=4,-$E43*$I43/12*3,0))))))</f>
        <v>0</v>
      </c>
      <c r="BZ43" s="1807">
        <f t="shared" ref="BZ43" si="417">IF($H43&lt;&gt;CC$5,0,IF(CC43&lt;0,IF(OR($J43=1,$J43=2,$J43=3,$J43=4),-$E43*$I43/12*3,IF($J43=5,-$E43*$I43/12*2,IF($J43=6,-$E43*$I43/12*1,0)))))+IF(BX$5&lt;&gt;$H43,0,IF(BX43&lt;0,IF($J43=4,-$E43*$I43/12*0,IF($J43=5,-$E43*$I43/12*1,IF($J43=6,-$E43*$I43/12*2,IF($J43&gt;=7,-$E43*$I43/12*3,0))))))</f>
        <v>0</v>
      </c>
      <c r="CA43" s="1807">
        <f t="shared" ref="CA43" si="418">IF($H43&lt;&gt;CC$5,0,IF(CC43&lt;0,IF(OR($J43=1,$J43=2,$J43=3,$J43=4,$J43=5,$J43=6,$J43=7),-$E43*$I43/12*3,IF($J43=8,-$E43*$I43/12*2,IF($J43=9,-$E43*$I43/12*1,0)))))+IF(BX$5&lt;&gt;$H43,0,IF(BX43&lt;0,IF($J43=7,-$E43*$I43/12*0,IF($J43=8,-$E43*$I43/12*1,IF($J43=9,-$E43*$I43/12*2,IF($J43&gt;=10,-$E43*$I43/12*3,0))))))</f>
        <v>0</v>
      </c>
      <c r="CB43" s="1806">
        <f t="shared" ref="CB43" si="419">IF($H43&lt;&gt;CC$5,0,IF(CC43&lt;0,IF(OR($J43=1,$J43=2,$J43=3,$J43=4,$J43=5,$J43=6,$J43=7,$J43=8,$J43=9,$J43=10),-$E43*$I43/12*3,IF($J43=11,-$E43*$I43/12*2,IF($J43=12,-$E43*$I43/12*1,0)))))+IF(BX$5&lt;&gt;$H43,0,IF(BX43&lt;0,IF($J43=10,-$E43*$I43/12*0,IF($J43=11,-$E43*$I43/12*1,IF($J43=12,-$E43*$I43/12*2,0)))))</f>
        <v>0</v>
      </c>
      <c r="CC43" s="1791">
        <f t="shared" ref="CC43" si="420">IF(AND(BX43&lt;&gt;0,BX$5=$H43),-$I43*$E43-BX43,IF(CC$5=$H43,-$I43*$E43*(12-$J43+1)/12,0))</f>
        <v>0</v>
      </c>
      <c r="CD43" s="1808">
        <f t="shared" ref="CD43" si="421">IF($H43&lt;&gt;CH$5,0,IF(CH43&lt;0,IF($J43=1,-$E43*$I43/12*3,IF($J43=2,-$E43*$I43/12*2,IF($J43=3,-$E43*$I43/12*1,0)))))+IF(CC$5&lt;&gt;$H43,0,IF(CC43&lt;0,IF($J43=1,-$E43*$I43/12*0,IF($J43=2,-$E43*$I43/12*1,IF($J43=3,-$E43*$I43/12*2,IF($J43&gt;=4,-$E43*$I43/12*3,0))))))</f>
        <v>0</v>
      </c>
      <c r="CE43" s="1807">
        <f t="shared" ref="CE43" si="422">IF($H43&lt;&gt;CH$5,0,IF(CH43&lt;0,IF(OR($J43=1,$J43=2,$J43=3,$J43=4),-$E43*$I43/12*3,IF($J43=5,-$E43*$I43/12*2,IF($J43=6,-$E43*$I43/12*1,0)))))+IF(CC$5&lt;&gt;$H43,0,IF(CC43&lt;0,IF($J43=4,-$E43*$I43/12*0,IF($J43=5,-$E43*$I43/12*1,IF($J43=6,-$E43*$I43/12*2,IF($J43&gt;=7,-$E43*$I43/12*3,0))))))</f>
        <v>0</v>
      </c>
      <c r="CF43" s="1807">
        <f t="shared" ref="CF43" si="423">IF($H43&lt;&gt;CH$5,0,IF(CH43&lt;0,IF(OR($J43=1,$J43=2,$J43=3,$J43=4,$J43=5,$J43=6,$J43=7),-$E43*$I43/12*3,IF($J43=8,-$E43*$I43/12*2,IF($J43=9,-$E43*$I43/12*1,0)))))+IF(CC$5&lt;&gt;$H43,0,IF(CC43&lt;0,IF($J43=7,-$E43*$I43/12*0,IF($J43=8,-$E43*$I43/12*1,IF($J43=9,-$E43*$I43/12*2,IF($J43&gt;=10,-$E43*$I43/12*3,0))))))</f>
        <v>0</v>
      </c>
      <c r="CG43" s="1806">
        <f t="shared" ref="CG43" si="424">IF($H43&lt;&gt;CH$5,0,IF(CH43&lt;0,IF(OR($J43=1,$J43=2,$J43=3,$J43=4,$J43=5,$J43=6,$J43=7,$J43=8,$J43=9,$J43=10),-$E43*$I43/12*3,IF($J43=11,-$E43*$I43/12*2,IF($J43=12,-$E43*$I43/12*1,0)))))+IF(CC$5&lt;&gt;$H43,0,IF(CC43&lt;0,IF($J43=10,-$E43*$I43/12*0,IF($J43=11,-$E43*$I43/12*1,IF($J43=12,-$E43*$I43/12*2,0)))))</f>
        <v>0</v>
      </c>
      <c r="CH43" s="1791">
        <f t="shared" ref="CH43" si="425">IF(AND(CC43&lt;&gt;0,CC$5=$H43),-$I43*$E43-CC43,IF(CH$5=$H43,-$I43*$E43*(12-$J43+1)/12,0))</f>
        <v>0</v>
      </c>
      <c r="CI43" s="1808">
        <f t="shared" ref="CI43" si="426">IF($H43&lt;&gt;CM$5,0,IF(CM43&lt;0,IF($J43=1,-$E43*$I43/12*3,IF($J43=2,-$E43*$I43/12*2,IF($J43=3,-$E43*$I43/12*1,0)))))+IF(CH$5&lt;&gt;$H43,0,IF(CH43&lt;0,IF($J43=1,-$E43*$I43/12*0,IF($J43=2,-$E43*$I43/12*1,IF($J43=3,-$E43*$I43/12*2,IF($J43&gt;=4,-$E43*$I43/12*3,0))))))</f>
        <v>0</v>
      </c>
      <c r="CJ43" s="1807">
        <f t="shared" ref="CJ43" si="427">IF($H43&lt;&gt;CM$5,0,IF(CM43&lt;0,IF(OR($J43=1,$J43=2,$J43=3,$J43=4),-$E43*$I43/12*3,IF($J43=5,-$E43*$I43/12*2,IF($J43=6,-$E43*$I43/12*1,0)))))+IF(CH$5&lt;&gt;$H43,0,IF(CH43&lt;0,IF($J43=4,-$E43*$I43/12*0,IF($J43=5,-$E43*$I43/12*1,IF($J43=6,-$E43*$I43/12*2,IF($J43&gt;=7,-$E43*$I43/12*3,0))))))</f>
        <v>0</v>
      </c>
      <c r="CK43" s="1807">
        <f t="shared" ref="CK43" si="428">IF($H43&lt;&gt;CM$5,0,IF(CM43&lt;0,IF(OR($J43=1,$J43=2,$J43=3,$J43=4,$J43=5,$J43=6,$J43=7),-$E43*$I43/12*3,IF($J43=8,-$E43*$I43/12*2,IF($J43=9,-$E43*$I43/12*1,0)))))+IF(CH$5&lt;&gt;$H43,0,IF(CH43&lt;0,IF($J43=7,-$E43*$I43/12*0,IF($J43=8,-$E43*$I43/12*1,IF($J43=9,-$E43*$I43/12*2,IF($J43&gt;=10,-$E43*$I43/12*3,0))))))</f>
        <v>0</v>
      </c>
      <c r="CL43" s="1806">
        <f t="shared" ref="CL43" si="429">IF($H43&lt;&gt;CM$5,0,IF(CM43&lt;0,IF(OR($J43=1,$J43=2,$J43=3,$J43=4,$J43=5,$J43=6,$J43=7,$J43=8,$J43=9,$J43=10),-$E43*$I43/12*3,IF($J43=11,-$E43*$I43/12*2,IF($J43=12,-$E43*$I43/12*1,0)))))+IF(CH$5&lt;&gt;$H43,0,IF(CH43&lt;0,IF($J43=10,-$E43*$I43/12*0,IF($J43=11,-$E43*$I43/12*1,IF($J43=12,-$E43*$I43/12*2,0)))))</f>
        <v>0</v>
      </c>
      <c r="CM43" s="1791">
        <f t="shared" ref="CM43" si="430">IF(AND(CH43&lt;&gt;0,CH$5=$H43),-$I43*$E43-CH43,IF(CM$5=$H43,-$I43*$E43*(12-$J43+1)/12,0))</f>
        <v>0</v>
      </c>
      <c r="CN43" s="1808">
        <f t="shared" ref="CN43" si="431">IF($H43&lt;&gt;CR$5,0,IF(CR43&lt;0,IF($J43=1,-$E43*$I43/12*3,IF($J43=2,-$E43*$I43/12*2,IF($J43=3,-$E43*$I43/12*1,0)))))+IF(CM$5&lt;&gt;$H43,0,IF(CM43&lt;0,IF($J43=1,-$E43*$I43/12*0,IF($J43=2,-$E43*$I43/12*1,IF($J43=3,-$E43*$I43/12*2,IF($J43&gt;=4,-$E43*$I43/12*3,0))))))</f>
        <v>0</v>
      </c>
      <c r="CO43" s="1807">
        <f t="shared" ref="CO43" si="432">IF($H43&lt;&gt;CR$5,0,IF(CR43&lt;0,IF(OR($J43=1,$J43=2,$J43=3,$J43=4),-$E43*$I43/12*3,IF($J43=5,-$E43*$I43/12*2,IF($J43=6,-$E43*$I43/12*1,0)))))+IF(CM$5&lt;&gt;$H43,0,IF(CM43&lt;0,IF($J43=4,-$E43*$I43/12*0,IF($J43=5,-$E43*$I43/12*1,IF($J43=6,-$E43*$I43/12*2,IF($J43&gt;=7,-$E43*$I43/12*3,0))))))</f>
        <v>0</v>
      </c>
      <c r="CP43" s="1807">
        <f t="shared" ref="CP43" si="433">IF($H43&lt;&gt;CR$5,0,IF(CR43&lt;0,IF(OR($J43=1,$J43=2,$J43=3,$J43=4,$J43=5,$J43=6,$J43=7),-$E43*$I43/12*3,IF($J43=8,-$E43*$I43/12*2,IF($J43=9,-$E43*$I43/12*1,0)))))+IF(CM$5&lt;&gt;$H43,0,IF(CM43&lt;0,IF($J43=7,-$E43*$I43/12*0,IF($J43=8,-$E43*$I43/12*1,IF($J43=9,-$E43*$I43/12*2,IF($J43&gt;=10,-$E43*$I43/12*3,0))))))</f>
        <v>0</v>
      </c>
      <c r="CQ43" s="1806">
        <f t="shared" ref="CQ43" si="434">IF($H43&lt;&gt;CR$5,0,IF(CR43&lt;0,IF(OR($J43=1,$J43=2,$J43=3,$J43=4,$J43=5,$J43=6,$J43=7,$J43=8,$J43=9,$J43=10),-$E43*$I43/12*3,IF($J43=11,-$E43*$I43/12*2,IF($J43=12,-$E43*$I43/12*1,0)))))+IF(CM$5&lt;&gt;$H43,0,IF(CM43&lt;0,IF($J43=10,-$E43*$I43/12*0,IF($J43=11,-$E43*$I43/12*1,IF($J43=12,-$E43*$I43/12*2,0)))))</f>
        <v>0</v>
      </c>
      <c r="CR43" s="1791">
        <f t="shared" ref="CR43" si="435">IF(AND(CM43&lt;&gt;0,CM$5=$H43),-$I43*$E43-CM43,IF(CR$5=$H43,-$I43*$E43*(12-$J43+1)/12,0))</f>
        <v>0</v>
      </c>
      <c r="CS43" s="1808">
        <f t="shared" ref="CS43" si="436">IF($H43&lt;&gt;CW$5,0,IF(CW43&lt;0,IF($J43=1,-$E43*$I43/12*3,IF($J43=2,-$E43*$I43/12*2,IF($J43=3,-$E43*$I43/12*1,0)))))+IF(CR$5&lt;&gt;$H43,0,IF(CR43&lt;0,IF($J43=1,-$E43*$I43/12*0,IF($J43=2,-$E43*$I43/12*1,IF($J43=3,-$E43*$I43/12*2,IF($J43&gt;=4,-$E43*$I43/12*3,0))))))</f>
        <v>0</v>
      </c>
      <c r="CT43" s="1807">
        <f t="shared" ref="CT43" si="437">IF($H43&lt;&gt;CW$5,0,IF(CW43&lt;0,IF(OR($J43=1,$J43=2,$J43=3,$J43=4),-$E43*$I43/12*3,IF($J43=5,-$E43*$I43/12*2,IF($J43=6,-$E43*$I43/12*1,0)))))+IF(CR$5&lt;&gt;$H43,0,IF(CR43&lt;0,IF($J43=4,-$E43*$I43/12*0,IF($J43=5,-$E43*$I43/12*1,IF($J43=6,-$E43*$I43/12*2,IF($J43&gt;=7,-$E43*$I43/12*3,0))))))</f>
        <v>0</v>
      </c>
      <c r="CU43" s="1807">
        <f t="shared" ref="CU43" si="438">IF($H43&lt;&gt;CW$5,0,IF(CW43&lt;0,IF(OR($J43=1,$J43=2,$J43=3,$J43=4,$J43=5,$J43=6,$J43=7),-$E43*$I43/12*3,IF($J43=8,-$E43*$I43/12*2,IF($J43=9,-$E43*$I43/12*1,0)))))+IF(CR$5&lt;&gt;$H43,0,IF(CR43&lt;0,IF($J43=7,-$E43*$I43/12*0,IF($J43=8,-$E43*$I43/12*1,IF($J43=9,-$E43*$I43/12*2,IF($J43&gt;=10,-$E43*$I43/12*3,0))))))</f>
        <v>0</v>
      </c>
      <c r="CV43" s="1806">
        <f t="shared" ref="CV43" si="439">IF($H43&lt;&gt;CW$5,0,IF(CW43&lt;0,IF(OR($J43=1,$J43=2,$J43=3,$J43=4,$J43=5,$J43=6,$J43=7,$J43=8,$J43=9,$J43=10),-$E43*$I43/12*3,IF($J43=11,-$E43*$I43/12*2,IF($J43=12,-$E43*$I43/12*1,0)))))+IF(CR$5&lt;&gt;$H43,0,IF(CR43&lt;0,IF($J43=10,-$E43*$I43/12*0,IF($J43=11,-$E43*$I43/12*1,IF($J43=12,-$E43*$I43/12*2,0)))))</f>
        <v>0</v>
      </c>
      <c r="CW43" s="1791">
        <f t="shared" ref="CW43" si="440">IF(AND(CR43&lt;&gt;0,CR$5=$H43),-$I43*$E43-CR43,IF(CW$5=$H43,-$I43*$E43*(12-$J43+1)/12,0))</f>
        <v>0</v>
      </c>
      <c r="CX43" s="1808">
        <f t="shared" ref="CX43" si="441">IF($H43&lt;&gt;DB$5,0,IF(DB43&lt;0,IF($J43=1,-$E43*$I43/12*3,IF($J43=2,-$E43*$I43/12*2,IF($J43=3,-$E43*$I43/12*1,0)))))+IF(CW$5&lt;&gt;$H43,0,IF(CW43&lt;0,IF($J43=1,-$E43*$I43/12*0,IF($J43=2,-$E43*$I43/12*1,IF($J43=3,-$E43*$I43/12*2,IF($J43&gt;=4,-$E43*$I43/12*3,0))))))</f>
        <v>0</v>
      </c>
      <c r="CY43" s="1807">
        <f t="shared" ref="CY43" si="442">IF($H43&lt;&gt;DB$5,0,IF(DB43&lt;0,IF(OR($J43=1,$J43=2,$J43=3,$J43=4),-$E43*$I43/12*3,IF($J43=5,-$E43*$I43/12*2,IF($J43=6,-$E43*$I43/12*1,0)))))+IF(CW$5&lt;&gt;$H43,0,IF(CW43&lt;0,IF($J43=4,-$E43*$I43/12*0,IF($J43=5,-$E43*$I43/12*1,IF($J43=6,-$E43*$I43/12*2,IF($J43&gt;=7,-$E43*$I43/12*3,0))))))</f>
        <v>0</v>
      </c>
      <c r="CZ43" s="1807">
        <f t="shared" ref="CZ43" si="443">IF($H43&lt;&gt;DB$5,0,IF(DB43&lt;0,IF(OR($J43=1,$J43=2,$J43=3,$J43=4,$J43=5,$J43=6,$J43=7),-$E43*$I43/12*3,IF($J43=8,-$E43*$I43/12*2,IF($J43=9,-$E43*$I43/12*1,0)))))+IF(CW$5&lt;&gt;$H43,0,IF(CW43&lt;0,IF($J43=7,-$E43*$I43/12*0,IF($J43=8,-$E43*$I43/12*1,IF($J43=9,-$E43*$I43/12*2,IF($J43&gt;=10,-$E43*$I43/12*3,0))))))</f>
        <v>0</v>
      </c>
      <c r="DA43" s="1806">
        <f t="shared" ref="DA43" si="444">IF($H43&lt;&gt;DB$5,0,IF(DB43&lt;0,IF(OR($J43=1,$J43=2,$J43=3,$J43=4,$J43=5,$J43=6,$J43=7,$J43=8,$J43=9,$J43=10),-$E43*$I43/12*3,IF($J43=11,-$E43*$I43/12*2,IF($J43=12,-$E43*$I43/12*1,0)))))+IF(CW$5&lt;&gt;$H43,0,IF(CW43&lt;0,IF($J43=10,-$E43*$I43/12*0,IF($J43=11,-$E43*$I43/12*1,IF($J43=12,-$E43*$I43/12*2,0)))))</f>
        <v>0</v>
      </c>
      <c r="DB43" s="1791">
        <f t="shared" ref="DB43" si="445">IF(AND(CW43&lt;&gt;0,CW$5=$H43),-$I43*$E43-CW43,IF(DB$5=$H43,-$I43*$E43*(12-$J43+1)/12,0))</f>
        <v>0</v>
      </c>
      <c r="DC43" s="1808">
        <f t="shared" ref="DC43" si="446">IF($H43&lt;&gt;DG$5,0,IF(DG43&lt;0,IF($J43=1,-$E43*$I43/12*3,IF($J43=2,-$E43*$I43/12*2,IF($J43=3,-$E43*$I43/12*1,0)))))+IF(DB$5&lt;&gt;$H43,0,IF(DB43&lt;0,IF($J43=1,-$E43*$I43/12*0,IF($J43=2,-$E43*$I43/12*1,IF($J43=3,-$E43*$I43/12*2,IF($J43&gt;=4,-$E43*$I43/12*3,0))))))</f>
        <v>0</v>
      </c>
      <c r="DD43" s="1807">
        <f t="shared" ref="DD43" si="447">IF($H43&lt;&gt;DG$5,0,IF(DG43&lt;0,IF(OR($J43=1,$J43=2,$J43=3,$J43=4),-$E43*$I43/12*3,IF($J43=5,-$E43*$I43/12*2,IF($J43=6,-$E43*$I43/12*1,0)))))+IF(DB$5&lt;&gt;$H43,0,IF(DB43&lt;0,IF($J43=4,-$E43*$I43/12*0,IF($J43=5,-$E43*$I43/12*1,IF($J43=6,-$E43*$I43/12*2,IF($J43&gt;=7,-$E43*$I43/12*3,0))))))</f>
        <v>0</v>
      </c>
      <c r="DE43" s="1807">
        <f t="shared" ref="DE43" si="448">IF($H43&lt;&gt;DG$5,0,IF(DG43&lt;0,IF(OR($J43=1,$J43=2,$J43=3,$J43=4,$J43=5,$J43=6,$J43=7),-$E43*$I43/12*3,IF($J43=8,-$E43*$I43/12*2,IF($J43=9,-$E43*$I43/12*1,0)))))+IF(DB$5&lt;&gt;$H43,0,IF(DB43&lt;0,IF($J43=7,-$E43*$I43/12*0,IF($J43=8,-$E43*$I43/12*1,IF($J43=9,-$E43*$I43/12*2,IF($J43&gt;=10,-$E43*$I43/12*3,0))))))</f>
        <v>0</v>
      </c>
      <c r="DF43" s="1806">
        <f t="shared" ref="DF43" si="449">IF($H43&lt;&gt;DG$5,0,IF(DG43&lt;0,IF(OR($J43=1,$J43=2,$J43=3,$J43=4,$J43=5,$J43=6,$J43=7,$J43=8,$J43=9,$J43=10),-$E43*$I43/12*3,IF($J43=11,-$E43*$I43/12*2,IF($J43=12,-$E43*$I43/12*1,0)))))+IF(DB$5&lt;&gt;$H43,0,IF(DB43&lt;0,IF($J43=10,-$E43*$I43/12*0,IF($J43=11,-$E43*$I43/12*1,IF($J43=12,-$E43*$I43/12*2,0)))))</f>
        <v>0</v>
      </c>
      <c r="DG43" s="1791">
        <f t="shared" ref="DG43" si="450">IF(AND(DB43&lt;&gt;0,DB$5=$H43),-$I43*$E43-DB43,IF(DG$5=$H43,-$I43*$E43*(12-$J43+1)/12,0))</f>
        <v>0</v>
      </c>
      <c r="DH43" s="1808">
        <f t="shared" ref="DH43" si="451">IF($H43&lt;&gt;DL$5,0,IF(DL43&lt;0,IF($J43=1,-$E43*$I43/12*3,IF($J43=2,-$E43*$I43/12*2,IF($J43=3,-$E43*$I43/12*1,0)))))+IF(DG$5&lt;&gt;$H43,0,IF(DG43&lt;0,IF($J43=1,-$E43*$I43/12*0,IF($J43=2,-$E43*$I43/12*1,IF($J43=3,-$E43*$I43/12*2,IF($J43&gt;=4,-$E43*$I43/12*3,0))))))</f>
        <v>0</v>
      </c>
      <c r="DI43" s="1807">
        <f t="shared" ref="DI43" si="452">IF($H43&lt;&gt;DL$5,0,IF(DL43&lt;0,IF(OR($J43=1,$J43=2,$J43=3,$J43=4),-$E43*$I43/12*3,IF($J43=5,-$E43*$I43/12*2,IF($J43=6,-$E43*$I43/12*1,0)))))+IF(DG$5&lt;&gt;$H43,0,IF(DG43&lt;0,IF($J43=4,-$E43*$I43/12*0,IF($J43=5,-$E43*$I43/12*1,IF($J43=6,-$E43*$I43/12*2,IF($J43&gt;=7,-$E43*$I43/12*3,0))))))</f>
        <v>0</v>
      </c>
      <c r="DJ43" s="1807">
        <f t="shared" ref="DJ43" si="453">IF($H43&lt;&gt;DL$5,0,IF(DL43&lt;0,IF(OR($J43=1,$J43=2,$J43=3,$J43=4,$J43=5,$J43=6,$J43=7),-$E43*$I43/12*3,IF($J43=8,-$E43*$I43/12*2,IF($J43=9,-$E43*$I43/12*1,0)))))+IF(DG$5&lt;&gt;$H43,0,IF(DG43&lt;0,IF($J43=7,-$E43*$I43/12*0,IF($J43=8,-$E43*$I43/12*1,IF($J43=9,-$E43*$I43/12*2,IF($J43&gt;=10,-$E43*$I43/12*3,0))))))</f>
        <v>0</v>
      </c>
      <c r="DK43" s="1806">
        <f t="shared" ref="DK43" si="454">IF($H43&lt;&gt;DL$5,0,IF(DL43&lt;0,IF(OR($J43=1,$J43=2,$J43=3,$J43=4,$J43=5,$J43=6,$J43=7,$J43=8,$J43=9,$J43=10),-$E43*$I43/12*3,IF($J43=11,-$E43*$I43/12*2,IF($J43=12,-$E43*$I43/12*1,0)))))+IF(DG$5&lt;&gt;$H43,0,IF(DG43&lt;0,IF($J43=10,-$E43*$I43/12*0,IF($J43=11,-$E43*$I43/12*1,IF($J43=12,-$E43*$I43/12*2,0)))))</f>
        <v>0</v>
      </c>
      <c r="DL43" s="1791">
        <f t="shared" ref="DL43" si="455">IF(AND(DG43&lt;&gt;0,DG$5=$H43),-$I43*$E43-DG43,IF(DL$5=$H43,-$I43*$E43*(12-$J43+1)/12,0))</f>
        <v>0</v>
      </c>
      <c r="DM43" s="1808">
        <f t="shared" ref="DM43" si="456">IF($H43&lt;&gt;DQ$5,0,IF(DQ43&lt;0,IF($J43=1,-$E43*$I43/12*3,IF($J43=2,-$E43*$I43/12*2,IF($J43=3,-$E43*$I43/12*1,0)))))+IF(DL$5&lt;&gt;$H43,0,IF(DL43&lt;0,IF($J43=1,-$E43*$I43/12*0,IF($J43=2,-$E43*$I43/12*1,IF($J43=3,-$E43*$I43/12*2,IF($J43&gt;=4,-$E43*$I43/12*3,0))))))</f>
        <v>0</v>
      </c>
      <c r="DN43" s="1807">
        <f t="shared" ref="DN43" si="457">IF($H43&lt;&gt;DQ$5,0,IF(DQ43&lt;0,IF(OR($J43=1,$J43=2,$J43=3,$J43=4),-$E43*$I43/12*3,IF($J43=5,-$E43*$I43/12*2,IF($J43=6,-$E43*$I43/12*1,0)))))+IF(DL$5&lt;&gt;$H43,0,IF(DL43&lt;0,IF($J43=4,-$E43*$I43/12*0,IF($J43=5,-$E43*$I43/12*1,IF($J43=6,-$E43*$I43/12*2,IF($J43&gt;=7,-$E43*$I43/12*3,0))))))</f>
        <v>0</v>
      </c>
      <c r="DO43" s="1807">
        <f t="shared" ref="DO43" si="458">IF($H43&lt;&gt;DQ$5,0,IF(DQ43&lt;0,IF(OR($J43=1,$J43=2,$J43=3,$J43=4,$J43=5,$J43=6,$J43=7),-$E43*$I43/12*3,IF($J43=8,-$E43*$I43/12*2,IF($J43=9,-$E43*$I43/12*1,0)))))+IF(DL$5&lt;&gt;$H43,0,IF(DL43&lt;0,IF($J43=7,-$E43*$I43/12*0,IF($J43=8,-$E43*$I43/12*1,IF($J43=9,-$E43*$I43/12*2,IF($J43&gt;=10,-$E43*$I43/12*3,0))))))</f>
        <v>0</v>
      </c>
      <c r="DP43" s="1806">
        <f t="shared" ref="DP43" si="459">IF($H43&lt;&gt;DQ$5,0,IF(DQ43&lt;0,IF(OR($J43=1,$J43=2,$J43=3,$J43=4,$J43=5,$J43=6,$J43=7,$J43=8,$J43=9,$J43=10),-$E43*$I43/12*3,IF($J43=11,-$E43*$I43/12*2,IF($J43=12,-$E43*$I43/12*1,0)))))+IF(DL$5&lt;&gt;$H43,0,IF(DL43&lt;0,IF($J43=10,-$E43*$I43/12*0,IF($J43=11,-$E43*$I43/12*1,IF($J43=12,-$E43*$I43/12*2,0)))))</f>
        <v>0</v>
      </c>
      <c r="DQ43" s="1791">
        <f t="shared" ref="DQ43" si="460">IF(AND(DL43&lt;&gt;0,DL$5=$H43),-$I43*$E43-DL43,IF(DQ$5=$H43,-$I43*$E43*(12-$J43+1)/12,0))</f>
        <v>0</v>
      </c>
      <c r="DR43" s="1808">
        <f t="shared" ref="DR43" si="461">IF($H43&lt;&gt;DV$5,0,IF(DV43&lt;0,IF($J43=1,-$E43*$I43/12*3,IF($J43=2,-$E43*$I43/12*2,IF($J43=3,-$E43*$I43/12*1,0)))))+IF(DQ$5&lt;&gt;$H43,0,IF(DQ43&lt;0,IF($J43=1,-$E43*$I43/12*0,IF($J43=2,-$E43*$I43/12*1,IF($J43=3,-$E43*$I43/12*2,IF($J43&gt;=4,-$E43*$I43/12*3,0))))))</f>
        <v>0</v>
      </c>
      <c r="DS43" s="1807">
        <f t="shared" ref="DS43" si="462">IF($H43&lt;&gt;DV$5,0,IF(DV43&lt;0,IF(OR($J43=1,$J43=2,$J43=3,$J43=4),-$E43*$I43/12*3,IF($J43=5,-$E43*$I43/12*2,IF($J43=6,-$E43*$I43/12*1,0)))))+IF(DQ$5&lt;&gt;$H43,0,IF(DQ43&lt;0,IF($J43=4,-$E43*$I43/12*0,IF($J43=5,-$E43*$I43/12*1,IF($J43=6,-$E43*$I43/12*2,IF($J43&gt;=7,-$E43*$I43/12*3,0))))))</f>
        <v>0</v>
      </c>
      <c r="DT43" s="1807">
        <f t="shared" ref="DT43" si="463">IF($H43&lt;&gt;DV$5,0,IF(DV43&lt;0,IF(OR($J43=1,$J43=2,$J43=3,$J43=4,$J43=5,$J43=6,$J43=7),-$E43*$I43/12*3,IF($J43=8,-$E43*$I43/12*2,IF($J43=9,-$E43*$I43/12*1,0)))))+IF(DQ$5&lt;&gt;$H43,0,IF(DQ43&lt;0,IF($J43=7,-$E43*$I43/12*0,IF($J43=8,-$E43*$I43/12*1,IF($J43=9,-$E43*$I43/12*2,IF($J43&gt;=10,-$E43*$I43/12*3,0))))))</f>
        <v>0</v>
      </c>
      <c r="DU43" s="1806">
        <f t="shared" ref="DU43" si="464">IF($H43&lt;&gt;DV$5,0,IF(DV43&lt;0,IF(OR($J43=1,$J43=2,$J43=3,$J43=4,$J43=5,$J43=6,$J43=7,$J43=8,$J43=9,$J43=10),-$E43*$I43/12*3,IF($J43=11,-$E43*$I43/12*2,IF($J43=12,-$E43*$I43/12*1,0)))))+IF(DQ$5&lt;&gt;$H43,0,IF(DQ43&lt;0,IF($J43=10,-$E43*$I43/12*0,IF($J43=11,-$E43*$I43/12*1,IF($J43=12,-$E43*$I43/12*2,0)))))</f>
        <v>0</v>
      </c>
      <c r="DV43" s="1791">
        <f t="shared" ref="DV43" si="465">IF(AND(DQ43&lt;&gt;0,DQ$5=$H43),-$I43*$E43-DQ43,IF(DV$5=$H43,-$I43*$E43*(12-$J43+1)/12,0))</f>
        <v>0</v>
      </c>
    </row>
    <row r="44" spans="1:126">
      <c r="A44" s="455"/>
      <c r="B44" s="455"/>
      <c r="C44" s="1363" t="s">
        <v>433</v>
      </c>
      <c r="D44" s="94"/>
      <c r="E44" s="1817">
        <f>IF(F44=0,G44,F44)</f>
        <v>125</v>
      </c>
      <c r="F44" s="1435">
        <v>125</v>
      </c>
      <c r="G44" s="1435">
        <v>125</v>
      </c>
      <c r="H44" s="1350">
        <v>2063</v>
      </c>
      <c r="I44" s="1337">
        <v>4.7500000000000001E-2</v>
      </c>
      <c r="J44" s="1343">
        <v>6</v>
      </c>
      <c r="K44" s="1792"/>
      <c r="L44" s="1810">
        <f>IF(L$5=$H44,-$E44,0)</f>
        <v>0</v>
      </c>
      <c r="M44" s="1791">
        <f>IF(M$5=$H44,-$E44,0)</f>
        <v>0</v>
      </c>
      <c r="N44" s="1808">
        <f>IF(R44=0,0,IF(R44&lt;0,IF($J44=3,R44,IF($J44=2,R44,IF($J44=1,R44,0)))))</f>
        <v>0</v>
      </c>
      <c r="O44" s="1807">
        <f>IF(R44=0,0,IF(R44&lt;0,IF($J44=6,R44,IF($J44=5,R44,IF($J44=4,R44,0)))))</f>
        <v>0</v>
      </c>
      <c r="P44" s="1807">
        <f>IF(R44=0,0,IF(R44&lt;0,IF($J44=9,R44,IF($J44=8,R44,IF($J44=7,R44,0)))))</f>
        <v>0</v>
      </c>
      <c r="Q44" s="1806">
        <f>IF(R44=0,0,IF(R44&lt;0,IF($J44=12,R44,IF($J44=11,R44,IF($J44=10,R44,0)))))</f>
        <v>0</v>
      </c>
      <c r="R44" s="1791">
        <f>IF(R$5=$H44,-$E44,0)</f>
        <v>0</v>
      </c>
      <c r="S44" s="1808">
        <f>IF(W44=0,0,IF(W44&lt;0,IF($J44=3,W44,IF($J44=2,W44,IF($J44=1,W44,0)))))</f>
        <v>0</v>
      </c>
      <c r="T44" s="1807">
        <f>IF(W44=0,0,IF(W44&lt;0,IF($J44=6,W44,IF($J44=5,W44,IF($J44=4,W44,0)))))</f>
        <v>0</v>
      </c>
      <c r="U44" s="1807">
        <f>IF(W44=0,0,IF(W44&lt;0,IF($J44=9,W44,IF($J44=8,W44,IF($J44=7,W44,0)))))</f>
        <v>0</v>
      </c>
      <c r="V44" s="1806">
        <f>IF(W44=0,0,IF(W44&lt;0,IF($J44=12,W44,IF($J44=11,W44,IF($J44=10,W44,0)))))</f>
        <v>0</v>
      </c>
      <c r="W44" s="1791">
        <f>IF(W$5=$H44,-$E44,0)</f>
        <v>0</v>
      </c>
      <c r="X44" s="1808">
        <f>IF(AB44=0,0,IF(AB44&lt;0,IF($J44=3,AB44,IF($J44=2,AB44,IF($J44=1,AB44,0)))))</f>
        <v>0</v>
      </c>
      <c r="Y44" s="1807">
        <f>IF(AB44=0,0,IF(AB44&lt;0,IF($J44=6,AB44,IF($J44=5,AB44,IF($J44=4,AB44,0)))))</f>
        <v>0</v>
      </c>
      <c r="Z44" s="1807">
        <f>IF(AB44=0,0,IF(AB44&lt;0,IF($J44=9,AB44,IF($J44=8,AB44,IF($J44=7,AB44,0)))))</f>
        <v>0</v>
      </c>
      <c r="AA44" s="1806">
        <f>IF(AB44=0,0,IF(AB44&lt;0,IF($J44=12,AB44,IF($J44=11,AB44,IF($J44=10,AB44,0)))))</f>
        <v>0</v>
      </c>
      <c r="AB44" s="1791">
        <f>IF(AB$5=$H44,-$E44,0)</f>
        <v>0</v>
      </c>
      <c r="AC44" s="1808">
        <f>IF(AG44=0,0,IF(AG44&lt;0,IF($J44=3,AG44,IF($J44=2,AG44,IF($J44=1,AG44,0)))))</f>
        <v>0</v>
      </c>
      <c r="AD44" s="1807">
        <f>IF(AG44=0,0,IF(AG44&lt;0,IF($J44=6,AG44,IF($J44=5,AG44,IF($J44=4,AG44,0)))))</f>
        <v>0</v>
      </c>
      <c r="AE44" s="1807">
        <f>IF(AG44=0,0,IF(AG44&lt;0,IF($J44=9,AG44,IF($J44=8,AG44,IF($J44=7,AG44,0)))))</f>
        <v>0</v>
      </c>
      <c r="AF44" s="1806">
        <f>IF(AG44=0,0,IF(AG44&lt;0,IF($J44=12,AG44,IF($J44=11,AG44,IF($J44=10,AG44,0)))))</f>
        <v>0</v>
      </c>
      <c r="AG44" s="1791">
        <f>IF(AG$5=$H44,-$E44,0)</f>
        <v>0</v>
      </c>
      <c r="AH44" s="1808">
        <f>IF(AL44=0,0,IF(AL44&lt;0,IF($J44=3,AL44,IF($J44=2,AL44,IF($J44=1,AL44,0)))))</f>
        <v>0</v>
      </c>
      <c r="AI44" s="1807">
        <f>IF(AL44=0,0,IF(AL44&lt;0,IF($J44=6,AL44,IF($J44=5,AL44,IF($J44=4,AL44,0)))))</f>
        <v>0</v>
      </c>
      <c r="AJ44" s="1807">
        <f>IF(AL44=0,0,IF(AL44&lt;0,IF($J44=9,AL44,IF($J44=8,AL44,IF($J44=7,AL44,0)))))</f>
        <v>0</v>
      </c>
      <c r="AK44" s="1806">
        <f>IF(AL44=0,0,IF(AL44&lt;0,IF($J44=12,AL44,IF($J44=11,AL44,IF($J44=10,AL44,0)))))</f>
        <v>0</v>
      </c>
      <c r="AL44" s="1791">
        <f>IF(AL$5=$H44,-$E44,0)</f>
        <v>0</v>
      </c>
      <c r="AM44" s="1808">
        <f>IF(AQ44=0,0,IF(AQ44&lt;0,IF($J44=3,AQ44,IF($J44=2,AQ44,IF($J44=1,AQ44,0)))))</f>
        <v>0</v>
      </c>
      <c r="AN44" s="1807">
        <f>IF(AQ44=0,0,IF(AQ44&lt;0,IF($J44=6,AQ44,IF($J44=5,AQ44,IF($J44=4,AQ44,0)))))</f>
        <v>0</v>
      </c>
      <c r="AO44" s="1807">
        <f>IF(AQ44=0,0,IF(AQ44&lt;0,IF($J44=9,AQ44,IF($J44=8,AQ44,IF($J44=7,AQ44,0)))))</f>
        <v>0</v>
      </c>
      <c r="AP44" s="1806">
        <f>IF(AQ44=0,0,IF(AQ44&lt;0,IF($J44=12,AQ44,IF($J44=11,AQ44,IF($J44=10,AQ44,0)))))</f>
        <v>0</v>
      </c>
      <c r="AQ44" s="1791">
        <f>IF(AQ$5=$H44,-$E44,0)</f>
        <v>0</v>
      </c>
      <c r="AR44" s="1808">
        <f>IF(AV44=0,0,IF(AV44&lt;0,IF($J44=3,AV44,IF($J44=2,AV44,IF($J44=1,AV44,0)))))</f>
        <v>0</v>
      </c>
      <c r="AS44" s="1807">
        <f>IF(AV44=0,0,IF(AV44&lt;0,IF($J44=6,AV44,IF($J44=5,AV44,IF($J44=4,AV44,0)))))</f>
        <v>0</v>
      </c>
      <c r="AT44" s="1807">
        <f>IF(AV44=0,0,IF(AV44&lt;0,IF($J44=9,AV44,IF($J44=8,AV44,IF($J44=7,AV44,0)))))</f>
        <v>0</v>
      </c>
      <c r="AU44" s="1806">
        <f>IF(AV44=0,0,IF(AV44&lt;0,IF($J44=12,AV44,IF($J44=11,AV44,IF($J44=10,AV44,0)))))</f>
        <v>0</v>
      </c>
      <c r="AV44" s="1791">
        <f>IF(AV$5=$H44,-$E44,0)</f>
        <v>0</v>
      </c>
      <c r="AW44" s="1808">
        <f>IF(BA44=0,0,IF(BA44&lt;0,IF($J44=3,BA44,IF($J44=2,BA44,IF($J44=1,BA44,0)))))</f>
        <v>0</v>
      </c>
      <c r="AX44" s="1807">
        <f>IF(BA44=0,0,IF(BA44&lt;0,IF($J44=6,BA44,IF($J44=5,BA44,IF($J44=4,BA44,0)))))</f>
        <v>0</v>
      </c>
      <c r="AY44" s="1807">
        <f>IF(BA44=0,0,IF(BA44&lt;0,IF($J44=9,BA44,IF($J44=8,BA44,IF($J44=7,BA44,0)))))</f>
        <v>0</v>
      </c>
      <c r="AZ44" s="1806">
        <f>IF(BA44=0,0,IF(BA44&lt;0,IF($J44=12,BA44,IF($J44=11,BA44,IF($J44=10,BA44,0)))))</f>
        <v>0</v>
      </c>
      <c r="BA44" s="1791">
        <f>IF(BA$5=$H44,-$E44,0)</f>
        <v>0</v>
      </c>
      <c r="BB44" s="1808">
        <f>IF(BF44=0,0,IF(BF44&lt;0,IF($J44=3,BF44,IF($J44=2,BF44,IF($J44=1,BF44,0)))))</f>
        <v>0</v>
      </c>
      <c r="BC44" s="1807">
        <f>IF(BF44=0,0,IF(BF44&lt;0,IF($J44=6,BF44,IF($J44=5,BF44,IF($J44=4,BF44,0)))))</f>
        <v>0</v>
      </c>
      <c r="BD44" s="1807">
        <f>IF(BF44=0,0,IF(BF44&lt;0,IF($J44=9,BF44,IF($J44=8,BF44,IF($J44=7,BF44,0)))))</f>
        <v>0</v>
      </c>
      <c r="BE44" s="1806">
        <f>IF(BF44=0,0,IF(BF44&lt;0,IF($J44=12,BF44,IF($J44=11,BF44,IF($J44=10,BF44,0)))))</f>
        <v>0</v>
      </c>
      <c r="BF44" s="1791">
        <f>IF(BF$5=$H44,-$E44,0)</f>
        <v>0</v>
      </c>
      <c r="BG44" s="1808">
        <f>IF(BK44=0,0,IF(BK44&lt;0,IF($J44=3,BK44,IF($J44=2,BK44,IF($J44=1,BK44,0)))))</f>
        <v>0</v>
      </c>
      <c r="BH44" s="1807">
        <f>IF(BK44=0,0,IF(BK44&lt;0,IF($J44=6,BK44,IF($J44=5,BK44,IF($J44=4,BK44,0)))))</f>
        <v>0</v>
      </c>
      <c r="BI44" s="1807">
        <f>IF(BK44=0,0,IF(BK44&lt;0,IF($J44=9,BK44,IF($J44=8,BK44,IF($J44=7,BK44,0)))))</f>
        <v>0</v>
      </c>
      <c r="BJ44" s="1806">
        <f>IF(BK44=0,0,IF(BK44&lt;0,IF($J44=12,BK44,IF($J44=11,BK44,IF($J44=10,BK44,0)))))</f>
        <v>0</v>
      </c>
      <c r="BK44" s="1791">
        <f>IF(BK$5=$H44,-$E44,0)</f>
        <v>0</v>
      </c>
      <c r="BL44" s="1808">
        <f>IF(BP44=0,0,IF(BP44&lt;0,IF($J44=3,BP44,IF($J44=2,BP44,IF($J44=1,BP44,0)))))</f>
        <v>0</v>
      </c>
      <c r="BM44" s="1807">
        <f>IF(BP44=0,0,IF(BP44&lt;0,IF($J44=6,BP44,IF($J44=5,BP44,IF($J44=4,BP44,0)))))</f>
        <v>0</v>
      </c>
      <c r="BN44" s="1807">
        <f>IF(BP44=0,0,IF(BP44&lt;0,IF($J44=9,BP44,IF($J44=8,BP44,IF($J44=7,BP44,0)))))</f>
        <v>0</v>
      </c>
      <c r="BO44" s="1806">
        <f>IF(BP44=0,0,IF(BP44&lt;0,IF($J44=12,BP44,IF($J44=11,BP44,IF($J44=10,BP44,0)))))</f>
        <v>0</v>
      </c>
      <c r="BP44" s="1791">
        <f>IF(BP$5=$H44,-$E44,0)</f>
        <v>0</v>
      </c>
      <c r="BQ44" s="1827"/>
      <c r="BR44" s="1991">
        <f>IF(AND(BQ44&lt;&gt;0,BQ$5=$H44),-$I44*$E44-BQ44,IF(BR$5=$H44,-$I44*$E44*(12-$J44+1)/12,0))</f>
        <v>0</v>
      </c>
      <c r="BS44" s="1991">
        <f>IF(AND(BR44&lt;&gt;0,BR$5=$H44),-$I44*$E44-BR44,IF(BS$5=$H44,-$I44*$E44*(12-$J44+1)/12,0))</f>
        <v>0</v>
      </c>
      <c r="BT44" s="1992">
        <f>IF($H44&lt;&gt;BX$5,0,IF(BX44&lt;0,IF($J44=1,-$E44*$I44/12*3,IF($J44=2,-$E44*$I44/12*2,IF($J44=3,-$E44*$I44/12*1,0)))))+IF(BS$5&lt;&gt;$H44,0,IF(BS44&lt;0,IF($J44=1,-$E44*$I44/12*0,IF($J44=2,-$E44*$I44/12*1,IF($J44=3,-$E44*$I44/12*2,IF($J44&gt;=4,-$E44*$I44/12*3,0))))))</f>
        <v>0</v>
      </c>
      <c r="BU44" s="1992">
        <f>IF($H44&lt;&gt;BX$5,0,IF(BX44&lt;0,IF(OR($J44=1,$J44=2,$J44=3,$J44=4),-$E44*$I44/12*3,IF($J44=5,-$E44*$I44/12*2,IF($J44=6,-$E44*$I44/12*1,0)))))+IF(BS$5&lt;&gt;$H44,0,IF(BS44&lt;0,IF($J44=4,-$E44*$I44/12*0,IF($J44=5,-$E44*$I44/12*1,IF($J44=6,-$E44*$I44/12*2,IF($J44&gt;=7,-$E44*$I44/12*3,0))))))</f>
        <v>0</v>
      </c>
      <c r="BV44" s="1992">
        <f>IF($H44&lt;&gt;BX$5,0,IF(BX44&lt;0,IF(OR($J44=1,$J44=2,$J44=3,$J44=4,$J44=5,$J44=6,$J44=7),-$E44*$I44/12*3,IF($J44=8,-$E44*$I44/12*2,IF($J44=9,-$E44*$I44/12*1,0)))))+IF(BS$5&lt;&gt;$H44,0,IF(BS44&lt;0,IF($J44=7,-$E44*$I44/12*0,IF($J44=8,-$E44*$I44/12*1,IF($J44=9,-$E44*$I44/12*2,IF($J44&gt;=10,-$E44*$I44/12*3,0))))))</f>
        <v>0</v>
      </c>
      <c r="BW44" s="1992">
        <f>IF($H44&lt;&gt;BX$5,0,IF(BX44&lt;0,IF(OR($J44=1,$J44=2,$J44=3,$J44=4,$J44=5,$J44=6,$J44=7,$J44=8,$J44=9,$J44=10),-$E44*$I44/12*3,IF($J44=11,-$E44*$I44/12*2,IF($J44=12,-$E44*$I44/12*1,0)))))+IF(BS$5&lt;&gt;$H44,0,IF(BS44&lt;0,IF($J44=10,-$E44*$I44/12*0,IF($J44=11,-$E44*$I44/12*1,IF($J44=12,-$E44*$I44/12*2,0)))))</f>
        <v>0</v>
      </c>
      <c r="BX44" s="1810">
        <f>IF(AND(BS44&lt;&gt;0,BS$5=$H44),-$I44*$E44-BS44,IF(BX$5=$H44,-$I44*$E44*(12-$J44+1)/12,0))</f>
        <v>0</v>
      </c>
      <c r="BY44" s="1807">
        <f>IF($H44&lt;&gt;CC$5,0,IF(CC44&lt;0,IF($J44=1,-$E44*$I44/12*3,IF($J44=2,-$E44*$I44/12*2,IF($J44=3,-$E44*$I44/12*1,0)))))+IF(BX$5&lt;&gt;$H44,0,IF(BX44&lt;0,IF($J44=1,-$E44*$I44/12*0,IF($J44=2,-$E44*$I44/12*1,IF($J44=3,-$E44*$I44/12*2,IF($J44&gt;=4,-$E44*$I44/12*3,0))))))</f>
        <v>0</v>
      </c>
      <c r="BZ44" s="1807">
        <f>IF($H44&lt;&gt;CC$5,0,IF(CC44&lt;0,IF(OR($J44=1,$J44=2,$J44=3,$J44=4),-$E44*$I44/12*3,IF($J44=5,-$E44*$I44/12*2,IF($J44=6,-$E44*$I44/12*1,0)))))+IF(BX$5&lt;&gt;$H44,0,IF(BX44&lt;0,IF($J44=4,-$E44*$I44/12*0,IF($J44=5,-$E44*$I44/12*1,IF($J44=6,-$E44*$I44/12*2,IF($J44&gt;=7,-$E44*$I44/12*3,0))))))</f>
        <v>0</v>
      </c>
      <c r="CA44" s="1807">
        <f>IF($H44&lt;&gt;CC$5,0,IF(CC44&lt;0,IF(OR($J44=1,$J44=2,$J44=3,$J44=4,$J44=5,$J44=6,$J44=7),-$E44*$I44/12*3,IF($J44=8,-$E44*$I44/12*2,IF($J44=9,-$E44*$I44/12*1,0)))))+IF(BX$5&lt;&gt;$H44,0,IF(BX44&lt;0,IF($J44=7,-$E44*$I44/12*0,IF($J44=8,-$E44*$I44/12*1,IF($J44=9,-$E44*$I44/12*2,IF($J44&gt;=10,-$E44*$I44/12*3,0))))))</f>
        <v>0</v>
      </c>
      <c r="CB44" s="1806">
        <f>IF($H44&lt;&gt;CC$5,0,IF(CC44&lt;0,IF(OR($J44=1,$J44=2,$J44=3,$J44=4,$J44=5,$J44=6,$J44=7,$J44=8,$J44=9,$J44=10),-$E44*$I44/12*3,IF($J44=11,-$E44*$I44/12*2,IF($J44=12,-$E44*$I44/12*1,0)))))+IF(BX$5&lt;&gt;$H44,0,IF(BX44&lt;0,IF($J44=10,-$E44*$I44/12*0,IF($J44=11,-$E44*$I44/12*1,IF($J44=12,-$E44*$I44/12*2,0)))))</f>
        <v>0</v>
      </c>
      <c r="CC44" s="1791">
        <f>IF(AND(BX44&lt;&gt;0,BX$5=$H44),-$I44*$E44-BX44,IF(CC$5=$H44,-$I44*$E44*(12-$J44+1)/12,0))</f>
        <v>0</v>
      </c>
      <c r="CD44" s="1808">
        <f>IF($H44&lt;&gt;CH$5,0,IF(CH44&lt;0,IF($J44=1,-$E44*$I44/12*3,IF($J44=2,-$E44*$I44/12*2,IF($J44=3,-$E44*$I44/12*1,0)))))+IF(CC$5&lt;&gt;$H44,0,IF(CC44&lt;0,IF($J44=1,-$E44*$I44/12*0,IF($J44=2,-$E44*$I44/12*1,IF($J44=3,-$E44*$I44/12*2,IF($J44&gt;=4,-$E44*$I44/12*3,0))))))</f>
        <v>0</v>
      </c>
      <c r="CE44" s="1807">
        <f>IF($H44&lt;&gt;CH$5,0,IF(CH44&lt;0,IF(OR($J44=1,$J44=2,$J44=3,$J44=4),-$E44*$I44/12*3,IF($J44=5,-$E44*$I44/12*2,IF($J44=6,-$E44*$I44/12*1,0)))))+IF(CC$5&lt;&gt;$H44,0,IF(CC44&lt;0,IF($J44=4,-$E44*$I44/12*0,IF($J44=5,-$E44*$I44/12*1,IF($J44=6,-$E44*$I44/12*2,IF($J44&gt;=7,-$E44*$I44/12*3,0))))))</f>
        <v>0</v>
      </c>
      <c r="CF44" s="1807">
        <f>IF($H44&lt;&gt;CH$5,0,IF(CH44&lt;0,IF(OR($J44=1,$J44=2,$J44=3,$J44=4,$J44=5,$J44=6,$J44=7),-$E44*$I44/12*3,IF($J44=8,-$E44*$I44/12*2,IF($J44=9,-$E44*$I44/12*1,0)))))+IF(CC$5&lt;&gt;$H44,0,IF(CC44&lt;0,IF($J44=7,-$E44*$I44/12*0,IF($J44=8,-$E44*$I44/12*1,IF($J44=9,-$E44*$I44/12*2,IF($J44&gt;=10,-$E44*$I44/12*3,0))))))</f>
        <v>0</v>
      </c>
      <c r="CG44" s="1806">
        <f>IF($H44&lt;&gt;CH$5,0,IF(CH44&lt;0,IF(OR($J44=1,$J44=2,$J44=3,$J44=4,$J44=5,$J44=6,$J44=7,$J44=8,$J44=9,$J44=10),-$E44*$I44/12*3,IF($J44=11,-$E44*$I44/12*2,IF($J44=12,-$E44*$I44/12*1,0)))))+IF(CC$5&lt;&gt;$H44,0,IF(CC44&lt;0,IF($J44=10,-$E44*$I44/12*0,IF($J44=11,-$E44*$I44/12*1,IF($J44=12,-$E44*$I44/12*2,0)))))</f>
        <v>0</v>
      </c>
      <c r="CH44" s="1791">
        <f>IF(AND(CC44&lt;&gt;0,CC$5=$H44),-$I44*$E44-CC44,IF(CH$5=$H44,-$I44*$E44*(12-$J44+1)/12,0))</f>
        <v>0</v>
      </c>
      <c r="CI44" s="1808">
        <f>IF($H44&lt;&gt;CM$5,0,IF(CM44&lt;0,IF($J44=1,-$E44*$I44/12*3,IF($J44=2,-$E44*$I44/12*2,IF($J44=3,-$E44*$I44/12*1,0)))))+IF(CH$5&lt;&gt;$H44,0,IF(CH44&lt;0,IF($J44=1,-$E44*$I44/12*0,IF($J44=2,-$E44*$I44/12*1,IF($J44=3,-$E44*$I44/12*2,IF($J44&gt;=4,-$E44*$I44/12*3,0))))))</f>
        <v>0</v>
      </c>
      <c r="CJ44" s="1807">
        <f>IF($H44&lt;&gt;CM$5,0,IF(CM44&lt;0,IF(OR($J44=1,$J44=2,$J44=3,$J44=4),-$E44*$I44/12*3,IF($J44=5,-$E44*$I44/12*2,IF($J44=6,-$E44*$I44/12*1,0)))))+IF(CH$5&lt;&gt;$H44,0,IF(CH44&lt;0,IF($J44=4,-$E44*$I44/12*0,IF($J44=5,-$E44*$I44/12*1,IF($J44=6,-$E44*$I44/12*2,IF($J44&gt;=7,-$E44*$I44/12*3,0))))))</f>
        <v>0</v>
      </c>
      <c r="CK44" s="1807">
        <f>IF($H44&lt;&gt;CM$5,0,IF(CM44&lt;0,IF(OR($J44=1,$J44=2,$J44=3,$J44=4,$J44=5,$J44=6,$J44=7),-$E44*$I44/12*3,IF($J44=8,-$E44*$I44/12*2,IF($J44=9,-$E44*$I44/12*1,0)))))+IF(CH$5&lt;&gt;$H44,0,IF(CH44&lt;0,IF($J44=7,-$E44*$I44/12*0,IF($J44=8,-$E44*$I44/12*1,IF($J44=9,-$E44*$I44/12*2,IF($J44&gt;=10,-$E44*$I44/12*3,0))))))</f>
        <v>0</v>
      </c>
      <c r="CL44" s="1806">
        <f>IF($H44&lt;&gt;CM$5,0,IF(CM44&lt;0,IF(OR($J44=1,$J44=2,$J44=3,$J44=4,$J44=5,$J44=6,$J44=7,$J44=8,$J44=9,$J44=10),-$E44*$I44/12*3,IF($J44=11,-$E44*$I44/12*2,IF($J44=12,-$E44*$I44/12*1,0)))))+IF(CH$5&lt;&gt;$H44,0,IF(CH44&lt;0,IF($J44=10,-$E44*$I44/12*0,IF($J44=11,-$E44*$I44/12*1,IF($J44=12,-$E44*$I44/12*2,0)))))</f>
        <v>0</v>
      </c>
      <c r="CM44" s="1791">
        <f>IF(AND(CH44&lt;&gt;0,CH$5=$H44),-$I44*$E44-CH44,IF(CM$5=$H44,-$I44*$E44*(12-$J44+1)/12,0))</f>
        <v>0</v>
      </c>
      <c r="CN44" s="1808">
        <f>IF($H44&lt;&gt;CR$5,0,IF(CR44&lt;0,IF($J44=1,-$E44*$I44/12*3,IF($J44=2,-$E44*$I44/12*2,IF($J44=3,-$E44*$I44/12*1,0)))))+IF(CM$5&lt;&gt;$H44,0,IF(CM44&lt;0,IF($J44=1,-$E44*$I44/12*0,IF($J44=2,-$E44*$I44/12*1,IF($J44=3,-$E44*$I44/12*2,IF($J44&gt;=4,-$E44*$I44/12*3,0))))))</f>
        <v>0</v>
      </c>
      <c r="CO44" s="1807">
        <f>IF($H44&lt;&gt;CR$5,0,IF(CR44&lt;0,IF(OR($J44=1,$J44=2,$J44=3,$J44=4),-$E44*$I44/12*3,IF($J44=5,-$E44*$I44/12*2,IF($J44=6,-$E44*$I44/12*1,0)))))+IF(CM$5&lt;&gt;$H44,0,IF(CM44&lt;0,IF($J44=4,-$E44*$I44/12*0,IF($J44=5,-$E44*$I44/12*1,IF($J44=6,-$E44*$I44/12*2,IF($J44&gt;=7,-$E44*$I44/12*3,0))))))</f>
        <v>0</v>
      </c>
      <c r="CP44" s="1807">
        <f>IF($H44&lt;&gt;CR$5,0,IF(CR44&lt;0,IF(OR($J44=1,$J44=2,$J44=3,$J44=4,$J44=5,$J44=6,$J44=7),-$E44*$I44/12*3,IF($J44=8,-$E44*$I44/12*2,IF($J44=9,-$E44*$I44/12*1,0)))))+IF(CM$5&lt;&gt;$H44,0,IF(CM44&lt;0,IF($J44=7,-$E44*$I44/12*0,IF($J44=8,-$E44*$I44/12*1,IF($J44=9,-$E44*$I44/12*2,IF($J44&gt;=10,-$E44*$I44/12*3,0))))))</f>
        <v>0</v>
      </c>
      <c r="CQ44" s="1806">
        <f>IF($H44&lt;&gt;CR$5,0,IF(CR44&lt;0,IF(OR($J44=1,$J44=2,$J44=3,$J44=4,$J44=5,$J44=6,$J44=7,$J44=8,$J44=9,$J44=10),-$E44*$I44/12*3,IF($J44=11,-$E44*$I44/12*2,IF($J44=12,-$E44*$I44/12*1,0)))))+IF(CM$5&lt;&gt;$H44,0,IF(CM44&lt;0,IF($J44=10,-$E44*$I44/12*0,IF($J44=11,-$E44*$I44/12*1,IF($J44=12,-$E44*$I44/12*2,0)))))</f>
        <v>0</v>
      </c>
      <c r="CR44" s="1791">
        <f>IF(AND(CM44&lt;&gt;0,CM$5=$H44),-$I44*$E44-CM44,IF(CR$5=$H44,-$I44*$E44*(12-$J44+1)/12,0))</f>
        <v>0</v>
      </c>
      <c r="CS44" s="1808">
        <f>IF($H44&lt;&gt;CW$5,0,IF(CW44&lt;0,IF($J44=1,-$E44*$I44/12*3,IF($J44=2,-$E44*$I44/12*2,IF($J44=3,-$E44*$I44/12*1,0)))))+IF(CR$5&lt;&gt;$H44,0,IF(CR44&lt;0,IF($J44=1,-$E44*$I44/12*0,IF($J44=2,-$E44*$I44/12*1,IF($J44=3,-$E44*$I44/12*2,IF($J44&gt;=4,-$E44*$I44/12*3,0))))))</f>
        <v>0</v>
      </c>
      <c r="CT44" s="1807">
        <f>IF($H44&lt;&gt;CW$5,0,IF(CW44&lt;0,IF(OR($J44=1,$J44=2,$J44=3,$J44=4),-$E44*$I44/12*3,IF($J44=5,-$E44*$I44/12*2,IF($J44=6,-$E44*$I44/12*1,0)))))+IF(CR$5&lt;&gt;$H44,0,IF(CR44&lt;0,IF($J44=4,-$E44*$I44/12*0,IF($J44=5,-$E44*$I44/12*1,IF($J44=6,-$E44*$I44/12*2,IF($J44&gt;=7,-$E44*$I44/12*3,0))))))</f>
        <v>0</v>
      </c>
      <c r="CU44" s="1807">
        <f>IF($H44&lt;&gt;CW$5,0,IF(CW44&lt;0,IF(OR($J44=1,$J44=2,$J44=3,$J44=4,$J44=5,$J44=6,$J44=7),-$E44*$I44/12*3,IF($J44=8,-$E44*$I44/12*2,IF($J44=9,-$E44*$I44/12*1,0)))))+IF(CR$5&lt;&gt;$H44,0,IF(CR44&lt;0,IF($J44=7,-$E44*$I44/12*0,IF($J44=8,-$E44*$I44/12*1,IF($J44=9,-$E44*$I44/12*2,IF($J44&gt;=10,-$E44*$I44/12*3,0))))))</f>
        <v>0</v>
      </c>
      <c r="CV44" s="1806">
        <f>IF($H44&lt;&gt;CW$5,0,IF(CW44&lt;0,IF(OR($J44=1,$J44=2,$J44=3,$J44=4,$J44=5,$J44=6,$J44=7,$J44=8,$J44=9,$J44=10),-$E44*$I44/12*3,IF($J44=11,-$E44*$I44/12*2,IF($J44=12,-$E44*$I44/12*1,0)))))+IF(CR$5&lt;&gt;$H44,0,IF(CR44&lt;0,IF($J44=10,-$E44*$I44/12*0,IF($J44=11,-$E44*$I44/12*1,IF($J44=12,-$E44*$I44/12*2,0)))))</f>
        <v>0</v>
      </c>
      <c r="CW44" s="1791">
        <f>IF(AND(CR44&lt;&gt;0,CR$5=$H44),-$I44*$E44-CR44,IF(CW$5=$H44,-$I44*$E44*(12-$J44+1)/12,0))</f>
        <v>0</v>
      </c>
      <c r="CX44" s="1808">
        <f>IF($H44&lt;&gt;DB$5,0,IF(DB44&lt;0,IF($J44=1,-$E44*$I44/12*3,IF($J44=2,-$E44*$I44/12*2,IF($J44=3,-$E44*$I44/12*1,0)))))+IF(CW$5&lt;&gt;$H44,0,IF(CW44&lt;0,IF($J44=1,-$E44*$I44/12*0,IF($J44=2,-$E44*$I44/12*1,IF($J44=3,-$E44*$I44/12*2,IF($J44&gt;=4,-$E44*$I44/12*3,0))))))</f>
        <v>0</v>
      </c>
      <c r="CY44" s="1807">
        <f>IF($H44&lt;&gt;DB$5,0,IF(DB44&lt;0,IF(OR($J44=1,$J44=2,$J44=3,$J44=4),-$E44*$I44/12*3,IF($J44=5,-$E44*$I44/12*2,IF($J44=6,-$E44*$I44/12*1,0)))))+IF(CW$5&lt;&gt;$H44,0,IF(CW44&lt;0,IF($J44=4,-$E44*$I44/12*0,IF($J44=5,-$E44*$I44/12*1,IF($J44=6,-$E44*$I44/12*2,IF($J44&gt;=7,-$E44*$I44/12*3,0))))))</f>
        <v>0</v>
      </c>
      <c r="CZ44" s="1807">
        <f>IF($H44&lt;&gt;DB$5,0,IF(DB44&lt;0,IF(OR($J44=1,$J44=2,$J44=3,$J44=4,$J44=5,$J44=6,$J44=7),-$E44*$I44/12*3,IF($J44=8,-$E44*$I44/12*2,IF($J44=9,-$E44*$I44/12*1,0)))))+IF(CW$5&lt;&gt;$H44,0,IF(CW44&lt;0,IF($J44=7,-$E44*$I44/12*0,IF($J44=8,-$E44*$I44/12*1,IF($J44=9,-$E44*$I44/12*2,IF($J44&gt;=10,-$E44*$I44/12*3,0))))))</f>
        <v>0</v>
      </c>
      <c r="DA44" s="1806">
        <f>IF($H44&lt;&gt;DB$5,0,IF(DB44&lt;0,IF(OR($J44=1,$J44=2,$J44=3,$J44=4,$J44=5,$J44=6,$J44=7,$J44=8,$J44=9,$J44=10),-$E44*$I44/12*3,IF($J44=11,-$E44*$I44/12*2,IF($J44=12,-$E44*$I44/12*1,0)))))+IF(CW$5&lt;&gt;$H44,0,IF(CW44&lt;0,IF($J44=10,-$E44*$I44/12*0,IF($J44=11,-$E44*$I44/12*1,IF($J44=12,-$E44*$I44/12*2,0)))))</f>
        <v>0</v>
      </c>
      <c r="DB44" s="1791">
        <f>IF(AND(CW44&lt;&gt;0,CW$5=$H44),-$I44*$E44-CW44,IF(DB$5=$H44,-$I44*$E44*(12-$J44+1)/12,0))</f>
        <v>0</v>
      </c>
      <c r="DC44" s="1808">
        <f>IF($H44&lt;&gt;DG$5,0,IF(DG44&lt;0,IF($J44=1,-$E44*$I44/12*3,IF($J44=2,-$E44*$I44/12*2,IF($J44=3,-$E44*$I44/12*1,0)))))+IF(DB$5&lt;&gt;$H44,0,IF(DB44&lt;0,IF($J44=1,-$E44*$I44/12*0,IF($J44=2,-$E44*$I44/12*1,IF($J44=3,-$E44*$I44/12*2,IF($J44&gt;=4,-$E44*$I44/12*3,0))))))</f>
        <v>0</v>
      </c>
      <c r="DD44" s="1807">
        <f>IF($H44&lt;&gt;DG$5,0,IF(DG44&lt;0,IF(OR($J44=1,$J44=2,$J44=3,$J44=4),-$E44*$I44/12*3,IF($J44=5,-$E44*$I44/12*2,IF($J44=6,-$E44*$I44/12*1,0)))))+IF(DB$5&lt;&gt;$H44,0,IF(DB44&lt;0,IF($J44=4,-$E44*$I44/12*0,IF($J44=5,-$E44*$I44/12*1,IF($J44=6,-$E44*$I44/12*2,IF($J44&gt;=7,-$E44*$I44/12*3,0))))))</f>
        <v>0</v>
      </c>
      <c r="DE44" s="1807">
        <f>IF($H44&lt;&gt;DG$5,0,IF(DG44&lt;0,IF(OR($J44=1,$J44=2,$J44=3,$J44=4,$J44=5,$J44=6,$J44=7),-$E44*$I44/12*3,IF($J44=8,-$E44*$I44/12*2,IF($J44=9,-$E44*$I44/12*1,0)))))+IF(DB$5&lt;&gt;$H44,0,IF(DB44&lt;0,IF($J44=7,-$E44*$I44/12*0,IF($J44=8,-$E44*$I44/12*1,IF($J44=9,-$E44*$I44/12*2,IF($J44&gt;=10,-$E44*$I44/12*3,0))))))</f>
        <v>0</v>
      </c>
      <c r="DF44" s="1806">
        <f>IF($H44&lt;&gt;DG$5,0,IF(DG44&lt;0,IF(OR($J44=1,$J44=2,$J44=3,$J44=4,$J44=5,$J44=6,$J44=7,$J44=8,$J44=9,$J44=10),-$E44*$I44/12*3,IF($J44=11,-$E44*$I44/12*2,IF($J44=12,-$E44*$I44/12*1,0)))))+IF(DB$5&lt;&gt;$H44,0,IF(DB44&lt;0,IF($J44=10,-$E44*$I44/12*0,IF($J44=11,-$E44*$I44/12*1,IF($J44=12,-$E44*$I44/12*2,0)))))</f>
        <v>0</v>
      </c>
      <c r="DG44" s="1791">
        <f>IF(AND(DB44&lt;&gt;0,DB$5=$H44),-$I44*$E44-DB44,IF(DG$5=$H44,-$I44*$E44*(12-$J44+1)/12,0))</f>
        <v>0</v>
      </c>
      <c r="DH44" s="1808">
        <f>IF($H44&lt;&gt;DL$5,0,IF(DL44&lt;0,IF($J44=1,-$E44*$I44/12*3,IF($J44=2,-$E44*$I44/12*2,IF($J44=3,-$E44*$I44/12*1,0)))))+IF(DG$5&lt;&gt;$H44,0,IF(DG44&lt;0,IF($J44=1,-$E44*$I44/12*0,IF($J44=2,-$E44*$I44/12*1,IF($J44=3,-$E44*$I44/12*2,IF($J44&gt;=4,-$E44*$I44/12*3,0))))))</f>
        <v>0</v>
      </c>
      <c r="DI44" s="1807">
        <f>IF($H44&lt;&gt;DL$5,0,IF(DL44&lt;0,IF(OR($J44=1,$J44=2,$J44=3,$J44=4),-$E44*$I44/12*3,IF($J44=5,-$E44*$I44/12*2,IF($J44=6,-$E44*$I44/12*1,0)))))+IF(DG$5&lt;&gt;$H44,0,IF(DG44&lt;0,IF($J44=4,-$E44*$I44/12*0,IF($J44=5,-$E44*$I44/12*1,IF($J44=6,-$E44*$I44/12*2,IF($J44&gt;=7,-$E44*$I44/12*3,0))))))</f>
        <v>0</v>
      </c>
      <c r="DJ44" s="1807">
        <f>IF($H44&lt;&gt;DL$5,0,IF(DL44&lt;0,IF(OR($J44=1,$J44=2,$J44=3,$J44=4,$J44=5,$J44=6,$J44=7),-$E44*$I44/12*3,IF($J44=8,-$E44*$I44/12*2,IF($J44=9,-$E44*$I44/12*1,0)))))+IF(DG$5&lt;&gt;$H44,0,IF(DG44&lt;0,IF($J44=7,-$E44*$I44/12*0,IF($J44=8,-$E44*$I44/12*1,IF($J44=9,-$E44*$I44/12*2,IF($J44&gt;=10,-$E44*$I44/12*3,0))))))</f>
        <v>0</v>
      </c>
      <c r="DK44" s="1806">
        <f>IF($H44&lt;&gt;DL$5,0,IF(DL44&lt;0,IF(OR($J44=1,$J44=2,$J44=3,$J44=4,$J44=5,$J44=6,$J44=7,$J44=8,$J44=9,$J44=10),-$E44*$I44/12*3,IF($J44=11,-$E44*$I44/12*2,IF($J44=12,-$E44*$I44/12*1,0)))))+IF(DG$5&lt;&gt;$H44,0,IF(DG44&lt;0,IF($J44=10,-$E44*$I44/12*0,IF($J44=11,-$E44*$I44/12*1,IF($J44=12,-$E44*$I44/12*2,0)))))</f>
        <v>0</v>
      </c>
      <c r="DL44" s="1791">
        <f>IF(AND(DG44&lt;&gt;0,DG$5=$H44),-$I44*$E44-DG44,IF(DL$5=$H44,-$I44*$E44*(12-$J44+1)/12,0))</f>
        <v>0</v>
      </c>
      <c r="DM44" s="1808">
        <f>IF($H44&lt;&gt;DQ$5,0,IF(DQ44&lt;0,IF($J44=1,-$E44*$I44/12*3,IF($J44=2,-$E44*$I44/12*2,IF($J44=3,-$E44*$I44/12*1,0)))))+IF(DL$5&lt;&gt;$H44,0,IF(DL44&lt;0,IF($J44=1,-$E44*$I44/12*0,IF($J44=2,-$E44*$I44/12*1,IF($J44=3,-$E44*$I44/12*2,IF($J44&gt;=4,-$E44*$I44/12*3,0))))))</f>
        <v>0</v>
      </c>
      <c r="DN44" s="1807">
        <f>IF($H44&lt;&gt;DQ$5,0,IF(DQ44&lt;0,IF(OR($J44=1,$J44=2,$J44=3,$J44=4),-$E44*$I44/12*3,IF($J44=5,-$E44*$I44/12*2,IF($J44=6,-$E44*$I44/12*1,0)))))+IF(DL$5&lt;&gt;$H44,0,IF(DL44&lt;0,IF($J44=4,-$E44*$I44/12*0,IF($J44=5,-$E44*$I44/12*1,IF($J44=6,-$E44*$I44/12*2,IF($J44&gt;=7,-$E44*$I44/12*3,0))))))</f>
        <v>0</v>
      </c>
      <c r="DO44" s="1807">
        <f>IF($H44&lt;&gt;DQ$5,0,IF(DQ44&lt;0,IF(OR($J44=1,$J44=2,$J44=3,$J44=4,$J44=5,$J44=6,$J44=7),-$E44*$I44/12*3,IF($J44=8,-$E44*$I44/12*2,IF($J44=9,-$E44*$I44/12*1,0)))))+IF(DL$5&lt;&gt;$H44,0,IF(DL44&lt;0,IF($J44=7,-$E44*$I44/12*0,IF($J44=8,-$E44*$I44/12*1,IF($J44=9,-$E44*$I44/12*2,IF($J44&gt;=10,-$E44*$I44/12*3,0))))))</f>
        <v>0</v>
      </c>
      <c r="DP44" s="1806">
        <f>IF($H44&lt;&gt;DQ$5,0,IF(DQ44&lt;0,IF(OR($J44=1,$J44=2,$J44=3,$J44=4,$J44=5,$J44=6,$J44=7,$J44=8,$J44=9,$J44=10),-$E44*$I44/12*3,IF($J44=11,-$E44*$I44/12*2,IF($J44=12,-$E44*$I44/12*1,0)))))+IF(DL$5&lt;&gt;$H44,0,IF(DL44&lt;0,IF($J44=10,-$E44*$I44/12*0,IF($J44=11,-$E44*$I44/12*1,IF($J44=12,-$E44*$I44/12*2,0)))))</f>
        <v>0</v>
      </c>
      <c r="DQ44" s="1791">
        <f>IF(AND(DL44&lt;&gt;0,DL$5=$H44),-$I44*$E44-DL44,IF(DQ$5=$H44,-$I44*$E44*(12-$J44+1)/12,0))</f>
        <v>0</v>
      </c>
      <c r="DR44" s="1808">
        <f>IF($H44&lt;&gt;DV$5,0,IF(DV44&lt;0,IF($J44=1,-$E44*$I44/12*3,IF($J44=2,-$E44*$I44/12*2,IF($J44=3,-$E44*$I44/12*1,0)))))+IF(DQ$5&lt;&gt;$H44,0,IF(DQ44&lt;0,IF($J44=1,-$E44*$I44/12*0,IF($J44=2,-$E44*$I44/12*1,IF($J44=3,-$E44*$I44/12*2,IF($J44&gt;=4,-$E44*$I44/12*3,0))))))</f>
        <v>0</v>
      </c>
      <c r="DS44" s="1807">
        <f>IF($H44&lt;&gt;DV$5,0,IF(DV44&lt;0,IF(OR($J44=1,$J44=2,$J44=3,$J44=4),-$E44*$I44/12*3,IF($J44=5,-$E44*$I44/12*2,IF($J44=6,-$E44*$I44/12*1,0)))))+IF(DQ$5&lt;&gt;$H44,0,IF(DQ44&lt;0,IF($J44=4,-$E44*$I44/12*0,IF($J44=5,-$E44*$I44/12*1,IF($J44=6,-$E44*$I44/12*2,IF($J44&gt;=7,-$E44*$I44/12*3,0))))))</f>
        <v>0</v>
      </c>
      <c r="DT44" s="1807">
        <f>IF($H44&lt;&gt;DV$5,0,IF(DV44&lt;0,IF(OR($J44=1,$J44=2,$J44=3,$J44=4,$J44=5,$J44=6,$J44=7),-$E44*$I44/12*3,IF($J44=8,-$E44*$I44/12*2,IF($J44=9,-$E44*$I44/12*1,0)))))+IF(DQ$5&lt;&gt;$H44,0,IF(DQ44&lt;0,IF($J44=7,-$E44*$I44/12*0,IF($J44=8,-$E44*$I44/12*1,IF($J44=9,-$E44*$I44/12*2,IF($J44&gt;=10,-$E44*$I44/12*3,0))))))</f>
        <v>0</v>
      </c>
      <c r="DU44" s="1806">
        <f>IF($H44&lt;&gt;DV$5,0,IF(DV44&lt;0,IF(OR($J44=1,$J44=2,$J44=3,$J44=4,$J44=5,$J44=6,$J44=7,$J44=8,$J44=9,$J44=10),-$E44*$I44/12*3,IF($J44=11,-$E44*$I44/12*2,IF($J44=12,-$E44*$I44/12*1,0)))))+IF(DQ$5&lt;&gt;$H44,0,IF(DQ44&lt;0,IF($J44=10,-$E44*$I44/12*0,IF($J44=11,-$E44*$I44/12*1,IF($J44=12,-$E44*$I44/12*2,0)))))</f>
        <v>0</v>
      </c>
      <c r="DV44" s="1791">
        <f>IF(AND(DQ44&lt;&gt;0,DQ$5=$H44),-$I44*$E44-DQ44,IF(DV$5=$H44,-$I44*$E44*(12-$J44+1)/12,0))</f>
        <v>0</v>
      </c>
    </row>
    <row r="45" spans="1:126">
      <c r="A45" s="455"/>
      <c r="B45" s="455"/>
      <c r="C45" s="1363" t="s">
        <v>1000</v>
      </c>
      <c r="D45" s="94"/>
      <c r="E45" s="1817">
        <f>IF(F45=0,G45,F45)</f>
        <v>410</v>
      </c>
      <c r="F45" s="1435">
        <v>410</v>
      </c>
      <c r="G45" s="1435">
        <v>410</v>
      </c>
      <c r="H45" s="1350">
        <v>2066</v>
      </c>
      <c r="I45" s="1337">
        <v>4.8750000000000002E-2</v>
      </c>
      <c r="J45" s="1343">
        <v>9</v>
      </c>
      <c r="K45" s="2007"/>
      <c r="L45" s="1810">
        <f t="shared" si="355"/>
        <v>0</v>
      </c>
      <c r="M45" s="1791">
        <f t="shared" si="355"/>
        <v>0</v>
      </c>
      <c r="N45" s="1808">
        <f t="shared" ref="N45" si="466">IF(R45=0,0,IF(R45&lt;0,IF($J45=3,R45,IF($J45=2,R45,IF($J45=1,R45,0)))))</f>
        <v>0</v>
      </c>
      <c r="O45" s="1807">
        <f t="shared" ref="O45" si="467">IF(R45=0,0,IF(R45&lt;0,IF($J45=6,R45,IF($J45=5,R45,IF($J45=4,R45,0)))))</f>
        <v>0</v>
      </c>
      <c r="P45" s="1807">
        <f t="shared" ref="P45" si="468">IF(R45=0,0,IF(R45&lt;0,IF($J45=9,R45,IF($J45=8,R45,IF($J45=7,R45,0)))))</f>
        <v>0</v>
      </c>
      <c r="Q45" s="1806">
        <f t="shared" ref="Q45" si="469">IF(R45=0,0,IF(R45&lt;0,IF($J45=12,R45,IF($J45=11,R45,IF($J45=10,R45,0)))))</f>
        <v>0</v>
      </c>
      <c r="R45" s="1791">
        <f t="shared" si="360"/>
        <v>0</v>
      </c>
      <c r="S45" s="1808">
        <f t="shared" ref="S45" si="470">IF(W45=0,0,IF(W45&lt;0,IF($J45=3,W45,IF($J45=2,W45,IF($J45=1,W45,0)))))</f>
        <v>0</v>
      </c>
      <c r="T45" s="1807">
        <f t="shared" ref="T45" si="471">IF(W45=0,0,IF(W45&lt;0,IF($J45=6,W45,IF($J45=5,W45,IF($J45=4,W45,0)))))</f>
        <v>0</v>
      </c>
      <c r="U45" s="1807">
        <f t="shared" ref="U45" si="472">IF(W45=0,0,IF(W45&lt;0,IF($J45=9,W45,IF($J45=8,W45,IF($J45=7,W45,0)))))</f>
        <v>0</v>
      </c>
      <c r="V45" s="1806">
        <f t="shared" ref="V45" si="473">IF(W45=0,0,IF(W45&lt;0,IF($J45=12,W45,IF($J45=11,W45,IF($J45=10,W45,0)))))</f>
        <v>0</v>
      </c>
      <c r="W45" s="1791">
        <f t="shared" si="365"/>
        <v>0</v>
      </c>
      <c r="X45" s="1808">
        <f t="shared" ref="X45" si="474">IF(AB45=0,0,IF(AB45&lt;0,IF($J45=3,AB45,IF($J45=2,AB45,IF($J45=1,AB45,0)))))</f>
        <v>0</v>
      </c>
      <c r="Y45" s="1807">
        <f t="shared" ref="Y45" si="475">IF(AB45=0,0,IF(AB45&lt;0,IF($J45=6,AB45,IF($J45=5,AB45,IF($J45=4,AB45,0)))))</f>
        <v>0</v>
      </c>
      <c r="Z45" s="1807">
        <f t="shared" ref="Z45" si="476">IF(AB45=0,0,IF(AB45&lt;0,IF($J45=9,AB45,IF($J45=8,AB45,IF($J45=7,AB45,0)))))</f>
        <v>0</v>
      </c>
      <c r="AA45" s="1806">
        <f t="shared" ref="AA45" si="477">IF(AB45=0,0,IF(AB45&lt;0,IF($J45=12,AB45,IF($J45=11,AB45,IF($J45=10,AB45,0)))))</f>
        <v>0</v>
      </c>
      <c r="AB45" s="1791">
        <f t="shared" si="370"/>
        <v>0</v>
      </c>
      <c r="AC45" s="1808">
        <f t="shared" ref="AC45" si="478">IF(AG45=0,0,IF(AG45&lt;0,IF($J45=3,AG45,IF($J45=2,AG45,IF($J45=1,AG45,0)))))</f>
        <v>0</v>
      </c>
      <c r="AD45" s="1807">
        <f t="shared" ref="AD45" si="479">IF(AG45=0,0,IF(AG45&lt;0,IF($J45=6,AG45,IF($J45=5,AG45,IF($J45=4,AG45,0)))))</f>
        <v>0</v>
      </c>
      <c r="AE45" s="1807">
        <f t="shared" ref="AE45" si="480">IF(AG45=0,0,IF(AG45&lt;0,IF($J45=9,AG45,IF($J45=8,AG45,IF($J45=7,AG45,0)))))</f>
        <v>0</v>
      </c>
      <c r="AF45" s="1806">
        <f t="shared" ref="AF45" si="481">IF(AG45=0,0,IF(AG45&lt;0,IF($J45=12,AG45,IF($J45=11,AG45,IF($J45=10,AG45,0)))))</f>
        <v>0</v>
      </c>
      <c r="AG45" s="1791">
        <f t="shared" si="375"/>
        <v>0</v>
      </c>
      <c r="AH45" s="1808">
        <f t="shared" ref="AH45" si="482">IF(AL45=0,0,IF(AL45&lt;0,IF($J45=3,AL45,IF($J45=2,AL45,IF($J45=1,AL45,0)))))</f>
        <v>0</v>
      </c>
      <c r="AI45" s="1807">
        <f t="shared" ref="AI45" si="483">IF(AL45=0,0,IF(AL45&lt;0,IF($J45=6,AL45,IF($J45=5,AL45,IF($J45=4,AL45,0)))))</f>
        <v>0</v>
      </c>
      <c r="AJ45" s="1807">
        <f t="shared" ref="AJ45" si="484">IF(AL45=0,0,IF(AL45&lt;0,IF($J45=9,AL45,IF($J45=8,AL45,IF($J45=7,AL45,0)))))</f>
        <v>0</v>
      </c>
      <c r="AK45" s="1806">
        <f t="shared" ref="AK45" si="485">IF(AL45=0,0,IF(AL45&lt;0,IF($J45=12,AL45,IF($J45=11,AL45,IF($J45=10,AL45,0)))))</f>
        <v>0</v>
      </c>
      <c r="AL45" s="1791">
        <f t="shared" si="380"/>
        <v>0</v>
      </c>
      <c r="AM45" s="1808">
        <f t="shared" ref="AM45" si="486">IF(AQ45=0,0,IF(AQ45&lt;0,IF($J45=3,AQ45,IF($J45=2,AQ45,IF($J45=1,AQ45,0)))))</f>
        <v>0</v>
      </c>
      <c r="AN45" s="1807">
        <f t="shared" ref="AN45" si="487">IF(AQ45=0,0,IF(AQ45&lt;0,IF($J45=6,AQ45,IF($J45=5,AQ45,IF($J45=4,AQ45,0)))))</f>
        <v>0</v>
      </c>
      <c r="AO45" s="1807">
        <f t="shared" ref="AO45" si="488">IF(AQ45=0,0,IF(AQ45&lt;0,IF($J45=9,AQ45,IF($J45=8,AQ45,IF($J45=7,AQ45,0)))))</f>
        <v>0</v>
      </c>
      <c r="AP45" s="1806">
        <f t="shared" ref="AP45" si="489">IF(AQ45=0,0,IF(AQ45&lt;0,IF($J45=12,AQ45,IF($J45=11,AQ45,IF($J45=10,AQ45,0)))))</f>
        <v>0</v>
      </c>
      <c r="AQ45" s="1791">
        <f t="shared" si="385"/>
        <v>0</v>
      </c>
      <c r="AR45" s="1808">
        <f t="shared" ref="AR45" si="490">IF(AV45=0,0,IF(AV45&lt;0,IF($J45=3,AV45,IF($J45=2,AV45,IF($J45=1,AV45,0)))))</f>
        <v>0</v>
      </c>
      <c r="AS45" s="1807">
        <f t="shared" ref="AS45" si="491">IF(AV45=0,0,IF(AV45&lt;0,IF($J45=6,AV45,IF($J45=5,AV45,IF($J45=4,AV45,0)))))</f>
        <v>0</v>
      </c>
      <c r="AT45" s="1807">
        <f t="shared" ref="AT45" si="492">IF(AV45=0,0,IF(AV45&lt;0,IF($J45=9,AV45,IF($J45=8,AV45,IF($J45=7,AV45,0)))))</f>
        <v>0</v>
      </c>
      <c r="AU45" s="1806">
        <f t="shared" ref="AU45" si="493">IF(AV45=0,0,IF(AV45&lt;0,IF($J45=12,AV45,IF($J45=11,AV45,IF($J45=10,AV45,0)))))</f>
        <v>0</v>
      </c>
      <c r="AV45" s="1791">
        <f t="shared" si="389"/>
        <v>0</v>
      </c>
      <c r="AW45" s="1808">
        <f t="shared" ref="AW45" si="494">IF(BA45=0,0,IF(BA45&lt;0,IF($J45=3,BA45,IF($J45=2,BA45,IF($J45=1,BA45,0)))))</f>
        <v>0</v>
      </c>
      <c r="AX45" s="1807">
        <f t="shared" ref="AX45" si="495">IF(BA45=0,0,IF(BA45&lt;0,IF($J45=6,BA45,IF($J45=5,BA45,IF($J45=4,BA45,0)))))</f>
        <v>0</v>
      </c>
      <c r="AY45" s="1807">
        <f t="shared" ref="AY45" si="496">IF(BA45=0,0,IF(BA45&lt;0,IF($J45=9,BA45,IF($J45=8,BA45,IF($J45=7,BA45,0)))))</f>
        <v>0</v>
      </c>
      <c r="AZ45" s="1806">
        <f t="shared" ref="AZ45" si="497">IF(BA45=0,0,IF(BA45&lt;0,IF($J45=12,BA45,IF($J45=11,BA45,IF($J45=10,BA45,0)))))</f>
        <v>0</v>
      </c>
      <c r="BA45" s="1791">
        <f t="shared" si="394"/>
        <v>0</v>
      </c>
      <c r="BB45" s="1808">
        <f t="shared" ref="BB45" si="498">IF(BF45=0,0,IF(BF45&lt;0,IF($J45=3,BF45,IF($J45=2,BF45,IF($J45=1,BF45,0)))))</f>
        <v>0</v>
      </c>
      <c r="BC45" s="1807">
        <f t="shared" ref="BC45" si="499">IF(BF45=0,0,IF(BF45&lt;0,IF($J45=6,BF45,IF($J45=5,BF45,IF($J45=4,BF45,0)))))</f>
        <v>0</v>
      </c>
      <c r="BD45" s="1807">
        <f t="shared" ref="BD45" si="500">IF(BF45=0,0,IF(BF45&lt;0,IF($J45=9,BF45,IF($J45=8,BF45,IF($J45=7,BF45,0)))))</f>
        <v>0</v>
      </c>
      <c r="BE45" s="1806">
        <f t="shared" ref="BE45" si="501">IF(BF45=0,0,IF(BF45&lt;0,IF($J45=12,BF45,IF($J45=11,BF45,IF($J45=10,BF45,0)))))</f>
        <v>0</v>
      </c>
      <c r="BF45" s="1791">
        <f t="shared" si="399"/>
        <v>0</v>
      </c>
      <c r="BG45" s="1808">
        <f t="shared" ref="BG45" si="502">IF(BK45=0,0,IF(BK45&lt;0,IF($J45=3,BK45,IF($J45=2,BK45,IF($J45=1,BK45,0)))))</f>
        <v>0</v>
      </c>
      <c r="BH45" s="1807">
        <f t="shared" ref="BH45" si="503">IF(BK45=0,0,IF(BK45&lt;0,IF($J45=6,BK45,IF($J45=5,BK45,IF($J45=4,BK45,0)))))</f>
        <v>0</v>
      </c>
      <c r="BI45" s="1807">
        <f t="shared" ref="BI45" si="504">IF(BK45=0,0,IF(BK45&lt;0,IF($J45=9,BK45,IF($J45=8,BK45,IF($J45=7,BK45,0)))))</f>
        <v>0</v>
      </c>
      <c r="BJ45" s="1806">
        <f t="shared" ref="BJ45" si="505">IF(BK45=0,0,IF(BK45&lt;0,IF($J45=12,BK45,IF($J45=11,BK45,IF($J45=10,BK45,0)))))</f>
        <v>0</v>
      </c>
      <c r="BK45" s="1791">
        <f t="shared" si="404"/>
        <v>0</v>
      </c>
      <c r="BL45" s="1808">
        <f t="shared" ref="BL45" si="506">IF(BP45=0,0,IF(BP45&lt;0,IF($J45=3,BP45,IF($J45=2,BP45,IF($J45=1,BP45,0)))))</f>
        <v>0</v>
      </c>
      <c r="BM45" s="1807">
        <f t="shared" ref="BM45" si="507">IF(BP45=0,0,IF(BP45&lt;0,IF($J45=6,BP45,IF($J45=5,BP45,IF($J45=4,BP45,0)))))</f>
        <v>0</v>
      </c>
      <c r="BN45" s="1807">
        <f t="shared" ref="BN45" si="508">IF(BP45=0,0,IF(BP45&lt;0,IF($J45=9,BP45,IF($J45=8,BP45,IF($J45=7,BP45,0)))))</f>
        <v>0</v>
      </c>
      <c r="BO45" s="1806">
        <f t="shared" ref="BO45" si="509">IF(BP45=0,0,IF(BP45&lt;0,IF($J45=12,BP45,IF($J45=11,BP45,IF($J45=10,BP45,0)))))</f>
        <v>0</v>
      </c>
      <c r="BP45" s="1791">
        <f t="shared" si="409"/>
        <v>0</v>
      </c>
      <c r="BQ45" s="1809"/>
      <c r="BR45" s="1991">
        <f t="shared" ref="BR45" si="510">IF(AND(BQ45&lt;&gt;0,BQ$5=$H45),-$I45*$E45-BQ45,IF(BR$5=$H45,-$I45*$E45*(12-$J45+1)/12,0))</f>
        <v>0</v>
      </c>
      <c r="BS45" s="1991">
        <f t="shared" ref="BS45" si="511">IF(AND(BR45&lt;&gt;0,BR$5=$H45),-$I45*$E45-BR45,IF(BS$5=$H45,-$I45*$E45*(12-$J45+1)/12,0))</f>
        <v>0</v>
      </c>
      <c r="BT45" s="1992">
        <f t="shared" ref="BT45" si="512">IF($H45&lt;&gt;BX$5,0,IF(BX45&lt;0,IF($J45=1,-$E45*$I45/12*3,IF($J45=2,-$E45*$I45/12*2,IF($J45=3,-$E45*$I45/12*1,0)))))+IF(BS$5&lt;&gt;$H45,0,IF(BS45&lt;0,IF($J45=1,-$E45*$I45/12*0,IF($J45=2,-$E45*$I45/12*1,IF($J45=3,-$E45*$I45/12*2,IF($J45&gt;=4,-$E45*$I45/12*3,0))))))</f>
        <v>0</v>
      </c>
      <c r="BU45" s="1992">
        <f t="shared" ref="BU45" si="513">IF($H45&lt;&gt;BX$5,0,IF(BX45&lt;0,IF(OR($J45=1,$J45=2,$J45=3,$J45=4),-$E45*$I45/12*3,IF($J45=5,-$E45*$I45/12*2,IF($J45=6,-$E45*$I45/12*1,0)))))+IF(BS$5&lt;&gt;$H45,0,IF(BS45&lt;0,IF($J45=4,-$E45*$I45/12*0,IF($J45=5,-$E45*$I45/12*1,IF($J45=6,-$E45*$I45/12*2,IF($J45&gt;=7,-$E45*$I45/12*3,0))))))</f>
        <v>0</v>
      </c>
      <c r="BV45" s="1992">
        <f t="shared" ref="BV45" si="514">IF($H45&lt;&gt;BX$5,0,IF(BX45&lt;0,IF(OR($J45=1,$J45=2,$J45=3,$J45=4,$J45=5,$J45=6,$J45=7),-$E45*$I45/12*3,IF($J45=8,-$E45*$I45/12*2,IF($J45=9,-$E45*$I45/12*1,0)))))+IF(BS$5&lt;&gt;$H45,0,IF(BS45&lt;0,IF($J45=7,-$E45*$I45/12*0,IF($J45=8,-$E45*$I45/12*1,IF($J45=9,-$E45*$I45/12*2,IF($J45&gt;=10,-$E45*$I45/12*3,0))))))</f>
        <v>0</v>
      </c>
      <c r="BW45" s="1992">
        <f t="shared" ref="BW45" si="515">IF($H45&lt;&gt;BX$5,0,IF(BX45&lt;0,IF(OR($J45=1,$J45=2,$J45=3,$J45=4,$J45=5,$J45=6,$J45=7,$J45=8,$J45=9,$J45=10),-$E45*$I45/12*3,IF($J45=11,-$E45*$I45/12*2,IF($J45=12,-$E45*$I45/12*1,0)))))+IF(BS$5&lt;&gt;$H45,0,IF(BS45&lt;0,IF($J45=10,-$E45*$I45/12*0,IF($J45=11,-$E45*$I45/12*1,IF($J45=12,-$E45*$I45/12*2,0)))))</f>
        <v>0</v>
      </c>
      <c r="BX45" s="1810">
        <f t="shared" ref="BX45" si="516">IF(AND(BS45&lt;&gt;0,BS$5=$H45),-$I45*$E45-BS45,IF(BX$5=$H45,-$I45*$E45*(12-$J45+1)/12,0))</f>
        <v>0</v>
      </c>
      <c r="BY45" s="1807">
        <f t="shared" ref="BY45" si="517">IF($H45&lt;&gt;CC$5,0,IF(CC45&lt;0,IF($J45=1,-$E45*$I45/12*3,IF($J45=2,-$E45*$I45/12*2,IF($J45=3,-$E45*$I45/12*1,0)))))+IF(BX$5&lt;&gt;$H45,0,IF(BX45&lt;0,IF($J45=1,-$E45*$I45/12*0,IF($J45=2,-$E45*$I45/12*1,IF($J45=3,-$E45*$I45/12*2,IF($J45&gt;=4,-$E45*$I45/12*3,0))))))</f>
        <v>0</v>
      </c>
      <c r="BZ45" s="1807">
        <f t="shared" ref="BZ45" si="518">IF($H45&lt;&gt;CC$5,0,IF(CC45&lt;0,IF(OR($J45=1,$J45=2,$J45=3,$J45=4),-$E45*$I45/12*3,IF($J45=5,-$E45*$I45/12*2,IF($J45=6,-$E45*$I45/12*1,0)))))+IF(BX$5&lt;&gt;$H45,0,IF(BX45&lt;0,IF($J45=4,-$E45*$I45/12*0,IF($J45=5,-$E45*$I45/12*1,IF($J45=6,-$E45*$I45/12*2,IF($J45&gt;=7,-$E45*$I45/12*3,0))))))</f>
        <v>0</v>
      </c>
      <c r="CA45" s="1807">
        <f t="shared" ref="CA45" si="519">IF($H45&lt;&gt;CC$5,0,IF(CC45&lt;0,IF(OR($J45=1,$J45=2,$J45=3,$J45=4,$J45=5,$J45=6,$J45=7),-$E45*$I45/12*3,IF($J45=8,-$E45*$I45/12*2,IF($J45=9,-$E45*$I45/12*1,0)))))+IF(BX$5&lt;&gt;$H45,0,IF(BX45&lt;0,IF($J45=7,-$E45*$I45/12*0,IF($J45=8,-$E45*$I45/12*1,IF($J45=9,-$E45*$I45/12*2,IF($J45&gt;=10,-$E45*$I45/12*3,0))))))</f>
        <v>0</v>
      </c>
      <c r="CB45" s="1806">
        <f t="shared" ref="CB45" si="520">IF($H45&lt;&gt;CC$5,0,IF(CC45&lt;0,IF(OR($J45=1,$J45=2,$J45=3,$J45=4,$J45=5,$J45=6,$J45=7,$J45=8,$J45=9,$J45=10),-$E45*$I45/12*3,IF($J45=11,-$E45*$I45/12*2,IF($J45=12,-$E45*$I45/12*1,0)))))+IF(BX$5&lt;&gt;$H45,0,IF(BX45&lt;0,IF($J45=10,-$E45*$I45/12*0,IF($J45=11,-$E45*$I45/12*1,IF($J45=12,-$E45*$I45/12*2,0)))))</f>
        <v>0</v>
      </c>
      <c r="CC45" s="1791">
        <f t="shared" ref="CC45" si="521">IF(AND(BX45&lt;&gt;0,BX$5=$H45),-$I45*$E45-BX45,IF(CC$5=$H45,-$I45*$E45*(12-$J45+1)/12,0))</f>
        <v>0</v>
      </c>
      <c r="CD45" s="1808">
        <f t="shared" ref="CD45" si="522">IF($H45&lt;&gt;CH$5,0,IF(CH45&lt;0,IF($J45=1,-$E45*$I45/12*3,IF($J45=2,-$E45*$I45/12*2,IF($J45=3,-$E45*$I45/12*1,0)))))+IF(CC$5&lt;&gt;$H45,0,IF(CC45&lt;0,IF($J45=1,-$E45*$I45/12*0,IF($J45=2,-$E45*$I45/12*1,IF($J45=3,-$E45*$I45/12*2,IF($J45&gt;=4,-$E45*$I45/12*3,0))))))</f>
        <v>0</v>
      </c>
      <c r="CE45" s="1807">
        <f t="shared" ref="CE45" si="523">IF($H45&lt;&gt;CH$5,0,IF(CH45&lt;0,IF(OR($J45=1,$J45=2,$J45=3,$J45=4),-$E45*$I45/12*3,IF($J45=5,-$E45*$I45/12*2,IF($J45=6,-$E45*$I45/12*1,0)))))+IF(CC$5&lt;&gt;$H45,0,IF(CC45&lt;0,IF($J45=4,-$E45*$I45/12*0,IF($J45=5,-$E45*$I45/12*1,IF($J45=6,-$E45*$I45/12*2,IF($J45&gt;=7,-$E45*$I45/12*3,0))))))</f>
        <v>0</v>
      </c>
      <c r="CF45" s="1807">
        <f t="shared" ref="CF45" si="524">IF($H45&lt;&gt;CH$5,0,IF(CH45&lt;0,IF(OR($J45=1,$J45=2,$J45=3,$J45=4,$J45=5,$J45=6,$J45=7),-$E45*$I45/12*3,IF($J45=8,-$E45*$I45/12*2,IF($J45=9,-$E45*$I45/12*1,0)))))+IF(CC$5&lt;&gt;$H45,0,IF(CC45&lt;0,IF($J45=7,-$E45*$I45/12*0,IF($J45=8,-$E45*$I45/12*1,IF($J45=9,-$E45*$I45/12*2,IF($J45&gt;=10,-$E45*$I45/12*3,0))))))</f>
        <v>0</v>
      </c>
      <c r="CG45" s="1806">
        <f t="shared" ref="CG45" si="525">IF($H45&lt;&gt;CH$5,0,IF(CH45&lt;0,IF(OR($J45=1,$J45=2,$J45=3,$J45=4,$J45=5,$J45=6,$J45=7,$J45=8,$J45=9,$J45=10),-$E45*$I45/12*3,IF($J45=11,-$E45*$I45/12*2,IF($J45=12,-$E45*$I45/12*1,0)))))+IF(CC$5&lt;&gt;$H45,0,IF(CC45&lt;0,IF($J45=10,-$E45*$I45/12*0,IF($J45=11,-$E45*$I45/12*1,IF($J45=12,-$E45*$I45/12*2,0)))))</f>
        <v>0</v>
      </c>
      <c r="CH45" s="1791">
        <f t="shared" ref="CH45" si="526">IF(AND(CC45&lt;&gt;0,CC$5=$H45),-$I45*$E45-CC45,IF(CH$5=$H45,-$I45*$E45*(12-$J45+1)/12,0))</f>
        <v>0</v>
      </c>
      <c r="CI45" s="1808">
        <f t="shared" ref="CI45" si="527">IF($H45&lt;&gt;CM$5,0,IF(CM45&lt;0,IF($J45=1,-$E45*$I45/12*3,IF($J45=2,-$E45*$I45/12*2,IF($J45=3,-$E45*$I45/12*1,0)))))+IF(CH$5&lt;&gt;$H45,0,IF(CH45&lt;0,IF($J45=1,-$E45*$I45/12*0,IF($J45=2,-$E45*$I45/12*1,IF($J45=3,-$E45*$I45/12*2,IF($J45&gt;=4,-$E45*$I45/12*3,0))))))</f>
        <v>0</v>
      </c>
      <c r="CJ45" s="1807">
        <f t="shared" ref="CJ45" si="528">IF($H45&lt;&gt;CM$5,0,IF(CM45&lt;0,IF(OR($J45=1,$J45=2,$J45=3,$J45=4),-$E45*$I45/12*3,IF($J45=5,-$E45*$I45/12*2,IF($J45=6,-$E45*$I45/12*1,0)))))+IF(CH$5&lt;&gt;$H45,0,IF(CH45&lt;0,IF($J45=4,-$E45*$I45/12*0,IF($J45=5,-$E45*$I45/12*1,IF($J45=6,-$E45*$I45/12*2,IF($J45&gt;=7,-$E45*$I45/12*3,0))))))</f>
        <v>0</v>
      </c>
      <c r="CK45" s="1807">
        <f t="shared" ref="CK45" si="529">IF($H45&lt;&gt;CM$5,0,IF(CM45&lt;0,IF(OR($J45=1,$J45=2,$J45=3,$J45=4,$J45=5,$J45=6,$J45=7),-$E45*$I45/12*3,IF($J45=8,-$E45*$I45/12*2,IF($J45=9,-$E45*$I45/12*1,0)))))+IF(CH$5&lt;&gt;$H45,0,IF(CH45&lt;0,IF($J45=7,-$E45*$I45/12*0,IF($J45=8,-$E45*$I45/12*1,IF($J45=9,-$E45*$I45/12*2,IF($J45&gt;=10,-$E45*$I45/12*3,0))))))</f>
        <v>0</v>
      </c>
      <c r="CL45" s="1806">
        <f t="shared" ref="CL45" si="530">IF($H45&lt;&gt;CM$5,0,IF(CM45&lt;0,IF(OR($J45=1,$J45=2,$J45=3,$J45=4,$J45=5,$J45=6,$J45=7,$J45=8,$J45=9,$J45=10),-$E45*$I45/12*3,IF($J45=11,-$E45*$I45/12*2,IF($J45=12,-$E45*$I45/12*1,0)))))+IF(CH$5&lt;&gt;$H45,0,IF(CH45&lt;0,IF($J45=10,-$E45*$I45/12*0,IF($J45=11,-$E45*$I45/12*1,IF($J45=12,-$E45*$I45/12*2,0)))))</f>
        <v>0</v>
      </c>
      <c r="CM45" s="1791">
        <f t="shared" ref="CM45" si="531">IF(AND(CH45&lt;&gt;0,CH$5=$H45),-$I45*$E45-CH45,IF(CM$5=$H45,-$I45*$E45*(12-$J45+1)/12,0))</f>
        <v>0</v>
      </c>
      <c r="CN45" s="1808">
        <f t="shared" ref="CN45" si="532">IF($H45&lt;&gt;CR$5,0,IF(CR45&lt;0,IF($J45=1,-$E45*$I45/12*3,IF($J45=2,-$E45*$I45/12*2,IF($J45=3,-$E45*$I45/12*1,0)))))+IF(CM$5&lt;&gt;$H45,0,IF(CM45&lt;0,IF($J45=1,-$E45*$I45/12*0,IF($J45=2,-$E45*$I45/12*1,IF($J45=3,-$E45*$I45/12*2,IF($J45&gt;=4,-$E45*$I45/12*3,0))))))</f>
        <v>0</v>
      </c>
      <c r="CO45" s="1807">
        <f t="shared" ref="CO45" si="533">IF($H45&lt;&gt;CR$5,0,IF(CR45&lt;0,IF(OR($J45=1,$J45=2,$J45=3,$J45=4),-$E45*$I45/12*3,IF($J45=5,-$E45*$I45/12*2,IF($J45=6,-$E45*$I45/12*1,0)))))+IF(CM$5&lt;&gt;$H45,0,IF(CM45&lt;0,IF($J45=4,-$E45*$I45/12*0,IF($J45=5,-$E45*$I45/12*1,IF($J45=6,-$E45*$I45/12*2,IF($J45&gt;=7,-$E45*$I45/12*3,0))))))</f>
        <v>0</v>
      </c>
      <c r="CP45" s="1807">
        <f t="shared" ref="CP45" si="534">IF($H45&lt;&gt;CR$5,0,IF(CR45&lt;0,IF(OR($J45=1,$J45=2,$J45=3,$J45=4,$J45=5,$J45=6,$J45=7),-$E45*$I45/12*3,IF($J45=8,-$E45*$I45/12*2,IF($J45=9,-$E45*$I45/12*1,0)))))+IF(CM$5&lt;&gt;$H45,0,IF(CM45&lt;0,IF($J45=7,-$E45*$I45/12*0,IF($J45=8,-$E45*$I45/12*1,IF($J45=9,-$E45*$I45/12*2,IF($J45&gt;=10,-$E45*$I45/12*3,0))))))</f>
        <v>0</v>
      </c>
      <c r="CQ45" s="1806">
        <f t="shared" ref="CQ45" si="535">IF($H45&lt;&gt;CR$5,0,IF(CR45&lt;0,IF(OR($J45=1,$J45=2,$J45=3,$J45=4,$J45=5,$J45=6,$J45=7,$J45=8,$J45=9,$J45=10),-$E45*$I45/12*3,IF($J45=11,-$E45*$I45/12*2,IF($J45=12,-$E45*$I45/12*1,0)))))+IF(CM$5&lt;&gt;$H45,0,IF(CM45&lt;0,IF($J45=10,-$E45*$I45/12*0,IF($J45=11,-$E45*$I45/12*1,IF($J45=12,-$E45*$I45/12*2,0)))))</f>
        <v>0</v>
      </c>
      <c r="CR45" s="1791">
        <f t="shared" ref="CR45" si="536">IF(AND(CM45&lt;&gt;0,CM$5=$H45),-$I45*$E45-CM45,IF(CR$5=$H45,-$I45*$E45*(12-$J45+1)/12,0))</f>
        <v>0</v>
      </c>
      <c r="CS45" s="1808">
        <f t="shared" ref="CS45" si="537">IF($H45&lt;&gt;CW$5,0,IF(CW45&lt;0,IF($J45=1,-$E45*$I45/12*3,IF($J45=2,-$E45*$I45/12*2,IF($J45=3,-$E45*$I45/12*1,0)))))+IF(CR$5&lt;&gt;$H45,0,IF(CR45&lt;0,IF($J45=1,-$E45*$I45/12*0,IF($J45=2,-$E45*$I45/12*1,IF($J45=3,-$E45*$I45/12*2,IF($J45&gt;=4,-$E45*$I45/12*3,0))))))</f>
        <v>0</v>
      </c>
      <c r="CT45" s="1807">
        <f t="shared" ref="CT45" si="538">IF($H45&lt;&gt;CW$5,0,IF(CW45&lt;0,IF(OR($J45=1,$J45=2,$J45=3,$J45=4),-$E45*$I45/12*3,IF($J45=5,-$E45*$I45/12*2,IF($J45=6,-$E45*$I45/12*1,0)))))+IF(CR$5&lt;&gt;$H45,0,IF(CR45&lt;0,IF($J45=4,-$E45*$I45/12*0,IF($J45=5,-$E45*$I45/12*1,IF($J45=6,-$E45*$I45/12*2,IF($J45&gt;=7,-$E45*$I45/12*3,0))))))</f>
        <v>0</v>
      </c>
      <c r="CU45" s="1807">
        <f t="shared" ref="CU45" si="539">IF($H45&lt;&gt;CW$5,0,IF(CW45&lt;0,IF(OR($J45=1,$J45=2,$J45=3,$J45=4,$J45=5,$J45=6,$J45=7),-$E45*$I45/12*3,IF($J45=8,-$E45*$I45/12*2,IF($J45=9,-$E45*$I45/12*1,0)))))+IF(CR$5&lt;&gt;$H45,0,IF(CR45&lt;0,IF($J45=7,-$E45*$I45/12*0,IF($J45=8,-$E45*$I45/12*1,IF($J45=9,-$E45*$I45/12*2,IF($J45&gt;=10,-$E45*$I45/12*3,0))))))</f>
        <v>0</v>
      </c>
      <c r="CV45" s="1806">
        <f t="shared" ref="CV45" si="540">IF($H45&lt;&gt;CW$5,0,IF(CW45&lt;0,IF(OR($J45=1,$J45=2,$J45=3,$J45=4,$J45=5,$J45=6,$J45=7,$J45=8,$J45=9,$J45=10),-$E45*$I45/12*3,IF($J45=11,-$E45*$I45/12*2,IF($J45=12,-$E45*$I45/12*1,0)))))+IF(CR$5&lt;&gt;$H45,0,IF(CR45&lt;0,IF($J45=10,-$E45*$I45/12*0,IF($J45=11,-$E45*$I45/12*1,IF($J45=12,-$E45*$I45/12*2,0)))))</f>
        <v>0</v>
      </c>
      <c r="CW45" s="1791">
        <f t="shared" ref="CW45" si="541">IF(AND(CR45&lt;&gt;0,CR$5=$H45),-$I45*$E45-CR45,IF(CW$5=$H45,-$I45*$E45*(12-$J45+1)/12,0))</f>
        <v>0</v>
      </c>
      <c r="CX45" s="1808">
        <f t="shared" ref="CX45" si="542">IF($H45&lt;&gt;DB$5,0,IF(DB45&lt;0,IF($J45=1,-$E45*$I45/12*3,IF($J45=2,-$E45*$I45/12*2,IF($J45=3,-$E45*$I45/12*1,0)))))+IF(CW$5&lt;&gt;$H45,0,IF(CW45&lt;0,IF($J45=1,-$E45*$I45/12*0,IF($J45=2,-$E45*$I45/12*1,IF($J45=3,-$E45*$I45/12*2,IF($J45&gt;=4,-$E45*$I45/12*3,0))))))</f>
        <v>0</v>
      </c>
      <c r="CY45" s="1807">
        <f t="shared" ref="CY45" si="543">IF($H45&lt;&gt;DB$5,0,IF(DB45&lt;0,IF(OR($J45=1,$J45=2,$J45=3,$J45=4),-$E45*$I45/12*3,IF($J45=5,-$E45*$I45/12*2,IF($J45=6,-$E45*$I45/12*1,0)))))+IF(CW$5&lt;&gt;$H45,0,IF(CW45&lt;0,IF($J45=4,-$E45*$I45/12*0,IF($J45=5,-$E45*$I45/12*1,IF($J45=6,-$E45*$I45/12*2,IF($J45&gt;=7,-$E45*$I45/12*3,0))))))</f>
        <v>0</v>
      </c>
      <c r="CZ45" s="1807">
        <f t="shared" ref="CZ45" si="544">IF($H45&lt;&gt;DB$5,0,IF(DB45&lt;0,IF(OR($J45=1,$J45=2,$J45=3,$J45=4,$J45=5,$J45=6,$J45=7),-$E45*$I45/12*3,IF($J45=8,-$E45*$I45/12*2,IF($J45=9,-$E45*$I45/12*1,0)))))+IF(CW$5&lt;&gt;$H45,0,IF(CW45&lt;0,IF($J45=7,-$E45*$I45/12*0,IF($J45=8,-$E45*$I45/12*1,IF($J45=9,-$E45*$I45/12*2,IF($J45&gt;=10,-$E45*$I45/12*3,0))))))</f>
        <v>0</v>
      </c>
      <c r="DA45" s="1806">
        <f t="shared" ref="DA45" si="545">IF($H45&lt;&gt;DB$5,0,IF(DB45&lt;0,IF(OR($J45=1,$J45=2,$J45=3,$J45=4,$J45=5,$J45=6,$J45=7,$J45=8,$J45=9,$J45=10),-$E45*$I45/12*3,IF($J45=11,-$E45*$I45/12*2,IF($J45=12,-$E45*$I45/12*1,0)))))+IF(CW$5&lt;&gt;$H45,0,IF(CW45&lt;0,IF($J45=10,-$E45*$I45/12*0,IF($J45=11,-$E45*$I45/12*1,IF($J45=12,-$E45*$I45/12*2,0)))))</f>
        <v>0</v>
      </c>
      <c r="DB45" s="1791">
        <f t="shared" ref="DB45" si="546">IF(AND(CW45&lt;&gt;0,CW$5=$H45),-$I45*$E45-CW45,IF(DB$5=$H45,-$I45*$E45*(12-$J45+1)/12,0))</f>
        <v>0</v>
      </c>
      <c r="DC45" s="1808">
        <f t="shared" ref="DC45" si="547">IF($H45&lt;&gt;DG$5,0,IF(DG45&lt;0,IF($J45=1,-$E45*$I45/12*3,IF($J45=2,-$E45*$I45/12*2,IF($J45=3,-$E45*$I45/12*1,0)))))+IF(DB$5&lt;&gt;$H45,0,IF(DB45&lt;0,IF($J45=1,-$E45*$I45/12*0,IF($J45=2,-$E45*$I45/12*1,IF($J45=3,-$E45*$I45/12*2,IF($J45&gt;=4,-$E45*$I45/12*3,0))))))</f>
        <v>0</v>
      </c>
      <c r="DD45" s="1807">
        <f t="shared" ref="DD45" si="548">IF($H45&lt;&gt;DG$5,0,IF(DG45&lt;0,IF(OR($J45=1,$J45=2,$J45=3,$J45=4),-$E45*$I45/12*3,IF($J45=5,-$E45*$I45/12*2,IF($J45=6,-$E45*$I45/12*1,0)))))+IF(DB$5&lt;&gt;$H45,0,IF(DB45&lt;0,IF($J45=4,-$E45*$I45/12*0,IF($J45=5,-$E45*$I45/12*1,IF($J45=6,-$E45*$I45/12*2,IF($J45&gt;=7,-$E45*$I45/12*3,0))))))</f>
        <v>0</v>
      </c>
      <c r="DE45" s="1807">
        <f t="shared" ref="DE45" si="549">IF($H45&lt;&gt;DG$5,0,IF(DG45&lt;0,IF(OR($J45=1,$J45=2,$J45=3,$J45=4,$J45=5,$J45=6,$J45=7),-$E45*$I45/12*3,IF($J45=8,-$E45*$I45/12*2,IF($J45=9,-$E45*$I45/12*1,0)))))+IF(DB$5&lt;&gt;$H45,0,IF(DB45&lt;0,IF($J45=7,-$E45*$I45/12*0,IF($J45=8,-$E45*$I45/12*1,IF($J45=9,-$E45*$I45/12*2,IF($J45&gt;=10,-$E45*$I45/12*3,0))))))</f>
        <v>0</v>
      </c>
      <c r="DF45" s="1806">
        <f t="shared" ref="DF45" si="550">IF($H45&lt;&gt;DG$5,0,IF(DG45&lt;0,IF(OR($J45=1,$J45=2,$J45=3,$J45=4,$J45=5,$J45=6,$J45=7,$J45=8,$J45=9,$J45=10),-$E45*$I45/12*3,IF($J45=11,-$E45*$I45/12*2,IF($J45=12,-$E45*$I45/12*1,0)))))+IF(DB$5&lt;&gt;$H45,0,IF(DB45&lt;0,IF($J45=10,-$E45*$I45/12*0,IF($J45=11,-$E45*$I45/12*1,IF($J45=12,-$E45*$I45/12*2,0)))))</f>
        <v>0</v>
      </c>
      <c r="DG45" s="1791">
        <f t="shared" ref="DG45" si="551">IF(AND(DB45&lt;&gt;0,DB$5=$H45),-$I45*$E45-DB45,IF(DG$5=$H45,-$I45*$E45*(12-$J45+1)/12,0))</f>
        <v>0</v>
      </c>
      <c r="DH45" s="1808">
        <f t="shared" ref="DH45" si="552">IF($H45&lt;&gt;DL$5,0,IF(DL45&lt;0,IF($J45=1,-$E45*$I45/12*3,IF($J45=2,-$E45*$I45/12*2,IF($J45=3,-$E45*$I45/12*1,0)))))+IF(DG$5&lt;&gt;$H45,0,IF(DG45&lt;0,IF($J45=1,-$E45*$I45/12*0,IF($J45=2,-$E45*$I45/12*1,IF($J45=3,-$E45*$I45/12*2,IF($J45&gt;=4,-$E45*$I45/12*3,0))))))</f>
        <v>0</v>
      </c>
      <c r="DI45" s="1807">
        <f t="shared" ref="DI45" si="553">IF($H45&lt;&gt;DL$5,0,IF(DL45&lt;0,IF(OR($J45=1,$J45=2,$J45=3,$J45=4),-$E45*$I45/12*3,IF($J45=5,-$E45*$I45/12*2,IF($J45=6,-$E45*$I45/12*1,0)))))+IF(DG$5&lt;&gt;$H45,0,IF(DG45&lt;0,IF($J45=4,-$E45*$I45/12*0,IF($J45=5,-$E45*$I45/12*1,IF($J45=6,-$E45*$I45/12*2,IF($J45&gt;=7,-$E45*$I45/12*3,0))))))</f>
        <v>0</v>
      </c>
      <c r="DJ45" s="1807">
        <f t="shared" ref="DJ45" si="554">IF($H45&lt;&gt;DL$5,0,IF(DL45&lt;0,IF(OR($J45=1,$J45=2,$J45=3,$J45=4,$J45=5,$J45=6,$J45=7),-$E45*$I45/12*3,IF($J45=8,-$E45*$I45/12*2,IF($J45=9,-$E45*$I45/12*1,0)))))+IF(DG$5&lt;&gt;$H45,0,IF(DG45&lt;0,IF($J45=7,-$E45*$I45/12*0,IF($J45=8,-$E45*$I45/12*1,IF($J45=9,-$E45*$I45/12*2,IF($J45&gt;=10,-$E45*$I45/12*3,0))))))</f>
        <v>0</v>
      </c>
      <c r="DK45" s="1806">
        <f t="shared" ref="DK45" si="555">IF($H45&lt;&gt;DL$5,0,IF(DL45&lt;0,IF(OR($J45=1,$J45=2,$J45=3,$J45=4,$J45=5,$J45=6,$J45=7,$J45=8,$J45=9,$J45=10),-$E45*$I45/12*3,IF($J45=11,-$E45*$I45/12*2,IF($J45=12,-$E45*$I45/12*1,0)))))+IF(DG$5&lt;&gt;$H45,0,IF(DG45&lt;0,IF($J45=10,-$E45*$I45/12*0,IF($J45=11,-$E45*$I45/12*1,IF($J45=12,-$E45*$I45/12*2,0)))))</f>
        <v>0</v>
      </c>
      <c r="DL45" s="1791">
        <f t="shared" ref="DL45" si="556">IF(AND(DG45&lt;&gt;0,DG$5=$H45),-$I45*$E45-DG45,IF(DL$5=$H45,-$I45*$E45*(12-$J45+1)/12,0))</f>
        <v>0</v>
      </c>
      <c r="DM45" s="1808">
        <f t="shared" ref="DM45" si="557">IF($H45&lt;&gt;DQ$5,0,IF(DQ45&lt;0,IF($J45=1,-$E45*$I45/12*3,IF($J45=2,-$E45*$I45/12*2,IF($J45=3,-$E45*$I45/12*1,0)))))+IF(DL$5&lt;&gt;$H45,0,IF(DL45&lt;0,IF($J45=1,-$E45*$I45/12*0,IF($J45=2,-$E45*$I45/12*1,IF($J45=3,-$E45*$I45/12*2,IF($J45&gt;=4,-$E45*$I45/12*3,0))))))</f>
        <v>0</v>
      </c>
      <c r="DN45" s="1807">
        <f t="shared" ref="DN45" si="558">IF($H45&lt;&gt;DQ$5,0,IF(DQ45&lt;0,IF(OR($J45=1,$J45=2,$J45=3,$J45=4),-$E45*$I45/12*3,IF($J45=5,-$E45*$I45/12*2,IF($J45=6,-$E45*$I45/12*1,0)))))+IF(DL$5&lt;&gt;$H45,0,IF(DL45&lt;0,IF($J45=4,-$E45*$I45/12*0,IF($J45=5,-$E45*$I45/12*1,IF($J45=6,-$E45*$I45/12*2,IF($J45&gt;=7,-$E45*$I45/12*3,0))))))</f>
        <v>0</v>
      </c>
      <c r="DO45" s="1807">
        <f t="shared" ref="DO45" si="559">IF($H45&lt;&gt;DQ$5,0,IF(DQ45&lt;0,IF(OR($J45=1,$J45=2,$J45=3,$J45=4,$J45=5,$J45=6,$J45=7),-$E45*$I45/12*3,IF($J45=8,-$E45*$I45/12*2,IF($J45=9,-$E45*$I45/12*1,0)))))+IF(DL$5&lt;&gt;$H45,0,IF(DL45&lt;0,IF($J45=7,-$E45*$I45/12*0,IF($J45=8,-$E45*$I45/12*1,IF($J45=9,-$E45*$I45/12*2,IF($J45&gt;=10,-$E45*$I45/12*3,0))))))</f>
        <v>0</v>
      </c>
      <c r="DP45" s="1806">
        <f t="shared" ref="DP45" si="560">IF($H45&lt;&gt;DQ$5,0,IF(DQ45&lt;0,IF(OR($J45=1,$J45=2,$J45=3,$J45=4,$J45=5,$J45=6,$J45=7,$J45=8,$J45=9,$J45=10),-$E45*$I45/12*3,IF($J45=11,-$E45*$I45/12*2,IF($J45=12,-$E45*$I45/12*1,0)))))+IF(DL$5&lt;&gt;$H45,0,IF(DL45&lt;0,IF($J45=10,-$E45*$I45/12*0,IF($J45=11,-$E45*$I45/12*1,IF($J45=12,-$E45*$I45/12*2,0)))))</f>
        <v>0</v>
      </c>
      <c r="DQ45" s="1791">
        <f t="shared" ref="DQ45" si="561">IF(AND(DL45&lt;&gt;0,DL$5=$H45),-$I45*$E45-DL45,IF(DQ$5=$H45,-$I45*$E45*(12-$J45+1)/12,0))</f>
        <v>0</v>
      </c>
      <c r="DR45" s="1808">
        <f t="shared" ref="DR45" si="562">IF($H45&lt;&gt;DV$5,0,IF(DV45&lt;0,IF($J45=1,-$E45*$I45/12*3,IF($J45=2,-$E45*$I45/12*2,IF($J45=3,-$E45*$I45/12*1,0)))))+IF(DQ$5&lt;&gt;$H45,0,IF(DQ45&lt;0,IF($J45=1,-$E45*$I45/12*0,IF($J45=2,-$E45*$I45/12*1,IF($J45=3,-$E45*$I45/12*2,IF($J45&gt;=4,-$E45*$I45/12*3,0))))))</f>
        <v>0</v>
      </c>
      <c r="DS45" s="1807">
        <f t="shared" ref="DS45" si="563">IF($H45&lt;&gt;DV$5,0,IF(DV45&lt;0,IF(OR($J45=1,$J45=2,$J45=3,$J45=4),-$E45*$I45/12*3,IF($J45=5,-$E45*$I45/12*2,IF($J45=6,-$E45*$I45/12*1,0)))))+IF(DQ$5&lt;&gt;$H45,0,IF(DQ45&lt;0,IF($J45=4,-$E45*$I45/12*0,IF($J45=5,-$E45*$I45/12*1,IF($J45=6,-$E45*$I45/12*2,IF($J45&gt;=7,-$E45*$I45/12*3,0))))))</f>
        <v>0</v>
      </c>
      <c r="DT45" s="1807">
        <f t="shared" ref="DT45" si="564">IF($H45&lt;&gt;DV$5,0,IF(DV45&lt;0,IF(OR($J45=1,$J45=2,$J45=3,$J45=4,$J45=5,$J45=6,$J45=7),-$E45*$I45/12*3,IF($J45=8,-$E45*$I45/12*2,IF($J45=9,-$E45*$I45/12*1,0)))))+IF(DQ$5&lt;&gt;$H45,0,IF(DQ45&lt;0,IF($J45=7,-$E45*$I45/12*0,IF($J45=8,-$E45*$I45/12*1,IF($J45=9,-$E45*$I45/12*2,IF($J45&gt;=10,-$E45*$I45/12*3,0))))))</f>
        <v>0</v>
      </c>
      <c r="DU45" s="1806">
        <f t="shared" ref="DU45" si="565">IF($H45&lt;&gt;DV$5,0,IF(DV45&lt;0,IF(OR($J45=1,$J45=2,$J45=3,$J45=4,$J45=5,$J45=6,$J45=7,$J45=8,$J45=9,$J45=10),-$E45*$I45/12*3,IF($J45=11,-$E45*$I45/12*2,IF($J45=12,-$E45*$I45/12*1,0)))))+IF(DQ$5&lt;&gt;$H45,0,IF(DQ45&lt;0,IF($J45=10,-$E45*$I45/12*0,IF($J45=11,-$E45*$I45/12*1,IF($J45=12,-$E45*$I45/12*2,0)))))</f>
        <v>0</v>
      </c>
      <c r="DV45" s="1791">
        <f t="shared" ref="DV45" si="566">IF(AND(DQ45&lt;&gt;0,DQ$5=$H45),-$I45*$E45-DQ45,IF(DV$5=$H45,-$I45*$E45*(12-$J45+1)/12,0))</f>
        <v>0</v>
      </c>
    </row>
    <row r="46" spans="1:126">
      <c r="A46" s="455"/>
      <c r="B46" s="455"/>
      <c r="C46" s="1363"/>
      <c r="D46" s="94"/>
      <c r="E46" s="1817"/>
      <c r="F46" s="1435"/>
      <c r="G46" s="1435"/>
      <c r="H46" s="1350"/>
      <c r="I46" s="1335"/>
      <c r="J46" s="1343"/>
      <c r="K46" s="1792"/>
      <c r="L46" s="1810"/>
      <c r="M46" s="1791"/>
      <c r="N46" s="1808"/>
      <c r="O46" s="1807"/>
      <c r="P46" s="1807"/>
      <c r="Q46" s="1806"/>
      <c r="R46" s="1791"/>
      <c r="S46" s="1808"/>
      <c r="T46" s="1807"/>
      <c r="U46" s="1807"/>
      <c r="V46" s="1806"/>
      <c r="W46" s="1791"/>
      <c r="X46" s="1808"/>
      <c r="Y46" s="1807"/>
      <c r="Z46" s="1807"/>
      <c r="AA46" s="1806"/>
      <c r="AB46" s="1791"/>
      <c r="AC46" s="1808"/>
      <c r="AD46" s="1807"/>
      <c r="AE46" s="1807"/>
      <c r="AF46" s="1806"/>
      <c r="AG46" s="1791"/>
      <c r="AH46" s="1808"/>
      <c r="AI46" s="1807"/>
      <c r="AJ46" s="1807"/>
      <c r="AK46" s="1806"/>
      <c r="AL46" s="1791"/>
      <c r="AM46" s="1808"/>
      <c r="AN46" s="1807"/>
      <c r="AO46" s="1807"/>
      <c r="AP46" s="1806"/>
      <c r="AQ46" s="1791"/>
      <c r="AR46" s="1808"/>
      <c r="AS46" s="1807"/>
      <c r="AT46" s="1807"/>
      <c r="AU46" s="1806"/>
      <c r="AV46" s="1791"/>
      <c r="AW46" s="1808"/>
      <c r="AX46" s="1807"/>
      <c r="AY46" s="1807"/>
      <c r="AZ46" s="1806"/>
      <c r="BA46" s="1791"/>
      <c r="BB46" s="1808"/>
      <c r="BC46" s="1807"/>
      <c r="BD46" s="1807"/>
      <c r="BE46" s="1806"/>
      <c r="BF46" s="1791"/>
      <c r="BG46" s="1808"/>
      <c r="BH46" s="1807"/>
      <c r="BI46" s="1807"/>
      <c r="BJ46" s="1806"/>
      <c r="BK46" s="1791"/>
      <c r="BL46" s="1808"/>
      <c r="BM46" s="1807"/>
      <c r="BN46" s="1807"/>
      <c r="BO46" s="1806"/>
      <c r="BP46" s="1791"/>
      <c r="BQ46" s="1827"/>
      <c r="BR46" s="1991"/>
      <c r="BS46" s="1991"/>
      <c r="BT46" s="1992"/>
      <c r="BU46" s="1992"/>
      <c r="BV46" s="1992"/>
      <c r="BW46" s="1992"/>
      <c r="BX46" s="1810"/>
      <c r="BY46" s="1807"/>
      <c r="BZ46" s="1807"/>
      <c r="CA46" s="1807"/>
      <c r="CB46" s="1806"/>
      <c r="CC46" s="1791"/>
      <c r="CD46" s="1808"/>
      <c r="CE46" s="1807"/>
      <c r="CF46" s="1807"/>
      <c r="CG46" s="1806"/>
      <c r="CH46" s="1791"/>
      <c r="CI46" s="1808"/>
      <c r="CJ46" s="1807"/>
      <c r="CK46" s="1807"/>
      <c r="CL46" s="1806"/>
      <c r="CM46" s="1791"/>
      <c r="CN46" s="1808"/>
      <c r="CO46" s="1807"/>
      <c r="CP46" s="1807"/>
      <c r="CQ46" s="1806"/>
      <c r="CR46" s="1791"/>
      <c r="CS46" s="1808"/>
      <c r="CT46" s="1807"/>
      <c r="CU46" s="1807"/>
      <c r="CV46" s="1806"/>
      <c r="CW46" s="1791"/>
      <c r="CX46" s="1808"/>
      <c r="CY46" s="1807"/>
      <c r="CZ46" s="1807"/>
      <c r="DA46" s="1806"/>
      <c r="DB46" s="1791"/>
      <c r="DC46" s="1808"/>
      <c r="DD46" s="1807"/>
      <c r="DE46" s="1807"/>
      <c r="DF46" s="1806"/>
      <c r="DG46" s="1791"/>
      <c r="DH46" s="1808"/>
      <c r="DI46" s="1807"/>
      <c r="DJ46" s="1807"/>
      <c r="DK46" s="1806"/>
      <c r="DL46" s="1791"/>
      <c r="DM46" s="1808"/>
      <c r="DN46" s="1807"/>
      <c r="DO46" s="1807"/>
      <c r="DP46" s="1806"/>
      <c r="DQ46" s="1791"/>
      <c r="DR46" s="1808"/>
      <c r="DS46" s="1807"/>
      <c r="DT46" s="1807"/>
      <c r="DU46" s="1806"/>
      <c r="DV46" s="1791"/>
    </row>
    <row r="47" spans="1:126">
      <c r="A47" s="455"/>
      <c r="B47" s="455"/>
      <c r="C47" s="1596" t="s">
        <v>746</v>
      </c>
      <c r="D47" s="94"/>
      <c r="E47" s="1817"/>
      <c r="F47" s="455"/>
      <c r="G47" s="455"/>
      <c r="H47" s="1597"/>
      <c r="I47" s="1598"/>
      <c r="J47" s="1599"/>
      <c r="K47" s="1792"/>
      <c r="L47" s="1810"/>
      <c r="M47" s="1791"/>
      <c r="N47" s="1808"/>
      <c r="O47" s="1807"/>
      <c r="P47" s="1807"/>
      <c r="Q47" s="1806"/>
      <c r="R47" s="1791"/>
      <c r="S47" s="1808"/>
      <c r="T47" s="1807"/>
      <c r="U47" s="1807"/>
      <c r="V47" s="1806"/>
      <c r="W47" s="1791"/>
      <c r="X47" s="1808"/>
      <c r="Y47" s="1807"/>
      <c r="Z47" s="1807"/>
      <c r="AA47" s="1806"/>
      <c r="AB47" s="1791"/>
      <c r="AC47" s="1808"/>
      <c r="AD47" s="1807"/>
      <c r="AE47" s="1807"/>
      <c r="AF47" s="1806"/>
      <c r="AG47" s="1791"/>
      <c r="AH47" s="1808"/>
      <c r="AI47" s="1807"/>
      <c r="AJ47" s="1807"/>
      <c r="AK47" s="1806"/>
      <c r="AL47" s="1791"/>
      <c r="AM47" s="1808"/>
      <c r="AN47" s="1807"/>
      <c r="AO47" s="1807"/>
      <c r="AP47" s="1806"/>
      <c r="AQ47" s="1791"/>
      <c r="AR47" s="1808"/>
      <c r="AS47" s="1807"/>
      <c r="AT47" s="1807"/>
      <c r="AU47" s="1806"/>
      <c r="AV47" s="1791"/>
      <c r="AW47" s="1808"/>
      <c r="AX47" s="1807"/>
      <c r="AY47" s="1807"/>
      <c r="AZ47" s="1806"/>
      <c r="BA47" s="1791"/>
      <c r="BB47" s="1808"/>
      <c r="BC47" s="1807"/>
      <c r="BD47" s="1807"/>
      <c r="BE47" s="1806"/>
      <c r="BF47" s="1791"/>
      <c r="BG47" s="1808"/>
      <c r="BH47" s="1807"/>
      <c r="BI47" s="1807"/>
      <c r="BJ47" s="1806"/>
      <c r="BK47" s="1791"/>
      <c r="BL47" s="1808"/>
      <c r="BM47" s="1807"/>
      <c r="BN47" s="1807"/>
      <c r="BO47" s="1806"/>
      <c r="BP47" s="1791"/>
      <c r="BQ47" s="1827"/>
      <c r="BR47" s="1991"/>
      <c r="BS47" s="1991"/>
      <c r="BT47" s="1992"/>
      <c r="BU47" s="1992"/>
      <c r="BV47" s="1992"/>
      <c r="BW47" s="1992"/>
      <c r="BX47" s="1810"/>
      <c r="BY47" s="1807"/>
      <c r="BZ47" s="1807"/>
      <c r="CA47" s="1807"/>
      <c r="CB47" s="1806"/>
      <c r="CC47" s="1791"/>
      <c r="CD47" s="1808"/>
      <c r="CE47" s="1807"/>
      <c r="CF47" s="1807"/>
      <c r="CG47" s="1806"/>
      <c r="CH47" s="1791"/>
      <c r="CI47" s="1808"/>
      <c r="CJ47" s="1807"/>
      <c r="CK47" s="1807"/>
      <c r="CL47" s="1806"/>
      <c r="CM47" s="1791"/>
      <c r="CN47" s="1808"/>
      <c r="CO47" s="1807"/>
      <c r="CP47" s="1807"/>
      <c r="CQ47" s="1806"/>
      <c r="CR47" s="1791"/>
      <c r="CS47" s="1808"/>
      <c r="CT47" s="1807"/>
      <c r="CU47" s="1807"/>
      <c r="CV47" s="1806"/>
      <c r="CW47" s="1791"/>
      <c r="CX47" s="1808"/>
      <c r="CY47" s="1807"/>
      <c r="CZ47" s="1807"/>
      <c r="DA47" s="1806"/>
      <c r="DB47" s="1791"/>
      <c r="DC47" s="1808"/>
      <c r="DD47" s="1807"/>
      <c r="DE47" s="1807"/>
      <c r="DF47" s="1806"/>
      <c r="DG47" s="1791"/>
      <c r="DH47" s="1808"/>
      <c r="DI47" s="1807"/>
      <c r="DJ47" s="1807"/>
      <c r="DK47" s="1806"/>
      <c r="DL47" s="1791"/>
      <c r="DM47" s="1808"/>
      <c r="DN47" s="1807"/>
      <c r="DO47" s="1807"/>
      <c r="DP47" s="1806"/>
      <c r="DQ47" s="1791"/>
      <c r="DR47" s="1808"/>
      <c r="DS47" s="1807"/>
      <c r="DT47" s="1807"/>
      <c r="DU47" s="1806"/>
      <c r="DV47" s="1791"/>
    </row>
    <row r="48" spans="1:126">
      <c r="A48" s="455"/>
      <c r="B48" s="455"/>
      <c r="C48" s="1363" t="s">
        <v>741</v>
      </c>
      <c r="D48" s="94"/>
      <c r="E48" s="1817">
        <f>IF(F48=0,G48,F48)</f>
        <v>54.7</v>
      </c>
      <c r="F48" s="1435">
        <v>0</v>
      </c>
      <c r="G48" s="1435">
        <v>54.7</v>
      </c>
      <c r="H48" s="1350">
        <v>2017</v>
      </c>
      <c r="I48" s="1335">
        <v>1.55E-2</v>
      </c>
      <c r="J48" s="1600">
        <v>6</v>
      </c>
      <c r="K48" s="1792"/>
      <c r="L48" s="1810">
        <f>IF(L$5=$H48,-$E48,0)</f>
        <v>0</v>
      </c>
      <c r="M48" s="1791">
        <f>IF(M$5=$H48,-$E48,0)</f>
        <v>0</v>
      </c>
      <c r="N48" s="1808">
        <f>IF(R48=0,0,IF(R48&lt;0,IF($J48=3,R48,IF($J48=2,R48,IF($J48=1,R48,0)))))</f>
        <v>0</v>
      </c>
      <c r="O48" s="1807">
        <f>IF(R48=0,0,IF(R48&lt;0,IF($J48=6,R48,IF($J48=5,R48,IF($J48=4,R48,0)))))</f>
        <v>0</v>
      </c>
      <c r="P48" s="1807">
        <f>IF(R48=0,0,IF(R48&lt;0,IF($J48=9,R48,IF($J48=8,R48,IF($J48=7,R48,0)))))</f>
        <v>0</v>
      </c>
      <c r="Q48" s="1806">
        <f>IF(R48=0,0,IF(R48&lt;0,IF($J48=12,R48,IF($J48=11,R48,IF($J48=10,R48,0)))))</f>
        <v>0</v>
      </c>
      <c r="R48" s="1791">
        <f>IF(R$5=$H48,-$E48,0)</f>
        <v>0</v>
      </c>
      <c r="S48" s="1808">
        <f>IF(W48=0,0,IF(W48&lt;0,IF($J48=3,W48,IF($J48=2,W48,IF($J48=1,W48,0)))))</f>
        <v>0</v>
      </c>
      <c r="T48" s="1807">
        <f>IF(W48=0,0,IF(W48&lt;0,IF($J48=6,W48,IF($J48=5,W48,IF($J48=4,W48,0)))))</f>
        <v>0</v>
      </c>
      <c r="U48" s="1807">
        <f>IF(W48=0,0,IF(W48&lt;0,IF($J48=9,W48,IF($J48=8,W48,IF($J48=7,W48,0)))))</f>
        <v>0</v>
      </c>
      <c r="V48" s="1806">
        <f>IF(W48=0,0,IF(W48&lt;0,IF($J48=12,W48,IF($J48=11,W48,IF($J48=10,W48,0)))))</f>
        <v>0</v>
      </c>
      <c r="W48" s="1791">
        <f>IF(W$5=$H48,-$E48,0)</f>
        <v>0</v>
      </c>
      <c r="X48" s="1808">
        <f>IF(AB48=0,0,IF(AB48&lt;0,IF($J48=3,AB48,IF($J48=2,AB48,IF($J48=1,AB48,0)))))</f>
        <v>0</v>
      </c>
      <c r="Y48" s="1807">
        <f>IF(AB48=0,0,IF(AB48&lt;0,IF($J48=6,AB48,IF($J48=5,AB48,IF($J48=4,AB48,0)))))</f>
        <v>0</v>
      </c>
      <c r="Z48" s="1807">
        <f>IF(AB48=0,0,IF(AB48&lt;0,IF($J48=9,AB48,IF($J48=8,AB48,IF($J48=7,AB48,0)))))</f>
        <v>0</v>
      </c>
      <c r="AA48" s="1806">
        <f>IF(AB48=0,0,IF(AB48&lt;0,IF($J48=12,AB48,IF($J48=11,AB48,IF($J48=10,AB48,0)))))</f>
        <v>0</v>
      </c>
      <c r="AB48" s="1791">
        <f>IF(AB$5=$H48,-$E48,0)</f>
        <v>0</v>
      </c>
      <c r="AC48" s="1808">
        <f>IF(AG48=0,0,IF(AG48&lt;0,IF($J48=3,AG48,IF($J48=2,AG48,IF($J48=1,AG48,0)))))</f>
        <v>0</v>
      </c>
      <c r="AD48" s="1807">
        <f>IF(AG48=0,0,IF(AG48&lt;0,IF($J48=6,AG48,IF($J48=5,AG48,IF($J48=4,AG48,0)))))</f>
        <v>0</v>
      </c>
      <c r="AE48" s="1807">
        <f>IF(AG48=0,0,IF(AG48&lt;0,IF($J48=9,AG48,IF($J48=8,AG48,IF($J48=7,AG48,0)))))</f>
        <v>0</v>
      </c>
      <c r="AF48" s="1806">
        <f>IF(AG48=0,0,IF(AG48&lt;0,IF($J48=12,AG48,IF($J48=11,AG48,IF($J48=10,AG48,0)))))</f>
        <v>0</v>
      </c>
      <c r="AG48" s="1791">
        <f>IF(AG$5=$H48,-$E48,0)</f>
        <v>0</v>
      </c>
      <c r="AH48" s="1808">
        <f>IF(AL48=0,0,IF(AL48&lt;0,IF($J48=3,AL48,IF($J48=2,AL48,IF($J48=1,AL48,0)))))</f>
        <v>0</v>
      </c>
      <c r="AI48" s="1807">
        <f>IF(AL48=0,0,IF(AL48&lt;0,IF($J48=6,AL48,IF($J48=5,AL48,IF($J48=4,AL48,0)))))</f>
        <v>0</v>
      </c>
      <c r="AJ48" s="1807">
        <f>IF(AL48=0,0,IF(AL48&lt;0,IF($J48=9,AL48,IF($J48=8,AL48,IF($J48=7,AL48,0)))))</f>
        <v>0</v>
      </c>
      <c r="AK48" s="1806">
        <f>IF(AL48=0,0,IF(AL48&lt;0,IF($J48=12,AL48,IF($J48=11,AL48,IF($J48=10,AL48,0)))))</f>
        <v>0</v>
      </c>
      <c r="AL48" s="1791">
        <f>IF(AL$5=$H48,-$E48,0)</f>
        <v>0</v>
      </c>
      <c r="AM48" s="1808">
        <f>IF(AQ48=0,0,IF(AQ48&lt;0,IF($J48=3,AQ48,IF($J48=2,AQ48,IF($J48=1,AQ48,0)))))</f>
        <v>0</v>
      </c>
      <c r="AN48" s="1807">
        <f>IF(AQ48=0,0,IF(AQ48&lt;0,IF($J48=6,AQ48,IF($J48=5,AQ48,IF($J48=4,AQ48,0)))))</f>
        <v>0</v>
      </c>
      <c r="AO48" s="1807">
        <f>IF(AQ48=0,0,IF(AQ48&lt;0,IF($J48=9,AQ48,IF($J48=8,AQ48,IF($J48=7,AQ48,0)))))</f>
        <v>0</v>
      </c>
      <c r="AP48" s="1806">
        <f>IF(AQ48=0,0,IF(AQ48&lt;0,IF($J48=12,AQ48,IF($J48=11,AQ48,IF($J48=10,AQ48,0)))))</f>
        <v>0</v>
      </c>
      <c r="AQ48" s="1791">
        <f>IF(AQ$5=$H48,-$E48,0)</f>
        <v>0</v>
      </c>
      <c r="AR48" s="1808">
        <f>IF(AV48=0,0,IF(AV48&lt;0,IF($J48=3,AV48,IF($J48=2,AV48,IF($J48=1,AV48,0)))))</f>
        <v>0</v>
      </c>
      <c r="AS48" s="1807">
        <f>IF(AV48=0,0,IF(AV48&lt;0,IF($J48=6,AV48,IF($J48=5,AV48,IF($J48=4,AV48,0)))))</f>
        <v>-54.7</v>
      </c>
      <c r="AT48" s="1807">
        <f>IF(AV48=0,0,IF(AV48&lt;0,IF($J48=9,AV48,IF($J48=8,AV48,IF($J48=7,AV48,0)))))</f>
        <v>0</v>
      </c>
      <c r="AU48" s="1806">
        <f>IF(AV48=0,0,IF(AV48&lt;0,IF($J48=12,AV48,IF($J48=11,AV48,IF($J48=10,AV48,0)))))</f>
        <v>0</v>
      </c>
      <c r="AV48" s="1791">
        <f>IF(AV$5=$H48,-$E48,0)</f>
        <v>-54.7</v>
      </c>
      <c r="AW48" s="1808">
        <f>IF(BA48=0,0,IF(BA48&lt;0,IF($J48=3,BA48,IF($J48=2,BA48,IF($J48=1,BA48,0)))))</f>
        <v>0</v>
      </c>
      <c r="AX48" s="1807">
        <f>IF(BA48=0,0,IF(BA48&lt;0,IF($J48=6,BA48,IF($J48=5,BA48,IF($J48=4,BA48,0)))))</f>
        <v>0</v>
      </c>
      <c r="AY48" s="1807">
        <f>IF(BA48=0,0,IF(BA48&lt;0,IF($J48=9,BA48,IF($J48=8,BA48,IF($J48=7,BA48,0)))))</f>
        <v>0</v>
      </c>
      <c r="AZ48" s="1806">
        <f>IF(BA48=0,0,IF(BA48&lt;0,IF($J48=12,BA48,IF($J48=11,BA48,IF($J48=10,BA48,0)))))</f>
        <v>0</v>
      </c>
      <c r="BA48" s="1791">
        <f>IF(BA$5=$H48,-$E48,0)</f>
        <v>0</v>
      </c>
      <c r="BB48" s="1808">
        <f>IF(BF48=0,0,IF(BF48&lt;0,IF($J48=3,BF48,IF($J48=2,BF48,IF($J48=1,BF48,0)))))</f>
        <v>0</v>
      </c>
      <c r="BC48" s="1807">
        <f>IF(BF48=0,0,IF(BF48&lt;0,IF($J48=6,BF48,IF($J48=5,BF48,IF($J48=4,BF48,0)))))</f>
        <v>0</v>
      </c>
      <c r="BD48" s="1807">
        <f>IF(BF48=0,0,IF(BF48&lt;0,IF($J48=9,BF48,IF($J48=8,BF48,IF($J48=7,BF48,0)))))</f>
        <v>0</v>
      </c>
      <c r="BE48" s="1806">
        <f>IF(BF48=0,0,IF(BF48&lt;0,IF($J48=12,BF48,IF($J48=11,BF48,IF($J48=10,BF48,0)))))</f>
        <v>0</v>
      </c>
      <c r="BF48" s="1791">
        <f>IF(BF$5=$H48,-$E48,0)</f>
        <v>0</v>
      </c>
      <c r="BG48" s="1808">
        <f>IF(BK48=0,0,IF(BK48&lt;0,IF($J48=3,BK48,IF($J48=2,BK48,IF($J48=1,BK48,0)))))</f>
        <v>0</v>
      </c>
      <c r="BH48" s="1807">
        <f>IF(BK48=0,0,IF(BK48&lt;0,IF($J48=6,BK48,IF($J48=5,BK48,IF($J48=4,BK48,0)))))</f>
        <v>0</v>
      </c>
      <c r="BI48" s="1807">
        <f>IF(BK48=0,0,IF(BK48&lt;0,IF($J48=9,BK48,IF($J48=8,BK48,IF($J48=7,BK48,0)))))</f>
        <v>0</v>
      </c>
      <c r="BJ48" s="1806">
        <f>IF(BK48=0,0,IF(BK48&lt;0,IF($J48=12,BK48,IF($J48=11,BK48,IF($J48=10,BK48,0)))))</f>
        <v>0</v>
      </c>
      <c r="BK48" s="1791">
        <f>IF(BK$5=$H48,-$E48,0)</f>
        <v>0</v>
      </c>
      <c r="BL48" s="1808">
        <f>IF(BP48=0,0,IF(BP48&lt;0,IF($J48=3,BP48,IF($J48=2,BP48,IF($J48=1,BP48,0)))))</f>
        <v>0</v>
      </c>
      <c r="BM48" s="1807">
        <f>IF(BP48=0,0,IF(BP48&lt;0,IF($J48=6,BP48,IF($J48=5,BP48,IF($J48=4,BP48,0)))))</f>
        <v>0</v>
      </c>
      <c r="BN48" s="1807">
        <f>IF(BP48=0,0,IF(BP48&lt;0,IF($J48=9,BP48,IF($J48=8,BP48,IF($J48=7,BP48,0)))))</f>
        <v>0</v>
      </c>
      <c r="BO48" s="1806">
        <f>IF(BP48=0,0,IF(BP48&lt;0,IF($J48=12,BP48,IF($J48=11,BP48,IF($J48=10,BP48,0)))))</f>
        <v>0</v>
      </c>
      <c r="BP48" s="1791">
        <f>IF(BP$5=$H48,-$E48,0)</f>
        <v>0</v>
      </c>
      <c r="BQ48" s="1827"/>
      <c r="BR48" s="1991">
        <f>IF(AND(BQ48&lt;&gt;0,BQ$5=$H48),-$I48*$E48-BQ48,IF(BR$5=$H48,-$I48*$E48*(12-$J48+1)/12,0))</f>
        <v>0</v>
      </c>
      <c r="BS48" s="1991">
        <f>IF(AND(BR48&lt;&gt;0,BR$5=$H48),-$I48*$E48-BR48,IF(BS$5=$H48,-$I48*$E48*(12-$J48+1)/12,0))</f>
        <v>0</v>
      </c>
      <c r="BT48" s="1992">
        <f>IF($H48&lt;&gt;BX$5,0,IF(BX48&lt;0,IF($J48=1,-$E48*$I48/12*3,IF($J48=2,-$E48*$I48/12*2,IF($J48=3,-$E48*$I48/12*1,0)))))+IF(BS$5&lt;&gt;$H48,0,IF(BS48&lt;0,IF($J48=1,-$E48*$I48/12*0,IF($J48=2,-$E48*$I48/12*1,IF($J48=3,-$E48*$I48/12*2,IF($J48&gt;=4,-$E48*$I48/12*3,0))))))</f>
        <v>0</v>
      </c>
      <c r="BU48" s="1992">
        <f>IF($H48&lt;&gt;BX$5,0,IF(BX48&lt;0,IF(OR($J48=1,$J48=2,$J48=3,$J48=4),-$E48*$I48/12*3,IF($J48=5,-$E48*$I48/12*2,IF($J48=6,-$E48*$I48/12*1,0)))))+IF(BS$5&lt;&gt;$H48,0,IF(BS48&lt;0,IF($J48=4,-$E48*$I48/12*0,IF($J48=5,-$E48*$I48/12*1,IF($J48=6,-$E48*$I48/12*2,IF($J48&gt;=7,-$E48*$I48/12*3,0))))))</f>
        <v>0</v>
      </c>
      <c r="BV48" s="1992">
        <f>IF($H48&lt;&gt;BX$5,0,IF(BX48&lt;0,IF(OR($J48=1,$J48=2,$J48=3,$J48=4,$J48=5,$J48=6,$J48=7),-$E48*$I48/12*3,IF($J48=8,-$E48*$I48/12*2,IF($J48=9,-$E48*$I48/12*1,0)))))+IF(BS$5&lt;&gt;$H48,0,IF(BS48&lt;0,IF($J48=7,-$E48*$I48/12*0,IF($J48=8,-$E48*$I48/12*1,IF($J48=9,-$E48*$I48/12*2,IF($J48&gt;=10,-$E48*$I48/12*3,0))))))</f>
        <v>0</v>
      </c>
      <c r="BW48" s="1992">
        <f>IF($H48&lt;&gt;BX$5,0,IF(BX48&lt;0,IF(OR($J48=1,$J48=2,$J48=3,$J48=4,$J48=5,$J48=6,$J48=7,$J48=8,$J48=9,$J48=10),-$E48*$I48/12*3,IF($J48=11,-$E48*$I48/12*2,IF($J48=12,-$E48*$I48/12*1,0)))))+IF(BS$5&lt;&gt;$H48,0,IF(BS48&lt;0,IF($J48=10,-$E48*$I48/12*0,IF($J48=11,-$E48*$I48/12*1,IF($J48=12,-$E48*$I48/12*2,0)))))</f>
        <v>0</v>
      </c>
      <c r="BX48" s="1810">
        <f>IF(AND(BS48&lt;&gt;0,BS$5=$H48),-$I48*$E48-BS48,IF(BX$5=$H48,-$I48*$E48*(12-$J48+1)/12,0))</f>
        <v>0</v>
      </c>
      <c r="BY48" s="1807">
        <f>IF($H48&lt;&gt;CC$5,0,IF(CC48&lt;0,IF($J48=1,-$E48*$I48/12*3,IF($J48=2,-$E48*$I48/12*2,IF($J48=3,-$E48*$I48/12*1,0)))))+IF(BX$5&lt;&gt;$H48,0,IF(BX48&lt;0,IF($J48=1,-$E48*$I48/12*0,IF($J48=2,-$E48*$I48/12*1,IF($J48=3,-$E48*$I48/12*2,IF($J48&gt;=4,-$E48*$I48/12*3,0))))))</f>
        <v>0</v>
      </c>
      <c r="BZ48" s="1807">
        <f>IF($H48&lt;&gt;CC$5,0,IF(CC48&lt;0,IF(OR($J48=1,$J48=2,$J48=3,$J48=4),-$E48*$I48/12*3,IF($J48=5,-$E48*$I48/12*2,IF($J48=6,-$E48*$I48/12*1,0)))))+IF(BX$5&lt;&gt;$H48,0,IF(BX48&lt;0,IF($J48=4,-$E48*$I48/12*0,IF($J48=5,-$E48*$I48/12*1,IF($J48=6,-$E48*$I48/12*2,IF($J48&gt;=7,-$E48*$I48/12*3,0))))))</f>
        <v>0</v>
      </c>
      <c r="CA48" s="1807">
        <f>IF($H48&lt;&gt;CC$5,0,IF(CC48&lt;0,IF(OR($J48=1,$J48=2,$J48=3,$J48=4,$J48=5,$J48=6,$J48=7),-$E48*$I48/12*3,IF($J48=8,-$E48*$I48/12*2,IF($J48=9,-$E48*$I48/12*1,0)))))+IF(BX$5&lt;&gt;$H48,0,IF(BX48&lt;0,IF($J48=7,-$E48*$I48/12*0,IF($J48=8,-$E48*$I48/12*1,IF($J48=9,-$E48*$I48/12*2,IF($J48&gt;=10,-$E48*$I48/12*3,0))))))</f>
        <v>0</v>
      </c>
      <c r="CB48" s="1806">
        <f>IF($H48&lt;&gt;CC$5,0,IF(CC48&lt;0,IF(OR($J48=1,$J48=2,$J48=3,$J48=4,$J48=5,$J48=6,$J48=7,$J48=8,$J48=9,$J48=10),-$E48*$I48/12*3,IF($J48=11,-$E48*$I48/12*2,IF($J48=12,-$E48*$I48/12*1,0)))))+IF(BX$5&lt;&gt;$H48,0,IF(BX48&lt;0,IF($J48=10,-$E48*$I48/12*0,IF($J48=11,-$E48*$I48/12*1,IF($J48=12,-$E48*$I48/12*2,0)))))</f>
        <v>0</v>
      </c>
      <c r="CC48" s="1791">
        <f>IF(AND(BX48&lt;&gt;0,BX$5=$H48),-$I48*$E48-BX48,IF(CC$5=$H48,-$I48*$E48*(12-$J48+1)/12,0))</f>
        <v>0</v>
      </c>
      <c r="CD48" s="1808">
        <f>IF($H48&lt;&gt;CH$5,0,IF(CH48&lt;0,IF($J48=1,-$E48*$I48/12*3,IF($J48=2,-$E48*$I48/12*2,IF($J48=3,-$E48*$I48/12*1,0)))))+IF(CC$5&lt;&gt;$H48,0,IF(CC48&lt;0,IF($J48=1,-$E48*$I48/12*0,IF($J48=2,-$E48*$I48/12*1,IF($J48=3,-$E48*$I48/12*2,IF($J48&gt;=4,-$E48*$I48/12*3,0))))))</f>
        <v>0</v>
      </c>
      <c r="CE48" s="1807">
        <f>IF($H48&lt;&gt;CH$5,0,IF(CH48&lt;0,IF(OR($J48=1,$J48=2,$J48=3,$J48=4),-$E48*$I48/12*3,IF($J48=5,-$E48*$I48/12*2,IF($J48=6,-$E48*$I48/12*1,0)))))+IF(CC$5&lt;&gt;$H48,0,IF(CC48&lt;0,IF($J48=4,-$E48*$I48/12*0,IF($J48=5,-$E48*$I48/12*1,IF($J48=6,-$E48*$I48/12*2,IF($J48&gt;=7,-$E48*$I48/12*3,0))))))</f>
        <v>0</v>
      </c>
      <c r="CF48" s="1807">
        <f>IF($H48&lt;&gt;CH$5,0,IF(CH48&lt;0,IF(OR($J48=1,$J48=2,$J48=3,$J48=4,$J48=5,$J48=6,$J48=7),-$E48*$I48/12*3,IF($J48=8,-$E48*$I48/12*2,IF($J48=9,-$E48*$I48/12*1,0)))))+IF(CC$5&lt;&gt;$H48,0,IF(CC48&lt;0,IF($J48=7,-$E48*$I48/12*0,IF($J48=8,-$E48*$I48/12*1,IF($J48=9,-$E48*$I48/12*2,IF($J48&gt;=10,-$E48*$I48/12*3,0))))))</f>
        <v>0</v>
      </c>
      <c r="CG48" s="1806">
        <f>IF($H48&lt;&gt;CH$5,0,IF(CH48&lt;0,IF(OR($J48=1,$J48=2,$J48=3,$J48=4,$J48=5,$J48=6,$J48=7,$J48=8,$J48=9,$J48=10),-$E48*$I48/12*3,IF($J48=11,-$E48*$I48/12*2,IF($J48=12,-$E48*$I48/12*1,0)))))+IF(CC$5&lt;&gt;$H48,0,IF(CC48&lt;0,IF($J48=10,-$E48*$I48/12*0,IF($J48=11,-$E48*$I48/12*1,IF($J48=12,-$E48*$I48/12*2,0)))))</f>
        <v>0</v>
      </c>
      <c r="CH48" s="1791">
        <f>IF(AND(CC48&lt;&gt;0,CC$5=$H48),-$I48*$E48-CC48,IF(CH$5=$H48,-$I48*$E48*(12-$J48+1)/12,0))</f>
        <v>0</v>
      </c>
      <c r="CI48" s="1808">
        <f>IF($H48&lt;&gt;CM$5,0,IF(CM48&lt;0,IF($J48=1,-$E48*$I48/12*3,IF($J48=2,-$E48*$I48/12*2,IF($J48=3,-$E48*$I48/12*1,0)))))+IF(CH$5&lt;&gt;$H48,0,IF(CH48&lt;0,IF($J48=1,-$E48*$I48/12*0,IF($J48=2,-$E48*$I48/12*1,IF($J48=3,-$E48*$I48/12*2,IF($J48&gt;=4,-$E48*$I48/12*3,0))))))</f>
        <v>0</v>
      </c>
      <c r="CJ48" s="1807">
        <f>IF($H48&lt;&gt;CM$5,0,IF(CM48&lt;0,IF(OR($J48=1,$J48=2,$J48=3,$J48=4),-$E48*$I48/12*3,IF($J48=5,-$E48*$I48/12*2,IF($J48=6,-$E48*$I48/12*1,0)))))+IF(CH$5&lt;&gt;$H48,0,IF(CH48&lt;0,IF($J48=4,-$E48*$I48/12*0,IF($J48=5,-$E48*$I48/12*1,IF($J48=6,-$E48*$I48/12*2,IF($J48&gt;=7,-$E48*$I48/12*3,0))))))</f>
        <v>0</v>
      </c>
      <c r="CK48" s="1807">
        <f>IF($H48&lt;&gt;CM$5,0,IF(CM48&lt;0,IF(OR($J48=1,$J48=2,$J48=3,$J48=4,$J48=5,$J48=6,$J48=7),-$E48*$I48/12*3,IF($J48=8,-$E48*$I48/12*2,IF($J48=9,-$E48*$I48/12*1,0)))))+IF(CH$5&lt;&gt;$H48,0,IF(CH48&lt;0,IF($J48=7,-$E48*$I48/12*0,IF($J48=8,-$E48*$I48/12*1,IF($J48=9,-$E48*$I48/12*2,IF($J48&gt;=10,-$E48*$I48/12*3,0))))))</f>
        <v>0</v>
      </c>
      <c r="CL48" s="1806">
        <f>IF($H48&lt;&gt;CM$5,0,IF(CM48&lt;0,IF(OR($J48=1,$J48=2,$J48=3,$J48=4,$J48=5,$J48=6,$J48=7,$J48=8,$J48=9,$J48=10),-$E48*$I48/12*3,IF($J48=11,-$E48*$I48/12*2,IF($J48=12,-$E48*$I48/12*1,0)))))+IF(CH$5&lt;&gt;$H48,0,IF(CH48&lt;0,IF($J48=10,-$E48*$I48/12*0,IF($J48=11,-$E48*$I48/12*1,IF($J48=12,-$E48*$I48/12*2,0)))))</f>
        <v>0</v>
      </c>
      <c r="CM48" s="1791">
        <f>IF(AND(CH48&lt;&gt;0,CH$5=$H48),-$I48*$E48-CH48,IF(CM$5=$H48,-$I48*$E48*(12-$J48+1)/12,0))</f>
        <v>0</v>
      </c>
      <c r="CN48" s="1808">
        <f>IF($H48&lt;&gt;CR$5,0,IF(CR48&lt;0,IF($J48=1,-$E48*$I48/12*3,IF($J48=2,-$E48*$I48/12*2,IF($J48=3,-$E48*$I48/12*1,0)))))+IF(CM$5&lt;&gt;$H48,0,IF(CM48&lt;0,IF($J48=1,-$E48*$I48/12*0,IF($J48=2,-$E48*$I48/12*1,IF($J48=3,-$E48*$I48/12*2,IF($J48&gt;=4,-$E48*$I48/12*3,0))))))</f>
        <v>0</v>
      </c>
      <c r="CO48" s="1807">
        <f>IF($H48&lt;&gt;CR$5,0,IF(CR48&lt;0,IF(OR($J48=1,$J48=2,$J48=3,$J48=4),-$E48*$I48/12*3,IF($J48=5,-$E48*$I48/12*2,IF($J48=6,-$E48*$I48/12*1,0)))))+IF(CM$5&lt;&gt;$H48,0,IF(CM48&lt;0,IF($J48=4,-$E48*$I48/12*0,IF($J48=5,-$E48*$I48/12*1,IF($J48=6,-$E48*$I48/12*2,IF($J48&gt;=7,-$E48*$I48/12*3,0))))))</f>
        <v>0</v>
      </c>
      <c r="CP48" s="1807">
        <f>IF($H48&lt;&gt;CR$5,0,IF(CR48&lt;0,IF(OR($J48=1,$J48=2,$J48=3,$J48=4,$J48=5,$J48=6,$J48=7),-$E48*$I48/12*3,IF($J48=8,-$E48*$I48/12*2,IF($J48=9,-$E48*$I48/12*1,0)))))+IF(CM$5&lt;&gt;$H48,0,IF(CM48&lt;0,IF($J48=7,-$E48*$I48/12*0,IF($J48=8,-$E48*$I48/12*1,IF($J48=9,-$E48*$I48/12*2,IF($J48&gt;=10,-$E48*$I48/12*3,0))))))</f>
        <v>0</v>
      </c>
      <c r="CQ48" s="1806">
        <f>IF($H48&lt;&gt;CR$5,0,IF(CR48&lt;0,IF(OR($J48=1,$J48=2,$J48=3,$J48=4,$J48=5,$J48=6,$J48=7,$J48=8,$J48=9,$J48=10),-$E48*$I48/12*3,IF($J48=11,-$E48*$I48/12*2,IF($J48=12,-$E48*$I48/12*1,0)))))+IF(CM$5&lt;&gt;$H48,0,IF(CM48&lt;0,IF($J48=10,-$E48*$I48/12*0,IF($J48=11,-$E48*$I48/12*1,IF($J48=12,-$E48*$I48/12*2,0)))))</f>
        <v>0</v>
      </c>
      <c r="CR48" s="1791">
        <f>IF(AND(CM48&lt;&gt;0,CM$5=$H48),-$I48*$E48-CM48,IF(CR$5=$H48,-$I48*$E48*(12-$J48+1)/12,0))</f>
        <v>0</v>
      </c>
      <c r="CS48" s="1808">
        <f>IF($H48&lt;&gt;CW$5,0,IF(CW48&lt;0,IF($J48=1,-$E48*$I48/12*3,IF($J48=2,-$E48*$I48/12*2,IF($J48=3,-$E48*$I48/12*1,0)))))+IF(CR$5&lt;&gt;$H48,0,IF(CR48&lt;0,IF($J48=1,-$E48*$I48/12*0,IF($J48=2,-$E48*$I48/12*1,IF($J48=3,-$E48*$I48/12*2,IF($J48&gt;=4,-$E48*$I48/12*3,0))))))</f>
        <v>0</v>
      </c>
      <c r="CT48" s="1807">
        <f>IF($H48&lt;&gt;CW$5,0,IF(CW48&lt;0,IF(OR($J48=1,$J48=2,$J48=3,$J48=4),-$E48*$I48/12*3,IF($J48=5,-$E48*$I48/12*2,IF($J48=6,-$E48*$I48/12*1,0)))))+IF(CR$5&lt;&gt;$H48,0,IF(CR48&lt;0,IF($J48=4,-$E48*$I48/12*0,IF($J48=5,-$E48*$I48/12*1,IF($J48=6,-$E48*$I48/12*2,IF($J48&gt;=7,-$E48*$I48/12*3,0))))))</f>
        <v>0</v>
      </c>
      <c r="CU48" s="1807">
        <f>IF($H48&lt;&gt;CW$5,0,IF(CW48&lt;0,IF(OR($J48=1,$J48=2,$J48=3,$J48=4,$J48=5,$J48=6,$J48=7),-$E48*$I48/12*3,IF($J48=8,-$E48*$I48/12*2,IF($J48=9,-$E48*$I48/12*1,0)))))+IF(CR$5&lt;&gt;$H48,0,IF(CR48&lt;0,IF($J48=7,-$E48*$I48/12*0,IF($J48=8,-$E48*$I48/12*1,IF($J48=9,-$E48*$I48/12*2,IF($J48&gt;=10,-$E48*$I48/12*3,0))))))</f>
        <v>0</v>
      </c>
      <c r="CV48" s="1806">
        <f>IF($H48&lt;&gt;CW$5,0,IF(CW48&lt;0,IF(OR($J48=1,$J48=2,$J48=3,$J48=4,$J48=5,$J48=6,$J48=7,$J48=8,$J48=9,$J48=10),-$E48*$I48/12*3,IF($J48=11,-$E48*$I48/12*2,IF($J48=12,-$E48*$I48/12*1,0)))))+IF(CR$5&lt;&gt;$H48,0,IF(CR48&lt;0,IF($J48=10,-$E48*$I48/12*0,IF($J48=11,-$E48*$I48/12*1,IF($J48=12,-$E48*$I48/12*2,0)))))</f>
        <v>0</v>
      </c>
      <c r="CW48" s="1791">
        <f>IF(AND(CR48&lt;&gt;0,CR$5=$H48),-$I48*$E48-CR48,IF(CW$5=$H48,-$I48*$E48*(12-$J48+1)/12,0))</f>
        <v>0</v>
      </c>
      <c r="CX48" s="1808">
        <f>IF($H48&lt;&gt;DB$5,0,IF(DB48&lt;0,IF($J48=1,-$E48*$I48/12*3,IF($J48=2,-$E48*$I48/12*2,IF($J48=3,-$E48*$I48/12*1,0)))))+IF(CW$5&lt;&gt;$H48,0,IF(CW48&lt;0,IF($J48=1,-$E48*$I48/12*0,IF($J48=2,-$E48*$I48/12*1,IF($J48=3,-$E48*$I48/12*2,IF($J48&gt;=4,-$E48*$I48/12*3,0))))))</f>
        <v>0</v>
      </c>
      <c r="CY48" s="1807">
        <f>IF($H48&lt;&gt;DB$5,0,IF(DB48&lt;0,IF(OR($J48=1,$J48=2,$J48=3,$J48=4),-$E48*$I48/12*3,IF($J48=5,-$E48*$I48/12*2,IF($J48=6,-$E48*$I48/12*1,0)))))+IF(CW$5&lt;&gt;$H48,0,IF(CW48&lt;0,IF($J48=4,-$E48*$I48/12*0,IF($J48=5,-$E48*$I48/12*1,IF($J48=6,-$E48*$I48/12*2,IF($J48&gt;=7,-$E48*$I48/12*3,0))))))</f>
        <v>-7.0654166666666671E-2</v>
      </c>
      <c r="CZ48" s="1807">
        <f>IF($H48&lt;&gt;DB$5,0,IF(DB48&lt;0,IF(OR($J48=1,$J48=2,$J48=3,$J48=4,$J48=5,$J48=6,$J48=7),-$E48*$I48/12*3,IF($J48=8,-$E48*$I48/12*2,IF($J48=9,-$E48*$I48/12*1,0)))))+IF(CW$5&lt;&gt;$H48,0,IF(CW48&lt;0,IF($J48=7,-$E48*$I48/12*0,IF($J48=8,-$E48*$I48/12*1,IF($J48=9,-$E48*$I48/12*2,IF($J48&gt;=10,-$E48*$I48/12*3,0))))))</f>
        <v>-0.2119625</v>
      </c>
      <c r="DA48" s="1806">
        <f>IF($H48&lt;&gt;DB$5,0,IF(DB48&lt;0,IF(OR($J48=1,$J48=2,$J48=3,$J48=4,$J48=5,$J48=6,$J48=7,$J48=8,$J48=9,$J48=10),-$E48*$I48/12*3,IF($J48=11,-$E48*$I48/12*2,IF($J48=12,-$E48*$I48/12*1,0)))))+IF(CW$5&lt;&gt;$H48,0,IF(CW48&lt;0,IF($J48=10,-$E48*$I48/12*0,IF($J48=11,-$E48*$I48/12*1,IF($J48=12,-$E48*$I48/12*2,0)))))</f>
        <v>-0.2119625</v>
      </c>
      <c r="DB48" s="1791">
        <f>IF(AND(CW48&lt;&gt;0,CW$5=$H48),-$I48*$E48-CW48,IF(DB$5=$H48,-$I48*$E48*(12-$J48+1)/12,0))</f>
        <v>-0.49457916666666663</v>
      </c>
      <c r="DC48" s="1808">
        <f>IF($H48&lt;&gt;DG$5,0,IF(DG48&lt;0,IF($J48=1,-$E48*$I48/12*3,IF($J48=2,-$E48*$I48/12*2,IF($J48=3,-$E48*$I48/12*1,0)))))+IF(DB$5&lt;&gt;$H48,0,IF(DB48&lt;0,IF($J48=1,-$E48*$I48/12*0,IF($J48=2,-$E48*$I48/12*1,IF($J48=3,-$E48*$I48/12*2,IF($J48&gt;=4,-$E48*$I48/12*3,0))))))</f>
        <v>-0.2119625</v>
      </c>
      <c r="DD48" s="1807">
        <f>IF($H48&lt;&gt;DG$5,0,IF(DG48&lt;0,IF(OR($J48=1,$J48=2,$J48=3,$J48=4),-$E48*$I48/12*3,IF($J48=5,-$E48*$I48/12*2,IF($J48=6,-$E48*$I48/12*1,0)))))+IF(DB$5&lt;&gt;$H48,0,IF(DB48&lt;0,IF($J48=4,-$E48*$I48/12*0,IF($J48=5,-$E48*$I48/12*1,IF($J48=6,-$E48*$I48/12*2,IF($J48&gt;=7,-$E48*$I48/12*3,0))))))</f>
        <v>-0.14130833333333334</v>
      </c>
      <c r="DE48" s="1807">
        <f>IF($H48&lt;&gt;DG$5,0,IF(DG48&lt;0,IF(OR($J48=1,$J48=2,$J48=3,$J48=4,$J48=5,$J48=6,$J48=7),-$E48*$I48/12*3,IF($J48=8,-$E48*$I48/12*2,IF($J48=9,-$E48*$I48/12*1,0)))))+IF(DB$5&lt;&gt;$H48,0,IF(DB48&lt;0,IF($J48=7,-$E48*$I48/12*0,IF($J48=8,-$E48*$I48/12*1,IF($J48=9,-$E48*$I48/12*2,IF($J48&gt;=10,-$E48*$I48/12*3,0))))))</f>
        <v>0</v>
      </c>
      <c r="DF48" s="1806">
        <f>IF($H48&lt;&gt;DG$5,0,IF(DG48&lt;0,IF(OR($J48=1,$J48=2,$J48=3,$J48=4,$J48=5,$J48=6,$J48=7,$J48=8,$J48=9,$J48=10),-$E48*$I48/12*3,IF($J48=11,-$E48*$I48/12*2,IF($J48=12,-$E48*$I48/12*1,0)))))+IF(DB$5&lt;&gt;$H48,0,IF(DB48&lt;0,IF($J48=10,-$E48*$I48/12*0,IF($J48=11,-$E48*$I48/12*1,IF($J48=12,-$E48*$I48/12*2,0)))))</f>
        <v>0</v>
      </c>
      <c r="DG48" s="1791">
        <f>IF(AND(DB48&lt;&gt;0,DB$5=$H48),-$I48*$E48-DB48,IF(DG$5=$H48,-$I48*$E48*(12-$J48+1)/12,0))</f>
        <v>-0.35327083333333337</v>
      </c>
      <c r="DH48" s="1808">
        <f>IF($H48&lt;&gt;DL$5,0,IF(DL48&lt;0,IF($J48=1,-$E48*$I48/12*3,IF($J48=2,-$E48*$I48/12*2,IF($J48=3,-$E48*$I48/12*1,0)))))+IF(DG$5&lt;&gt;$H48,0,IF(DG48&lt;0,IF($J48=1,-$E48*$I48/12*0,IF($J48=2,-$E48*$I48/12*1,IF($J48=3,-$E48*$I48/12*2,IF($J48&gt;=4,-$E48*$I48/12*3,0))))))</f>
        <v>0</v>
      </c>
      <c r="DI48" s="1807">
        <f>IF($H48&lt;&gt;DL$5,0,IF(DL48&lt;0,IF(OR($J48=1,$J48=2,$J48=3,$J48=4),-$E48*$I48/12*3,IF($J48=5,-$E48*$I48/12*2,IF($J48=6,-$E48*$I48/12*1,0)))))+IF(DG$5&lt;&gt;$H48,0,IF(DG48&lt;0,IF($J48=4,-$E48*$I48/12*0,IF($J48=5,-$E48*$I48/12*1,IF($J48=6,-$E48*$I48/12*2,IF($J48&gt;=7,-$E48*$I48/12*3,0))))))</f>
        <v>0</v>
      </c>
      <c r="DJ48" s="1807">
        <f>IF($H48&lt;&gt;DL$5,0,IF(DL48&lt;0,IF(OR($J48=1,$J48=2,$J48=3,$J48=4,$J48=5,$J48=6,$J48=7),-$E48*$I48/12*3,IF($J48=8,-$E48*$I48/12*2,IF($J48=9,-$E48*$I48/12*1,0)))))+IF(DG$5&lt;&gt;$H48,0,IF(DG48&lt;0,IF($J48=7,-$E48*$I48/12*0,IF($J48=8,-$E48*$I48/12*1,IF($J48=9,-$E48*$I48/12*2,IF($J48&gt;=10,-$E48*$I48/12*3,0))))))</f>
        <v>0</v>
      </c>
      <c r="DK48" s="1806">
        <f>IF($H48&lt;&gt;DL$5,0,IF(DL48&lt;0,IF(OR($J48=1,$J48=2,$J48=3,$J48=4,$J48=5,$J48=6,$J48=7,$J48=8,$J48=9,$J48=10),-$E48*$I48/12*3,IF($J48=11,-$E48*$I48/12*2,IF($J48=12,-$E48*$I48/12*1,0)))))+IF(DG$5&lt;&gt;$H48,0,IF(DG48&lt;0,IF($J48=10,-$E48*$I48/12*0,IF($J48=11,-$E48*$I48/12*1,IF($J48=12,-$E48*$I48/12*2,0)))))</f>
        <v>0</v>
      </c>
      <c r="DL48" s="1791">
        <f>IF(AND(DG48&lt;&gt;0,DG$5=$H48),-$I48*$E48-DG48,IF(DL$5=$H48,-$I48*$E48*(12-$J48+1)/12,0))</f>
        <v>0</v>
      </c>
      <c r="DM48" s="1808">
        <f>IF($H48&lt;&gt;DQ$5,0,IF(DQ48&lt;0,IF($J48=1,-$E48*$I48/12*3,IF($J48=2,-$E48*$I48/12*2,IF($J48=3,-$E48*$I48/12*1,0)))))+IF(DL$5&lt;&gt;$H48,0,IF(DL48&lt;0,IF($J48=1,-$E48*$I48/12*0,IF($J48=2,-$E48*$I48/12*1,IF($J48=3,-$E48*$I48/12*2,IF($J48&gt;=4,-$E48*$I48/12*3,0))))))</f>
        <v>0</v>
      </c>
      <c r="DN48" s="1807">
        <f>IF($H48&lt;&gt;DQ$5,0,IF(DQ48&lt;0,IF(OR($J48=1,$J48=2,$J48=3,$J48=4),-$E48*$I48/12*3,IF($J48=5,-$E48*$I48/12*2,IF($J48=6,-$E48*$I48/12*1,0)))))+IF(DL$5&lt;&gt;$H48,0,IF(DL48&lt;0,IF($J48=4,-$E48*$I48/12*0,IF($J48=5,-$E48*$I48/12*1,IF($J48=6,-$E48*$I48/12*2,IF($J48&gt;=7,-$E48*$I48/12*3,0))))))</f>
        <v>0</v>
      </c>
      <c r="DO48" s="1807">
        <f>IF($H48&lt;&gt;DQ$5,0,IF(DQ48&lt;0,IF(OR($J48=1,$J48=2,$J48=3,$J48=4,$J48=5,$J48=6,$J48=7),-$E48*$I48/12*3,IF($J48=8,-$E48*$I48/12*2,IF($J48=9,-$E48*$I48/12*1,0)))))+IF(DL$5&lt;&gt;$H48,0,IF(DL48&lt;0,IF($J48=7,-$E48*$I48/12*0,IF($J48=8,-$E48*$I48/12*1,IF($J48=9,-$E48*$I48/12*2,IF($J48&gt;=10,-$E48*$I48/12*3,0))))))</f>
        <v>0</v>
      </c>
      <c r="DP48" s="1806">
        <f>IF($H48&lt;&gt;DQ$5,0,IF(DQ48&lt;0,IF(OR($J48=1,$J48=2,$J48=3,$J48=4,$J48=5,$J48=6,$J48=7,$J48=8,$J48=9,$J48=10),-$E48*$I48/12*3,IF($J48=11,-$E48*$I48/12*2,IF($J48=12,-$E48*$I48/12*1,0)))))+IF(DL$5&lt;&gt;$H48,0,IF(DL48&lt;0,IF($J48=10,-$E48*$I48/12*0,IF($J48=11,-$E48*$I48/12*1,IF($J48=12,-$E48*$I48/12*2,0)))))</f>
        <v>0</v>
      </c>
      <c r="DQ48" s="1791">
        <f>IF(AND(DL48&lt;&gt;0,DL$5=$H48),-$I48*$E48-DL48,IF(DQ$5=$H48,-$I48*$E48*(12-$J48+1)/12,0))</f>
        <v>0</v>
      </c>
      <c r="DR48" s="1808">
        <f>IF($H48&lt;&gt;DV$5,0,IF(DV48&lt;0,IF($J48=1,-$E48*$I48/12*3,IF($J48=2,-$E48*$I48/12*2,IF($J48=3,-$E48*$I48/12*1,0)))))+IF(DQ$5&lt;&gt;$H48,0,IF(DQ48&lt;0,IF($J48=1,-$E48*$I48/12*0,IF($J48=2,-$E48*$I48/12*1,IF($J48=3,-$E48*$I48/12*2,IF($J48&gt;=4,-$E48*$I48/12*3,0))))))</f>
        <v>0</v>
      </c>
      <c r="DS48" s="1807">
        <f>IF($H48&lt;&gt;DV$5,0,IF(DV48&lt;0,IF(OR($J48=1,$J48=2,$J48=3,$J48=4),-$E48*$I48/12*3,IF($J48=5,-$E48*$I48/12*2,IF($J48=6,-$E48*$I48/12*1,0)))))+IF(DQ$5&lt;&gt;$H48,0,IF(DQ48&lt;0,IF($J48=4,-$E48*$I48/12*0,IF($J48=5,-$E48*$I48/12*1,IF($J48=6,-$E48*$I48/12*2,IF($J48&gt;=7,-$E48*$I48/12*3,0))))))</f>
        <v>0</v>
      </c>
      <c r="DT48" s="1807">
        <f>IF($H48&lt;&gt;DV$5,0,IF(DV48&lt;0,IF(OR($J48=1,$J48=2,$J48=3,$J48=4,$J48=5,$J48=6,$J48=7),-$E48*$I48/12*3,IF($J48=8,-$E48*$I48/12*2,IF($J48=9,-$E48*$I48/12*1,0)))))+IF(DQ$5&lt;&gt;$H48,0,IF(DQ48&lt;0,IF($J48=7,-$E48*$I48/12*0,IF($J48=8,-$E48*$I48/12*1,IF($J48=9,-$E48*$I48/12*2,IF($J48&gt;=10,-$E48*$I48/12*3,0))))))</f>
        <v>0</v>
      </c>
      <c r="DU48" s="1806">
        <f>IF($H48&lt;&gt;DV$5,0,IF(DV48&lt;0,IF(OR($J48=1,$J48=2,$J48=3,$J48=4,$J48=5,$J48=6,$J48=7,$J48=8,$J48=9,$J48=10),-$E48*$I48/12*3,IF($J48=11,-$E48*$I48/12*2,IF($J48=12,-$E48*$I48/12*1,0)))))+IF(DQ$5&lt;&gt;$H48,0,IF(DQ48&lt;0,IF($J48=10,-$E48*$I48/12*0,IF($J48=11,-$E48*$I48/12*1,IF($J48=12,-$E48*$I48/12*2,0)))))</f>
        <v>0</v>
      </c>
      <c r="DV48" s="1791">
        <f>IF(AND(DQ48&lt;&gt;0,DQ$5=$H48),-$I48*$E48-DQ48,IF(DV$5=$H48,-$I48*$E48*(12-$J48+1)/12,0))</f>
        <v>0</v>
      </c>
    </row>
    <row r="49" spans="1:126">
      <c r="A49" s="455"/>
      <c r="B49" s="455"/>
      <c r="C49" s="1723" t="s">
        <v>1041</v>
      </c>
      <c r="D49" s="94"/>
      <c r="E49" s="1817">
        <f>IF(F49=0,G49,F49)</f>
        <v>45</v>
      </c>
      <c r="F49" s="1435">
        <v>45</v>
      </c>
      <c r="G49" s="1435">
        <v>45</v>
      </c>
      <c r="H49" s="1350">
        <v>2021</v>
      </c>
      <c r="I49" s="1335">
        <v>2.375E-2</v>
      </c>
      <c r="J49" s="1600">
        <v>6</v>
      </c>
      <c r="K49" s="1792"/>
      <c r="L49" s="1810">
        <f>IF(L$5=$H49,-$E49,0)</f>
        <v>0</v>
      </c>
      <c r="M49" s="1791">
        <f>IF(M$5=$H49,-$E49,0)</f>
        <v>0</v>
      </c>
      <c r="N49" s="1808">
        <f>IF(R49=0,0,IF(R49&lt;0,IF($J49=3,R49,IF($J49=2,R49,IF($J49=1,R49,0)))))</f>
        <v>0</v>
      </c>
      <c r="O49" s="1807">
        <f>IF(R49=0,0,IF(R49&lt;0,IF($J49=6,R49,IF($J49=5,R49,IF($J49=4,R49,0)))))</f>
        <v>0</v>
      </c>
      <c r="P49" s="1807">
        <f>IF(R49=0,0,IF(R49&lt;0,IF($J49=9,R49,IF($J49=8,R49,IF($J49=7,R49,0)))))</f>
        <v>0</v>
      </c>
      <c r="Q49" s="1806">
        <f>IF(R49=0,0,IF(R49&lt;0,IF($J49=12,R49,IF($J49=11,R49,IF($J49=10,R49,0)))))</f>
        <v>0</v>
      </c>
      <c r="R49" s="1791">
        <f>IF(R$5=$H49,-$E49,0)</f>
        <v>0</v>
      </c>
      <c r="S49" s="1808">
        <f>IF(W49=0,0,IF(W49&lt;0,IF($J49=3,W49,IF($J49=2,W49,IF($J49=1,W49,0)))))</f>
        <v>0</v>
      </c>
      <c r="T49" s="1807">
        <f>IF(W49=0,0,IF(W49&lt;0,IF($J49=6,W49,IF($J49=5,W49,IF($J49=4,W49,0)))))</f>
        <v>0</v>
      </c>
      <c r="U49" s="1807">
        <f>IF(W49=0,0,IF(W49&lt;0,IF($J49=9,W49,IF($J49=8,W49,IF($J49=7,W49,0)))))</f>
        <v>0</v>
      </c>
      <c r="V49" s="1806">
        <f>IF(W49=0,0,IF(W49&lt;0,IF($J49=12,W49,IF($J49=11,W49,IF($J49=10,W49,0)))))</f>
        <v>0</v>
      </c>
      <c r="W49" s="1791">
        <f>IF(W$5=$H49,-$E49,0)</f>
        <v>0</v>
      </c>
      <c r="X49" s="1808">
        <f>IF(AB49=0,0,IF(AB49&lt;0,IF($J49=3,AB49,IF($J49=2,AB49,IF($J49=1,AB49,0)))))</f>
        <v>0</v>
      </c>
      <c r="Y49" s="1807">
        <f>IF(AB49=0,0,IF(AB49&lt;0,IF($J49=6,AB49,IF($J49=5,AB49,IF($J49=4,AB49,0)))))</f>
        <v>0</v>
      </c>
      <c r="Z49" s="1807">
        <f>IF(AB49=0,0,IF(AB49&lt;0,IF($J49=9,AB49,IF($J49=8,AB49,IF($J49=7,AB49,0)))))</f>
        <v>0</v>
      </c>
      <c r="AA49" s="1806">
        <f>IF(AB49=0,0,IF(AB49&lt;0,IF($J49=12,AB49,IF($J49=11,AB49,IF($J49=10,AB49,0)))))</f>
        <v>0</v>
      </c>
      <c r="AB49" s="1791">
        <f>IF(AB$5=$H49,-$E49,0)</f>
        <v>0</v>
      </c>
      <c r="AC49" s="1808">
        <f>IF(AG49=0,0,IF(AG49&lt;0,IF($J49=3,AG49,IF($J49=2,AG49,IF($J49=1,AG49,0)))))</f>
        <v>0</v>
      </c>
      <c r="AD49" s="1807">
        <f>IF(AG49=0,0,IF(AG49&lt;0,IF($J49=6,AG49,IF($J49=5,AG49,IF($J49=4,AG49,0)))))</f>
        <v>0</v>
      </c>
      <c r="AE49" s="1807">
        <f>IF(AG49=0,0,IF(AG49&lt;0,IF($J49=9,AG49,IF($J49=8,AG49,IF($J49=7,AG49,0)))))</f>
        <v>0</v>
      </c>
      <c r="AF49" s="1806">
        <f>IF(AG49=0,0,IF(AG49&lt;0,IF($J49=12,AG49,IF($J49=11,AG49,IF($J49=10,AG49,0)))))</f>
        <v>0</v>
      </c>
      <c r="AG49" s="1791">
        <f>IF(AG$5=$H49,-$E49,0)</f>
        <v>0</v>
      </c>
      <c r="AH49" s="1808">
        <f>IF(AL49=0,0,IF(AL49&lt;0,IF($J49=3,AL49,IF($J49=2,AL49,IF($J49=1,AL49,0)))))</f>
        <v>0</v>
      </c>
      <c r="AI49" s="1807">
        <f>IF(AL49=0,0,IF(AL49&lt;0,IF($J49=6,AL49,IF($J49=5,AL49,IF($J49=4,AL49,0)))))</f>
        <v>0</v>
      </c>
      <c r="AJ49" s="1807">
        <f>IF(AL49=0,0,IF(AL49&lt;0,IF($J49=9,AL49,IF($J49=8,AL49,IF($J49=7,AL49,0)))))</f>
        <v>0</v>
      </c>
      <c r="AK49" s="1806">
        <f>IF(AL49=0,0,IF(AL49&lt;0,IF($J49=12,AL49,IF($J49=11,AL49,IF($J49=10,AL49,0)))))</f>
        <v>0</v>
      </c>
      <c r="AL49" s="1791">
        <f>IF(AL$5=$H49,-$E49,0)</f>
        <v>0</v>
      </c>
      <c r="AM49" s="1808">
        <f>IF(AQ49=0,0,IF(AQ49&lt;0,IF($J49=3,AQ49,IF($J49=2,AQ49,IF($J49=1,AQ49,0)))))</f>
        <v>0</v>
      </c>
      <c r="AN49" s="1807">
        <f>IF(AQ49=0,0,IF(AQ49&lt;0,IF($J49=6,AQ49,IF($J49=5,AQ49,IF($J49=4,AQ49,0)))))</f>
        <v>0</v>
      </c>
      <c r="AO49" s="1807">
        <f>IF(AQ49=0,0,IF(AQ49&lt;0,IF($J49=9,AQ49,IF($J49=8,AQ49,IF($J49=7,AQ49,0)))))</f>
        <v>0</v>
      </c>
      <c r="AP49" s="1806">
        <f>IF(AQ49=0,0,IF(AQ49&lt;0,IF($J49=12,AQ49,IF($J49=11,AQ49,IF($J49=10,AQ49,0)))))</f>
        <v>0</v>
      </c>
      <c r="AQ49" s="1791">
        <f>IF(AQ$5=$H49,-$E49,0)</f>
        <v>0</v>
      </c>
      <c r="AR49" s="1808">
        <f>IF(AV49=0,0,IF(AV49&lt;0,IF($J49=3,AV49,IF($J49=2,AV49,IF($J49=1,AV49,0)))))</f>
        <v>0</v>
      </c>
      <c r="AS49" s="1807">
        <f>IF(AV49=0,0,IF(AV49&lt;0,IF($J49=6,AV49,IF($J49=5,AV49,IF($J49=4,AV49,0)))))</f>
        <v>0</v>
      </c>
      <c r="AT49" s="1807">
        <f>IF(AV49=0,0,IF(AV49&lt;0,IF($J49=9,AV49,IF($J49=8,AV49,IF($J49=7,AV49,0)))))</f>
        <v>0</v>
      </c>
      <c r="AU49" s="1806">
        <f>IF(AV49=0,0,IF(AV49&lt;0,IF($J49=12,AV49,IF($J49=11,AV49,IF($J49=10,AV49,0)))))</f>
        <v>0</v>
      </c>
      <c r="AV49" s="1791">
        <f>IF(AV$5=$H49,-$E49,0)</f>
        <v>0</v>
      </c>
      <c r="AW49" s="1808">
        <f>IF(BA49=0,0,IF(BA49&lt;0,IF($J49=3,BA49,IF($J49=2,BA49,IF($J49=1,BA49,0)))))</f>
        <v>0</v>
      </c>
      <c r="AX49" s="1807">
        <f>IF(BA49=0,0,IF(BA49&lt;0,IF($J49=6,BA49,IF($J49=5,BA49,IF($J49=4,BA49,0)))))</f>
        <v>0</v>
      </c>
      <c r="AY49" s="1807">
        <f>IF(BA49=0,0,IF(BA49&lt;0,IF($J49=9,BA49,IF($J49=8,BA49,IF($J49=7,BA49,0)))))</f>
        <v>0</v>
      </c>
      <c r="AZ49" s="1806">
        <f>IF(BA49=0,0,IF(BA49&lt;0,IF($J49=12,BA49,IF($J49=11,BA49,IF($J49=10,BA49,0)))))</f>
        <v>0</v>
      </c>
      <c r="BA49" s="1791">
        <f>IF(BA$5=$H49,-$E49,0)</f>
        <v>0</v>
      </c>
      <c r="BB49" s="1808">
        <f>IF(BF49=0,0,IF(BF49&lt;0,IF($J49=3,BF49,IF($J49=2,BF49,IF($J49=1,BF49,0)))))</f>
        <v>0</v>
      </c>
      <c r="BC49" s="1807">
        <f>IF(BF49=0,0,IF(BF49&lt;0,IF($J49=6,BF49,IF($J49=5,BF49,IF($J49=4,BF49,0)))))</f>
        <v>0</v>
      </c>
      <c r="BD49" s="1807">
        <f>IF(BF49=0,0,IF(BF49&lt;0,IF($J49=9,BF49,IF($J49=8,BF49,IF($J49=7,BF49,0)))))</f>
        <v>0</v>
      </c>
      <c r="BE49" s="1806">
        <f>IF(BF49=0,0,IF(BF49&lt;0,IF($J49=12,BF49,IF($J49=11,BF49,IF($J49=10,BF49,0)))))</f>
        <v>0</v>
      </c>
      <c r="BF49" s="1791">
        <f>IF(BF$5=$H49,-$E49,0)</f>
        <v>0</v>
      </c>
      <c r="BG49" s="1808">
        <f>IF(BK49=0,0,IF(BK49&lt;0,IF($J49=3,BK49,IF($J49=2,BK49,IF($J49=1,BK49,0)))))</f>
        <v>0</v>
      </c>
      <c r="BH49" s="1807">
        <f>IF(BK49=0,0,IF(BK49&lt;0,IF($J49=6,BK49,IF($J49=5,BK49,IF($J49=4,BK49,0)))))</f>
        <v>0</v>
      </c>
      <c r="BI49" s="1807">
        <f>IF(BK49=0,0,IF(BK49&lt;0,IF($J49=9,BK49,IF($J49=8,BK49,IF($J49=7,BK49,0)))))</f>
        <v>0</v>
      </c>
      <c r="BJ49" s="1806">
        <f>IF(BK49=0,0,IF(BK49&lt;0,IF($J49=12,BK49,IF($J49=11,BK49,IF($J49=10,BK49,0)))))</f>
        <v>0</v>
      </c>
      <c r="BK49" s="1791">
        <f>IF(BK$5=$H49,-$E49,0)</f>
        <v>0</v>
      </c>
      <c r="BL49" s="1808">
        <f>IF(BP49=0,0,IF(BP49&lt;0,IF($J49=3,BP49,IF($J49=2,BP49,IF($J49=1,BP49,0)))))</f>
        <v>0</v>
      </c>
      <c r="BM49" s="1807">
        <f>IF(BP49=0,0,IF(BP49&lt;0,IF($J49=6,BP49,IF($J49=5,BP49,IF($J49=4,BP49,0)))))</f>
        <v>-45</v>
      </c>
      <c r="BN49" s="1807">
        <f>IF(BP49=0,0,IF(BP49&lt;0,IF($J49=9,BP49,IF($J49=8,BP49,IF($J49=7,BP49,0)))))</f>
        <v>0</v>
      </c>
      <c r="BO49" s="1806">
        <f>IF(BP49=0,0,IF(BP49&lt;0,IF($J49=12,BP49,IF($J49=11,BP49,IF($J49=10,BP49,0)))))</f>
        <v>0</v>
      </c>
      <c r="BP49" s="1791">
        <f>IF(BP$5=$H49,-$E49,0)</f>
        <v>-45</v>
      </c>
      <c r="BQ49" s="1827"/>
      <c r="BR49" s="1991">
        <f>IF(AND(BQ49&lt;&gt;0,BQ$5=$H49),-$I49*$E49-BQ49,IF(BR$5=$H49,-$I49*$E49*(12-$J49+1)/12,0))</f>
        <v>0</v>
      </c>
      <c r="BS49" s="1991">
        <f>IF(AND(BR49&lt;&gt;0,BR$5=$H49),-$I49*$E49-BR49,IF(BS$5=$H49,-$I49*$E49*(12-$J49+1)/12,0))</f>
        <v>0</v>
      </c>
      <c r="BT49" s="1992">
        <f>IF($H49&lt;&gt;BX$5,0,IF(BX49&lt;0,IF($J49=1,-$E49*$I49/12*3,IF($J49=2,-$E49*$I49/12*2,IF($J49=3,-$E49*$I49/12*1,0)))))+IF(BS$5&lt;&gt;$H49,0,IF(BS49&lt;0,IF($J49=1,-$E49*$I49/12*0,IF($J49=2,-$E49*$I49/12*1,IF($J49=3,-$E49*$I49/12*2,IF($J49&gt;=4,-$E49*$I49/12*3,0))))))</f>
        <v>0</v>
      </c>
      <c r="BU49" s="1992">
        <f>IF($H49&lt;&gt;BX$5,0,IF(BX49&lt;0,IF(OR($J49=1,$J49=2,$J49=3,$J49=4),-$E49*$I49/12*3,IF($J49=5,-$E49*$I49/12*2,IF($J49=6,-$E49*$I49/12*1,0)))))+IF(BS$5&lt;&gt;$H49,0,IF(BS49&lt;0,IF($J49=4,-$E49*$I49/12*0,IF($J49=5,-$E49*$I49/12*1,IF($J49=6,-$E49*$I49/12*2,IF($J49&gt;=7,-$E49*$I49/12*3,0))))))</f>
        <v>0</v>
      </c>
      <c r="BV49" s="1992">
        <f>IF($H49&lt;&gt;BX$5,0,IF(BX49&lt;0,IF(OR($J49=1,$J49=2,$J49=3,$J49=4,$J49=5,$J49=6,$J49=7),-$E49*$I49/12*3,IF($J49=8,-$E49*$I49/12*2,IF($J49=9,-$E49*$I49/12*1,0)))))+IF(BS$5&lt;&gt;$H49,0,IF(BS49&lt;0,IF($J49=7,-$E49*$I49/12*0,IF($J49=8,-$E49*$I49/12*1,IF($J49=9,-$E49*$I49/12*2,IF($J49&gt;=10,-$E49*$I49/12*3,0))))))</f>
        <v>0</v>
      </c>
      <c r="BW49" s="1992">
        <f>IF($H49&lt;&gt;BX$5,0,IF(BX49&lt;0,IF(OR($J49=1,$J49=2,$J49=3,$J49=4,$J49=5,$J49=6,$J49=7,$J49=8,$J49=9,$J49=10),-$E49*$I49/12*3,IF($J49=11,-$E49*$I49/12*2,IF($J49=12,-$E49*$I49/12*1,0)))))+IF(BS$5&lt;&gt;$H49,0,IF(BS49&lt;0,IF($J49=10,-$E49*$I49/12*0,IF($J49=11,-$E49*$I49/12*1,IF($J49=12,-$E49*$I49/12*2,0)))))</f>
        <v>0</v>
      </c>
      <c r="BX49" s="1810">
        <f>IF(AND(BS49&lt;&gt;0,BS$5=$H49),-$I49*$E49-BS49,IF(BX$5=$H49,-$I49*$E49*(12-$J49+1)/12,0))</f>
        <v>0</v>
      </c>
      <c r="BY49" s="1807">
        <f>IF($H49&lt;&gt;CC$5,0,IF(CC49&lt;0,IF($J49=1,-$E49*$I49/12*3,IF($J49=2,-$E49*$I49/12*2,IF($J49=3,-$E49*$I49/12*1,0)))))+IF(BX$5&lt;&gt;$H49,0,IF(BX49&lt;0,IF($J49=1,-$E49*$I49/12*0,IF($J49=2,-$E49*$I49/12*1,IF($J49=3,-$E49*$I49/12*2,IF($J49&gt;=4,-$E49*$I49/12*3,0))))))</f>
        <v>0</v>
      </c>
      <c r="BZ49" s="1807">
        <f>IF($H49&lt;&gt;CC$5,0,IF(CC49&lt;0,IF(OR($J49=1,$J49=2,$J49=3,$J49=4),-$E49*$I49/12*3,IF($J49=5,-$E49*$I49/12*2,IF($J49=6,-$E49*$I49/12*1,0)))))+IF(BX$5&lt;&gt;$H49,0,IF(BX49&lt;0,IF($J49=4,-$E49*$I49/12*0,IF($J49=5,-$E49*$I49/12*1,IF($J49=6,-$E49*$I49/12*2,IF($J49&gt;=7,-$E49*$I49/12*3,0))))))</f>
        <v>0</v>
      </c>
      <c r="CA49" s="1807">
        <f>IF($H49&lt;&gt;CC$5,0,IF(CC49&lt;0,IF(OR($J49=1,$J49=2,$J49=3,$J49=4,$J49=5,$J49=6,$J49=7),-$E49*$I49/12*3,IF($J49=8,-$E49*$I49/12*2,IF($J49=9,-$E49*$I49/12*1,0)))))+IF(BX$5&lt;&gt;$H49,0,IF(BX49&lt;0,IF($J49=7,-$E49*$I49/12*0,IF($J49=8,-$E49*$I49/12*1,IF($J49=9,-$E49*$I49/12*2,IF($J49&gt;=10,-$E49*$I49/12*3,0))))))</f>
        <v>0</v>
      </c>
      <c r="CB49" s="1806">
        <f>IF($H49&lt;&gt;CC$5,0,IF(CC49&lt;0,IF(OR($J49=1,$J49=2,$J49=3,$J49=4,$J49=5,$J49=6,$J49=7,$J49=8,$J49=9,$J49=10),-$E49*$I49/12*3,IF($J49=11,-$E49*$I49/12*2,IF($J49=12,-$E49*$I49/12*1,0)))))+IF(BX$5&lt;&gt;$H49,0,IF(BX49&lt;0,IF($J49=10,-$E49*$I49/12*0,IF($J49=11,-$E49*$I49/12*1,IF($J49=12,-$E49*$I49/12*2,0)))))</f>
        <v>0</v>
      </c>
      <c r="CC49" s="1791">
        <f>IF(AND(BX49&lt;&gt;0,BX$5=$H49),-$I49*$E49-BX49,IF(CC$5=$H49,-$I49*$E49*(12-$J49+1)/12,0))</f>
        <v>0</v>
      </c>
      <c r="CD49" s="1808">
        <f>IF($H49&lt;&gt;CH$5,0,IF(CH49&lt;0,IF($J49=1,-$E49*$I49/12*3,IF($J49=2,-$E49*$I49/12*2,IF($J49=3,-$E49*$I49/12*1,0)))))+IF(CC$5&lt;&gt;$H49,0,IF(CC49&lt;0,IF($J49=1,-$E49*$I49/12*0,IF($J49=2,-$E49*$I49/12*1,IF($J49=3,-$E49*$I49/12*2,IF($J49&gt;=4,-$E49*$I49/12*3,0))))))</f>
        <v>0</v>
      </c>
      <c r="CE49" s="1807">
        <f>IF($H49&lt;&gt;CH$5,0,IF(CH49&lt;0,IF(OR($J49=1,$J49=2,$J49=3,$J49=4),-$E49*$I49/12*3,IF($J49=5,-$E49*$I49/12*2,IF($J49=6,-$E49*$I49/12*1,0)))))+IF(CC$5&lt;&gt;$H49,0,IF(CC49&lt;0,IF($J49=4,-$E49*$I49/12*0,IF($J49=5,-$E49*$I49/12*1,IF($J49=6,-$E49*$I49/12*2,IF($J49&gt;=7,-$E49*$I49/12*3,0))))))</f>
        <v>0</v>
      </c>
      <c r="CF49" s="1807">
        <f>IF($H49&lt;&gt;CH$5,0,IF(CH49&lt;0,IF(OR($J49=1,$J49=2,$J49=3,$J49=4,$J49=5,$J49=6,$J49=7),-$E49*$I49/12*3,IF($J49=8,-$E49*$I49/12*2,IF($J49=9,-$E49*$I49/12*1,0)))))+IF(CC$5&lt;&gt;$H49,0,IF(CC49&lt;0,IF($J49=7,-$E49*$I49/12*0,IF($J49=8,-$E49*$I49/12*1,IF($J49=9,-$E49*$I49/12*2,IF($J49&gt;=10,-$E49*$I49/12*3,0))))))</f>
        <v>0</v>
      </c>
      <c r="CG49" s="1806">
        <f>IF($H49&lt;&gt;CH$5,0,IF(CH49&lt;0,IF(OR($J49=1,$J49=2,$J49=3,$J49=4,$J49=5,$J49=6,$J49=7,$J49=8,$J49=9,$J49=10),-$E49*$I49/12*3,IF($J49=11,-$E49*$I49/12*2,IF($J49=12,-$E49*$I49/12*1,0)))))+IF(CC$5&lt;&gt;$H49,0,IF(CC49&lt;0,IF($J49=10,-$E49*$I49/12*0,IF($J49=11,-$E49*$I49/12*1,IF($J49=12,-$E49*$I49/12*2,0)))))</f>
        <v>0</v>
      </c>
      <c r="CH49" s="1791">
        <f>IF(AND(CC49&lt;&gt;0,CC$5=$H49),-$I49*$E49-CC49,IF(CH$5=$H49,-$I49*$E49*(12-$J49+1)/12,0))</f>
        <v>0</v>
      </c>
      <c r="CI49" s="1808">
        <f>IF($H49&lt;&gt;CM$5,0,IF(CM49&lt;0,IF($J49=1,-$E49*$I49/12*3,IF($J49=2,-$E49*$I49/12*2,IF($J49=3,-$E49*$I49/12*1,0)))))+IF(CH$5&lt;&gt;$H49,0,IF(CH49&lt;0,IF($J49=1,-$E49*$I49/12*0,IF($J49=2,-$E49*$I49/12*1,IF($J49=3,-$E49*$I49/12*2,IF($J49&gt;=4,-$E49*$I49/12*3,0))))))</f>
        <v>0</v>
      </c>
      <c r="CJ49" s="1807">
        <f>IF($H49&lt;&gt;CM$5,0,IF(CM49&lt;0,IF(OR($J49=1,$J49=2,$J49=3,$J49=4),-$E49*$I49/12*3,IF($J49=5,-$E49*$I49/12*2,IF($J49=6,-$E49*$I49/12*1,0)))))+IF(CH$5&lt;&gt;$H49,0,IF(CH49&lt;0,IF($J49=4,-$E49*$I49/12*0,IF($J49=5,-$E49*$I49/12*1,IF($J49=6,-$E49*$I49/12*2,IF($J49&gt;=7,-$E49*$I49/12*3,0))))))</f>
        <v>0</v>
      </c>
      <c r="CK49" s="1807">
        <f>IF($H49&lt;&gt;CM$5,0,IF(CM49&lt;0,IF(OR($J49=1,$J49=2,$J49=3,$J49=4,$J49=5,$J49=6,$J49=7),-$E49*$I49/12*3,IF($J49=8,-$E49*$I49/12*2,IF($J49=9,-$E49*$I49/12*1,0)))))+IF(CH$5&lt;&gt;$H49,0,IF(CH49&lt;0,IF($J49=7,-$E49*$I49/12*0,IF($J49=8,-$E49*$I49/12*1,IF($J49=9,-$E49*$I49/12*2,IF($J49&gt;=10,-$E49*$I49/12*3,0))))))</f>
        <v>0</v>
      </c>
      <c r="CL49" s="1806">
        <f>IF($H49&lt;&gt;CM$5,0,IF(CM49&lt;0,IF(OR($J49=1,$J49=2,$J49=3,$J49=4,$J49=5,$J49=6,$J49=7,$J49=8,$J49=9,$J49=10),-$E49*$I49/12*3,IF($J49=11,-$E49*$I49/12*2,IF($J49=12,-$E49*$I49/12*1,0)))))+IF(CH$5&lt;&gt;$H49,0,IF(CH49&lt;0,IF($J49=10,-$E49*$I49/12*0,IF($J49=11,-$E49*$I49/12*1,IF($J49=12,-$E49*$I49/12*2,0)))))</f>
        <v>0</v>
      </c>
      <c r="CM49" s="1791">
        <f>IF(AND(CH49&lt;&gt;0,CH$5=$H49),-$I49*$E49-CH49,IF(CM$5=$H49,-$I49*$E49*(12-$J49+1)/12,0))</f>
        <v>0</v>
      </c>
      <c r="CN49" s="1808">
        <f>IF($H49&lt;&gt;CR$5,0,IF(CR49&lt;0,IF($J49=1,-$E49*$I49/12*3,IF($J49=2,-$E49*$I49/12*2,IF($J49=3,-$E49*$I49/12*1,0)))))+IF(CM$5&lt;&gt;$H49,0,IF(CM49&lt;0,IF($J49=1,-$E49*$I49/12*0,IF($J49=2,-$E49*$I49/12*1,IF($J49=3,-$E49*$I49/12*2,IF($J49&gt;=4,-$E49*$I49/12*3,0))))))</f>
        <v>0</v>
      </c>
      <c r="CO49" s="1807">
        <f>IF($H49&lt;&gt;CR$5,0,IF(CR49&lt;0,IF(OR($J49=1,$J49=2,$J49=3,$J49=4),-$E49*$I49/12*3,IF($J49=5,-$E49*$I49/12*2,IF($J49=6,-$E49*$I49/12*1,0)))))+IF(CM$5&lt;&gt;$H49,0,IF(CM49&lt;0,IF($J49=4,-$E49*$I49/12*0,IF($J49=5,-$E49*$I49/12*1,IF($J49=6,-$E49*$I49/12*2,IF($J49&gt;=7,-$E49*$I49/12*3,0))))))</f>
        <v>0</v>
      </c>
      <c r="CP49" s="1807">
        <f>IF($H49&lt;&gt;CR$5,0,IF(CR49&lt;0,IF(OR($J49=1,$J49=2,$J49=3,$J49=4,$J49=5,$J49=6,$J49=7),-$E49*$I49/12*3,IF($J49=8,-$E49*$I49/12*2,IF($J49=9,-$E49*$I49/12*1,0)))))+IF(CM$5&lt;&gt;$H49,0,IF(CM49&lt;0,IF($J49=7,-$E49*$I49/12*0,IF($J49=8,-$E49*$I49/12*1,IF($J49=9,-$E49*$I49/12*2,IF($J49&gt;=10,-$E49*$I49/12*3,0))))))</f>
        <v>0</v>
      </c>
      <c r="CQ49" s="1806">
        <f>IF($H49&lt;&gt;CR$5,0,IF(CR49&lt;0,IF(OR($J49=1,$J49=2,$J49=3,$J49=4,$J49=5,$J49=6,$J49=7,$J49=8,$J49=9,$J49=10),-$E49*$I49/12*3,IF($J49=11,-$E49*$I49/12*2,IF($J49=12,-$E49*$I49/12*1,0)))))+IF(CM$5&lt;&gt;$H49,0,IF(CM49&lt;0,IF($J49=10,-$E49*$I49/12*0,IF($J49=11,-$E49*$I49/12*1,IF($J49=12,-$E49*$I49/12*2,0)))))</f>
        <v>0</v>
      </c>
      <c r="CR49" s="1791">
        <f>IF(AND(CM49&lt;&gt;0,CM$5=$H49),-$I49*$E49-CM49,IF(CR$5=$H49,-$I49*$E49*(12-$J49+1)/12,0))</f>
        <v>0</v>
      </c>
      <c r="CS49" s="1808">
        <f>IF($H49&lt;&gt;CW$5,0,IF(CW49&lt;0,IF($J49=1,-$E49*$I49/12*3,IF($J49=2,-$E49*$I49/12*2,IF($J49=3,-$E49*$I49/12*1,0)))))+IF(CR$5&lt;&gt;$H49,0,IF(CR49&lt;0,IF($J49=1,-$E49*$I49/12*0,IF($J49=2,-$E49*$I49/12*1,IF($J49=3,-$E49*$I49/12*2,IF($J49&gt;=4,-$E49*$I49/12*3,0))))))</f>
        <v>0</v>
      </c>
      <c r="CT49" s="1807">
        <f>IF($H49&lt;&gt;CW$5,0,IF(CW49&lt;0,IF(OR($J49=1,$J49=2,$J49=3,$J49=4),-$E49*$I49/12*3,IF($J49=5,-$E49*$I49/12*2,IF($J49=6,-$E49*$I49/12*1,0)))))+IF(CR$5&lt;&gt;$H49,0,IF(CR49&lt;0,IF($J49=4,-$E49*$I49/12*0,IF($J49=5,-$E49*$I49/12*1,IF($J49=6,-$E49*$I49/12*2,IF($J49&gt;=7,-$E49*$I49/12*3,0))))))</f>
        <v>0</v>
      </c>
      <c r="CU49" s="1807">
        <f>IF($H49&lt;&gt;CW$5,0,IF(CW49&lt;0,IF(OR($J49=1,$J49=2,$J49=3,$J49=4,$J49=5,$J49=6,$J49=7),-$E49*$I49/12*3,IF($J49=8,-$E49*$I49/12*2,IF($J49=9,-$E49*$I49/12*1,0)))))+IF(CR$5&lt;&gt;$H49,0,IF(CR49&lt;0,IF($J49=7,-$E49*$I49/12*0,IF($J49=8,-$E49*$I49/12*1,IF($J49=9,-$E49*$I49/12*2,IF($J49&gt;=10,-$E49*$I49/12*3,0))))))</f>
        <v>0</v>
      </c>
      <c r="CV49" s="1806">
        <f>IF($H49&lt;&gt;CW$5,0,IF(CW49&lt;0,IF(OR($J49=1,$J49=2,$J49=3,$J49=4,$J49=5,$J49=6,$J49=7,$J49=8,$J49=9,$J49=10),-$E49*$I49/12*3,IF($J49=11,-$E49*$I49/12*2,IF($J49=12,-$E49*$I49/12*1,0)))))+IF(CR$5&lt;&gt;$H49,0,IF(CR49&lt;0,IF($J49=10,-$E49*$I49/12*0,IF($J49=11,-$E49*$I49/12*1,IF($J49=12,-$E49*$I49/12*2,0)))))</f>
        <v>0</v>
      </c>
      <c r="CW49" s="1791">
        <f>IF(AND(CR49&lt;&gt;0,CR$5=$H49),-$I49*$E49-CR49,IF(CW$5=$H49,-$I49*$E49*(12-$J49+1)/12,0))</f>
        <v>0</v>
      </c>
      <c r="CX49" s="1808">
        <f>IF($H49&lt;&gt;DB$5,0,IF(DB49&lt;0,IF($J49=1,-$E49*$I49/12*3,IF($J49=2,-$E49*$I49/12*2,IF($J49=3,-$E49*$I49/12*1,0)))))+IF(CW$5&lt;&gt;$H49,0,IF(CW49&lt;0,IF($J49=1,-$E49*$I49/12*0,IF($J49=2,-$E49*$I49/12*1,IF($J49=3,-$E49*$I49/12*2,IF($J49&gt;=4,-$E49*$I49/12*3,0))))))</f>
        <v>0</v>
      </c>
      <c r="CY49" s="1807">
        <f>IF($H49&lt;&gt;DB$5,0,IF(DB49&lt;0,IF(OR($J49=1,$J49=2,$J49=3,$J49=4),-$E49*$I49/12*3,IF($J49=5,-$E49*$I49/12*2,IF($J49=6,-$E49*$I49/12*1,0)))))+IF(CW$5&lt;&gt;$H49,0,IF(CW49&lt;0,IF($J49=4,-$E49*$I49/12*0,IF($J49=5,-$E49*$I49/12*1,IF($J49=6,-$E49*$I49/12*2,IF($J49&gt;=7,-$E49*$I49/12*3,0))))))</f>
        <v>0</v>
      </c>
      <c r="CZ49" s="1807">
        <f>IF($H49&lt;&gt;DB$5,0,IF(DB49&lt;0,IF(OR($J49=1,$J49=2,$J49=3,$J49=4,$J49=5,$J49=6,$J49=7),-$E49*$I49/12*3,IF($J49=8,-$E49*$I49/12*2,IF($J49=9,-$E49*$I49/12*1,0)))))+IF(CW$5&lt;&gt;$H49,0,IF(CW49&lt;0,IF($J49=7,-$E49*$I49/12*0,IF($J49=8,-$E49*$I49/12*1,IF($J49=9,-$E49*$I49/12*2,IF($J49&gt;=10,-$E49*$I49/12*3,0))))))</f>
        <v>0</v>
      </c>
      <c r="DA49" s="1806">
        <f>IF($H49&lt;&gt;DB$5,0,IF(DB49&lt;0,IF(OR($J49=1,$J49=2,$J49=3,$J49=4,$J49=5,$J49=6,$J49=7,$J49=8,$J49=9,$J49=10),-$E49*$I49/12*3,IF($J49=11,-$E49*$I49/12*2,IF($J49=12,-$E49*$I49/12*1,0)))))+IF(CW$5&lt;&gt;$H49,0,IF(CW49&lt;0,IF($J49=10,-$E49*$I49/12*0,IF($J49=11,-$E49*$I49/12*1,IF($J49=12,-$E49*$I49/12*2,0)))))</f>
        <v>0</v>
      </c>
      <c r="DB49" s="1791">
        <f>IF(AND(CW49&lt;&gt;0,CW$5=$H49),-$I49*$E49-CW49,IF(DB$5=$H49,-$I49*$E49*(12-$J49+1)/12,0))</f>
        <v>0</v>
      </c>
      <c r="DC49" s="1808">
        <f>IF($H49&lt;&gt;DG$5,0,IF(DG49&lt;0,IF($J49=1,-$E49*$I49/12*3,IF($J49=2,-$E49*$I49/12*2,IF($J49=3,-$E49*$I49/12*1,0)))))+IF(DB$5&lt;&gt;$H49,0,IF(DB49&lt;0,IF($J49=1,-$E49*$I49/12*0,IF($J49=2,-$E49*$I49/12*1,IF($J49=3,-$E49*$I49/12*2,IF($J49&gt;=4,-$E49*$I49/12*3,0))))))</f>
        <v>0</v>
      </c>
      <c r="DD49" s="1807">
        <f>IF($H49&lt;&gt;DG$5,0,IF(DG49&lt;0,IF(OR($J49=1,$J49=2,$J49=3,$J49=4),-$E49*$I49/12*3,IF($J49=5,-$E49*$I49/12*2,IF($J49=6,-$E49*$I49/12*1,0)))))+IF(DB$5&lt;&gt;$H49,0,IF(DB49&lt;0,IF($J49=4,-$E49*$I49/12*0,IF($J49=5,-$E49*$I49/12*1,IF($J49=6,-$E49*$I49/12*2,IF($J49&gt;=7,-$E49*$I49/12*3,0))))))</f>
        <v>0</v>
      </c>
      <c r="DE49" s="1807">
        <f>IF($H49&lt;&gt;DG$5,0,IF(DG49&lt;0,IF(OR($J49=1,$J49=2,$J49=3,$J49=4,$J49=5,$J49=6,$J49=7),-$E49*$I49/12*3,IF($J49=8,-$E49*$I49/12*2,IF($J49=9,-$E49*$I49/12*1,0)))))+IF(DB$5&lt;&gt;$H49,0,IF(DB49&lt;0,IF($J49=7,-$E49*$I49/12*0,IF($J49=8,-$E49*$I49/12*1,IF($J49=9,-$E49*$I49/12*2,IF($J49&gt;=10,-$E49*$I49/12*3,0))))))</f>
        <v>0</v>
      </c>
      <c r="DF49" s="1806">
        <f>IF($H49&lt;&gt;DG$5,0,IF(DG49&lt;0,IF(OR($J49=1,$J49=2,$J49=3,$J49=4,$J49=5,$J49=6,$J49=7,$J49=8,$J49=9,$J49=10),-$E49*$I49/12*3,IF($J49=11,-$E49*$I49/12*2,IF($J49=12,-$E49*$I49/12*1,0)))))+IF(DB$5&lt;&gt;$H49,0,IF(DB49&lt;0,IF($J49=10,-$E49*$I49/12*0,IF($J49=11,-$E49*$I49/12*1,IF($J49=12,-$E49*$I49/12*2,0)))))</f>
        <v>0</v>
      </c>
      <c r="DG49" s="1791">
        <f>IF(AND(DB49&lt;&gt;0,DB$5=$H49),-$I49*$E49-DB49,IF(DG$5=$H49,-$I49*$E49*(12-$J49+1)/12,0))</f>
        <v>0</v>
      </c>
      <c r="DH49" s="1808">
        <f>IF($H49&lt;&gt;DL$5,0,IF(DL49&lt;0,IF($J49=1,-$E49*$I49/12*3,IF($J49=2,-$E49*$I49/12*2,IF($J49=3,-$E49*$I49/12*1,0)))))+IF(DG$5&lt;&gt;$H49,0,IF(DG49&lt;0,IF($J49=1,-$E49*$I49/12*0,IF($J49=2,-$E49*$I49/12*1,IF($J49=3,-$E49*$I49/12*2,IF($J49&gt;=4,-$E49*$I49/12*3,0))))))</f>
        <v>0</v>
      </c>
      <c r="DI49" s="1807">
        <f>IF($H49&lt;&gt;DL$5,0,IF(DL49&lt;0,IF(OR($J49=1,$J49=2,$J49=3,$J49=4),-$E49*$I49/12*3,IF($J49=5,-$E49*$I49/12*2,IF($J49=6,-$E49*$I49/12*1,0)))))+IF(DG$5&lt;&gt;$H49,0,IF(DG49&lt;0,IF($J49=4,-$E49*$I49/12*0,IF($J49=5,-$E49*$I49/12*1,IF($J49=6,-$E49*$I49/12*2,IF($J49&gt;=7,-$E49*$I49/12*3,0))))))</f>
        <v>0</v>
      </c>
      <c r="DJ49" s="1807">
        <f>IF($H49&lt;&gt;DL$5,0,IF(DL49&lt;0,IF(OR($J49=1,$J49=2,$J49=3,$J49=4,$J49=5,$J49=6,$J49=7),-$E49*$I49/12*3,IF($J49=8,-$E49*$I49/12*2,IF($J49=9,-$E49*$I49/12*1,0)))))+IF(DG$5&lt;&gt;$H49,0,IF(DG49&lt;0,IF($J49=7,-$E49*$I49/12*0,IF($J49=8,-$E49*$I49/12*1,IF($J49=9,-$E49*$I49/12*2,IF($J49&gt;=10,-$E49*$I49/12*3,0))))))</f>
        <v>0</v>
      </c>
      <c r="DK49" s="1806">
        <f>IF($H49&lt;&gt;DL$5,0,IF(DL49&lt;0,IF(OR($J49=1,$J49=2,$J49=3,$J49=4,$J49=5,$J49=6,$J49=7,$J49=8,$J49=9,$J49=10),-$E49*$I49/12*3,IF($J49=11,-$E49*$I49/12*2,IF($J49=12,-$E49*$I49/12*1,0)))))+IF(DG$5&lt;&gt;$H49,0,IF(DG49&lt;0,IF($J49=10,-$E49*$I49/12*0,IF($J49=11,-$E49*$I49/12*1,IF($J49=12,-$E49*$I49/12*2,0)))))</f>
        <v>0</v>
      </c>
      <c r="DL49" s="1791">
        <f>IF(AND(DG49&lt;&gt;0,DG$5=$H49),-$I49*$E49-DG49,IF(DL$5=$H49,-$I49*$E49*(12-$J49+1)/12,0))</f>
        <v>0</v>
      </c>
      <c r="DM49" s="1808">
        <f>IF($H49&lt;&gt;DQ$5,0,IF(DQ49&lt;0,IF($J49=1,-$E49*$I49/12*3,IF($J49=2,-$E49*$I49/12*2,IF($J49=3,-$E49*$I49/12*1,0)))))+IF(DL$5&lt;&gt;$H49,0,IF(DL49&lt;0,IF($J49=1,-$E49*$I49/12*0,IF($J49=2,-$E49*$I49/12*1,IF($J49=3,-$E49*$I49/12*2,IF($J49&gt;=4,-$E49*$I49/12*3,0))))))</f>
        <v>0</v>
      </c>
      <c r="DN49" s="1807">
        <f>IF($H49&lt;&gt;DQ$5,0,IF(DQ49&lt;0,IF(OR($J49=1,$J49=2,$J49=3,$J49=4),-$E49*$I49/12*3,IF($J49=5,-$E49*$I49/12*2,IF($J49=6,-$E49*$I49/12*1,0)))))+IF(DL$5&lt;&gt;$H49,0,IF(DL49&lt;0,IF($J49=4,-$E49*$I49/12*0,IF($J49=5,-$E49*$I49/12*1,IF($J49=6,-$E49*$I49/12*2,IF($J49&gt;=7,-$E49*$I49/12*3,0))))))</f>
        <v>0</v>
      </c>
      <c r="DO49" s="1807">
        <f>IF($H49&lt;&gt;DQ$5,0,IF(DQ49&lt;0,IF(OR($J49=1,$J49=2,$J49=3,$J49=4,$J49=5,$J49=6,$J49=7),-$E49*$I49/12*3,IF($J49=8,-$E49*$I49/12*2,IF($J49=9,-$E49*$I49/12*1,0)))))+IF(DL$5&lt;&gt;$H49,0,IF(DL49&lt;0,IF($J49=7,-$E49*$I49/12*0,IF($J49=8,-$E49*$I49/12*1,IF($J49=9,-$E49*$I49/12*2,IF($J49&gt;=10,-$E49*$I49/12*3,0))))))</f>
        <v>0</v>
      </c>
      <c r="DP49" s="1806">
        <f>IF($H49&lt;&gt;DQ$5,0,IF(DQ49&lt;0,IF(OR($J49=1,$J49=2,$J49=3,$J49=4,$J49=5,$J49=6,$J49=7,$J49=8,$J49=9,$J49=10),-$E49*$I49/12*3,IF($J49=11,-$E49*$I49/12*2,IF($J49=12,-$E49*$I49/12*1,0)))))+IF(DL$5&lt;&gt;$H49,0,IF(DL49&lt;0,IF($J49=10,-$E49*$I49/12*0,IF($J49=11,-$E49*$I49/12*1,IF($J49=12,-$E49*$I49/12*2,0)))))</f>
        <v>0</v>
      </c>
      <c r="DQ49" s="1791">
        <f>IF(AND(DL49&lt;&gt;0,DL$5=$H49),-$I49*$E49-DL49,IF(DQ$5=$H49,-$I49*$E49*(12-$J49+1)/12,0))</f>
        <v>0</v>
      </c>
      <c r="DR49" s="1808">
        <f>IF($H49&lt;&gt;DV$5,0,IF(DV49&lt;0,IF($J49=1,-$E49*$I49/12*3,IF($J49=2,-$E49*$I49/12*2,IF($J49=3,-$E49*$I49/12*1,0)))))+IF(DQ$5&lt;&gt;$H49,0,IF(DQ49&lt;0,IF($J49=1,-$E49*$I49/12*0,IF($J49=2,-$E49*$I49/12*1,IF($J49=3,-$E49*$I49/12*2,IF($J49&gt;=4,-$E49*$I49/12*3,0))))))</f>
        <v>0</v>
      </c>
      <c r="DS49" s="1807">
        <f>IF($H49&lt;&gt;DV$5,0,IF(DV49&lt;0,IF(OR($J49=1,$J49=2,$J49=3,$J49=4),-$E49*$I49/12*3,IF($J49=5,-$E49*$I49/12*2,IF($J49=6,-$E49*$I49/12*1,0)))))+IF(DQ$5&lt;&gt;$H49,0,IF(DQ49&lt;0,IF($J49=4,-$E49*$I49/12*0,IF($J49=5,-$E49*$I49/12*1,IF($J49=6,-$E49*$I49/12*2,IF($J49&gt;=7,-$E49*$I49/12*3,0))))))</f>
        <v>-8.9062500000000003E-2</v>
      </c>
      <c r="DT49" s="1807">
        <f>IF($H49&lt;&gt;DV$5,0,IF(DV49&lt;0,IF(OR($J49=1,$J49=2,$J49=3,$J49=4,$J49=5,$J49=6,$J49=7),-$E49*$I49/12*3,IF($J49=8,-$E49*$I49/12*2,IF($J49=9,-$E49*$I49/12*1,0)))))+IF(DQ$5&lt;&gt;$H49,0,IF(DQ49&lt;0,IF($J49=7,-$E49*$I49/12*0,IF($J49=8,-$E49*$I49/12*1,IF($J49=9,-$E49*$I49/12*2,IF($J49&gt;=10,-$E49*$I49/12*3,0))))))</f>
        <v>-0.26718750000000002</v>
      </c>
      <c r="DU49" s="1806">
        <f>IF($H49&lt;&gt;DV$5,0,IF(DV49&lt;0,IF(OR($J49=1,$J49=2,$J49=3,$J49=4,$J49=5,$J49=6,$J49=7,$J49=8,$J49=9,$J49=10),-$E49*$I49/12*3,IF($J49=11,-$E49*$I49/12*2,IF($J49=12,-$E49*$I49/12*1,0)))))+IF(DQ$5&lt;&gt;$H49,0,IF(DQ49&lt;0,IF($J49=10,-$E49*$I49/12*0,IF($J49=11,-$E49*$I49/12*1,IF($J49=12,-$E49*$I49/12*2,0)))))</f>
        <v>-0.26718750000000002</v>
      </c>
      <c r="DV49" s="1791">
        <f>IF(AND(DQ49&lt;&gt;0,DQ$5=$H49),-$I49*$E49-DQ49,IF(DV$5=$H49,-$I49*$E49*(12-$J49+1)/12,0))</f>
        <v>-0.62343750000000009</v>
      </c>
    </row>
    <row r="50" spans="1:126">
      <c r="A50" s="455"/>
      <c r="B50" s="455"/>
      <c r="C50" s="1363"/>
      <c r="D50" s="94"/>
      <c r="E50" s="1817"/>
      <c r="F50" s="1435"/>
      <c r="G50" s="1435"/>
      <c r="H50" s="1350"/>
      <c r="I50" s="1335"/>
      <c r="J50" s="1600"/>
      <c r="K50" s="1792"/>
      <c r="L50" s="1810"/>
      <c r="M50" s="1791"/>
      <c r="N50" s="1808"/>
      <c r="O50" s="1807"/>
      <c r="P50" s="1807"/>
      <c r="Q50" s="1806"/>
      <c r="R50" s="1791"/>
      <c r="S50" s="1808"/>
      <c r="T50" s="1807"/>
      <c r="U50" s="1807"/>
      <c r="V50" s="1806"/>
      <c r="W50" s="1791"/>
      <c r="X50" s="1808"/>
      <c r="Y50" s="1807"/>
      <c r="Z50" s="1807"/>
      <c r="AA50" s="1806"/>
      <c r="AB50" s="1791"/>
      <c r="AC50" s="1808"/>
      <c r="AD50" s="1807"/>
      <c r="AE50" s="1807"/>
      <c r="AF50" s="1806"/>
      <c r="AG50" s="1791"/>
      <c r="AH50" s="1808"/>
      <c r="AI50" s="1807"/>
      <c r="AJ50" s="1807"/>
      <c r="AK50" s="1806"/>
      <c r="AL50" s="1791"/>
      <c r="AM50" s="1808"/>
      <c r="AN50" s="1807"/>
      <c r="AO50" s="1807"/>
      <c r="AP50" s="1806"/>
      <c r="AQ50" s="1791"/>
      <c r="AR50" s="1808"/>
      <c r="AS50" s="1807"/>
      <c r="AT50" s="1807"/>
      <c r="AU50" s="1806"/>
      <c r="AV50" s="1791"/>
      <c r="AW50" s="1808"/>
      <c r="AX50" s="1807"/>
      <c r="AY50" s="1807"/>
      <c r="AZ50" s="1806"/>
      <c r="BA50" s="1791"/>
      <c r="BB50" s="1808"/>
      <c r="BC50" s="1807"/>
      <c r="BD50" s="1807"/>
      <c r="BE50" s="1806"/>
      <c r="BF50" s="1791"/>
      <c r="BG50" s="1808"/>
      <c r="BH50" s="1807"/>
      <c r="BI50" s="1807"/>
      <c r="BJ50" s="1806"/>
      <c r="BK50" s="1791"/>
      <c r="BL50" s="1808"/>
      <c r="BM50" s="1807"/>
      <c r="BN50" s="1807"/>
      <c r="BO50" s="1806"/>
      <c r="BP50" s="1791"/>
      <c r="BQ50" s="1827"/>
      <c r="BR50" s="1991"/>
      <c r="BS50" s="1991"/>
      <c r="BT50" s="1992"/>
      <c r="BU50" s="1992"/>
      <c r="BV50" s="1992"/>
      <c r="BW50" s="1992"/>
      <c r="BX50" s="1810"/>
      <c r="BY50" s="1807"/>
      <c r="BZ50" s="1807"/>
      <c r="CA50" s="1807"/>
      <c r="CB50" s="1806"/>
      <c r="CC50" s="1791"/>
      <c r="CD50" s="1808"/>
      <c r="CE50" s="1807"/>
      <c r="CF50" s="1807"/>
      <c r="CG50" s="1806"/>
      <c r="CH50" s="1791"/>
      <c r="CI50" s="1808"/>
      <c r="CJ50" s="1807"/>
      <c r="CK50" s="1807"/>
      <c r="CL50" s="1806"/>
      <c r="CM50" s="1791"/>
      <c r="CN50" s="1808"/>
      <c r="CO50" s="1807"/>
      <c r="CP50" s="1807"/>
      <c r="CQ50" s="1806"/>
      <c r="CR50" s="1791"/>
      <c r="CS50" s="1808"/>
      <c r="CT50" s="1807"/>
      <c r="CU50" s="1807"/>
      <c r="CV50" s="1806"/>
      <c r="CW50" s="1791"/>
      <c r="CX50" s="1808"/>
      <c r="CY50" s="1807"/>
      <c r="CZ50" s="1807"/>
      <c r="DA50" s="1806"/>
      <c r="DB50" s="1791"/>
      <c r="DC50" s="1808"/>
      <c r="DD50" s="1807"/>
      <c r="DE50" s="1807"/>
      <c r="DF50" s="1806"/>
      <c r="DG50" s="1791"/>
      <c r="DH50" s="1808"/>
      <c r="DI50" s="1807"/>
      <c r="DJ50" s="1807"/>
      <c r="DK50" s="1806"/>
      <c r="DL50" s="1791"/>
      <c r="DM50" s="1808"/>
      <c r="DN50" s="1807"/>
      <c r="DO50" s="1807"/>
      <c r="DP50" s="1806"/>
      <c r="DQ50" s="1791"/>
      <c r="DR50" s="1808"/>
      <c r="DS50" s="1807"/>
      <c r="DT50" s="1807"/>
      <c r="DU50" s="1806"/>
      <c r="DV50" s="1791"/>
    </row>
    <row r="51" spans="1:126">
      <c r="A51" s="455"/>
      <c r="B51" s="455"/>
      <c r="C51" s="1596" t="s">
        <v>747</v>
      </c>
      <c r="D51" s="94"/>
      <c r="E51" s="1817"/>
      <c r="F51" s="455"/>
      <c r="G51" s="455"/>
      <c r="H51" s="1597"/>
      <c r="I51" s="1598"/>
      <c r="J51" s="1599"/>
      <c r="K51" s="1792"/>
      <c r="L51" s="1810"/>
      <c r="M51" s="1791"/>
      <c r="N51" s="1808"/>
      <c r="O51" s="1807"/>
      <c r="P51" s="1807"/>
      <c r="Q51" s="1806"/>
      <c r="R51" s="1791"/>
      <c r="S51" s="1808"/>
      <c r="T51" s="1807"/>
      <c r="U51" s="1807"/>
      <c r="V51" s="1806"/>
      <c r="W51" s="1791"/>
      <c r="X51" s="1808"/>
      <c r="Y51" s="1807"/>
      <c r="Z51" s="1807"/>
      <c r="AA51" s="1806"/>
      <c r="AB51" s="1791"/>
      <c r="AC51" s="1808"/>
      <c r="AD51" s="1807"/>
      <c r="AE51" s="1807"/>
      <c r="AF51" s="1806"/>
      <c r="AG51" s="1791"/>
      <c r="AH51" s="1808"/>
      <c r="AI51" s="1807"/>
      <c r="AJ51" s="1807"/>
      <c r="AK51" s="1806"/>
      <c r="AL51" s="1791"/>
      <c r="AM51" s="1808"/>
      <c r="AN51" s="1807"/>
      <c r="AO51" s="1807"/>
      <c r="AP51" s="1806"/>
      <c r="AQ51" s="1791"/>
      <c r="AR51" s="1808"/>
      <c r="AS51" s="1807"/>
      <c r="AT51" s="1807"/>
      <c r="AU51" s="1806"/>
      <c r="AV51" s="1791"/>
      <c r="AW51" s="1808"/>
      <c r="AX51" s="1807"/>
      <c r="AY51" s="1807"/>
      <c r="AZ51" s="1806"/>
      <c r="BA51" s="1791"/>
      <c r="BB51" s="1808"/>
      <c r="BC51" s="1807"/>
      <c r="BD51" s="1807"/>
      <c r="BE51" s="1806"/>
      <c r="BF51" s="1791"/>
      <c r="BG51" s="1808"/>
      <c r="BH51" s="1807"/>
      <c r="BI51" s="1807"/>
      <c r="BJ51" s="1806"/>
      <c r="BK51" s="1791"/>
      <c r="BL51" s="1808"/>
      <c r="BM51" s="1807"/>
      <c r="BN51" s="1807"/>
      <c r="BO51" s="1806"/>
      <c r="BP51" s="1791"/>
      <c r="BQ51" s="1827"/>
      <c r="BR51" s="1991"/>
      <c r="BS51" s="1991"/>
      <c r="BT51" s="1992"/>
      <c r="BU51" s="1992"/>
      <c r="BV51" s="1992"/>
      <c r="BW51" s="1992"/>
      <c r="BX51" s="1810"/>
      <c r="BY51" s="1807"/>
      <c r="BZ51" s="1807"/>
      <c r="CA51" s="1807"/>
      <c r="CB51" s="1806"/>
      <c r="CC51" s="1791"/>
      <c r="CD51" s="1808"/>
      <c r="CE51" s="1807"/>
      <c r="CF51" s="1807"/>
      <c r="CG51" s="1806"/>
      <c r="CH51" s="1791"/>
      <c r="CI51" s="1808"/>
      <c r="CJ51" s="1807"/>
      <c r="CK51" s="1807"/>
      <c r="CL51" s="1806"/>
      <c r="CM51" s="1791"/>
      <c r="CN51" s="1808"/>
      <c r="CO51" s="1807"/>
      <c r="CP51" s="1807"/>
      <c r="CQ51" s="1806"/>
      <c r="CR51" s="1791"/>
      <c r="CS51" s="1808"/>
      <c r="CT51" s="1807"/>
      <c r="CU51" s="1807"/>
      <c r="CV51" s="1806"/>
      <c r="CW51" s="1791"/>
      <c r="CX51" s="1808"/>
      <c r="CY51" s="1807"/>
      <c r="CZ51" s="1807"/>
      <c r="DA51" s="1806"/>
      <c r="DB51" s="1791"/>
      <c r="DC51" s="1808"/>
      <c r="DD51" s="1807"/>
      <c r="DE51" s="1807"/>
      <c r="DF51" s="1806"/>
      <c r="DG51" s="1791"/>
      <c r="DH51" s="1808"/>
      <c r="DI51" s="1807"/>
      <c r="DJ51" s="1807"/>
      <c r="DK51" s="1806"/>
      <c r="DL51" s="1791"/>
      <c r="DM51" s="1808"/>
      <c r="DN51" s="1807"/>
      <c r="DO51" s="1807"/>
      <c r="DP51" s="1806"/>
      <c r="DQ51" s="1791"/>
      <c r="DR51" s="1808"/>
      <c r="DS51" s="1807"/>
      <c r="DT51" s="1807"/>
      <c r="DU51" s="1806"/>
      <c r="DV51" s="1791"/>
    </row>
    <row r="52" spans="1:126">
      <c r="A52" s="455"/>
      <c r="B52" s="455"/>
      <c r="C52" s="1363" t="s">
        <v>112</v>
      </c>
      <c r="D52" s="94"/>
      <c r="E52" s="1817">
        <f>IF(F52=0,G52,F52)</f>
        <v>60</v>
      </c>
      <c r="F52" s="1435">
        <v>0</v>
      </c>
      <c r="G52" s="1435">
        <v>60</v>
      </c>
      <c r="H52" s="1350">
        <v>2017</v>
      </c>
      <c r="I52" s="1335">
        <v>2.6200000000000001E-2</v>
      </c>
      <c r="J52" s="1343">
        <v>12</v>
      </c>
      <c r="K52" s="1792"/>
      <c r="L52" s="1810">
        <f t="shared" ref="L52:M54" si="567">IF(L$5=$H52,-$E52,0)</f>
        <v>0</v>
      </c>
      <c r="M52" s="1791">
        <f t="shared" si="567"/>
        <v>0</v>
      </c>
      <c r="N52" s="1808">
        <f>IF(R52=0,0,IF(R52&lt;0,IF($J52=3,R52,IF($J52=2,R52,IF($J52=1,R52,0)))))</f>
        <v>0</v>
      </c>
      <c r="O52" s="1807">
        <f>IF(R52=0,0,IF(R52&lt;0,IF($J52=6,R52,IF($J52=5,R52,IF($J52=4,R52,0)))))</f>
        <v>0</v>
      </c>
      <c r="P52" s="1807">
        <f>IF(R52=0,0,IF(R52&lt;0,IF($J52=9,R52,IF($J52=8,R52,IF($J52=7,R52,0)))))</f>
        <v>0</v>
      </c>
      <c r="Q52" s="1806">
        <f>IF(R52=0,0,IF(R52&lt;0,IF($J52=12,R52,IF($J52=11,R52,IF($J52=10,R52,0)))))</f>
        <v>0</v>
      </c>
      <c r="R52" s="1791">
        <f>IF(R$5=$H52,-$E52,0)</f>
        <v>0</v>
      </c>
      <c r="S52" s="1808">
        <f>IF(W52=0,0,IF(W52&lt;0,IF($J52=3,W52,IF($J52=2,W52,IF($J52=1,W52,0)))))</f>
        <v>0</v>
      </c>
      <c r="T52" s="1807">
        <f>IF(W52=0,0,IF(W52&lt;0,IF($J52=6,W52,IF($J52=5,W52,IF($J52=4,W52,0)))))</f>
        <v>0</v>
      </c>
      <c r="U52" s="1807">
        <f>IF(W52=0,0,IF(W52&lt;0,IF($J52=9,W52,IF($J52=8,W52,IF($J52=7,W52,0)))))</f>
        <v>0</v>
      </c>
      <c r="V52" s="1806">
        <f>IF(W52=0,0,IF(W52&lt;0,IF($J52=12,W52,IF($J52=11,W52,IF($J52=10,W52,0)))))</f>
        <v>0</v>
      </c>
      <c r="W52" s="1791">
        <f>IF(W$5=$H52,-$E52,0)</f>
        <v>0</v>
      </c>
      <c r="X52" s="1808">
        <f>IF(AB52=0,0,IF(AB52&lt;0,IF($J52=3,AB52,IF($J52=2,AB52,IF($J52=1,AB52,0)))))</f>
        <v>0</v>
      </c>
      <c r="Y52" s="1807">
        <f>IF(AB52=0,0,IF(AB52&lt;0,IF($J52=6,AB52,IF($J52=5,AB52,IF($J52=4,AB52,0)))))</f>
        <v>0</v>
      </c>
      <c r="Z52" s="1807">
        <f>IF(AB52=0,0,IF(AB52&lt;0,IF($J52=9,AB52,IF($J52=8,AB52,IF($J52=7,AB52,0)))))</f>
        <v>0</v>
      </c>
      <c r="AA52" s="1806">
        <f>IF(AB52=0,0,IF(AB52&lt;0,IF($J52=12,AB52,IF($J52=11,AB52,IF($J52=10,AB52,0)))))</f>
        <v>0</v>
      </c>
      <c r="AB52" s="1791">
        <f>IF(AB$5=$H52,-$E52,0)</f>
        <v>0</v>
      </c>
      <c r="AC52" s="1808">
        <f>IF(AG52=0,0,IF(AG52&lt;0,IF($J52=3,AG52,IF($J52=2,AG52,IF($J52=1,AG52,0)))))</f>
        <v>0</v>
      </c>
      <c r="AD52" s="1807">
        <f>IF(AG52=0,0,IF(AG52&lt;0,IF($J52=6,AG52,IF($J52=5,AG52,IF($J52=4,AG52,0)))))</f>
        <v>0</v>
      </c>
      <c r="AE52" s="1807">
        <f>IF(AG52=0,0,IF(AG52&lt;0,IF($J52=9,AG52,IF($J52=8,AG52,IF($J52=7,AG52,0)))))</f>
        <v>0</v>
      </c>
      <c r="AF52" s="1806">
        <f>IF(AG52=0,0,IF(AG52&lt;0,IF($J52=12,AG52,IF($J52=11,AG52,IF($J52=10,AG52,0)))))</f>
        <v>0</v>
      </c>
      <c r="AG52" s="1791">
        <f>IF(AG$5=$H52,-$E52,0)</f>
        <v>0</v>
      </c>
      <c r="AH52" s="1808">
        <f>IF(AL52=0,0,IF(AL52&lt;0,IF($J52=3,AL52,IF($J52=2,AL52,IF($J52=1,AL52,0)))))</f>
        <v>0</v>
      </c>
      <c r="AI52" s="1807">
        <f>IF(AL52=0,0,IF(AL52&lt;0,IF($J52=6,AL52,IF($J52=5,AL52,IF($J52=4,AL52,0)))))</f>
        <v>0</v>
      </c>
      <c r="AJ52" s="1807">
        <f>IF(AL52=0,0,IF(AL52&lt;0,IF($J52=9,AL52,IF($J52=8,AL52,IF($J52=7,AL52,0)))))</f>
        <v>0</v>
      </c>
      <c r="AK52" s="1806">
        <f>IF(AL52=0,0,IF(AL52&lt;0,IF($J52=12,AL52,IF($J52=11,AL52,IF($J52=10,AL52,0)))))</f>
        <v>0</v>
      </c>
      <c r="AL52" s="1791">
        <f>IF(AL$5=$H52,-$E52,0)</f>
        <v>0</v>
      </c>
      <c r="AM52" s="1808">
        <f>IF(AQ52=0,0,IF(AQ52&lt;0,IF($J52=3,AQ52,IF($J52=2,AQ52,IF($J52=1,AQ52,0)))))</f>
        <v>0</v>
      </c>
      <c r="AN52" s="1807">
        <f>IF(AQ52=0,0,IF(AQ52&lt;0,IF($J52=6,AQ52,IF($J52=5,AQ52,IF($J52=4,AQ52,0)))))</f>
        <v>0</v>
      </c>
      <c r="AO52" s="1807">
        <f>IF(AQ52=0,0,IF(AQ52&lt;0,IF($J52=9,AQ52,IF($J52=8,AQ52,IF($J52=7,AQ52,0)))))</f>
        <v>0</v>
      </c>
      <c r="AP52" s="1806">
        <f>IF(AQ52=0,0,IF(AQ52&lt;0,IF($J52=12,AQ52,IF($J52=11,AQ52,IF($J52=10,AQ52,0)))))</f>
        <v>0</v>
      </c>
      <c r="AQ52" s="1791">
        <f>IF(AQ$5=$H52,-$E52,0)</f>
        <v>0</v>
      </c>
      <c r="AR52" s="1808">
        <f>IF(AV52=0,0,IF(AV52&lt;0,IF($J52=3,AV52,IF($J52=2,AV52,IF($J52=1,AV52,0)))))</f>
        <v>0</v>
      </c>
      <c r="AS52" s="1807">
        <f>IF(AV52=0,0,IF(AV52&lt;0,IF($J52=6,AV52,IF($J52=5,AV52,IF($J52=4,AV52,0)))))</f>
        <v>0</v>
      </c>
      <c r="AT52" s="1807">
        <f>IF(AV52=0,0,IF(AV52&lt;0,IF($J52=9,AV52,IF($J52=8,AV52,IF($J52=7,AV52,0)))))</f>
        <v>0</v>
      </c>
      <c r="AU52" s="1806">
        <f>IF(AV52=0,0,IF(AV52&lt;0,IF($J52=12,AV52,IF($J52=11,AV52,IF($J52=10,AV52,0)))))</f>
        <v>-60</v>
      </c>
      <c r="AV52" s="1791">
        <f>IF(AV$5=$H52,-$E52,0)</f>
        <v>-60</v>
      </c>
      <c r="AW52" s="1808">
        <f>IF(BA52=0,0,IF(BA52&lt;0,IF($J52=3,BA52,IF($J52=2,BA52,IF($J52=1,BA52,0)))))</f>
        <v>0</v>
      </c>
      <c r="AX52" s="1807">
        <f>IF(BA52=0,0,IF(BA52&lt;0,IF($J52=6,BA52,IF($J52=5,BA52,IF($J52=4,BA52,0)))))</f>
        <v>0</v>
      </c>
      <c r="AY52" s="1807">
        <f>IF(BA52=0,0,IF(BA52&lt;0,IF($J52=9,BA52,IF($J52=8,BA52,IF($J52=7,BA52,0)))))</f>
        <v>0</v>
      </c>
      <c r="AZ52" s="1806">
        <f>IF(BA52=0,0,IF(BA52&lt;0,IF($J52=12,BA52,IF($J52=11,BA52,IF($J52=10,BA52,0)))))</f>
        <v>0</v>
      </c>
      <c r="BA52" s="1791">
        <f>IF(BA$5=$H52,-$E52,0)</f>
        <v>0</v>
      </c>
      <c r="BB52" s="1808">
        <f>IF(BF52=0,0,IF(BF52&lt;0,IF($J52=3,BF52,IF($J52=2,BF52,IF($J52=1,BF52,0)))))</f>
        <v>0</v>
      </c>
      <c r="BC52" s="1807">
        <f>IF(BF52=0,0,IF(BF52&lt;0,IF($J52=6,BF52,IF($J52=5,BF52,IF($J52=4,BF52,0)))))</f>
        <v>0</v>
      </c>
      <c r="BD52" s="1807">
        <f>IF(BF52=0,0,IF(BF52&lt;0,IF($J52=9,BF52,IF($J52=8,BF52,IF($J52=7,BF52,0)))))</f>
        <v>0</v>
      </c>
      <c r="BE52" s="1806">
        <f>IF(BF52=0,0,IF(BF52&lt;0,IF($J52=12,BF52,IF($J52=11,BF52,IF($J52=10,BF52,0)))))</f>
        <v>0</v>
      </c>
      <c r="BF52" s="1791">
        <f>IF(BF$5=$H52,-$E52,0)</f>
        <v>0</v>
      </c>
      <c r="BG52" s="1808">
        <f>IF(BK52=0,0,IF(BK52&lt;0,IF($J52=3,BK52,IF($J52=2,BK52,IF($J52=1,BK52,0)))))</f>
        <v>0</v>
      </c>
      <c r="BH52" s="1807">
        <f>IF(BK52=0,0,IF(BK52&lt;0,IF($J52=6,BK52,IF($J52=5,BK52,IF($J52=4,BK52,0)))))</f>
        <v>0</v>
      </c>
      <c r="BI52" s="1807">
        <f>IF(BK52=0,0,IF(BK52&lt;0,IF($J52=9,BK52,IF($J52=8,BK52,IF($J52=7,BK52,0)))))</f>
        <v>0</v>
      </c>
      <c r="BJ52" s="1806">
        <f>IF(BK52=0,0,IF(BK52&lt;0,IF($J52=12,BK52,IF($J52=11,BK52,IF($J52=10,BK52,0)))))</f>
        <v>0</v>
      </c>
      <c r="BK52" s="1791">
        <f>IF(BK$5=$H52,-$E52,0)</f>
        <v>0</v>
      </c>
      <c r="BL52" s="1808">
        <f>IF(BP52=0,0,IF(BP52&lt;0,IF($J52=3,BP52,IF($J52=2,BP52,IF($J52=1,BP52,0)))))</f>
        <v>0</v>
      </c>
      <c r="BM52" s="1807">
        <f>IF(BP52=0,0,IF(BP52&lt;0,IF($J52=6,BP52,IF($J52=5,BP52,IF($J52=4,BP52,0)))))</f>
        <v>0</v>
      </c>
      <c r="BN52" s="1807">
        <f>IF(BP52=0,0,IF(BP52&lt;0,IF($J52=9,BP52,IF($J52=8,BP52,IF($J52=7,BP52,0)))))</f>
        <v>0</v>
      </c>
      <c r="BO52" s="1806">
        <f>IF(BP52=0,0,IF(BP52&lt;0,IF($J52=12,BP52,IF($J52=11,BP52,IF($J52=10,BP52,0)))))</f>
        <v>0</v>
      </c>
      <c r="BP52" s="1791">
        <f>IF(BP$5=$H52,-$E52,0)</f>
        <v>0</v>
      </c>
      <c r="BQ52" s="1827"/>
      <c r="BR52" s="1991">
        <f t="shared" ref="BR52:BS53" si="568">IF(AND(BQ52&lt;&gt;0,BQ$5=$H52),-$I52*$E52-BQ52,IF(BR$5=$H52,-$I52*$E52*(12-$J52+1)/12,0))</f>
        <v>0</v>
      </c>
      <c r="BS52" s="1991">
        <f t="shared" si="568"/>
        <v>0</v>
      </c>
      <c r="BT52" s="1992">
        <f>IF($H52&lt;&gt;BX$5,0,IF(BX52&lt;0,IF($J52=1,-$E52*$I52/12*3,IF($J52=2,-$E52*$I52/12*2,IF($J52=3,-$E52*$I52/12*1,0)))))+IF(BS$5&lt;&gt;$H52,0,IF(BS52&lt;0,IF($J52=1,-$E52*$I52/12*0,IF($J52=2,-$E52*$I52/12*1,IF($J52=3,-$E52*$I52/12*2,IF($J52&gt;=4,-$E52*$I52/12*3,0))))))</f>
        <v>0</v>
      </c>
      <c r="BU52" s="1992">
        <f>IF($H52&lt;&gt;BX$5,0,IF(BX52&lt;0,IF(OR($J52=1,$J52=2,$J52=3,$J52=4),-$E52*$I52/12*3,IF($J52=5,-$E52*$I52/12*2,IF($J52=6,-$E52*$I52/12*1,0)))))+IF(BS$5&lt;&gt;$H52,0,IF(BS52&lt;0,IF($J52=4,-$E52*$I52/12*0,IF($J52=5,-$E52*$I52/12*1,IF($J52=6,-$E52*$I52/12*2,IF($J52&gt;=7,-$E52*$I52/12*3,0))))))</f>
        <v>0</v>
      </c>
      <c r="BV52" s="1992">
        <f>IF($H52&lt;&gt;BX$5,0,IF(BX52&lt;0,IF(OR($J52=1,$J52=2,$J52=3,$J52=4,$J52=5,$J52=6,$J52=7),-$E52*$I52/12*3,IF($J52=8,-$E52*$I52/12*2,IF($J52=9,-$E52*$I52/12*1,0)))))+IF(BS$5&lt;&gt;$H52,0,IF(BS52&lt;0,IF($J52=7,-$E52*$I52/12*0,IF($J52=8,-$E52*$I52/12*1,IF($J52=9,-$E52*$I52/12*2,IF($J52&gt;=10,-$E52*$I52/12*3,0))))))</f>
        <v>0</v>
      </c>
      <c r="BW52" s="1992">
        <f>IF($H52&lt;&gt;BX$5,0,IF(BX52&lt;0,IF(OR($J52=1,$J52=2,$J52=3,$J52=4,$J52=5,$J52=6,$J52=7,$J52=8,$J52=9,$J52=10),-$E52*$I52/12*3,IF($J52=11,-$E52*$I52/12*2,IF($J52=12,-$E52*$I52/12*1,0)))))+IF(BS$5&lt;&gt;$H52,0,IF(BS52&lt;0,IF($J52=10,-$E52*$I52/12*0,IF($J52=11,-$E52*$I52/12*1,IF($J52=12,-$E52*$I52/12*2,0)))))</f>
        <v>0</v>
      </c>
      <c r="BX52" s="1810">
        <f>IF(AND(BS52&lt;&gt;0,BS$5=$H52),-$I52*$E52-BS52,IF(BX$5=$H52,-$I52*$E52*(12-$J52+1)/12,0))</f>
        <v>0</v>
      </c>
      <c r="BY52" s="1807">
        <f>IF($H52&lt;&gt;CC$5,0,IF(CC52&lt;0,IF($J52=1,-$E52*$I52/12*3,IF($J52=2,-$E52*$I52/12*2,IF($J52=3,-$E52*$I52/12*1,0)))))+IF(BX$5&lt;&gt;$H52,0,IF(BX52&lt;0,IF($J52=1,-$E52*$I52/12*0,IF($J52=2,-$E52*$I52/12*1,IF($J52=3,-$E52*$I52/12*2,IF($J52&gt;=4,-$E52*$I52/12*3,0))))))</f>
        <v>0</v>
      </c>
      <c r="BZ52" s="1807">
        <f>IF($H52&lt;&gt;CC$5,0,IF(CC52&lt;0,IF(OR($J52=1,$J52=2,$J52=3,$J52=4),-$E52*$I52/12*3,IF($J52=5,-$E52*$I52/12*2,IF($J52=6,-$E52*$I52/12*1,0)))))+IF(BX$5&lt;&gt;$H52,0,IF(BX52&lt;0,IF($J52=4,-$E52*$I52/12*0,IF($J52=5,-$E52*$I52/12*1,IF($J52=6,-$E52*$I52/12*2,IF($J52&gt;=7,-$E52*$I52/12*3,0))))))</f>
        <v>0</v>
      </c>
      <c r="CA52" s="1807">
        <f>IF($H52&lt;&gt;CC$5,0,IF(CC52&lt;0,IF(OR($J52=1,$J52=2,$J52=3,$J52=4,$J52=5,$J52=6,$J52=7),-$E52*$I52/12*3,IF($J52=8,-$E52*$I52/12*2,IF($J52=9,-$E52*$I52/12*1,0)))))+IF(BX$5&lt;&gt;$H52,0,IF(BX52&lt;0,IF($J52=7,-$E52*$I52/12*0,IF($J52=8,-$E52*$I52/12*1,IF($J52=9,-$E52*$I52/12*2,IF($J52&gt;=10,-$E52*$I52/12*3,0))))))</f>
        <v>0</v>
      </c>
      <c r="CB52" s="1806">
        <f>IF($H52&lt;&gt;CC$5,0,IF(CC52&lt;0,IF(OR($J52=1,$J52=2,$J52=3,$J52=4,$J52=5,$J52=6,$J52=7,$J52=8,$J52=9,$J52=10),-$E52*$I52/12*3,IF($J52=11,-$E52*$I52/12*2,IF($J52=12,-$E52*$I52/12*1,0)))))+IF(BX$5&lt;&gt;$H52,0,IF(BX52&lt;0,IF($J52=10,-$E52*$I52/12*0,IF($J52=11,-$E52*$I52/12*1,IF($J52=12,-$E52*$I52/12*2,0)))))</f>
        <v>0</v>
      </c>
      <c r="CC52" s="1791">
        <f>IF(AND(BX52&lt;&gt;0,BX$5=$H52),-$I52*$E52-BX52,IF(CC$5=$H52,-$I52*$E52*(12-$J52+1)/12,0))</f>
        <v>0</v>
      </c>
      <c r="CD52" s="1808">
        <f>IF($H52&lt;&gt;CH$5,0,IF(CH52&lt;0,IF($J52=1,-$E52*$I52/12*3,IF($J52=2,-$E52*$I52/12*2,IF($J52=3,-$E52*$I52/12*1,0)))))+IF(CC$5&lt;&gt;$H52,0,IF(CC52&lt;0,IF($J52=1,-$E52*$I52/12*0,IF($J52=2,-$E52*$I52/12*1,IF($J52=3,-$E52*$I52/12*2,IF($J52&gt;=4,-$E52*$I52/12*3,0))))))</f>
        <v>0</v>
      </c>
      <c r="CE52" s="1807">
        <f>IF($H52&lt;&gt;CH$5,0,IF(CH52&lt;0,IF(OR($J52=1,$J52=2,$J52=3,$J52=4),-$E52*$I52/12*3,IF($J52=5,-$E52*$I52/12*2,IF($J52=6,-$E52*$I52/12*1,0)))))+IF(CC$5&lt;&gt;$H52,0,IF(CC52&lt;0,IF($J52=4,-$E52*$I52/12*0,IF($J52=5,-$E52*$I52/12*1,IF($J52=6,-$E52*$I52/12*2,IF($J52&gt;=7,-$E52*$I52/12*3,0))))))</f>
        <v>0</v>
      </c>
      <c r="CF52" s="1807">
        <f>IF($H52&lt;&gt;CH$5,0,IF(CH52&lt;0,IF(OR($J52=1,$J52=2,$J52=3,$J52=4,$J52=5,$J52=6,$J52=7),-$E52*$I52/12*3,IF($J52=8,-$E52*$I52/12*2,IF($J52=9,-$E52*$I52/12*1,0)))))+IF(CC$5&lt;&gt;$H52,0,IF(CC52&lt;0,IF($J52=7,-$E52*$I52/12*0,IF($J52=8,-$E52*$I52/12*1,IF($J52=9,-$E52*$I52/12*2,IF($J52&gt;=10,-$E52*$I52/12*3,0))))))</f>
        <v>0</v>
      </c>
      <c r="CG52" s="1806">
        <f>IF($H52&lt;&gt;CH$5,0,IF(CH52&lt;0,IF(OR($J52=1,$J52=2,$J52=3,$J52=4,$J52=5,$J52=6,$J52=7,$J52=8,$J52=9,$J52=10),-$E52*$I52/12*3,IF($J52=11,-$E52*$I52/12*2,IF($J52=12,-$E52*$I52/12*1,0)))))+IF(CC$5&lt;&gt;$H52,0,IF(CC52&lt;0,IF($J52=10,-$E52*$I52/12*0,IF($J52=11,-$E52*$I52/12*1,IF($J52=12,-$E52*$I52/12*2,0)))))</f>
        <v>0</v>
      </c>
      <c r="CH52" s="1791">
        <f>IF(AND(CC52&lt;&gt;0,CC$5=$H52),-$I52*$E52-CC52,IF(CH$5=$H52,-$I52*$E52*(12-$J52+1)/12,0))</f>
        <v>0</v>
      </c>
      <c r="CI52" s="1808">
        <f>IF($H52&lt;&gt;CM$5,0,IF(CM52&lt;0,IF($J52=1,-$E52*$I52/12*3,IF($J52=2,-$E52*$I52/12*2,IF($J52=3,-$E52*$I52/12*1,0)))))+IF(CH$5&lt;&gt;$H52,0,IF(CH52&lt;0,IF($J52=1,-$E52*$I52/12*0,IF($J52=2,-$E52*$I52/12*1,IF($J52=3,-$E52*$I52/12*2,IF($J52&gt;=4,-$E52*$I52/12*3,0))))))</f>
        <v>0</v>
      </c>
      <c r="CJ52" s="1807">
        <f>IF($H52&lt;&gt;CM$5,0,IF(CM52&lt;0,IF(OR($J52=1,$J52=2,$J52=3,$J52=4),-$E52*$I52/12*3,IF($J52=5,-$E52*$I52/12*2,IF($J52=6,-$E52*$I52/12*1,0)))))+IF(CH$5&lt;&gt;$H52,0,IF(CH52&lt;0,IF($J52=4,-$E52*$I52/12*0,IF($J52=5,-$E52*$I52/12*1,IF($J52=6,-$E52*$I52/12*2,IF($J52&gt;=7,-$E52*$I52/12*3,0))))))</f>
        <v>0</v>
      </c>
      <c r="CK52" s="1807">
        <f>IF($H52&lt;&gt;CM$5,0,IF(CM52&lt;0,IF(OR($J52=1,$J52=2,$J52=3,$J52=4,$J52=5,$J52=6,$J52=7),-$E52*$I52/12*3,IF($J52=8,-$E52*$I52/12*2,IF($J52=9,-$E52*$I52/12*1,0)))))+IF(CH$5&lt;&gt;$H52,0,IF(CH52&lt;0,IF($J52=7,-$E52*$I52/12*0,IF($J52=8,-$E52*$I52/12*1,IF($J52=9,-$E52*$I52/12*2,IF($J52&gt;=10,-$E52*$I52/12*3,0))))))</f>
        <v>0</v>
      </c>
      <c r="CL52" s="1806">
        <f>IF($H52&lt;&gt;CM$5,0,IF(CM52&lt;0,IF(OR($J52=1,$J52=2,$J52=3,$J52=4,$J52=5,$J52=6,$J52=7,$J52=8,$J52=9,$J52=10),-$E52*$I52/12*3,IF($J52=11,-$E52*$I52/12*2,IF($J52=12,-$E52*$I52/12*1,0)))))+IF(CH$5&lt;&gt;$H52,0,IF(CH52&lt;0,IF($J52=10,-$E52*$I52/12*0,IF($J52=11,-$E52*$I52/12*1,IF($J52=12,-$E52*$I52/12*2,0)))))</f>
        <v>0</v>
      </c>
      <c r="CM52" s="1791">
        <f>IF(AND(CH52&lt;&gt;0,CH$5=$H52),-$I52*$E52-CH52,IF(CM$5=$H52,-$I52*$E52*(12-$J52+1)/12,0))</f>
        <v>0</v>
      </c>
      <c r="CN52" s="1808">
        <f>IF($H52&lt;&gt;CR$5,0,IF(CR52&lt;0,IF($J52=1,-$E52*$I52/12*3,IF($J52=2,-$E52*$I52/12*2,IF($J52=3,-$E52*$I52/12*1,0)))))+IF(CM$5&lt;&gt;$H52,0,IF(CM52&lt;0,IF($J52=1,-$E52*$I52/12*0,IF($J52=2,-$E52*$I52/12*1,IF($J52=3,-$E52*$I52/12*2,IF($J52&gt;=4,-$E52*$I52/12*3,0))))))</f>
        <v>0</v>
      </c>
      <c r="CO52" s="1807">
        <f>IF($H52&lt;&gt;CR$5,0,IF(CR52&lt;0,IF(OR($J52=1,$J52=2,$J52=3,$J52=4),-$E52*$I52/12*3,IF($J52=5,-$E52*$I52/12*2,IF($J52=6,-$E52*$I52/12*1,0)))))+IF(CM$5&lt;&gt;$H52,0,IF(CM52&lt;0,IF($J52=4,-$E52*$I52/12*0,IF($J52=5,-$E52*$I52/12*1,IF($J52=6,-$E52*$I52/12*2,IF($J52&gt;=7,-$E52*$I52/12*3,0))))))</f>
        <v>0</v>
      </c>
      <c r="CP52" s="1807">
        <f>IF($H52&lt;&gt;CR$5,0,IF(CR52&lt;0,IF(OR($J52=1,$J52=2,$J52=3,$J52=4,$J52=5,$J52=6,$J52=7),-$E52*$I52/12*3,IF($J52=8,-$E52*$I52/12*2,IF($J52=9,-$E52*$I52/12*1,0)))))+IF(CM$5&lt;&gt;$H52,0,IF(CM52&lt;0,IF($J52=7,-$E52*$I52/12*0,IF($J52=8,-$E52*$I52/12*1,IF($J52=9,-$E52*$I52/12*2,IF($J52&gt;=10,-$E52*$I52/12*3,0))))))</f>
        <v>0</v>
      </c>
      <c r="CQ52" s="1806">
        <f>IF($H52&lt;&gt;CR$5,0,IF(CR52&lt;0,IF(OR($J52=1,$J52=2,$J52=3,$J52=4,$J52=5,$J52=6,$J52=7,$J52=8,$J52=9,$J52=10),-$E52*$I52/12*3,IF($J52=11,-$E52*$I52/12*2,IF($J52=12,-$E52*$I52/12*1,0)))))+IF(CM$5&lt;&gt;$H52,0,IF(CM52&lt;0,IF($J52=10,-$E52*$I52/12*0,IF($J52=11,-$E52*$I52/12*1,IF($J52=12,-$E52*$I52/12*2,0)))))</f>
        <v>0</v>
      </c>
      <c r="CR52" s="1791">
        <f>IF(AND(CM52&lt;&gt;0,CM$5=$H52),-$I52*$E52-CM52,IF(CR$5=$H52,-$I52*$E52*(12-$J52+1)/12,0))</f>
        <v>0</v>
      </c>
      <c r="CS52" s="1808">
        <f>IF($H52&lt;&gt;CW$5,0,IF(CW52&lt;0,IF($J52=1,-$E52*$I52/12*3,IF($J52=2,-$E52*$I52/12*2,IF($J52=3,-$E52*$I52/12*1,0)))))+IF(CR$5&lt;&gt;$H52,0,IF(CR52&lt;0,IF($J52=1,-$E52*$I52/12*0,IF($J52=2,-$E52*$I52/12*1,IF($J52=3,-$E52*$I52/12*2,IF($J52&gt;=4,-$E52*$I52/12*3,0))))))</f>
        <v>0</v>
      </c>
      <c r="CT52" s="1807">
        <f>IF($H52&lt;&gt;CW$5,0,IF(CW52&lt;0,IF(OR($J52=1,$J52=2,$J52=3,$J52=4),-$E52*$I52/12*3,IF($J52=5,-$E52*$I52/12*2,IF($J52=6,-$E52*$I52/12*1,0)))))+IF(CR$5&lt;&gt;$H52,0,IF(CR52&lt;0,IF($J52=4,-$E52*$I52/12*0,IF($J52=5,-$E52*$I52/12*1,IF($J52=6,-$E52*$I52/12*2,IF($J52&gt;=7,-$E52*$I52/12*3,0))))))</f>
        <v>0</v>
      </c>
      <c r="CU52" s="1807">
        <f>IF($H52&lt;&gt;CW$5,0,IF(CW52&lt;0,IF(OR($J52=1,$J52=2,$J52=3,$J52=4,$J52=5,$J52=6,$J52=7),-$E52*$I52/12*3,IF($J52=8,-$E52*$I52/12*2,IF($J52=9,-$E52*$I52/12*1,0)))))+IF(CR$5&lt;&gt;$H52,0,IF(CR52&lt;0,IF($J52=7,-$E52*$I52/12*0,IF($J52=8,-$E52*$I52/12*1,IF($J52=9,-$E52*$I52/12*2,IF($J52&gt;=10,-$E52*$I52/12*3,0))))))</f>
        <v>0</v>
      </c>
      <c r="CV52" s="1806">
        <f>IF($H52&lt;&gt;CW$5,0,IF(CW52&lt;0,IF(OR($J52=1,$J52=2,$J52=3,$J52=4,$J52=5,$J52=6,$J52=7,$J52=8,$J52=9,$J52=10),-$E52*$I52/12*3,IF($J52=11,-$E52*$I52/12*2,IF($J52=12,-$E52*$I52/12*1,0)))))+IF(CR$5&lt;&gt;$H52,0,IF(CR52&lt;0,IF($J52=10,-$E52*$I52/12*0,IF($J52=11,-$E52*$I52/12*1,IF($J52=12,-$E52*$I52/12*2,0)))))</f>
        <v>0</v>
      </c>
      <c r="CW52" s="1791">
        <f>IF(AND(CR52&lt;&gt;0,CR$5=$H52),-$I52*$E52-CR52,IF(CW$5=$H52,-$I52*$E52*(12-$J52+1)/12,0))</f>
        <v>0</v>
      </c>
      <c r="CX52" s="1808">
        <f>IF($H52&lt;&gt;DB$5,0,IF(DB52&lt;0,IF($J52=1,-$E52*$I52/12*3,IF($J52=2,-$E52*$I52/12*2,IF($J52=3,-$E52*$I52/12*1,0)))))+IF(CW$5&lt;&gt;$H52,0,IF(CW52&lt;0,IF($J52=1,-$E52*$I52/12*0,IF($J52=2,-$E52*$I52/12*1,IF($J52=3,-$E52*$I52/12*2,IF($J52&gt;=4,-$E52*$I52/12*3,0))))))</f>
        <v>0</v>
      </c>
      <c r="CY52" s="1807">
        <f>IF($H52&lt;&gt;DB$5,0,IF(DB52&lt;0,IF(OR($J52=1,$J52=2,$J52=3,$J52=4),-$E52*$I52/12*3,IF($J52=5,-$E52*$I52/12*2,IF($J52=6,-$E52*$I52/12*1,0)))))+IF(CW$5&lt;&gt;$H52,0,IF(CW52&lt;0,IF($J52=4,-$E52*$I52/12*0,IF($J52=5,-$E52*$I52/12*1,IF($J52=6,-$E52*$I52/12*2,IF($J52&gt;=7,-$E52*$I52/12*3,0))))))</f>
        <v>0</v>
      </c>
      <c r="CZ52" s="1807">
        <f>IF($H52&lt;&gt;DB$5,0,IF(DB52&lt;0,IF(OR($J52=1,$J52=2,$J52=3,$J52=4,$J52=5,$J52=6,$J52=7),-$E52*$I52/12*3,IF($J52=8,-$E52*$I52/12*2,IF($J52=9,-$E52*$I52/12*1,0)))))+IF(CW$5&lt;&gt;$H52,0,IF(CW52&lt;0,IF($J52=7,-$E52*$I52/12*0,IF($J52=8,-$E52*$I52/12*1,IF($J52=9,-$E52*$I52/12*2,IF($J52&gt;=10,-$E52*$I52/12*3,0))))))</f>
        <v>0</v>
      </c>
      <c r="DA52" s="1806">
        <f>IF($H52&lt;&gt;DB$5,0,IF(DB52&lt;0,IF(OR($J52=1,$J52=2,$J52=3,$J52=4,$J52=5,$J52=6,$J52=7,$J52=8,$J52=9,$J52=10),-$E52*$I52/12*3,IF($J52=11,-$E52*$I52/12*2,IF($J52=12,-$E52*$I52/12*1,0)))))+IF(CW$5&lt;&gt;$H52,0,IF(CW52&lt;0,IF($J52=10,-$E52*$I52/12*0,IF($J52=11,-$E52*$I52/12*1,IF($J52=12,-$E52*$I52/12*2,0)))))</f>
        <v>-0.13100000000000001</v>
      </c>
      <c r="DB52" s="1791">
        <f>IF(AND(CW52&lt;&gt;0,CW$5=$H52),-$I52*$E52-CW52,IF(DB$5=$H52,-$I52*$E52*(12-$J52+1)/12,0))</f>
        <v>-0.13100000000000001</v>
      </c>
      <c r="DC52" s="1808">
        <f>IF($H52&lt;&gt;DG$5,0,IF(DG52&lt;0,IF($J52=1,-$E52*$I52/12*3,IF($J52=2,-$E52*$I52/12*2,IF($J52=3,-$E52*$I52/12*1,0)))))+IF(DB$5&lt;&gt;$H52,0,IF(DB52&lt;0,IF($J52=1,-$E52*$I52/12*0,IF($J52=2,-$E52*$I52/12*1,IF($J52=3,-$E52*$I52/12*2,IF($J52&gt;=4,-$E52*$I52/12*3,0))))))</f>
        <v>-0.39300000000000002</v>
      </c>
      <c r="DD52" s="1807">
        <f>IF($H52&lt;&gt;DG$5,0,IF(DG52&lt;0,IF(OR($J52=1,$J52=2,$J52=3,$J52=4),-$E52*$I52/12*3,IF($J52=5,-$E52*$I52/12*2,IF($J52=6,-$E52*$I52/12*1,0)))))+IF(DB$5&lt;&gt;$H52,0,IF(DB52&lt;0,IF($J52=4,-$E52*$I52/12*0,IF($J52=5,-$E52*$I52/12*1,IF($J52=6,-$E52*$I52/12*2,IF($J52&gt;=7,-$E52*$I52/12*3,0))))))</f>
        <v>-0.39300000000000002</v>
      </c>
      <c r="DE52" s="1807">
        <f>IF($H52&lt;&gt;DG$5,0,IF(DG52&lt;0,IF(OR($J52=1,$J52=2,$J52=3,$J52=4,$J52=5,$J52=6,$J52=7),-$E52*$I52/12*3,IF($J52=8,-$E52*$I52/12*2,IF($J52=9,-$E52*$I52/12*1,0)))))+IF(DB$5&lt;&gt;$H52,0,IF(DB52&lt;0,IF($J52=7,-$E52*$I52/12*0,IF($J52=8,-$E52*$I52/12*1,IF($J52=9,-$E52*$I52/12*2,IF($J52&gt;=10,-$E52*$I52/12*3,0))))))</f>
        <v>-0.39300000000000002</v>
      </c>
      <c r="DF52" s="1806">
        <f>IF($H52&lt;&gt;DG$5,0,IF(DG52&lt;0,IF(OR($J52=1,$J52=2,$J52=3,$J52=4,$J52=5,$J52=6,$J52=7,$J52=8,$J52=9,$J52=10),-$E52*$I52/12*3,IF($J52=11,-$E52*$I52/12*2,IF($J52=12,-$E52*$I52/12*1,0)))))+IF(DB$5&lt;&gt;$H52,0,IF(DB52&lt;0,IF($J52=10,-$E52*$I52/12*0,IF($J52=11,-$E52*$I52/12*1,IF($J52=12,-$E52*$I52/12*2,0)))))</f>
        <v>-0.26200000000000001</v>
      </c>
      <c r="DG52" s="1791">
        <f>IF(AND(DB52&lt;&gt;0,DB$5=$H52),-$I52*$E52-DB52,IF(DG$5=$H52,-$I52*$E52*(12-$J52+1)/12,0))</f>
        <v>-1.4410000000000001</v>
      </c>
      <c r="DH52" s="1808">
        <f>IF($H52&lt;&gt;DL$5,0,IF(DL52&lt;0,IF($J52=1,-$E52*$I52/12*3,IF($J52=2,-$E52*$I52/12*2,IF($J52=3,-$E52*$I52/12*1,0)))))+IF(DG$5&lt;&gt;$H52,0,IF(DG52&lt;0,IF($J52=1,-$E52*$I52/12*0,IF($J52=2,-$E52*$I52/12*1,IF($J52=3,-$E52*$I52/12*2,IF($J52&gt;=4,-$E52*$I52/12*3,0))))))</f>
        <v>0</v>
      </c>
      <c r="DI52" s="1807">
        <f>IF($H52&lt;&gt;DL$5,0,IF(DL52&lt;0,IF(OR($J52=1,$J52=2,$J52=3,$J52=4),-$E52*$I52/12*3,IF($J52=5,-$E52*$I52/12*2,IF($J52=6,-$E52*$I52/12*1,0)))))+IF(DG$5&lt;&gt;$H52,0,IF(DG52&lt;0,IF($J52=4,-$E52*$I52/12*0,IF($J52=5,-$E52*$I52/12*1,IF($J52=6,-$E52*$I52/12*2,IF($J52&gt;=7,-$E52*$I52/12*3,0))))))</f>
        <v>0</v>
      </c>
      <c r="DJ52" s="1807">
        <f>IF($H52&lt;&gt;DL$5,0,IF(DL52&lt;0,IF(OR($J52=1,$J52=2,$J52=3,$J52=4,$J52=5,$J52=6,$J52=7),-$E52*$I52/12*3,IF($J52=8,-$E52*$I52/12*2,IF($J52=9,-$E52*$I52/12*1,0)))))+IF(DG$5&lt;&gt;$H52,0,IF(DG52&lt;0,IF($J52=7,-$E52*$I52/12*0,IF($J52=8,-$E52*$I52/12*1,IF($J52=9,-$E52*$I52/12*2,IF($J52&gt;=10,-$E52*$I52/12*3,0))))))</f>
        <v>0</v>
      </c>
      <c r="DK52" s="1806">
        <f>IF($H52&lt;&gt;DL$5,0,IF(DL52&lt;0,IF(OR($J52=1,$J52=2,$J52=3,$J52=4,$J52=5,$J52=6,$J52=7,$J52=8,$J52=9,$J52=10),-$E52*$I52/12*3,IF($J52=11,-$E52*$I52/12*2,IF($J52=12,-$E52*$I52/12*1,0)))))+IF(DG$5&lt;&gt;$H52,0,IF(DG52&lt;0,IF($J52=10,-$E52*$I52/12*0,IF($J52=11,-$E52*$I52/12*1,IF($J52=12,-$E52*$I52/12*2,0)))))</f>
        <v>0</v>
      </c>
      <c r="DL52" s="1791">
        <f>IF(AND(DG52&lt;&gt;0,DG$5=$H52),-$I52*$E52-DG52,IF(DL$5=$H52,-$I52*$E52*(12-$J52+1)/12,0))</f>
        <v>0</v>
      </c>
      <c r="DM52" s="1808">
        <f>IF($H52&lt;&gt;DQ$5,0,IF(DQ52&lt;0,IF($J52=1,-$E52*$I52/12*3,IF($J52=2,-$E52*$I52/12*2,IF($J52=3,-$E52*$I52/12*1,0)))))+IF(DL$5&lt;&gt;$H52,0,IF(DL52&lt;0,IF($J52=1,-$E52*$I52/12*0,IF($J52=2,-$E52*$I52/12*1,IF($J52=3,-$E52*$I52/12*2,IF($J52&gt;=4,-$E52*$I52/12*3,0))))))</f>
        <v>0</v>
      </c>
      <c r="DN52" s="1807">
        <f>IF($H52&lt;&gt;DQ$5,0,IF(DQ52&lt;0,IF(OR($J52=1,$J52=2,$J52=3,$J52=4),-$E52*$I52/12*3,IF($J52=5,-$E52*$I52/12*2,IF($J52=6,-$E52*$I52/12*1,0)))))+IF(DL$5&lt;&gt;$H52,0,IF(DL52&lt;0,IF($J52=4,-$E52*$I52/12*0,IF($J52=5,-$E52*$I52/12*1,IF($J52=6,-$E52*$I52/12*2,IF($J52&gt;=7,-$E52*$I52/12*3,0))))))</f>
        <v>0</v>
      </c>
      <c r="DO52" s="1807">
        <f>IF($H52&lt;&gt;DQ$5,0,IF(DQ52&lt;0,IF(OR($J52=1,$J52=2,$J52=3,$J52=4,$J52=5,$J52=6,$J52=7),-$E52*$I52/12*3,IF($J52=8,-$E52*$I52/12*2,IF($J52=9,-$E52*$I52/12*1,0)))))+IF(DL$5&lt;&gt;$H52,0,IF(DL52&lt;0,IF($J52=7,-$E52*$I52/12*0,IF($J52=8,-$E52*$I52/12*1,IF($J52=9,-$E52*$I52/12*2,IF($J52&gt;=10,-$E52*$I52/12*3,0))))))</f>
        <v>0</v>
      </c>
      <c r="DP52" s="1806">
        <f>IF($H52&lt;&gt;DQ$5,0,IF(DQ52&lt;0,IF(OR($J52=1,$J52=2,$J52=3,$J52=4,$J52=5,$J52=6,$J52=7,$J52=8,$J52=9,$J52=10),-$E52*$I52/12*3,IF($J52=11,-$E52*$I52/12*2,IF($J52=12,-$E52*$I52/12*1,0)))))+IF(DL$5&lt;&gt;$H52,0,IF(DL52&lt;0,IF($J52=10,-$E52*$I52/12*0,IF($J52=11,-$E52*$I52/12*1,IF($J52=12,-$E52*$I52/12*2,0)))))</f>
        <v>0</v>
      </c>
      <c r="DQ52" s="1791">
        <f>IF(AND(DL52&lt;&gt;0,DL$5=$H52),-$I52*$E52-DL52,IF(DQ$5=$H52,-$I52*$E52*(12-$J52+1)/12,0))</f>
        <v>0</v>
      </c>
      <c r="DR52" s="1808">
        <f>IF($H52&lt;&gt;DV$5,0,IF(DV52&lt;0,IF($J52=1,-$E52*$I52/12*3,IF($J52=2,-$E52*$I52/12*2,IF($J52=3,-$E52*$I52/12*1,0)))))+IF(DQ$5&lt;&gt;$H52,0,IF(DQ52&lt;0,IF($J52=1,-$E52*$I52/12*0,IF($J52=2,-$E52*$I52/12*1,IF($J52=3,-$E52*$I52/12*2,IF($J52&gt;=4,-$E52*$I52/12*3,0))))))</f>
        <v>0</v>
      </c>
      <c r="DS52" s="1807">
        <f>IF($H52&lt;&gt;DV$5,0,IF(DV52&lt;0,IF(OR($J52=1,$J52=2,$J52=3,$J52=4),-$E52*$I52/12*3,IF($J52=5,-$E52*$I52/12*2,IF($J52=6,-$E52*$I52/12*1,0)))))+IF(DQ$5&lt;&gt;$H52,0,IF(DQ52&lt;0,IF($J52=4,-$E52*$I52/12*0,IF($J52=5,-$E52*$I52/12*1,IF($J52=6,-$E52*$I52/12*2,IF($J52&gt;=7,-$E52*$I52/12*3,0))))))</f>
        <v>0</v>
      </c>
      <c r="DT52" s="1807">
        <f>IF($H52&lt;&gt;DV$5,0,IF(DV52&lt;0,IF(OR($J52=1,$J52=2,$J52=3,$J52=4,$J52=5,$J52=6,$J52=7),-$E52*$I52/12*3,IF($J52=8,-$E52*$I52/12*2,IF($J52=9,-$E52*$I52/12*1,0)))))+IF(DQ$5&lt;&gt;$H52,0,IF(DQ52&lt;0,IF($J52=7,-$E52*$I52/12*0,IF($J52=8,-$E52*$I52/12*1,IF($J52=9,-$E52*$I52/12*2,IF($J52&gt;=10,-$E52*$I52/12*3,0))))))</f>
        <v>0</v>
      </c>
      <c r="DU52" s="1806">
        <f>IF($H52&lt;&gt;DV$5,0,IF(DV52&lt;0,IF(OR($J52=1,$J52=2,$J52=3,$J52=4,$J52=5,$J52=6,$J52=7,$J52=8,$J52=9,$J52=10),-$E52*$I52/12*3,IF($J52=11,-$E52*$I52/12*2,IF($J52=12,-$E52*$I52/12*1,0)))))+IF(DQ$5&lt;&gt;$H52,0,IF(DQ52&lt;0,IF($J52=10,-$E52*$I52/12*0,IF($J52=11,-$E52*$I52/12*1,IF($J52=12,-$E52*$I52/12*2,0)))))</f>
        <v>0</v>
      </c>
      <c r="DV52" s="1791">
        <f>IF(AND(DQ52&lt;&gt;0,DQ$5=$H52),-$I52*$E52-DQ52,IF(DV$5=$H52,-$I52*$E52*(12-$J52+1)/12,0))</f>
        <v>0</v>
      </c>
    </row>
    <row r="53" spans="1:126">
      <c r="A53" s="455"/>
      <c r="B53" s="455"/>
      <c r="C53" s="1363" t="s">
        <v>214</v>
      </c>
      <c r="D53" s="94"/>
      <c r="E53" s="1817">
        <f>IF(F53=0,G53,F53)</f>
        <v>90</v>
      </c>
      <c r="F53" s="1435">
        <v>90</v>
      </c>
      <c r="G53" s="1435">
        <v>90</v>
      </c>
      <c r="H53" s="1350">
        <v>2021</v>
      </c>
      <c r="I53" s="1337">
        <v>3.6499999999999998E-2</v>
      </c>
      <c r="J53" s="1343">
        <v>7</v>
      </c>
      <c r="K53" s="2007"/>
      <c r="L53" s="1810">
        <f t="shared" si="567"/>
        <v>0</v>
      </c>
      <c r="M53" s="1791">
        <f t="shared" si="567"/>
        <v>0</v>
      </c>
      <c r="N53" s="1808">
        <f>IF(R53=0,0,IF(R53&lt;0,IF($J53=3,R53,IF($J53=2,R53,IF($J53=1,R53,0)))))</f>
        <v>0</v>
      </c>
      <c r="O53" s="1807">
        <f>IF(R53=0,0,IF(R53&lt;0,IF($J53=6,R53,IF($J53=5,R53,IF($J53=4,R53,0)))))</f>
        <v>0</v>
      </c>
      <c r="P53" s="1807">
        <f>IF(R53=0,0,IF(R53&lt;0,IF($J53=9,R53,IF($J53=8,R53,IF($J53=7,R53,0)))))</f>
        <v>0</v>
      </c>
      <c r="Q53" s="1806">
        <f>IF(R53=0,0,IF(R53&lt;0,IF($J53=12,R53,IF($J53=11,R53,IF($J53=10,R53,0)))))</f>
        <v>0</v>
      </c>
      <c r="R53" s="1791">
        <f>IF(R$5=$H53,-$E53,0)</f>
        <v>0</v>
      </c>
      <c r="S53" s="1808">
        <f>IF(W53=0,0,IF(W53&lt;0,IF($J53=3,W53,IF($J53=2,W53,IF($J53=1,W53,0)))))</f>
        <v>0</v>
      </c>
      <c r="T53" s="1807">
        <f>IF(W53=0,0,IF(W53&lt;0,IF($J53=6,W53,IF($J53=5,W53,IF($J53=4,W53,0)))))</f>
        <v>0</v>
      </c>
      <c r="U53" s="1807">
        <f>IF(W53=0,0,IF(W53&lt;0,IF($J53=9,W53,IF($J53=8,W53,IF($J53=7,W53,0)))))</f>
        <v>0</v>
      </c>
      <c r="V53" s="1806">
        <f>IF(W53=0,0,IF(W53&lt;0,IF($J53=12,W53,IF($J53=11,W53,IF($J53=10,W53,0)))))</f>
        <v>0</v>
      </c>
      <c r="W53" s="1791">
        <f>IF(W$5=$H53,-$E53,0)</f>
        <v>0</v>
      </c>
      <c r="X53" s="1808">
        <f>IF(AB53=0,0,IF(AB53&lt;0,IF($J53=3,AB53,IF($J53=2,AB53,IF($J53=1,AB53,0)))))</f>
        <v>0</v>
      </c>
      <c r="Y53" s="1807">
        <f>IF(AB53=0,0,IF(AB53&lt;0,IF($J53=6,AB53,IF($J53=5,AB53,IF($J53=4,AB53,0)))))</f>
        <v>0</v>
      </c>
      <c r="Z53" s="1807">
        <f>IF(AB53=0,0,IF(AB53&lt;0,IF($J53=9,AB53,IF($J53=8,AB53,IF($J53=7,AB53,0)))))</f>
        <v>0</v>
      </c>
      <c r="AA53" s="1806">
        <f>IF(AB53=0,0,IF(AB53&lt;0,IF($J53=12,AB53,IF($J53=11,AB53,IF($J53=10,AB53,0)))))</f>
        <v>0</v>
      </c>
      <c r="AB53" s="1791">
        <f>IF(AB$5=$H53,-$E53,0)</f>
        <v>0</v>
      </c>
      <c r="AC53" s="1808">
        <f>IF(AG53=0,0,IF(AG53&lt;0,IF($J53=3,AG53,IF($J53=2,AG53,IF($J53=1,AG53,0)))))</f>
        <v>0</v>
      </c>
      <c r="AD53" s="1807">
        <f>IF(AG53=0,0,IF(AG53&lt;0,IF($J53=6,AG53,IF($J53=5,AG53,IF($J53=4,AG53,0)))))</f>
        <v>0</v>
      </c>
      <c r="AE53" s="1807">
        <f>IF(AG53=0,0,IF(AG53&lt;0,IF($J53=9,AG53,IF($J53=8,AG53,IF($J53=7,AG53,0)))))</f>
        <v>0</v>
      </c>
      <c r="AF53" s="1806">
        <f>IF(AG53=0,0,IF(AG53&lt;0,IF($J53=12,AG53,IF($J53=11,AG53,IF($J53=10,AG53,0)))))</f>
        <v>0</v>
      </c>
      <c r="AG53" s="1791">
        <f>IF(AG$5=$H53,-$E53,0)</f>
        <v>0</v>
      </c>
      <c r="AH53" s="1808">
        <f>IF(AL53=0,0,IF(AL53&lt;0,IF($J53=3,AL53,IF($J53=2,AL53,IF($J53=1,AL53,0)))))</f>
        <v>0</v>
      </c>
      <c r="AI53" s="1807">
        <f>IF(AL53=0,0,IF(AL53&lt;0,IF($J53=6,AL53,IF($J53=5,AL53,IF($J53=4,AL53,0)))))</f>
        <v>0</v>
      </c>
      <c r="AJ53" s="1807">
        <f>IF(AL53=0,0,IF(AL53&lt;0,IF($J53=9,AL53,IF($J53=8,AL53,IF($J53=7,AL53,0)))))</f>
        <v>0</v>
      </c>
      <c r="AK53" s="1806">
        <f>IF(AL53=0,0,IF(AL53&lt;0,IF($J53=12,AL53,IF($J53=11,AL53,IF($J53=10,AL53,0)))))</f>
        <v>0</v>
      </c>
      <c r="AL53" s="1791">
        <f>IF(AL$5=$H53,-$E53,0)</f>
        <v>0</v>
      </c>
      <c r="AM53" s="1808">
        <f>IF(AQ53=0,0,IF(AQ53&lt;0,IF($J53=3,AQ53,IF($J53=2,AQ53,IF($J53=1,AQ53,0)))))</f>
        <v>0</v>
      </c>
      <c r="AN53" s="1807">
        <f>IF(AQ53=0,0,IF(AQ53&lt;0,IF($J53=6,AQ53,IF($J53=5,AQ53,IF($J53=4,AQ53,0)))))</f>
        <v>0</v>
      </c>
      <c r="AO53" s="1807">
        <f>IF(AQ53=0,0,IF(AQ53&lt;0,IF($J53=9,AQ53,IF($J53=8,AQ53,IF($J53=7,AQ53,0)))))</f>
        <v>0</v>
      </c>
      <c r="AP53" s="1806">
        <f>IF(AQ53=0,0,IF(AQ53&lt;0,IF($J53=12,AQ53,IF($J53=11,AQ53,IF($J53=10,AQ53,0)))))</f>
        <v>0</v>
      </c>
      <c r="AQ53" s="1791">
        <f>IF(AQ$5=$H53,-$E53,0)</f>
        <v>0</v>
      </c>
      <c r="AR53" s="1808">
        <f>IF(AV53=0,0,IF(AV53&lt;0,IF($J53=3,AV53,IF($J53=2,AV53,IF($J53=1,AV53,0)))))</f>
        <v>0</v>
      </c>
      <c r="AS53" s="1807">
        <f>IF(AV53=0,0,IF(AV53&lt;0,IF($J53=6,AV53,IF($J53=5,AV53,IF($J53=4,AV53,0)))))</f>
        <v>0</v>
      </c>
      <c r="AT53" s="1807">
        <f>IF(AV53=0,0,IF(AV53&lt;0,IF($J53=9,AV53,IF($J53=8,AV53,IF($J53=7,AV53,0)))))</f>
        <v>0</v>
      </c>
      <c r="AU53" s="1806">
        <f>IF(AV53=0,0,IF(AV53&lt;0,IF($J53=12,AV53,IF($J53=11,AV53,IF($J53=10,AV53,0)))))</f>
        <v>0</v>
      </c>
      <c r="AV53" s="1791">
        <f>IF(AV$5=$H53,-$E53,0)</f>
        <v>0</v>
      </c>
      <c r="AW53" s="1808">
        <f>IF(BA53=0,0,IF(BA53&lt;0,IF($J53=3,BA53,IF($J53=2,BA53,IF($J53=1,BA53,0)))))</f>
        <v>0</v>
      </c>
      <c r="AX53" s="1807">
        <f>IF(BA53=0,0,IF(BA53&lt;0,IF($J53=6,BA53,IF($J53=5,BA53,IF($J53=4,BA53,0)))))</f>
        <v>0</v>
      </c>
      <c r="AY53" s="1807">
        <f>IF(BA53=0,0,IF(BA53&lt;0,IF($J53=9,BA53,IF($J53=8,BA53,IF($J53=7,BA53,0)))))</f>
        <v>0</v>
      </c>
      <c r="AZ53" s="1806">
        <f>IF(BA53=0,0,IF(BA53&lt;0,IF($J53=12,BA53,IF($J53=11,BA53,IF($J53=10,BA53,0)))))</f>
        <v>0</v>
      </c>
      <c r="BA53" s="1791">
        <f>IF(BA$5=$H53,-$E53,0)</f>
        <v>0</v>
      </c>
      <c r="BB53" s="1808">
        <f>IF(BF53=0,0,IF(BF53&lt;0,IF($J53=3,BF53,IF($J53=2,BF53,IF($J53=1,BF53,0)))))</f>
        <v>0</v>
      </c>
      <c r="BC53" s="1807">
        <f>IF(BF53=0,0,IF(BF53&lt;0,IF($J53=6,BF53,IF($J53=5,BF53,IF($J53=4,BF53,0)))))</f>
        <v>0</v>
      </c>
      <c r="BD53" s="1807">
        <f>IF(BF53=0,0,IF(BF53&lt;0,IF($J53=9,BF53,IF($J53=8,BF53,IF($J53=7,BF53,0)))))</f>
        <v>0</v>
      </c>
      <c r="BE53" s="1806">
        <f>IF(BF53=0,0,IF(BF53&lt;0,IF($J53=12,BF53,IF($J53=11,BF53,IF($J53=10,BF53,0)))))</f>
        <v>0</v>
      </c>
      <c r="BF53" s="1791">
        <f>IF(BF$5=$H53,-$E53,0)</f>
        <v>0</v>
      </c>
      <c r="BG53" s="1808">
        <f>IF(BK53=0,0,IF(BK53&lt;0,IF($J53=3,BK53,IF($J53=2,BK53,IF($J53=1,BK53,0)))))</f>
        <v>0</v>
      </c>
      <c r="BH53" s="1807">
        <f>IF(BK53=0,0,IF(BK53&lt;0,IF($J53=6,BK53,IF($J53=5,BK53,IF($J53=4,BK53,0)))))</f>
        <v>0</v>
      </c>
      <c r="BI53" s="1807">
        <f>IF(BK53=0,0,IF(BK53&lt;0,IF($J53=9,BK53,IF($J53=8,BK53,IF($J53=7,BK53,0)))))</f>
        <v>0</v>
      </c>
      <c r="BJ53" s="1806">
        <f>IF(BK53=0,0,IF(BK53&lt;0,IF($J53=12,BK53,IF($J53=11,BK53,IF($J53=10,BK53,0)))))</f>
        <v>0</v>
      </c>
      <c r="BK53" s="1791">
        <f>IF(BK$5=$H53,-$E53,0)</f>
        <v>0</v>
      </c>
      <c r="BL53" s="1808">
        <f>IF(BP53=0,0,IF(BP53&lt;0,IF($J53=3,BP53,IF($J53=2,BP53,IF($J53=1,BP53,0)))))</f>
        <v>0</v>
      </c>
      <c r="BM53" s="1807">
        <f>IF(BP53=0,0,IF(BP53&lt;0,IF($J53=6,BP53,IF($J53=5,BP53,IF($J53=4,BP53,0)))))</f>
        <v>0</v>
      </c>
      <c r="BN53" s="1807">
        <f>IF(BP53=0,0,IF(BP53&lt;0,IF($J53=9,BP53,IF($J53=8,BP53,IF($J53=7,BP53,0)))))</f>
        <v>-90</v>
      </c>
      <c r="BO53" s="1806">
        <f>IF(BP53=0,0,IF(BP53&lt;0,IF($J53=12,BP53,IF($J53=11,BP53,IF($J53=10,BP53,0)))))</f>
        <v>0</v>
      </c>
      <c r="BP53" s="1791">
        <f>IF(BP$5=$H53,-$E53,0)</f>
        <v>-90</v>
      </c>
      <c r="BQ53" s="1809"/>
      <c r="BR53" s="1991">
        <f t="shared" si="568"/>
        <v>0</v>
      </c>
      <c r="BS53" s="1991">
        <f t="shared" si="568"/>
        <v>0</v>
      </c>
      <c r="BT53" s="1992">
        <f>IF($H53&lt;&gt;BX$5,0,IF(BX53&lt;0,IF($J53=1,-$E53*$I53/12*3,IF($J53=2,-$E53*$I53/12*2,IF($J53=3,-$E53*$I53/12*1,0)))))+IF(BS$5&lt;&gt;$H53,0,IF(BS53&lt;0,IF($J53=1,-$E53*$I53/12*0,IF($J53=2,-$E53*$I53/12*1,IF($J53=3,-$E53*$I53/12*2,IF($J53&gt;=4,-$E53*$I53/12*3,0))))))</f>
        <v>0</v>
      </c>
      <c r="BU53" s="1992">
        <f>IF($H53&lt;&gt;BX$5,0,IF(BX53&lt;0,IF(OR($J53=1,$J53=2,$J53=3,$J53=4),-$E53*$I53/12*3,IF($J53=5,-$E53*$I53/12*2,IF($J53=6,-$E53*$I53/12*1,0)))))+IF(BS$5&lt;&gt;$H53,0,IF(BS53&lt;0,IF($J53=4,-$E53*$I53/12*0,IF($J53=5,-$E53*$I53/12*1,IF($J53=6,-$E53*$I53/12*2,IF($J53&gt;=7,-$E53*$I53/12*3,0))))))</f>
        <v>0</v>
      </c>
      <c r="BV53" s="1992">
        <f>IF($H53&lt;&gt;BX$5,0,IF(BX53&lt;0,IF(OR($J53=1,$J53=2,$J53=3,$J53=4,$J53=5,$J53=6,$J53=7),-$E53*$I53/12*3,IF($J53=8,-$E53*$I53/12*2,IF($J53=9,-$E53*$I53/12*1,0)))))+IF(BS$5&lt;&gt;$H53,0,IF(BS53&lt;0,IF($J53=7,-$E53*$I53/12*0,IF($J53=8,-$E53*$I53/12*1,IF($J53=9,-$E53*$I53/12*2,IF($J53&gt;=10,-$E53*$I53/12*3,0))))))</f>
        <v>0</v>
      </c>
      <c r="BW53" s="1992">
        <f>IF($H53&lt;&gt;BX$5,0,IF(BX53&lt;0,IF(OR($J53=1,$J53=2,$J53=3,$J53=4,$J53=5,$J53=6,$J53=7,$J53=8,$J53=9,$J53=10),-$E53*$I53/12*3,IF($J53=11,-$E53*$I53/12*2,IF($J53=12,-$E53*$I53/12*1,0)))))+IF(BS$5&lt;&gt;$H53,0,IF(BS53&lt;0,IF($J53=10,-$E53*$I53/12*0,IF($J53=11,-$E53*$I53/12*1,IF($J53=12,-$E53*$I53/12*2,0)))))</f>
        <v>0</v>
      </c>
      <c r="BX53" s="1810">
        <f>IF(AND(BS53&lt;&gt;0,BS$5=$H53),-$I53*$E53-BS53,IF(BX$5=$H53,-$I53*$E53*(12-$J53+1)/12,0))</f>
        <v>0</v>
      </c>
      <c r="BY53" s="1807">
        <f>IF($H53&lt;&gt;CC$5,0,IF(CC53&lt;0,IF($J53=1,-$E53*$I53/12*3,IF($J53=2,-$E53*$I53/12*2,IF($J53=3,-$E53*$I53/12*1,0)))))+IF(BX$5&lt;&gt;$H53,0,IF(BX53&lt;0,IF($J53=1,-$E53*$I53/12*0,IF($J53=2,-$E53*$I53/12*1,IF($J53=3,-$E53*$I53/12*2,IF($J53&gt;=4,-$E53*$I53/12*3,0))))))</f>
        <v>0</v>
      </c>
      <c r="BZ53" s="1807">
        <f>IF($H53&lt;&gt;CC$5,0,IF(CC53&lt;0,IF(OR($J53=1,$J53=2,$J53=3,$J53=4),-$E53*$I53/12*3,IF($J53=5,-$E53*$I53/12*2,IF($J53=6,-$E53*$I53/12*1,0)))))+IF(BX$5&lt;&gt;$H53,0,IF(BX53&lt;0,IF($J53=4,-$E53*$I53/12*0,IF($J53=5,-$E53*$I53/12*1,IF($J53=6,-$E53*$I53/12*2,IF($J53&gt;=7,-$E53*$I53/12*3,0))))))</f>
        <v>0</v>
      </c>
      <c r="CA53" s="1807">
        <f>IF($H53&lt;&gt;CC$5,0,IF(CC53&lt;0,IF(OR($J53=1,$J53=2,$J53=3,$J53=4,$J53=5,$J53=6,$J53=7),-$E53*$I53/12*3,IF($J53=8,-$E53*$I53/12*2,IF($J53=9,-$E53*$I53/12*1,0)))))+IF(BX$5&lt;&gt;$H53,0,IF(BX53&lt;0,IF($J53=7,-$E53*$I53/12*0,IF($J53=8,-$E53*$I53/12*1,IF($J53=9,-$E53*$I53/12*2,IF($J53&gt;=10,-$E53*$I53/12*3,0))))))</f>
        <v>0</v>
      </c>
      <c r="CB53" s="1806">
        <f>IF($H53&lt;&gt;CC$5,0,IF(CC53&lt;0,IF(OR($J53=1,$J53=2,$J53=3,$J53=4,$J53=5,$J53=6,$J53=7,$J53=8,$J53=9,$J53=10),-$E53*$I53/12*3,IF($J53=11,-$E53*$I53/12*2,IF($J53=12,-$E53*$I53/12*1,0)))))+IF(BX$5&lt;&gt;$H53,0,IF(BX53&lt;0,IF($J53=10,-$E53*$I53/12*0,IF($J53=11,-$E53*$I53/12*1,IF($J53=12,-$E53*$I53/12*2,0)))))</f>
        <v>0</v>
      </c>
      <c r="CC53" s="1791">
        <f>IF(AND(BX53&lt;&gt;0,BX$5=$H53),-$I53*$E53-BX53,IF(CC$5=$H53,-$I53*$E53*(12-$J53+1)/12,0))</f>
        <v>0</v>
      </c>
      <c r="CD53" s="1808">
        <f>IF($H53&lt;&gt;CH$5,0,IF(CH53&lt;0,IF($J53=1,-$E53*$I53/12*3,IF($J53=2,-$E53*$I53/12*2,IF($J53=3,-$E53*$I53/12*1,0)))))+IF(CC$5&lt;&gt;$H53,0,IF(CC53&lt;0,IF($J53=1,-$E53*$I53/12*0,IF($J53=2,-$E53*$I53/12*1,IF($J53=3,-$E53*$I53/12*2,IF($J53&gt;=4,-$E53*$I53/12*3,0))))))</f>
        <v>0</v>
      </c>
      <c r="CE53" s="1807">
        <f>IF($H53&lt;&gt;CH$5,0,IF(CH53&lt;0,IF(OR($J53=1,$J53=2,$J53=3,$J53=4),-$E53*$I53/12*3,IF($J53=5,-$E53*$I53/12*2,IF($J53=6,-$E53*$I53/12*1,0)))))+IF(CC$5&lt;&gt;$H53,0,IF(CC53&lt;0,IF($J53=4,-$E53*$I53/12*0,IF($J53=5,-$E53*$I53/12*1,IF($J53=6,-$E53*$I53/12*2,IF($J53&gt;=7,-$E53*$I53/12*3,0))))))</f>
        <v>0</v>
      </c>
      <c r="CF53" s="1807">
        <f>IF($H53&lt;&gt;CH$5,0,IF(CH53&lt;0,IF(OR($J53=1,$J53=2,$J53=3,$J53=4,$J53=5,$J53=6,$J53=7),-$E53*$I53/12*3,IF($J53=8,-$E53*$I53/12*2,IF($J53=9,-$E53*$I53/12*1,0)))))+IF(CC$5&lt;&gt;$H53,0,IF(CC53&lt;0,IF($J53=7,-$E53*$I53/12*0,IF($J53=8,-$E53*$I53/12*1,IF($J53=9,-$E53*$I53/12*2,IF($J53&gt;=10,-$E53*$I53/12*3,0))))))</f>
        <v>0</v>
      </c>
      <c r="CG53" s="1806">
        <f>IF($H53&lt;&gt;CH$5,0,IF(CH53&lt;0,IF(OR($J53=1,$J53=2,$J53=3,$J53=4,$J53=5,$J53=6,$J53=7,$J53=8,$J53=9,$J53=10),-$E53*$I53/12*3,IF($J53=11,-$E53*$I53/12*2,IF($J53=12,-$E53*$I53/12*1,0)))))+IF(CC$5&lt;&gt;$H53,0,IF(CC53&lt;0,IF($J53=10,-$E53*$I53/12*0,IF($J53=11,-$E53*$I53/12*1,IF($J53=12,-$E53*$I53/12*2,0)))))</f>
        <v>0</v>
      </c>
      <c r="CH53" s="1791">
        <f>IF(AND(CC53&lt;&gt;0,CC$5=$H53),-$I53*$E53-CC53,IF(CH$5=$H53,-$I53*$E53*(12-$J53+1)/12,0))</f>
        <v>0</v>
      </c>
      <c r="CI53" s="1808">
        <f>IF($H53&lt;&gt;CM$5,0,IF(CM53&lt;0,IF($J53=1,-$E53*$I53/12*3,IF($J53=2,-$E53*$I53/12*2,IF($J53=3,-$E53*$I53/12*1,0)))))+IF(CH$5&lt;&gt;$H53,0,IF(CH53&lt;0,IF($J53=1,-$E53*$I53/12*0,IF($J53=2,-$E53*$I53/12*1,IF($J53=3,-$E53*$I53/12*2,IF($J53&gt;=4,-$E53*$I53/12*3,0))))))</f>
        <v>0</v>
      </c>
      <c r="CJ53" s="1807">
        <f>IF($H53&lt;&gt;CM$5,0,IF(CM53&lt;0,IF(OR($J53=1,$J53=2,$J53=3,$J53=4),-$E53*$I53/12*3,IF($J53=5,-$E53*$I53/12*2,IF($J53=6,-$E53*$I53/12*1,0)))))+IF(CH$5&lt;&gt;$H53,0,IF(CH53&lt;0,IF($J53=4,-$E53*$I53/12*0,IF($J53=5,-$E53*$I53/12*1,IF($J53=6,-$E53*$I53/12*2,IF($J53&gt;=7,-$E53*$I53/12*3,0))))))</f>
        <v>0</v>
      </c>
      <c r="CK53" s="1807">
        <f>IF($H53&lt;&gt;CM$5,0,IF(CM53&lt;0,IF(OR($J53=1,$J53=2,$J53=3,$J53=4,$J53=5,$J53=6,$J53=7),-$E53*$I53/12*3,IF($J53=8,-$E53*$I53/12*2,IF($J53=9,-$E53*$I53/12*1,0)))))+IF(CH$5&lt;&gt;$H53,0,IF(CH53&lt;0,IF($J53=7,-$E53*$I53/12*0,IF($J53=8,-$E53*$I53/12*1,IF($J53=9,-$E53*$I53/12*2,IF($J53&gt;=10,-$E53*$I53/12*3,0))))))</f>
        <v>0</v>
      </c>
      <c r="CL53" s="1806">
        <f>IF($H53&lt;&gt;CM$5,0,IF(CM53&lt;0,IF(OR($J53=1,$J53=2,$J53=3,$J53=4,$J53=5,$J53=6,$J53=7,$J53=8,$J53=9,$J53=10),-$E53*$I53/12*3,IF($J53=11,-$E53*$I53/12*2,IF($J53=12,-$E53*$I53/12*1,0)))))+IF(CH$5&lt;&gt;$H53,0,IF(CH53&lt;0,IF($J53=10,-$E53*$I53/12*0,IF($J53=11,-$E53*$I53/12*1,IF($J53=12,-$E53*$I53/12*2,0)))))</f>
        <v>0</v>
      </c>
      <c r="CM53" s="1791">
        <f>IF(AND(CH53&lt;&gt;0,CH$5=$H53),-$I53*$E53-CH53,IF(CM$5=$H53,-$I53*$E53*(12-$J53+1)/12,0))</f>
        <v>0</v>
      </c>
      <c r="CN53" s="1808">
        <f>IF($H53&lt;&gt;CR$5,0,IF(CR53&lt;0,IF($J53=1,-$E53*$I53/12*3,IF($J53=2,-$E53*$I53/12*2,IF($J53=3,-$E53*$I53/12*1,0)))))+IF(CM$5&lt;&gt;$H53,0,IF(CM53&lt;0,IF($J53=1,-$E53*$I53/12*0,IF($J53=2,-$E53*$I53/12*1,IF($J53=3,-$E53*$I53/12*2,IF($J53&gt;=4,-$E53*$I53/12*3,0))))))</f>
        <v>0</v>
      </c>
      <c r="CO53" s="1807">
        <f>IF($H53&lt;&gt;CR$5,0,IF(CR53&lt;0,IF(OR($J53=1,$J53=2,$J53=3,$J53=4),-$E53*$I53/12*3,IF($J53=5,-$E53*$I53/12*2,IF($J53=6,-$E53*$I53/12*1,0)))))+IF(CM$5&lt;&gt;$H53,0,IF(CM53&lt;0,IF($J53=4,-$E53*$I53/12*0,IF($J53=5,-$E53*$I53/12*1,IF($J53=6,-$E53*$I53/12*2,IF($J53&gt;=7,-$E53*$I53/12*3,0))))))</f>
        <v>0</v>
      </c>
      <c r="CP53" s="1807">
        <f>IF($H53&lt;&gt;CR$5,0,IF(CR53&lt;0,IF(OR($J53=1,$J53=2,$J53=3,$J53=4,$J53=5,$J53=6,$J53=7),-$E53*$I53/12*3,IF($J53=8,-$E53*$I53/12*2,IF($J53=9,-$E53*$I53/12*1,0)))))+IF(CM$5&lt;&gt;$H53,0,IF(CM53&lt;0,IF($J53=7,-$E53*$I53/12*0,IF($J53=8,-$E53*$I53/12*1,IF($J53=9,-$E53*$I53/12*2,IF($J53&gt;=10,-$E53*$I53/12*3,0))))))</f>
        <v>0</v>
      </c>
      <c r="CQ53" s="1806">
        <f>IF($H53&lt;&gt;CR$5,0,IF(CR53&lt;0,IF(OR($J53=1,$J53=2,$J53=3,$J53=4,$J53=5,$J53=6,$J53=7,$J53=8,$J53=9,$J53=10),-$E53*$I53/12*3,IF($J53=11,-$E53*$I53/12*2,IF($J53=12,-$E53*$I53/12*1,0)))))+IF(CM$5&lt;&gt;$H53,0,IF(CM53&lt;0,IF($J53=10,-$E53*$I53/12*0,IF($J53=11,-$E53*$I53/12*1,IF($J53=12,-$E53*$I53/12*2,0)))))</f>
        <v>0</v>
      </c>
      <c r="CR53" s="1791">
        <f>IF(AND(CM53&lt;&gt;0,CM$5=$H53),-$I53*$E53-CM53,IF(CR$5=$H53,-$I53*$E53*(12-$J53+1)/12,0))</f>
        <v>0</v>
      </c>
      <c r="CS53" s="1808">
        <f>IF($H53&lt;&gt;CW$5,0,IF(CW53&lt;0,IF($J53=1,-$E53*$I53/12*3,IF($J53=2,-$E53*$I53/12*2,IF($J53=3,-$E53*$I53/12*1,0)))))+IF(CR$5&lt;&gt;$H53,0,IF(CR53&lt;0,IF($J53=1,-$E53*$I53/12*0,IF($J53=2,-$E53*$I53/12*1,IF($J53=3,-$E53*$I53/12*2,IF($J53&gt;=4,-$E53*$I53/12*3,0))))))</f>
        <v>0</v>
      </c>
      <c r="CT53" s="1807">
        <f>IF($H53&lt;&gt;CW$5,0,IF(CW53&lt;0,IF(OR($J53=1,$J53=2,$J53=3,$J53=4),-$E53*$I53/12*3,IF($J53=5,-$E53*$I53/12*2,IF($J53=6,-$E53*$I53/12*1,0)))))+IF(CR$5&lt;&gt;$H53,0,IF(CR53&lt;0,IF($J53=4,-$E53*$I53/12*0,IF($J53=5,-$E53*$I53/12*1,IF($J53=6,-$E53*$I53/12*2,IF($J53&gt;=7,-$E53*$I53/12*3,0))))))</f>
        <v>0</v>
      </c>
      <c r="CU53" s="1807">
        <f>IF($H53&lt;&gt;CW$5,0,IF(CW53&lt;0,IF(OR($J53=1,$J53=2,$J53=3,$J53=4,$J53=5,$J53=6,$J53=7),-$E53*$I53/12*3,IF($J53=8,-$E53*$I53/12*2,IF($J53=9,-$E53*$I53/12*1,0)))))+IF(CR$5&lt;&gt;$H53,0,IF(CR53&lt;0,IF($J53=7,-$E53*$I53/12*0,IF($J53=8,-$E53*$I53/12*1,IF($J53=9,-$E53*$I53/12*2,IF($J53&gt;=10,-$E53*$I53/12*3,0))))))</f>
        <v>0</v>
      </c>
      <c r="CV53" s="1806">
        <f>IF($H53&lt;&gt;CW$5,0,IF(CW53&lt;0,IF(OR($J53=1,$J53=2,$J53=3,$J53=4,$J53=5,$J53=6,$J53=7,$J53=8,$J53=9,$J53=10),-$E53*$I53/12*3,IF($J53=11,-$E53*$I53/12*2,IF($J53=12,-$E53*$I53/12*1,0)))))+IF(CR$5&lt;&gt;$H53,0,IF(CR53&lt;0,IF($J53=10,-$E53*$I53/12*0,IF($J53=11,-$E53*$I53/12*1,IF($J53=12,-$E53*$I53/12*2,0)))))</f>
        <v>0</v>
      </c>
      <c r="CW53" s="1791">
        <f>IF(AND(CR53&lt;&gt;0,CR$5=$H53),-$I53*$E53-CR53,IF(CW$5=$H53,-$I53*$E53*(12-$J53+1)/12,0))</f>
        <v>0</v>
      </c>
      <c r="CX53" s="1808">
        <f>IF($H53&lt;&gt;DB$5,0,IF(DB53&lt;0,IF($J53=1,-$E53*$I53/12*3,IF($J53=2,-$E53*$I53/12*2,IF($J53=3,-$E53*$I53/12*1,0)))))+IF(CW$5&lt;&gt;$H53,0,IF(CW53&lt;0,IF($J53=1,-$E53*$I53/12*0,IF($J53=2,-$E53*$I53/12*1,IF($J53=3,-$E53*$I53/12*2,IF($J53&gt;=4,-$E53*$I53/12*3,0))))))</f>
        <v>0</v>
      </c>
      <c r="CY53" s="1807">
        <f>IF($H53&lt;&gt;DB$5,0,IF(DB53&lt;0,IF(OR($J53=1,$J53=2,$J53=3,$J53=4),-$E53*$I53/12*3,IF($J53=5,-$E53*$I53/12*2,IF($J53=6,-$E53*$I53/12*1,0)))))+IF(CW$5&lt;&gt;$H53,0,IF(CW53&lt;0,IF($J53=4,-$E53*$I53/12*0,IF($J53=5,-$E53*$I53/12*1,IF($J53=6,-$E53*$I53/12*2,IF($J53&gt;=7,-$E53*$I53/12*3,0))))))</f>
        <v>0</v>
      </c>
      <c r="CZ53" s="1807">
        <f>IF($H53&lt;&gt;DB$5,0,IF(DB53&lt;0,IF(OR($J53=1,$J53=2,$J53=3,$J53=4,$J53=5,$J53=6,$J53=7),-$E53*$I53/12*3,IF($J53=8,-$E53*$I53/12*2,IF($J53=9,-$E53*$I53/12*1,0)))))+IF(CW$5&lt;&gt;$H53,0,IF(CW53&lt;0,IF($J53=7,-$E53*$I53/12*0,IF($J53=8,-$E53*$I53/12*1,IF($J53=9,-$E53*$I53/12*2,IF($J53&gt;=10,-$E53*$I53/12*3,0))))))</f>
        <v>0</v>
      </c>
      <c r="DA53" s="1806">
        <f>IF($H53&lt;&gt;DB$5,0,IF(DB53&lt;0,IF(OR($J53=1,$J53=2,$J53=3,$J53=4,$J53=5,$J53=6,$J53=7,$J53=8,$J53=9,$J53=10),-$E53*$I53/12*3,IF($J53=11,-$E53*$I53/12*2,IF($J53=12,-$E53*$I53/12*1,0)))))+IF(CW$5&lt;&gt;$H53,0,IF(CW53&lt;0,IF($J53=10,-$E53*$I53/12*0,IF($J53=11,-$E53*$I53/12*1,IF($J53=12,-$E53*$I53/12*2,0)))))</f>
        <v>0</v>
      </c>
      <c r="DB53" s="1791">
        <f>IF(AND(CW53&lt;&gt;0,CW$5=$H53),-$I53*$E53-CW53,IF(DB$5=$H53,-$I53*$E53*(12-$J53+1)/12,0))</f>
        <v>0</v>
      </c>
      <c r="DC53" s="1808">
        <f>IF($H53&lt;&gt;DG$5,0,IF(DG53&lt;0,IF($J53=1,-$E53*$I53/12*3,IF($J53=2,-$E53*$I53/12*2,IF($J53=3,-$E53*$I53/12*1,0)))))+IF(DB$5&lt;&gt;$H53,0,IF(DB53&lt;0,IF($J53=1,-$E53*$I53/12*0,IF($J53=2,-$E53*$I53/12*1,IF($J53=3,-$E53*$I53/12*2,IF($J53&gt;=4,-$E53*$I53/12*3,0))))))</f>
        <v>0</v>
      </c>
      <c r="DD53" s="1807">
        <f>IF($H53&lt;&gt;DG$5,0,IF(DG53&lt;0,IF(OR($J53=1,$J53=2,$J53=3,$J53=4),-$E53*$I53/12*3,IF($J53=5,-$E53*$I53/12*2,IF($J53=6,-$E53*$I53/12*1,0)))))+IF(DB$5&lt;&gt;$H53,0,IF(DB53&lt;0,IF($J53=4,-$E53*$I53/12*0,IF($J53=5,-$E53*$I53/12*1,IF($J53=6,-$E53*$I53/12*2,IF($J53&gt;=7,-$E53*$I53/12*3,0))))))</f>
        <v>0</v>
      </c>
      <c r="DE53" s="1807">
        <f>IF($H53&lt;&gt;DG$5,0,IF(DG53&lt;0,IF(OR($J53=1,$J53=2,$J53=3,$J53=4,$J53=5,$J53=6,$J53=7),-$E53*$I53/12*3,IF($J53=8,-$E53*$I53/12*2,IF($J53=9,-$E53*$I53/12*1,0)))))+IF(DB$5&lt;&gt;$H53,0,IF(DB53&lt;0,IF($J53=7,-$E53*$I53/12*0,IF($J53=8,-$E53*$I53/12*1,IF($J53=9,-$E53*$I53/12*2,IF($J53&gt;=10,-$E53*$I53/12*3,0))))))</f>
        <v>0</v>
      </c>
      <c r="DF53" s="1806">
        <f>IF($H53&lt;&gt;DG$5,0,IF(DG53&lt;0,IF(OR($J53=1,$J53=2,$J53=3,$J53=4,$J53=5,$J53=6,$J53=7,$J53=8,$J53=9,$J53=10),-$E53*$I53/12*3,IF($J53=11,-$E53*$I53/12*2,IF($J53=12,-$E53*$I53/12*1,0)))))+IF(DB$5&lt;&gt;$H53,0,IF(DB53&lt;0,IF($J53=10,-$E53*$I53/12*0,IF($J53=11,-$E53*$I53/12*1,IF($J53=12,-$E53*$I53/12*2,0)))))</f>
        <v>0</v>
      </c>
      <c r="DG53" s="1791">
        <f>IF(AND(DB53&lt;&gt;0,DB$5=$H53),-$I53*$E53-DB53,IF(DG$5=$H53,-$I53*$E53*(12-$J53+1)/12,0))</f>
        <v>0</v>
      </c>
      <c r="DH53" s="1808">
        <f>IF($H53&lt;&gt;DL$5,0,IF(DL53&lt;0,IF($J53=1,-$E53*$I53/12*3,IF($J53=2,-$E53*$I53/12*2,IF($J53=3,-$E53*$I53/12*1,0)))))+IF(DG$5&lt;&gt;$H53,0,IF(DG53&lt;0,IF($J53=1,-$E53*$I53/12*0,IF($J53=2,-$E53*$I53/12*1,IF($J53=3,-$E53*$I53/12*2,IF($J53&gt;=4,-$E53*$I53/12*3,0))))))</f>
        <v>0</v>
      </c>
      <c r="DI53" s="1807">
        <f>IF($H53&lt;&gt;DL$5,0,IF(DL53&lt;0,IF(OR($J53=1,$J53=2,$J53=3,$J53=4),-$E53*$I53/12*3,IF($J53=5,-$E53*$I53/12*2,IF($J53=6,-$E53*$I53/12*1,0)))))+IF(DG$5&lt;&gt;$H53,0,IF(DG53&lt;0,IF($J53=4,-$E53*$I53/12*0,IF($J53=5,-$E53*$I53/12*1,IF($J53=6,-$E53*$I53/12*2,IF($J53&gt;=7,-$E53*$I53/12*3,0))))))</f>
        <v>0</v>
      </c>
      <c r="DJ53" s="1807">
        <f>IF($H53&lt;&gt;DL$5,0,IF(DL53&lt;0,IF(OR($J53=1,$J53=2,$J53=3,$J53=4,$J53=5,$J53=6,$J53=7),-$E53*$I53/12*3,IF($J53=8,-$E53*$I53/12*2,IF($J53=9,-$E53*$I53/12*1,0)))))+IF(DG$5&lt;&gt;$H53,0,IF(DG53&lt;0,IF($J53=7,-$E53*$I53/12*0,IF($J53=8,-$E53*$I53/12*1,IF($J53=9,-$E53*$I53/12*2,IF($J53&gt;=10,-$E53*$I53/12*3,0))))))</f>
        <v>0</v>
      </c>
      <c r="DK53" s="1806">
        <f>IF($H53&lt;&gt;DL$5,0,IF(DL53&lt;0,IF(OR($J53=1,$J53=2,$J53=3,$J53=4,$J53=5,$J53=6,$J53=7,$J53=8,$J53=9,$J53=10),-$E53*$I53/12*3,IF($J53=11,-$E53*$I53/12*2,IF($J53=12,-$E53*$I53/12*1,0)))))+IF(DG$5&lt;&gt;$H53,0,IF(DG53&lt;0,IF($J53=10,-$E53*$I53/12*0,IF($J53=11,-$E53*$I53/12*1,IF($J53=12,-$E53*$I53/12*2,0)))))</f>
        <v>0</v>
      </c>
      <c r="DL53" s="1791">
        <f>IF(AND(DG53&lt;&gt;0,DG$5=$H53),-$I53*$E53-DG53,IF(DL$5=$H53,-$I53*$E53*(12-$J53+1)/12,0))</f>
        <v>0</v>
      </c>
      <c r="DM53" s="1808">
        <f>IF($H53&lt;&gt;DQ$5,0,IF(DQ53&lt;0,IF($J53=1,-$E53*$I53/12*3,IF($J53=2,-$E53*$I53/12*2,IF($J53=3,-$E53*$I53/12*1,0)))))+IF(DL$5&lt;&gt;$H53,0,IF(DL53&lt;0,IF($J53=1,-$E53*$I53/12*0,IF($J53=2,-$E53*$I53/12*1,IF($J53=3,-$E53*$I53/12*2,IF($J53&gt;=4,-$E53*$I53/12*3,0))))))</f>
        <v>0</v>
      </c>
      <c r="DN53" s="1807">
        <f>IF($H53&lt;&gt;DQ$5,0,IF(DQ53&lt;0,IF(OR($J53=1,$J53=2,$J53=3,$J53=4),-$E53*$I53/12*3,IF($J53=5,-$E53*$I53/12*2,IF($J53=6,-$E53*$I53/12*1,0)))))+IF(DL$5&lt;&gt;$H53,0,IF(DL53&lt;0,IF($J53=4,-$E53*$I53/12*0,IF($J53=5,-$E53*$I53/12*1,IF($J53=6,-$E53*$I53/12*2,IF($J53&gt;=7,-$E53*$I53/12*3,0))))))</f>
        <v>0</v>
      </c>
      <c r="DO53" s="1807">
        <f>IF($H53&lt;&gt;DQ$5,0,IF(DQ53&lt;0,IF(OR($J53=1,$J53=2,$J53=3,$J53=4,$J53=5,$J53=6,$J53=7),-$E53*$I53/12*3,IF($J53=8,-$E53*$I53/12*2,IF($J53=9,-$E53*$I53/12*1,0)))))+IF(DL$5&lt;&gt;$H53,0,IF(DL53&lt;0,IF($J53=7,-$E53*$I53/12*0,IF($J53=8,-$E53*$I53/12*1,IF($J53=9,-$E53*$I53/12*2,IF($J53&gt;=10,-$E53*$I53/12*3,0))))))</f>
        <v>0</v>
      </c>
      <c r="DP53" s="1806">
        <f>IF($H53&lt;&gt;DQ$5,0,IF(DQ53&lt;0,IF(OR($J53=1,$J53=2,$J53=3,$J53=4,$J53=5,$J53=6,$J53=7,$J53=8,$J53=9,$J53=10),-$E53*$I53/12*3,IF($J53=11,-$E53*$I53/12*2,IF($J53=12,-$E53*$I53/12*1,0)))))+IF(DL$5&lt;&gt;$H53,0,IF(DL53&lt;0,IF($J53=10,-$E53*$I53/12*0,IF($J53=11,-$E53*$I53/12*1,IF($J53=12,-$E53*$I53/12*2,0)))))</f>
        <v>0</v>
      </c>
      <c r="DQ53" s="1791">
        <f>IF(AND(DL53&lt;&gt;0,DL$5=$H53),-$I53*$E53-DL53,IF(DQ$5=$H53,-$I53*$E53*(12-$J53+1)/12,0))</f>
        <v>0</v>
      </c>
      <c r="DR53" s="1808">
        <f>IF($H53&lt;&gt;DV$5,0,IF(DV53&lt;0,IF($J53=1,-$E53*$I53/12*3,IF($J53=2,-$E53*$I53/12*2,IF($J53=3,-$E53*$I53/12*1,0)))))+IF(DQ$5&lt;&gt;$H53,0,IF(DQ53&lt;0,IF($J53=1,-$E53*$I53/12*0,IF($J53=2,-$E53*$I53/12*1,IF($J53=3,-$E53*$I53/12*2,IF($J53&gt;=4,-$E53*$I53/12*3,0))))))</f>
        <v>0</v>
      </c>
      <c r="DS53" s="1807">
        <f>IF($H53&lt;&gt;DV$5,0,IF(DV53&lt;0,IF(OR($J53=1,$J53=2,$J53=3,$J53=4),-$E53*$I53/12*3,IF($J53=5,-$E53*$I53/12*2,IF($J53=6,-$E53*$I53/12*1,0)))))+IF(DQ$5&lt;&gt;$H53,0,IF(DQ53&lt;0,IF($J53=4,-$E53*$I53/12*0,IF($J53=5,-$E53*$I53/12*1,IF($J53=6,-$E53*$I53/12*2,IF($J53&gt;=7,-$E53*$I53/12*3,0))))))</f>
        <v>0</v>
      </c>
      <c r="DT53" s="1807">
        <f>IF($H53&lt;&gt;DV$5,0,IF(DV53&lt;0,IF(OR($J53=1,$J53=2,$J53=3,$J53=4,$J53=5,$J53=6,$J53=7),-$E53*$I53/12*3,IF($J53=8,-$E53*$I53/12*2,IF($J53=9,-$E53*$I53/12*1,0)))))+IF(DQ$5&lt;&gt;$H53,0,IF(DQ53&lt;0,IF($J53=7,-$E53*$I53/12*0,IF($J53=8,-$E53*$I53/12*1,IF($J53=9,-$E53*$I53/12*2,IF($J53&gt;=10,-$E53*$I53/12*3,0))))))</f>
        <v>-0.82125000000000004</v>
      </c>
      <c r="DU53" s="1806">
        <f>IF($H53&lt;&gt;DV$5,0,IF(DV53&lt;0,IF(OR($J53=1,$J53=2,$J53=3,$J53=4,$J53=5,$J53=6,$J53=7,$J53=8,$J53=9,$J53=10),-$E53*$I53/12*3,IF($J53=11,-$E53*$I53/12*2,IF($J53=12,-$E53*$I53/12*1,0)))))+IF(DQ$5&lt;&gt;$H53,0,IF(DQ53&lt;0,IF($J53=10,-$E53*$I53/12*0,IF($J53=11,-$E53*$I53/12*1,IF($J53=12,-$E53*$I53/12*2,0)))))</f>
        <v>-0.82125000000000004</v>
      </c>
      <c r="DV53" s="1791">
        <f>IF(AND(DQ53&lt;&gt;0,DQ$5=$H53),-$I53*$E53-DQ53,IF(DV$5=$H53,-$I53*$E53*(12-$J53+1)/12,0))</f>
        <v>-1.6424999999999998</v>
      </c>
    </row>
    <row r="54" spans="1:126">
      <c r="A54" s="455"/>
      <c r="B54" s="455"/>
      <c r="C54" s="1723" t="s">
        <v>1011</v>
      </c>
      <c r="D54" s="94"/>
      <c r="E54" s="1817">
        <f>IF(F54=0,G54,F54)</f>
        <v>40</v>
      </c>
      <c r="F54" s="1435">
        <v>40</v>
      </c>
      <c r="G54" s="1435">
        <v>40</v>
      </c>
      <c r="H54" s="1350">
        <v>2023</v>
      </c>
      <c r="I54" s="1337">
        <v>3.1699999999999999E-2</v>
      </c>
      <c r="J54" s="1343">
        <v>10</v>
      </c>
      <c r="K54" s="2007"/>
      <c r="L54" s="1810">
        <f t="shared" si="567"/>
        <v>0</v>
      </c>
      <c r="M54" s="1791">
        <f t="shared" si="567"/>
        <v>0</v>
      </c>
      <c r="N54" s="1808">
        <f>IF(R54=0,0,IF(R54&lt;0,IF($J54=3,R54,IF($J54=2,R54,IF($J54=1,R54,0)))))</f>
        <v>0</v>
      </c>
      <c r="O54" s="1807">
        <f>IF(R54=0,0,IF(R54&lt;0,IF($J54=6,R54,IF($J54=5,R54,IF($J54=4,R54,0)))))</f>
        <v>0</v>
      </c>
      <c r="P54" s="1807">
        <f>IF(R54=0,0,IF(R54&lt;0,IF($J54=9,R54,IF($J54=8,R54,IF($J54=7,R54,0)))))</f>
        <v>0</v>
      </c>
      <c r="Q54" s="1806">
        <f>IF(R54=0,0,IF(R54&lt;0,IF($J54=12,R54,IF($J54=11,R54,IF($J54=10,R54,0)))))</f>
        <v>0</v>
      </c>
      <c r="R54" s="1791">
        <f>IF(R$5=$H54,-$E54,0)</f>
        <v>0</v>
      </c>
      <c r="S54" s="1808">
        <f>IF(W54=0,0,IF(W54&lt;0,IF($J54=3,W54,IF($J54=2,W54,IF($J54=1,W54,0)))))</f>
        <v>0</v>
      </c>
      <c r="T54" s="1807">
        <f>IF(W54=0,0,IF(W54&lt;0,IF($J54=6,W54,IF($J54=5,W54,IF($J54=4,W54,0)))))</f>
        <v>0</v>
      </c>
      <c r="U54" s="1807">
        <f>IF(W54=0,0,IF(W54&lt;0,IF($J54=9,W54,IF($J54=8,W54,IF($J54=7,W54,0)))))</f>
        <v>0</v>
      </c>
      <c r="V54" s="1806">
        <f>IF(W54=0,0,IF(W54&lt;0,IF($J54=12,W54,IF($J54=11,W54,IF($J54=10,W54,0)))))</f>
        <v>0</v>
      </c>
      <c r="W54" s="1791">
        <f>IF(W$5=$H54,-$E54,0)</f>
        <v>0</v>
      </c>
      <c r="X54" s="1808">
        <f>IF(AB54=0,0,IF(AB54&lt;0,IF($J54=3,AB54,IF($J54=2,AB54,IF($J54=1,AB54,0)))))</f>
        <v>0</v>
      </c>
      <c r="Y54" s="1807">
        <f>IF(AB54=0,0,IF(AB54&lt;0,IF($J54=6,AB54,IF($J54=5,AB54,IF($J54=4,AB54,0)))))</f>
        <v>0</v>
      </c>
      <c r="Z54" s="1807">
        <f>IF(AB54=0,0,IF(AB54&lt;0,IF($J54=9,AB54,IF($J54=8,AB54,IF($J54=7,AB54,0)))))</f>
        <v>0</v>
      </c>
      <c r="AA54" s="1806">
        <f>IF(AB54=0,0,IF(AB54&lt;0,IF($J54=12,AB54,IF($J54=11,AB54,IF($J54=10,AB54,0)))))</f>
        <v>0</v>
      </c>
      <c r="AB54" s="1791">
        <f>IF(AB$5=$H54,-$E54,0)</f>
        <v>0</v>
      </c>
      <c r="AC54" s="1808">
        <f>IF(AG54=0,0,IF(AG54&lt;0,IF($J54=3,AG54,IF($J54=2,AG54,IF($J54=1,AG54,0)))))</f>
        <v>0</v>
      </c>
      <c r="AD54" s="1807">
        <f>IF(AG54=0,0,IF(AG54&lt;0,IF($J54=6,AG54,IF($J54=5,AG54,IF($J54=4,AG54,0)))))</f>
        <v>0</v>
      </c>
      <c r="AE54" s="1807">
        <f>IF(AG54=0,0,IF(AG54&lt;0,IF($J54=9,AG54,IF($J54=8,AG54,IF($J54=7,AG54,0)))))</f>
        <v>0</v>
      </c>
      <c r="AF54" s="1806">
        <f>IF(AG54=0,0,IF(AG54&lt;0,IF($J54=12,AG54,IF($J54=11,AG54,IF($J54=10,AG54,0)))))</f>
        <v>0</v>
      </c>
      <c r="AG54" s="1791">
        <f>IF(AG$5=$H54,-$E54,0)</f>
        <v>0</v>
      </c>
      <c r="AH54" s="1808">
        <f>IF(AL54=0,0,IF(AL54&lt;0,IF($J54=3,AL54,IF($J54=2,AL54,IF($J54=1,AL54,0)))))</f>
        <v>0</v>
      </c>
      <c r="AI54" s="1807">
        <f>IF(AL54=0,0,IF(AL54&lt;0,IF($J54=6,AL54,IF($J54=5,AL54,IF($J54=4,AL54,0)))))</f>
        <v>0</v>
      </c>
      <c r="AJ54" s="1807">
        <f>IF(AL54=0,0,IF(AL54&lt;0,IF($J54=9,AL54,IF($J54=8,AL54,IF($J54=7,AL54,0)))))</f>
        <v>0</v>
      </c>
      <c r="AK54" s="1806">
        <f>IF(AL54=0,0,IF(AL54&lt;0,IF($J54=12,AL54,IF($J54=11,AL54,IF($J54=10,AL54,0)))))</f>
        <v>0</v>
      </c>
      <c r="AL54" s="1791">
        <f>IF(AL$5=$H54,-$E54,0)</f>
        <v>0</v>
      </c>
      <c r="AM54" s="1808">
        <f>IF(AQ54=0,0,IF(AQ54&lt;0,IF($J54=3,AQ54,IF($J54=2,AQ54,IF($J54=1,AQ54,0)))))</f>
        <v>0</v>
      </c>
      <c r="AN54" s="1807">
        <f>IF(AQ54=0,0,IF(AQ54&lt;0,IF($J54=6,AQ54,IF($J54=5,AQ54,IF($J54=4,AQ54,0)))))</f>
        <v>0</v>
      </c>
      <c r="AO54" s="1807">
        <f>IF(AQ54=0,0,IF(AQ54&lt;0,IF($J54=9,AQ54,IF($J54=8,AQ54,IF($J54=7,AQ54,0)))))</f>
        <v>0</v>
      </c>
      <c r="AP54" s="1806">
        <f>IF(AQ54=0,0,IF(AQ54&lt;0,IF($J54=12,AQ54,IF($J54=11,AQ54,IF($J54=10,AQ54,0)))))</f>
        <v>0</v>
      </c>
      <c r="AQ54" s="1791">
        <f>IF(AQ$5=$H54,-$E54,0)</f>
        <v>0</v>
      </c>
      <c r="AR54" s="1808">
        <f>IF(AV54=0,0,IF(AV54&lt;0,IF($J54=3,AV54,IF($J54=2,AV54,IF($J54=1,AV54,0)))))</f>
        <v>0</v>
      </c>
      <c r="AS54" s="1807">
        <f>IF(AV54=0,0,IF(AV54&lt;0,IF($J54=6,AV54,IF($J54=5,AV54,IF($J54=4,AV54,0)))))</f>
        <v>0</v>
      </c>
      <c r="AT54" s="1807">
        <f>IF(AV54=0,0,IF(AV54&lt;0,IF($J54=9,AV54,IF($J54=8,AV54,IF($J54=7,AV54,0)))))</f>
        <v>0</v>
      </c>
      <c r="AU54" s="1806">
        <f>IF(AV54=0,0,IF(AV54&lt;0,IF($J54=12,AV54,IF($J54=11,AV54,IF($J54=10,AV54,0)))))</f>
        <v>0</v>
      </c>
      <c r="AV54" s="1791">
        <f>IF(AV$5=$H54,-$E54,0)</f>
        <v>0</v>
      </c>
      <c r="AW54" s="1808">
        <f>IF(BA54=0,0,IF(BA54&lt;0,IF($J54=3,BA54,IF($J54=2,BA54,IF($J54=1,BA54,0)))))</f>
        <v>0</v>
      </c>
      <c r="AX54" s="1807">
        <f>IF(BA54=0,0,IF(BA54&lt;0,IF($J54=6,BA54,IF($J54=5,BA54,IF($J54=4,BA54,0)))))</f>
        <v>0</v>
      </c>
      <c r="AY54" s="1807">
        <f>IF(BA54=0,0,IF(BA54&lt;0,IF($J54=9,BA54,IF($J54=8,BA54,IF($J54=7,BA54,0)))))</f>
        <v>0</v>
      </c>
      <c r="AZ54" s="1806">
        <f>IF(BA54=0,0,IF(BA54&lt;0,IF($J54=12,BA54,IF($J54=11,BA54,IF($J54=10,BA54,0)))))</f>
        <v>0</v>
      </c>
      <c r="BA54" s="1791">
        <f>IF(BA$5=$H54,-$E54,0)</f>
        <v>0</v>
      </c>
      <c r="BB54" s="1808">
        <f>IF(BF54=0,0,IF(BF54&lt;0,IF($J54=3,BF54,IF($J54=2,BF54,IF($J54=1,BF54,0)))))</f>
        <v>0</v>
      </c>
      <c r="BC54" s="1807">
        <f>IF(BF54=0,0,IF(BF54&lt;0,IF($J54=6,BF54,IF($J54=5,BF54,IF($J54=4,BF54,0)))))</f>
        <v>0</v>
      </c>
      <c r="BD54" s="1807">
        <f>IF(BF54=0,0,IF(BF54&lt;0,IF($J54=9,BF54,IF($J54=8,BF54,IF($J54=7,BF54,0)))))</f>
        <v>0</v>
      </c>
      <c r="BE54" s="1806">
        <f>IF(BF54=0,0,IF(BF54&lt;0,IF($J54=12,BF54,IF($J54=11,BF54,IF($J54=10,BF54,0)))))</f>
        <v>0</v>
      </c>
      <c r="BF54" s="1791">
        <f>IF(BF$5=$H54,-$E54,0)</f>
        <v>0</v>
      </c>
      <c r="BG54" s="1808">
        <f>IF(BK54=0,0,IF(BK54&lt;0,IF($J54=3,BK54,IF($J54=2,BK54,IF($J54=1,BK54,0)))))</f>
        <v>0</v>
      </c>
      <c r="BH54" s="1807">
        <f>IF(BK54=0,0,IF(BK54&lt;0,IF($J54=6,BK54,IF($J54=5,BK54,IF($J54=4,BK54,0)))))</f>
        <v>0</v>
      </c>
      <c r="BI54" s="1807">
        <f>IF(BK54=0,0,IF(BK54&lt;0,IF($J54=9,BK54,IF($J54=8,BK54,IF($J54=7,BK54,0)))))</f>
        <v>0</v>
      </c>
      <c r="BJ54" s="1806">
        <f>IF(BK54=0,0,IF(BK54&lt;0,IF($J54=12,BK54,IF($J54=11,BK54,IF($J54=10,BK54,0)))))</f>
        <v>0</v>
      </c>
      <c r="BK54" s="1791">
        <f>IF(BK$5=$H54,-$E54,0)</f>
        <v>0</v>
      </c>
      <c r="BL54" s="1808">
        <f>IF(BP54=0,0,IF(BP54&lt;0,IF($J54=3,BP54,IF($J54=2,BP54,IF($J54=1,BP54,0)))))</f>
        <v>0</v>
      </c>
      <c r="BM54" s="1807">
        <f>IF(BP54=0,0,IF(BP54&lt;0,IF($J54=6,BP54,IF($J54=5,BP54,IF($J54=4,BP54,0)))))</f>
        <v>0</v>
      </c>
      <c r="BN54" s="1807">
        <f>IF(BP54=0,0,IF(BP54&lt;0,IF($J54=9,BP54,IF($J54=8,BP54,IF($J54=7,BP54,0)))))</f>
        <v>0</v>
      </c>
      <c r="BO54" s="1806">
        <f>IF(BP54=0,0,IF(BP54&lt;0,IF($J54=12,BP54,IF($J54=11,BP54,IF($J54=10,BP54,0)))))</f>
        <v>0</v>
      </c>
      <c r="BP54" s="1791">
        <f>IF(BP$5=$H54,-$E54,0)</f>
        <v>0</v>
      </c>
      <c r="BQ54" s="1809"/>
      <c r="BR54" s="1991">
        <f t="shared" ref="BR54" si="569">IF(AND(BQ54&lt;&gt;0,BQ$5=$H54),-$I54*$E54-BQ54,IF(BR$5=$H54,-$I54*$E54*(12-$J54+1)/12,0))</f>
        <v>0</v>
      </c>
      <c r="BS54" s="1991">
        <f t="shared" ref="BS54" si="570">IF(AND(BR54&lt;&gt;0,BR$5=$H54),-$I54*$E54-BR54,IF(BS$5=$H54,-$I54*$E54*(12-$J54+1)/12,0))</f>
        <v>0</v>
      </c>
      <c r="BT54" s="1992">
        <f>IF($H54&lt;&gt;BX$5,0,IF(BX54&lt;0,IF($J54=1,-$E54*$I54/12*3,IF($J54=2,-$E54*$I54/12*2,IF($J54=3,-$E54*$I54/12*1,0)))))+IF(BS$5&lt;&gt;$H54,0,IF(BS54&lt;0,IF($J54=1,-$E54*$I54/12*0,IF($J54=2,-$E54*$I54/12*1,IF($J54=3,-$E54*$I54/12*2,IF($J54&gt;=4,-$E54*$I54/12*3,0))))))</f>
        <v>0</v>
      </c>
      <c r="BU54" s="1992">
        <f>IF($H54&lt;&gt;BX$5,0,IF(BX54&lt;0,IF(OR($J54=1,$J54=2,$J54=3,$J54=4),-$E54*$I54/12*3,IF($J54=5,-$E54*$I54/12*2,IF($J54=6,-$E54*$I54/12*1,0)))))+IF(BS$5&lt;&gt;$H54,0,IF(BS54&lt;0,IF($J54=4,-$E54*$I54/12*0,IF($J54=5,-$E54*$I54/12*1,IF($J54=6,-$E54*$I54/12*2,IF($J54&gt;=7,-$E54*$I54/12*3,0))))))</f>
        <v>0</v>
      </c>
      <c r="BV54" s="1992">
        <f>IF($H54&lt;&gt;BX$5,0,IF(BX54&lt;0,IF(OR($J54=1,$J54=2,$J54=3,$J54=4,$J54=5,$J54=6,$J54=7),-$E54*$I54/12*3,IF($J54=8,-$E54*$I54/12*2,IF($J54=9,-$E54*$I54/12*1,0)))))+IF(BS$5&lt;&gt;$H54,0,IF(BS54&lt;0,IF($J54=7,-$E54*$I54/12*0,IF($J54=8,-$E54*$I54/12*1,IF($J54=9,-$E54*$I54/12*2,IF($J54&gt;=10,-$E54*$I54/12*3,0))))))</f>
        <v>0</v>
      </c>
      <c r="BW54" s="1992">
        <f>IF($H54&lt;&gt;BX$5,0,IF(BX54&lt;0,IF(OR($J54=1,$J54=2,$J54=3,$J54=4,$J54=5,$J54=6,$J54=7,$J54=8,$J54=9,$J54=10),-$E54*$I54/12*3,IF($J54=11,-$E54*$I54/12*2,IF($J54=12,-$E54*$I54/12*1,0)))))+IF(BS$5&lt;&gt;$H54,0,IF(BS54&lt;0,IF($J54=10,-$E54*$I54/12*0,IF($J54=11,-$E54*$I54/12*1,IF($J54=12,-$E54*$I54/12*2,0)))))</f>
        <v>0</v>
      </c>
      <c r="BX54" s="1810">
        <f>IF(AND(BS54&lt;&gt;0,BS$5=$H54),-$I54*$E54-BS54,IF(BX$5=$H54,-$I54*$E54*(12-$J54+1)/12,0))</f>
        <v>0</v>
      </c>
      <c r="BY54" s="1807">
        <f>IF($H54&lt;&gt;CC$5,0,IF(CC54&lt;0,IF($J54=1,-$E54*$I54/12*3,IF($J54=2,-$E54*$I54/12*2,IF($J54=3,-$E54*$I54/12*1,0)))))+IF(BX$5&lt;&gt;$H54,0,IF(BX54&lt;0,IF($J54=1,-$E54*$I54/12*0,IF($J54=2,-$E54*$I54/12*1,IF($J54=3,-$E54*$I54/12*2,IF($J54&gt;=4,-$E54*$I54/12*3,0))))))</f>
        <v>0</v>
      </c>
      <c r="BZ54" s="1807">
        <f>IF($H54&lt;&gt;CC$5,0,IF(CC54&lt;0,IF(OR($J54=1,$J54=2,$J54=3,$J54=4),-$E54*$I54/12*3,IF($J54=5,-$E54*$I54/12*2,IF($J54=6,-$E54*$I54/12*1,0)))))+IF(BX$5&lt;&gt;$H54,0,IF(BX54&lt;0,IF($J54=4,-$E54*$I54/12*0,IF($J54=5,-$E54*$I54/12*1,IF($J54=6,-$E54*$I54/12*2,IF($J54&gt;=7,-$E54*$I54/12*3,0))))))</f>
        <v>0</v>
      </c>
      <c r="CA54" s="1807">
        <f>IF($H54&lt;&gt;CC$5,0,IF(CC54&lt;0,IF(OR($J54=1,$J54=2,$J54=3,$J54=4,$J54=5,$J54=6,$J54=7),-$E54*$I54/12*3,IF($J54=8,-$E54*$I54/12*2,IF($J54=9,-$E54*$I54/12*1,0)))))+IF(BX$5&lt;&gt;$H54,0,IF(BX54&lt;0,IF($J54=7,-$E54*$I54/12*0,IF($J54=8,-$E54*$I54/12*1,IF($J54=9,-$E54*$I54/12*2,IF($J54&gt;=10,-$E54*$I54/12*3,0))))))</f>
        <v>0</v>
      </c>
      <c r="CB54" s="1806">
        <f>IF($H54&lt;&gt;CC$5,0,IF(CC54&lt;0,IF(OR($J54=1,$J54=2,$J54=3,$J54=4,$J54=5,$J54=6,$J54=7,$J54=8,$J54=9,$J54=10),-$E54*$I54/12*3,IF($J54=11,-$E54*$I54/12*2,IF($J54=12,-$E54*$I54/12*1,0)))))+IF(BX$5&lt;&gt;$H54,0,IF(BX54&lt;0,IF($J54=10,-$E54*$I54/12*0,IF($J54=11,-$E54*$I54/12*1,IF($J54=12,-$E54*$I54/12*2,0)))))</f>
        <v>0</v>
      </c>
      <c r="CC54" s="1791">
        <f>IF(AND(BX54&lt;&gt;0,BX$5=$H54),-$I54*$E54-BX54,IF(CC$5=$H54,-$I54*$E54*(12-$J54+1)/12,0))</f>
        <v>0</v>
      </c>
      <c r="CD54" s="1808">
        <f>IF($H54&lt;&gt;CH$5,0,IF(CH54&lt;0,IF($J54=1,-$E54*$I54/12*3,IF($J54=2,-$E54*$I54/12*2,IF($J54=3,-$E54*$I54/12*1,0)))))+IF(CC$5&lt;&gt;$H54,0,IF(CC54&lt;0,IF($J54=1,-$E54*$I54/12*0,IF($J54=2,-$E54*$I54/12*1,IF($J54=3,-$E54*$I54/12*2,IF($J54&gt;=4,-$E54*$I54/12*3,0))))))</f>
        <v>0</v>
      </c>
      <c r="CE54" s="1807">
        <f>IF($H54&lt;&gt;CH$5,0,IF(CH54&lt;0,IF(OR($J54=1,$J54=2,$J54=3,$J54=4),-$E54*$I54/12*3,IF($J54=5,-$E54*$I54/12*2,IF($J54=6,-$E54*$I54/12*1,0)))))+IF(CC$5&lt;&gt;$H54,0,IF(CC54&lt;0,IF($J54=4,-$E54*$I54/12*0,IF($J54=5,-$E54*$I54/12*1,IF($J54=6,-$E54*$I54/12*2,IF($J54&gt;=7,-$E54*$I54/12*3,0))))))</f>
        <v>0</v>
      </c>
      <c r="CF54" s="1807">
        <f>IF($H54&lt;&gt;CH$5,0,IF(CH54&lt;0,IF(OR($J54=1,$J54=2,$J54=3,$J54=4,$J54=5,$J54=6,$J54=7),-$E54*$I54/12*3,IF($J54=8,-$E54*$I54/12*2,IF($J54=9,-$E54*$I54/12*1,0)))))+IF(CC$5&lt;&gt;$H54,0,IF(CC54&lt;0,IF($J54=7,-$E54*$I54/12*0,IF($J54=8,-$E54*$I54/12*1,IF($J54=9,-$E54*$I54/12*2,IF($J54&gt;=10,-$E54*$I54/12*3,0))))))</f>
        <v>0</v>
      </c>
      <c r="CG54" s="1806">
        <f>IF($H54&lt;&gt;CH$5,0,IF(CH54&lt;0,IF(OR($J54=1,$J54=2,$J54=3,$J54=4,$J54=5,$J54=6,$J54=7,$J54=8,$J54=9,$J54=10),-$E54*$I54/12*3,IF($J54=11,-$E54*$I54/12*2,IF($J54=12,-$E54*$I54/12*1,0)))))+IF(CC$5&lt;&gt;$H54,0,IF(CC54&lt;0,IF($J54=10,-$E54*$I54/12*0,IF($J54=11,-$E54*$I54/12*1,IF($J54=12,-$E54*$I54/12*2,0)))))</f>
        <v>0</v>
      </c>
      <c r="CH54" s="1791">
        <f>IF(AND(CC54&lt;&gt;0,CC$5=$H54),-$I54*$E54-CC54,IF(CH$5=$H54,-$I54*$E54*(12-$J54+1)/12,0))</f>
        <v>0</v>
      </c>
      <c r="CI54" s="1808">
        <f>IF($H54&lt;&gt;CM$5,0,IF(CM54&lt;0,IF($J54=1,-$E54*$I54/12*3,IF($J54=2,-$E54*$I54/12*2,IF($J54=3,-$E54*$I54/12*1,0)))))+IF(CH$5&lt;&gt;$H54,0,IF(CH54&lt;0,IF($J54=1,-$E54*$I54/12*0,IF($J54=2,-$E54*$I54/12*1,IF($J54=3,-$E54*$I54/12*2,IF($J54&gt;=4,-$E54*$I54/12*3,0))))))</f>
        <v>0</v>
      </c>
      <c r="CJ54" s="1807">
        <f>IF($H54&lt;&gt;CM$5,0,IF(CM54&lt;0,IF(OR($J54=1,$J54=2,$J54=3,$J54=4),-$E54*$I54/12*3,IF($J54=5,-$E54*$I54/12*2,IF($J54=6,-$E54*$I54/12*1,0)))))+IF(CH$5&lt;&gt;$H54,0,IF(CH54&lt;0,IF($J54=4,-$E54*$I54/12*0,IF($J54=5,-$E54*$I54/12*1,IF($J54=6,-$E54*$I54/12*2,IF($J54&gt;=7,-$E54*$I54/12*3,0))))))</f>
        <v>0</v>
      </c>
      <c r="CK54" s="1807">
        <f>IF($H54&lt;&gt;CM$5,0,IF(CM54&lt;0,IF(OR($J54=1,$J54=2,$J54=3,$J54=4,$J54=5,$J54=6,$J54=7),-$E54*$I54/12*3,IF($J54=8,-$E54*$I54/12*2,IF($J54=9,-$E54*$I54/12*1,0)))))+IF(CH$5&lt;&gt;$H54,0,IF(CH54&lt;0,IF($J54=7,-$E54*$I54/12*0,IF($J54=8,-$E54*$I54/12*1,IF($J54=9,-$E54*$I54/12*2,IF($J54&gt;=10,-$E54*$I54/12*3,0))))))</f>
        <v>0</v>
      </c>
      <c r="CL54" s="1806">
        <f>IF($H54&lt;&gt;CM$5,0,IF(CM54&lt;0,IF(OR($J54=1,$J54=2,$J54=3,$J54=4,$J54=5,$J54=6,$J54=7,$J54=8,$J54=9,$J54=10),-$E54*$I54/12*3,IF($J54=11,-$E54*$I54/12*2,IF($J54=12,-$E54*$I54/12*1,0)))))+IF(CH$5&lt;&gt;$H54,0,IF(CH54&lt;0,IF($J54=10,-$E54*$I54/12*0,IF($J54=11,-$E54*$I54/12*1,IF($J54=12,-$E54*$I54/12*2,0)))))</f>
        <v>0</v>
      </c>
      <c r="CM54" s="1791">
        <f>IF(AND(CH54&lt;&gt;0,CH$5=$H54),-$I54*$E54-CH54,IF(CM$5=$H54,-$I54*$E54*(12-$J54+1)/12,0))</f>
        <v>0</v>
      </c>
      <c r="CN54" s="1808">
        <f>IF($H54&lt;&gt;CR$5,0,IF(CR54&lt;0,IF($J54=1,-$E54*$I54/12*3,IF($J54=2,-$E54*$I54/12*2,IF($J54=3,-$E54*$I54/12*1,0)))))+IF(CM$5&lt;&gt;$H54,0,IF(CM54&lt;0,IF($J54=1,-$E54*$I54/12*0,IF($J54=2,-$E54*$I54/12*1,IF($J54=3,-$E54*$I54/12*2,IF($J54&gt;=4,-$E54*$I54/12*3,0))))))</f>
        <v>0</v>
      </c>
      <c r="CO54" s="1807">
        <f>IF($H54&lt;&gt;CR$5,0,IF(CR54&lt;0,IF(OR($J54=1,$J54=2,$J54=3,$J54=4),-$E54*$I54/12*3,IF($J54=5,-$E54*$I54/12*2,IF($J54=6,-$E54*$I54/12*1,0)))))+IF(CM$5&lt;&gt;$H54,0,IF(CM54&lt;0,IF($J54=4,-$E54*$I54/12*0,IF($J54=5,-$E54*$I54/12*1,IF($J54=6,-$E54*$I54/12*2,IF($J54&gt;=7,-$E54*$I54/12*3,0))))))</f>
        <v>0</v>
      </c>
      <c r="CP54" s="1807">
        <f>IF($H54&lt;&gt;CR$5,0,IF(CR54&lt;0,IF(OR($J54=1,$J54=2,$J54=3,$J54=4,$J54=5,$J54=6,$J54=7),-$E54*$I54/12*3,IF($J54=8,-$E54*$I54/12*2,IF($J54=9,-$E54*$I54/12*1,0)))))+IF(CM$5&lt;&gt;$H54,0,IF(CM54&lt;0,IF($J54=7,-$E54*$I54/12*0,IF($J54=8,-$E54*$I54/12*1,IF($J54=9,-$E54*$I54/12*2,IF($J54&gt;=10,-$E54*$I54/12*3,0))))))</f>
        <v>0</v>
      </c>
      <c r="CQ54" s="1806">
        <f>IF($H54&lt;&gt;CR$5,0,IF(CR54&lt;0,IF(OR($J54=1,$J54=2,$J54=3,$J54=4,$J54=5,$J54=6,$J54=7,$J54=8,$J54=9,$J54=10),-$E54*$I54/12*3,IF($J54=11,-$E54*$I54/12*2,IF($J54=12,-$E54*$I54/12*1,0)))))+IF(CM$5&lt;&gt;$H54,0,IF(CM54&lt;0,IF($J54=10,-$E54*$I54/12*0,IF($J54=11,-$E54*$I54/12*1,IF($J54=12,-$E54*$I54/12*2,0)))))</f>
        <v>0</v>
      </c>
      <c r="CR54" s="1791">
        <f>IF(AND(CM54&lt;&gt;0,CM$5=$H54),-$I54*$E54-CM54,IF(CR$5=$H54,-$I54*$E54*(12-$J54+1)/12,0))</f>
        <v>0</v>
      </c>
      <c r="CS54" s="1808">
        <f>IF($H54&lt;&gt;CW$5,0,IF(CW54&lt;0,IF($J54=1,-$E54*$I54/12*3,IF($J54=2,-$E54*$I54/12*2,IF($J54=3,-$E54*$I54/12*1,0)))))+IF(CR$5&lt;&gt;$H54,0,IF(CR54&lt;0,IF($J54=1,-$E54*$I54/12*0,IF($J54=2,-$E54*$I54/12*1,IF($J54=3,-$E54*$I54/12*2,IF($J54&gt;=4,-$E54*$I54/12*3,0))))))</f>
        <v>0</v>
      </c>
      <c r="CT54" s="1807">
        <f>IF($H54&lt;&gt;CW$5,0,IF(CW54&lt;0,IF(OR($J54=1,$J54=2,$J54=3,$J54=4),-$E54*$I54/12*3,IF($J54=5,-$E54*$I54/12*2,IF($J54=6,-$E54*$I54/12*1,0)))))+IF(CR$5&lt;&gt;$H54,0,IF(CR54&lt;0,IF($J54=4,-$E54*$I54/12*0,IF($J54=5,-$E54*$I54/12*1,IF($J54=6,-$E54*$I54/12*2,IF($J54&gt;=7,-$E54*$I54/12*3,0))))))</f>
        <v>0</v>
      </c>
      <c r="CU54" s="1807">
        <f>IF($H54&lt;&gt;CW$5,0,IF(CW54&lt;0,IF(OR($J54=1,$J54=2,$J54=3,$J54=4,$J54=5,$J54=6,$J54=7),-$E54*$I54/12*3,IF($J54=8,-$E54*$I54/12*2,IF($J54=9,-$E54*$I54/12*1,0)))))+IF(CR$5&lt;&gt;$H54,0,IF(CR54&lt;0,IF($J54=7,-$E54*$I54/12*0,IF($J54=8,-$E54*$I54/12*1,IF($J54=9,-$E54*$I54/12*2,IF($J54&gt;=10,-$E54*$I54/12*3,0))))))</f>
        <v>0</v>
      </c>
      <c r="CV54" s="1806">
        <f>IF($H54&lt;&gt;CW$5,0,IF(CW54&lt;0,IF(OR($J54=1,$J54=2,$J54=3,$J54=4,$J54=5,$J54=6,$J54=7,$J54=8,$J54=9,$J54=10),-$E54*$I54/12*3,IF($J54=11,-$E54*$I54/12*2,IF($J54=12,-$E54*$I54/12*1,0)))))+IF(CR$5&lt;&gt;$H54,0,IF(CR54&lt;0,IF($J54=10,-$E54*$I54/12*0,IF($J54=11,-$E54*$I54/12*1,IF($J54=12,-$E54*$I54/12*2,0)))))</f>
        <v>0</v>
      </c>
      <c r="CW54" s="1791">
        <f>IF(AND(CR54&lt;&gt;0,CR$5=$H54),-$I54*$E54-CR54,IF(CW$5=$H54,-$I54*$E54*(12-$J54+1)/12,0))</f>
        <v>0</v>
      </c>
      <c r="CX54" s="1808">
        <f>IF($H54&lt;&gt;DB$5,0,IF(DB54&lt;0,IF($J54=1,-$E54*$I54/12*3,IF($J54=2,-$E54*$I54/12*2,IF($J54=3,-$E54*$I54/12*1,0)))))+IF(CW$5&lt;&gt;$H54,0,IF(CW54&lt;0,IF($J54=1,-$E54*$I54/12*0,IF($J54=2,-$E54*$I54/12*1,IF($J54=3,-$E54*$I54/12*2,IF($J54&gt;=4,-$E54*$I54/12*3,0))))))</f>
        <v>0</v>
      </c>
      <c r="CY54" s="1807">
        <f>IF($H54&lt;&gt;DB$5,0,IF(DB54&lt;0,IF(OR($J54=1,$J54=2,$J54=3,$J54=4),-$E54*$I54/12*3,IF($J54=5,-$E54*$I54/12*2,IF($J54=6,-$E54*$I54/12*1,0)))))+IF(CW$5&lt;&gt;$H54,0,IF(CW54&lt;0,IF($J54=4,-$E54*$I54/12*0,IF($J54=5,-$E54*$I54/12*1,IF($J54=6,-$E54*$I54/12*2,IF($J54&gt;=7,-$E54*$I54/12*3,0))))))</f>
        <v>0</v>
      </c>
      <c r="CZ54" s="1807">
        <f>IF($H54&lt;&gt;DB$5,0,IF(DB54&lt;0,IF(OR($J54=1,$J54=2,$J54=3,$J54=4,$J54=5,$J54=6,$J54=7),-$E54*$I54/12*3,IF($J54=8,-$E54*$I54/12*2,IF($J54=9,-$E54*$I54/12*1,0)))))+IF(CW$5&lt;&gt;$H54,0,IF(CW54&lt;0,IF($J54=7,-$E54*$I54/12*0,IF($J54=8,-$E54*$I54/12*1,IF($J54=9,-$E54*$I54/12*2,IF($J54&gt;=10,-$E54*$I54/12*3,0))))))</f>
        <v>0</v>
      </c>
      <c r="DA54" s="1806">
        <f>IF($H54&lt;&gt;DB$5,0,IF(DB54&lt;0,IF(OR($J54=1,$J54=2,$J54=3,$J54=4,$J54=5,$J54=6,$J54=7,$J54=8,$J54=9,$J54=10),-$E54*$I54/12*3,IF($J54=11,-$E54*$I54/12*2,IF($J54=12,-$E54*$I54/12*1,0)))))+IF(CW$5&lt;&gt;$H54,0,IF(CW54&lt;0,IF($J54=10,-$E54*$I54/12*0,IF($J54=11,-$E54*$I54/12*1,IF($J54=12,-$E54*$I54/12*2,0)))))</f>
        <v>0</v>
      </c>
      <c r="DB54" s="1791">
        <f>IF(AND(CW54&lt;&gt;0,CW$5=$H54),-$I54*$E54-CW54,IF(DB$5=$H54,-$I54*$E54*(12-$J54+1)/12,0))</f>
        <v>0</v>
      </c>
      <c r="DC54" s="1808">
        <f>IF($H54&lt;&gt;DG$5,0,IF(DG54&lt;0,IF($J54=1,-$E54*$I54/12*3,IF($J54=2,-$E54*$I54/12*2,IF($J54=3,-$E54*$I54/12*1,0)))))+IF(DB$5&lt;&gt;$H54,0,IF(DB54&lt;0,IF($J54=1,-$E54*$I54/12*0,IF($J54=2,-$E54*$I54/12*1,IF($J54=3,-$E54*$I54/12*2,IF($J54&gt;=4,-$E54*$I54/12*3,0))))))</f>
        <v>0</v>
      </c>
      <c r="DD54" s="1807">
        <f>IF($H54&lt;&gt;DG$5,0,IF(DG54&lt;0,IF(OR($J54=1,$J54=2,$J54=3,$J54=4),-$E54*$I54/12*3,IF($J54=5,-$E54*$I54/12*2,IF($J54=6,-$E54*$I54/12*1,0)))))+IF(DB$5&lt;&gt;$H54,0,IF(DB54&lt;0,IF($J54=4,-$E54*$I54/12*0,IF($J54=5,-$E54*$I54/12*1,IF($J54=6,-$E54*$I54/12*2,IF($J54&gt;=7,-$E54*$I54/12*3,0))))))</f>
        <v>0</v>
      </c>
      <c r="DE54" s="1807">
        <f>IF($H54&lt;&gt;DG$5,0,IF(DG54&lt;0,IF(OR($J54=1,$J54=2,$J54=3,$J54=4,$J54=5,$J54=6,$J54=7),-$E54*$I54/12*3,IF($J54=8,-$E54*$I54/12*2,IF($J54=9,-$E54*$I54/12*1,0)))))+IF(DB$5&lt;&gt;$H54,0,IF(DB54&lt;0,IF($J54=7,-$E54*$I54/12*0,IF($J54=8,-$E54*$I54/12*1,IF($J54=9,-$E54*$I54/12*2,IF($J54&gt;=10,-$E54*$I54/12*3,0))))))</f>
        <v>0</v>
      </c>
      <c r="DF54" s="1806">
        <f>IF($H54&lt;&gt;DG$5,0,IF(DG54&lt;0,IF(OR($J54=1,$J54=2,$J54=3,$J54=4,$J54=5,$J54=6,$J54=7,$J54=8,$J54=9,$J54=10),-$E54*$I54/12*3,IF($J54=11,-$E54*$I54/12*2,IF($J54=12,-$E54*$I54/12*1,0)))))+IF(DB$5&lt;&gt;$H54,0,IF(DB54&lt;0,IF($J54=10,-$E54*$I54/12*0,IF($J54=11,-$E54*$I54/12*1,IF($J54=12,-$E54*$I54/12*2,0)))))</f>
        <v>0</v>
      </c>
      <c r="DG54" s="1791">
        <f>IF(AND(DB54&lt;&gt;0,DB$5=$H54),-$I54*$E54-DB54,IF(DG$5=$H54,-$I54*$E54*(12-$J54+1)/12,0))</f>
        <v>0</v>
      </c>
      <c r="DH54" s="1808">
        <f>IF($H54&lt;&gt;DL$5,0,IF(DL54&lt;0,IF($J54=1,-$E54*$I54/12*3,IF($J54=2,-$E54*$I54/12*2,IF($J54=3,-$E54*$I54/12*1,0)))))+IF(DG$5&lt;&gt;$H54,0,IF(DG54&lt;0,IF($J54=1,-$E54*$I54/12*0,IF($J54=2,-$E54*$I54/12*1,IF($J54=3,-$E54*$I54/12*2,IF($J54&gt;=4,-$E54*$I54/12*3,0))))))</f>
        <v>0</v>
      </c>
      <c r="DI54" s="1807">
        <f>IF($H54&lt;&gt;DL$5,0,IF(DL54&lt;0,IF(OR($J54=1,$J54=2,$J54=3,$J54=4),-$E54*$I54/12*3,IF($J54=5,-$E54*$I54/12*2,IF($J54=6,-$E54*$I54/12*1,0)))))+IF(DG$5&lt;&gt;$H54,0,IF(DG54&lt;0,IF($J54=4,-$E54*$I54/12*0,IF($J54=5,-$E54*$I54/12*1,IF($J54=6,-$E54*$I54/12*2,IF($J54&gt;=7,-$E54*$I54/12*3,0))))))</f>
        <v>0</v>
      </c>
      <c r="DJ54" s="1807">
        <f>IF($H54&lt;&gt;DL$5,0,IF(DL54&lt;0,IF(OR($J54=1,$J54=2,$J54=3,$J54=4,$J54=5,$J54=6,$J54=7),-$E54*$I54/12*3,IF($J54=8,-$E54*$I54/12*2,IF($J54=9,-$E54*$I54/12*1,0)))))+IF(DG$5&lt;&gt;$H54,0,IF(DG54&lt;0,IF($J54=7,-$E54*$I54/12*0,IF($J54=8,-$E54*$I54/12*1,IF($J54=9,-$E54*$I54/12*2,IF($J54&gt;=10,-$E54*$I54/12*3,0))))))</f>
        <v>0</v>
      </c>
      <c r="DK54" s="1806">
        <f>IF($H54&lt;&gt;DL$5,0,IF(DL54&lt;0,IF(OR($J54=1,$J54=2,$J54=3,$J54=4,$J54=5,$J54=6,$J54=7,$J54=8,$J54=9,$J54=10),-$E54*$I54/12*3,IF($J54=11,-$E54*$I54/12*2,IF($J54=12,-$E54*$I54/12*1,0)))))+IF(DG$5&lt;&gt;$H54,0,IF(DG54&lt;0,IF($J54=10,-$E54*$I54/12*0,IF($J54=11,-$E54*$I54/12*1,IF($J54=12,-$E54*$I54/12*2,0)))))</f>
        <v>0</v>
      </c>
      <c r="DL54" s="1791">
        <f>IF(AND(DG54&lt;&gt;0,DG$5=$H54),-$I54*$E54-DG54,IF(DL$5=$H54,-$I54*$E54*(12-$J54+1)/12,0))</f>
        <v>0</v>
      </c>
      <c r="DM54" s="1808">
        <f>IF($H54&lt;&gt;DQ$5,0,IF(DQ54&lt;0,IF($J54=1,-$E54*$I54/12*3,IF($J54=2,-$E54*$I54/12*2,IF($J54=3,-$E54*$I54/12*1,0)))))+IF(DL$5&lt;&gt;$H54,0,IF(DL54&lt;0,IF($J54=1,-$E54*$I54/12*0,IF($J54=2,-$E54*$I54/12*1,IF($J54=3,-$E54*$I54/12*2,IF($J54&gt;=4,-$E54*$I54/12*3,0))))))</f>
        <v>0</v>
      </c>
      <c r="DN54" s="1807">
        <f>IF($H54&lt;&gt;DQ$5,0,IF(DQ54&lt;0,IF(OR($J54=1,$J54=2,$J54=3,$J54=4),-$E54*$I54/12*3,IF($J54=5,-$E54*$I54/12*2,IF($J54=6,-$E54*$I54/12*1,0)))))+IF(DL$5&lt;&gt;$H54,0,IF(DL54&lt;0,IF($J54=4,-$E54*$I54/12*0,IF($J54=5,-$E54*$I54/12*1,IF($J54=6,-$E54*$I54/12*2,IF($J54&gt;=7,-$E54*$I54/12*3,0))))))</f>
        <v>0</v>
      </c>
      <c r="DO54" s="1807">
        <f>IF($H54&lt;&gt;DQ$5,0,IF(DQ54&lt;0,IF(OR($J54=1,$J54=2,$J54=3,$J54=4,$J54=5,$J54=6,$J54=7),-$E54*$I54/12*3,IF($J54=8,-$E54*$I54/12*2,IF($J54=9,-$E54*$I54/12*1,0)))))+IF(DL$5&lt;&gt;$H54,0,IF(DL54&lt;0,IF($J54=7,-$E54*$I54/12*0,IF($J54=8,-$E54*$I54/12*1,IF($J54=9,-$E54*$I54/12*2,IF($J54&gt;=10,-$E54*$I54/12*3,0))))))</f>
        <v>0</v>
      </c>
      <c r="DP54" s="1806">
        <f>IF($H54&lt;&gt;DQ$5,0,IF(DQ54&lt;0,IF(OR($J54=1,$J54=2,$J54=3,$J54=4,$J54=5,$J54=6,$J54=7,$J54=8,$J54=9,$J54=10),-$E54*$I54/12*3,IF($J54=11,-$E54*$I54/12*2,IF($J54=12,-$E54*$I54/12*1,0)))))+IF(DL$5&lt;&gt;$H54,0,IF(DL54&lt;0,IF($J54=10,-$E54*$I54/12*0,IF($J54=11,-$E54*$I54/12*1,IF($J54=12,-$E54*$I54/12*2,0)))))</f>
        <v>0</v>
      </c>
      <c r="DQ54" s="1791">
        <f>IF(AND(DL54&lt;&gt;0,DL$5=$H54),-$I54*$E54-DL54,IF(DQ$5=$H54,-$I54*$E54*(12-$J54+1)/12,0))</f>
        <v>0</v>
      </c>
      <c r="DR54" s="1808">
        <f>IF($H54&lt;&gt;DV$5,0,IF(DV54&lt;0,IF($J54=1,-$E54*$I54/12*3,IF($J54=2,-$E54*$I54/12*2,IF($J54=3,-$E54*$I54/12*1,0)))))+IF(DQ$5&lt;&gt;$H54,0,IF(DQ54&lt;0,IF($J54=1,-$E54*$I54/12*0,IF($J54=2,-$E54*$I54/12*1,IF($J54=3,-$E54*$I54/12*2,IF($J54&gt;=4,-$E54*$I54/12*3,0))))))</f>
        <v>0</v>
      </c>
      <c r="DS54" s="1807">
        <f>IF($H54&lt;&gt;DV$5,0,IF(DV54&lt;0,IF(OR($J54=1,$J54=2,$J54=3,$J54=4),-$E54*$I54/12*3,IF($J54=5,-$E54*$I54/12*2,IF($J54=6,-$E54*$I54/12*1,0)))))+IF(DQ$5&lt;&gt;$H54,0,IF(DQ54&lt;0,IF($J54=4,-$E54*$I54/12*0,IF($J54=5,-$E54*$I54/12*1,IF($J54=6,-$E54*$I54/12*2,IF($J54&gt;=7,-$E54*$I54/12*3,0))))))</f>
        <v>0</v>
      </c>
      <c r="DT54" s="1807">
        <f>IF($H54&lt;&gt;DV$5,0,IF(DV54&lt;0,IF(OR($J54=1,$J54=2,$J54=3,$J54=4,$J54=5,$J54=6,$J54=7),-$E54*$I54/12*3,IF($J54=8,-$E54*$I54/12*2,IF($J54=9,-$E54*$I54/12*1,0)))))+IF(DQ$5&lt;&gt;$H54,0,IF(DQ54&lt;0,IF($J54=7,-$E54*$I54/12*0,IF($J54=8,-$E54*$I54/12*1,IF($J54=9,-$E54*$I54/12*2,IF($J54&gt;=10,-$E54*$I54/12*3,0))))))</f>
        <v>0</v>
      </c>
      <c r="DU54" s="1806">
        <f>IF($H54&lt;&gt;DV$5,0,IF(DV54&lt;0,IF(OR($J54=1,$J54=2,$J54=3,$J54=4,$J54=5,$J54=6,$J54=7,$J54=8,$J54=9,$J54=10),-$E54*$I54/12*3,IF($J54=11,-$E54*$I54/12*2,IF($J54=12,-$E54*$I54/12*1,0)))))+IF(DQ$5&lt;&gt;$H54,0,IF(DQ54&lt;0,IF($J54=10,-$E54*$I54/12*0,IF($J54=11,-$E54*$I54/12*1,IF($J54=12,-$E54*$I54/12*2,0)))))</f>
        <v>0</v>
      </c>
      <c r="DV54" s="1791">
        <f>IF(AND(DQ54&lt;&gt;0,DQ$5=$H54),-$I54*$E54-DQ54,IF(DV$5=$H54,-$I54*$E54*(12-$J54+1)/12,0))</f>
        <v>0</v>
      </c>
    </row>
    <row r="55" spans="1:126">
      <c r="A55" s="455"/>
      <c r="B55" s="455"/>
      <c r="C55" s="1363"/>
      <c r="D55" s="94"/>
      <c r="E55" s="1817"/>
      <c r="F55" s="1435"/>
      <c r="G55" s="1435"/>
      <c r="H55" s="1350"/>
      <c r="I55" s="1335"/>
      <c r="J55" s="1343"/>
      <c r="K55" s="1792"/>
      <c r="L55" s="1810"/>
      <c r="M55" s="1791"/>
      <c r="N55" s="1808"/>
      <c r="O55" s="1807"/>
      <c r="P55" s="1807"/>
      <c r="Q55" s="1806"/>
      <c r="R55" s="1791"/>
      <c r="S55" s="1808"/>
      <c r="T55" s="1807"/>
      <c r="U55" s="1807"/>
      <c r="V55" s="1806"/>
      <c r="W55" s="1791"/>
      <c r="X55" s="1808"/>
      <c r="Y55" s="1807"/>
      <c r="Z55" s="1807"/>
      <c r="AA55" s="1806"/>
      <c r="AB55" s="1791"/>
      <c r="AC55" s="1808"/>
      <c r="AD55" s="1807"/>
      <c r="AE55" s="1807"/>
      <c r="AF55" s="1806"/>
      <c r="AG55" s="1791"/>
      <c r="AH55" s="1808"/>
      <c r="AI55" s="1807"/>
      <c r="AJ55" s="1807"/>
      <c r="AK55" s="1806"/>
      <c r="AL55" s="1791"/>
      <c r="AM55" s="1808"/>
      <c r="AN55" s="1807"/>
      <c r="AO55" s="1807"/>
      <c r="AP55" s="1806"/>
      <c r="AQ55" s="1791"/>
      <c r="AR55" s="1808"/>
      <c r="AS55" s="1807"/>
      <c r="AT55" s="1807"/>
      <c r="AU55" s="1806"/>
      <c r="AV55" s="1791"/>
      <c r="AW55" s="1808"/>
      <c r="AX55" s="1807"/>
      <c r="AY55" s="1807"/>
      <c r="AZ55" s="1806"/>
      <c r="BA55" s="1791"/>
      <c r="BB55" s="1808"/>
      <c r="BC55" s="1807"/>
      <c r="BD55" s="1807"/>
      <c r="BE55" s="1806"/>
      <c r="BF55" s="1791"/>
      <c r="BG55" s="1808"/>
      <c r="BH55" s="1807"/>
      <c r="BI55" s="1807"/>
      <c r="BJ55" s="1806"/>
      <c r="BK55" s="1791"/>
      <c r="BL55" s="1808"/>
      <c r="BM55" s="1807"/>
      <c r="BN55" s="1807"/>
      <c r="BO55" s="1806"/>
      <c r="BP55" s="1791"/>
      <c r="BQ55" s="1827"/>
      <c r="BR55" s="1991"/>
      <c r="BS55" s="1991"/>
      <c r="BT55" s="1992"/>
      <c r="BU55" s="1992"/>
      <c r="BV55" s="1992"/>
      <c r="BW55" s="1992"/>
      <c r="BX55" s="1810"/>
      <c r="BY55" s="1807"/>
      <c r="BZ55" s="1807"/>
      <c r="CA55" s="1807"/>
      <c r="CB55" s="1806"/>
      <c r="CC55" s="1791"/>
      <c r="CD55" s="1808"/>
      <c r="CE55" s="1807"/>
      <c r="CF55" s="1807"/>
      <c r="CG55" s="1806"/>
      <c r="CH55" s="1791"/>
      <c r="CI55" s="1808"/>
      <c r="CJ55" s="1807"/>
      <c r="CK55" s="1807"/>
      <c r="CL55" s="1806"/>
      <c r="CM55" s="1791"/>
      <c r="CN55" s="1808"/>
      <c r="CO55" s="1807"/>
      <c r="CP55" s="1807"/>
      <c r="CQ55" s="1806"/>
      <c r="CR55" s="1791"/>
      <c r="CS55" s="1808"/>
      <c r="CT55" s="1807"/>
      <c r="CU55" s="1807"/>
      <c r="CV55" s="1806"/>
      <c r="CW55" s="1791"/>
      <c r="CX55" s="1808"/>
      <c r="CY55" s="1807"/>
      <c r="CZ55" s="1807"/>
      <c r="DA55" s="1806"/>
      <c r="DB55" s="1791"/>
      <c r="DC55" s="1808"/>
      <c r="DD55" s="1807"/>
      <c r="DE55" s="1807"/>
      <c r="DF55" s="1806"/>
      <c r="DG55" s="1791"/>
      <c r="DH55" s="1808"/>
      <c r="DI55" s="1807"/>
      <c r="DJ55" s="1807"/>
      <c r="DK55" s="1806"/>
      <c r="DL55" s="1791"/>
      <c r="DM55" s="1808"/>
      <c r="DN55" s="1807"/>
      <c r="DO55" s="1807"/>
      <c r="DP55" s="1806"/>
      <c r="DQ55" s="1791"/>
      <c r="DR55" s="1808"/>
      <c r="DS55" s="1807"/>
      <c r="DT55" s="1807"/>
      <c r="DU55" s="1806"/>
      <c r="DV55" s="1791"/>
    </row>
    <row r="56" spans="1:126">
      <c r="A56" s="455"/>
      <c r="B56" s="455"/>
      <c r="C56" s="1596" t="s">
        <v>748</v>
      </c>
      <c r="D56" s="94"/>
      <c r="E56" s="1817"/>
      <c r="F56" s="455"/>
      <c r="G56" s="455"/>
      <c r="H56" s="1597"/>
      <c r="I56" s="1598"/>
      <c r="J56" s="1599"/>
      <c r="K56" s="1792"/>
      <c r="L56" s="1810"/>
      <c r="M56" s="1791"/>
      <c r="N56" s="1808"/>
      <c r="O56" s="1807"/>
      <c r="P56" s="1807"/>
      <c r="Q56" s="1806"/>
      <c r="R56" s="1791"/>
      <c r="S56" s="1808"/>
      <c r="T56" s="1807"/>
      <c r="U56" s="1807"/>
      <c r="V56" s="1806"/>
      <c r="W56" s="1791"/>
      <c r="X56" s="1808"/>
      <c r="Y56" s="1807"/>
      <c r="Z56" s="1807"/>
      <c r="AA56" s="1806"/>
      <c r="AB56" s="1791"/>
      <c r="AC56" s="1808"/>
      <c r="AD56" s="1807"/>
      <c r="AE56" s="1807"/>
      <c r="AF56" s="1806"/>
      <c r="AG56" s="1791"/>
      <c r="AH56" s="1808"/>
      <c r="AI56" s="1807"/>
      <c r="AJ56" s="1807"/>
      <c r="AK56" s="1806"/>
      <c r="AL56" s="1791"/>
      <c r="AM56" s="1808"/>
      <c r="AN56" s="1807"/>
      <c r="AO56" s="1807"/>
      <c r="AP56" s="1806"/>
      <c r="AQ56" s="1791"/>
      <c r="AR56" s="1808"/>
      <c r="AS56" s="1807"/>
      <c r="AT56" s="1807"/>
      <c r="AU56" s="1806"/>
      <c r="AV56" s="1791"/>
      <c r="AW56" s="1808"/>
      <c r="AX56" s="1807"/>
      <c r="AY56" s="1807"/>
      <c r="AZ56" s="1806"/>
      <c r="BA56" s="1791"/>
      <c r="BB56" s="1808"/>
      <c r="BC56" s="1807"/>
      <c r="BD56" s="1807"/>
      <c r="BE56" s="1806"/>
      <c r="BF56" s="1791"/>
      <c r="BG56" s="1808"/>
      <c r="BH56" s="1807"/>
      <c r="BI56" s="1807"/>
      <c r="BJ56" s="1806"/>
      <c r="BK56" s="1791"/>
      <c r="BL56" s="1808"/>
      <c r="BM56" s="1807"/>
      <c r="BN56" s="1807"/>
      <c r="BO56" s="1806"/>
      <c r="BP56" s="1791"/>
      <c r="BQ56" s="1827"/>
      <c r="BR56" s="1991"/>
      <c r="BS56" s="1991"/>
      <c r="BT56" s="1992"/>
      <c r="BU56" s="1992"/>
      <c r="BV56" s="1992"/>
      <c r="BW56" s="1992"/>
      <c r="BX56" s="1810"/>
      <c r="BY56" s="1807"/>
      <c r="BZ56" s="1807"/>
      <c r="CA56" s="1807"/>
      <c r="CB56" s="1806"/>
      <c r="CC56" s="1791"/>
      <c r="CD56" s="1808"/>
      <c r="CE56" s="1807"/>
      <c r="CF56" s="1807"/>
      <c r="CG56" s="1806"/>
      <c r="CH56" s="1791"/>
      <c r="CI56" s="1808"/>
      <c r="CJ56" s="1807"/>
      <c r="CK56" s="1807"/>
      <c r="CL56" s="1806"/>
      <c r="CM56" s="1791"/>
      <c r="CN56" s="1808"/>
      <c r="CO56" s="1807"/>
      <c r="CP56" s="1807"/>
      <c r="CQ56" s="1806"/>
      <c r="CR56" s="1791"/>
      <c r="CS56" s="1808"/>
      <c r="CT56" s="1807"/>
      <c r="CU56" s="1807"/>
      <c r="CV56" s="1806"/>
      <c r="CW56" s="1791"/>
      <c r="CX56" s="1808"/>
      <c r="CY56" s="1807"/>
      <c r="CZ56" s="1807"/>
      <c r="DA56" s="1806"/>
      <c r="DB56" s="1791"/>
      <c r="DC56" s="1808"/>
      <c r="DD56" s="1807"/>
      <c r="DE56" s="1807"/>
      <c r="DF56" s="1806"/>
      <c r="DG56" s="1791"/>
      <c r="DH56" s="1808"/>
      <c r="DI56" s="1807"/>
      <c r="DJ56" s="1807"/>
      <c r="DK56" s="1806"/>
      <c r="DL56" s="1791"/>
      <c r="DM56" s="1808"/>
      <c r="DN56" s="1807"/>
      <c r="DO56" s="1807"/>
      <c r="DP56" s="1806"/>
      <c r="DQ56" s="1791"/>
      <c r="DR56" s="1808"/>
      <c r="DS56" s="1807"/>
      <c r="DT56" s="1807"/>
      <c r="DU56" s="1806"/>
      <c r="DV56" s="1791"/>
    </row>
    <row r="57" spans="1:126">
      <c r="A57" s="455"/>
      <c r="B57" s="455"/>
      <c r="C57" s="1363" t="s">
        <v>743</v>
      </c>
      <c r="D57" s="94"/>
      <c r="E57" s="1817">
        <f>IF(F57=0,G57,F57)</f>
        <v>35.764000000000003</v>
      </c>
      <c r="F57" s="1435">
        <v>35.764000000000003</v>
      </c>
      <c r="G57" s="1435">
        <v>49.548000000000002</v>
      </c>
      <c r="H57" s="1350">
        <v>2021</v>
      </c>
      <c r="I57" s="1335">
        <v>2.3E-2</v>
      </c>
      <c r="J57" s="1343">
        <v>8</v>
      </c>
      <c r="K57" s="1792"/>
      <c r="L57" s="1810">
        <f>IF(L$5=$H57,-$E57,0)</f>
        <v>0</v>
      </c>
      <c r="M57" s="1791">
        <f>IF(M$5=$H57,-$E57,0)</f>
        <v>0</v>
      </c>
      <c r="N57" s="1808">
        <f>IF(R57=0,0,IF(R57&lt;0,IF($J57=3,R57,IF($J57=2,R57,IF($J57=1,R57,0)))))</f>
        <v>0</v>
      </c>
      <c r="O57" s="1807">
        <f>IF(R57=0,0,IF(R57&lt;0,IF($J57=6,R57,IF($J57=5,R57,IF($J57=4,R57,0)))))</f>
        <v>0</v>
      </c>
      <c r="P57" s="1807">
        <f>IF(R57=0,0,IF(R57&lt;0,IF($J57=9,R57,IF($J57=8,R57,IF($J57=7,R57,0)))))</f>
        <v>0</v>
      </c>
      <c r="Q57" s="1806">
        <f>IF(R57=0,0,IF(R57&lt;0,IF($J57=12,R57,IF($J57=11,R57,IF($J57=10,R57,0)))))</f>
        <v>0</v>
      </c>
      <c r="R57" s="1791">
        <f>IF(R$5=$H57,-$E57,0)</f>
        <v>0</v>
      </c>
      <c r="S57" s="1808">
        <f>IF(W57=0,0,IF(W57&lt;0,IF($J57=3,W57,IF($J57=2,W57,IF($J57=1,W57,0)))))</f>
        <v>0</v>
      </c>
      <c r="T57" s="1807">
        <f>IF(W57=0,0,IF(W57&lt;0,IF($J57=6,W57,IF($J57=5,W57,IF($J57=4,W57,0)))))</f>
        <v>0</v>
      </c>
      <c r="U57" s="1807">
        <f>IF(W57=0,0,IF(W57&lt;0,IF($J57=9,W57,IF($J57=8,W57,IF($J57=7,W57,0)))))</f>
        <v>0</v>
      </c>
      <c r="V57" s="1806">
        <f>IF(W57=0,0,IF(W57&lt;0,IF($J57=12,W57,IF($J57=11,W57,IF($J57=10,W57,0)))))</f>
        <v>0</v>
      </c>
      <c r="W57" s="1791">
        <f>IF(W$5=$H57,-$E57,0)</f>
        <v>0</v>
      </c>
      <c r="X57" s="1808">
        <f>IF(AB57=0,0,IF(AB57&lt;0,IF($J57=3,AB57,IF($J57=2,AB57,IF($J57=1,AB57,0)))))</f>
        <v>0</v>
      </c>
      <c r="Y57" s="1807">
        <f>IF(AB57=0,0,IF(AB57&lt;0,IF($J57=6,AB57,IF($J57=5,AB57,IF($J57=4,AB57,0)))))</f>
        <v>0</v>
      </c>
      <c r="Z57" s="1807">
        <f>IF(AB57=0,0,IF(AB57&lt;0,IF($J57=9,AB57,IF($J57=8,AB57,IF($J57=7,AB57,0)))))</f>
        <v>0</v>
      </c>
      <c r="AA57" s="1806">
        <f>IF(AB57=0,0,IF(AB57&lt;0,IF($J57=12,AB57,IF($J57=11,AB57,IF($J57=10,AB57,0)))))</f>
        <v>0</v>
      </c>
      <c r="AB57" s="1791">
        <f>IF(AB$5=$H57,-$E57,0)</f>
        <v>0</v>
      </c>
      <c r="AC57" s="1808">
        <f>IF(AG57=0,0,IF(AG57&lt;0,IF($J57=3,AG57,IF($J57=2,AG57,IF($J57=1,AG57,0)))))</f>
        <v>0</v>
      </c>
      <c r="AD57" s="1807">
        <f>IF(AG57=0,0,IF(AG57&lt;0,IF($J57=6,AG57,IF($J57=5,AG57,IF($J57=4,AG57,0)))))</f>
        <v>0</v>
      </c>
      <c r="AE57" s="1807">
        <f>IF(AG57=0,0,IF(AG57&lt;0,IF($J57=9,AG57,IF($J57=8,AG57,IF($J57=7,AG57,0)))))</f>
        <v>0</v>
      </c>
      <c r="AF57" s="1806">
        <f>IF(AG57=0,0,IF(AG57&lt;0,IF($J57=12,AG57,IF($J57=11,AG57,IF($J57=10,AG57,0)))))</f>
        <v>0</v>
      </c>
      <c r="AG57" s="1791">
        <f>IF(AG$5=$H57,-$E57,0)</f>
        <v>0</v>
      </c>
      <c r="AH57" s="1808">
        <f>IF(AL57=0,0,IF(AL57&lt;0,IF($J57=3,AL57,IF($J57=2,AL57,IF($J57=1,AL57,0)))))</f>
        <v>0</v>
      </c>
      <c r="AI57" s="1807">
        <f>IF(AL57=0,0,IF(AL57&lt;0,IF($J57=6,AL57,IF($J57=5,AL57,IF($J57=4,AL57,0)))))</f>
        <v>0</v>
      </c>
      <c r="AJ57" s="1807">
        <f>IF(AL57=0,0,IF(AL57&lt;0,IF($J57=9,AL57,IF($J57=8,AL57,IF($J57=7,AL57,0)))))</f>
        <v>0</v>
      </c>
      <c r="AK57" s="1806">
        <f>IF(AL57=0,0,IF(AL57&lt;0,IF($J57=12,AL57,IF($J57=11,AL57,IF($J57=10,AL57,0)))))</f>
        <v>0</v>
      </c>
      <c r="AL57" s="1791">
        <f>IF(AL$5=$H57,-$E57,0)</f>
        <v>0</v>
      </c>
      <c r="AM57" s="1808">
        <f>IF(AQ57=0,0,IF(AQ57&lt;0,IF($J57=3,AQ57,IF($J57=2,AQ57,IF($J57=1,AQ57,0)))))</f>
        <v>0</v>
      </c>
      <c r="AN57" s="1807">
        <f>IF(AQ57=0,0,IF(AQ57&lt;0,IF($J57=6,AQ57,IF($J57=5,AQ57,IF($J57=4,AQ57,0)))))</f>
        <v>0</v>
      </c>
      <c r="AO57" s="1807">
        <f>IF(AQ57=0,0,IF(AQ57&lt;0,IF($J57=9,AQ57,IF($J57=8,AQ57,IF($J57=7,AQ57,0)))))</f>
        <v>0</v>
      </c>
      <c r="AP57" s="1806">
        <f>IF(AQ57=0,0,IF(AQ57&lt;0,IF($J57=12,AQ57,IF($J57=11,AQ57,IF($J57=10,AQ57,0)))))</f>
        <v>0</v>
      </c>
      <c r="AQ57" s="1791">
        <f>IF(AQ$5=$H57,-$E57,0)</f>
        <v>0</v>
      </c>
      <c r="AR57" s="1808">
        <f>IF(AV57=0,0,IF(AV57&lt;0,IF($J57=3,AV57,IF($J57=2,AV57,IF($J57=1,AV57,0)))))</f>
        <v>0</v>
      </c>
      <c r="AS57" s="1807">
        <f>IF(AV57=0,0,IF(AV57&lt;0,IF($J57=6,AV57,IF($J57=5,AV57,IF($J57=4,AV57,0)))))</f>
        <v>0</v>
      </c>
      <c r="AT57" s="1807">
        <f>IF(AV57=0,0,IF(AV57&lt;0,IF($J57=9,AV57,IF($J57=8,AV57,IF($J57=7,AV57,0)))))</f>
        <v>0</v>
      </c>
      <c r="AU57" s="1806">
        <f>IF(AV57=0,0,IF(AV57&lt;0,IF($J57=12,AV57,IF($J57=11,AV57,IF($J57=10,AV57,0)))))</f>
        <v>0</v>
      </c>
      <c r="AV57" s="1791">
        <f>IF(AV$5=$H57,-$E57,0)</f>
        <v>0</v>
      </c>
      <c r="AW57" s="1808">
        <f>IF(BA57=0,0,IF(BA57&lt;0,IF($J57=3,BA57,IF($J57=2,BA57,IF($J57=1,BA57,0)))))</f>
        <v>0</v>
      </c>
      <c r="AX57" s="1807">
        <f>IF(BA57=0,0,IF(BA57&lt;0,IF($J57=6,BA57,IF($J57=5,BA57,IF($J57=4,BA57,0)))))</f>
        <v>0</v>
      </c>
      <c r="AY57" s="1807">
        <f>IF(BA57=0,0,IF(BA57&lt;0,IF($J57=9,BA57,IF($J57=8,BA57,IF($J57=7,BA57,0)))))</f>
        <v>0</v>
      </c>
      <c r="AZ57" s="1806">
        <f>IF(BA57=0,0,IF(BA57&lt;0,IF($J57=12,BA57,IF($J57=11,BA57,IF($J57=10,BA57,0)))))</f>
        <v>0</v>
      </c>
      <c r="BA57" s="1791">
        <f>IF(BA$5=$H57,-$E57,0)</f>
        <v>0</v>
      </c>
      <c r="BB57" s="1808">
        <f>IF(BF57=0,0,IF(BF57&lt;0,IF($J57=3,BF57,IF($J57=2,BF57,IF($J57=1,BF57,0)))))</f>
        <v>0</v>
      </c>
      <c r="BC57" s="1807">
        <f>IF(BF57=0,0,IF(BF57&lt;0,IF($J57=6,BF57,IF($J57=5,BF57,IF($J57=4,BF57,0)))))</f>
        <v>0</v>
      </c>
      <c r="BD57" s="1807">
        <f>IF(BF57=0,0,IF(BF57&lt;0,IF($J57=9,BF57,IF($J57=8,BF57,IF($J57=7,BF57,0)))))</f>
        <v>0</v>
      </c>
      <c r="BE57" s="1806">
        <f>IF(BF57=0,0,IF(BF57&lt;0,IF($J57=12,BF57,IF($J57=11,BF57,IF($J57=10,BF57,0)))))</f>
        <v>0</v>
      </c>
      <c r="BF57" s="1791">
        <f>IF(BF$5=$H57,-$E57,0)</f>
        <v>0</v>
      </c>
      <c r="BG57" s="1808">
        <f>IF(BK57=0,0,IF(BK57&lt;0,IF($J57=3,BK57,IF($J57=2,BK57,IF($J57=1,BK57,0)))))</f>
        <v>0</v>
      </c>
      <c r="BH57" s="1807">
        <f>IF(BK57=0,0,IF(BK57&lt;0,IF($J57=6,BK57,IF($J57=5,BK57,IF($J57=4,BK57,0)))))</f>
        <v>0</v>
      </c>
      <c r="BI57" s="1807">
        <f>IF(BK57=0,0,IF(BK57&lt;0,IF($J57=9,BK57,IF($J57=8,BK57,IF($J57=7,BK57,0)))))</f>
        <v>0</v>
      </c>
      <c r="BJ57" s="1806">
        <f>IF(BK57=0,0,IF(BK57&lt;0,IF($J57=12,BK57,IF($J57=11,BK57,IF($J57=10,BK57,0)))))</f>
        <v>0</v>
      </c>
      <c r="BK57" s="1791">
        <f>IF(BK$5=$H57,-$E57,0)</f>
        <v>0</v>
      </c>
      <c r="BL57" s="1808">
        <f>IF(BP57=0,0,IF(BP57&lt;0,IF($J57=3,BP57,IF($J57=2,BP57,IF($J57=1,BP57,0)))))</f>
        <v>0</v>
      </c>
      <c r="BM57" s="1807">
        <f>IF(BP57=0,0,IF(BP57&lt;0,IF($J57=6,BP57,IF($J57=5,BP57,IF($J57=4,BP57,0)))))</f>
        <v>0</v>
      </c>
      <c r="BN57" s="1807">
        <f>IF(BP57=0,0,IF(BP57&lt;0,IF($J57=9,BP57,IF($J57=8,BP57,IF($J57=7,BP57,0)))))</f>
        <v>-35.764000000000003</v>
      </c>
      <c r="BO57" s="1806">
        <f>IF(BP57=0,0,IF(BP57&lt;0,IF($J57=12,BP57,IF($J57=11,BP57,IF($J57=10,BP57,0)))))</f>
        <v>0</v>
      </c>
      <c r="BP57" s="1791">
        <f>IF(BP$5=$H57,-$E57,0)</f>
        <v>-35.764000000000003</v>
      </c>
      <c r="BQ57" s="1827"/>
      <c r="BR57" s="1991">
        <f>IF(AND(BQ57&lt;&gt;0,BQ$5=$H57),-$I57*$E57-BQ57,IF(BR$5=$H57,-$I57*$E57*(12-$J57+1)/12,0))</f>
        <v>0</v>
      </c>
      <c r="BS57" s="1991">
        <f>IF(AND(BR57&lt;&gt;0,BR$5=$H57),-$I57*$E57-BR57,IF(BS$5=$H57,-$I57*$E57*(12-$J57+1)/12,0))</f>
        <v>0</v>
      </c>
      <c r="BT57" s="1992">
        <f>IF($H57&lt;&gt;BX$5,0,IF(BX57&lt;0,IF($J57=1,-$E57*$I57/12*3,IF($J57=2,-$E57*$I57/12*2,IF($J57=3,-$E57*$I57/12*1,0)))))+IF(BS$5&lt;&gt;$H57,0,IF(BS57&lt;0,IF($J57=1,-$E57*$I57/12*0,IF($J57=2,-$E57*$I57/12*1,IF($J57=3,-$E57*$I57/12*2,IF($J57&gt;=4,-$E57*$I57/12*3,0))))))</f>
        <v>0</v>
      </c>
      <c r="BU57" s="1992">
        <f>IF($H57&lt;&gt;BX$5,0,IF(BX57&lt;0,IF(OR($J57=1,$J57=2,$J57=3,$J57=4),-$E57*$I57/12*3,IF($J57=5,-$E57*$I57/12*2,IF($J57=6,-$E57*$I57/12*1,0)))))+IF(BS$5&lt;&gt;$H57,0,IF(BS57&lt;0,IF($J57=4,-$E57*$I57/12*0,IF($J57=5,-$E57*$I57/12*1,IF($J57=6,-$E57*$I57/12*2,IF($J57&gt;=7,-$E57*$I57/12*3,0))))))</f>
        <v>0</v>
      </c>
      <c r="BV57" s="1992">
        <f>IF($H57&lt;&gt;BX$5,0,IF(BX57&lt;0,IF(OR($J57=1,$J57=2,$J57=3,$J57=4,$J57=5,$J57=6,$J57=7),-$E57*$I57/12*3,IF($J57=8,-$E57*$I57/12*2,IF($J57=9,-$E57*$I57/12*1,0)))))+IF(BS$5&lt;&gt;$H57,0,IF(BS57&lt;0,IF($J57=7,-$E57*$I57/12*0,IF($J57=8,-$E57*$I57/12*1,IF($J57=9,-$E57*$I57/12*2,IF($J57&gt;=10,-$E57*$I57/12*3,0))))))</f>
        <v>0</v>
      </c>
      <c r="BW57" s="1992">
        <f>IF($H57&lt;&gt;BX$5,0,IF(BX57&lt;0,IF(OR($J57=1,$J57=2,$J57=3,$J57=4,$J57=5,$J57=6,$J57=7,$J57=8,$J57=9,$J57=10),-$E57*$I57/12*3,IF($J57=11,-$E57*$I57/12*2,IF($J57=12,-$E57*$I57/12*1,0)))))+IF(BS$5&lt;&gt;$H57,0,IF(BS57&lt;0,IF($J57=10,-$E57*$I57/12*0,IF($J57=11,-$E57*$I57/12*1,IF($J57=12,-$E57*$I57/12*2,0)))))</f>
        <v>0</v>
      </c>
      <c r="BX57" s="1810">
        <f>IF(AND(BS57&lt;&gt;0,BS$5=$H57),-$I57*$E57-BS57,IF(BX$5=$H57,-$I57*$E57*(12-$J57+1)/12,0))</f>
        <v>0</v>
      </c>
      <c r="BY57" s="1807">
        <f>IF($H57&lt;&gt;CC$5,0,IF(CC57&lt;0,IF($J57=1,-$E57*$I57/12*3,IF($J57=2,-$E57*$I57/12*2,IF($J57=3,-$E57*$I57/12*1,0)))))+IF(BX$5&lt;&gt;$H57,0,IF(BX57&lt;0,IF($J57=1,-$E57*$I57/12*0,IF($J57=2,-$E57*$I57/12*1,IF($J57=3,-$E57*$I57/12*2,IF($J57&gt;=4,-$E57*$I57/12*3,0))))))</f>
        <v>0</v>
      </c>
      <c r="BZ57" s="1807">
        <f>IF($H57&lt;&gt;CC$5,0,IF(CC57&lt;0,IF(OR($J57=1,$J57=2,$J57=3,$J57=4),-$E57*$I57/12*3,IF($J57=5,-$E57*$I57/12*2,IF($J57=6,-$E57*$I57/12*1,0)))))+IF(BX$5&lt;&gt;$H57,0,IF(BX57&lt;0,IF($J57=4,-$E57*$I57/12*0,IF($J57=5,-$E57*$I57/12*1,IF($J57=6,-$E57*$I57/12*2,IF($J57&gt;=7,-$E57*$I57/12*3,0))))))</f>
        <v>0</v>
      </c>
      <c r="CA57" s="1807">
        <f>IF($H57&lt;&gt;CC$5,0,IF(CC57&lt;0,IF(OR($J57=1,$J57=2,$J57=3,$J57=4,$J57=5,$J57=6,$J57=7),-$E57*$I57/12*3,IF($J57=8,-$E57*$I57/12*2,IF($J57=9,-$E57*$I57/12*1,0)))))+IF(BX$5&lt;&gt;$H57,0,IF(BX57&lt;0,IF($J57=7,-$E57*$I57/12*0,IF($J57=8,-$E57*$I57/12*1,IF($J57=9,-$E57*$I57/12*2,IF($J57&gt;=10,-$E57*$I57/12*3,0))))))</f>
        <v>0</v>
      </c>
      <c r="CB57" s="1806">
        <f>IF($H57&lt;&gt;CC$5,0,IF(CC57&lt;0,IF(OR($J57=1,$J57=2,$J57=3,$J57=4,$J57=5,$J57=6,$J57=7,$J57=8,$J57=9,$J57=10),-$E57*$I57/12*3,IF($J57=11,-$E57*$I57/12*2,IF($J57=12,-$E57*$I57/12*1,0)))))+IF(BX$5&lt;&gt;$H57,0,IF(BX57&lt;0,IF($J57=10,-$E57*$I57/12*0,IF($J57=11,-$E57*$I57/12*1,IF($J57=12,-$E57*$I57/12*2,0)))))</f>
        <v>0</v>
      </c>
      <c r="CC57" s="1791">
        <f>IF(AND(BX57&lt;&gt;0,BX$5=$H57),-$I57*$E57-BX57,IF(CC$5=$H57,-$I57*$E57*(12-$J57+1)/12,0))</f>
        <v>0</v>
      </c>
      <c r="CD57" s="1808">
        <f>IF($H57&lt;&gt;CH$5,0,IF(CH57&lt;0,IF($J57=1,-$E57*$I57/12*3,IF($J57=2,-$E57*$I57/12*2,IF($J57=3,-$E57*$I57/12*1,0)))))+IF(CC$5&lt;&gt;$H57,0,IF(CC57&lt;0,IF($J57=1,-$E57*$I57/12*0,IF($J57=2,-$E57*$I57/12*1,IF($J57=3,-$E57*$I57/12*2,IF($J57&gt;=4,-$E57*$I57/12*3,0))))))</f>
        <v>0</v>
      </c>
      <c r="CE57" s="1807">
        <f>IF($H57&lt;&gt;CH$5,0,IF(CH57&lt;0,IF(OR($J57=1,$J57=2,$J57=3,$J57=4),-$E57*$I57/12*3,IF($J57=5,-$E57*$I57/12*2,IF($J57=6,-$E57*$I57/12*1,0)))))+IF(CC$5&lt;&gt;$H57,0,IF(CC57&lt;0,IF($J57=4,-$E57*$I57/12*0,IF($J57=5,-$E57*$I57/12*1,IF($J57=6,-$E57*$I57/12*2,IF($J57&gt;=7,-$E57*$I57/12*3,0))))))</f>
        <v>0</v>
      </c>
      <c r="CF57" s="1807">
        <f>IF($H57&lt;&gt;CH$5,0,IF(CH57&lt;0,IF(OR($J57=1,$J57=2,$J57=3,$J57=4,$J57=5,$J57=6,$J57=7),-$E57*$I57/12*3,IF($J57=8,-$E57*$I57/12*2,IF($J57=9,-$E57*$I57/12*1,0)))))+IF(CC$5&lt;&gt;$H57,0,IF(CC57&lt;0,IF($J57=7,-$E57*$I57/12*0,IF($J57=8,-$E57*$I57/12*1,IF($J57=9,-$E57*$I57/12*2,IF($J57&gt;=10,-$E57*$I57/12*3,0))))))</f>
        <v>0</v>
      </c>
      <c r="CG57" s="1806">
        <f>IF($H57&lt;&gt;CH$5,0,IF(CH57&lt;0,IF(OR($J57=1,$J57=2,$J57=3,$J57=4,$J57=5,$J57=6,$J57=7,$J57=8,$J57=9,$J57=10),-$E57*$I57/12*3,IF($J57=11,-$E57*$I57/12*2,IF($J57=12,-$E57*$I57/12*1,0)))))+IF(CC$5&lt;&gt;$H57,0,IF(CC57&lt;0,IF($J57=10,-$E57*$I57/12*0,IF($J57=11,-$E57*$I57/12*1,IF($J57=12,-$E57*$I57/12*2,0)))))</f>
        <v>0</v>
      </c>
      <c r="CH57" s="1791">
        <f>IF(AND(CC57&lt;&gt;0,CC$5=$H57),-$I57*$E57-CC57,IF(CH$5=$H57,-$I57*$E57*(12-$J57+1)/12,0))</f>
        <v>0</v>
      </c>
      <c r="CI57" s="1808">
        <f>IF($H57&lt;&gt;CM$5,0,IF(CM57&lt;0,IF($J57=1,-$E57*$I57/12*3,IF($J57=2,-$E57*$I57/12*2,IF($J57=3,-$E57*$I57/12*1,0)))))+IF(CH$5&lt;&gt;$H57,0,IF(CH57&lt;0,IF($J57=1,-$E57*$I57/12*0,IF($J57=2,-$E57*$I57/12*1,IF($J57=3,-$E57*$I57/12*2,IF($J57&gt;=4,-$E57*$I57/12*3,0))))))</f>
        <v>0</v>
      </c>
      <c r="CJ57" s="1807">
        <f>IF($H57&lt;&gt;CM$5,0,IF(CM57&lt;0,IF(OR($J57=1,$J57=2,$J57=3,$J57=4),-$E57*$I57/12*3,IF($J57=5,-$E57*$I57/12*2,IF($J57=6,-$E57*$I57/12*1,0)))))+IF(CH$5&lt;&gt;$H57,0,IF(CH57&lt;0,IF($J57=4,-$E57*$I57/12*0,IF($J57=5,-$E57*$I57/12*1,IF($J57=6,-$E57*$I57/12*2,IF($J57&gt;=7,-$E57*$I57/12*3,0))))))</f>
        <v>0</v>
      </c>
      <c r="CK57" s="1807">
        <f>IF($H57&lt;&gt;CM$5,0,IF(CM57&lt;0,IF(OR($J57=1,$J57=2,$J57=3,$J57=4,$J57=5,$J57=6,$J57=7),-$E57*$I57/12*3,IF($J57=8,-$E57*$I57/12*2,IF($J57=9,-$E57*$I57/12*1,0)))))+IF(CH$5&lt;&gt;$H57,0,IF(CH57&lt;0,IF($J57=7,-$E57*$I57/12*0,IF($J57=8,-$E57*$I57/12*1,IF($J57=9,-$E57*$I57/12*2,IF($J57&gt;=10,-$E57*$I57/12*3,0))))))</f>
        <v>0</v>
      </c>
      <c r="CL57" s="1806">
        <f>IF($H57&lt;&gt;CM$5,0,IF(CM57&lt;0,IF(OR($J57=1,$J57=2,$J57=3,$J57=4,$J57=5,$J57=6,$J57=7,$J57=8,$J57=9,$J57=10),-$E57*$I57/12*3,IF($J57=11,-$E57*$I57/12*2,IF($J57=12,-$E57*$I57/12*1,0)))))+IF(CH$5&lt;&gt;$H57,0,IF(CH57&lt;0,IF($J57=10,-$E57*$I57/12*0,IF($J57=11,-$E57*$I57/12*1,IF($J57=12,-$E57*$I57/12*2,0)))))</f>
        <v>0</v>
      </c>
      <c r="CM57" s="1791">
        <f>IF(AND(CH57&lt;&gt;0,CH$5=$H57),-$I57*$E57-CH57,IF(CM$5=$H57,-$I57*$E57*(12-$J57+1)/12,0))</f>
        <v>0</v>
      </c>
      <c r="CN57" s="1808">
        <f>IF($H57&lt;&gt;CR$5,0,IF(CR57&lt;0,IF($J57=1,-$E57*$I57/12*3,IF($J57=2,-$E57*$I57/12*2,IF($J57=3,-$E57*$I57/12*1,0)))))+IF(CM$5&lt;&gt;$H57,0,IF(CM57&lt;0,IF($J57=1,-$E57*$I57/12*0,IF($J57=2,-$E57*$I57/12*1,IF($J57=3,-$E57*$I57/12*2,IF($J57&gt;=4,-$E57*$I57/12*3,0))))))</f>
        <v>0</v>
      </c>
      <c r="CO57" s="1807">
        <f>IF($H57&lt;&gt;CR$5,0,IF(CR57&lt;0,IF(OR($J57=1,$J57=2,$J57=3,$J57=4),-$E57*$I57/12*3,IF($J57=5,-$E57*$I57/12*2,IF($J57=6,-$E57*$I57/12*1,0)))))+IF(CM$5&lt;&gt;$H57,0,IF(CM57&lt;0,IF($J57=4,-$E57*$I57/12*0,IF($J57=5,-$E57*$I57/12*1,IF($J57=6,-$E57*$I57/12*2,IF($J57&gt;=7,-$E57*$I57/12*3,0))))))</f>
        <v>0</v>
      </c>
      <c r="CP57" s="1807">
        <f>IF($H57&lt;&gt;CR$5,0,IF(CR57&lt;0,IF(OR($J57=1,$J57=2,$J57=3,$J57=4,$J57=5,$J57=6,$J57=7),-$E57*$I57/12*3,IF($J57=8,-$E57*$I57/12*2,IF($J57=9,-$E57*$I57/12*1,0)))))+IF(CM$5&lt;&gt;$H57,0,IF(CM57&lt;0,IF($J57=7,-$E57*$I57/12*0,IF($J57=8,-$E57*$I57/12*1,IF($J57=9,-$E57*$I57/12*2,IF($J57&gt;=10,-$E57*$I57/12*3,0))))))</f>
        <v>0</v>
      </c>
      <c r="CQ57" s="1806">
        <f>IF($H57&lt;&gt;CR$5,0,IF(CR57&lt;0,IF(OR($J57=1,$J57=2,$J57=3,$J57=4,$J57=5,$J57=6,$J57=7,$J57=8,$J57=9,$J57=10),-$E57*$I57/12*3,IF($J57=11,-$E57*$I57/12*2,IF($J57=12,-$E57*$I57/12*1,0)))))+IF(CM$5&lt;&gt;$H57,0,IF(CM57&lt;0,IF($J57=10,-$E57*$I57/12*0,IF($J57=11,-$E57*$I57/12*1,IF($J57=12,-$E57*$I57/12*2,0)))))</f>
        <v>0</v>
      </c>
      <c r="CR57" s="1791">
        <f>IF(AND(CM57&lt;&gt;0,CM$5=$H57),-$I57*$E57-CM57,IF(CR$5=$H57,-$I57*$E57*(12-$J57+1)/12,0))</f>
        <v>0</v>
      </c>
      <c r="CS57" s="1808">
        <f>IF($H57&lt;&gt;CW$5,0,IF(CW57&lt;0,IF($J57=1,-$E57*$I57/12*3,IF($J57=2,-$E57*$I57/12*2,IF($J57=3,-$E57*$I57/12*1,0)))))+IF(CR$5&lt;&gt;$H57,0,IF(CR57&lt;0,IF($J57=1,-$E57*$I57/12*0,IF($J57=2,-$E57*$I57/12*1,IF($J57=3,-$E57*$I57/12*2,IF($J57&gt;=4,-$E57*$I57/12*3,0))))))</f>
        <v>0</v>
      </c>
      <c r="CT57" s="1807">
        <f>IF($H57&lt;&gt;CW$5,0,IF(CW57&lt;0,IF(OR($J57=1,$J57=2,$J57=3,$J57=4),-$E57*$I57/12*3,IF($J57=5,-$E57*$I57/12*2,IF($J57=6,-$E57*$I57/12*1,0)))))+IF(CR$5&lt;&gt;$H57,0,IF(CR57&lt;0,IF($J57=4,-$E57*$I57/12*0,IF($J57=5,-$E57*$I57/12*1,IF($J57=6,-$E57*$I57/12*2,IF($J57&gt;=7,-$E57*$I57/12*3,0))))))</f>
        <v>0</v>
      </c>
      <c r="CU57" s="1807">
        <f>IF($H57&lt;&gt;CW$5,0,IF(CW57&lt;0,IF(OR($J57=1,$J57=2,$J57=3,$J57=4,$J57=5,$J57=6,$J57=7),-$E57*$I57/12*3,IF($J57=8,-$E57*$I57/12*2,IF($J57=9,-$E57*$I57/12*1,0)))))+IF(CR$5&lt;&gt;$H57,0,IF(CR57&lt;0,IF($J57=7,-$E57*$I57/12*0,IF($J57=8,-$E57*$I57/12*1,IF($J57=9,-$E57*$I57/12*2,IF($J57&gt;=10,-$E57*$I57/12*3,0))))))</f>
        <v>0</v>
      </c>
      <c r="CV57" s="1806">
        <f>IF($H57&lt;&gt;CW$5,0,IF(CW57&lt;0,IF(OR($J57=1,$J57=2,$J57=3,$J57=4,$J57=5,$J57=6,$J57=7,$J57=8,$J57=9,$J57=10),-$E57*$I57/12*3,IF($J57=11,-$E57*$I57/12*2,IF($J57=12,-$E57*$I57/12*1,0)))))+IF(CR$5&lt;&gt;$H57,0,IF(CR57&lt;0,IF($J57=10,-$E57*$I57/12*0,IF($J57=11,-$E57*$I57/12*1,IF($J57=12,-$E57*$I57/12*2,0)))))</f>
        <v>0</v>
      </c>
      <c r="CW57" s="1791">
        <f>IF(AND(CR57&lt;&gt;0,CR$5=$H57),-$I57*$E57-CR57,IF(CW$5=$H57,-$I57*$E57*(12-$J57+1)/12,0))</f>
        <v>0</v>
      </c>
      <c r="CX57" s="1808">
        <f>IF($H57&lt;&gt;DB$5,0,IF(DB57&lt;0,IF($J57=1,-$E57*$I57/12*3,IF($J57=2,-$E57*$I57/12*2,IF($J57=3,-$E57*$I57/12*1,0)))))+IF(CW$5&lt;&gt;$H57,0,IF(CW57&lt;0,IF($J57=1,-$E57*$I57/12*0,IF($J57=2,-$E57*$I57/12*1,IF($J57=3,-$E57*$I57/12*2,IF($J57&gt;=4,-$E57*$I57/12*3,0))))))</f>
        <v>0</v>
      </c>
      <c r="CY57" s="1807">
        <f>IF($H57&lt;&gt;DB$5,0,IF(DB57&lt;0,IF(OR($J57=1,$J57=2,$J57=3,$J57=4),-$E57*$I57/12*3,IF($J57=5,-$E57*$I57/12*2,IF($J57=6,-$E57*$I57/12*1,0)))))+IF(CW$5&lt;&gt;$H57,0,IF(CW57&lt;0,IF($J57=4,-$E57*$I57/12*0,IF($J57=5,-$E57*$I57/12*1,IF($J57=6,-$E57*$I57/12*2,IF($J57&gt;=7,-$E57*$I57/12*3,0))))))</f>
        <v>0</v>
      </c>
      <c r="CZ57" s="1807">
        <f>IF($H57&lt;&gt;DB$5,0,IF(DB57&lt;0,IF(OR($J57=1,$J57=2,$J57=3,$J57=4,$J57=5,$J57=6,$J57=7),-$E57*$I57/12*3,IF($J57=8,-$E57*$I57/12*2,IF($J57=9,-$E57*$I57/12*1,0)))))+IF(CW$5&lt;&gt;$H57,0,IF(CW57&lt;0,IF($J57=7,-$E57*$I57/12*0,IF($J57=8,-$E57*$I57/12*1,IF($J57=9,-$E57*$I57/12*2,IF($J57&gt;=10,-$E57*$I57/12*3,0))))))</f>
        <v>0</v>
      </c>
      <c r="DA57" s="1806">
        <f>IF($H57&lt;&gt;DB$5,0,IF(DB57&lt;0,IF(OR($J57=1,$J57=2,$J57=3,$J57=4,$J57=5,$J57=6,$J57=7,$J57=8,$J57=9,$J57=10),-$E57*$I57/12*3,IF($J57=11,-$E57*$I57/12*2,IF($J57=12,-$E57*$I57/12*1,0)))))+IF(CW$5&lt;&gt;$H57,0,IF(CW57&lt;0,IF($J57=10,-$E57*$I57/12*0,IF($J57=11,-$E57*$I57/12*1,IF($J57=12,-$E57*$I57/12*2,0)))))</f>
        <v>0</v>
      </c>
      <c r="DB57" s="1791">
        <f>IF(AND(CW57&lt;&gt;0,CW$5=$H57),-$I57*$E57-CW57,IF(DB$5=$H57,-$I57*$E57*(12-$J57+1)/12,0))</f>
        <v>0</v>
      </c>
      <c r="DC57" s="1808">
        <f>IF($H57&lt;&gt;DG$5,0,IF(DG57&lt;0,IF($J57=1,-$E57*$I57/12*3,IF($J57=2,-$E57*$I57/12*2,IF($J57=3,-$E57*$I57/12*1,0)))))+IF(DB$5&lt;&gt;$H57,0,IF(DB57&lt;0,IF($J57=1,-$E57*$I57/12*0,IF($J57=2,-$E57*$I57/12*1,IF($J57=3,-$E57*$I57/12*2,IF($J57&gt;=4,-$E57*$I57/12*3,0))))))</f>
        <v>0</v>
      </c>
      <c r="DD57" s="1807">
        <f>IF($H57&lt;&gt;DG$5,0,IF(DG57&lt;0,IF(OR($J57=1,$J57=2,$J57=3,$J57=4),-$E57*$I57/12*3,IF($J57=5,-$E57*$I57/12*2,IF($J57=6,-$E57*$I57/12*1,0)))))+IF(DB$5&lt;&gt;$H57,0,IF(DB57&lt;0,IF($J57=4,-$E57*$I57/12*0,IF($J57=5,-$E57*$I57/12*1,IF($J57=6,-$E57*$I57/12*2,IF($J57&gt;=7,-$E57*$I57/12*3,0))))))</f>
        <v>0</v>
      </c>
      <c r="DE57" s="1807">
        <f>IF($H57&lt;&gt;DG$5,0,IF(DG57&lt;0,IF(OR($J57=1,$J57=2,$J57=3,$J57=4,$J57=5,$J57=6,$J57=7),-$E57*$I57/12*3,IF($J57=8,-$E57*$I57/12*2,IF($J57=9,-$E57*$I57/12*1,0)))))+IF(DB$5&lt;&gt;$H57,0,IF(DB57&lt;0,IF($J57=7,-$E57*$I57/12*0,IF($J57=8,-$E57*$I57/12*1,IF($J57=9,-$E57*$I57/12*2,IF($J57&gt;=10,-$E57*$I57/12*3,0))))))</f>
        <v>0</v>
      </c>
      <c r="DF57" s="1806">
        <f>IF($H57&lt;&gt;DG$5,0,IF(DG57&lt;0,IF(OR($J57=1,$J57=2,$J57=3,$J57=4,$J57=5,$J57=6,$J57=7,$J57=8,$J57=9,$J57=10),-$E57*$I57/12*3,IF($J57=11,-$E57*$I57/12*2,IF($J57=12,-$E57*$I57/12*1,0)))))+IF(DB$5&lt;&gt;$H57,0,IF(DB57&lt;0,IF($J57=10,-$E57*$I57/12*0,IF($J57=11,-$E57*$I57/12*1,IF($J57=12,-$E57*$I57/12*2,0)))))</f>
        <v>0</v>
      </c>
      <c r="DG57" s="1791">
        <f>IF(AND(DB57&lt;&gt;0,DB$5=$H57),-$I57*$E57-DB57,IF(DG$5=$H57,-$I57*$E57*(12-$J57+1)/12,0))</f>
        <v>0</v>
      </c>
      <c r="DH57" s="1808">
        <f>IF($H57&lt;&gt;DL$5,0,IF(DL57&lt;0,IF($J57=1,-$E57*$I57/12*3,IF($J57=2,-$E57*$I57/12*2,IF($J57=3,-$E57*$I57/12*1,0)))))+IF(DG$5&lt;&gt;$H57,0,IF(DG57&lt;0,IF($J57=1,-$E57*$I57/12*0,IF($J57=2,-$E57*$I57/12*1,IF($J57=3,-$E57*$I57/12*2,IF($J57&gt;=4,-$E57*$I57/12*3,0))))))</f>
        <v>0</v>
      </c>
      <c r="DI57" s="1807">
        <f>IF($H57&lt;&gt;DL$5,0,IF(DL57&lt;0,IF(OR($J57=1,$J57=2,$J57=3,$J57=4),-$E57*$I57/12*3,IF($J57=5,-$E57*$I57/12*2,IF($J57=6,-$E57*$I57/12*1,0)))))+IF(DG$5&lt;&gt;$H57,0,IF(DG57&lt;0,IF($J57=4,-$E57*$I57/12*0,IF($J57=5,-$E57*$I57/12*1,IF($J57=6,-$E57*$I57/12*2,IF($J57&gt;=7,-$E57*$I57/12*3,0))))))</f>
        <v>0</v>
      </c>
      <c r="DJ57" s="1807">
        <f>IF($H57&lt;&gt;DL$5,0,IF(DL57&lt;0,IF(OR($J57=1,$J57=2,$J57=3,$J57=4,$J57=5,$J57=6,$J57=7),-$E57*$I57/12*3,IF($J57=8,-$E57*$I57/12*2,IF($J57=9,-$E57*$I57/12*1,0)))))+IF(DG$5&lt;&gt;$H57,0,IF(DG57&lt;0,IF($J57=7,-$E57*$I57/12*0,IF($J57=8,-$E57*$I57/12*1,IF($J57=9,-$E57*$I57/12*2,IF($J57&gt;=10,-$E57*$I57/12*3,0))))))</f>
        <v>0</v>
      </c>
      <c r="DK57" s="1806">
        <f>IF($H57&lt;&gt;DL$5,0,IF(DL57&lt;0,IF(OR($J57=1,$J57=2,$J57=3,$J57=4,$J57=5,$J57=6,$J57=7,$J57=8,$J57=9,$J57=10),-$E57*$I57/12*3,IF($J57=11,-$E57*$I57/12*2,IF($J57=12,-$E57*$I57/12*1,0)))))+IF(DG$5&lt;&gt;$H57,0,IF(DG57&lt;0,IF($J57=10,-$E57*$I57/12*0,IF($J57=11,-$E57*$I57/12*1,IF($J57=12,-$E57*$I57/12*2,0)))))</f>
        <v>0</v>
      </c>
      <c r="DL57" s="1791">
        <f>IF(AND(DG57&lt;&gt;0,DG$5=$H57),-$I57*$E57-DG57,IF(DL$5=$H57,-$I57*$E57*(12-$J57+1)/12,0))</f>
        <v>0</v>
      </c>
      <c r="DM57" s="1808">
        <f>IF($H57&lt;&gt;DQ$5,0,IF(DQ57&lt;0,IF($J57=1,-$E57*$I57/12*3,IF($J57=2,-$E57*$I57/12*2,IF($J57=3,-$E57*$I57/12*1,0)))))+IF(DL$5&lt;&gt;$H57,0,IF(DL57&lt;0,IF($J57=1,-$E57*$I57/12*0,IF($J57=2,-$E57*$I57/12*1,IF($J57=3,-$E57*$I57/12*2,IF($J57&gt;=4,-$E57*$I57/12*3,0))))))</f>
        <v>0</v>
      </c>
      <c r="DN57" s="1807">
        <f>IF($H57&lt;&gt;DQ$5,0,IF(DQ57&lt;0,IF(OR($J57=1,$J57=2,$J57=3,$J57=4),-$E57*$I57/12*3,IF($J57=5,-$E57*$I57/12*2,IF($J57=6,-$E57*$I57/12*1,0)))))+IF(DL$5&lt;&gt;$H57,0,IF(DL57&lt;0,IF($J57=4,-$E57*$I57/12*0,IF($J57=5,-$E57*$I57/12*1,IF($J57=6,-$E57*$I57/12*2,IF($J57&gt;=7,-$E57*$I57/12*3,0))))))</f>
        <v>0</v>
      </c>
      <c r="DO57" s="1807">
        <f>IF($H57&lt;&gt;DQ$5,0,IF(DQ57&lt;0,IF(OR($J57=1,$J57=2,$J57=3,$J57=4,$J57=5,$J57=6,$J57=7),-$E57*$I57/12*3,IF($J57=8,-$E57*$I57/12*2,IF($J57=9,-$E57*$I57/12*1,0)))))+IF(DL$5&lt;&gt;$H57,0,IF(DL57&lt;0,IF($J57=7,-$E57*$I57/12*0,IF($J57=8,-$E57*$I57/12*1,IF($J57=9,-$E57*$I57/12*2,IF($J57&gt;=10,-$E57*$I57/12*3,0))))))</f>
        <v>0</v>
      </c>
      <c r="DP57" s="1806">
        <f>IF($H57&lt;&gt;DQ$5,0,IF(DQ57&lt;0,IF(OR($J57=1,$J57=2,$J57=3,$J57=4,$J57=5,$J57=6,$J57=7,$J57=8,$J57=9,$J57=10),-$E57*$I57/12*3,IF($J57=11,-$E57*$I57/12*2,IF($J57=12,-$E57*$I57/12*1,0)))))+IF(DL$5&lt;&gt;$H57,0,IF(DL57&lt;0,IF($J57=10,-$E57*$I57/12*0,IF($J57=11,-$E57*$I57/12*1,IF($J57=12,-$E57*$I57/12*2,0)))))</f>
        <v>0</v>
      </c>
      <c r="DQ57" s="1791">
        <f>IF(AND(DL57&lt;&gt;0,DL$5=$H57),-$I57*$E57-DL57,IF(DQ$5=$H57,-$I57*$E57*(12-$J57+1)/12,0))</f>
        <v>0</v>
      </c>
      <c r="DR57" s="1808">
        <f>IF($H57&lt;&gt;DV$5,0,IF(DV57&lt;0,IF($J57=1,-$E57*$I57/12*3,IF($J57=2,-$E57*$I57/12*2,IF($J57=3,-$E57*$I57/12*1,0)))))+IF(DQ$5&lt;&gt;$H57,0,IF(DQ57&lt;0,IF($J57=1,-$E57*$I57/12*0,IF($J57=2,-$E57*$I57/12*1,IF($J57=3,-$E57*$I57/12*2,IF($J57&gt;=4,-$E57*$I57/12*3,0))))))</f>
        <v>0</v>
      </c>
      <c r="DS57" s="1807">
        <f>IF($H57&lt;&gt;DV$5,0,IF(DV57&lt;0,IF(OR($J57=1,$J57=2,$J57=3,$J57=4),-$E57*$I57/12*3,IF($J57=5,-$E57*$I57/12*2,IF($J57=6,-$E57*$I57/12*1,0)))))+IF(DQ$5&lt;&gt;$H57,0,IF(DQ57&lt;0,IF($J57=4,-$E57*$I57/12*0,IF($J57=5,-$E57*$I57/12*1,IF($J57=6,-$E57*$I57/12*2,IF($J57&gt;=7,-$E57*$I57/12*3,0))))))</f>
        <v>0</v>
      </c>
      <c r="DT57" s="1807">
        <f>IF($H57&lt;&gt;DV$5,0,IF(DV57&lt;0,IF(OR($J57=1,$J57=2,$J57=3,$J57=4,$J57=5,$J57=6,$J57=7),-$E57*$I57/12*3,IF($J57=8,-$E57*$I57/12*2,IF($J57=9,-$E57*$I57/12*1,0)))))+IF(DQ$5&lt;&gt;$H57,0,IF(DQ57&lt;0,IF($J57=7,-$E57*$I57/12*0,IF($J57=8,-$E57*$I57/12*1,IF($J57=9,-$E57*$I57/12*2,IF($J57&gt;=10,-$E57*$I57/12*3,0))))))</f>
        <v>-0.13709533333333335</v>
      </c>
      <c r="DU57" s="1806">
        <f>IF($H57&lt;&gt;DV$5,0,IF(DV57&lt;0,IF(OR($J57=1,$J57=2,$J57=3,$J57=4,$J57=5,$J57=6,$J57=7,$J57=8,$J57=9,$J57=10),-$E57*$I57/12*3,IF($J57=11,-$E57*$I57/12*2,IF($J57=12,-$E57*$I57/12*1,0)))))+IF(DQ$5&lt;&gt;$H57,0,IF(DQ57&lt;0,IF($J57=10,-$E57*$I57/12*0,IF($J57=11,-$E57*$I57/12*1,IF($J57=12,-$E57*$I57/12*2,0)))))</f>
        <v>-0.20564300000000002</v>
      </c>
      <c r="DV57" s="1791">
        <f>IF(AND(DQ57&lt;&gt;0,DQ$5=$H57),-$I57*$E57-DQ57,IF(DV$5=$H57,-$I57*$E57*(12-$J57+1)/12,0))</f>
        <v>-0.34273833333333337</v>
      </c>
    </row>
    <row r="58" spans="1:126">
      <c r="A58" s="455"/>
      <c r="B58" s="455"/>
      <c r="C58" s="1363"/>
      <c r="D58" s="94"/>
      <c r="E58" s="1817"/>
      <c r="F58" s="1435"/>
      <c r="G58" s="1435"/>
      <c r="H58" s="1597"/>
      <c r="I58" s="1598"/>
      <c r="J58" s="1599"/>
      <c r="K58" s="1792"/>
      <c r="L58" s="1810"/>
      <c r="M58" s="1791"/>
      <c r="N58" s="1808"/>
      <c r="O58" s="1807"/>
      <c r="P58" s="1807"/>
      <c r="Q58" s="1806"/>
      <c r="R58" s="1791"/>
      <c r="S58" s="1808"/>
      <c r="T58" s="1807"/>
      <c r="U58" s="1807"/>
      <c r="V58" s="1806"/>
      <c r="W58" s="1791"/>
      <c r="X58" s="1808"/>
      <c r="Y58" s="1807"/>
      <c r="Z58" s="1807"/>
      <c r="AA58" s="1806"/>
      <c r="AB58" s="1791"/>
      <c r="AC58" s="1808"/>
      <c r="AD58" s="1807"/>
      <c r="AE58" s="1807"/>
      <c r="AF58" s="1806"/>
      <c r="AG58" s="1791"/>
      <c r="AH58" s="1808"/>
      <c r="AI58" s="1807"/>
      <c r="AJ58" s="1807"/>
      <c r="AK58" s="1806"/>
      <c r="AL58" s="1791"/>
      <c r="AM58" s="1808"/>
      <c r="AN58" s="1807"/>
      <c r="AO58" s="1807"/>
      <c r="AP58" s="1806"/>
      <c r="AQ58" s="1791"/>
      <c r="AR58" s="1808"/>
      <c r="AS58" s="1807"/>
      <c r="AT58" s="1807"/>
      <c r="AU58" s="1806"/>
      <c r="AV58" s="1791"/>
      <c r="AW58" s="1808"/>
      <c r="AX58" s="1807"/>
      <c r="AY58" s="1807"/>
      <c r="AZ58" s="1806"/>
      <c r="BA58" s="1791"/>
      <c r="BB58" s="1808"/>
      <c r="BC58" s="1807"/>
      <c r="BD58" s="1807"/>
      <c r="BE58" s="1806"/>
      <c r="BF58" s="1791"/>
      <c r="BG58" s="1808"/>
      <c r="BH58" s="1807"/>
      <c r="BI58" s="1807"/>
      <c r="BJ58" s="1806"/>
      <c r="BK58" s="1791"/>
      <c r="BL58" s="1808"/>
      <c r="BM58" s="1807"/>
      <c r="BN58" s="1807"/>
      <c r="BO58" s="1806"/>
      <c r="BP58" s="1791"/>
      <c r="BQ58" s="1827"/>
      <c r="BR58" s="1991"/>
      <c r="BS58" s="1991"/>
      <c r="BT58" s="1992"/>
      <c r="BU58" s="1992"/>
      <c r="BV58" s="1992"/>
      <c r="BW58" s="1992"/>
      <c r="BX58" s="1810"/>
      <c r="BY58" s="1807"/>
      <c r="BZ58" s="1807"/>
      <c r="CA58" s="1807"/>
      <c r="CB58" s="1806"/>
      <c r="CC58" s="1791"/>
      <c r="CD58" s="1808"/>
      <c r="CE58" s="1807"/>
      <c r="CF58" s="1807"/>
      <c r="CG58" s="1806"/>
      <c r="CH58" s="1791"/>
      <c r="CI58" s="1808"/>
      <c r="CJ58" s="1807"/>
      <c r="CK58" s="1807"/>
      <c r="CL58" s="1806"/>
      <c r="CM58" s="1791"/>
      <c r="CN58" s="1808"/>
      <c r="CO58" s="1807"/>
      <c r="CP58" s="1807"/>
      <c r="CQ58" s="1806"/>
      <c r="CR58" s="1791"/>
      <c r="CS58" s="1808"/>
      <c r="CT58" s="1807"/>
      <c r="CU58" s="1807"/>
      <c r="CV58" s="1806"/>
      <c r="CW58" s="1791"/>
      <c r="CX58" s="1808"/>
      <c r="CY58" s="1807"/>
      <c r="CZ58" s="1807"/>
      <c r="DA58" s="1806"/>
      <c r="DB58" s="1791"/>
      <c r="DC58" s="1808"/>
      <c r="DD58" s="1807"/>
      <c r="DE58" s="1807"/>
      <c r="DF58" s="1806"/>
      <c r="DG58" s="1791"/>
      <c r="DH58" s="1808"/>
      <c r="DI58" s="1807"/>
      <c r="DJ58" s="1807"/>
      <c r="DK58" s="1806"/>
      <c r="DL58" s="1791"/>
      <c r="DM58" s="1808"/>
      <c r="DN58" s="1807"/>
      <c r="DO58" s="1807"/>
      <c r="DP58" s="1806"/>
      <c r="DQ58" s="1791"/>
      <c r="DR58" s="1808"/>
      <c r="DS58" s="1807"/>
      <c r="DT58" s="1807"/>
      <c r="DU58" s="1806"/>
      <c r="DV58" s="1791"/>
    </row>
    <row r="59" spans="1:126">
      <c r="A59" s="455"/>
      <c r="B59" s="455"/>
      <c r="C59" s="1596" t="s">
        <v>313</v>
      </c>
      <c r="D59" s="94"/>
      <c r="E59" s="1817"/>
      <c r="F59" s="1435"/>
      <c r="G59" s="1435"/>
      <c r="H59" s="1597"/>
      <c r="I59" s="1598"/>
      <c r="J59" s="1599"/>
      <c r="K59" s="1792"/>
      <c r="L59" s="1810"/>
      <c r="M59" s="1791"/>
      <c r="N59" s="1808"/>
      <c r="O59" s="1807"/>
      <c r="P59" s="1807"/>
      <c r="Q59" s="1806"/>
      <c r="R59" s="1791"/>
      <c r="S59" s="1808"/>
      <c r="T59" s="1807"/>
      <c r="U59" s="1807"/>
      <c r="V59" s="1806"/>
      <c r="W59" s="1791"/>
      <c r="X59" s="1808"/>
      <c r="Y59" s="1807"/>
      <c r="Z59" s="1807"/>
      <c r="AA59" s="1806"/>
      <c r="AB59" s="1791"/>
      <c r="AC59" s="1808"/>
      <c r="AD59" s="1807"/>
      <c r="AE59" s="1807"/>
      <c r="AF59" s="1806"/>
      <c r="AG59" s="1791"/>
      <c r="AH59" s="1808"/>
      <c r="AI59" s="1807"/>
      <c r="AJ59" s="1807"/>
      <c r="AK59" s="1806"/>
      <c r="AL59" s="1791"/>
      <c r="AM59" s="1808"/>
      <c r="AN59" s="1807"/>
      <c r="AO59" s="1807"/>
      <c r="AP59" s="1806"/>
      <c r="AQ59" s="1791"/>
      <c r="AR59" s="1808"/>
      <c r="AS59" s="1807"/>
      <c r="AT59" s="1807"/>
      <c r="AU59" s="1806"/>
      <c r="AV59" s="1791"/>
      <c r="AW59" s="1808"/>
      <c r="AX59" s="1807"/>
      <c r="AY59" s="1807"/>
      <c r="AZ59" s="1806"/>
      <c r="BA59" s="1791"/>
      <c r="BB59" s="1808"/>
      <c r="BC59" s="1807"/>
      <c r="BD59" s="1807"/>
      <c r="BE59" s="1806"/>
      <c r="BF59" s="1791"/>
      <c r="BG59" s="1808"/>
      <c r="BH59" s="1807"/>
      <c r="BI59" s="1807"/>
      <c r="BJ59" s="1806"/>
      <c r="BK59" s="1791"/>
      <c r="BL59" s="1808"/>
      <c r="BM59" s="1807"/>
      <c r="BN59" s="1807"/>
      <c r="BO59" s="1806"/>
      <c r="BP59" s="1791"/>
      <c r="BQ59" s="1827"/>
      <c r="BR59" s="1991"/>
      <c r="BS59" s="1991"/>
      <c r="BT59" s="1992"/>
      <c r="BU59" s="1992"/>
      <c r="BV59" s="1992"/>
      <c r="BW59" s="1992"/>
      <c r="BX59" s="1810"/>
      <c r="BY59" s="1807"/>
      <c r="BZ59" s="1807"/>
      <c r="CA59" s="1807"/>
      <c r="CB59" s="1806"/>
      <c r="CC59" s="1791"/>
      <c r="CD59" s="1808"/>
      <c r="CE59" s="1807"/>
      <c r="CF59" s="1807"/>
      <c r="CG59" s="1806"/>
      <c r="CH59" s="1791"/>
      <c r="CI59" s="1808"/>
      <c r="CJ59" s="1807"/>
      <c r="CK59" s="1807"/>
      <c r="CL59" s="1806"/>
      <c r="CM59" s="1791"/>
      <c r="CN59" s="1808"/>
      <c r="CO59" s="1807"/>
      <c r="CP59" s="1807"/>
      <c r="CQ59" s="1806"/>
      <c r="CR59" s="1791"/>
      <c r="CS59" s="1808"/>
      <c r="CT59" s="1807"/>
      <c r="CU59" s="1807"/>
      <c r="CV59" s="1806"/>
      <c r="CW59" s="1791"/>
      <c r="CX59" s="1808"/>
      <c r="CY59" s="1807"/>
      <c r="CZ59" s="1807"/>
      <c r="DA59" s="1806"/>
      <c r="DB59" s="1791"/>
      <c r="DC59" s="1808"/>
      <c r="DD59" s="1807"/>
      <c r="DE59" s="1807"/>
      <c r="DF59" s="1806"/>
      <c r="DG59" s="1791"/>
      <c r="DH59" s="1808"/>
      <c r="DI59" s="1807"/>
      <c r="DJ59" s="1807"/>
      <c r="DK59" s="1806"/>
      <c r="DL59" s="1791"/>
      <c r="DM59" s="1808"/>
      <c r="DN59" s="1807"/>
      <c r="DO59" s="1807"/>
      <c r="DP59" s="1806"/>
      <c r="DQ59" s="1791"/>
      <c r="DR59" s="1808"/>
      <c r="DS59" s="1807"/>
      <c r="DT59" s="1807"/>
      <c r="DU59" s="1806"/>
      <c r="DV59" s="1791"/>
    </row>
    <row r="60" spans="1:126">
      <c r="A60" s="455"/>
      <c r="B60" s="455"/>
      <c r="C60" s="1363" t="s">
        <v>744</v>
      </c>
      <c r="D60" s="94"/>
      <c r="E60" s="1817">
        <f>IF(F60=0,G60,F60)</f>
        <v>183.435</v>
      </c>
      <c r="F60" s="1435">
        <v>183.435</v>
      </c>
      <c r="G60" s="1435">
        <v>181.85300000000001</v>
      </c>
      <c r="H60" s="1601">
        <v>2039</v>
      </c>
      <c r="I60" s="1602">
        <v>0.05</v>
      </c>
      <c r="J60" s="1600">
        <v>6</v>
      </c>
      <c r="K60" s="1792"/>
      <c r="L60" s="1810">
        <f>IF(L$5=$H60,-$E60,0)</f>
        <v>0</v>
      </c>
      <c r="M60" s="1791">
        <f>IF(M$5=$H60,-$E60,0)</f>
        <v>0</v>
      </c>
      <c r="N60" s="1808">
        <f>IF(R60=0,0,IF(R60&lt;0,IF($J60=3,R60,IF($J60=2,R60,IF($J60=1,R60,0)))))</f>
        <v>0</v>
      </c>
      <c r="O60" s="1807">
        <f>IF(R60=0,0,IF(R60&lt;0,IF($J60=6,R60,IF($J60=5,R60,IF($J60=4,R60,0)))))</f>
        <v>0</v>
      </c>
      <c r="P60" s="1807">
        <f>IF(R60=0,0,IF(R60&lt;0,IF($J60=9,R60,IF($J60=8,R60,IF($J60=7,R60,0)))))</f>
        <v>0</v>
      </c>
      <c r="Q60" s="1806">
        <f>IF(R60=0,0,IF(R60&lt;0,IF($J60=12,R60,IF($J60=11,R60,IF($J60=10,R60,0)))))</f>
        <v>0</v>
      </c>
      <c r="R60" s="1791">
        <f>IF(R$5=$H60,-$E60,0)</f>
        <v>0</v>
      </c>
      <c r="S60" s="1808">
        <f>IF(W60=0,0,IF(W60&lt;0,IF($J60=3,W60,IF($J60=2,W60,IF($J60=1,W60,0)))))</f>
        <v>0</v>
      </c>
      <c r="T60" s="1807">
        <f>IF(W60=0,0,IF(W60&lt;0,IF($J60=6,W60,IF($J60=5,W60,IF($J60=4,W60,0)))))</f>
        <v>0</v>
      </c>
      <c r="U60" s="1807">
        <f>IF(W60=0,0,IF(W60&lt;0,IF($J60=9,W60,IF($J60=8,W60,IF($J60=7,W60,0)))))</f>
        <v>0</v>
      </c>
      <c r="V60" s="1806">
        <f>IF(W60=0,0,IF(W60&lt;0,IF($J60=12,W60,IF($J60=11,W60,IF($J60=10,W60,0)))))</f>
        <v>0</v>
      </c>
      <c r="W60" s="1791">
        <f>IF(W$5=$H60,-$E60,0)</f>
        <v>0</v>
      </c>
      <c r="X60" s="1808">
        <f>IF(AB60=0,0,IF(AB60&lt;0,IF($J60=3,AB60,IF($J60=2,AB60,IF($J60=1,AB60,0)))))</f>
        <v>0</v>
      </c>
      <c r="Y60" s="1807">
        <f>IF(AB60=0,0,IF(AB60&lt;0,IF($J60=6,AB60,IF($J60=5,AB60,IF($J60=4,AB60,0)))))</f>
        <v>0</v>
      </c>
      <c r="Z60" s="1807">
        <f>IF(AB60=0,0,IF(AB60&lt;0,IF($J60=9,AB60,IF($J60=8,AB60,IF($J60=7,AB60,0)))))</f>
        <v>0</v>
      </c>
      <c r="AA60" s="1806">
        <f>IF(AB60=0,0,IF(AB60&lt;0,IF($J60=12,AB60,IF($J60=11,AB60,IF($J60=10,AB60,0)))))</f>
        <v>0</v>
      </c>
      <c r="AB60" s="1791">
        <f>IF(AB$5=$H60,-$E60,0)</f>
        <v>0</v>
      </c>
      <c r="AC60" s="1808">
        <f>IF(AG60=0,0,IF(AG60&lt;0,IF($J60=3,AG60,IF($J60=2,AG60,IF($J60=1,AG60,0)))))</f>
        <v>0</v>
      </c>
      <c r="AD60" s="1807">
        <f>IF(AG60=0,0,IF(AG60&lt;0,IF($J60=6,AG60,IF($J60=5,AG60,IF($J60=4,AG60,0)))))</f>
        <v>0</v>
      </c>
      <c r="AE60" s="1807">
        <f>IF(AG60=0,0,IF(AG60&lt;0,IF($J60=9,AG60,IF($J60=8,AG60,IF($J60=7,AG60,0)))))</f>
        <v>0</v>
      </c>
      <c r="AF60" s="1806">
        <f>IF(AG60=0,0,IF(AG60&lt;0,IF($J60=12,AG60,IF($J60=11,AG60,IF($J60=10,AG60,0)))))</f>
        <v>0</v>
      </c>
      <c r="AG60" s="1791">
        <f>IF(AG$5=$H60,-$E60,0)</f>
        <v>0</v>
      </c>
      <c r="AH60" s="1808">
        <f>IF(AL60=0,0,IF(AL60&lt;0,IF($J60=3,AL60,IF($J60=2,AL60,IF($J60=1,AL60,0)))))</f>
        <v>0</v>
      </c>
      <c r="AI60" s="1807">
        <f>IF(AL60=0,0,IF(AL60&lt;0,IF($J60=6,AL60,IF($J60=5,AL60,IF($J60=4,AL60,0)))))</f>
        <v>0</v>
      </c>
      <c r="AJ60" s="1807">
        <f>IF(AL60=0,0,IF(AL60&lt;0,IF($J60=9,AL60,IF($J60=8,AL60,IF($J60=7,AL60,0)))))</f>
        <v>0</v>
      </c>
      <c r="AK60" s="1806">
        <f>IF(AL60=0,0,IF(AL60&lt;0,IF($J60=12,AL60,IF($J60=11,AL60,IF($J60=10,AL60,0)))))</f>
        <v>0</v>
      </c>
      <c r="AL60" s="1791">
        <f>IF(AL$5=$H60,-$E60,0)</f>
        <v>0</v>
      </c>
      <c r="AM60" s="1808">
        <f>IF(AQ60=0,0,IF(AQ60&lt;0,IF($J60=3,AQ60,IF($J60=2,AQ60,IF($J60=1,AQ60,0)))))</f>
        <v>0</v>
      </c>
      <c r="AN60" s="1807">
        <f>IF(AQ60=0,0,IF(AQ60&lt;0,IF($J60=6,AQ60,IF($J60=5,AQ60,IF($J60=4,AQ60,0)))))</f>
        <v>0</v>
      </c>
      <c r="AO60" s="1807">
        <f>IF(AQ60=0,0,IF(AQ60&lt;0,IF($J60=9,AQ60,IF($J60=8,AQ60,IF($J60=7,AQ60,0)))))</f>
        <v>0</v>
      </c>
      <c r="AP60" s="1806">
        <f>IF(AQ60=0,0,IF(AQ60&lt;0,IF($J60=12,AQ60,IF($J60=11,AQ60,IF($J60=10,AQ60,0)))))</f>
        <v>0</v>
      </c>
      <c r="AQ60" s="1791">
        <f>IF(AQ$5=$H60,-$E60,0)</f>
        <v>0</v>
      </c>
      <c r="AR60" s="1808">
        <f>IF(AV60=0,0,IF(AV60&lt;0,IF($J60=3,AV60,IF($J60=2,AV60,IF($J60=1,AV60,0)))))</f>
        <v>0</v>
      </c>
      <c r="AS60" s="1807">
        <f>IF(AV60=0,0,IF(AV60&lt;0,IF($J60=6,AV60,IF($J60=5,AV60,IF($J60=4,AV60,0)))))</f>
        <v>0</v>
      </c>
      <c r="AT60" s="1807">
        <f>IF(AV60=0,0,IF(AV60&lt;0,IF($J60=9,AV60,IF($J60=8,AV60,IF($J60=7,AV60,0)))))</f>
        <v>0</v>
      </c>
      <c r="AU60" s="1806">
        <f>IF(AV60=0,0,IF(AV60&lt;0,IF($J60=12,AV60,IF($J60=11,AV60,IF($J60=10,AV60,0)))))</f>
        <v>0</v>
      </c>
      <c r="AV60" s="1791">
        <f>IF(AV$5=$H60,-$E60,0)</f>
        <v>0</v>
      </c>
      <c r="AW60" s="1808">
        <f>IF(BA60=0,0,IF(BA60&lt;0,IF($J60=3,BA60,IF($J60=2,BA60,IF($J60=1,BA60,0)))))</f>
        <v>0</v>
      </c>
      <c r="AX60" s="1807">
        <f>IF(BA60=0,0,IF(BA60&lt;0,IF($J60=6,BA60,IF($J60=5,BA60,IF($J60=4,BA60,0)))))</f>
        <v>0</v>
      </c>
      <c r="AY60" s="1807">
        <f>IF(BA60=0,0,IF(BA60&lt;0,IF($J60=9,BA60,IF($J60=8,BA60,IF($J60=7,BA60,0)))))</f>
        <v>0</v>
      </c>
      <c r="AZ60" s="1806">
        <f>IF(BA60=0,0,IF(BA60&lt;0,IF($J60=12,BA60,IF($J60=11,BA60,IF($J60=10,BA60,0)))))</f>
        <v>0</v>
      </c>
      <c r="BA60" s="1791">
        <f>IF(BA$5=$H60,-$E60,0)</f>
        <v>0</v>
      </c>
      <c r="BB60" s="1808">
        <f>IF(BF60=0,0,IF(BF60&lt;0,IF($J60=3,BF60,IF($J60=2,BF60,IF($J60=1,BF60,0)))))</f>
        <v>0</v>
      </c>
      <c r="BC60" s="1807">
        <f>IF(BF60=0,0,IF(BF60&lt;0,IF($J60=6,BF60,IF($J60=5,BF60,IF($J60=4,BF60,0)))))</f>
        <v>0</v>
      </c>
      <c r="BD60" s="1807">
        <f>IF(BF60=0,0,IF(BF60&lt;0,IF($J60=9,BF60,IF($J60=8,BF60,IF($J60=7,BF60,0)))))</f>
        <v>0</v>
      </c>
      <c r="BE60" s="1806">
        <f>IF(BF60=0,0,IF(BF60&lt;0,IF($J60=12,BF60,IF($J60=11,BF60,IF($J60=10,BF60,0)))))</f>
        <v>0</v>
      </c>
      <c r="BF60" s="1791">
        <f>IF(BF$5=$H60,-$E60,0)</f>
        <v>0</v>
      </c>
      <c r="BG60" s="1808">
        <f>IF(BK60=0,0,IF(BK60&lt;0,IF($J60=3,BK60,IF($J60=2,BK60,IF($J60=1,BK60,0)))))</f>
        <v>0</v>
      </c>
      <c r="BH60" s="1807">
        <f>IF(BK60=0,0,IF(BK60&lt;0,IF($J60=6,BK60,IF($J60=5,BK60,IF($J60=4,BK60,0)))))</f>
        <v>0</v>
      </c>
      <c r="BI60" s="1807">
        <f>IF(BK60=0,0,IF(BK60&lt;0,IF($J60=9,BK60,IF($J60=8,BK60,IF($J60=7,BK60,0)))))</f>
        <v>0</v>
      </c>
      <c r="BJ60" s="1806">
        <f>IF(BK60=0,0,IF(BK60&lt;0,IF($J60=12,BK60,IF($J60=11,BK60,IF($J60=10,BK60,0)))))</f>
        <v>0</v>
      </c>
      <c r="BK60" s="1791">
        <f>IF(BK$5=$H60,-$E60,0)</f>
        <v>0</v>
      </c>
      <c r="BL60" s="1808">
        <f>IF(BP60=0,0,IF(BP60&lt;0,IF($J60=3,BP60,IF($J60=2,BP60,IF($J60=1,BP60,0)))))</f>
        <v>0</v>
      </c>
      <c r="BM60" s="1807">
        <f>IF(BP60=0,0,IF(BP60&lt;0,IF($J60=6,BP60,IF($J60=5,BP60,IF($J60=4,BP60,0)))))</f>
        <v>0</v>
      </c>
      <c r="BN60" s="1807">
        <f>IF(BP60=0,0,IF(BP60&lt;0,IF($J60=9,BP60,IF($J60=8,BP60,IF($J60=7,BP60,0)))))</f>
        <v>0</v>
      </c>
      <c r="BO60" s="1806">
        <f>IF(BP60=0,0,IF(BP60&lt;0,IF($J60=12,BP60,IF($J60=11,BP60,IF($J60=10,BP60,0)))))</f>
        <v>0</v>
      </c>
      <c r="BP60" s="1791">
        <f>IF(BP$5=$H60,-$E60,0)</f>
        <v>0</v>
      </c>
      <c r="BQ60" s="1827"/>
      <c r="BR60" s="1991">
        <f>IF(AND(BQ60&lt;&gt;0,BQ$5=$H60),-$I60*$E60-BQ60,IF(BR$5=$H60,-$I60*$E60*(12-$J60+1)/12,0))</f>
        <v>0</v>
      </c>
      <c r="BS60" s="1991">
        <f>IF(AND(BR60&lt;&gt;0,BR$5=$H60),-$I60*$E60-BR60,IF(BS$5=$H60,-$I60*$E60*(12-$J60+1)/12,0))</f>
        <v>0</v>
      </c>
      <c r="BT60" s="1992">
        <f>IF($H60&lt;&gt;BX$5,0,IF(BX60&lt;0,IF($J60=1,-$E60*$I60/12*3,IF($J60=2,-$E60*$I60/12*2,IF($J60=3,-$E60*$I60/12*1,0)))))+IF(BS$5&lt;&gt;$H60,0,IF(BS60&lt;0,IF($J60=1,-$E60*$I60/12*0,IF($J60=2,-$E60*$I60/12*1,IF($J60=3,-$E60*$I60/12*2,IF($J60&gt;=4,-$E60*$I60/12*3,0))))))</f>
        <v>0</v>
      </c>
      <c r="BU60" s="1992">
        <f>IF($H60&lt;&gt;BX$5,0,IF(BX60&lt;0,IF(OR($J60=1,$J60=2,$J60=3,$J60=4),-$E60*$I60/12*3,IF($J60=5,-$E60*$I60/12*2,IF($J60=6,-$E60*$I60/12*1,0)))))+IF(BS$5&lt;&gt;$H60,0,IF(BS60&lt;0,IF($J60=4,-$E60*$I60/12*0,IF($J60=5,-$E60*$I60/12*1,IF($J60=6,-$E60*$I60/12*2,IF($J60&gt;=7,-$E60*$I60/12*3,0))))))</f>
        <v>0</v>
      </c>
      <c r="BV60" s="1992">
        <f>IF($H60&lt;&gt;BX$5,0,IF(BX60&lt;0,IF(OR($J60=1,$J60=2,$J60=3,$J60=4,$J60=5,$J60=6,$J60=7),-$E60*$I60/12*3,IF($J60=8,-$E60*$I60/12*2,IF($J60=9,-$E60*$I60/12*1,0)))))+IF(BS$5&lt;&gt;$H60,0,IF(BS60&lt;0,IF($J60=7,-$E60*$I60/12*0,IF($J60=8,-$E60*$I60/12*1,IF($J60=9,-$E60*$I60/12*2,IF($J60&gt;=10,-$E60*$I60/12*3,0))))))</f>
        <v>0</v>
      </c>
      <c r="BW60" s="1992">
        <f>IF($H60&lt;&gt;BX$5,0,IF(BX60&lt;0,IF(OR($J60=1,$J60=2,$J60=3,$J60=4,$J60=5,$J60=6,$J60=7,$J60=8,$J60=9,$J60=10),-$E60*$I60/12*3,IF($J60=11,-$E60*$I60/12*2,IF($J60=12,-$E60*$I60/12*1,0)))))+IF(BS$5&lt;&gt;$H60,0,IF(BS60&lt;0,IF($J60=10,-$E60*$I60/12*0,IF($J60=11,-$E60*$I60/12*1,IF($J60=12,-$E60*$I60/12*2,0)))))</f>
        <v>0</v>
      </c>
      <c r="BX60" s="1810">
        <f>IF(AND(BS60&lt;&gt;0,BS$5=$H60),-$I60*$E60-BS60,IF(BX$5=$H60,-$I60*$E60*(12-$J60+1)/12,0))</f>
        <v>0</v>
      </c>
      <c r="BY60" s="1807">
        <f>IF($H60&lt;&gt;CC$5,0,IF(CC60&lt;0,IF($J60=1,-$E60*$I60/12*3,IF($J60=2,-$E60*$I60/12*2,IF($J60=3,-$E60*$I60/12*1,0)))))+IF(BX$5&lt;&gt;$H60,0,IF(BX60&lt;0,IF($J60=1,-$E60*$I60/12*0,IF($J60=2,-$E60*$I60/12*1,IF($J60=3,-$E60*$I60/12*2,IF($J60&gt;=4,-$E60*$I60/12*3,0))))))</f>
        <v>0</v>
      </c>
      <c r="BZ60" s="1807">
        <f>IF($H60&lt;&gt;CC$5,0,IF(CC60&lt;0,IF(OR($J60=1,$J60=2,$J60=3,$J60=4),-$E60*$I60/12*3,IF($J60=5,-$E60*$I60/12*2,IF($J60=6,-$E60*$I60/12*1,0)))))+IF(BX$5&lt;&gt;$H60,0,IF(BX60&lt;0,IF($J60=4,-$E60*$I60/12*0,IF($J60=5,-$E60*$I60/12*1,IF($J60=6,-$E60*$I60/12*2,IF($J60&gt;=7,-$E60*$I60/12*3,0))))))</f>
        <v>0</v>
      </c>
      <c r="CA60" s="1807">
        <f>IF($H60&lt;&gt;CC$5,0,IF(CC60&lt;0,IF(OR($J60=1,$J60=2,$J60=3,$J60=4,$J60=5,$J60=6,$J60=7),-$E60*$I60/12*3,IF($J60=8,-$E60*$I60/12*2,IF($J60=9,-$E60*$I60/12*1,0)))))+IF(BX$5&lt;&gt;$H60,0,IF(BX60&lt;0,IF($J60=7,-$E60*$I60/12*0,IF($J60=8,-$E60*$I60/12*1,IF($J60=9,-$E60*$I60/12*2,IF($J60&gt;=10,-$E60*$I60/12*3,0))))))</f>
        <v>0</v>
      </c>
      <c r="CB60" s="1806">
        <f>IF($H60&lt;&gt;CC$5,0,IF(CC60&lt;0,IF(OR($J60=1,$J60=2,$J60=3,$J60=4,$J60=5,$J60=6,$J60=7,$J60=8,$J60=9,$J60=10),-$E60*$I60/12*3,IF($J60=11,-$E60*$I60/12*2,IF($J60=12,-$E60*$I60/12*1,0)))))+IF(BX$5&lt;&gt;$H60,0,IF(BX60&lt;0,IF($J60=10,-$E60*$I60/12*0,IF($J60=11,-$E60*$I60/12*1,IF($J60=12,-$E60*$I60/12*2,0)))))</f>
        <v>0</v>
      </c>
      <c r="CC60" s="1791">
        <f>IF(AND(BX60&lt;&gt;0,BX$5=$H60),-$I60*$E60-BX60,IF(CC$5=$H60,-$I60*$E60*(12-$J60+1)/12,0))</f>
        <v>0</v>
      </c>
      <c r="CD60" s="1808">
        <f>IF($H60&lt;&gt;CH$5,0,IF(CH60&lt;0,IF($J60=1,-$E60*$I60/12*3,IF($J60=2,-$E60*$I60/12*2,IF($J60=3,-$E60*$I60/12*1,0)))))+IF(CC$5&lt;&gt;$H60,0,IF(CC60&lt;0,IF($J60=1,-$E60*$I60/12*0,IF($J60=2,-$E60*$I60/12*1,IF($J60=3,-$E60*$I60/12*2,IF($J60&gt;=4,-$E60*$I60/12*3,0))))))</f>
        <v>0</v>
      </c>
      <c r="CE60" s="1807">
        <f>IF($H60&lt;&gt;CH$5,0,IF(CH60&lt;0,IF(OR($J60=1,$J60=2,$J60=3,$J60=4),-$E60*$I60/12*3,IF($J60=5,-$E60*$I60/12*2,IF($J60=6,-$E60*$I60/12*1,0)))))+IF(CC$5&lt;&gt;$H60,0,IF(CC60&lt;0,IF($J60=4,-$E60*$I60/12*0,IF($J60=5,-$E60*$I60/12*1,IF($J60=6,-$E60*$I60/12*2,IF($J60&gt;=7,-$E60*$I60/12*3,0))))))</f>
        <v>0</v>
      </c>
      <c r="CF60" s="1807">
        <f>IF($H60&lt;&gt;CH$5,0,IF(CH60&lt;0,IF(OR($J60=1,$J60=2,$J60=3,$J60=4,$J60=5,$J60=6,$J60=7),-$E60*$I60/12*3,IF($J60=8,-$E60*$I60/12*2,IF($J60=9,-$E60*$I60/12*1,0)))))+IF(CC$5&lt;&gt;$H60,0,IF(CC60&lt;0,IF($J60=7,-$E60*$I60/12*0,IF($J60=8,-$E60*$I60/12*1,IF($J60=9,-$E60*$I60/12*2,IF($J60&gt;=10,-$E60*$I60/12*3,0))))))</f>
        <v>0</v>
      </c>
      <c r="CG60" s="1806">
        <f>IF($H60&lt;&gt;CH$5,0,IF(CH60&lt;0,IF(OR($J60=1,$J60=2,$J60=3,$J60=4,$J60=5,$J60=6,$J60=7,$J60=8,$J60=9,$J60=10),-$E60*$I60/12*3,IF($J60=11,-$E60*$I60/12*2,IF($J60=12,-$E60*$I60/12*1,0)))))+IF(CC$5&lt;&gt;$H60,0,IF(CC60&lt;0,IF($J60=10,-$E60*$I60/12*0,IF($J60=11,-$E60*$I60/12*1,IF($J60=12,-$E60*$I60/12*2,0)))))</f>
        <v>0</v>
      </c>
      <c r="CH60" s="1791">
        <f>IF(AND(CC60&lt;&gt;0,CC$5=$H60),-$I60*$E60-CC60,IF(CH$5=$H60,-$I60*$E60*(12-$J60+1)/12,0))</f>
        <v>0</v>
      </c>
      <c r="CI60" s="1808">
        <f>IF($H60&lt;&gt;CM$5,0,IF(CM60&lt;0,IF($J60=1,-$E60*$I60/12*3,IF($J60=2,-$E60*$I60/12*2,IF($J60=3,-$E60*$I60/12*1,0)))))+IF(CH$5&lt;&gt;$H60,0,IF(CH60&lt;0,IF($J60=1,-$E60*$I60/12*0,IF($J60=2,-$E60*$I60/12*1,IF($J60=3,-$E60*$I60/12*2,IF($J60&gt;=4,-$E60*$I60/12*3,0))))))</f>
        <v>0</v>
      </c>
      <c r="CJ60" s="1807">
        <f>IF($H60&lt;&gt;CM$5,0,IF(CM60&lt;0,IF(OR($J60=1,$J60=2,$J60=3,$J60=4),-$E60*$I60/12*3,IF($J60=5,-$E60*$I60/12*2,IF($J60=6,-$E60*$I60/12*1,0)))))+IF(CH$5&lt;&gt;$H60,0,IF(CH60&lt;0,IF($J60=4,-$E60*$I60/12*0,IF($J60=5,-$E60*$I60/12*1,IF($J60=6,-$E60*$I60/12*2,IF($J60&gt;=7,-$E60*$I60/12*3,0))))))</f>
        <v>0</v>
      </c>
      <c r="CK60" s="1807">
        <f>IF($H60&lt;&gt;CM$5,0,IF(CM60&lt;0,IF(OR($J60=1,$J60=2,$J60=3,$J60=4,$J60=5,$J60=6,$J60=7),-$E60*$I60/12*3,IF($J60=8,-$E60*$I60/12*2,IF($J60=9,-$E60*$I60/12*1,0)))))+IF(CH$5&lt;&gt;$H60,0,IF(CH60&lt;0,IF($J60=7,-$E60*$I60/12*0,IF($J60=8,-$E60*$I60/12*1,IF($J60=9,-$E60*$I60/12*2,IF($J60&gt;=10,-$E60*$I60/12*3,0))))))</f>
        <v>0</v>
      </c>
      <c r="CL60" s="1806">
        <f>IF($H60&lt;&gt;CM$5,0,IF(CM60&lt;0,IF(OR($J60=1,$J60=2,$J60=3,$J60=4,$J60=5,$J60=6,$J60=7,$J60=8,$J60=9,$J60=10),-$E60*$I60/12*3,IF($J60=11,-$E60*$I60/12*2,IF($J60=12,-$E60*$I60/12*1,0)))))+IF(CH$5&lt;&gt;$H60,0,IF(CH60&lt;0,IF($J60=10,-$E60*$I60/12*0,IF($J60=11,-$E60*$I60/12*1,IF($J60=12,-$E60*$I60/12*2,0)))))</f>
        <v>0</v>
      </c>
      <c r="CM60" s="1791">
        <f>IF(AND(CH60&lt;&gt;0,CH$5=$H60),-$I60*$E60-CH60,IF(CM$5=$H60,-$I60*$E60*(12-$J60+1)/12,0))</f>
        <v>0</v>
      </c>
      <c r="CN60" s="1808">
        <f>IF($H60&lt;&gt;CR$5,0,IF(CR60&lt;0,IF($J60=1,-$E60*$I60/12*3,IF($J60=2,-$E60*$I60/12*2,IF($J60=3,-$E60*$I60/12*1,0)))))+IF(CM$5&lt;&gt;$H60,0,IF(CM60&lt;0,IF($J60=1,-$E60*$I60/12*0,IF($J60=2,-$E60*$I60/12*1,IF($J60=3,-$E60*$I60/12*2,IF($J60&gt;=4,-$E60*$I60/12*3,0))))))</f>
        <v>0</v>
      </c>
      <c r="CO60" s="1807">
        <f>IF($H60&lt;&gt;CR$5,0,IF(CR60&lt;0,IF(OR($J60=1,$J60=2,$J60=3,$J60=4),-$E60*$I60/12*3,IF($J60=5,-$E60*$I60/12*2,IF($J60=6,-$E60*$I60/12*1,0)))))+IF(CM$5&lt;&gt;$H60,0,IF(CM60&lt;0,IF($J60=4,-$E60*$I60/12*0,IF($J60=5,-$E60*$I60/12*1,IF($J60=6,-$E60*$I60/12*2,IF($J60&gt;=7,-$E60*$I60/12*3,0))))))</f>
        <v>0</v>
      </c>
      <c r="CP60" s="1807">
        <f>IF($H60&lt;&gt;CR$5,0,IF(CR60&lt;0,IF(OR($J60=1,$J60=2,$J60=3,$J60=4,$J60=5,$J60=6,$J60=7),-$E60*$I60/12*3,IF($J60=8,-$E60*$I60/12*2,IF($J60=9,-$E60*$I60/12*1,0)))))+IF(CM$5&lt;&gt;$H60,0,IF(CM60&lt;0,IF($J60=7,-$E60*$I60/12*0,IF($J60=8,-$E60*$I60/12*1,IF($J60=9,-$E60*$I60/12*2,IF($J60&gt;=10,-$E60*$I60/12*3,0))))))</f>
        <v>0</v>
      </c>
      <c r="CQ60" s="1806">
        <f>IF($H60&lt;&gt;CR$5,0,IF(CR60&lt;0,IF(OR($J60=1,$J60=2,$J60=3,$J60=4,$J60=5,$J60=6,$J60=7,$J60=8,$J60=9,$J60=10),-$E60*$I60/12*3,IF($J60=11,-$E60*$I60/12*2,IF($J60=12,-$E60*$I60/12*1,0)))))+IF(CM$5&lt;&gt;$H60,0,IF(CM60&lt;0,IF($J60=10,-$E60*$I60/12*0,IF($J60=11,-$E60*$I60/12*1,IF($J60=12,-$E60*$I60/12*2,0)))))</f>
        <v>0</v>
      </c>
      <c r="CR60" s="1791">
        <f>IF(AND(CM60&lt;&gt;0,CM$5=$H60),-$I60*$E60-CM60,IF(CR$5=$H60,-$I60*$E60*(12-$J60+1)/12,0))</f>
        <v>0</v>
      </c>
      <c r="CS60" s="1808">
        <f>IF($H60&lt;&gt;CW$5,0,IF(CW60&lt;0,IF($J60=1,-$E60*$I60/12*3,IF($J60=2,-$E60*$I60/12*2,IF($J60=3,-$E60*$I60/12*1,0)))))+IF(CR$5&lt;&gt;$H60,0,IF(CR60&lt;0,IF($J60=1,-$E60*$I60/12*0,IF($J60=2,-$E60*$I60/12*1,IF($J60=3,-$E60*$I60/12*2,IF($J60&gt;=4,-$E60*$I60/12*3,0))))))</f>
        <v>0</v>
      </c>
      <c r="CT60" s="1807">
        <f>IF($H60&lt;&gt;CW$5,0,IF(CW60&lt;0,IF(OR($J60=1,$J60=2,$J60=3,$J60=4),-$E60*$I60/12*3,IF($J60=5,-$E60*$I60/12*2,IF($J60=6,-$E60*$I60/12*1,0)))))+IF(CR$5&lt;&gt;$H60,0,IF(CR60&lt;0,IF($J60=4,-$E60*$I60/12*0,IF($J60=5,-$E60*$I60/12*1,IF($J60=6,-$E60*$I60/12*2,IF($J60&gt;=7,-$E60*$I60/12*3,0))))))</f>
        <v>0</v>
      </c>
      <c r="CU60" s="1807">
        <f>IF($H60&lt;&gt;CW$5,0,IF(CW60&lt;0,IF(OR($J60=1,$J60=2,$J60=3,$J60=4,$J60=5,$J60=6,$J60=7),-$E60*$I60/12*3,IF($J60=8,-$E60*$I60/12*2,IF($J60=9,-$E60*$I60/12*1,0)))))+IF(CR$5&lt;&gt;$H60,0,IF(CR60&lt;0,IF($J60=7,-$E60*$I60/12*0,IF($J60=8,-$E60*$I60/12*1,IF($J60=9,-$E60*$I60/12*2,IF($J60&gt;=10,-$E60*$I60/12*3,0))))))</f>
        <v>0</v>
      </c>
      <c r="CV60" s="1806">
        <f>IF($H60&lt;&gt;CW$5,0,IF(CW60&lt;0,IF(OR($J60=1,$J60=2,$J60=3,$J60=4,$J60=5,$J60=6,$J60=7,$J60=8,$J60=9,$J60=10),-$E60*$I60/12*3,IF($J60=11,-$E60*$I60/12*2,IF($J60=12,-$E60*$I60/12*1,0)))))+IF(CR$5&lt;&gt;$H60,0,IF(CR60&lt;0,IF($J60=10,-$E60*$I60/12*0,IF($J60=11,-$E60*$I60/12*1,IF($J60=12,-$E60*$I60/12*2,0)))))</f>
        <v>0</v>
      </c>
      <c r="CW60" s="1791">
        <f>IF(AND(CR60&lt;&gt;0,CR$5=$H60),-$I60*$E60-CR60,IF(CW$5=$H60,-$I60*$E60*(12-$J60+1)/12,0))</f>
        <v>0</v>
      </c>
      <c r="CX60" s="1808">
        <f>IF($H60&lt;&gt;DB$5,0,IF(DB60&lt;0,IF($J60=1,-$E60*$I60/12*3,IF($J60=2,-$E60*$I60/12*2,IF($J60=3,-$E60*$I60/12*1,0)))))+IF(CW$5&lt;&gt;$H60,0,IF(CW60&lt;0,IF($J60=1,-$E60*$I60/12*0,IF($J60=2,-$E60*$I60/12*1,IF($J60=3,-$E60*$I60/12*2,IF($J60&gt;=4,-$E60*$I60/12*3,0))))))</f>
        <v>0</v>
      </c>
      <c r="CY60" s="1807">
        <f>IF($H60&lt;&gt;DB$5,0,IF(DB60&lt;0,IF(OR($J60=1,$J60=2,$J60=3,$J60=4),-$E60*$I60/12*3,IF($J60=5,-$E60*$I60/12*2,IF($J60=6,-$E60*$I60/12*1,0)))))+IF(CW$5&lt;&gt;$H60,0,IF(CW60&lt;0,IF($J60=4,-$E60*$I60/12*0,IF($J60=5,-$E60*$I60/12*1,IF($J60=6,-$E60*$I60/12*2,IF($J60&gt;=7,-$E60*$I60/12*3,0))))))</f>
        <v>0</v>
      </c>
      <c r="CZ60" s="1807">
        <f>IF($H60&lt;&gt;DB$5,0,IF(DB60&lt;0,IF(OR($J60=1,$J60=2,$J60=3,$J60=4,$J60=5,$J60=6,$J60=7),-$E60*$I60/12*3,IF($J60=8,-$E60*$I60/12*2,IF($J60=9,-$E60*$I60/12*1,0)))))+IF(CW$5&lt;&gt;$H60,0,IF(CW60&lt;0,IF($J60=7,-$E60*$I60/12*0,IF($J60=8,-$E60*$I60/12*1,IF($J60=9,-$E60*$I60/12*2,IF($J60&gt;=10,-$E60*$I60/12*3,0))))))</f>
        <v>0</v>
      </c>
      <c r="DA60" s="1806">
        <f>IF($H60&lt;&gt;DB$5,0,IF(DB60&lt;0,IF(OR($J60=1,$J60=2,$J60=3,$J60=4,$J60=5,$J60=6,$J60=7,$J60=8,$J60=9,$J60=10),-$E60*$I60/12*3,IF($J60=11,-$E60*$I60/12*2,IF($J60=12,-$E60*$I60/12*1,0)))))+IF(CW$5&lt;&gt;$H60,0,IF(CW60&lt;0,IF($J60=10,-$E60*$I60/12*0,IF($J60=11,-$E60*$I60/12*1,IF($J60=12,-$E60*$I60/12*2,0)))))</f>
        <v>0</v>
      </c>
      <c r="DB60" s="1791">
        <f>IF(AND(CW60&lt;&gt;0,CW$5=$H60),-$I60*$E60-CW60,IF(DB$5=$H60,-$I60*$E60*(12-$J60+1)/12,0))</f>
        <v>0</v>
      </c>
      <c r="DC60" s="1808">
        <f>IF($H60&lt;&gt;DG$5,0,IF(DG60&lt;0,IF($J60=1,-$E60*$I60/12*3,IF($J60=2,-$E60*$I60/12*2,IF($J60=3,-$E60*$I60/12*1,0)))))+IF(DB$5&lt;&gt;$H60,0,IF(DB60&lt;0,IF($J60=1,-$E60*$I60/12*0,IF($J60=2,-$E60*$I60/12*1,IF($J60=3,-$E60*$I60/12*2,IF($J60&gt;=4,-$E60*$I60/12*3,0))))))</f>
        <v>0</v>
      </c>
      <c r="DD60" s="1807">
        <f>IF($H60&lt;&gt;DG$5,0,IF(DG60&lt;0,IF(OR($J60=1,$J60=2,$J60=3,$J60=4),-$E60*$I60/12*3,IF($J60=5,-$E60*$I60/12*2,IF($J60=6,-$E60*$I60/12*1,0)))))+IF(DB$5&lt;&gt;$H60,0,IF(DB60&lt;0,IF($J60=4,-$E60*$I60/12*0,IF($J60=5,-$E60*$I60/12*1,IF($J60=6,-$E60*$I60/12*2,IF($J60&gt;=7,-$E60*$I60/12*3,0))))))</f>
        <v>0</v>
      </c>
      <c r="DE60" s="1807">
        <f>IF($H60&lt;&gt;DG$5,0,IF(DG60&lt;0,IF(OR($J60=1,$J60=2,$J60=3,$J60=4,$J60=5,$J60=6,$J60=7),-$E60*$I60/12*3,IF($J60=8,-$E60*$I60/12*2,IF($J60=9,-$E60*$I60/12*1,0)))))+IF(DB$5&lt;&gt;$H60,0,IF(DB60&lt;0,IF($J60=7,-$E60*$I60/12*0,IF($J60=8,-$E60*$I60/12*1,IF($J60=9,-$E60*$I60/12*2,IF($J60&gt;=10,-$E60*$I60/12*3,0))))))</f>
        <v>0</v>
      </c>
      <c r="DF60" s="1806">
        <f>IF($H60&lt;&gt;DG$5,0,IF(DG60&lt;0,IF(OR($J60=1,$J60=2,$J60=3,$J60=4,$J60=5,$J60=6,$J60=7,$J60=8,$J60=9,$J60=10),-$E60*$I60/12*3,IF($J60=11,-$E60*$I60/12*2,IF($J60=12,-$E60*$I60/12*1,0)))))+IF(DB$5&lt;&gt;$H60,0,IF(DB60&lt;0,IF($J60=10,-$E60*$I60/12*0,IF($J60=11,-$E60*$I60/12*1,IF($J60=12,-$E60*$I60/12*2,0)))))</f>
        <v>0</v>
      </c>
      <c r="DG60" s="1791">
        <f>IF(AND(DB60&lt;&gt;0,DB$5=$H60),-$I60*$E60-DB60,IF(DG$5=$H60,-$I60*$E60*(12-$J60+1)/12,0))</f>
        <v>0</v>
      </c>
      <c r="DH60" s="1808">
        <f>IF($H60&lt;&gt;DL$5,0,IF(DL60&lt;0,IF($J60=1,-$E60*$I60/12*3,IF($J60=2,-$E60*$I60/12*2,IF($J60=3,-$E60*$I60/12*1,0)))))+IF(DG$5&lt;&gt;$H60,0,IF(DG60&lt;0,IF($J60=1,-$E60*$I60/12*0,IF($J60=2,-$E60*$I60/12*1,IF($J60=3,-$E60*$I60/12*2,IF($J60&gt;=4,-$E60*$I60/12*3,0))))))</f>
        <v>0</v>
      </c>
      <c r="DI60" s="1807">
        <f>IF($H60&lt;&gt;DL$5,0,IF(DL60&lt;0,IF(OR($J60=1,$J60=2,$J60=3,$J60=4),-$E60*$I60/12*3,IF($J60=5,-$E60*$I60/12*2,IF($J60=6,-$E60*$I60/12*1,0)))))+IF(DG$5&lt;&gt;$H60,0,IF(DG60&lt;0,IF($J60=4,-$E60*$I60/12*0,IF($J60=5,-$E60*$I60/12*1,IF($J60=6,-$E60*$I60/12*2,IF($J60&gt;=7,-$E60*$I60/12*3,0))))))</f>
        <v>0</v>
      </c>
      <c r="DJ60" s="1807">
        <f>IF($H60&lt;&gt;DL$5,0,IF(DL60&lt;0,IF(OR($J60=1,$J60=2,$J60=3,$J60=4,$J60=5,$J60=6,$J60=7),-$E60*$I60/12*3,IF($J60=8,-$E60*$I60/12*2,IF($J60=9,-$E60*$I60/12*1,0)))))+IF(DG$5&lt;&gt;$H60,0,IF(DG60&lt;0,IF($J60=7,-$E60*$I60/12*0,IF($J60=8,-$E60*$I60/12*1,IF($J60=9,-$E60*$I60/12*2,IF($J60&gt;=10,-$E60*$I60/12*3,0))))))</f>
        <v>0</v>
      </c>
      <c r="DK60" s="1806">
        <f>IF($H60&lt;&gt;DL$5,0,IF(DL60&lt;0,IF(OR($J60=1,$J60=2,$J60=3,$J60=4,$J60=5,$J60=6,$J60=7,$J60=8,$J60=9,$J60=10),-$E60*$I60/12*3,IF($J60=11,-$E60*$I60/12*2,IF($J60=12,-$E60*$I60/12*1,0)))))+IF(DG$5&lt;&gt;$H60,0,IF(DG60&lt;0,IF($J60=10,-$E60*$I60/12*0,IF($J60=11,-$E60*$I60/12*1,IF($J60=12,-$E60*$I60/12*2,0)))))</f>
        <v>0</v>
      </c>
      <c r="DL60" s="1791">
        <f>IF(AND(DG60&lt;&gt;0,DG$5=$H60),-$I60*$E60-DG60,IF(DL$5=$H60,-$I60*$E60*(12-$J60+1)/12,0))</f>
        <v>0</v>
      </c>
      <c r="DM60" s="1808">
        <f>IF($H60&lt;&gt;DQ$5,0,IF(DQ60&lt;0,IF($J60=1,-$E60*$I60/12*3,IF($J60=2,-$E60*$I60/12*2,IF($J60=3,-$E60*$I60/12*1,0)))))+IF(DL$5&lt;&gt;$H60,0,IF(DL60&lt;0,IF($J60=1,-$E60*$I60/12*0,IF($J60=2,-$E60*$I60/12*1,IF($J60=3,-$E60*$I60/12*2,IF($J60&gt;=4,-$E60*$I60/12*3,0))))))</f>
        <v>0</v>
      </c>
      <c r="DN60" s="1807">
        <f>IF($H60&lt;&gt;DQ$5,0,IF(DQ60&lt;0,IF(OR($J60=1,$J60=2,$J60=3,$J60=4),-$E60*$I60/12*3,IF($J60=5,-$E60*$I60/12*2,IF($J60=6,-$E60*$I60/12*1,0)))))+IF(DL$5&lt;&gt;$H60,0,IF(DL60&lt;0,IF($J60=4,-$E60*$I60/12*0,IF($J60=5,-$E60*$I60/12*1,IF($J60=6,-$E60*$I60/12*2,IF($J60&gt;=7,-$E60*$I60/12*3,0))))))</f>
        <v>0</v>
      </c>
      <c r="DO60" s="1807">
        <f>IF($H60&lt;&gt;DQ$5,0,IF(DQ60&lt;0,IF(OR($J60=1,$J60=2,$J60=3,$J60=4,$J60=5,$J60=6,$J60=7),-$E60*$I60/12*3,IF($J60=8,-$E60*$I60/12*2,IF($J60=9,-$E60*$I60/12*1,0)))))+IF(DL$5&lt;&gt;$H60,0,IF(DL60&lt;0,IF($J60=7,-$E60*$I60/12*0,IF($J60=8,-$E60*$I60/12*1,IF($J60=9,-$E60*$I60/12*2,IF($J60&gt;=10,-$E60*$I60/12*3,0))))))</f>
        <v>0</v>
      </c>
      <c r="DP60" s="1806">
        <f>IF($H60&lt;&gt;DQ$5,0,IF(DQ60&lt;0,IF(OR($J60=1,$J60=2,$J60=3,$J60=4,$J60=5,$J60=6,$J60=7,$J60=8,$J60=9,$J60=10),-$E60*$I60/12*3,IF($J60=11,-$E60*$I60/12*2,IF($J60=12,-$E60*$I60/12*1,0)))))+IF(DL$5&lt;&gt;$H60,0,IF(DL60&lt;0,IF($J60=10,-$E60*$I60/12*0,IF($J60=11,-$E60*$I60/12*1,IF($J60=12,-$E60*$I60/12*2,0)))))</f>
        <v>0</v>
      </c>
      <c r="DQ60" s="1791">
        <f>IF(AND(DL60&lt;&gt;0,DL$5=$H60),-$I60*$E60-DL60,IF(DQ$5=$H60,-$I60*$E60*(12-$J60+1)/12,0))</f>
        <v>0</v>
      </c>
      <c r="DR60" s="1808">
        <f>IF($H60&lt;&gt;DV$5,0,IF(DV60&lt;0,IF($J60=1,-$E60*$I60/12*3,IF($J60=2,-$E60*$I60/12*2,IF($J60=3,-$E60*$I60/12*1,0)))))+IF(DQ$5&lt;&gt;$H60,0,IF(DQ60&lt;0,IF($J60=1,-$E60*$I60/12*0,IF($J60=2,-$E60*$I60/12*1,IF($J60=3,-$E60*$I60/12*2,IF($J60&gt;=4,-$E60*$I60/12*3,0))))))</f>
        <v>0</v>
      </c>
      <c r="DS60" s="1807">
        <f>IF($H60&lt;&gt;DV$5,0,IF(DV60&lt;0,IF(OR($J60=1,$J60=2,$J60=3,$J60=4),-$E60*$I60/12*3,IF($J60=5,-$E60*$I60/12*2,IF($J60=6,-$E60*$I60/12*1,0)))))+IF(DQ$5&lt;&gt;$H60,0,IF(DQ60&lt;0,IF($J60=4,-$E60*$I60/12*0,IF($J60=5,-$E60*$I60/12*1,IF($J60=6,-$E60*$I60/12*2,IF($J60&gt;=7,-$E60*$I60/12*3,0))))))</f>
        <v>0</v>
      </c>
      <c r="DT60" s="1807">
        <f>IF($H60&lt;&gt;DV$5,0,IF(DV60&lt;0,IF(OR($J60=1,$J60=2,$J60=3,$J60=4,$J60=5,$J60=6,$J60=7),-$E60*$I60/12*3,IF($J60=8,-$E60*$I60/12*2,IF($J60=9,-$E60*$I60/12*1,0)))))+IF(DQ$5&lt;&gt;$H60,0,IF(DQ60&lt;0,IF($J60=7,-$E60*$I60/12*0,IF($J60=8,-$E60*$I60/12*1,IF($J60=9,-$E60*$I60/12*2,IF($J60&gt;=10,-$E60*$I60/12*3,0))))))</f>
        <v>0</v>
      </c>
      <c r="DU60" s="1806">
        <f>IF($H60&lt;&gt;DV$5,0,IF(DV60&lt;0,IF(OR($J60=1,$J60=2,$J60=3,$J60=4,$J60=5,$J60=6,$J60=7,$J60=8,$J60=9,$J60=10),-$E60*$I60/12*3,IF($J60=11,-$E60*$I60/12*2,IF($J60=12,-$E60*$I60/12*1,0)))))+IF(DQ$5&lt;&gt;$H60,0,IF(DQ60&lt;0,IF($J60=10,-$E60*$I60/12*0,IF($J60=11,-$E60*$I60/12*1,IF($J60=12,-$E60*$I60/12*2,0)))))</f>
        <v>0</v>
      </c>
      <c r="DV60" s="1791">
        <f>IF(AND(DQ60&lt;&gt;0,DQ$5=$H60),-$I60*$E60-DQ60,IF(DV$5=$H60,-$I60*$E60*(12-$J60+1)/12,0))</f>
        <v>0</v>
      </c>
    </row>
    <row r="61" spans="1:126">
      <c r="A61" s="455"/>
      <c r="B61" s="455"/>
      <c r="C61" s="1364"/>
      <c r="D61" s="94"/>
      <c r="E61" s="455"/>
      <c r="F61" s="1597"/>
      <c r="G61" s="1597"/>
      <c r="H61" s="1597"/>
      <c r="I61" s="1598"/>
      <c r="J61" s="1599"/>
      <c r="K61" s="1792"/>
      <c r="L61" s="1810"/>
      <c r="M61" s="1791"/>
      <c r="N61" s="1808"/>
      <c r="O61" s="1807"/>
      <c r="P61" s="1807"/>
      <c r="Q61" s="1806"/>
      <c r="R61" s="1791"/>
      <c r="S61" s="1808"/>
      <c r="T61" s="1807"/>
      <c r="U61" s="1807"/>
      <c r="V61" s="1806"/>
      <c r="W61" s="1791"/>
      <c r="X61" s="1808"/>
      <c r="Y61" s="1807"/>
      <c r="Z61" s="1807"/>
      <c r="AA61" s="1806"/>
      <c r="AB61" s="1791"/>
      <c r="AC61" s="1808"/>
      <c r="AD61" s="1807"/>
      <c r="AE61" s="1807"/>
      <c r="AF61" s="1806"/>
      <c r="AG61" s="1791"/>
      <c r="AH61" s="1808"/>
      <c r="AI61" s="1807"/>
      <c r="AJ61" s="1807"/>
      <c r="AK61" s="1806"/>
      <c r="AL61" s="1791"/>
      <c r="AM61" s="1808"/>
      <c r="AN61" s="1807"/>
      <c r="AO61" s="1807"/>
      <c r="AP61" s="1806"/>
      <c r="AQ61" s="1791"/>
      <c r="AR61" s="1808"/>
      <c r="AS61" s="1807"/>
      <c r="AT61" s="1807"/>
      <c r="AU61" s="1806"/>
      <c r="AV61" s="1791"/>
      <c r="AW61" s="1808"/>
      <c r="AX61" s="1807"/>
      <c r="AY61" s="1807"/>
      <c r="AZ61" s="1806"/>
      <c r="BA61" s="1791"/>
      <c r="BB61" s="1808"/>
      <c r="BC61" s="1807"/>
      <c r="BD61" s="1807"/>
      <c r="BE61" s="1806"/>
      <c r="BF61" s="1791"/>
      <c r="BG61" s="1808"/>
      <c r="BH61" s="1807"/>
      <c r="BI61" s="1807"/>
      <c r="BJ61" s="1806"/>
      <c r="BK61" s="1791"/>
      <c r="BL61" s="1808"/>
      <c r="BM61" s="1807"/>
      <c r="BN61" s="1807"/>
      <c r="BO61" s="1806"/>
      <c r="BP61" s="1791"/>
      <c r="BQ61" s="1827"/>
      <c r="BR61" s="1991"/>
      <c r="BS61" s="1991"/>
      <c r="BT61" s="1992"/>
      <c r="BU61" s="1992"/>
      <c r="BV61" s="1992"/>
      <c r="BW61" s="1992"/>
      <c r="BX61" s="1810"/>
      <c r="BY61" s="1807"/>
      <c r="BZ61" s="1807"/>
      <c r="CA61" s="1807"/>
      <c r="CB61" s="1806"/>
      <c r="CC61" s="1791"/>
      <c r="CD61" s="1808"/>
      <c r="CE61" s="1807"/>
      <c r="CF61" s="1807"/>
      <c r="CG61" s="1806"/>
      <c r="CH61" s="1791"/>
      <c r="CI61" s="1808"/>
      <c r="CJ61" s="1807"/>
      <c r="CK61" s="1807"/>
      <c r="CL61" s="1806"/>
      <c r="CM61" s="1791"/>
      <c r="CN61" s="1808"/>
      <c r="CO61" s="1807"/>
      <c r="CP61" s="1807"/>
      <c r="CQ61" s="1806"/>
      <c r="CR61" s="1791"/>
      <c r="CS61" s="1808"/>
      <c r="CT61" s="1807"/>
      <c r="CU61" s="1807"/>
      <c r="CV61" s="1806"/>
      <c r="CW61" s="1791"/>
      <c r="CX61" s="1808"/>
      <c r="CY61" s="1807"/>
      <c r="CZ61" s="1807"/>
      <c r="DA61" s="1806"/>
      <c r="DB61" s="1791"/>
      <c r="DC61" s="1808"/>
      <c r="DD61" s="1807"/>
      <c r="DE61" s="1807"/>
      <c r="DF61" s="1806"/>
      <c r="DG61" s="1791"/>
      <c r="DH61" s="1808"/>
      <c r="DI61" s="1807"/>
      <c r="DJ61" s="1807"/>
      <c r="DK61" s="1806"/>
      <c r="DL61" s="1791"/>
      <c r="DM61" s="1808"/>
      <c r="DN61" s="1807"/>
      <c r="DO61" s="1807"/>
      <c r="DP61" s="1806"/>
      <c r="DQ61" s="1791"/>
      <c r="DR61" s="1808"/>
      <c r="DS61" s="1807"/>
      <c r="DT61" s="1807"/>
      <c r="DU61" s="1806"/>
      <c r="DV61" s="1791"/>
    </row>
    <row r="62" spans="1:126">
      <c r="A62" s="455"/>
      <c r="B62" s="455"/>
      <c r="C62" s="1365" t="s">
        <v>651</v>
      </c>
      <c r="D62" s="94"/>
      <c r="E62" s="455"/>
      <c r="F62" s="455"/>
      <c r="G62" s="455"/>
      <c r="H62" s="1597"/>
      <c r="I62" s="1598"/>
      <c r="J62" s="1599"/>
      <c r="K62" s="1792"/>
      <c r="L62" s="1810"/>
      <c r="M62" s="1791"/>
      <c r="N62" s="1808"/>
      <c r="O62" s="1807"/>
      <c r="P62" s="1807"/>
      <c r="Q62" s="1806"/>
      <c r="R62" s="1791"/>
      <c r="S62" s="1808"/>
      <c r="T62" s="1807"/>
      <c r="U62" s="1807"/>
      <c r="V62" s="1806"/>
      <c r="W62" s="1791"/>
      <c r="X62" s="1808"/>
      <c r="Y62" s="1807"/>
      <c r="Z62" s="1807"/>
      <c r="AA62" s="1806"/>
      <c r="AB62" s="1791"/>
      <c r="AC62" s="1808"/>
      <c r="AD62" s="1807"/>
      <c r="AE62" s="1807"/>
      <c r="AF62" s="1806"/>
      <c r="AG62" s="1791"/>
      <c r="AH62" s="1808"/>
      <c r="AI62" s="1807"/>
      <c r="AJ62" s="1807"/>
      <c r="AK62" s="1806"/>
      <c r="AL62" s="1791"/>
      <c r="AM62" s="1808"/>
      <c r="AN62" s="1807"/>
      <c r="AO62" s="1807"/>
      <c r="AP62" s="1806"/>
      <c r="AQ62" s="1791"/>
      <c r="AR62" s="1808"/>
      <c r="AS62" s="1807"/>
      <c r="AT62" s="1807"/>
      <c r="AU62" s="1806"/>
      <c r="AV62" s="1791"/>
      <c r="AW62" s="1808"/>
      <c r="AX62" s="1807"/>
      <c r="AY62" s="1807"/>
      <c r="AZ62" s="1806"/>
      <c r="BA62" s="1791"/>
      <c r="BB62" s="1808"/>
      <c r="BC62" s="1807"/>
      <c r="BD62" s="1807"/>
      <c r="BE62" s="1806"/>
      <c r="BF62" s="1791"/>
      <c r="BG62" s="1808"/>
      <c r="BH62" s="1807"/>
      <c r="BI62" s="1807"/>
      <c r="BJ62" s="1806"/>
      <c r="BK62" s="1791"/>
      <c r="BL62" s="1808"/>
      <c r="BM62" s="1807"/>
      <c r="BN62" s="1807"/>
      <c r="BO62" s="1806"/>
      <c r="BP62" s="1791"/>
      <c r="BQ62" s="1827"/>
      <c r="BR62" s="1991"/>
      <c r="BS62" s="1991"/>
      <c r="BT62" s="1992"/>
      <c r="BU62" s="1992"/>
      <c r="BV62" s="1992"/>
      <c r="BW62" s="1992"/>
      <c r="BX62" s="1810"/>
      <c r="BY62" s="1807"/>
      <c r="BZ62" s="1807"/>
      <c r="CA62" s="1807"/>
      <c r="CB62" s="1806"/>
      <c r="CC62" s="1791"/>
      <c r="CD62" s="1808"/>
      <c r="CE62" s="1807"/>
      <c r="CF62" s="1807"/>
      <c r="CG62" s="1806"/>
      <c r="CH62" s="1791"/>
      <c r="CI62" s="1808"/>
      <c r="CJ62" s="1807"/>
      <c r="CK62" s="1807"/>
      <c r="CL62" s="1806"/>
      <c r="CM62" s="1791"/>
      <c r="CN62" s="1808"/>
      <c r="CO62" s="1807"/>
      <c r="CP62" s="1807"/>
      <c r="CQ62" s="1806"/>
      <c r="CR62" s="1791"/>
      <c r="CS62" s="1808"/>
      <c r="CT62" s="1807"/>
      <c r="CU62" s="1807"/>
      <c r="CV62" s="1806"/>
      <c r="CW62" s="1791"/>
      <c r="CX62" s="1808"/>
      <c r="CY62" s="1807"/>
      <c r="CZ62" s="1807"/>
      <c r="DA62" s="1806"/>
      <c r="DB62" s="1791"/>
      <c r="DC62" s="1808"/>
      <c r="DD62" s="1807"/>
      <c r="DE62" s="1807"/>
      <c r="DF62" s="1806"/>
      <c r="DG62" s="1791"/>
      <c r="DH62" s="1808"/>
      <c r="DI62" s="1807"/>
      <c r="DJ62" s="1807"/>
      <c r="DK62" s="1806"/>
      <c r="DL62" s="1791"/>
      <c r="DM62" s="1808"/>
      <c r="DN62" s="1807"/>
      <c r="DO62" s="1807"/>
      <c r="DP62" s="1806"/>
      <c r="DQ62" s="1791"/>
      <c r="DR62" s="1808"/>
      <c r="DS62" s="1807"/>
      <c r="DT62" s="1807"/>
      <c r="DU62" s="1806"/>
      <c r="DV62" s="1791"/>
    </row>
    <row r="63" spans="1:126">
      <c r="A63" s="455"/>
      <c r="B63" s="455"/>
      <c r="C63" s="1596" t="s">
        <v>745</v>
      </c>
      <c r="D63" s="94"/>
      <c r="E63" s="455"/>
      <c r="F63" s="455"/>
      <c r="G63" s="455"/>
      <c r="H63" s="1597"/>
      <c r="I63" s="1598"/>
      <c r="J63" s="1599"/>
      <c r="K63" s="1792"/>
      <c r="L63" s="1810">
        <f t="shared" ref="L63:M67" si="571">IF(L$5=$H63,-$E63,0)</f>
        <v>0</v>
      </c>
      <c r="M63" s="1791">
        <f t="shared" si="571"/>
        <v>0</v>
      </c>
      <c r="N63" s="1808">
        <f t="shared" ref="N63:N67" si="572">IF(R63=0,0,IF(R63&lt;0,IF($J63=3,R63,IF($J63=2,R63,IF($J63=1,R63,0)))))</f>
        <v>0</v>
      </c>
      <c r="O63" s="1807">
        <f t="shared" ref="O63:O67" si="573">IF(R63=0,0,IF(R63&lt;0,IF($J63=6,R63,IF($J63=5,R63,IF($J63=4,R63,0)))))</f>
        <v>0</v>
      </c>
      <c r="P63" s="1807">
        <f t="shared" ref="P63:P67" si="574">IF(R63=0,0,IF(R63&lt;0,IF($J63=9,R63,IF($J63=8,R63,IF($J63=7,R63,0)))))</f>
        <v>0</v>
      </c>
      <c r="Q63" s="1806">
        <f t="shared" ref="Q63:Q67" si="575">IF(R63=0,0,IF(R63&lt;0,IF($J63=12,R63,IF($J63=11,R63,IF($J63=10,R63,0)))))</f>
        <v>0</v>
      </c>
      <c r="R63" s="1791">
        <f t="shared" ref="R63:R67" si="576">IF(R$5=$H63,-$E63,0)</f>
        <v>0</v>
      </c>
      <c r="S63" s="1808">
        <f t="shared" ref="S63:S67" si="577">IF(W63=0,0,IF(W63&lt;0,IF($J63=3,W63,IF($J63=2,W63,IF($J63=1,W63,0)))))</f>
        <v>0</v>
      </c>
      <c r="T63" s="1807">
        <f t="shared" ref="T63:T67" si="578">IF(W63=0,0,IF(W63&lt;0,IF($J63=6,W63,IF($J63=5,W63,IF($J63=4,W63,0)))))</f>
        <v>0</v>
      </c>
      <c r="U63" s="1807">
        <f t="shared" ref="U63:U67" si="579">IF(W63=0,0,IF(W63&lt;0,IF($J63=9,W63,IF($J63=8,W63,IF($J63=7,W63,0)))))</f>
        <v>0</v>
      </c>
      <c r="V63" s="1806">
        <f t="shared" ref="V63:V67" si="580">IF(W63=0,0,IF(W63&lt;0,IF($J63=12,W63,IF($J63=11,W63,IF($J63=10,W63,0)))))</f>
        <v>0</v>
      </c>
      <c r="W63" s="1791">
        <f t="shared" ref="W63:W67" si="581">IF(W$5=$H63,-$E63,0)</f>
        <v>0</v>
      </c>
      <c r="X63" s="1808">
        <f t="shared" ref="X63:X67" si="582">IF(AB63=0,0,IF(AB63&lt;0,IF($J63=3,AB63,IF($J63=2,AB63,IF($J63=1,AB63,0)))))</f>
        <v>0</v>
      </c>
      <c r="Y63" s="1807">
        <f t="shared" ref="Y63:Y67" si="583">IF(AB63=0,0,IF(AB63&lt;0,IF($J63=6,AB63,IF($J63=5,AB63,IF($J63=4,AB63,0)))))</f>
        <v>0</v>
      </c>
      <c r="Z63" s="1807">
        <f t="shared" ref="Z63:Z67" si="584">IF(AB63=0,0,IF(AB63&lt;0,IF($J63=9,AB63,IF($J63=8,AB63,IF($J63=7,AB63,0)))))</f>
        <v>0</v>
      </c>
      <c r="AA63" s="1806">
        <f t="shared" ref="AA63:AA67" si="585">IF(AB63=0,0,IF(AB63&lt;0,IF($J63=12,AB63,IF($J63=11,AB63,IF($J63=10,AB63,0)))))</f>
        <v>0</v>
      </c>
      <c r="AB63" s="1791">
        <f t="shared" ref="AB63:AB67" si="586">IF(AB$5=$H63,-$E63,0)</f>
        <v>0</v>
      </c>
      <c r="AC63" s="1808">
        <f t="shared" ref="AC63:AC67" si="587">IF(AG63=0,0,IF(AG63&lt;0,IF($J63=3,AG63,IF($J63=2,AG63,IF($J63=1,AG63,0)))))</f>
        <v>0</v>
      </c>
      <c r="AD63" s="1807">
        <f t="shared" ref="AD63:AD67" si="588">IF(AG63=0,0,IF(AG63&lt;0,IF($J63=6,AG63,IF($J63=5,AG63,IF($J63=4,AG63,0)))))</f>
        <v>0</v>
      </c>
      <c r="AE63" s="1807">
        <f t="shared" ref="AE63:AE67" si="589">IF(AG63=0,0,IF(AG63&lt;0,IF($J63=9,AG63,IF($J63=8,AG63,IF($J63=7,AG63,0)))))</f>
        <v>0</v>
      </c>
      <c r="AF63" s="1806">
        <f t="shared" ref="AF63:AF67" si="590">IF(AG63=0,0,IF(AG63&lt;0,IF($J63=12,AG63,IF($J63=11,AG63,IF($J63=10,AG63,0)))))</f>
        <v>0</v>
      </c>
      <c r="AG63" s="1791">
        <f t="shared" ref="AG63:AG67" si="591">IF(AG$5=$H63,-$E63,0)</f>
        <v>0</v>
      </c>
      <c r="AH63" s="1808">
        <f t="shared" ref="AH63:AH67" si="592">IF(AL63=0,0,IF(AL63&lt;0,IF($J63=3,AL63,IF($J63=2,AL63,IF($J63=1,AL63,0)))))</f>
        <v>0</v>
      </c>
      <c r="AI63" s="1807">
        <f t="shared" ref="AI63:AI67" si="593">IF(AL63=0,0,IF(AL63&lt;0,IF($J63=6,AL63,IF($J63=5,AL63,IF($J63=4,AL63,0)))))</f>
        <v>0</v>
      </c>
      <c r="AJ63" s="1807">
        <f t="shared" ref="AJ63:AJ67" si="594">IF(AL63=0,0,IF(AL63&lt;0,IF($J63=9,AL63,IF($J63=8,AL63,IF($J63=7,AL63,0)))))</f>
        <v>0</v>
      </c>
      <c r="AK63" s="1806">
        <f t="shared" ref="AK63:AK67" si="595">IF(AL63=0,0,IF(AL63&lt;0,IF($J63=12,AL63,IF($J63=11,AL63,IF($J63=10,AL63,0)))))</f>
        <v>0</v>
      </c>
      <c r="AL63" s="1791">
        <f t="shared" ref="AL63:AL67" si="596">IF(AL$5=$H63,-$E63,0)</f>
        <v>0</v>
      </c>
      <c r="AM63" s="1808">
        <f t="shared" ref="AM63:AM67" si="597">IF(AQ63=0,0,IF(AQ63&lt;0,IF($J63=3,AQ63,IF($J63=2,AQ63,IF($J63=1,AQ63,0)))))</f>
        <v>0</v>
      </c>
      <c r="AN63" s="1807">
        <f t="shared" ref="AN63:AN67" si="598">IF(AQ63=0,0,IF(AQ63&lt;0,IF($J63=6,AQ63,IF($J63=5,AQ63,IF($J63=4,AQ63,0)))))</f>
        <v>0</v>
      </c>
      <c r="AO63" s="1807">
        <f t="shared" ref="AO63:AO67" si="599">IF(AQ63=0,0,IF(AQ63&lt;0,IF($J63=9,AQ63,IF($J63=8,AQ63,IF($J63=7,AQ63,0)))))</f>
        <v>0</v>
      </c>
      <c r="AP63" s="1806">
        <f t="shared" ref="AP63:AP67" si="600">IF(AQ63=0,0,IF(AQ63&lt;0,IF($J63=12,AQ63,IF($J63=11,AQ63,IF($J63=10,AQ63,0)))))</f>
        <v>0</v>
      </c>
      <c r="AQ63" s="1791">
        <f t="shared" ref="AQ63:AQ67" si="601">IF(AQ$5=$H63,-$E63,0)</f>
        <v>0</v>
      </c>
      <c r="AR63" s="1808">
        <f t="shared" ref="AR63:AR67" si="602">IF(AV63=0,0,IF(AV63&lt;0,IF($J63=3,AV63,IF($J63=2,AV63,IF($J63=1,AV63,0)))))</f>
        <v>0</v>
      </c>
      <c r="AS63" s="1807">
        <f t="shared" ref="AS63:AS67" si="603">IF(AV63=0,0,IF(AV63&lt;0,IF($J63=6,AV63,IF($J63=5,AV63,IF($J63=4,AV63,0)))))</f>
        <v>0</v>
      </c>
      <c r="AT63" s="1807">
        <f t="shared" ref="AT63:AT67" si="604">IF(AV63=0,0,IF(AV63&lt;0,IF($J63=9,AV63,IF($J63=8,AV63,IF($J63=7,AV63,0)))))</f>
        <v>0</v>
      </c>
      <c r="AU63" s="1806">
        <f t="shared" ref="AU63:AU67" si="605">IF(AV63=0,0,IF(AV63&lt;0,IF($J63=12,AV63,IF($J63=11,AV63,IF($J63=10,AV63,0)))))</f>
        <v>0</v>
      </c>
      <c r="AV63" s="1791">
        <f t="shared" ref="AV63:AV67" si="606">IF(AV$5=$H63,-$E63,0)</f>
        <v>0</v>
      </c>
      <c r="AW63" s="1808">
        <f t="shared" ref="AW63:AW67" si="607">IF(BA63=0,0,IF(BA63&lt;0,IF($J63=3,BA63,IF($J63=2,BA63,IF($J63=1,BA63,0)))))</f>
        <v>0</v>
      </c>
      <c r="AX63" s="1807">
        <f t="shared" ref="AX63:AX67" si="608">IF(BA63=0,0,IF(BA63&lt;0,IF($J63=6,BA63,IF($J63=5,BA63,IF($J63=4,BA63,0)))))</f>
        <v>0</v>
      </c>
      <c r="AY63" s="1807">
        <f t="shared" ref="AY63:AY67" si="609">IF(BA63=0,0,IF(BA63&lt;0,IF($J63=9,BA63,IF($J63=8,BA63,IF($J63=7,BA63,0)))))</f>
        <v>0</v>
      </c>
      <c r="AZ63" s="1806">
        <f t="shared" ref="AZ63:AZ67" si="610">IF(BA63=0,0,IF(BA63&lt;0,IF($J63=12,BA63,IF($J63=11,BA63,IF($J63=10,BA63,0)))))</f>
        <v>0</v>
      </c>
      <c r="BA63" s="1791">
        <f t="shared" ref="BA63:BA67" si="611">IF(BA$5=$H63,-$E63,0)</f>
        <v>0</v>
      </c>
      <c r="BB63" s="1808">
        <f t="shared" ref="BB63:BB67" si="612">IF(BF63=0,0,IF(BF63&lt;0,IF($J63=3,BF63,IF($J63=2,BF63,IF($J63=1,BF63,0)))))</f>
        <v>0</v>
      </c>
      <c r="BC63" s="1807">
        <f t="shared" ref="BC63:BC67" si="613">IF(BF63=0,0,IF(BF63&lt;0,IF($J63=6,BF63,IF($J63=5,BF63,IF($J63=4,BF63,0)))))</f>
        <v>0</v>
      </c>
      <c r="BD63" s="1807">
        <f t="shared" ref="BD63:BD67" si="614">IF(BF63=0,0,IF(BF63&lt;0,IF($J63=9,BF63,IF($J63=8,BF63,IF($J63=7,BF63,0)))))</f>
        <v>0</v>
      </c>
      <c r="BE63" s="1806">
        <f t="shared" ref="BE63:BE67" si="615">IF(BF63=0,0,IF(BF63&lt;0,IF($J63=12,BF63,IF($J63=11,BF63,IF($J63=10,BF63,0)))))</f>
        <v>0</v>
      </c>
      <c r="BF63" s="1791">
        <f t="shared" ref="BF63:BF67" si="616">IF(BF$5=$H63,-$E63,0)</f>
        <v>0</v>
      </c>
      <c r="BG63" s="1808">
        <f t="shared" ref="BG63:BG67" si="617">IF(BK63=0,0,IF(BK63&lt;0,IF($J63=3,BK63,IF($J63=2,BK63,IF($J63=1,BK63,0)))))</f>
        <v>0</v>
      </c>
      <c r="BH63" s="1807">
        <f t="shared" ref="BH63:BH67" si="618">IF(BK63=0,0,IF(BK63&lt;0,IF($J63=6,BK63,IF($J63=5,BK63,IF($J63=4,BK63,0)))))</f>
        <v>0</v>
      </c>
      <c r="BI63" s="1807">
        <f t="shared" ref="BI63:BI67" si="619">IF(BK63=0,0,IF(BK63&lt;0,IF($J63=9,BK63,IF($J63=8,BK63,IF($J63=7,BK63,0)))))</f>
        <v>0</v>
      </c>
      <c r="BJ63" s="1806">
        <f t="shared" ref="BJ63:BJ67" si="620">IF(BK63=0,0,IF(BK63&lt;0,IF($J63=12,BK63,IF($J63=11,BK63,IF($J63=10,BK63,0)))))</f>
        <v>0</v>
      </c>
      <c r="BK63" s="1791">
        <f t="shared" ref="BK63:BK67" si="621">IF(BK$5=$H63,-$E63,0)</f>
        <v>0</v>
      </c>
      <c r="BL63" s="1808">
        <f t="shared" ref="BL63:BL67" si="622">IF(BP63=0,0,IF(BP63&lt;0,IF($J63=3,BP63,IF($J63=2,BP63,IF($J63=1,BP63,0)))))</f>
        <v>0</v>
      </c>
      <c r="BM63" s="1807">
        <f t="shared" ref="BM63:BM67" si="623">IF(BP63=0,0,IF(BP63&lt;0,IF($J63=6,BP63,IF($J63=5,BP63,IF($J63=4,BP63,0)))))</f>
        <v>0</v>
      </c>
      <c r="BN63" s="1807">
        <f t="shared" ref="BN63:BN67" si="624">IF(BP63=0,0,IF(BP63&lt;0,IF($J63=9,BP63,IF($J63=8,BP63,IF($J63=7,BP63,0)))))</f>
        <v>0</v>
      </c>
      <c r="BO63" s="1806">
        <f t="shared" ref="BO63:BO67" si="625">IF(BP63=0,0,IF(BP63&lt;0,IF($J63=12,BP63,IF($J63=11,BP63,IF($J63=10,BP63,0)))))</f>
        <v>0</v>
      </c>
      <c r="BP63" s="1791">
        <f t="shared" ref="BP63:BP67" si="626">IF(BP$5=$H63,-$E63,0)</f>
        <v>0</v>
      </c>
      <c r="BQ63" s="1827"/>
      <c r="BR63" s="1991">
        <f t="shared" ref="BR63:BS67" si="627">IF(AND(BQ63&lt;&gt;0,BQ$5=$H63),-$I63*$E63-BQ63,IF(BR$5=$H63,-$I63*$E63*(12-$J63+1)/12,0))</f>
        <v>0</v>
      </c>
      <c r="BS63" s="1991">
        <f t="shared" si="627"/>
        <v>0</v>
      </c>
      <c r="BT63" s="1992">
        <f t="shared" ref="BT63:BT67" si="628">IF($H63&lt;&gt;BX$5,0,IF(BX63&lt;0,IF($J63=1,-$E63*$I63/12*3,IF($J63=2,-$E63*$I63/12*2,IF($J63=3,-$E63*$I63/12*1,0)))))+IF(BS$5&lt;&gt;$H63,0,IF(BS63&lt;0,IF($J63=1,-$E63*$I63/12*0,IF($J63=2,-$E63*$I63/12*1,IF($J63=3,-$E63*$I63/12*2,IF($J63&gt;=4,-$E63*$I63/12*3,0))))))</f>
        <v>0</v>
      </c>
      <c r="BU63" s="1992">
        <f t="shared" ref="BU63:BU67" si="629">IF($H63&lt;&gt;BX$5,0,IF(BX63&lt;0,IF(OR($J63=1,$J63=2,$J63=3,$J63=4),-$E63*$I63/12*3,IF($J63=5,-$E63*$I63/12*2,IF($J63=6,-$E63*$I63/12*1,0)))))+IF(BS$5&lt;&gt;$H63,0,IF(BS63&lt;0,IF($J63=4,-$E63*$I63/12*0,IF($J63=5,-$E63*$I63/12*1,IF($J63=6,-$E63*$I63/12*2,IF($J63&gt;=7,-$E63*$I63/12*3,0))))))</f>
        <v>0</v>
      </c>
      <c r="BV63" s="1992">
        <f t="shared" ref="BV63:BV67" si="630">IF($H63&lt;&gt;BX$5,0,IF(BX63&lt;0,IF(OR($J63=1,$J63=2,$J63=3,$J63=4,$J63=5,$J63=6,$J63=7),-$E63*$I63/12*3,IF($J63=8,-$E63*$I63/12*2,IF($J63=9,-$E63*$I63/12*1,0)))))+IF(BS$5&lt;&gt;$H63,0,IF(BS63&lt;0,IF($J63=7,-$E63*$I63/12*0,IF($J63=8,-$E63*$I63/12*1,IF($J63=9,-$E63*$I63/12*2,IF($J63&gt;=10,-$E63*$I63/12*3,0))))))</f>
        <v>0</v>
      </c>
      <c r="BW63" s="1992">
        <f t="shared" ref="BW63:BW67" si="631">IF($H63&lt;&gt;BX$5,0,IF(BX63&lt;0,IF(OR($J63=1,$J63=2,$J63=3,$J63=4,$J63=5,$J63=6,$J63=7,$J63=8,$J63=9,$J63=10),-$E63*$I63/12*3,IF($J63=11,-$E63*$I63/12*2,IF($J63=12,-$E63*$I63/12*1,0)))))+IF(BS$5&lt;&gt;$H63,0,IF(BS63&lt;0,IF($J63=10,-$E63*$I63/12*0,IF($J63=11,-$E63*$I63/12*1,IF($J63=12,-$E63*$I63/12*2,0)))))</f>
        <v>0</v>
      </c>
      <c r="BX63" s="1810">
        <f t="shared" ref="BX63:BX67" si="632">IF(AND(BS63&lt;&gt;0,BS$5=$H63),-$I63*$E63-BS63,IF(BX$5=$H63,-$I63*$E63*(12-$J63+1)/12,0))</f>
        <v>0</v>
      </c>
      <c r="BY63" s="1807">
        <f t="shared" ref="BY63:BY67" si="633">IF($H63&lt;&gt;CC$5,0,IF(CC63&lt;0,IF($J63=1,-$E63*$I63/12*3,IF($J63=2,-$E63*$I63/12*2,IF($J63=3,-$E63*$I63/12*1,0)))))+IF(BX$5&lt;&gt;$H63,0,IF(BX63&lt;0,IF($J63=1,-$E63*$I63/12*0,IF($J63=2,-$E63*$I63/12*1,IF($J63=3,-$E63*$I63/12*2,IF($J63&gt;=4,-$E63*$I63/12*3,0))))))</f>
        <v>0</v>
      </c>
      <c r="BZ63" s="1807">
        <f t="shared" ref="BZ63:BZ67" si="634">IF($H63&lt;&gt;CC$5,0,IF(CC63&lt;0,IF(OR($J63=1,$J63=2,$J63=3,$J63=4),-$E63*$I63/12*3,IF($J63=5,-$E63*$I63/12*2,IF($J63=6,-$E63*$I63/12*1,0)))))+IF(BX$5&lt;&gt;$H63,0,IF(BX63&lt;0,IF($J63=4,-$E63*$I63/12*0,IF($J63=5,-$E63*$I63/12*1,IF($J63=6,-$E63*$I63/12*2,IF($J63&gt;=7,-$E63*$I63/12*3,0))))))</f>
        <v>0</v>
      </c>
      <c r="CA63" s="1807">
        <f t="shared" ref="CA63:CA67" si="635">IF($H63&lt;&gt;CC$5,0,IF(CC63&lt;0,IF(OR($J63=1,$J63=2,$J63=3,$J63=4,$J63=5,$J63=6,$J63=7),-$E63*$I63/12*3,IF($J63=8,-$E63*$I63/12*2,IF($J63=9,-$E63*$I63/12*1,0)))))+IF(BX$5&lt;&gt;$H63,0,IF(BX63&lt;0,IF($J63=7,-$E63*$I63/12*0,IF($J63=8,-$E63*$I63/12*1,IF($J63=9,-$E63*$I63/12*2,IF($J63&gt;=10,-$E63*$I63/12*3,0))))))</f>
        <v>0</v>
      </c>
      <c r="CB63" s="1806">
        <f t="shared" ref="CB63:CB67" si="636">IF($H63&lt;&gt;CC$5,0,IF(CC63&lt;0,IF(OR($J63=1,$J63=2,$J63=3,$J63=4,$J63=5,$J63=6,$J63=7,$J63=8,$J63=9,$J63=10),-$E63*$I63/12*3,IF($J63=11,-$E63*$I63/12*2,IF($J63=12,-$E63*$I63/12*1,0)))))+IF(BX$5&lt;&gt;$H63,0,IF(BX63&lt;0,IF($J63=10,-$E63*$I63/12*0,IF($J63=11,-$E63*$I63/12*1,IF($J63=12,-$E63*$I63/12*2,0)))))</f>
        <v>0</v>
      </c>
      <c r="CC63" s="1791">
        <f t="shared" ref="CC63:CC67" si="637">IF(AND(BX63&lt;&gt;0,BX$5=$H63),-$I63*$E63-BX63,IF(CC$5=$H63,-$I63*$E63*(12-$J63+1)/12,0))</f>
        <v>0</v>
      </c>
      <c r="CD63" s="1808">
        <f t="shared" ref="CD63:CD67" si="638">IF($H63&lt;&gt;CH$5,0,IF(CH63&lt;0,IF($J63=1,-$E63*$I63/12*3,IF($J63=2,-$E63*$I63/12*2,IF($J63=3,-$E63*$I63/12*1,0)))))+IF(CC$5&lt;&gt;$H63,0,IF(CC63&lt;0,IF($J63=1,-$E63*$I63/12*0,IF($J63=2,-$E63*$I63/12*1,IF($J63=3,-$E63*$I63/12*2,IF($J63&gt;=4,-$E63*$I63/12*3,0))))))</f>
        <v>0</v>
      </c>
      <c r="CE63" s="1807">
        <f t="shared" ref="CE63:CE67" si="639">IF($H63&lt;&gt;CH$5,0,IF(CH63&lt;0,IF(OR($J63=1,$J63=2,$J63=3,$J63=4),-$E63*$I63/12*3,IF($J63=5,-$E63*$I63/12*2,IF($J63=6,-$E63*$I63/12*1,0)))))+IF(CC$5&lt;&gt;$H63,0,IF(CC63&lt;0,IF($J63=4,-$E63*$I63/12*0,IF($J63=5,-$E63*$I63/12*1,IF($J63=6,-$E63*$I63/12*2,IF($J63&gt;=7,-$E63*$I63/12*3,0))))))</f>
        <v>0</v>
      </c>
      <c r="CF63" s="1807">
        <f t="shared" ref="CF63:CF67" si="640">IF($H63&lt;&gt;CH$5,0,IF(CH63&lt;0,IF(OR($J63=1,$J63=2,$J63=3,$J63=4,$J63=5,$J63=6,$J63=7),-$E63*$I63/12*3,IF($J63=8,-$E63*$I63/12*2,IF($J63=9,-$E63*$I63/12*1,0)))))+IF(CC$5&lt;&gt;$H63,0,IF(CC63&lt;0,IF($J63=7,-$E63*$I63/12*0,IF($J63=8,-$E63*$I63/12*1,IF($J63=9,-$E63*$I63/12*2,IF($J63&gt;=10,-$E63*$I63/12*3,0))))))</f>
        <v>0</v>
      </c>
      <c r="CG63" s="1806">
        <f t="shared" ref="CG63:CG67" si="641">IF($H63&lt;&gt;CH$5,0,IF(CH63&lt;0,IF(OR($J63=1,$J63=2,$J63=3,$J63=4,$J63=5,$J63=6,$J63=7,$J63=8,$J63=9,$J63=10),-$E63*$I63/12*3,IF($J63=11,-$E63*$I63/12*2,IF($J63=12,-$E63*$I63/12*1,0)))))+IF(CC$5&lt;&gt;$H63,0,IF(CC63&lt;0,IF($J63=10,-$E63*$I63/12*0,IF($J63=11,-$E63*$I63/12*1,IF($J63=12,-$E63*$I63/12*2,0)))))</f>
        <v>0</v>
      </c>
      <c r="CH63" s="1791">
        <f t="shared" ref="CH63:CH67" si="642">IF(AND(CC63&lt;&gt;0,CC$5=$H63),-$I63*$E63-CC63,IF(CH$5=$H63,-$I63*$E63*(12-$J63+1)/12,0))</f>
        <v>0</v>
      </c>
      <c r="CI63" s="1808">
        <f t="shared" ref="CI63:CI67" si="643">IF($H63&lt;&gt;CM$5,0,IF(CM63&lt;0,IF($J63=1,-$E63*$I63/12*3,IF($J63=2,-$E63*$I63/12*2,IF($J63=3,-$E63*$I63/12*1,0)))))+IF(CH$5&lt;&gt;$H63,0,IF(CH63&lt;0,IF($J63=1,-$E63*$I63/12*0,IF($J63=2,-$E63*$I63/12*1,IF($J63=3,-$E63*$I63/12*2,IF($J63&gt;=4,-$E63*$I63/12*3,0))))))</f>
        <v>0</v>
      </c>
      <c r="CJ63" s="1807">
        <f t="shared" ref="CJ63:CJ67" si="644">IF($H63&lt;&gt;CM$5,0,IF(CM63&lt;0,IF(OR($J63=1,$J63=2,$J63=3,$J63=4),-$E63*$I63/12*3,IF($J63=5,-$E63*$I63/12*2,IF($J63=6,-$E63*$I63/12*1,0)))))+IF(CH$5&lt;&gt;$H63,0,IF(CH63&lt;0,IF($J63=4,-$E63*$I63/12*0,IF($J63=5,-$E63*$I63/12*1,IF($J63=6,-$E63*$I63/12*2,IF($J63&gt;=7,-$E63*$I63/12*3,0))))))</f>
        <v>0</v>
      </c>
      <c r="CK63" s="1807">
        <f t="shared" ref="CK63:CK67" si="645">IF($H63&lt;&gt;CM$5,0,IF(CM63&lt;0,IF(OR($J63=1,$J63=2,$J63=3,$J63=4,$J63=5,$J63=6,$J63=7),-$E63*$I63/12*3,IF($J63=8,-$E63*$I63/12*2,IF($J63=9,-$E63*$I63/12*1,0)))))+IF(CH$5&lt;&gt;$H63,0,IF(CH63&lt;0,IF($J63=7,-$E63*$I63/12*0,IF($J63=8,-$E63*$I63/12*1,IF($J63=9,-$E63*$I63/12*2,IF($J63&gt;=10,-$E63*$I63/12*3,0))))))</f>
        <v>0</v>
      </c>
      <c r="CL63" s="1806">
        <f t="shared" ref="CL63:CL67" si="646">IF($H63&lt;&gt;CM$5,0,IF(CM63&lt;0,IF(OR($J63=1,$J63=2,$J63=3,$J63=4,$J63=5,$J63=6,$J63=7,$J63=8,$J63=9,$J63=10),-$E63*$I63/12*3,IF($J63=11,-$E63*$I63/12*2,IF($J63=12,-$E63*$I63/12*1,0)))))+IF(CH$5&lt;&gt;$H63,0,IF(CH63&lt;0,IF($J63=10,-$E63*$I63/12*0,IF($J63=11,-$E63*$I63/12*1,IF($J63=12,-$E63*$I63/12*2,0)))))</f>
        <v>0</v>
      </c>
      <c r="CM63" s="1791">
        <f t="shared" ref="CM63:CM67" si="647">IF(AND(CH63&lt;&gt;0,CH$5=$H63),-$I63*$E63-CH63,IF(CM$5=$H63,-$I63*$E63*(12-$J63+1)/12,0))</f>
        <v>0</v>
      </c>
      <c r="CN63" s="1808">
        <f t="shared" ref="CN63:CN67" si="648">IF($H63&lt;&gt;CR$5,0,IF(CR63&lt;0,IF($J63=1,-$E63*$I63/12*3,IF($J63=2,-$E63*$I63/12*2,IF($J63=3,-$E63*$I63/12*1,0)))))+IF(CM$5&lt;&gt;$H63,0,IF(CM63&lt;0,IF($J63=1,-$E63*$I63/12*0,IF($J63=2,-$E63*$I63/12*1,IF($J63=3,-$E63*$I63/12*2,IF($J63&gt;=4,-$E63*$I63/12*3,0))))))</f>
        <v>0</v>
      </c>
      <c r="CO63" s="1807">
        <f t="shared" ref="CO63:CO67" si="649">IF($H63&lt;&gt;CR$5,0,IF(CR63&lt;0,IF(OR($J63=1,$J63=2,$J63=3,$J63=4),-$E63*$I63/12*3,IF($J63=5,-$E63*$I63/12*2,IF($J63=6,-$E63*$I63/12*1,0)))))+IF(CM$5&lt;&gt;$H63,0,IF(CM63&lt;0,IF($J63=4,-$E63*$I63/12*0,IF($J63=5,-$E63*$I63/12*1,IF($J63=6,-$E63*$I63/12*2,IF($J63&gt;=7,-$E63*$I63/12*3,0))))))</f>
        <v>0</v>
      </c>
      <c r="CP63" s="1807">
        <f t="shared" ref="CP63:CP67" si="650">IF($H63&lt;&gt;CR$5,0,IF(CR63&lt;0,IF(OR($J63=1,$J63=2,$J63=3,$J63=4,$J63=5,$J63=6,$J63=7),-$E63*$I63/12*3,IF($J63=8,-$E63*$I63/12*2,IF($J63=9,-$E63*$I63/12*1,0)))))+IF(CM$5&lt;&gt;$H63,0,IF(CM63&lt;0,IF($J63=7,-$E63*$I63/12*0,IF($J63=8,-$E63*$I63/12*1,IF($J63=9,-$E63*$I63/12*2,IF($J63&gt;=10,-$E63*$I63/12*3,0))))))</f>
        <v>0</v>
      </c>
      <c r="CQ63" s="1806">
        <f t="shared" ref="CQ63:CQ67" si="651">IF($H63&lt;&gt;CR$5,0,IF(CR63&lt;0,IF(OR($J63=1,$J63=2,$J63=3,$J63=4,$J63=5,$J63=6,$J63=7,$J63=8,$J63=9,$J63=10),-$E63*$I63/12*3,IF($J63=11,-$E63*$I63/12*2,IF($J63=12,-$E63*$I63/12*1,0)))))+IF(CM$5&lt;&gt;$H63,0,IF(CM63&lt;0,IF($J63=10,-$E63*$I63/12*0,IF($J63=11,-$E63*$I63/12*1,IF($J63=12,-$E63*$I63/12*2,0)))))</f>
        <v>0</v>
      </c>
      <c r="CR63" s="1791">
        <f t="shared" ref="CR63:CR67" si="652">IF(AND(CM63&lt;&gt;0,CM$5=$H63),-$I63*$E63-CM63,IF(CR$5=$H63,-$I63*$E63*(12-$J63+1)/12,0))</f>
        <v>0</v>
      </c>
      <c r="CS63" s="1808">
        <f t="shared" ref="CS63:CS67" si="653">IF($H63&lt;&gt;CW$5,0,IF(CW63&lt;0,IF($J63=1,-$E63*$I63/12*3,IF($J63=2,-$E63*$I63/12*2,IF($J63=3,-$E63*$I63/12*1,0)))))+IF(CR$5&lt;&gt;$H63,0,IF(CR63&lt;0,IF($J63=1,-$E63*$I63/12*0,IF($J63=2,-$E63*$I63/12*1,IF($J63=3,-$E63*$I63/12*2,IF($J63&gt;=4,-$E63*$I63/12*3,0))))))</f>
        <v>0</v>
      </c>
      <c r="CT63" s="1807">
        <f t="shared" ref="CT63:CT67" si="654">IF($H63&lt;&gt;CW$5,0,IF(CW63&lt;0,IF(OR($J63=1,$J63=2,$J63=3,$J63=4),-$E63*$I63/12*3,IF($J63=5,-$E63*$I63/12*2,IF($J63=6,-$E63*$I63/12*1,0)))))+IF(CR$5&lt;&gt;$H63,0,IF(CR63&lt;0,IF($J63=4,-$E63*$I63/12*0,IF($J63=5,-$E63*$I63/12*1,IF($J63=6,-$E63*$I63/12*2,IF($J63&gt;=7,-$E63*$I63/12*3,0))))))</f>
        <v>0</v>
      </c>
      <c r="CU63" s="1807">
        <f t="shared" ref="CU63:CU67" si="655">IF($H63&lt;&gt;CW$5,0,IF(CW63&lt;0,IF(OR($J63=1,$J63=2,$J63=3,$J63=4,$J63=5,$J63=6,$J63=7),-$E63*$I63/12*3,IF($J63=8,-$E63*$I63/12*2,IF($J63=9,-$E63*$I63/12*1,0)))))+IF(CR$5&lt;&gt;$H63,0,IF(CR63&lt;0,IF($J63=7,-$E63*$I63/12*0,IF($J63=8,-$E63*$I63/12*1,IF($J63=9,-$E63*$I63/12*2,IF($J63&gt;=10,-$E63*$I63/12*3,0))))))</f>
        <v>0</v>
      </c>
      <c r="CV63" s="1806">
        <f t="shared" ref="CV63:CV67" si="656">IF($H63&lt;&gt;CW$5,0,IF(CW63&lt;0,IF(OR($J63=1,$J63=2,$J63=3,$J63=4,$J63=5,$J63=6,$J63=7,$J63=8,$J63=9,$J63=10),-$E63*$I63/12*3,IF($J63=11,-$E63*$I63/12*2,IF($J63=12,-$E63*$I63/12*1,0)))))+IF(CR$5&lt;&gt;$H63,0,IF(CR63&lt;0,IF($J63=10,-$E63*$I63/12*0,IF($J63=11,-$E63*$I63/12*1,IF($J63=12,-$E63*$I63/12*2,0)))))</f>
        <v>0</v>
      </c>
      <c r="CW63" s="1791">
        <f t="shared" ref="CW63:CW67" si="657">IF(AND(CR63&lt;&gt;0,CR$5=$H63),-$I63*$E63-CR63,IF(CW$5=$H63,-$I63*$E63*(12-$J63+1)/12,0))</f>
        <v>0</v>
      </c>
      <c r="CX63" s="1808">
        <f t="shared" ref="CX63:CX67" si="658">IF($H63&lt;&gt;DB$5,0,IF(DB63&lt;0,IF($J63=1,-$E63*$I63/12*3,IF($J63=2,-$E63*$I63/12*2,IF($J63=3,-$E63*$I63/12*1,0)))))+IF(CW$5&lt;&gt;$H63,0,IF(CW63&lt;0,IF($J63=1,-$E63*$I63/12*0,IF($J63=2,-$E63*$I63/12*1,IF($J63=3,-$E63*$I63/12*2,IF($J63&gt;=4,-$E63*$I63/12*3,0))))))</f>
        <v>0</v>
      </c>
      <c r="CY63" s="1807">
        <f t="shared" ref="CY63:CY67" si="659">IF($H63&lt;&gt;DB$5,0,IF(DB63&lt;0,IF(OR($J63=1,$J63=2,$J63=3,$J63=4),-$E63*$I63/12*3,IF($J63=5,-$E63*$I63/12*2,IF($J63=6,-$E63*$I63/12*1,0)))))+IF(CW$5&lt;&gt;$H63,0,IF(CW63&lt;0,IF($J63=4,-$E63*$I63/12*0,IF($J63=5,-$E63*$I63/12*1,IF($J63=6,-$E63*$I63/12*2,IF($J63&gt;=7,-$E63*$I63/12*3,0))))))</f>
        <v>0</v>
      </c>
      <c r="CZ63" s="1807">
        <f t="shared" ref="CZ63:CZ67" si="660">IF($H63&lt;&gt;DB$5,0,IF(DB63&lt;0,IF(OR($J63=1,$J63=2,$J63=3,$J63=4,$J63=5,$J63=6,$J63=7),-$E63*$I63/12*3,IF($J63=8,-$E63*$I63/12*2,IF($J63=9,-$E63*$I63/12*1,0)))))+IF(CW$5&lt;&gt;$H63,0,IF(CW63&lt;0,IF($J63=7,-$E63*$I63/12*0,IF($J63=8,-$E63*$I63/12*1,IF($J63=9,-$E63*$I63/12*2,IF($J63&gt;=10,-$E63*$I63/12*3,0))))))</f>
        <v>0</v>
      </c>
      <c r="DA63" s="1806">
        <f t="shared" ref="DA63:DA67" si="661">IF($H63&lt;&gt;DB$5,0,IF(DB63&lt;0,IF(OR($J63=1,$J63=2,$J63=3,$J63=4,$J63=5,$J63=6,$J63=7,$J63=8,$J63=9,$J63=10),-$E63*$I63/12*3,IF($J63=11,-$E63*$I63/12*2,IF($J63=12,-$E63*$I63/12*1,0)))))+IF(CW$5&lt;&gt;$H63,0,IF(CW63&lt;0,IF($J63=10,-$E63*$I63/12*0,IF($J63=11,-$E63*$I63/12*1,IF($J63=12,-$E63*$I63/12*2,0)))))</f>
        <v>0</v>
      </c>
      <c r="DB63" s="1791">
        <f t="shared" ref="DB63:DB67" si="662">IF(AND(CW63&lt;&gt;0,CW$5=$H63),-$I63*$E63-CW63,IF(DB$5=$H63,-$I63*$E63*(12-$J63+1)/12,0))</f>
        <v>0</v>
      </c>
      <c r="DC63" s="1808">
        <f t="shared" ref="DC63:DC67" si="663">IF($H63&lt;&gt;DG$5,0,IF(DG63&lt;0,IF($J63=1,-$E63*$I63/12*3,IF($J63=2,-$E63*$I63/12*2,IF($J63=3,-$E63*$I63/12*1,0)))))+IF(DB$5&lt;&gt;$H63,0,IF(DB63&lt;0,IF($J63=1,-$E63*$I63/12*0,IF($J63=2,-$E63*$I63/12*1,IF($J63=3,-$E63*$I63/12*2,IF($J63&gt;=4,-$E63*$I63/12*3,0))))))</f>
        <v>0</v>
      </c>
      <c r="DD63" s="1807">
        <f t="shared" ref="DD63:DD67" si="664">IF($H63&lt;&gt;DG$5,0,IF(DG63&lt;0,IF(OR($J63=1,$J63=2,$J63=3,$J63=4),-$E63*$I63/12*3,IF($J63=5,-$E63*$I63/12*2,IF($J63=6,-$E63*$I63/12*1,0)))))+IF(DB$5&lt;&gt;$H63,0,IF(DB63&lt;0,IF($J63=4,-$E63*$I63/12*0,IF($J63=5,-$E63*$I63/12*1,IF($J63=6,-$E63*$I63/12*2,IF($J63&gt;=7,-$E63*$I63/12*3,0))))))</f>
        <v>0</v>
      </c>
      <c r="DE63" s="1807">
        <f t="shared" ref="DE63:DE67" si="665">IF($H63&lt;&gt;DG$5,0,IF(DG63&lt;0,IF(OR($J63=1,$J63=2,$J63=3,$J63=4,$J63=5,$J63=6,$J63=7),-$E63*$I63/12*3,IF($J63=8,-$E63*$I63/12*2,IF($J63=9,-$E63*$I63/12*1,0)))))+IF(DB$5&lt;&gt;$H63,0,IF(DB63&lt;0,IF($J63=7,-$E63*$I63/12*0,IF($J63=8,-$E63*$I63/12*1,IF($J63=9,-$E63*$I63/12*2,IF($J63&gt;=10,-$E63*$I63/12*3,0))))))</f>
        <v>0</v>
      </c>
      <c r="DF63" s="1806">
        <f t="shared" ref="DF63:DF67" si="666">IF($H63&lt;&gt;DG$5,0,IF(DG63&lt;0,IF(OR($J63=1,$J63=2,$J63=3,$J63=4,$J63=5,$J63=6,$J63=7,$J63=8,$J63=9,$J63=10),-$E63*$I63/12*3,IF($J63=11,-$E63*$I63/12*2,IF($J63=12,-$E63*$I63/12*1,0)))))+IF(DB$5&lt;&gt;$H63,0,IF(DB63&lt;0,IF($J63=10,-$E63*$I63/12*0,IF($J63=11,-$E63*$I63/12*1,IF($J63=12,-$E63*$I63/12*2,0)))))</f>
        <v>0</v>
      </c>
      <c r="DG63" s="1791">
        <f t="shared" ref="DG63:DG67" si="667">IF(AND(DB63&lt;&gt;0,DB$5=$H63),-$I63*$E63-DB63,IF(DG$5=$H63,-$I63*$E63*(12-$J63+1)/12,0))</f>
        <v>0</v>
      </c>
      <c r="DH63" s="1808">
        <f t="shared" ref="DH63:DH67" si="668">IF($H63&lt;&gt;DL$5,0,IF(DL63&lt;0,IF($J63=1,-$E63*$I63/12*3,IF($J63=2,-$E63*$I63/12*2,IF($J63=3,-$E63*$I63/12*1,0)))))+IF(DG$5&lt;&gt;$H63,0,IF(DG63&lt;0,IF($J63=1,-$E63*$I63/12*0,IF($J63=2,-$E63*$I63/12*1,IF($J63=3,-$E63*$I63/12*2,IF($J63&gt;=4,-$E63*$I63/12*3,0))))))</f>
        <v>0</v>
      </c>
      <c r="DI63" s="1807">
        <f t="shared" ref="DI63:DI67" si="669">IF($H63&lt;&gt;DL$5,0,IF(DL63&lt;0,IF(OR($J63=1,$J63=2,$J63=3,$J63=4),-$E63*$I63/12*3,IF($J63=5,-$E63*$I63/12*2,IF($J63=6,-$E63*$I63/12*1,0)))))+IF(DG$5&lt;&gt;$H63,0,IF(DG63&lt;0,IF($J63=4,-$E63*$I63/12*0,IF($J63=5,-$E63*$I63/12*1,IF($J63=6,-$E63*$I63/12*2,IF($J63&gt;=7,-$E63*$I63/12*3,0))))))</f>
        <v>0</v>
      </c>
      <c r="DJ63" s="1807">
        <f t="shared" ref="DJ63:DJ67" si="670">IF($H63&lt;&gt;DL$5,0,IF(DL63&lt;0,IF(OR($J63=1,$J63=2,$J63=3,$J63=4,$J63=5,$J63=6,$J63=7),-$E63*$I63/12*3,IF($J63=8,-$E63*$I63/12*2,IF($J63=9,-$E63*$I63/12*1,0)))))+IF(DG$5&lt;&gt;$H63,0,IF(DG63&lt;0,IF($J63=7,-$E63*$I63/12*0,IF($J63=8,-$E63*$I63/12*1,IF($J63=9,-$E63*$I63/12*2,IF($J63&gt;=10,-$E63*$I63/12*3,0))))))</f>
        <v>0</v>
      </c>
      <c r="DK63" s="1806">
        <f t="shared" ref="DK63:DK67" si="671">IF($H63&lt;&gt;DL$5,0,IF(DL63&lt;0,IF(OR($J63=1,$J63=2,$J63=3,$J63=4,$J63=5,$J63=6,$J63=7,$J63=8,$J63=9,$J63=10),-$E63*$I63/12*3,IF($J63=11,-$E63*$I63/12*2,IF($J63=12,-$E63*$I63/12*1,0)))))+IF(DG$5&lt;&gt;$H63,0,IF(DG63&lt;0,IF($J63=10,-$E63*$I63/12*0,IF($J63=11,-$E63*$I63/12*1,IF($J63=12,-$E63*$I63/12*2,0)))))</f>
        <v>0</v>
      </c>
      <c r="DL63" s="1791">
        <f t="shared" ref="DL63:DL67" si="672">IF(AND(DG63&lt;&gt;0,DG$5=$H63),-$I63*$E63-DG63,IF(DL$5=$H63,-$I63*$E63*(12-$J63+1)/12,0))</f>
        <v>0</v>
      </c>
      <c r="DM63" s="1808">
        <f t="shared" ref="DM63:DM67" si="673">IF($H63&lt;&gt;DQ$5,0,IF(DQ63&lt;0,IF($J63=1,-$E63*$I63/12*3,IF($J63=2,-$E63*$I63/12*2,IF($J63=3,-$E63*$I63/12*1,0)))))+IF(DL$5&lt;&gt;$H63,0,IF(DL63&lt;0,IF($J63=1,-$E63*$I63/12*0,IF($J63=2,-$E63*$I63/12*1,IF($J63=3,-$E63*$I63/12*2,IF($J63&gt;=4,-$E63*$I63/12*3,0))))))</f>
        <v>0</v>
      </c>
      <c r="DN63" s="1807">
        <f t="shared" ref="DN63:DN67" si="674">IF($H63&lt;&gt;DQ$5,0,IF(DQ63&lt;0,IF(OR($J63=1,$J63=2,$J63=3,$J63=4),-$E63*$I63/12*3,IF($J63=5,-$E63*$I63/12*2,IF($J63=6,-$E63*$I63/12*1,0)))))+IF(DL$5&lt;&gt;$H63,0,IF(DL63&lt;0,IF($J63=4,-$E63*$I63/12*0,IF($J63=5,-$E63*$I63/12*1,IF($J63=6,-$E63*$I63/12*2,IF($J63&gt;=7,-$E63*$I63/12*3,0))))))</f>
        <v>0</v>
      </c>
      <c r="DO63" s="1807">
        <f t="shared" ref="DO63:DO67" si="675">IF($H63&lt;&gt;DQ$5,0,IF(DQ63&lt;0,IF(OR($J63=1,$J63=2,$J63=3,$J63=4,$J63=5,$J63=6,$J63=7),-$E63*$I63/12*3,IF($J63=8,-$E63*$I63/12*2,IF($J63=9,-$E63*$I63/12*1,0)))))+IF(DL$5&lt;&gt;$H63,0,IF(DL63&lt;0,IF($J63=7,-$E63*$I63/12*0,IF($J63=8,-$E63*$I63/12*1,IF($J63=9,-$E63*$I63/12*2,IF($J63&gt;=10,-$E63*$I63/12*3,0))))))</f>
        <v>0</v>
      </c>
      <c r="DP63" s="1806">
        <f t="shared" ref="DP63:DP67" si="676">IF($H63&lt;&gt;DQ$5,0,IF(DQ63&lt;0,IF(OR($J63=1,$J63=2,$J63=3,$J63=4,$J63=5,$J63=6,$J63=7,$J63=8,$J63=9,$J63=10),-$E63*$I63/12*3,IF($J63=11,-$E63*$I63/12*2,IF($J63=12,-$E63*$I63/12*1,0)))))+IF(DL$5&lt;&gt;$H63,0,IF(DL63&lt;0,IF($J63=10,-$E63*$I63/12*0,IF($J63=11,-$E63*$I63/12*1,IF($J63=12,-$E63*$I63/12*2,0)))))</f>
        <v>0</v>
      </c>
      <c r="DQ63" s="1791">
        <f t="shared" ref="DQ63:DQ67" si="677">IF(AND(DL63&lt;&gt;0,DL$5=$H63),-$I63*$E63-DL63,IF(DQ$5=$H63,-$I63*$E63*(12-$J63+1)/12,0))</f>
        <v>0</v>
      </c>
      <c r="DR63" s="1808">
        <f t="shared" ref="DR63:DR67" si="678">IF($H63&lt;&gt;DV$5,0,IF(DV63&lt;0,IF($J63=1,-$E63*$I63/12*3,IF($J63=2,-$E63*$I63/12*2,IF($J63=3,-$E63*$I63/12*1,0)))))+IF(DQ$5&lt;&gt;$H63,0,IF(DQ63&lt;0,IF($J63=1,-$E63*$I63/12*0,IF($J63=2,-$E63*$I63/12*1,IF($J63=3,-$E63*$I63/12*2,IF($J63&gt;=4,-$E63*$I63/12*3,0))))))</f>
        <v>0</v>
      </c>
      <c r="DS63" s="1807">
        <f t="shared" ref="DS63:DS67" si="679">IF($H63&lt;&gt;DV$5,0,IF(DV63&lt;0,IF(OR($J63=1,$J63=2,$J63=3,$J63=4),-$E63*$I63/12*3,IF($J63=5,-$E63*$I63/12*2,IF($J63=6,-$E63*$I63/12*1,0)))))+IF(DQ$5&lt;&gt;$H63,0,IF(DQ63&lt;0,IF($J63=4,-$E63*$I63/12*0,IF($J63=5,-$E63*$I63/12*1,IF($J63=6,-$E63*$I63/12*2,IF($J63&gt;=7,-$E63*$I63/12*3,0))))))</f>
        <v>0</v>
      </c>
      <c r="DT63" s="1807">
        <f t="shared" ref="DT63:DT67" si="680">IF($H63&lt;&gt;DV$5,0,IF(DV63&lt;0,IF(OR($J63=1,$J63=2,$J63=3,$J63=4,$J63=5,$J63=6,$J63=7),-$E63*$I63/12*3,IF($J63=8,-$E63*$I63/12*2,IF($J63=9,-$E63*$I63/12*1,0)))))+IF(DQ$5&lt;&gt;$H63,0,IF(DQ63&lt;0,IF($J63=7,-$E63*$I63/12*0,IF($J63=8,-$E63*$I63/12*1,IF($J63=9,-$E63*$I63/12*2,IF($J63&gt;=10,-$E63*$I63/12*3,0))))))</f>
        <v>0</v>
      </c>
      <c r="DU63" s="1806">
        <f t="shared" ref="DU63:DU67" si="681">IF($H63&lt;&gt;DV$5,0,IF(DV63&lt;0,IF(OR($J63=1,$J63=2,$J63=3,$J63=4,$J63=5,$J63=6,$J63=7,$J63=8,$J63=9,$J63=10),-$E63*$I63/12*3,IF($J63=11,-$E63*$I63/12*2,IF($J63=12,-$E63*$I63/12*1,0)))))+IF(DQ$5&lt;&gt;$H63,0,IF(DQ63&lt;0,IF($J63=10,-$E63*$I63/12*0,IF($J63=11,-$E63*$I63/12*1,IF($J63=12,-$E63*$I63/12*2,0)))))</f>
        <v>0</v>
      </c>
      <c r="DV63" s="1791">
        <f t="shared" ref="DV63:DV67" si="682">IF(AND(DQ63&lt;&gt;0,DQ$5=$H63),-$I63*$E63-DQ63,IF(DV$5=$H63,-$I63*$E63*(12-$J63+1)/12,0))</f>
        <v>0</v>
      </c>
    </row>
    <row r="64" spans="1:126">
      <c r="A64" s="455"/>
      <c r="B64" s="455"/>
      <c r="C64" s="1363" t="s">
        <v>749</v>
      </c>
      <c r="D64" s="94"/>
      <c r="E64" s="1817">
        <f t="shared" ref="E64:E67" si="683">IF(F64=0,G64,F64)</f>
        <v>375</v>
      </c>
      <c r="F64" s="1435">
        <v>375</v>
      </c>
      <c r="G64" s="1435">
        <v>375</v>
      </c>
      <c r="H64" s="1350">
        <v>2018</v>
      </c>
      <c r="I64" s="1335">
        <v>0.06</v>
      </c>
      <c r="J64" s="1343">
        <v>5</v>
      </c>
      <c r="K64" s="1792"/>
      <c r="L64" s="1810">
        <f t="shared" si="571"/>
        <v>0</v>
      </c>
      <c r="M64" s="1791">
        <f t="shared" si="571"/>
        <v>0</v>
      </c>
      <c r="N64" s="1808">
        <f t="shared" si="572"/>
        <v>0</v>
      </c>
      <c r="O64" s="1807">
        <f t="shared" si="573"/>
        <v>0</v>
      </c>
      <c r="P64" s="1807">
        <f t="shared" si="574"/>
        <v>0</v>
      </c>
      <c r="Q64" s="1806">
        <f t="shared" si="575"/>
        <v>0</v>
      </c>
      <c r="R64" s="1791">
        <f t="shared" si="576"/>
        <v>0</v>
      </c>
      <c r="S64" s="1808">
        <f t="shared" si="577"/>
        <v>0</v>
      </c>
      <c r="T64" s="1807">
        <f t="shared" si="578"/>
        <v>0</v>
      </c>
      <c r="U64" s="1807">
        <f t="shared" si="579"/>
        <v>0</v>
      </c>
      <c r="V64" s="1806">
        <f t="shared" si="580"/>
        <v>0</v>
      </c>
      <c r="W64" s="1791">
        <f t="shared" si="581"/>
        <v>0</v>
      </c>
      <c r="X64" s="1808">
        <f t="shared" si="582"/>
        <v>0</v>
      </c>
      <c r="Y64" s="1807">
        <f t="shared" si="583"/>
        <v>0</v>
      </c>
      <c r="Z64" s="1807">
        <f t="shared" si="584"/>
        <v>0</v>
      </c>
      <c r="AA64" s="1806">
        <f t="shared" si="585"/>
        <v>0</v>
      </c>
      <c r="AB64" s="1791">
        <f t="shared" si="586"/>
        <v>0</v>
      </c>
      <c r="AC64" s="1808">
        <f t="shared" si="587"/>
        <v>0</v>
      </c>
      <c r="AD64" s="1807">
        <f t="shared" si="588"/>
        <v>0</v>
      </c>
      <c r="AE64" s="1807">
        <f t="shared" si="589"/>
        <v>0</v>
      </c>
      <c r="AF64" s="1806">
        <f t="shared" si="590"/>
        <v>0</v>
      </c>
      <c r="AG64" s="1791">
        <f t="shared" si="591"/>
        <v>0</v>
      </c>
      <c r="AH64" s="1808">
        <f t="shared" si="592"/>
        <v>0</v>
      </c>
      <c r="AI64" s="1807">
        <f t="shared" si="593"/>
        <v>0</v>
      </c>
      <c r="AJ64" s="1807">
        <f t="shared" si="594"/>
        <v>0</v>
      </c>
      <c r="AK64" s="1806">
        <f t="shared" si="595"/>
        <v>0</v>
      </c>
      <c r="AL64" s="1791">
        <f t="shared" si="596"/>
        <v>0</v>
      </c>
      <c r="AM64" s="1808">
        <f t="shared" si="597"/>
        <v>0</v>
      </c>
      <c r="AN64" s="1807">
        <f t="shared" si="598"/>
        <v>0</v>
      </c>
      <c r="AO64" s="1807">
        <f t="shared" si="599"/>
        <v>0</v>
      </c>
      <c r="AP64" s="1806">
        <f t="shared" si="600"/>
        <v>0</v>
      </c>
      <c r="AQ64" s="1791">
        <f t="shared" si="601"/>
        <v>0</v>
      </c>
      <c r="AR64" s="1808">
        <f t="shared" si="602"/>
        <v>0</v>
      </c>
      <c r="AS64" s="1807">
        <f t="shared" si="603"/>
        <v>0</v>
      </c>
      <c r="AT64" s="1807">
        <f t="shared" si="604"/>
        <v>0</v>
      </c>
      <c r="AU64" s="1806">
        <f t="shared" si="605"/>
        <v>0</v>
      </c>
      <c r="AV64" s="1791">
        <f t="shared" si="606"/>
        <v>0</v>
      </c>
      <c r="AW64" s="1808">
        <f t="shared" si="607"/>
        <v>0</v>
      </c>
      <c r="AX64" s="1807">
        <f t="shared" si="608"/>
        <v>-375</v>
      </c>
      <c r="AY64" s="1807">
        <f t="shared" si="609"/>
        <v>0</v>
      </c>
      <c r="AZ64" s="1806">
        <f t="shared" si="610"/>
        <v>0</v>
      </c>
      <c r="BA64" s="1791">
        <f t="shared" si="611"/>
        <v>-375</v>
      </c>
      <c r="BB64" s="1808">
        <f t="shared" si="612"/>
        <v>0</v>
      </c>
      <c r="BC64" s="1807">
        <f t="shared" si="613"/>
        <v>0</v>
      </c>
      <c r="BD64" s="1807">
        <f t="shared" si="614"/>
        <v>0</v>
      </c>
      <c r="BE64" s="1806">
        <f t="shared" si="615"/>
        <v>0</v>
      </c>
      <c r="BF64" s="1791">
        <f t="shared" si="616"/>
        <v>0</v>
      </c>
      <c r="BG64" s="1808">
        <f t="shared" si="617"/>
        <v>0</v>
      </c>
      <c r="BH64" s="1807">
        <f t="shared" si="618"/>
        <v>0</v>
      </c>
      <c r="BI64" s="1807">
        <f t="shared" si="619"/>
        <v>0</v>
      </c>
      <c r="BJ64" s="1806">
        <f t="shared" si="620"/>
        <v>0</v>
      </c>
      <c r="BK64" s="1791">
        <f t="shared" si="621"/>
        <v>0</v>
      </c>
      <c r="BL64" s="1808">
        <f t="shared" si="622"/>
        <v>0</v>
      </c>
      <c r="BM64" s="1807">
        <f t="shared" si="623"/>
        <v>0</v>
      </c>
      <c r="BN64" s="1807">
        <f t="shared" si="624"/>
        <v>0</v>
      </c>
      <c r="BO64" s="1806">
        <f t="shared" si="625"/>
        <v>0</v>
      </c>
      <c r="BP64" s="1791">
        <f t="shared" si="626"/>
        <v>0</v>
      </c>
      <c r="BQ64" s="1827"/>
      <c r="BR64" s="1991">
        <f t="shared" si="627"/>
        <v>0</v>
      </c>
      <c r="BS64" s="1991">
        <f t="shared" si="627"/>
        <v>0</v>
      </c>
      <c r="BT64" s="1992">
        <f t="shared" si="628"/>
        <v>0</v>
      </c>
      <c r="BU64" s="1992">
        <f t="shared" si="629"/>
        <v>0</v>
      </c>
      <c r="BV64" s="1992">
        <f t="shared" si="630"/>
        <v>0</v>
      </c>
      <c r="BW64" s="1992">
        <f t="shared" si="631"/>
        <v>0</v>
      </c>
      <c r="BX64" s="1810">
        <f t="shared" si="632"/>
        <v>0</v>
      </c>
      <c r="BY64" s="1807">
        <f t="shared" si="633"/>
        <v>0</v>
      </c>
      <c r="BZ64" s="1807">
        <f t="shared" si="634"/>
        <v>0</v>
      </c>
      <c r="CA64" s="1807">
        <f t="shared" si="635"/>
        <v>0</v>
      </c>
      <c r="CB64" s="1806">
        <f t="shared" si="636"/>
        <v>0</v>
      </c>
      <c r="CC64" s="1791">
        <f t="shared" si="637"/>
        <v>0</v>
      </c>
      <c r="CD64" s="1808">
        <f t="shared" si="638"/>
        <v>0</v>
      </c>
      <c r="CE64" s="1807">
        <f t="shared" si="639"/>
        <v>0</v>
      </c>
      <c r="CF64" s="1807">
        <f t="shared" si="640"/>
        <v>0</v>
      </c>
      <c r="CG64" s="1806">
        <f t="shared" si="641"/>
        <v>0</v>
      </c>
      <c r="CH64" s="1791">
        <f t="shared" si="642"/>
        <v>0</v>
      </c>
      <c r="CI64" s="1808">
        <f t="shared" si="643"/>
        <v>0</v>
      </c>
      <c r="CJ64" s="1807">
        <f t="shared" si="644"/>
        <v>0</v>
      </c>
      <c r="CK64" s="1807">
        <f t="shared" si="645"/>
        <v>0</v>
      </c>
      <c r="CL64" s="1806">
        <f t="shared" si="646"/>
        <v>0</v>
      </c>
      <c r="CM64" s="1791">
        <f t="shared" si="647"/>
        <v>0</v>
      </c>
      <c r="CN64" s="1808">
        <f t="shared" si="648"/>
        <v>0</v>
      </c>
      <c r="CO64" s="1807">
        <f t="shared" si="649"/>
        <v>0</v>
      </c>
      <c r="CP64" s="1807">
        <f t="shared" si="650"/>
        <v>0</v>
      </c>
      <c r="CQ64" s="1806">
        <f t="shared" si="651"/>
        <v>0</v>
      </c>
      <c r="CR64" s="1791">
        <f t="shared" si="652"/>
        <v>0</v>
      </c>
      <c r="CS64" s="1808">
        <f t="shared" si="653"/>
        <v>0</v>
      </c>
      <c r="CT64" s="1807">
        <f t="shared" si="654"/>
        <v>0</v>
      </c>
      <c r="CU64" s="1807">
        <f t="shared" si="655"/>
        <v>0</v>
      </c>
      <c r="CV64" s="1806">
        <f t="shared" si="656"/>
        <v>0</v>
      </c>
      <c r="CW64" s="1791">
        <f t="shared" si="657"/>
        <v>0</v>
      </c>
      <c r="CX64" s="1808">
        <f t="shared" si="658"/>
        <v>0</v>
      </c>
      <c r="CY64" s="1807">
        <f t="shared" si="659"/>
        <v>0</v>
      </c>
      <c r="CZ64" s="1807">
        <f t="shared" si="660"/>
        <v>0</v>
      </c>
      <c r="DA64" s="1806">
        <f t="shared" si="661"/>
        <v>0</v>
      </c>
      <c r="DB64" s="1791">
        <f t="shared" si="662"/>
        <v>0</v>
      </c>
      <c r="DC64" s="1808">
        <f t="shared" si="663"/>
        <v>0</v>
      </c>
      <c r="DD64" s="1807">
        <f t="shared" si="664"/>
        <v>-3.75</v>
      </c>
      <c r="DE64" s="1807">
        <f t="shared" si="665"/>
        <v>-5.625</v>
      </c>
      <c r="DF64" s="1806">
        <f t="shared" si="666"/>
        <v>-5.625</v>
      </c>
      <c r="DG64" s="1791">
        <f t="shared" si="667"/>
        <v>-15</v>
      </c>
      <c r="DH64" s="1808">
        <f t="shared" si="668"/>
        <v>-5.625</v>
      </c>
      <c r="DI64" s="1807">
        <f t="shared" si="669"/>
        <v>-1.875</v>
      </c>
      <c r="DJ64" s="1807">
        <f t="shared" si="670"/>
        <v>0</v>
      </c>
      <c r="DK64" s="1806">
        <f t="shared" si="671"/>
        <v>0</v>
      </c>
      <c r="DL64" s="1791">
        <f t="shared" si="672"/>
        <v>-7.5</v>
      </c>
      <c r="DM64" s="1808">
        <f t="shared" si="673"/>
        <v>0</v>
      </c>
      <c r="DN64" s="1807">
        <f t="shared" si="674"/>
        <v>0</v>
      </c>
      <c r="DO64" s="1807">
        <f t="shared" si="675"/>
        <v>0</v>
      </c>
      <c r="DP64" s="1806">
        <f t="shared" si="676"/>
        <v>0</v>
      </c>
      <c r="DQ64" s="1791">
        <f t="shared" si="677"/>
        <v>0</v>
      </c>
      <c r="DR64" s="1808">
        <f t="shared" si="678"/>
        <v>0</v>
      </c>
      <c r="DS64" s="1807">
        <f t="shared" si="679"/>
        <v>0</v>
      </c>
      <c r="DT64" s="1807">
        <f t="shared" si="680"/>
        <v>0</v>
      </c>
      <c r="DU64" s="1806">
        <f t="shared" si="681"/>
        <v>0</v>
      </c>
      <c r="DV64" s="1791">
        <f t="shared" si="682"/>
        <v>0</v>
      </c>
    </row>
    <row r="65" spans="1:126">
      <c r="A65" s="455"/>
      <c r="B65" s="455"/>
      <c r="C65" s="1363" t="s">
        <v>750</v>
      </c>
      <c r="D65" s="94"/>
      <c r="E65" s="1817">
        <f t="shared" si="683"/>
        <v>250</v>
      </c>
      <c r="F65" s="1435">
        <v>250</v>
      </c>
      <c r="G65" s="1435">
        <v>250</v>
      </c>
      <c r="H65" s="1350">
        <v>2020</v>
      </c>
      <c r="I65" s="1335">
        <v>3.95E-2</v>
      </c>
      <c r="J65" s="1343">
        <v>10</v>
      </c>
      <c r="K65" s="1792"/>
      <c r="L65" s="1810">
        <f t="shared" si="571"/>
        <v>0</v>
      </c>
      <c r="M65" s="1791">
        <f t="shared" si="571"/>
        <v>0</v>
      </c>
      <c r="N65" s="1808">
        <f t="shared" si="572"/>
        <v>0</v>
      </c>
      <c r="O65" s="1807">
        <f t="shared" si="573"/>
        <v>0</v>
      </c>
      <c r="P65" s="1807">
        <f t="shared" si="574"/>
        <v>0</v>
      </c>
      <c r="Q65" s="1806">
        <f t="shared" si="575"/>
        <v>0</v>
      </c>
      <c r="R65" s="1791">
        <f t="shared" si="576"/>
        <v>0</v>
      </c>
      <c r="S65" s="1808">
        <f t="shared" si="577"/>
        <v>0</v>
      </c>
      <c r="T65" s="1807">
        <f t="shared" si="578"/>
        <v>0</v>
      </c>
      <c r="U65" s="1807">
        <f t="shared" si="579"/>
        <v>0</v>
      </c>
      <c r="V65" s="1806">
        <f t="shared" si="580"/>
        <v>0</v>
      </c>
      <c r="W65" s="1791">
        <f t="shared" si="581"/>
        <v>0</v>
      </c>
      <c r="X65" s="1808">
        <f t="shared" si="582"/>
        <v>0</v>
      </c>
      <c r="Y65" s="1807">
        <f t="shared" si="583"/>
        <v>0</v>
      </c>
      <c r="Z65" s="1807">
        <f t="shared" si="584"/>
        <v>0</v>
      </c>
      <c r="AA65" s="1806">
        <f t="shared" si="585"/>
        <v>0</v>
      </c>
      <c r="AB65" s="1791">
        <f t="shared" si="586"/>
        <v>0</v>
      </c>
      <c r="AC65" s="1808">
        <f t="shared" si="587"/>
        <v>0</v>
      </c>
      <c r="AD65" s="1807">
        <f t="shared" si="588"/>
        <v>0</v>
      </c>
      <c r="AE65" s="1807">
        <f t="shared" si="589"/>
        <v>0</v>
      </c>
      <c r="AF65" s="1806">
        <f t="shared" si="590"/>
        <v>0</v>
      </c>
      <c r="AG65" s="1791">
        <f t="shared" si="591"/>
        <v>0</v>
      </c>
      <c r="AH65" s="1808">
        <f t="shared" si="592"/>
        <v>0</v>
      </c>
      <c r="AI65" s="1807">
        <f t="shared" si="593"/>
        <v>0</v>
      </c>
      <c r="AJ65" s="1807">
        <f t="shared" si="594"/>
        <v>0</v>
      </c>
      <c r="AK65" s="1806">
        <f t="shared" si="595"/>
        <v>0</v>
      </c>
      <c r="AL65" s="1791">
        <f t="shared" si="596"/>
        <v>0</v>
      </c>
      <c r="AM65" s="1808">
        <f t="shared" si="597"/>
        <v>0</v>
      </c>
      <c r="AN65" s="1807">
        <f t="shared" si="598"/>
        <v>0</v>
      </c>
      <c r="AO65" s="1807">
        <f t="shared" si="599"/>
        <v>0</v>
      </c>
      <c r="AP65" s="1806">
        <f t="shared" si="600"/>
        <v>0</v>
      </c>
      <c r="AQ65" s="1791">
        <f t="shared" si="601"/>
        <v>0</v>
      </c>
      <c r="AR65" s="1808">
        <f t="shared" si="602"/>
        <v>0</v>
      </c>
      <c r="AS65" s="1807">
        <f t="shared" si="603"/>
        <v>0</v>
      </c>
      <c r="AT65" s="1807">
        <f t="shared" si="604"/>
        <v>0</v>
      </c>
      <c r="AU65" s="1806">
        <f t="shared" si="605"/>
        <v>0</v>
      </c>
      <c r="AV65" s="1791">
        <f t="shared" si="606"/>
        <v>0</v>
      </c>
      <c r="AW65" s="1808">
        <f t="shared" si="607"/>
        <v>0</v>
      </c>
      <c r="AX65" s="1807">
        <f t="shared" si="608"/>
        <v>0</v>
      </c>
      <c r="AY65" s="1807">
        <f t="shared" si="609"/>
        <v>0</v>
      </c>
      <c r="AZ65" s="1806">
        <f t="shared" si="610"/>
        <v>0</v>
      </c>
      <c r="BA65" s="1791">
        <f t="shared" si="611"/>
        <v>0</v>
      </c>
      <c r="BB65" s="1808">
        <f t="shared" si="612"/>
        <v>0</v>
      </c>
      <c r="BC65" s="1807">
        <f t="shared" si="613"/>
        <v>0</v>
      </c>
      <c r="BD65" s="1807">
        <f t="shared" si="614"/>
        <v>0</v>
      </c>
      <c r="BE65" s="1806">
        <f t="shared" si="615"/>
        <v>0</v>
      </c>
      <c r="BF65" s="1791">
        <f t="shared" si="616"/>
        <v>0</v>
      </c>
      <c r="BG65" s="1808">
        <f t="shared" si="617"/>
        <v>0</v>
      </c>
      <c r="BH65" s="1807">
        <f t="shared" si="618"/>
        <v>0</v>
      </c>
      <c r="BI65" s="1807">
        <f t="shared" si="619"/>
        <v>0</v>
      </c>
      <c r="BJ65" s="1806">
        <f t="shared" si="620"/>
        <v>-250</v>
      </c>
      <c r="BK65" s="1791">
        <f t="shared" si="621"/>
        <v>-250</v>
      </c>
      <c r="BL65" s="1808">
        <f t="shared" si="622"/>
        <v>0</v>
      </c>
      <c r="BM65" s="1807">
        <f t="shared" si="623"/>
        <v>0</v>
      </c>
      <c r="BN65" s="1807">
        <f t="shared" si="624"/>
        <v>0</v>
      </c>
      <c r="BO65" s="1806">
        <f t="shared" si="625"/>
        <v>0</v>
      </c>
      <c r="BP65" s="1791">
        <f t="shared" si="626"/>
        <v>0</v>
      </c>
      <c r="BQ65" s="1827"/>
      <c r="BR65" s="1991">
        <f t="shared" si="627"/>
        <v>0</v>
      </c>
      <c r="BS65" s="1991">
        <f t="shared" si="627"/>
        <v>0</v>
      </c>
      <c r="BT65" s="1992">
        <f t="shared" si="628"/>
        <v>0</v>
      </c>
      <c r="BU65" s="1992">
        <f t="shared" si="629"/>
        <v>0</v>
      </c>
      <c r="BV65" s="1992">
        <f t="shared" si="630"/>
        <v>0</v>
      </c>
      <c r="BW65" s="1992">
        <f t="shared" si="631"/>
        <v>0</v>
      </c>
      <c r="BX65" s="1810">
        <f t="shared" si="632"/>
        <v>0</v>
      </c>
      <c r="BY65" s="1807">
        <f t="shared" si="633"/>
        <v>0</v>
      </c>
      <c r="BZ65" s="1807">
        <f t="shared" si="634"/>
        <v>0</v>
      </c>
      <c r="CA65" s="1807">
        <f t="shared" si="635"/>
        <v>0</v>
      </c>
      <c r="CB65" s="1806">
        <f t="shared" si="636"/>
        <v>0</v>
      </c>
      <c r="CC65" s="1791">
        <f t="shared" si="637"/>
        <v>0</v>
      </c>
      <c r="CD65" s="1808">
        <f t="shared" si="638"/>
        <v>0</v>
      </c>
      <c r="CE65" s="1807">
        <f t="shared" si="639"/>
        <v>0</v>
      </c>
      <c r="CF65" s="1807">
        <f t="shared" si="640"/>
        <v>0</v>
      </c>
      <c r="CG65" s="1806">
        <f t="shared" si="641"/>
        <v>0</v>
      </c>
      <c r="CH65" s="1791">
        <f t="shared" si="642"/>
        <v>0</v>
      </c>
      <c r="CI65" s="1808">
        <f t="shared" si="643"/>
        <v>0</v>
      </c>
      <c r="CJ65" s="1807">
        <f t="shared" si="644"/>
        <v>0</v>
      </c>
      <c r="CK65" s="1807">
        <f t="shared" si="645"/>
        <v>0</v>
      </c>
      <c r="CL65" s="1806">
        <f t="shared" si="646"/>
        <v>0</v>
      </c>
      <c r="CM65" s="1791">
        <f t="shared" si="647"/>
        <v>0</v>
      </c>
      <c r="CN65" s="1808">
        <f t="shared" si="648"/>
        <v>0</v>
      </c>
      <c r="CO65" s="1807">
        <f t="shared" si="649"/>
        <v>0</v>
      </c>
      <c r="CP65" s="1807">
        <f t="shared" si="650"/>
        <v>0</v>
      </c>
      <c r="CQ65" s="1806">
        <f t="shared" si="651"/>
        <v>0</v>
      </c>
      <c r="CR65" s="1791">
        <f t="shared" si="652"/>
        <v>0</v>
      </c>
      <c r="CS65" s="1808">
        <f t="shared" si="653"/>
        <v>0</v>
      </c>
      <c r="CT65" s="1807">
        <f t="shared" si="654"/>
        <v>0</v>
      </c>
      <c r="CU65" s="1807">
        <f t="shared" si="655"/>
        <v>0</v>
      </c>
      <c r="CV65" s="1806">
        <f t="shared" si="656"/>
        <v>0</v>
      </c>
      <c r="CW65" s="1791">
        <f t="shared" si="657"/>
        <v>0</v>
      </c>
      <c r="CX65" s="1808">
        <f t="shared" si="658"/>
        <v>0</v>
      </c>
      <c r="CY65" s="1807">
        <f t="shared" si="659"/>
        <v>0</v>
      </c>
      <c r="CZ65" s="1807">
        <f t="shared" si="660"/>
        <v>0</v>
      </c>
      <c r="DA65" s="1806">
        <f t="shared" si="661"/>
        <v>0</v>
      </c>
      <c r="DB65" s="1791">
        <f t="shared" si="662"/>
        <v>0</v>
      </c>
      <c r="DC65" s="1808">
        <f t="shared" si="663"/>
        <v>0</v>
      </c>
      <c r="DD65" s="1807">
        <f t="shared" si="664"/>
        <v>0</v>
      </c>
      <c r="DE65" s="1807">
        <f t="shared" si="665"/>
        <v>0</v>
      </c>
      <c r="DF65" s="1806">
        <f t="shared" si="666"/>
        <v>0</v>
      </c>
      <c r="DG65" s="1791">
        <f t="shared" si="667"/>
        <v>0</v>
      </c>
      <c r="DH65" s="1808">
        <f t="shared" si="668"/>
        <v>0</v>
      </c>
      <c r="DI65" s="1807">
        <f t="shared" si="669"/>
        <v>0</v>
      </c>
      <c r="DJ65" s="1807">
        <f t="shared" si="670"/>
        <v>0</v>
      </c>
      <c r="DK65" s="1806">
        <f t="shared" si="671"/>
        <v>0</v>
      </c>
      <c r="DL65" s="1791">
        <f t="shared" si="672"/>
        <v>0</v>
      </c>
      <c r="DM65" s="1808">
        <f t="shared" si="673"/>
        <v>0</v>
      </c>
      <c r="DN65" s="1807">
        <f t="shared" si="674"/>
        <v>0</v>
      </c>
      <c r="DO65" s="1807">
        <f t="shared" si="675"/>
        <v>0</v>
      </c>
      <c r="DP65" s="1806">
        <f t="shared" si="676"/>
        <v>-2.46875</v>
      </c>
      <c r="DQ65" s="1791">
        <f t="shared" si="677"/>
        <v>-2.46875</v>
      </c>
      <c r="DR65" s="1808">
        <f t="shared" si="678"/>
        <v>-2.46875</v>
      </c>
      <c r="DS65" s="1807">
        <f t="shared" si="679"/>
        <v>-2.46875</v>
      </c>
      <c r="DT65" s="1807">
        <f t="shared" si="680"/>
        <v>-2.46875</v>
      </c>
      <c r="DU65" s="1806">
        <f t="shared" si="681"/>
        <v>0</v>
      </c>
      <c r="DV65" s="1791">
        <f t="shared" si="682"/>
        <v>-7.40625</v>
      </c>
    </row>
    <row r="66" spans="1:126">
      <c r="A66" s="455"/>
      <c r="B66" s="455"/>
      <c r="C66" s="1363" t="s">
        <v>751</v>
      </c>
      <c r="D66" s="94"/>
      <c r="E66" s="1817">
        <f t="shared" si="683"/>
        <v>300</v>
      </c>
      <c r="F66" s="1435">
        <v>300</v>
      </c>
      <c r="G66" s="1435">
        <v>300</v>
      </c>
      <c r="H66" s="1350">
        <v>2024</v>
      </c>
      <c r="I66" s="1335">
        <v>5.5899999999999998E-2</v>
      </c>
      <c r="J66" s="1343">
        <v>10</v>
      </c>
      <c r="K66" s="1792"/>
      <c r="L66" s="1810">
        <f t="shared" si="571"/>
        <v>0</v>
      </c>
      <c r="M66" s="1791">
        <f t="shared" si="571"/>
        <v>0</v>
      </c>
      <c r="N66" s="1808">
        <f t="shared" si="572"/>
        <v>0</v>
      </c>
      <c r="O66" s="1807">
        <f t="shared" si="573"/>
        <v>0</v>
      </c>
      <c r="P66" s="1807">
        <f t="shared" si="574"/>
        <v>0</v>
      </c>
      <c r="Q66" s="1806">
        <f t="shared" si="575"/>
        <v>0</v>
      </c>
      <c r="R66" s="1791">
        <f t="shared" si="576"/>
        <v>0</v>
      </c>
      <c r="S66" s="1808">
        <f t="shared" si="577"/>
        <v>0</v>
      </c>
      <c r="T66" s="1807">
        <f t="shared" si="578"/>
        <v>0</v>
      </c>
      <c r="U66" s="1807">
        <f t="shared" si="579"/>
        <v>0</v>
      </c>
      <c r="V66" s="1806">
        <f t="shared" si="580"/>
        <v>0</v>
      </c>
      <c r="W66" s="1791">
        <f t="shared" si="581"/>
        <v>0</v>
      </c>
      <c r="X66" s="1808">
        <f t="shared" si="582"/>
        <v>0</v>
      </c>
      <c r="Y66" s="1807">
        <f t="shared" si="583"/>
        <v>0</v>
      </c>
      <c r="Z66" s="1807">
        <f t="shared" si="584"/>
        <v>0</v>
      </c>
      <c r="AA66" s="1806">
        <f t="shared" si="585"/>
        <v>0</v>
      </c>
      <c r="AB66" s="1791">
        <f t="shared" si="586"/>
        <v>0</v>
      </c>
      <c r="AC66" s="1808">
        <f t="shared" si="587"/>
        <v>0</v>
      </c>
      <c r="AD66" s="1807">
        <f t="shared" si="588"/>
        <v>0</v>
      </c>
      <c r="AE66" s="1807">
        <f t="shared" si="589"/>
        <v>0</v>
      </c>
      <c r="AF66" s="1806">
        <f t="shared" si="590"/>
        <v>0</v>
      </c>
      <c r="AG66" s="1791">
        <f t="shared" si="591"/>
        <v>0</v>
      </c>
      <c r="AH66" s="1808">
        <f t="shared" si="592"/>
        <v>0</v>
      </c>
      <c r="AI66" s="1807">
        <f t="shared" si="593"/>
        <v>0</v>
      </c>
      <c r="AJ66" s="1807">
        <f t="shared" si="594"/>
        <v>0</v>
      </c>
      <c r="AK66" s="1806">
        <f t="shared" si="595"/>
        <v>0</v>
      </c>
      <c r="AL66" s="1791">
        <f t="shared" si="596"/>
        <v>0</v>
      </c>
      <c r="AM66" s="1808">
        <f t="shared" si="597"/>
        <v>0</v>
      </c>
      <c r="AN66" s="1807">
        <f t="shared" si="598"/>
        <v>0</v>
      </c>
      <c r="AO66" s="1807">
        <f t="shared" si="599"/>
        <v>0</v>
      </c>
      <c r="AP66" s="1806">
        <f t="shared" si="600"/>
        <v>0</v>
      </c>
      <c r="AQ66" s="1791">
        <f t="shared" si="601"/>
        <v>0</v>
      </c>
      <c r="AR66" s="1808">
        <f t="shared" si="602"/>
        <v>0</v>
      </c>
      <c r="AS66" s="1807">
        <f t="shared" si="603"/>
        <v>0</v>
      </c>
      <c r="AT66" s="1807">
        <f t="shared" si="604"/>
        <v>0</v>
      </c>
      <c r="AU66" s="1806">
        <f t="shared" si="605"/>
        <v>0</v>
      </c>
      <c r="AV66" s="1791">
        <f t="shared" si="606"/>
        <v>0</v>
      </c>
      <c r="AW66" s="1808">
        <f t="shared" si="607"/>
        <v>0</v>
      </c>
      <c r="AX66" s="1807">
        <f t="shared" si="608"/>
        <v>0</v>
      </c>
      <c r="AY66" s="1807">
        <f t="shared" si="609"/>
        <v>0</v>
      </c>
      <c r="AZ66" s="1806">
        <f t="shared" si="610"/>
        <v>0</v>
      </c>
      <c r="BA66" s="1791">
        <f t="shared" si="611"/>
        <v>0</v>
      </c>
      <c r="BB66" s="1808">
        <f t="shared" si="612"/>
        <v>0</v>
      </c>
      <c r="BC66" s="1807">
        <f t="shared" si="613"/>
        <v>0</v>
      </c>
      <c r="BD66" s="1807">
        <f t="shared" si="614"/>
        <v>0</v>
      </c>
      <c r="BE66" s="1806">
        <f t="shared" si="615"/>
        <v>0</v>
      </c>
      <c r="BF66" s="1791">
        <f t="shared" si="616"/>
        <v>0</v>
      </c>
      <c r="BG66" s="1808">
        <f t="shared" si="617"/>
        <v>0</v>
      </c>
      <c r="BH66" s="1807">
        <f t="shared" si="618"/>
        <v>0</v>
      </c>
      <c r="BI66" s="1807">
        <f t="shared" si="619"/>
        <v>0</v>
      </c>
      <c r="BJ66" s="1806">
        <f t="shared" si="620"/>
        <v>0</v>
      </c>
      <c r="BK66" s="1791">
        <f t="shared" si="621"/>
        <v>0</v>
      </c>
      <c r="BL66" s="1808">
        <f t="shared" si="622"/>
        <v>0</v>
      </c>
      <c r="BM66" s="1807">
        <f t="shared" si="623"/>
        <v>0</v>
      </c>
      <c r="BN66" s="1807">
        <f t="shared" si="624"/>
        <v>0</v>
      </c>
      <c r="BO66" s="1806">
        <f t="shared" si="625"/>
        <v>0</v>
      </c>
      <c r="BP66" s="1791">
        <f t="shared" si="626"/>
        <v>0</v>
      </c>
      <c r="BQ66" s="1827"/>
      <c r="BR66" s="1991">
        <f t="shared" si="627"/>
        <v>0</v>
      </c>
      <c r="BS66" s="1991">
        <f t="shared" si="627"/>
        <v>0</v>
      </c>
      <c r="BT66" s="1992">
        <f t="shared" si="628"/>
        <v>0</v>
      </c>
      <c r="BU66" s="1992">
        <f t="shared" si="629"/>
        <v>0</v>
      </c>
      <c r="BV66" s="1992">
        <f t="shared" si="630"/>
        <v>0</v>
      </c>
      <c r="BW66" s="1992">
        <f t="shared" si="631"/>
        <v>0</v>
      </c>
      <c r="BX66" s="1810">
        <f t="shared" si="632"/>
        <v>0</v>
      </c>
      <c r="BY66" s="1807">
        <f t="shared" si="633"/>
        <v>0</v>
      </c>
      <c r="BZ66" s="1807">
        <f t="shared" si="634"/>
        <v>0</v>
      </c>
      <c r="CA66" s="1807">
        <f t="shared" si="635"/>
        <v>0</v>
      </c>
      <c r="CB66" s="1806">
        <f t="shared" si="636"/>
        <v>0</v>
      </c>
      <c r="CC66" s="1791">
        <f t="shared" si="637"/>
        <v>0</v>
      </c>
      <c r="CD66" s="1808">
        <f t="shared" si="638"/>
        <v>0</v>
      </c>
      <c r="CE66" s="1807">
        <f t="shared" si="639"/>
        <v>0</v>
      </c>
      <c r="CF66" s="1807">
        <f t="shared" si="640"/>
        <v>0</v>
      </c>
      <c r="CG66" s="1806">
        <f t="shared" si="641"/>
        <v>0</v>
      </c>
      <c r="CH66" s="1791">
        <f t="shared" si="642"/>
        <v>0</v>
      </c>
      <c r="CI66" s="1808">
        <f t="shared" si="643"/>
        <v>0</v>
      </c>
      <c r="CJ66" s="1807">
        <f t="shared" si="644"/>
        <v>0</v>
      </c>
      <c r="CK66" s="1807">
        <f t="shared" si="645"/>
        <v>0</v>
      </c>
      <c r="CL66" s="1806">
        <f t="shared" si="646"/>
        <v>0</v>
      </c>
      <c r="CM66" s="1791">
        <f t="shared" si="647"/>
        <v>0</v>
      </c>
      <c r="CN66" s="1808">
        <f t="shared" si="648"/>
        <v>0</v>
      </c>
      <c r="CO66" s="1807">
        <f t="shared" si="649"/>
        <v>0</v>
      </c>
      <c r="CP66" s="1807">
        <f t="shared" si="650"/>
        <v>0</v>
      </c>
      <c r="CQ66" s="1806">
        <f t="shared" si="651"/>
        <v>0</v>
      </c>
      <c r="CR66" s="1791">
        <f t="shared" si="652"/>
        <v>0</v>
      </c>
      <c r="CS66" s="1808">
        <f t="shared" si="653"/>
        <v>0</v>
      </c>
      <c r="CT66" s="1807">
        <f t="shared" si="654"/>
        <v>0</v>
      </c>
      <c r="CU66" s="1807">
        <f t="shared" si="655"/>
        <v>0</v>
      </c>
      <c r="CV66" s="1806">
        <f t="shared" si="656"/>
        <v>0</v>
      </c>
      <c r="CW66" s="1791">
        <f t="shared" si="657"/>
        <v>0</v>
      </c>
      <c r="CX66" s="1808">
        <f t="shared" si="658"/>
        <v>0</v>
      </c>
      <c r="CY66" s="1807">
        <f t="shared" si="659"/>
        <v>0</v>
      </c>
      <c r="CZ66" s="1807">
        <f t="shared" si="660"/>
        <v>0</v>
      </c>
      <c r="DA66" s="1806">
        <f t="shared" si="661"/>
        <v>0</v>
      </c>
      <c r="DB66" s="1791">
        <f t="shared" si="662"/>
        <v>0</v>
      </c>
      <c r="DC66" s="1808">
        <f t="shared" si="663"/>
        <v>0</v>
      </c>
      <c r="DD66" s="1807">
        <f t="shared" si="664"/>
        <v>0</v>
      </c>
      <c r="DE66" s="1807">
        <f t="shared" si="665"/>
        <v>0</v>
      </c>
      <c r="DF66" s="1806">
        <f t="shared" si="666"/>
        <v>0</v>
      </c>
      <c r="DG66" s="1791">
        <f t="shared" si="667"/>
        <v>0</v>
      </c>
      <c r="DH66" s="1808">
        <f t="shared" si="668"/>
        <v>0</v>
      </c>
      <c r="DI66" s="1807">
        <f t="shared" si="669"/>
        <v>0</v>
      </c>
      <c r="DJ66" s="1807">
        <f t="shared" si="670"/>
        <v>0</v>
      </c>
      <c r="DK66" s="1806">
        <f t="shared" si="671"/>
        <v>0</v>
      </c>
      <c r="DL66" s="1791">
        <f t="shared" si="672"/>
        <v>0</v>
      </c>
      <c r="DM66" s="1808">
        <f t="shared" si="673"/>
        <v>0</v>
      </c>
      <c r="DN66" s="1807">
        <f t="shared" si="674"/>
        <v>0</v>
      </c>
      <c r="DO66" s="1807">
        <f t="shared" si="675"/>
        <v>0</v>
      </c>
      <c r="DP66" s="1806">
        <f t="shared" si="676"/>
        <v>0</v>
      </c>
      <c r="DQ66" s="1791">
        <f t="shared" si="677"/>
        <v>0</v>
      </c>
      <c r="DR66" s="1808">
        <f t="shared" si="678"/>
        <v>0</v>
      </c>
      <c r="DS66" s="1807">
        <f t="shared" si="679"/>
        <v>0</v>
      </c>
      <c r="DT66" s="1807">
        <f t="shared" si="680"/>
        <v>0</v>
      </c>
      <c r="DU66" s="1806">
        <f t="shared" si="681"/>
        <v>0</v>
      </c>
      <c r="DV66" s="1791">
        <f t="shared" si="682"/>
        <v>0</v>
      </c>
    </row>
    <row r="67" spans="1:126">
      <c r="A67" s="455"/>
      <c r="B67" s="455"/>
      <c r="C67" s="1363" t="s">
        <v>215</v>
      </c>
      <c r="D67" s="94"/>
      <c r="E67" s="1817">
        <f t="shared" si="683"/>
        <v>110</v>
      </c>
      <c r="F67" s="1435">
        <v>110</v>
      </c>
      <c r="G67" s="1435">
        <v>110</v>
      </c>
      <c r="H67" s="1350">
        <v>2025</v>
      </c>
      <c r="I67" s="1335">
        <v>3.78E-2</v>
      </c>
      <c r="J67" s="1343">
        <v>4</v>
      </c>
      <c r="K67" s="1792"/>
      <c r="L67" s="1810">
        <f t="shared" si="571"/>
        <v>0</v>
      </c>
      <c r="M67" s="1791">
        <f t="shared" si="571"/>
        <v>0</v>
      </c>
      <c r="N67" s="1808">
        <f t="shared" si="572"/>
        <v>0</v>
      </c>
      <c r="O67" s="1807">
        <f t="shared" si="573"/>
        <v>0</v>
      </c>
      <c r="P67" s="1807">
        <f t="shared" si="574"/>
        <v>0</v>
      </c>
      <c r="Q67" s="1806">
        <f t="shared" si="575"/>
        <v>0</v>
      </c>
      <c r="R67" s="1791">
        <f t="shared" si="576"/>
        <v>0</v>
      </c>
      <c r="S67" s="1808">
        <f t="shared" si="577"/>
        <v>0</v>
      </c>
      <c r="T67" s="1807">
        <f t="shared" si="578"/>
        <v>0</v>
      </c>
      <c r="U67" s="1807">
        <f t="shared" si="579"/>
        <v>0</v>
      </c>
      <c r="V67" s="1806">
        <f t="shared" si="580"/>
        <v>0</v>
      </c>
      <c r="W67" s="1791">
        <f t="shared" si="581"/>
        <v>0</v>
      </c>
      <c r="X67" s="1808">
        <f t="shared" si="582"/>
        <v>0</v>
      </c>
      <c r="Y67" s="1807">
        <f t="shared" si="583"/>
        <v>0</v>
      </c>
      <c r="Z67" s="1807">
        <f t="shared" si="584"/>
        <v>0</v>
      </c>
      <c r="AA67" s="1806">
        <f t="shared" si="585"/>
        <v>0</v>
      </c>
      <c r="AB67" s="1791">
        <f t="shared" si="586"/>
        <v>0</v>
      </c>
      <c r="AC67" s="1808">
        <f t="shared" si="587"/>
        <v>0</v>
      </c>
      <c r="AD67" s="1807">
        <f t="shared" si="588"/>
        <v>0</v>
      </c>
      <c r="AE67" s="1807">
        <f t="shared" si="589"/>
        <v>0</v>
      </c>
      <c r="AF67" s="1806">
        <f t="shared" si="590"/>
        <v>0</v>
      </c>
      <c r="AG67" s="1791">
        <f t="shared" si="591"/>
        <v>0</v>
      </c>
      <c r="AH67" s="1808">
        <f t="shared" si="592"/>
        <v>0</v>
      </c>
      <c r="AI67" s="1807">
        <f t="shared" si="593"/>
        <v>0</v>
      </c>
      <c r="AJ67" s="1807">
        <f t="shared" si="594"/>
        <v>0</v>
      </c>
      <c r="AK67" s="1806">
        <f t="shared" si="595"/>
        <v>0</v>
      </c>
      <c r="AL67" s="1791">
        <f t="shared" si="596"/>
        <v>0</v>
      </c>
      <c r="AM67" s="1808">
        <f t="shared" si="597"/>
        <v>0</v>
      </c>
      <c r="AN67" s="1807">
        <f t="shared" si="598"/>
        <v>0</v>
      </c>
      <c r="AO67" s="1807">
        <f t="shared" si="599"/>
        <v>0</v>
      </c>
      <c r="AP67" s="1806">
        <f t="shared" si="600"/>
        <v>0</v>
      </c>
      <c r="AQ67" s="1791">
        <f t="shared" si="601"/>
        <v>0</v>
      </c>
      <c r="AR67" s="1808">
        <f t="shared" si="602"/>
        <v>0</v>
      </c>
      <c r="AS67" s="1807">
        <f t="shared" si="603"/>
        <v>0</v>
      </c>
      <c r="AT67" s="1807">
        <f t="shared" si="604"/>
        <v>0</v>
      </c>
      <c r="AU67" s="1806">
        <f t="shared" si="605"/>
        <v>0</v>
      </c>
      <c r="AV67" s="1791">
        <f t="shared" si="606"/>
        <v>0</v>
      </c>
      <c r="AW67" s="1808">
        <f t="shared" si="607"/>
        <v>0</v>
      </c>
      <c r="AX67" s="1807">
        <f t="shared" si="608"/>
        <v>0</v>
      </c>
      <c r="AY67" s="1807">
        <f t="shared" si="609"/>
        <v>0</v>
      </c>
      <c r="AZ67" s="1806">
        <f t="shared" si="610"/>
        <v>0</v>
      </c>
      <c r="BA67" s="1791">
        <f t="shared" si="611"/>
        <v>0</v>
      </c>
      <c r="BB67" s="1808">
        <f t="shared" si="612"/>
        <v>0</v>
      </c>
      <c r="BC67" s="1807">
        <f t="shared" si="613"/>
        <v>0</v>
      </c>
      <c r="BD67" s="1807">
        <f t="shared" si="614"/>
        <v>0</v>
      </c>
      <c r="BE67" s="1806">
        <f t="shared" si="615"/>
        <v>0</v>
      </c>
      <c r="BF67" s="1791">
        <f t="shared" si="616"/>
        <v>0</v>
      </c>
      <c r="BG67" s="1808">
        <f t="shared" si="617"/>
        <v>0</v>
      </c>
      <c r="BH67" s="1807">
        <f t="shared" si="618"/>
        <v>0</v>
      </c>
      <c r="BI67" s="1807">
        <f t="shared" si="619"/>
        <v>0</v>
      </c>
      <c r="BJ67" s="1806">
        <f t="shared" si="620"/>
        <v>0</v>
      </c>
      <c r="BK67" s="1791">
        <f t="shared" si="621"/>
        <v>0</v>
      </c>
      <c r="BL67" s="1808">
        <f t="shared" si="622"/>
        <v>0</v>
      </c>
      <c r="BM67" s="1807">
        <f t="shared" si="623"/>
        <v>0</v>
      </c>
      <c r="BN67" s="1807">
        <f t="shared" si="624"/>
        <v>0</v>
      </c>
      <c r="BO67" s="1806">
        <f t="shared" si="625"/>
        <v>0</v>
      </c>
      <c r="BP67" s="1791">
        <f t="shared" si="626"/>
        <v>0</v>
      </c>
      <c r="BQ67" s="1827"/>
      <c r="BR67" s="1991">
        <f t="shared" si="627"/>
        <v>0</v>
      </c>
      <c r="BS67" s="1991">
        <f t="shared" si="627"/>
        <v>0</v>
      </c>
      <c r="BT67" s="1992">
        <f t="shared" si="628"/>
        <v>0</v>
      </c>
      <c r="BU67" s="1992">
        <f t="shared" si="629"/>
        <v>0</v>
      </c>
      <c r="BV67" s="1992">
        <f t="shared" si="630"/>
        <v>0</v>
      </c>
      <c r="BW67" s="1992">
        <f t="shared" si="631"/>
        <v>0</v>
      </c>
      <c r="BX67" s="1810">
        <f t="shared" si="632"/>
        <v>0</v>
      </c>
      <c r="BY67" s="1807">
        <f t="shared" si="633"/>
        <v>0</v>
      </c>
      <c r="BZ67" s="1807">
        <f t="shared" si="634"/>
        <v>0</v>
      </c>
      <c r="CA67" s="1807">
        <f t="shared" si="635"/>
        <v>0</v>
      </c>
      <c r="CB67" s="1806">
        <f t="shared" si="636"/>
        <v>0</v>
      </c>
      <c r="CC67" s="1791">
        <f t="shared" si="637"/>
        <v>0</v>
      </c>
      <c r="CD67" s="1808">
        <f t="shared" si="638"/>
        <v>0</v>
      </c>
      <c r="CE67" s="1807">
        <f t="shared" si="639"/>
        <v>0</v>
      </c>
      <c r="CF67" s="1807">
        <f t="shared" si="640"/>
        <v>0</v>
      </c>
      <c r="CG67" s="1806">
        <f t="shared" si="641"/>
        <v>0</v>
      </c>
      <c r="CH67" s="1791">
        <f t="shared" si="642"/>
        <v>0</v>
      </c>
      <c r="CI67" s="1808">
        <f t="shared" si="643"/>
        <v>0</v>
      </c>
      <c r="CJ67" s="1807">
        <f t="shared" si="644"/>
        <v>0</v>
      </c>
      <c r="CK67" s="1807">
        <f t="shared" si="645"/>
        <v>0</v>
      </c>
      <c r="CL67" s="1806">
        <f t="shared" si="646"/>
        <v>0</v>
      </c>
      <c r="CM67" s="1791">
        <f t="shared" si="647"/>
        <v>0</v>
      </c>
      <c r="CN67" s="1808">
        <f t="shared" si="648"/>
        <v>0</v>
      </c>
      <c r="CO67" s="1807">
        <f t="shared" si="649"/>
        <v>0</v>
      </c>
      <c r="CP67" s="1807">
        <f t="shared" si="650"/>
        <v>0</v>
      </c>
      <c r="CQ67" s="1806">
        <f t="shared" si="651"/>
        <v>0</v>
      </c>
      <c r="CR67" s="1791">
        <f t="shared" si="652"/>
        <v>0</v>
      </c>
      <c r="CS67" s="1808">
        <f t="shared" si="653"/>
        <v>0</v>
      </c>
      <c r="CT67" s="1807">
        <f t="shared" si="654"/>
        <v>0</v>
      </c>
      <c r="CU67" s="1807">
        <f t="shared" si="655"/>
        <v>0</v>
      </c>
      <c r="CV67" s="1806">
        <f t="shared" si="656"/>
        <v>0</v>
      </c>
      <c r="CW67" s="1791">
        <f t="shared" si="657"/>
        <v>0</v>
      </c>
      <c r="CX67" s="1808">
        <f t="shared" si="658"/>
        <v>0</v>
      </c>
      <c r="CY67" s="1807">
        <f t="shared" si="659"/>
        <v>0</v>
      </c>
      <c r="CZ67" s="1807">
        <f t="shared" si="660"/>
        <v>0</v>
      </c>
      <c r="DA67" s="1806">
        <f t="shared" si="661"/>
        <v>0</v>
      </c>
      <c r="DB67" s="1791">
        <f t="shared" si="662"/>
        <v>0</v>
      </c>
      <c r="DC67" s="1808">
        <f t="shared" si="663"/>
        <v>0</v>
      </c>
      <c r="DD67" s="1807">
        <f t="shared" si="664"/>
        <v>0</v>
      </c>
      <c r="DE67" s="1807">
        <f t="shared" si="665"/>
        <v>0</v>
      </c>
      <c r="DF67" s="1806">
        <f t="shared" si="666"/>
        <v>0</v>
      </c>
      <c r="DG67" s="1791">
        <f t="shared" si="667"/>
        <v>0</v>
      </c>
      <c r="DH67" s="1808">
        <f t="shared" si="668"/>
        <v>0</v>
      </c>
      <c r="DI67" s="1807">
        <f t="shared" si="669"/>
        <v>0</v>
      </c>
      <c r="DJ67" s="1807">
        <f t="shared" si="670"/>
        <v>0</v>
      </c>
      <c r="DK67" s="1806">
        <f t="shared" si="671"/>
        <v>0</v>
      </c>
      <c r="DL67" s="1791">
        <f t="shared" si="672"/>
        <v>0</v>
      </c>
      <c r="DM67" s="1808">
        <f t="shared" si="673"/>
        <v>0</v>
      </c>
      <c r="DN67" s="1807">
        <f t="shared" si="674"/>
        <v>0</v>
      </c>
      <c r="DO67" s="1807">
        <f t="shared" si="675"/>
        <v>0</v>
      </c>
      <c r="DP67" s="1806">
        <f t="shared" si="676"/>
        <v>0</v>
      </c>
      <c r="DQ67" s="1791">
        <f t="shared" si="677"/>
        <v>0</v>
      </c>
      <c r="DR67" s="1808">
        <f t="shared" si="678"/>
        <v>0</v>
      </c>
      <c r="DS67" s="1807">
        <f t="shared" si="679"/>
        <v>0</v>
      </c>
      <c r="DT67" s="1807">
        <f t="shared" si="680"/>
        <v>0</v>
      </c>
      <c r="DU67" s="1806">
        <f t="shared" si="681"/>
        <v>0</v>
      </c>
      <c r="DV67" s="1791">
        <f t="shared" si="682"/>
        <v>0</v>
      </c>
    </row>
    <row r="68" spans="1:126">
      <c r="A68" s="455"/>
      <c r="B68" s="455"/>
      <c r="C68" s="1363"/>
      <c r="D68" s="94"/>
      <c r="E68" s="1817"/>
      <c r="F68" s="1435"/>
      <c r="G68" s="1435"/>
      <c r="H68" s="1350"/>
      <c r="I68" s="1335"/>
      <c r="J68" s="1343"/>
      <c r="K68" s="1792"/>
      <c r="L68" s="1810"/>
      <c r="M68" s="1791"/>
      <c r="N68" s="1808"/>
      <c r="O68" s="1807"/>
      <c r="P68" s="1807"/>
      <c r="Q68" s="1806"/>
      <c r="R68" s="1791"/>
      <c r="S68" s="1808"/>
      <c r="T68" s="1807"/>
      <c r="U68" s="1807"/>
      <c r="V68" s="1806"/>
      <c r="W68" s="1791"/>
      <c r="X68" s="1808"/>
      <c r="Y68" s="1807"/>
      <c r="Z68" s="1807"/>
      <c r="AA68" s="1806"/>
      <c r="AB68" s="1791"/>
      <c r="AC68" s="1808"/>
      <c r="AD68" s="1807"/>
      <c r="AE68" s="1807"/>
      <c r="AF68" s="1806"/>
      <c r="AG68" s="1791"/>
      <c r="AH68" s="1808"/>
      <c r="AI68" s="1807"/>
      <c r="AJ68" s="1807"/>
      <c r="AK68" s="1806"/>
      <c r="AL68" s="1791"/>
      <c r="AM68" s="1808"/>
      <c r="AN68" s="1807"/>
      <c r="AO68" s="1807"/>
      <c r="AP68" s="1806"/>
      <c r="AQ68" s="1791"/>
      <c r="AR68" s="1808"/>
      <c r="AS68" s="1807"/>
      <c r="AT68" s="1807"/>
      <c r="AU68" s="1806"/>
      <c r="AV68" s="1791"/>
      <c r="AW68" s="1808"/>
      <c r="AX68" s="1807"/>
      <c r="AY68" s="1807"/>
      <c r="AZ68" s="1806"/>
      <c r="BA68" s="1791"/>
      <c r="BB68" s="1808"/>
      <c r="BC68" s="1807"/>
      <c r="BD68" s="1807"/>
      <c r="BE68" s="1806"/>
      <c r="BF68" s="1791"/>
      <c r="BG68" s="1808"/>
      <c r="BH68" s="1807"/>
      <c r="BI68" s="1807"/>
      <c r="BJ68" s="1806"/>
      <c r="BK68" s="1791"/>
      <c r="BL68" s="1808"/>
      <c r="BM68" s="1807"/>
      <c r="BN68" s="1807"/>
      <c r="BO68" s="1806"/>
      <c r="BP68" s="1791"/>
      <c r="BQ68" s="1827"/>
      <c r="BR68" s="1991"/>
      <c r="BS68" s="1991"/>
      <c r="BT68" s="1992"/>
      <c r="BU68" s="1992"/>
      <c r="BV68" s="1992"/>
      <c r="BW68" s="1992"/>
      <c r="BX68" s="1810"/>
      <c r="BY68" s="1807"/>
      <c r="BZ68" s="1807"/>
      <c r="CA68" s="1807"/>
      <c r="CB68" s="1806"/>
      <c r="CC68" s="1791"/>
      <c r="CD68" s="1808"/>
      <c r="CE68" s="1807"/>
      <c r="CF68" s="1807"/>
      <c r="CG68" s="1806"/>
      <c r="CH68" s="1791"/>
      <c r="CI68" s="1808"/>
      <c r="CJ68" s="1807"/>
      <c r="CK68" s="1807"/>
      <c r="CL68" s="1806"/>
      <c r="CM68" s="1791"/>
      <c r="CN68" s="1808"/>
      <c r="CO68" s="1807"/>
      <c r="CP68" s="1807"/>
      <c r="CQ68" s="1806"/>
      <c r="CR68" s="1791"/>
      <c r="CS68" s="1808"/>
      <c r="CT68" s="1807"/>
      <c r="CU68" s="1807"/>
      <c r="CV68" s="1806"/>
      <c r="CW68" s="1791"/>
      <c r="CX68" s="1808"/>
      <c r="CY68" s="1807"/>
      <c r="CZ68" s="1807"/>
      <c r="DA68" s="1806"/>
      <c r="DB68" s="1791"/>
      <c r="DC68" s="1808"/>
      <c r="DD68" s="1807"/>
      <c r="DE68" s="1807"/>
      <c r="DF68" s="1806"/>
      <c r="DG68" s="1791"/>
      <c r="DH68" s="1808"/>
      <c r="DI68" s="1807"/>
      <c r="DJ68" s="1807"/>
      <c r="DK68" s="1806"/>
      <c r="DL68" s="1791"/>
      <c r="DM68" s="1808"/>
      <c r="DN68" s="1807"/>
      <c r="DO68" s="1807"/>
      <c r="DP68" s="1806"/>
      <c r="DQ68" s="1791"/>
      <c r="DR68" s="1808"/>
      <c r="DS68" s="1807"/>
      <c r="DT68" s="1807"/>
      <c r="DU68" s="1806"/>
      <c r="DV68" s="1791"/>
    </row>
    <row r="69" spans="1:126">
      <c r="A69" s="455"/>
      <c r="B69" s="455"/>
      <c r="C69" s="1596" t="s">
        <v>746</v>
      </c>
      <c r="D69" s="94"/>
      <c r="E69" s="1817"/>
      <c r="F69" s="455"/>
      <c r="G69" s="455"/>
      <c r="H69" s="1597"/>
      <c r="I69" s="1598"/>
      <c r="J69" s="1599"/>
      <c r="K69" s="1792"/>
      <c r="L69" s="1810">
        <f t="shared" ref="L69:M69" si="684">IF(L$5=$H69,-$E69,0)</f>
        <v>0</v>
      </c>
      <c r="M69" s="1791">
        <f t="shared" si="684"/>
        <v>0</v>
      </c>
      <c r="N69" s="1808">
        <f>IF(R69=0,0,IF(R69&lt;0,IF($J69=3,R69,IF($J69=2,R69,IF($J69=1,R69,0)))))</f>
        <v>0</v>
      </c>
      <c r="O69" s="1807">
        <f>IF(R69=0,0,IF(R69&lt;0,IF($J69=6,R69,IF($J69=5,R69,IF($J69=4,R69,0)))))</f>
        <v>0</v>
      </c>
      <c r="P69" s="1807">
        <f>IF(R69=0,0,IF(R69&lt;0,IF($J69=9,R69,IF($J69=8,R69,IF($J69=7,R69,0)))))</f>
        <v>0</v>
      </c>
      <c r="Q69" s="1806">
        <f>IF(R69=0,0,IF(R69&lt;0,IF($J69=12,R69,IF($J69=11,R69,IF($J69=10,R69,0)))))</f>
        <v>0</v>
      </c>
      <c r="R69" s="1791">
        <f>IF(R$5=$H69,-$E69,0)</f>
        <v>0</v>
      </c>
      <c r="S69" s="1808">
        <f>IF(W69=0,0,IF(W69&lt;0,IF($J69=3,W69,IF($J69=2,W69,IF($J69=1,W69,0)))))</f>
        <v>0</v>
      </c>
      <c r="T69" s="1807">
        <f>IF(W69=0,0,IF(W69&lt;0,IF($J69=6,W69,IF($J69=5,W69,IF($J69=4,W69,0)))))</f>
        <v>0</v>
      </c>
      <c r="U69" s="1807">
        <f>IF(W69=0,0,IF(W69&lt;0,IF($J69=9,W69,IF($J69=8,W69,IF($J69=7,W69,0)))))</f>
        <v>0</v>
      </c>
      <c r="V69" s="1806">
        <f>IF(W69=0,0,IF(W69&lt;0,IF($J69=12,W69,IF($J69=11,W69,IF($J69=10,W69,0)))))</f>
        <v>0</v>
      </c>
      <c r="W69" s="1791">
        <f>IF(W$5=$H69,-$E69,0)</f>
        <v>0</v>
      </c>
      <c r="X69" s="1808">
        <f>IF(AB69=0,0,IF(AB69&lt;0,IF($J69=3,AB69,IF($J69=2,AB69,IF($J69=1,AB69,0)))))</f>
        <v>0</v>
      </c>
      <c r="Y69" s="1807">
        <f>IF(AB69=0,0,IF(AB69&lt;0,IF($J69=6,AB69,IF($J69=5,AB69,IF($J69=4,AB69,0)))))</f>
        <v>0</v>
      </c>
      <c r="Z69" s="1807">
        <f>IF(AB69=0,0,IF(AB69&lt;0,IF($J69=9,AB69,IF($J69=8,AB69,IF($J69=7,AB69,0)))))</f>
        <v>0</v>
      </c>
      <c r="AA69" s="1806">
        <f>IF(AB69=0,0,IF(AB69&lt;0,IF($J69=12,AB69,IF($J69=11,AB69,IF($J69=10,AB69,0)))))</f>
        <v>0</v>
      </c>
      <c r="AB69" s="1791">
        <f>IF(AB$5=$H69,-$E69,0)</f>
        <v>0</v>
      </c>
      <c r="AC69" s="1808">
        <f>IF(AG69=0,0,IF(AG69&lt;0,IF($J69=3,AG69,IF($J69=2,AG69,IF($J69=1,AG69,0)))))</f>
        <v>0</v>
      </c>
      <c r="AD69" s="1807">
        <f>IF(AG69=0,0,IF(AG69&lt;0,IF($J69=6,AG69,IF($J69=5,AG69,IF($J69=4,AG69,0)))))</f>
        <v>0</v>
      </c>
      <c r="AE69" s="1807">
        <f>IF(AG69=0,0,IF(AG69&lt;0,IF($J69=9,AG69,IF($J69=8,AG69,IF($J69=7,AG69,0)))))</f>
        <v>0</v>
      </c>
      <c r="AF69" s="1806">
        <f>IF(AG69=0,0,IF(AG69&lt;0,IF($J69=12,AG69,IF($J69=11,AG69,IF($J69=10,AG69,0)))))</f>
        <v>0</v>
      </c>
      <c r="AG69" s="1791">
        <f>IF(AG$5=$H69,-$E69,0)</f>
        <v>0</v>
      </c>
      <c r="AH69" s="1808">
        <f>IF(AL69=0,0,IF(AL69&lt;0,IF($J69=3,AL69,IF($J69=2,AL69,IF($J69=1,AL69,0)))))</f>
        <v>0</v>
      </c>
      <c r="AI69" s="1807">
        <f>IF(AL69=0,0,IF(AL69&lt;0,IF($J69=6,AL69,IF($J69=5,AL69,IF($J69=4,AL69,0)))))</f>
        <v>0</v>
      </c>
      <c r="AJ69" s="1807">
        <f>IF(AL69=0,0,IF(AL69&lt;0,IF($J69=9,AL69,IF($J69=8,AL69,IF($J69=7,AL69,0)))))</f>
        <v>0</v>
      </c>
      <c r="AK69" s="1806">
        <f>IF(AL69=0,0,IF(AL69&lt;0,IF($J69=12,AL69,IF($J69=11,AL69,IF($J69=10,AL69,0)))))</f>
        <v>0</v>
      </c>
      <c r="AL69" s="1791">
        <f>IF(AL$5=$H69,-$E69,0)</f>
        <v>0</v>
      </c>
      <c r="AM69" s="1808">
        <f>IF(AQ69=0,0,IF(AQ69&lt;0,IF($J69=3,AQ69,IF($J69=2,AQ69,IF($J69=1,AQ69,0)))))</f>
        <v>0</v>
      </c>
      <c r="AN69" s="1807">
        <f>IF(AQ69=0,0,IF(AQ69&lt;0,IF($J69=6,AQ69,IF($J69=5,AQ69,IF($J69=4,AQ69,0)))))</f>
        <v>0</v>
      </c>
      <c r="AO69" s="1807">
        <f>IF(AQ69=0,0,IF(AQ69&lt;0,IF($J69=9,AQ69,IF($J69=8,AQ69,IF($J69=7,AQ69,0)))))</f>
        <v>0</v>
      </c>
      <c r="AP69" s="1806">
        <f>IF(AQ69=0,0,IF(AQ69&lt;0,IF($J69=12,AQ69,IF($J69=11,AQ69,IF($J69=10,AQ69,0)))))</f>
        <v>0</v>
      </c>
      <c r="AQ69" s="1791">
        <f>IF(AQ$5=$H69,-$E69,0)</f>
        <v>0</v>
      </c>
      <c r="AR69" s="1808">
        <f>IF(AV69=0,0,IF(AV69&lt;0,IF($J69=3,AV69,IF($J69=2,AV69,IF($J69=1,AV69,0)))))</f>
        <v>0</v>
      </c>
      <c r="AS69" s="1807">
        <f>IF(AV69=0,0,IF(AV69&lt;0,IF($J69=6,AV69,IF($J69=5,AV69,IF($J69=4,AV69,0)))))</f>
        <v>0</v>
      </c>
      <c r="AT69" s="1807">
        <f>IF(AV69=0,0,IF(AV69&lt;0,IF($J69=9,AV69,IF($J69=8,AV69,IF($J69=7,AV69,0)))))</f>
        <v>0</v>
      </c>
      <c r="AU69" s="1806">
        <f>IF(AV69=0,0,IF(AV69&lt;0,IF($J69=12,AV69,IF($J69=11,AV69,IF($J69=10,AV69,0)))))</f>
        <v>0</v>
      </c>
      <c r="AV69" s="1791">
        <f>IF(AV$5=$H69,-$E69,0)</f>
        <v>0</v>
      </c>
      <c r="AW69" s="1808">
        <f>IF(BA69=0,0,IF(BA69&lt;0,IF($J69=3,BA69,IF($J69=2,BA69,IF($J69=1,BA69,0)))))</f>
        <v>0</v>
      </c>
      <c r="AX69" s="1807">
        <f>IF(BA69=0,0,IF(BA69&lt;0,IF($J69=6,BA69,IF($J69=5,BA69,IF($J69=4,BA69,0)))))</f>
        <v>0</v>
      </c>
      <c r="AY69" s="1807">
        <f>IF(BA69=0,0,IF(BA69&lt;0,IF($J69=9,BA69,IF($J69=8,BA69,IF($J69=7,BA69,0)))))</f>
        <v>0</v>
      </c>
      <c r="AZ69" s="1806">
        <f>IF(BA69=0,0,IF(BA69&lt;0,IF($J69=12,BA69,IF($J69=11,BA69,IF($J69=10,BA69,0)))))</f>
        <v>0</v>
      </c>
      <c r="BA69" s="1791">
        <f>IF(BA$5=$H69,-$E69,0)</f>
        <v>0</v>
      </c>
      <c r="BB69" s="1808">
        <f>IF(BF69=0,0,IF(BF69&lt;0,IF($J69=3,BF69,IF($J69=2,BF69,IF($J69=1,BF69,0)))))</f>
        <v>0</v>
      </c>
      <c r="BC69" s="1807">
        <f>IF(BF69=0,0,IF(BF69&lt;0,IF($J69=6,BF69,IF($J69=5,BF69,IF($J69=4,BF69,0)))))</f>
        <v>0</v>
      </c>
      <c r="BD69" s="1807">
        <f>IF(BF69=0,0,IF(BF69&lt;0,IF($J69=9,BF69,IF($J69=8,BF69,IF($J69=7,BF69,0)))))</f>
        <v>0</v>
      </c>
      <c r="BE69" s="1806">
        <f>IF(BF69=0,0,IF(BF69&lt;0,IF($J69=12,BF69,IF($J69=11,BF69,IF($J69=10,BF69,0)))))</f>
        <v>0</v>
      </c>
      <c r="BF69" s="1791">
        <f>IF(BF$5=$H69,-$E69,0)</f>
        <v>0</v>
      </c>
      <c r="BG69" s="1808">
        <f>IF(BK69=0,0,IF(BK69&lt;0,IF($J69=3,BK69,IF($J69=2,BK69,IF($J69=1,BK69,0)))))</f>
        <v>0</v>
      </c>
      <c r="BH69" s="1807">
        <f>IF(BK69=0,0,IF(BK69&lt;0,IF($J69=6,BK69,IF($J69=5,BK69,IF($J69=4,BK69,0)))))</f>
        <v>0</v>
      </c>
      <c r="BI69" s="1807">
        <f>IF(BK69=0,0,IF(BK69&lt;0,IF($J69=9,BK69,IF($J69=8,BK69,IF($J69=7,BK69,0)))))</f>
        <v>0</v>
      </c>
      <c r="BJ69" s="1806">
        <f>IF(BK69=0,0,IF(BK69&lt;0,IF($J69=12,BK69,IF($J69=11,BK69,IF($J69=10,BK69,0)))))</f>
        <v>0</v>
      </c>
      <c r="BK69" s="1791">
        <f>IF(BK$5=$H69,-$E69,0)</f>
        <v>0</v>
      </c>
      <c r="BL69" s="1808">
        <f>IF(BP69=0,0,IF(BP69&lt;0,IF($J69=3,BP69,IF($J69=2,BP69,IF($J69=1,BP69,0)))))</f>
        <v>0</v>
      </c>
      <c r="BM69" s="1807">
        <f>IF(BP69=0,0,IF(BP69&lt;0,IF($J69=6,BP69,IF($J69=5,BP69,IF($J69=4,BP69,0)))))</f>
        <v>0</v>
      </c>
      <c r="BN69" s="1807">
        <f>IF(BP69=0,0,IF(BP69&lt;0,IF($J69=9,BP69,IF($J69=8,BP69,IF($J69=7,BP69,0)))))</f>
        <v>0</v>
      </c>
      <c r="BO69" s="1806">
        <f>IF(BP69=0,0,IF(BP69&lt;0,IF($J69=12,BP69,IF($J69=11,BP69,IF($J69=10,BP69,0)))))</f>
        <v>0</v>
      </c>
      <c r="BP69" s="1791">
        <f>IF(BP$5=$H69,-$E69,0)</f>
        <v>0</v>
      </c>
      <c r="BQ69" s="1827"/>
      <c r="BR69" s="1991">
        <f t="shared" ref="BR69:BS69" si="685">IF(AND(BQ69&lt;&gt;0,BQ$5=$H69),-$I69*$E69-BQ69,IF(BR$5=$H69,-$I69*$E69*(12-$J69+1)/12,0))</f>
        <v>0</v>
      </c>
      <c r="BS69" s="1991">
        <f t="shared" si="685"/>
        <v>0</v>
      </c>
      <c r="BT69" s="1992">
        <f>IF($H69&lt;&gt;BX$5,0,IF(BX69&lt;0,IF($J69=1,-$E69*$I69/12*3,IF($J69=2,-$E69*$I69/12*2,IF($J69=3,-$E69*$I69/12*1,0)))))+IF(BS$5&lt;&gt;$H69,0,IF(BS69&lt;0,IF($J69=1,-$E69*$I69/12*0,IF($J69=2,-$E69*$I69/12*1,IF($J69=3,-$E69*$I69/12*2,IF($J69&gt;=4,-$E69*$I69/12*3,0))))))</f>
        <v>0</v>
      </c>
      <c r="BU69" s="1992">
        <f>IF($H69&lt;&gt;BX$5,0,IF(BX69&lt;0,IF(OR($J69=1,$J69=2,$J69=3,$J69=4),-$E69*$I69/12*3,IF($J69=5,-$E69*$I69/12*2,IF($J69=6,-$E69*$I69/12*1,0)))))+IF(BS$5&lt;&gt;$H69,0,IF(BS69&lt;0,IF($J69=4,-$E69*$I69/12*0,IF($J69=5,-$E69*$I69/12*1,IF($J69=6,-$E69*$I69/12*2,IF($J69&gt;=7,-$E69*$I69/12*3,0))))))</f>
        <v>0</v>
      </c>
      <c r="BV69" s="1992">
        <f>IF($H69&lt;&gt;BX$5,0,IF(BX69&lt;0,IF(OR($J69=1,$J69=2,$J69=3,$J69=4,$J69=5,$J69=6,$J69=7),-$E69*$I69/12*3,IF($J69=8,-$E69*$I69/12*2,IF($J69=9,-$E69*$I69/12*1,0)))))+IF(BS$5&lt;&gt;$H69,0,IF(BS69&lt;0,IF($J69=7,-$E69*$I69/12*0,IF($J69=8,-$E69*$I69/12*1,IF($J69=9,-$E69*$I69/12*2,IF($J69&gt;=10,-$E69*$I69/12*3,0))))))</f>
        <v>0</v>
      </c>
      <c r="BW69" s="1992">
        <f>IF($H69&lt;&gt;BX$5,0,IF(BX69&lt;0,IF(OR($J69=1,$J69=2,$J69=3,$J69=4,$J69=5,$J69=6,$J69=7,$J69=8,$J69=9,$J69=10),-$E69*$I69/12*3,IF($J69=11,-$E69*$I69/12*2,IF($J69=12,-$E69*$I69/12*1,0)))))+IF(BS$5&lt;&gt;$H69,0,IF(BS69&lt;0,IF($J69=10,-$E69*$I69/12*0,IF($J69=11,-$E69*$I69/12*1,IF($J69=12,-$E69*$I69/12*2,0)))))</f>
        <v>0</v>
      </c>
      <c r="BX69" s="1810">
        <f>IF(AND(BS69&lt;&gt;0,BS$5=$H69),-$I69*$E69-BS69,IF(BX$5=$H69,-$I69*$E69*(12-$J69+1)/12,0))</f>
        <v>0</v>
      </c>
      <c r="BY69" s="1807">
        <f>IF($H69&lt;&gt;CC$5,0,IF(CC69&lt;0,IF($J69=1,-$E69*$I69/12*3,IF($J69=2,-$E69*$I69/12*2,IF($J69=3,-$E69*$I69/12*1,0)))))+IF(BX$5&lt;&gt;$H69,0,IF(BX69&lt;0,IF($J69=1,-$E69*$I69/12*0,IF($J69=2,-$E69*$I69/12*1,IF($J69=3,-$E69*$I69/12*2,IF($J69&gt;=4,-$E69*$I69/12*3,0))))))</f>
        <v>0</v>
      </c>
      <c r="BZ69" s="1807">
        <f>IF($H69&lt;&gt;CC$5,0,IF(CC69&lt;0,IF(OR($J69=1,$J69=2,$J69=3,$J69=4),-$E69*$I69/12*3,IF($J69=5,-$E69*$I69/12*2,IF($J69=6,-$E69*$I69/12*1,0)))))+IF(BX$5&lt;&gt;$H69,0,IF(BX69&lt;0,IF($J69=4,-$E69*$I69/12*0,IF($J69=5,-$E69*$I69/12*1,IF($J69=6,-$E69*$I69/12*2,IF($J69&gt;=7,-$E69*$I69/12*3,0))))))</f>
        <v>0</v>
      </c>
      <c r="CA69" s="1807">
        <f>IF($H69&lt;&gt;CC$5,0,IF(CC69&lt;0,IF(OR($J69=1,$J69=2,$J69=3,$J69=4,$J69=5,$J69=6,$J69=7),-$E69*$I69/12*3,IF($J69=8,-$E69*$I69/12*2,IF($J69=9,-$E69*$I69/12*1,0)))))+IF(BX$5&lt;&gt;$H69,0,IF(BX69&lt;0,IF($J69=7,-$E69*$I69/12*0,IF($J69=8,-$E69*$I69/12*1,IF($J69=9,-$E69*$I69/12*2,IF($J69&gt;=10,-$E69*$I69/12*3,0))))))</f>
        <v>0</v>
      </c>
      <c r="CB69" s="1806">
        <f>IF($H69&lt;&gt;CC$5,0,IF(CC69&lt;0,IF(OR($J69=1,$J69=2,$J69=3,$J69=4,$J69=5,$J69=6,$J69=7,$J69=8,$J69=9,$J69=10),-$E69*$I69/12*3,IF($J69=11,-$E69*$I69/12*2,IF($J69=12,-$E69*$I69/12*1,0)))))+IF(BX$5&lt;&gt;$H69,0,IF(BX69&lt;0,IF($J69=10,-$E69*$I69/12*0,IF($J69=11,-$E69*$I69/12*1,IF($J69=12,-$E69*$I69/12*2,0)))))</f>
        <v>0</v>
      </c>
      <c r="CC69" s="1791">
        <f>IF(AND(BX69&lt;&gt;0,BX$5=$H69),-$I69*$E69-BX69,IF(CC$5=$H69,-$I69*$E69*(12-$J69+1)/12,0))</f>
        <v>0</v>
      </c>
      <c r="CD69" s="1808">
        <f>IF($H69&lt;&gt;CH$5,0,IF(CH69&lt;0,IF($J69=1,-$E69*$I69/12*3,IF($J69=2,-$E69*$I69/12*2,IF($J69=3,-$E69*$I69/12*1,0)))))+IF(CC$5&lt;&gt;$H69,0,IF(CC69&lt;0,IF($J69=1,-$E69*$I69/12*0,IF($J69=2,-$E69*$I69/12*1,IF($J69=3,-$E69*$I69/12*2,IF($J69&gt;=4,-$E69*$I69/12*3,0))))))</f>
        <v>0</v>
      </c>
      <c r="CE69" s="1807">
        <f>IF($H69&lt;&gt;CH$5,0,IF(CH69&lt;0,IF(OR($J69=1,$J69=2,$J69=3,$J69=4),-$E69*$I69/12*3,IF($J69=5,-$E69*$I69/12*2,IF($J69=6,-$E69*$I69/12*1,0)))))+IF(CC$5&lt;&gt;$H69,0,IF(CC69&lt;0,IF($J69=4,-$E69*$I69/12*0,IF($J69=5,-$E69*$I69/12*1,IF($J69=6,-$E69*$I69/12*2,IF($J69&gt;=7,-$E69*$I69/12*3,0))))))</f>
        <v>0</v>
      </c>
      <c r="CF69" s="1807">
        <f>IF($H69&lt;&gt;CH$5,0,IF(CH69&lt;0,IF(OR($J69=1,$J69=2,$J69=3,$J69=4,$J69=5,$J69=6,$J69=7),-$E69*$I69/12*3,IF($J69=8,-$E69*$I69/12*2,IF($J69=9,-$E69*$I69/12*1,0)))))+IF(CC$5&lt;&gt;$H69,0,IF(CC69&lt;0,IF($J69=7,-$E69*$I69/12*0,IF($J69=8,-$E69*$I69/12*1,IF($J69=9,-$E69*$I69/12*2,IF($J69&gt;=10,-$E69*$I69/12*3,0))))))</f>
        <v>0</v>
      </c>
      <c r="CG69" s="1806">
        <f>IF($H69&lt;&gt;CH$5,0,IF(CH69&lt;0,IF(OR($J69=1,$J69=2,$J69=3,$J69=4,$J69=5,$J69=6,$J69=7,$J69=8,$J69=9,$J69=10),-$E69*$I69/12*3,IF($J69=11,-$E69*$I69/12*2,IF($J69=12,-$E69*$I69/12*1,0)))))+IF(CC$5&lt;&gt;$H69,0,IF(CC69&lt;0,IF($J69=10,-$E69*$I69/12*0,IF($J69=11,-$E69*$I69/12*1,IF($J69=12,-$E69*$I69/12*2,0)))))</f>
        <v>0</v>
      </c>
      <c r="CH69" s="1791">
        <f>IF(AND(CC69&lt;&gt;0,CC$5=$H69),-$I69*$E69-CC69,IF(CH$5=$H69,-$I69*$E69*(12-$J69+1)/12,0))</f>
        <v>0</v>
      </c>
      <c r="CI69" s="1808">
        <f>IF($H69&lt;&gt;CM$5,0,IF(CM69&lt;0,IF($J69=1,-$E69*$I69/12*3,IF($J69=2,-$E69*$I69/12*2,IF($J69=3,-$E69*$I69/12*1,0)))))+IF(CH$5&lt;&gt;$H69,0,IF(CH69&lt;0,IF($J69=1,-$E69*$I69/12*0,IF($J69=2,-$E69*$I69/12*1,IF($J69=3,-$E69*$I69/12*2,IF($J69&gt;=4,-$E69*$I69/12*3,0))))))</f>
        <v>0</v>
      </c>
      <c r="CJ69" s="1807">
        <f>IF($H69&lt;&gt;CM$5,0,IF(CM69&lt;0,IF(OR($J69=1,$J69=2,$J69=3,$J69=4),-$E69*$I69/12*3,IF($J69=5,-$E69*$I69/12*2,IF($J69=6,-$E69*$I69/12*1,0)))))+IF(CH$5&lt;&gt;$H69,0,IF(CH69&lt;0,IF($J69=4,-$E69*$I69/12*0,IF($J69=5,-$E69*$I69/12*1,IF($J69=6,-$E69*$I69/12*2,IF($J69&gt;=7,-$E69*$I69/12*3,0))))))</f>
        <v>0</v>
      </c>
      <c r="CK69" s="1807">
        <f>IF($H69&lt;&gt;CM$5,0,IF(CM69&lt;0,IF(OR($J69=1,$J69=2,$J69=3,$J69=4,$J69=5,$J69=6,$J69=7),-$E69*$I69/12*3,IF($J69=8,-$E69*$I69/12*2,IF($J69=9,-$E69*$I69/12*1,0)))))+IF(CH$5&lt;&gt;$H69,0,IF(CH69&lt;0,IF($J69=7,-$E69*$I69/12*0,IF($J69=8,-$E69*$I69/12*1,IF($J69=9,-$E69*$I69/12*2,IF($J69&gt;=10,-$E69*$I69/12*3,0))))))</f>
        <v>0</v>
      </c>
      <c r="CL69" s="1806">
        <f>IF($H69&lt;&gt;CM$5,0,IF(CM69&lt;0,IF(OR($J69=1,$J69=2,$J69=3,$J69=4,$J69=5,$J69=6,$J69=7,$J69=8,$J69=9,$J69=10),-$E69*$I69/12*3,IF($J69=11,-$E69*$I69/12*2,IF($J69=12,-$E69*$I69/12*1,0)))))+IF(CH$5&lt;&gt;$H69,0,IF(CH69&lt;0,IF($J69=10,-$E69*$I69/12*0,IF($J69=11,-$E69*$I69/12*1,IF($J69=12,-$E69*$I69/12*2,0)))))</f>
        <v>0</v>
      </c>
      <c r="CM69" s="1791">
        <f>IF(AND(CH69&lt;&gt;0,CH$5=$H69),-$I69*$E69-CH69,IF(CM$5=$H69,-$I69*$E69*(12-$J69+1)/12,0))</f>
        <v>0</v>
      </c>
      <c r="CN69" s="1808">
        <f>IF($H69&lt;&gt;CR$5,0,IF(CR69&lt;0,IF($J69=1,-$E69*$I69/12*3,IF($J69=2,-$E69*$I69/12*2,IF($J69=3,-$E69*$I69/12*1,0)))))+IF(CM$5&lt;&gt;$H69,0,IF(CM69&lt;0,IF($J69=1,-$E69*$I69/12*0,IF($J69=2,-$E69*$I69/12*1,IF($J69=3,-$E69*$I69/12*2,IF($J69&gt;=4,-$E69*$I69/12*3,0))))))</f>
        <v>0</v>
      </c>
      <c r="CO69" s="1807">
        <f>IF($H69&lt;&gt;CR$5,0,IF(CR69&lt;0,IF(OR($J69=1,$J69=2,$J69=3,$J69=4),-$E69*$I69/12*3,IF($J69=5,-$E69*$I69/12*2,IF($J69=6,-$E69*$I69/12*1,0)))))+IF(CM$5&lt;&gt;$H69,0,IF(CM69&lt;0,IF($J69=4,-$E69*$I69/12*0,IF($J69=5,-$E69*$I69/12*1,IF($J69=6,-$E69*$I69/12*2,IF($J69&gt;=7,-$E69*$I69/12*3,0))))))</f>
        <v>0</v>
      </c>
      <c r="CP69" s="1807">
        <f>IF($H69&lt;&gt;CR$5,0,IF(CR69&lt;0,IF(OR($J69=1,$J69=2,$J69=3,$J69=4,$J69=5,$J69=6,$J69=7),-$E69*$I69/12*3,IF($J69=8,-$E69*$I69/12*2,IF($J69=9,-$E69*$I69/12*1,0)))))+IF(CM$5&lt;&gt;$H69,0,IF(CM69&lt;0,IF($J69=7,-$E69*$I69/12*0,IF($J69=8,-$E69*$I69/12*1,IF($J69=9,-$E69*$I69/12*2,IF($J69&gt;=10,-$E69*$I69/12*3,0))))))</f>
        <v>0</v>
      </c>
      <c r="CQ69" s="1806">
        <f>IF($H69&lt;&gt;CR$5,0,IF(CR69&lt;0,IF(OR($J69=1,$J69=2,$J69=3,$J69=4,$J69=5,$J69=6,$J69=7,$J69=8,$J69=9,$J69=10),-$E69*$I69/12*3,IF($J69=11,-$E69*$I69/12*2,IF($J69=12,-$E69*$I69/12*1,0)))))+IF(CM$5&lt;&gt;$H69,0,IF(CM69&lt;0,IF($J69=10,-$E69*$I69/12*0,IF($J69=11,-$E69*$I69/12*1,IF($J69=12,-$E69*$I69/12*2,0)))))</f>
        <v>0</v>
      </c>
      <c r="CR69" s="1791">
        <f>IF(AND(CM69&lt;&gt;0,CM$5=$H69),-$I69*$E69-CM69,IF(CR$5=$H69,-$I69*$E69*(12-$J69+1)/12,0))</f>
        <v>0</v>
      </c>
      <c r="CS69" s="1808">
        <f>IF($H69&lt;&gt;CW$5,0,IF(CW69&lt;0,IF($J69=1,-$E69*$I69/12*3,IF($J69=2,-$E69*$I69/12*2,IF($J69=3,-$E69*$I69/12*1,0)))))+IF(CR$5&lt;&gt;$H69,0,IF(CR69&lt;0,IF($J69=1,-$E69*$I69/12*0,IF($J69=2,-$E69*$I69/12*1,IF($J69=3,-$E69*$I69/12*2,IF($J69&gt;=4,-$E69*$I69/12*3,0))))))</f>
        <v>0</v>
      </c>
      <c r="CT69" s="1807">
        <f>IF($H69&lt;&gt;CW$5,0,IF(CW69&lt;0,IF(OR($J69=1,$J69=2,$J69=3,$J69=4),-$E69*$I69/12*3,IF($J69=5,-$E69*$I69/12*2,IF($J69=6,-$E69*$I69/12*1,0)))))+IF(CR$5&lt;&gt;$H69,0,IF(CR69&lt;0,IF($J69=4,-$E69*$I69/12*0,IF($J69=5,-$E69*$I69/12*1,IF($J69=6,-$E69*$I69/12*2,IF($J69&gt;=7,-$E69*$I69/12*3,0))))))</f>
        <v>0</v>
      </c>
      <c r="CU69" s="1807">
        <f>IF($H69&lt;&gt;CW$5,0,IF(CW69&lt;0,IF(OR($J69=1,$J69=2,$J69=3,$J69=4,$J69=5,$J69=6,$J69=7),-$E69*$I69/12*3,IF($J69=8,-$E69*$I69/12*2,IF($J69=9,-$E69*$I69/12*1,0)))))+IF(CR$5&lt;&gt;$H69,0,IF(CR69&lt;0,IF($J69=7,-$E69*$I69/12*0,IF($J69=8,-$E69*$I69/12*1,IF($J69=9,-$E69*$I69/12*2,IF($J69&gt;=10,-$E69*$I69/12*3,0))))))</f>
        <v>0</v>
      </c>
      <c r="CV69" s="1806">
        <f>IF($H69&lt;&gt;CW$5,0,IF(CW69&lt;0,IF(OR($J69=1,$J69=2,$J69=3,$J69=4,$J69=5,$J69=6,$J69=7,$J69=8,$J69=9,$J69=10),-$E69*$I69/12*3,IF($J69=11,-$E69*$I69/12*2,IF($J69=12,-$E69*$I69/12*1,0)))))+IF(CR$5&lt;&gt;$H69,0,IF(CR69&lt;0,IF($J69=10,-$E69*$I69/12*0,IF($J69=11,-$E69*$I69/12*1,IF($J69=12,-$E69*$I69/12*2,0)))))</f>
        <v>0</v>
      </c>
      <c r="CW69" s="1791">
        <f>IF(AND(CR69&lt;&gt;0,CR$5=$H69),-$I69*$E69-CR69,IF(CW$5=$H69,-$I69*$E69*(12-$J69+1)/12,0))</f>
        <v>0</v>
      </c>
      <c r="CX69" s="1808">
        <f>IF($H69&lt;&gt;DB$5,0,IF(DB69&lt;0,IF($J69=1,-$E69*$I69/12*3,IF($J69=2,-$E69*$I69/12*2,IF($J69=3,-$E69*$I69/12*1,0)))))+IF(CW$5&lt;&gt;$H69,0,IF(CW69&lt;0,IF($J69=1,-$E69*$I69/12*0,IF($J69=2,-$E69*$I69/12*1,IF($J69=3,-$E69*$I69/12*2,IF($J69&gt;=4,-$E69*$I69/12*3,0))))))</f>
        <v>0</v>
      </c>
      <c r="CY69" s="1807">
        <f>IF($H69&lt;&gt;DB$5,0,IF(DB69&lt;0,IF(OR($J69=1,$J69=2,$J69=3,$J69=4),-$E69*$I69/12*3,IF($J69=5,-$E69*$I69/12*2,IF($J69=6,-$E69*$I69/12*1,0)))))+IF(CW$5&lt;&gt;$H69,0,IF(CW69&lt;0,IF($J69=4,-$E69*$I69/12*0,IF($J69=5,-$E69*$I69/12*1,IF($J69=6,-$E69*$I69/12*2,IF($J69&gt;=7,-$E69*$I69/12*3,0))))))</f>
        <v>0</v>
      </c>
      <c r="CZ69" s="1807">
        <f>IF($H69&lt;&gt;DB$5,0,IF(DB69&lt;0,IF(OR($J69=1,$J69=2,$J69=3,$J69=4,$J69=5,$J69=6,$J69=7),-$E69*$I69/12*3,IF($J69=8,-$E69*$I69/12*2,IF($J69=9,-$E69*$I69/12*1,0)))))+IF(CW$5&lt;&gt;$H69,0,IF(CW69&lt;0,IF($J69=7,-$E69*$I69/12*0,IF($J69=8,-$E69*$I69/12*1,IF($J69=9,-$E69*$I69/12*2,IF($J69&gt;=10,-$E69*$I69/12*3,0))))))</f>
        <v>0</v>
      </c>
      <c r="DA69" s="1806">
        <f>IF($H69&lt;&gt;DB$5,0,IF(DB69&lt;0,IF(OR($J69=1,$J69=2,$J69=3,$J69=4,$J69=5,$J69=6,$J69=7,$J69=8,$J69=9,$J69=10),-$E69*$I69/12*3,IF($J69=11,-$E69*$I69/12*2,IF($J69=12,-$E69*$I69/12*1,0)))))+IF(CW$5&lt;&gt;$H69,0,IF(CW69&lt;0,IF($J69=10,-$E69*$I69/12*0,IF($J69=11,-$E69*$I69/12*1,IF($J69=12,-$E69*$I69/12*2,0)))))</f>
        <v>0</v>
      </c>
      <c r="DB69" s="1791">
        <f>IF(AND(CW69&lt;&gt;0,CW$5=$H69),-$I69*$E69-CW69,IF(DB$5=$H69,-$I69*$E69*(12-$J69+1)/12,0))</f>
        <v>0</v>
      </c>
      <c r="DC69" s="1808">
        <f>IF($H69&lt;&gt;DG$5,0,IF(DG69&lt;0,IF($J69=1,-$E69*$I69/12*3,IF($J69=2,-$E69*$I69/12*2,IF($J69=3,-$E69*$I69/12*1,0)))))+IF(DB$5&lt;&gt;$H69,0,IF(DB69&lt;0,IF($J69=1,-$E69*$I69/12*0,IF($J69=2,-$E69*$I69/12*1,IF($J69=3,-$E69*$I69/12*2,IF($J69&gt;=4,-$E69*$I69/12*3,0))))))</f>
        <v>0</v>
      </c>
      <c r="DD69" s="1807">
        <f>IF($H69&lt;&gt;DG$5,0,IF(DG69&lt;0,IF(OR($J69=1,$J69=2,$J69=3,$J69=4),-$E69*$I69/12*3,IF($J69=5,-$E69*$I69/12*2,IF($J69=6,-$E69*$I69/12*1,0)))))+IF(DB$5&lt;&gt;$H69,0,IF(DB69&lt;0,IF($J69=4,-$E69*$I69/12*0,IF($J69=5,-$E69*$I69/12*1,IF($J69=6,-$E69*$I69/12*2,IF($J69&gt;=7,-$E69*$I69/12*3,0))))))</f>
        <v>0</v>
      </c>
      <c r="DE69" s="1807">
        <f>IF($H69&lt;&gt;DG$5,0,IF(DG69&lt;0,IF(OR($J69=1,$J69=2,$J69=3,$J69=4,$J69=5,$J69=6,$J69=7),-$E69*$I69/12*3,IF($J69=8,-$E69*$I69/12*2,IF($J69=9,-$E69*$I69/12*1,0)))))+IF(DB$5&lt;&gt;$H69,0,IF(DB69&lt;0,IF($J69=7,-$E69*$I69/12*0,IF($J69=8,-$E69*$I69/12*1,IF($J69=9,-$E69*$I69/12*2,IF($J69&gt;=10,-$E69*$I69/12*3,0))))))</f>
        <v>0</v>
      </c>
      <c r="DF69" s="1806">
        <f>IF($H69&lt;&gt;DG$5,0,IF(DG69&lt;0,IF(OR($J69=1,$J69=2,$J69=3,$J69=4,$J69=5,$J69=6,$J69=7,$J69=8,$J69=9,$J69=10),-$E69*$I69/12*3,IF($J69=11,-$E69*$I69/12*2,IF($J69=12,-$E69*$I69/12*1,0)))))+IF(DB$5&lt;&gt;$H69,0,IF(DB69&lt;0,IF($J69=10,-$E69*$I69/12*0,IF($J69=11,-$E69*$I69/12*1,IF($J69=12,-$E69*$I69/12*2,0)))))</f>
        <v>0</v>
      </c>
      <c r="DG69" s="1791">
        <f>IF(AND(DB69&lt;&gt;0,DB$5=$H69),-$I69*$E69-DB69,IF(DG$5=$H69,-$I69*$E69*(12-$J69+1)/12,0))</f>
        <v>0</v>
      </c>
      <c r="DH69" s="1808">
        <f>IF($H69&lt;&gt;DL$5,0,IF(DL69&lt;0,IF($J69=1,-$E69*$I69/12*3,IF($J69=2,-$E69*$I69/12*2,IF($J69=3,-$E69*$I69/12*1,0)))))+IF(DG$5&lt;&gt;$H69,0,IF(DG69&lt;0,IF($J69=1,-$E69*$I69/12*0,IF($J69=2,-$E69*$I69/12*1,IF($J69=3,-$E69*$I69/12*2,IF($J69&gt;=4,-$E69*$I69/12*3,0))))))</f>
        <v>0</v>
      </c>
      <c r="DI69" s="1807">
        <f>IF($H69&lt;&gt;DL$5,0,IF(DL69&lt;0,IF(OR($J69=1,$J69=2,$J69=3,$J69=4),-$E69*$I69/12*3,IF($J69=5,-$E69*$I69/12*2,IF($J69=6,-$E69*$I69/12*1,0)))))+IF(DG$5&lt;&gt;$H69,0,IF(DG69&lt;0,IF($J69=4,-$E69*$I69/12*0,IF($J69=5,-$E69*$I69/12*1,IF($J69=6,-$E69*$I69/12*2,IF($J69&gt;=7,-$E69*$I69/12*3,0))))))</f>
        <v>0</v>
      </c>
      <c r="DJ69" s="1807">
        <f>IF($H69&lt;&gt;DL$5,0,IF(DL69&lt;0,IF(OR($J69=1,$J69=2,$J69=3,$J69=4,$J69=5,$J69=6,$J69=7),-$E69*$I69/12*3,IF($J69=8,-$E69*$I69/12*2,IF($J69=9,-$E69*$I69/12*1,0)))))+IF(DG$5&lt;&gt;$H69,0,IF(DG69&lt;0,IF($J69=7,-$E69*$I69/12*0,IF($J69=8,-$E69*$I69/12*1,IF($J69=9,-$E69*$I69/12*2,IF($J69&gt;=10,-$E69*$I69/12*3,0))))))</f>
        <v>0</v>
      </c>
      <c r="DK69" s="1806">
        <f>IF($H69&lt;&gt;DL$5,0,IF(DL69&lt;0,IF(OR($J69=1,$J69=2,$J69=3,$J69=4,$J69=5,$J69=6,$J69=7,$J69=8,$J69=9,$J69=10),-$E69*$I69/12*3,IF($J69=11,-$E69*$I69/12*2,IF($J69=12,-$E69*$I69/12*1,0)))))+IF(DG$5&lt;&gt;$H69,0,IF(DG69&lt;0,IF($J69=10,-$E69*$I69/12*0,IF($J69=11,-$E69*$I69/12*1,IF($J69=12,-$E69*$I69/12*2,0)))))</f>
        <v>0</v>
      </c>
      <c r="DL69" s="1791">
        <f>IF(AND(DG69&lt;&gt;0,DG$5=$H69),-$I69*$E69-DG69,IF(DL$5=$H69,-$I69*$E69*(12-$J69+1)/12,0))</f>
        <v>0</v>
      </c>
      <c r="DM69" s="1808">
        <f>IF($H69&lt;&gt;DQ$5,0,IF(DQ69&lt;0,IF($J69=1,-$E69*$I69/12*3,IF($J69=2,-$E69*$I69/12*2,IF($J69=3,-$E69*$I69/12*1,0)))))+IF(DL$5&lt;&gt;$H69,0,IF(DL69&lt;0,IF($J69=1,-$E69*$I69/12*0,IF($J69=2,-$E69*$I69/12*1,IF($J69=3,-$E69*$I69/12*2,IF($J69&gt;=4,-$E69*$I69/12*3,0))))))</f>
        <v>0</v>
      </c>
      <c r="DN69" s="1807">
        <f>IF($H69&lt;&gt;DQ$5,0,IF(DQ69&lt;0,IF(OR($J69=1,$J69=2,$J69=3,$J69=4),-$E69*$I69/12*3,IF($J69=5,-$E69*$I69/12*2,IF($J69=6,-$E69*$I69/12*1,0)))))+IF(DL$5&lt;&gt;$H69,0,IF(DL69&lt;0,IF($J69=4,-$E69*$I69/12*0,IF($J69=5,-$E69*$I69/12*1,IF($J69=6,-$E69*$I69/12*2,IF($J69&gt;=7,-$E69*$I69/12*3,0))))))</f>
        <v>0</v>
      </c>
      <c r="DO69" s="1807">
        <f>IF($H69&lt;&gt;DQ$5,0,IF(DQ69&lt;0,IF(OR($J69=1,$J69=2,$J69=3,$J69=4,$J69=5,$J69=6,$J69=7),-$E69*$I69/12*3,IF($J69=8,-$E69*$I69/12*2,IF($J69=9,-$E69*$I69/12*1,0)))))+IF(DL$5&lt;&gt;$H69,0,IF(DL69&lt;0,IF($J69=7,-$E69*$I69/12*0,IF($J69=8,-$E69*$I69/12*1,IF($J69=9,-$E69*$I69/12*2,IF($J69&gt;=10,-$E69*$I69/12*3,0))))))</f>
        <v>0</v>
      </c>
      <c r="DP69" s="1806">
        <f>IF($H69&lt;&gt;DQ$5,0,IF(DQ69&lt;0,IF(OR($J69=1,$J69=2,$J69=3,$J69=4,$J69=5,$J69=6,$J69=7,$J69=8,$J69=9,$J69=10),-$E69*$I69/12*3,IF($J69=11,-$E69*$I69/12*2,IF($J69=12,-$E69*$I69/12*1,0)))))+IF(DL$5&lt;&gt;$H69,0,IF(DL69&lt;0,IF($J69=10,-$E69*$I69/12*0,IF($J69=11,-$E69*$I69/12*1,IF($J69=12,-$E69*$I69/12*2,0)))))</f>
        <v>0</v>
      </c>
      <c r="DQ69" s="1791">
        <f>IF(AND(DL69&lt;&gt;0,DL$5=$H69),-$I69*$E69-DL69,IF(DQ$5=$H69,-$I69*$E69*(12-$J69+1)/12,0))</f>
        <v>0</v>
      </c>
      <c r="DR69" s="1808">
        <f>IF($H69&lt;&gt;DV$5,0,IF(DV69&lt;0,IF($J69=1,-$E69*$I69/12*3,IF($J69=2,-$E69*$I69/12*2,IF($J69=3,-$E69*$I69/12*1,0)))))+IF(DQ$5&lt;&gt;$H69,0,IF(DQ69&lt;0,IF($J69=1,-$E69*$I69/12*0,IF($J69=2,-$E69*$I69/12*1,IF($J69=3,-$E69*$I69/12*2,IF($J69&gt;=4,-$E69*$I69/12*3,0))))))</f>
        <v>0</v>
      </c>
      <c r="DS69" s="1807">
        <f>IF($H69&lt;&gt;DV$5,0,IF(DV69&lt;0,IF(OR($J69=1,$J69=2,$J69=3,$J69=4),-$E69*$I69/12*3,IF($J69=5,-$E69*$I69/12*2,IF($J69=6,-$E69*$I69/12*1,0)))))+IF(DQ$5&lt;&gt;$H69,0,IF(DQ69&lt;0,IF($J69=4,-$E69*$I69/12*0,IF($J69=5,-$E69*$I69/12*1,IF($J69=6,-$E69*$I69/12*2,IF($J69&gt;=7,-$E69*$I69/12*3,0))))))</f>
        <v>0</v>
      </c>
      <c r="DT69" s="1807">
        <f>IF($H69&lt;&gt;DV$5,0,IF(DV69&lt;0,IF(OR($J69=1,$J69=2,$J69=3,$J69=4,$J69=5,$J69=6,$J69=7),-$E69*$I69/12*3,IF($J69=8,-$E69*$I69/12*2,IF($J69=9,-$E69*$I69/12*1,0)))))+IF(DQ$5&lt;&gt;$H69,0,IF(DQ69&lt;0,IF($J69=7,-$E69*$I69/12*0,IF($J69=8,-$E69*$I69/12*1,IF($J69=9,-$E69*$I69/12*2,IF($J69&gt;=10,-$E69*$I69/12*3,0))))))</f>
        <v>0</v>
      </c>
      <c r="DU69" s="1806">
        <f>IF($H69&lt;&gt;DV$5,0,IF(DV69&lt;0,IF(OR($J69=1,$J69=2,$J69=3,$J69=4,$J69=5,$J69=6,$J69=7,$J69=8,$J69=9,$J69=10),-$E69*$I69/12*3,IF($J69=11,-$E69*$I69/12*2,IF($J69=12,-$E69*$I69/12*1,0)))))+IF(DQ$5&lt;&gt;$H69,0,IF(DQ69&lt;0,IF($J69=10,-$E69*$I69/12*0,IF($J69=11,-$E69*$I69/12*1,IF($J69=12,-$E69*$I69/12*2,0)))))</f>
        <v>0</v>
      </c>
      <c r="DV69" s="1791">
        <f>IF(AND(DQ69&lt;&gt;0,DQ$5=$H69),-$I69*$E69-DQ69,IF(DV$5=$H69,-$I69*$E69*(12-$J69+1)/12,0))</f>
        <v>0</v>
      </c>
    </row>
    <row r="70" spans="1:126">
      <c r="A70" s="455"/>
      <c r="B70" s="455"/>
      <c r="C70" s="1363"/>
      <c r="D70" s="94"/>
      <c r="E70" s="1817"/>
      <c r="F70" s="1435"/>
      <c r="G70" s="1435"/>
      <c r="H70" s="1350"/>
      <c r="I70" s="1335"/>
      <c r="J70" s="1600"/>
      <c r="K70" s="1792"/>
      <c r="L70" s="1810"/>
      <c r="M70" s="1791"/>
      <c r="N70" s="1808"/>
      <c r="O70" s="1807"/>
      <c r="P70" s="1807"/>
      <c r="Q70" s="1806"/>
      <c r="R70" s="1791"/>
      <c r="S70" s="1808"/>
      <c r="T70" s="1807"/>
      <c r="U70" s="1807"/>
      <c r="V70" s="1806"/>
      <c r="W70" s="1791"/>
      <c r="X70" s="1808"/>
      <c r="Y70" s="1807"/>
      <c r="Z70" s="1807"/>
      <c r="AA70" s="1806"/>
      <c r="AB70" s="1791"/>
      <c r="AC70" s="1808"/>
      <c r="AD70" s="1807"/>
      <c r="AE70" s="1807"/>
      <c r="AF70" s="1806"/>
      <c r="AG70" s="1791"/>
      <c r="AH70" s="1808"/>
      <c r="AI70" s="1807"/>
      <c r="AJ70" s="1807"/>
      <c r="AK70" s="1806"/>
      <c r="AL70" s="1791"/>
      <c r="AM70" s="1808"/>
      <c r="AN70" s="1807"/>
      <c r="AO70" s="1807"/>
      <c r="AP70" s="1806"/>
      <c r="AQ70" s="1791"/>
      <c r="AR70" s="1808"/>
      <c r="AS70" s="1807"/>
      <c r="AT70" s="1807"/>
      <c r="AU70" s="1806"/>
      <c r="AV70" s="1791"/>
      <c r="AW70" s="1808"/>
      <c r="AX70" s="1807"/>
      <c r="AY70" s="1807"/>
      <c r="AZ70" s="1806"/>
      <c r="BA70" s="1791"/>
      <c r="BB70" s="1808"/>
      <c r="BC70" s="1807"/>
      <c r="BD70" s="1807"/>
      <c r="BE70" s="1806"/>
      <c r="BF70" s="1791"/>
      <c r="BG70" s="1808"/>
      <c r="BH70" s="1807"/>
      <c r="BI70" s="1807"/>
      <c r="BJ70" s="1806"/>
      <c r="BK70" s="1791"/>
      <c r="BL70" s="1808"/>
      <c r="BM70" s="1807"/>
      <c r="BN70" s="1807"/>
      <c r="BO70" s="1806"/>
      <c r="BP70" s="1791"/>
      <c r="BQ70" s="1827"/>
      <c r="BR70" s="1991"/>
      <c r="BS70" s="1991"/>
      <c r="BT70" s="1992"/>
      <c r="BU70" s="1992"/>
      <c r="BV70" s="1992"/>
      <c r="BW70" s="1992"/>
      <c r="BX70" s="1810"/>
      <c r="BY70" s="1807"/>
      <c r="BZ70" s="1807"/>
      <c r="CA70" s="1807"/>
      <c r="CB70" s="1806"/>
      <c r="CC70" s="1791"/>
      <c r="CD70" s="1808"/>
      <c r="CE70" s="1807"/>
      <c r="CF70" s="1807"/>
      <c r="CG70" s="1806"/>
      <c r="CH70" s="1791"/>
      <c r="CI70" s="1808"/>
      <c r="CJ70" s="1807"/>
      <c r="CK70" s="1807"/>
      <c r="CL70" s="1806"/>
      <c r="CM70" s="1791"/>
      <c r="CN70" s="1808"/>
      <c r="CO70" s="1807"/>
      <c r="CP70" s="1807"/>
      <c r="CQ70" s="1806"/>
      <c r="CR70" s="1791"/>
      <c r="CS70" s="1808"/>
      <c r="CT70" s="1807"/>
      <c r="CU70" s="1807"/>
      <c r="CV70" s="1806"/>
      <c r="CW70" s="1791"/>
      <c r="CX70" s="1808"/>
      <c r="CY70" s="1807"/>
      <c r="CZ70" s="1807"/>
      <c r="DA70" s="1806"/>
      <c r="DB70" s="1791"/>
      <c r="DC70" s="1808"/>
      <c r="DD70" s="1807"/>
      <c r="DE70" s="1807"/>
      <c r="DF70" s="1806"/>
      <c r="DG70" s="1791"/>
      <c r="DH70" s="1808"/>
      <c r="DI70" s="1807"/>
      <c r="DJ70" s="1807"/>
      <c r="DK70" s="1806"/>
      <c r="DL70" s="1791"/>
      <c r="DM70" s="1808"/>
      <c r="DN70" s="1807"/>
      <c r="DO70" s="1807"/>
      <c r="DP70" s="1806"/>
      <c r="DQ70" s="1791"/>
      <c r="DR70" s="1808"/>
      <c r="DS70" s="1807"/>
      <c r="DT70" s="1807"/>
      <c r="DU70" s="1806"/>
      <c r="DV70" s="1791"/>
    </row>
    <row r="71" spans="1:126">
      <c r="A71" s="455"/>
      <c r="B71" s="455"/>
      <c r="C71" s="1596" t="s">
        <v>747</v>
      </c>
      <c r="D71" s="94"/>
      <c r="E71" s="1817"/>
      <c r="F71" s="455"/>
      <c r="G71" s="455"/>
      <c r="H71" s="1597"/>
      <c r="I71" s="1598"/>
      <c r="J71" s="1599"/>
      <c r="K71" s="1792"/>
      <c r="L71" s="1810">
        <f t="shared" ref="L71:M73" si="686">IF(L$5=$H71,-$E71,0)</f>
        <v>0</v>
      </c>
      <c r="M71" s="1791">
        <f t="shared" si="686"/>
        <v>0</v>
      </c>
      <c r="N71" s="1808">
        <f>IF(R71=0,0,IF(R71&lt;0,IF($J71=3,R71,IF($J71=2,R71,IF($J71=1,R71,0)))))</f>
        <v>0</v>
      </c>
      <c r="O71" s="1807">
        <f>IF(R71=0,0,IF(R71&lt;0,IF($J71=6,R71,IF($J71=5,R71,IF($J71=4,R71,0)))))</f>
        <v>0</v>
      </c>
      <c r="P71" s="1807">
        <f>IF(R71=0,0,IF(R71&lt;0,IF($J71=9,R71,IF($J71=8,R71,IF($J71=7,R71,0)))))</f>
        <v>0</v>
      </c>
      <c r="Q71" s="1806">
        <f>IF(R71=0,0,IF(R71&lt;0,IF($J71=12,R71,IF($J71=11,R71,IF($J71=10,R71,0)))))</f>
        <v>0</v>
      </c>
      <c r="R71" s="1791">
        <f>IF(R$5=$H71,-$E71,0)</f>
        <v>0</v>
      </c>
      <c r="S71" s="1808">
        <f>IF(W71=0,0,IF(W71&lt;0,IF($J71=3,W71,IF($J71=2,W71,IF($J71=1,W71,0)))))</f>
        <v>0</v>
      </c>
      <c r="T71" s="1807">
        <f>IF(W71=0,0,IF(W71&lt;0,IF($J71=6,W71,IF($J71=5,W71,IF($J71=4,W71,0)))))</f>
        <v>0</v>
      </c>
      <c r="U71" s="1807">
        <f>IF(W71=0,0,IF(W71&lt;0,IF($J71=9,W71,IF($J71=8,W71,IF($J71=7,W71,0)))))</f>
        <v>0</v>
      </c>
      <c r="V71" s="1806">
        <f>IF(W71=0,0,IF(W71&lt;0,IF($J71=12,W71,IF($J71=11,W71,IF($J71=10,W71,0)))))</f>
        <v>0</v>
      </c>
      <c r="W71" s="1791">
        <f>IF(W$5=$H71,-$E71,0)</f>
        <v>0</v>
      </c>
      <c r="X71" s="1808">
        <f>IF(AB71=0,0,IF(AB71&lt;0,IF($J71=3,AB71,IF($J71=2,AB71,IF($J71=1,AB71,0)))))</f>
        <v>0</v>
      </c>
      <c r="Y71" s="1807">
        <f>IF(AB71=0,0,IF(AB71&lt;0,IF($J71=6,AB71,IF($J71=5,AB71,IF($J71=4,AB71,0)))))</f>
        <v>0</v>
      </c>
      <c r="Z71" s="1807">
        <f>IF(AB71=0,0,IF(AB71&lt;0,IF($J71=9,AB71,IF($J71=8,AB71,IF($J71=7,AB71,0)))))</f>
        <v>0</v>
      </c>
      <c r="AA71" s="1806">
        <f>IF(AB71=0,0,IF(AB71&lt;0,IF($J71=12,AB71,IF($J71=11,AB71,IF($J71=10,AB71,0)))))</f>
        <v>0</v>
      </c>
      <c r="AB71" s="1791">
        <f>IF(AB$5=$H71,-$E71,0)</f>
        <v>0</v>
      </c>
      <c r="AC71" s="1808">
        <f>IF(AG71=0,0,IF(AG71&lt;0,IF($J71=3,AG71,IF($J71=2,AG71,IF($J71=1,AG71,0)))))</f>
        <v>0</v>
      </c>
      <c r="AD71" s="1807">
        <f>IF(AG71=0,0,IF(AG71&lt;0,IF($J71=6,AG71,IF($J71=5,AG71,IF($J71=4,AG71,0)))))</f>
        <v>0</v>
      </c>
      <c r="AE71" s="1807">
        <f>IF(AG71=0,0,IF(AG71&lt;0,IF($J71=9,AG71,IF($J71=8,AG71,IF($J71=7,AG71,0)))))</f>
        <v>0</v>
      </c>
      <c r="AF71" s="1806">
        <f>IF(AG71=0,0,IF(AG71&lt;0,IF($J71=12,AG71,IF($J71=11,AG71,IF($J71=10,AG71,0)))))</f>
        <v>0</v>
      </c>
      <c r="AG71" s="1791">
        <f>IF(AG$5=$H71,-$E71,0)</f>
        <v>0</v>
      </c>
      <c r="AH71" s="1808">
        <f>IF(AL71=0,0,IF(AL71&lt;0,IF($J71=3,AL71,IF($J71=2,AL71,IF($J71=1,AL71,0)))))</f>
        <v>0</v>
      </c>
      <c r="AI71" s="1807">
        <f>IF(AL71=0,0,IF(AL71&lt;0,IF($J71=6,AL71,IF($J71=5,AL71,IF($J71=4,AL71,0)))))</f>
        <v>0</v>
      </c>
      <c r="AJ71" s="1807">
        <f>IF(AL71=0,0,IF(AL71&lt;0,IF($J71=9,AL71,IF($J71=8,AL71,IF($J71=7,AL71,0)))))</f>
        <v>0</v>
      </c>
      <c r="AK71" s="1806">
        <f>IF(AL71=0,0,IF(AL71&lt;0,IF($J71=12,AL71,IF($J71=11,AL71,IF($J71=10,AL71,0)))))</f>
        <v>0</v>
      </c>
      <c r="AL71" s="1791">
        <f>IF(AL$5=$H71,-$E71,0)</f>
        <v>0</v>
      </c>
      <c r="AM71" s="1808">
        <f>IF(AQ71=0,0,IF(AQ71&lt;0,IF($J71=3,AQ71,IF($J71=2,AQ71,IF($J71=1,AQ71,0)))))</f>
        <v>0</v>
      </c>
      <c r="AN71" s="1807">
        <f>IF(AQ71=0,0,IF(AQ71&lt;0,IF($J71=6,AQ71,IF($J71=5,AQ71,IF($J71=4,AQ71,0)))))</f>
        <v>0</v>
      </c>
      <c r="AO71" s="1807">
        <f>IF(AQ71=0,0,IF(AQ71&lt;0,IF($J71=9,AQ71,IF($J71=8,AQ71,IF($J71=7,AQ71,0)))))</f>
        <v>0</v>
      </c>
      <c r="AP71" s="1806">
        <f>IF(AQ71=0,0,IF(AQ71&lt;0,IF($J71=12,AQ71,IF($J71=11,AQ71,IF($J71=10,AQ71,0)))))</f>
        <v>0</v>
      </c>
      <c r="AQ71" s="1791">
        <f>IF(AQ$5=$H71,-$E71,0)</f>
        <v>0</v>
      </c>
      <c r="AR71" s="1808">
        <f>IF(AV71=0,0,IF(AV71&lt;0,IF($J71=3,AV71,IF($J71=2,AV71,IF($J71=1,AV71,0)))))</f>
        <v>0</v>
      </c>
      <c r="AS71" s="1807">
        <f>IF(AV71=0,0,IF(AV71&lt;0,IF($J71=6,AV71,IF($J71=5,AV71,IF($J71=4,AV71,0)))))</f>
        <v>0</v>
      </c>
      <c r="AT71" s="1807">
        <f>IF(AV71=0,0,IF(AV71&lt;0,IF($J71=9,AV71,IF($J71=8,AV71,IF($J71=7,AV71,0)))))</f>
        <v>0</v>
      </c>
      <c r="AU71" s="1806">
        <f>IF(AV71=0,0,IF(AV71&lt;0,IF($J71=12,AV71,IF($J71=11,AV71,IF($J71=10,AV71,0)))))</f>
        <v>0</v>
      </c>
      <c r="AV71" s="1791">
        <f>IF(AV$5=$H71,-$E71,0)</f>
        <v>0</v>
      </c>
      <c r="AW71" s="1808">
        <f>IF(BA71=0,0,IF(BA71&lt;0,IF($J71=3,BA71,IF($J71=2,BA71,IF($J71=1,BA71,0)))))</f>
        <v>0</v>
      </c>
      <c r="AX71" s="1807">
        <f>IF(BA71=0,0,IF(BA71&lt;0,IF($J71=6,BA71,IF($J71=5,BA71,IF($J71=4,BA71,0)))))</f>
        <v>0</v>
      </c>
      <c r="AY71" s="1807">
        <f>IF(BA71=0,0,IF(BA71&lt;0,IF($J71=9,BA71,IF($J71=8,BA71,IF($J71=7,BA71,0)))))</f>
        <v>0</v>
      </c>
      <c r="AZ71" s="1806">
        <f>IF(BA71=0,0,IF(BA71&lt;0,IF($J71=12,BA71,IF($J71=11,BA71,IF($J71=10,BA71,0)))))</f>
        <v>0</v>
      </c>
      <c r="BA71" s="1791">
        <f>IF(BA$5=$H71,-$E71,0)</f>
        <v>0</v>
      </c>
      <c r="BB71" s="1808">
        <f>IF(BF71=0,0,IF(BF71&lt;0,IF($J71=3,BF71,IF($J71=2,BF71,IF($J71=1,BF71,0)))))</f>
        <v>0</v>
      </c>
      <c r="BC71" s="1807">
        <f>IF(BF71=0,0,IF(BF71&lt;0,IF($J71=6,BF71,IF($J71=5,BF71,IF($J71=4,BF71,0)))))</f>
        <v>0</v>
      </c>
      <c r="BD71" s="1807">
        <f>IF(BF71=0,0,IF(BF71&lt;0,IF($J71=9,BF71,IF($J71=8,BF71,IF($J71=7,BF71,0)))))</f>
        <v>0</v>
      </c>
      <c r="BE71" s="1806">
        <f>IF(BF71=0,0,IF(BF71&lt;0,IF($J71=12,BF71,IF($J71=11,BF71,IF($J71=10,BF71,0)))))</f>
        <v>0</v>
      </c>
      <c r="BF71" s="1791">
        <f>IF(BF$5=$H71,-$E71,0)</f>
        <v>0</v>
      </c>
      <c r="BG71" s="1808">
        <f>IF(BK71=0,0,IF(BK71&lt;0,IF($J71=3,BK71,IF($J71=2,BK71,IF($J71=1,BK71,0)))))</f>
        <v>0</v>
      </c>
      <c r="BH71" s="1807">
        <f>IF(BK71=0,0,IF(BK71&lt;0,IF($J71=6,BK71,IF($J71=5,BK71,IF($J71=4,BK71,0)))))</f>
        <v>0</v>
      </c>
      <c r="BI71" s="1807">
        <f>IF(BK71=0,0,IF(BK71&lt;0,IF($J71=9,BK71,IF($J71=8,BK71,IF($J71=7,BK71,0)))))</f>
        <v>0</v>
      </c>
      <c r="BJ71" s="1806">
        <f>IF(BK71=0,0,IF(BK71&lt;0,IF($J71=12,BK71,IF($J71=11,BK71,IF($J71=10,BK71,0)))))</f>
        <v>0</v>
      </c>
      <c r="BK71" s="1791">
        <f>IF(BK$5=$H71,-$E71,0)</f>
        <v>0</v>
      </c>
      <c r="BL71" s="1808">
        <f>IF(BP71=0,0,IF(BP71&lt;0,IF($J71=3,BP71,IF($J71=2,BP71,IF($J71=1,BP71,0)))))</f>
        <v>0</v>
      </c>
      <c r="BM71" s="1807">
        <f>IF(BP71=0,0,IF(BP71&lt;0,IF($J71=6,BP71,IF($J71=5,BP71,IF($J71=4,BP71,0)))))</f>
        <v>0</v>
      </c>
      <c r="BN71" s="1807">
        <f>IF(BP71=0,0,IF(BP71&lt;0,IF($J71=9,BP71,IF($J71=8,BP71,IF($J71=7,BP71,0)))))</f>
        <v>0</v>
      </c>
      <c r="BO71" s="1806">
        <f>IF(BP71=0,0,IF(BP71&lt;0,IF($J71=12,BP71,IF($J71=11,BP71,IF($J71=10,BP71,0)))))</f>
        <v>0</v>
      </c>
      <c r="BP71" s="1791">
        <f>IF(BP$5=$H71,-$E71,0)</f>
        <v>0</v>
      </c>
      <c r="BQ71" s="1827"/>
      <c r="BR71" s="1991">
        <f t="shared" ref="BR71:BS73" si="687">IF(AND(BQ71&lt;&gt;0,BQ$5=$H71),-$I71*$E71-BQ71,IF(BR$5=$H71,-$I71*$E71*(12-$J71+1)/12,0))</f>
        <v>0</v>
      </c>
      <c r="BS71" s="1991">
        <f t="shared" si="687"/>
        <v>0</v>
      </c>
      <c r="BT71" s="1992">
        <f>IF($H71&lt;&gt;BX$5,0,IF(BX71&lt;0,IF($J71=1,-$E71*$I71/12*3,IF($J71=2,-$E71*$I71/12*2,IF($J71=3,-$E71*$I71/12*1,0)))))+IF(BS$5&lt;&gt;$H71,0,IF(BS71&lt;0,IF($J71=1,-$E71*$I71/12*0,IF($J71=2,-$E71*$I71/12*1,IF($J71=3,-$E71*$I71/12*2,IF($J71&gt;=4,-$E71*$I71/12*3,0))))))</f>
        <v>0</v>
      </c>
      <c r="BU71" s="1992">
        <f>IF($H71&lt;&gt;BX$5,0,IF(BX71&lt;0,IF(OR($J71=1,$J71=2,$J71=3,$J71=4),-$E71*$I71/12*3,IF($J71=5,-$E71*$I71/12*2,IF($J71=6,-$E71*$I71/12*1,0)))))+IF(BS$5&lt;&gt;$H71,0,IF(BS71&lt;0,IF($J71=4,-$E71*$I71/12*0,IF($J71=5,-$E71*$I71/12*1,IF($J71=6,-$E71*$I71/12*2,IF($J71&gt;=7,-$E71*$I71/12*3,0))))))</f>
        <v>0</v>
      </c>
      <c r="BV71" s="1992">
        <f>IF($H71&lt;&gt;BX$5,0,IF(BX71&lt;0,IF(OR($J71=1,$J71=2,$J71=3,$J71=4,$J71=5,$J71=6,$J71=7),-$E71*$I71/12*3,IF($J71=8,-$E71*$I71/12*2,IF($J71=9,-$E71*$I71/12*1,0)))))+IF(BS$5&lt;&gt;$H71,0,IF(BS71&lt;0,IF($J71=7,-$E71*$I71/12*0,IF($J71=8,-$E71*$I71/12*1,IF($J71=9,-$E71*$I71/12*2,IF($J71&gt;=10,-$E71*$I71/12*3,0))))))</f>
        <v>0</v>
      </c>
      <c r="BW71" s="1992">
        <f>IF($H71&lt;&gt;BX$5,0,IF(BX71&lt;0,IF(OR($J71=1,$J71=2,$J71=3,$J71=4,$J71=5,$J71=6,$J71=7,$J71=8,$J71=9,$J71=10),-$E71*$I71/12*3,IF($J71=11,-$E71*$I71/12*2,IF($J71=12,-$E71*$I71/12*1,0)))))+IF(BS$5&lt;&gt;$H71,0,IF(BS71&lt;0,IF($J71=10,-$E71*$I71/12*0,IF($J71=11,-$E71*$I71/12*1,IF($J71=12,-$E71*$I71/12*2,0)))))</f>
        <v>0</v>
      </c>
      <c r="BX71" s="1810">
        <f>IF(AND(BS71&lt;&gt;0,BS$5=$H71),-$I71*$E71-BS71,IF(BX$5=$H71,-$I71*$E71*(12-$J71+1)/12,0))</f>
        <v>0</v>
      </c>
      <c r="BY71" s="1807">
        <f>IF($H71&lt;&gt;CC$5,0,IF(CC71&lt;0,IF($J71=1,-$E71*$I71/12*3,IF($J71=2,-$E71*$I71/12*2,IF($J71=3,-$E71*$I71/12*1,0)))))+IF(BX$5&lt;&gt;$H71,0,IF(BX71&lt;0,IF($J71=1,-$E71*$I71/12*0,IF($J71=2,-$E71*$I71/12*1,IF($J71=3,-$E71*$I71/12*2,IF($J71&gt;=4,-$E71*$I71/12*3,0))))))</f>
        <v>0</v>
      </c>
      <c r="BZ71" s="1807">
        <f>IF($H71&lt;&gt;CC$5,0,IF(CC71&lt;0,IF(OR($J71=1,$J71=2,$J71=3,$J71=4),-$E71*$I71/12*3,IF($J71=5,-$E71*$I71/12*2,IF($J71=6,-$E71*$I71/12*1,0)))))+IF(BX$5&lt;&gt;$H71,0,IF(BX71&lt;0,IF($J71=4,-$E71*$I71/12*0,IF($J71=5,-$E71*$I71/12*1,IF($J71=6,-$E71*$I71/12*2,IF($J71&gt;=7,-$E71*$I71/12*3,0))))))</f>
        <v>0</v>
      </c>
      <c r="CA71" s="1807">
        <f>IF($H71&lt;&gt;CC$5,0,IF(CC71&lt;0,IF(OR($J71=1,$J71=2,$J71=3,$J71=4,$J71=5,$J71=6,$J71=7),-$E71*$I71/12*3,IF($J71=8,-$E71*$I71/12*2,IF($J71=9,-$E71*$I71/12*1,0)))))+IF(BX$5&lt;&gt;$H71,0,IF(BX71&lt;0,IF($J71=7,-$E71*$I71/12*0,IF($J71=8,-$E71*$I71/12*1,IF($J71=9,-$E71*$I71/12*2,IF($J71&gt;=10,-$E71*$I71/12*3,0))))))</f>
        <v>0</v>
      </c>
      <c r="CB71" s="1806">
        <f>IF($H71&lt;&gt;CC$5,0,IF(CC71&lt;0,IF(OR($J71=1,$J71=2,$J71=3,$J71=4,$J71=5,$J71=6,$J71=7,$J71=8,$J71=9,$J71=10),-$E71*$I71/12*3,IF($J71=11,-$E71*$I71/12*2,IF($J71=12,-$E71*$I71/12*1,0)))))+IF(BX$5&lt;&gt;$H71,0,IF(BX71&lt;0,IF($J71=10,-$E71*$I71/12*0,IF($J71=11,-$E71*$I71/12*1,IF($J71=12,-$E71*$I71/12*2,0)))))</f>
        <v>0</v>
      </c>
      <c r="CC71" s="1791">
        <f>IF(AND(BX71&lt;&gt;0,BX$5=$H71),-$I71*$E71-BX71,IF(CC$5=$H71,-$I71*$E71*(12-$J71+1)/12,0))</f>
        <v>0</v>
      </c>
      <c r="CD71" s="1808">
        <f>IF($H71&lt;&gt;CH$5,0,IF(CH71&lt;0,IF($J71=1,-$E71*$I71/12*3,IF($J71=2,-$E71*$I71/12*2,IF($J71=3,-$E71*$I71/12*1,0)))))+IF(CC$5&lt;&gt;$H71,0,IF(CC71&lt;0,IF($J71=1,-$E71*$I71/12*0,IF($J71=2,-$E71*$I71/12*1,IF($J71=3,-$E71*$I71/12*2,IF($J71&gt;=4,-$E71*$I71/12*3,0))))))</f>
        <v>0</v>
      </c>
      <c r="CE71" s="1807">
        <f>IF($H71&lt;&gt;CH$5,0,IF(CH71&lt;0,IF(OR($J71=1,$J71=2,$J71=3,$J71=4),-$E71*$I71/12*3,IF($J71=5,-$E71*$I71/12*2,IF($J71=6,-$E71*$I71/12*1,0)))))+IF(CC$5&lt;&gt;$H71,0,IF(CC71&lt;0,IF($J71=4,-$E71*$I71/12*0,IF($J71=5,-$E71*$I71/12*1,IF($J71=6,-$E71*$I71/12*2,IF($J71&gt;=7,-$E71*$I71/12*3,0))))))</f>
        <v>0</v>
      </c>
      <c r="CF71" s="1807">
        <f>IF($H71&lt;&gt;CH$5,0,IF(CH71&lt;0,IF(OR($J71=1,$J71=2,$J71=3,$J71=4,$J71=5,$J71=6,$J71=7),-$E71*$I71/12*3,IF($J71=8,-$E71*$I71/12*2,IF($J71=9,-$E71*$I71/12*1,0)))))+IF(CC$5&lt;&gt;$H71,0,IF(CC71&lt;0,IF($J71=7,-$E71*$I71/12*0,IF($J71=8,-$E71*$I71/12*1,IF($J71=9,-$E71*$I71/12*2,IF($J71&gt;=10,-$E71*$I71/12*3,0))))))</f>
        <v>0</v>
      </c>
      <c r="CG71" s="1806">
        <f>IF($H71&lt;&gt;CH$5,0,IF(CH71&lt;0,IF(OR($J71=1,$J71=2,$J71=3,$J71=4,$J71=5,$J71=6,$J71=7,$J71=8,$J71=9,$J71=10),-$E71*$I71/12*3,IF($J71=11,-$E71*$I71/12*2,IF($J71=12,-$E71*$I71/12*1,0)))))+IF(CC$5&lt;&gt;$H71,0,IF(CC71&lt;0,IF($J71=10,-$E71*$I71/12*0,IF($J71=11,-$E71*$I71/12*1,IF($J71=12,-$E71*$I71/12*2,0)))))</f>
        <v>0</v>
      </c>
      <c r="CH71" s="1791">
        <f>IF(AND(CC71&lt;&gt;0,CC$5=$H71),-$I71*$E71-CC71,IF(CH$5=$H71,-$I71*$E71*(12-$J71+1)/12,0))</f>
        <v>0</v>
      </c>
      <c r="CI71" s="1808">
        <f>IF($H71&lt;&gt;CM$5,0,IF(CM71&lt;0,IF($J71=1,-$E71*$I71/12*3,IF($J71=2,-$E71*$I71/12*2,IF($J71=3,-$E71*$I71/12*1,0)))))+IF(CH$5&lt;&gt;$H71,0,IF(CH71&lt;0,IF($J71=1,-$E71*$I71/12*0,IF($J71=2,-$E71*$I71/12*1,IF($J71=3,-$E71*$I71/12*2,IF($J71&gt;=4,-$E71*$I71/12*3,0))))))</f>
        <v>0</v>
      </c>
      <c r="CJ71" s="1807">
        <f>IF($H71&lt;&gt;CM$5,0,IF(CM71&lt;0,IF(OR($J71=1,$J71=2,$J71=3,$J71=4),-$E71*$I71/12*3,IF($J71=5,-$E71*$I71/12*2,IF($J71=6,-$E71*$I71/12*1,0)))))+IF(CH$5&lt;&gt;$H71,0,IF(CH71&lt;0,IF($J71=4,-$E71*$I71/12*0,IF($J71=5,-$E71*$I71/12*1,IF($J71=6,-$E71*$I71/12*2,IF($J71&gt;=7,-$E71*$I71/12*3,0))))))</f>
        <v>0</v>
      </c>
      <c r="CK71" s="1807">
        <f>IF($H71&lt;&gt;CM$5,0,IF(CM71&lt;0,IF(OR($J71=1,$J71=2,$J71=3,$J71=4,$J71=5,$J71=6,$J71=7),-$E71*$I71/12*3,IF($J71=8,-$E71*$I71/12*2,IF($J71=9,-$E71*$I71/12*1,0)))))+IF(CH$5&lt;&gt;$H71,0,IF(CH71&lt;0,IF($J71=7,-$E71*$I71/12*0,IF($J71=8,-$E71*$I71/12*1,IF($J71=9,-$E71*$I71/12*2,IF($J71&gt;=10,-$E71*$I71/12*3,0))))))</f>
        <v>0</v>
      </c>
      <c r="CL71" s="1806">
        <f>IF($H71&lt;&gt;CM$5,0,IF(CM71&lt;0,IF(OR($J71=1,$J71=2,$J71=3,$J71=4,$J71=5,$J71=6,$J71=7,$J71=8,$J71=9,$J71=10),-$E71*$I71/12*3,IF($J71=11,-$E71*$I71/12*2,IF($J71=12,-$E71*$I71/12*1,0)))))+IF(CH$5&lt;&gt;$H71,0,IF(CH71&lt;0,IF($J71=10,-$E71*$I71/12*0,IF($J71=11,-$E71*$I71/12*1,IF($J71=12,-$E71*$I71/12*2,0)))))</f>
        <v>0</v>
      </c>
      <c r="CM71" s="1791">
        <f>IF(AND(CH71&lt;&gt;0,CH$5=$H71),-$I71*$E71-CH71,IF(CM$5=$H71,-$I71*$E71*(12-$J71+1)/12,0))</f>
        <v>0</v>
      </c>
      <c r="CN71" s="1808">
        <f>IF($H71&lt;&gt;CR$5,0,IF(CR71&lt;0,IF($J71=1,-$E71*$I71/12*3,IF($J71=2,-$E71*$I71/12*2,IF($J71=3,-$E71*$I71/12*1,0)))))+IF(CM$5&lt;&gt;$H71,0,IF(CM71&lt;0,IF($J71=1,-$E71*$I71/12*0,IF($J71=2,-$E71*$I71/12*1,IF($J71=3,-$E71*$I71/12*2,IF($J71&gt;=4,-$E71*$I71/12*3,0))))))</f>
        <v>0</v>
      </c>
      <c r="CO71" s="1807">
        <f>IF($H71&lt;&gt;CR$5,0,IF(CR71&lt;0,IF(OR($J71=1,$J71=2,$J71=3,$J71=4),-$E71*$I71/12*3,IF($J71=5,-$E71*$I71/12*2,IF($J71=6,-$E71*$I71/12*1,0)))))+IF(CM$5&lt;&gt;$H71,0,IF(CM71&lt;0,IF($J71=4,-$E71*$I71/12*0,IF($J71=5,-$E71*$I71/12*1,IF($J71=6,-$E71*$I71/12*2,IF($J71&gt;=7,-$E71*$I71/12*3,0))))))</f>
        <v>0</v>
      </c>
      <c r="CP71" s="1807">
        <f>IF($H71&lt;&gt;CR$5,0,IF(CR71&lt;0,IF(OR($J71=1,$J71=2,$J71=3,$J71=4,$J71=5,$J71=6,$J71=7),-$E71*$I71/12*3,IF($J71=8,-$E71*$I71/12*2,IF($J71=9,-$E71*$I71/12*1,0)))))+IF(CM$5&lt;&gt;$H71,0,IF(CM71&lt;0,IF($J71=7,-$E71*$I71/12*0,IF($J71=8,-$E71*$I71/12*1,IF($J71=9,-$E71*$I71/12*2,IF($J71&gt;=10,-$E71*$I71/12*3,0))))))</f>
        <v>0</v>
      </c>
      <c r="CQ71" s="1806">
        <f>IF($H71&lt;&gt;CR$5,0,IF(CR71&lt;0,IF(OR($J71=1,$J71=2,$J71=3,$J71=4,$J71=5,$J71=6,$J71=7,$J71=8,$J71=9,$J71=10),-$E71*$I71/12*3,IF($J71=11,-$E71*$I71/12*2,IF($J71=12,-$E71*$I71/12*1,0)))))+IF(CM$5&lt;&gt;$H71,0,IF(CM71&lt;0,IF($J71=10,-$E71*$I71/12*0,IF($J71=11,-$E71*$I71/12*1,IF($J71=12,-$E71*$I71/12*2,0)))))</f>
        <v>0</v>
      </c>
      <c r="CR71" s="1791">
        <f>IF(AND(CM71&lt;&gt;0,CM$5=$H71),-$I71*$E71-CM71,IF(CR$5=$H71,-$I71*$E71*(12-$J71+1)/12,0))</f>
        <v>0</v>
      </c>
      <c r="CS71" s="1808">
        <f>IF($H71&lt;&gt;CW$5,0,IF(CW71&lt;0,IF($J71=1,-$E71*$I71/12*3,IF($J71=2,-$E71*$I71/12*2,IF($J71=3,-$E71*$I71/12*1,0)))))+IF(CR$5&lt;&gt;$H71,0,IF(CR71&lt;0,IF($J71=1,-$E71*$I71/12*0,IF($J71=2,-$E71*$I71/12*1,IF($J71=3,-$E71*$I71/12*2,IF($J71&gt;=4,-$E71*$I71/12*3,0))))))</f>
        <v>0</v>
      </c>
      <c r="CT71" s="1807">
        <f>IF($H71&lt;&gt;CW$5,0,IF(CW71&lt;0,IF(OR($J71=1,$J71=2,$J71=3,$J71=4),-$E71*$I71/12*3,IF($J71=5,-$E71*$I71/12*2,IF($J71=6,-$E71*$I71/12*1,0)))))+IF(CR$5&lt;&gt;$H71,0,IF(CR71&lt;0,IF($J71=4,-$E71*$I71/12*0,IF($J71=5,-$E71*$I71/12*1,IF($J71=6,-$E71*$I71/12*2,IF($J71&gt;=7,-$E71*$I71/12*3,0))))))</f>
        <v>0</v>
      </c>
      <c r="CU71" s="1807">
        <f>IF($H71&lt;&gt;CW$5,0,IF(CW71&lt;0,IF(OR($J71=1,$J71=2,$J71=3,$J71=4,$J71=5,$J71=6,$J71=7),-$E71*$I71/12*3,IF($J71=8,-$E71*$I71/12*2,IF($J71=9,-$E71*$I71/12*1,0)))))+IF(CR$5&lt;&gt;$H71,0,IF(CR71&lt;0,IF($J71=7,-$E71*$I71/12*0,IF($J71=8,-$E71*$I71/12*1,IF($J71=9,-$E71*$I71/12*2,IF($J71&gt;=10,-$E71*$I71/12*3,0))))))</f>
        <v>0</v>
      </c>
      <c r="CV71" s="1806">
        <f>IF($H71&lt;&gt;CW$5,0,IF(CW71&lt;0,IF(OR($J71=1,$J71=2,$J71=3,$J71=4,$J71=5,$J71=6,$J71=7,$J71=8,$J71=9,$J71=10),-$E71*$I71/12*3,IF($J71=11,-$E71*$I71/12*2,IF($J71=12,-$E71*$I71/12*1,0)))))+IF(CR$5&lt;&gt;$H71,0,IF(CR71&lt;0,IF($J71=10,-$E71*$I71/12*0,IF($J71=11,-$E71*$I71/12*1,IF($J71=12,-$E71*$I71/12*2,0)))))</f>
        <v>0</v>
      </c>
      <c r="CW71" s="1791">
        <f>IF(AND(CR71&lt;&gt;0,CR$5=$H71),-$I71*$E71-CR71,IF(CW$5=$H71,-$I71*$E71*(12-$J71+1)/12,0))</f>
        <v>0</v>
      </c>
      <c r="CX71" s="1808">
        <f>IF($H71&lt;&gt;DB$5,0,IF(DB71&lt;0,IF($J71=1,-$E71*$I71/12*3,IF($J71=2,-$E71*$I71/12*2,IF($J71=3,-$E71*$I71/12*1,0)))))+IF(CW$5&lt;&gt;$H71,0,IF(CW71&lt;0,IF($J71=1,-$E71*$I71/12*0,IF($J71=2,-$E71*$I71/12*1,IF($J71=3,-$E71*$I71/12*2,IF($J71&gt;=4,-$E71*$I71/12*3,0))))))</f>
        <v>0</v>
      </c>
      <c r="CY71" s="1807">
        <f>IF($H71&lt;&gt;DB$5,0,IF(DB71&lt;0,IF(OR($J71=1,$J71=2,$J71=3,$J71=4),-$E71*$I71/12*3,IF($J71=5,-$E71*$I71/12*2,IF($J71=6,-$E71*$I71/12*1,0)))))+IF(CW$5&lt;&gt;$H71,0,IF(CW71&lt;0,IF($J71=4,-$E71*$I71/12*0,IF($J71=5,-$E71*$I71/12*1,IF($J71=6,-$E71*$I71/12*2,IF($J71&gt;=7,-$E71*$I71/12*3,0))))))</f>
        <v>0</v>
      </c>
      <c r="CZ71" s="1807">
        <f>IF($H71&lt;&gt;DB$5,0,IF(DB71&lt;0,IF(OR($J71=1,$J71=2,$J71=3,$J71=4,$J71=5,$J71=6,$J71=7),-$E71*$I71/12*3,IF($J71=8,-$E71*$I71/12*2,IF($J71=9,-$E71*$I71/12*1,0)))))+IF(CW$5&lt;&gt;$H71,0,IF(CW71&lt;0,IF($J71=7,-$E71*$I71/12*0,IF($J71=8,-$E71*$I71/12*1,IF($J71=9,-$E71*$I71/12*2,IF($J71&gt;=10,-$E71*$I71/12*3,0))))))</f>
        <v>0</v>
      </c>
      <c r="DA71" s="1806">
        <f>IF($H71&lt;&gt;DB$5,0,IF(DB71&lt;0,IF(OR($J71=1,$J71=2,$J71=3,$J71=4,$J71=5,$J71=6,$J71=7,$J71=8,$J71=9,$J71=10),-$E71*$I71/12*3,IF($J71=11,-$E71*$I71/12*2,IF($J71=12,-$E71*$I71/12*1,0)))))+IF(CW$5&lt;&gt;$H71,0,IF(CW71&lt;0,IF($J71=10,-$E71*$I71/12*0,IF($J71=11,-$E71*$I71/12*1,IF($J71=12,-$E71*$I71/12*2,0)))))</f>
        <v>0</v>
      </c>
      <c r="DB71" s="1791">
        <f>IF(AND(CW71&lt;&gt;0,CW$5=$H71),-$I71*$E71-CW71,IF(DB$5=$H71,-$I71*$E71*(12-$J71+1)/12,0))</f>
        <v>0</v>
      </c>
      <c r="DC71" s="1808">
        <f>IF($H71&lt;&gt;DG$5,0,IF(DG71&lt;0,IF($J71=1,-$E71*$I71/12*3,IF($J71=2,-$E71*$I71/12*2,IF($J71=3,-$E71*$I71/12*1,0)))))+IF(DB$5&lt;&gt;$H71,0,IF(DB71&lt;0,IF($J71=1,-$E71*$I71/12*0,IF($J71=2,-$E71*$I71/12*1,IF($J71=3,-$E71*$I71/12*2,IF($J71&gt;=4,-$E71*$I71/12*3,0))))))</f>
        <v>0</v>
      </c>
      <c r="DD71" s="1807">
        <f>IF($H71&lt;&gt;DG$5,0,IF(DG71&lt;0,IF(OR($J71=1,$J71=2,$J71=3,$J71=4),-$E71*$I71/12*3,IF($J71=5,-$E71*$I71/12*2,IF($J71=6,-$E71*$I71/12*1,0)))))+IF(DB$5&lt;&gt;$H71,0,IF(DB71&lt;0,IF($J71=4,-$E71*$I71/12*0,IF($J71=5,-$E71*$I71/12*1,IF($J71=6,-$E71*$I71/12*2,IF($J71&gt;=7,-$E71*$I71/12*3,0))))))</f>
        <v>0</v>
      </c>
      <c r="DE71" s="1807">
        <f>IF($H71&lt;&gt;DG$5,0,IF(DG71&lt;0,IF(OR($J71=1,$J71=2,$J71=3,$J71=4,$J71=5,$J71=6,$J71=7),-$E71*$I71/12*3,IF($J71=8,-$E71*$I71/12*2,IF($J71=9,-$E71*$I71/12*1,0)))))+IF(DB$5&lt;&gt;$H71,0,IF(DB71&lt;0,IF($J71=7,-$E71*$I71/12*0,IF($J71=8,-$E71*$I71/12*1,IF($J71=9,-$E71*$I71/12*2,IF($J71&gt;=10,-$E71*$I71/12*3,0))))))</f>
        <v>0</v>
      </c>
      <c r="DF71" s="1806">
        <f>IF($H71&lt;&gt;DG$5,0,IF(DG71&lt;0,IF(OR($J71=1,$J71=2,$J71=3,$J71=4,$J71=5,$J71=6,$J71=7,$J71=8,$J71=9,$J71=10),-$E71*$I71/12*3,IF($J71=11,-$E71*$I71/12*2,IF($J71=12,-$E71*$I71/12*1,0)))))+IF(DB$5&lt;&gt;$H71,0,IF(DB71&lt;0,IF($J71=10,-$E71*$I71/12*0,IF($J71=11,-$E71*$I71/12*1,IF($J71=12,-$E71*$I71/12*2,0)))))</f>
        <v>0</v>
      </c>
      <c r="DG71" s="1791">
        <f>IF(AND(DB71&lt;&gt;0,DB$5=$H71),-$I71*$E71-DB71,IF(DG$5=$H71,-$I71*$E71*(12-$J71+1)/12,0))</f>
        <v>0</v>
      </c>
      <c r="DH71" s="1808">
        <f>IF($H71&lt;&gt;DL$5,0,IF(DL71&lt;0,IF($J71=1,-$E71*$I71/12*3,IF($J71=2,-$E71*$I71/12*2,IF($J71=3,-$E71*$I71/12*1,0)))))+IF(DG$5&lt;&gt;$H71,0,IF(DG71&lt;0,IF($J71=1,-$E71*$I71/12*0,IF($J71=2,-$E71*$I71/12*1,IF($J71=3,-$E71*$I71/12*2,IF($J71&gt;=4,-$E71*$I71/12*3,0))))))</f>
        <v>0</v>
      </c>
      <c r="DI71" s="1807">
        <f>IF($H71&lt;&gt;DL$5,0,IF(DL71&lt;0,IF(OR($J71=1,$J71=2,$J71=3,$J71=4),-$E71*$I71/12*3,IF($J71=5,-$E71*$I71/12*2,IF($J71=6,-$E71*$I71/12*1,0)))))+IF(DG$5&lt;&gt;$H71,0,IF(DG71&lt;0,IF($J71=4,-$E71*$I71/12*0,IF($J71=5,-$E71*$I71/12*1,IF($J71=6,-$E71*$I71/12*2,IF($J71&gt;=7,-$E71*$I71/12*3,0))))))</f>
        <v>0</v>
      </c>
      <c r="DJ71" s="1807">
        <f>IF($H71&lt;&gt;DL$5,0,IF(DL71&lt;0,IF(OR($J71=1,$J71=2,$J71=3,$J71=4,$J71=5,$J71=6,$J71=7),-$E71*$I71/12*3,IF($J71=8,-$E71*$I71/12*2,IF($J71=9,-$E71*$I71/12*1,0)))))+IF(DG$5&lt;&gt;$H71,0,IF(DG71&lt;0,IF($J71=7,-$E71*$I71/12*0,IF($J71=8,-$E71*$I71/12*1,IF($J71=9,-$E71*$I71/12*2,IF($J71&gt;=10,-$E71*$I71/12*3,0))))))</f>
        <v>0</v>
      </c>
      <c r="DK71" s="1806">
        <f>IF($H71&lt;&gt;DL$5,0,IF(DL71&lt;0,IF(OR($J71=1,$J71=2,$J71=3,$J71=4,$J71=5,$J71=6,$J71=7,$J71=8,$J71=9,$J71=10),-$E71*$I71/12*3,IF($J71=11,-$E71*$I71/12*2,IF($J71=12,-$E71*$I71/12*1,0)))))+IF(DG$5&lt;&gt;$H71,0,IF(DG71&lt;0,IF($J71=10,-$E71*$I71/12*0,IF($J71=11,-$E71*$I71/12*1,IF($J71=12,-$E71*$I71/12*2,0)))))</f>
        <v>0</v>
      </c>
      <c r="DL71" s="1791">
        <f>IF(AND(DG71&lt;&gt;0,DG$5=$H71),-$I71*$E71-DG71,IF(DL$5=$H71,-$I71*$E71*(12-$J71+1)/12,0))</f>
        <v>0</v>
      </c>
      <c r="DM71" s="1808">
        <f>IF($H71&lt;&gt;DQ$5,0,IF(DQ71&lt;0,IF($J71=1,-$E71*$I71/12*3,IF($J71=2,-$E71*$I71/12*2,IF($J71=3,-$E71*$I71/12*1,0)))))+IF(DL$5&lt;&gt;$H71,0,IF(DL71&lt;0,IF($J71=1,-$E71*$I71/12*0,IF($J71=2,-$E71*$I71/12*1,IF($J71=3,-$E71*$I71/12*2,IF($J71&gt;=4,-$E71*$I71/12*3,0))))))</f>
        <v>0</v>
      </c>
      <c r="DN71" s="1807">
        <f>IF($H71&lt;&gt;DQ$5,0,IF(DQ71&lt;0,IF(OR($J71=1,$J71=2,$J71=3,$J71=4),-$E71*$I71/12*3,IF($J71=5,-$E71*$I71/12*2,IF($J71=6,-$E71*$I71/12*1,0)))))+IF(DL$5&lt;&gt;$H71,0,IF(DL71&lt;0,IF($J71=4,-$E71*$I71/12*0,IF($J71=5,-$E71*$I71/12*1,IF($J71=6,-$E71*$I71/12*2,IF($J71&gt;=7,-$E71*$I71/12*3,0))))))</f>
        <v>0</v>
      </c>
      <c r="DO71" s="1807">
        <f>IF($H71&lt;&gt;DQ$5,0,IF(DQ71&lt;0,IF(OR($J71=1,$J71=2,$J71=3,$J71=4,$J71=5,$J71=6,$J71=7),-$E71*$I71/12*3,IF($J71=8,-$E71*$I71/12*2,IF($J71=9,-$E71*$I71/12*1,0)))))+IF(DL$5&lt;&gt;$H71,0,IF(DL71&lt;0,IF($J71=7,-$E71*$I71/12*0,IF($J71=8,-$E71*$I71/12*1,IF($J71=9,-$E71*$I71/12*2,IF($J71&gt;=10,-$E71*$I71/12*3,0))))))</f>
        <v>0</v>
      </c>
      <c r="DP71" s="1806">
        <f>IF($H71&lt;&gt;DQ$5,0,IF(DQ71&lt;0,IF(OR($J71=1,$J71=2,$J71=3,$J71=4,$J71=5,$J71=6,$J71=7,$J71=8,$J71=9,$J71=10),-$E71*$I71/12*3,IF($J71=11,-$E71*$I71/12*2,IF($J71=12,-$E71*$I71/12*1,0)))))+IF(DL$5&lt;&gt;$H71,0,IF(DL71&lt;0,IF($J71=10,-$E71*$I71/12*0,IF($J71=11,-$E71*$I71/12*1,IF($J71=12,-$E71*$I71/12*2,0)))))</f>
        <v>0</v>
      </c>
      <c r="DQ71" s="1791">
        <f>IF(AND(DL71&lt;&gt;0,DL$5=$H71),-$I71*$E71-DL71,IF(DQ$5=$H71,-$I71*$E71*(12-$J71+1)/12,0))</f>
        <v>0</v>
      </c>
      <c r="DR71" s="1808">
        <f>IF($H71&lt;&gt;DV$5,0,IF(DV71&lt;0,IF($J71=1,-$E71*$I71/12*3,IF($J71=2,-$E71*$I71/12*2,IF($J71=3,-$E71*$I71/12*1,0)))))+IF(DQ$5&lt;&gt;$H71,0,IF(DQ71&lt;0,IF($J71=1,-$E71*$I71/12*0,IF($J71=2,-$E71*$I71/12*1,IF($J71=3,-$E71*$I71/12*2,IF($J71&gt;=4,-$E71*$I71/12*3,0))))))</f>
        <v>0</v>
      </c>
      <c r="DS71" s="1807">
        <f>IF($H71&lt;&gt;DV$5,0,IF(DV71&lt;0,IF(OR($J71=1,$J71=2,$J71=3,$J71=4),-$E71*$I71/12*3,IF($J71=5,-$E71*$I71/12*2,IF($J71=6,-$E71*$I71/12*1,0)))))+IF(DQ$5&lt;&gt;$H71,0,IF(DQ71&lt;0,IF($J71=4,-$E71*$I71/12*0,IF($J71=5,-$E71*$I71/12*1,IF($J71=6,-$E71*$I71/12*2,IF($J71&gt;=7,-$E71*$I71/12*3,0))))))</f>
        <v>0</v>
      </c>
      <c r="DT71" s="1807">
        <f>IF($H71&lt;&gt;DV$5,0,IF(DV71&lt;0,IF(OR($J71=1,$J71=2,$J71=3,$J71=4,$J71=5,$J71=6,$J71=7),-$E71*$I71/12*3,IF($J71=8,-$E71*$I71/12*2,IF($J71=9,-$E71*$I71/12*1,0)))))+IF(DQ$5&lt;&gt;$H71,0,IF(DQ71&lt;0,IF($J71=7,-$E71*$I71/12*0,IF($J71=8,-$E71*$I71/12*1,IF($J71=9,-$E71*$I71/12*2,IF($J71&gt;=10,-$E71*$I71/12*3,0))))))</f>
        <v>0</v>
      </c>
      <c r="DU71" s="1806">
        <f>IF($H71&lt;&gt;DV$5,0,IF(DV71&lt;0,IF(OR($J71=1,$J71=2,$J71=3,$J71=4,$J71=5,$J71=6,$J71=7,$J71=8,$J71=9,$J71=10),-$E71*$I71/12*3,IF($J71=11,-$E71*$I71/12*2,IF($J71=12,-$E71*$I71/12*1,0)))))+IF(DQ$5&lt;&gt;$H71,0,IF(DQ71&lt;0,IF($J71=10,-$E71*$I71/12*0,IF($J71=11,-$E71*$I71/12*1,IF($J71=12,-$E71*$I71/12*2,0)))))</f>
        <v>0</v>
      </c>
      <c r="DV71" s="1791">
        <f>IF(AND(DQ71&lt;&gt;0,DQ$5=$H71),-$I71*$E71-DQ71,IF(DV$5=$H71,-$I71*$E71*(12-$J71+1)/12,0))</f>
        <v>0</v>
      </c>
    </row>
    <row r="72" spans="1:126">
      <c r="A72" s="455"/>
      <c r="B72" s="455"/>
      <c r="C72" s="1363" t="s">
        <v>113</v>
      </c>
      <c r="D72" s="94"/>
      <c r="E72" s="1817">
        <f>IF(F72=0,G72,F72)</f>
        <v>75</v>
      </c>
      <c r="F72" s="1435">
        <v>0</v>
      </c>
      <c r="G72" s="1435">
        <v>75</v>
      </c>
      <c r="H72" s="1350">
        <v>2017</v>
      </c>
      <c r="I72" s="1335">
        <v>3.2500000000000001E-2</v>
      </c>
      <c r="J72" s="1343">
        <v>7</v>
      </c>
      <c r="K72" s="1792"/>
      <c r="L72" s="1810">
        <f t="shared" si="686"/>
        <v>0</v>
      </c>
      <c r="M72" s="1791">
        <f t="shared" si="686"/>
        <v>0</v>
      </c>
      <c r="N72" s="1808">
        <f>IF(R72=0,0,IF(R72&lt;0,IF($J72=3,R72,IF($J72=2,R72,IF($J72=1,R72,0)))))</f>
        <v>0</v>
      </c>
      <c r="O72" s="1807">
        <f>IF(R72=0,0,IF(R72&lt;0,IF($J72=6,R72,IF($J72=5,R72,IF($J72=4,R72,0)))))</f>
        <v>0</v>
      </c>
      <c r="P72" s="1807">
        <f>IF(R72=0,0,IF(R72&lt;0,IF($J72=9,R72,IF($J72=8,R72,IF($J72=7,R72,0)))))</f>
        <v>0</v>
      </c>
      <c r="Q72" s="1806">
        <f>IF(R72=0,0,IF(R72&lt;0,IF($J72=12,R72,IF($J72=11,R72,IF($J72=10,R72,0)))))</f>
        <v>0</v>
      </c>
      <c r="R72" s="1791">
        <f>IF(R$5=$H72,-$E72,0)</f>
        <v>0</v>
      </c>
      <c r="S72" s="1808">
        <f>IF(W72=0,0,IF(W72&lt;0,IF($J72=3,W72,IF($J72=2,W72,IF($J72=1,W72,0)))))</f>
        <v>0</v>
      </c>
      <c r="T72" s="1807">
        <f>IF(W72=0,0,IF(W72&lt;0,IF($J72=6,W72,IF($J72=5,W72,IF($J72=4,W72,0)))))</f>
        <v>0</v>
      </c>
      <c r="U72" s="1807">
        <f>IF(W72=0,0,IF(W72&lt;0,IF($J72=9,W72,IF($J72=8,W72,IF($J72=7,W72,0)))))</f>
        <v>0</v>
      </c>
      <c r="V72" s="1806">
        <f>IF(W72=0,0,IF(W72&lt;0,IF($J72=12,W72,IF($J72=11,W72,IF($J72=10,W72,0)))))</f>
        <v>0</v>
      </c>
      <c r="W72" s="1791">
        <f>IF(W$5=$H72,-$E72,0)</f>
        <v>0</v>
      </c>
      <c r="X72" s="1808">
        <f>IF(AB72=0,0,IF(AB72&lt;0,IF($J72=3,AB72,IF($J72=2,AB72,IF($J72=1,AB72,0)))))</f>
        <v>0</v>
      </c>
      <c r="Y72" s="1807">
        <f>IF(AB72=0,0,IF(AB72&lt;0,IF($J72=6,AB72,IF($J72=5,AB72,IF($J72=4,AB72,0)))))</f>
        <v>0</v>
      </c>
      <c r="Z72" s="1807">
        <f>IF(AB72=0,0,IF(AB72&lt;0,IF($J72=9,AB72,IF($J72=8,AB72,IF($J72=7,AB72,0)))))</f>
        <v>0</v>
      </c>
      <c r="AA72" s="1806">
        <f>IF(AB72=0,0,IF(AB72&lt;0,IF($J72=12,AB72,IF($J72=11,AB72,IF($J72=10,AB72,0)))))</f>
        <v>0</v>
      </c>
      <c r="AB72" s="1791">
        <f>IF(AB$5=$H72,-$E72,0)</f>
        <v>0</v>
      </c>
      <c r="AC72" s="1808">
        <f>IF(AG72=0,0,IF(AG72&lt;0,IF($J72=3,AG72,IF($J72=2,AG72,IF($J72=1,AG72,0)))))</f>
        <v>0</v>
      </c>
      <c r="AD72" s="1807">
        <f>IF(AG72=0,0,IF(AG72&lt;0,IF($J72=6,AG72,IF($J72=5,AG72,IF($J72=4,AG72,0)))))</f>
        <v>0</v>
      </c>
      <c r="AE72" s="1807">
        <f>IF(AG72=0,0,IF(AG72&lt;0,IF($J72=9,AG72,IF($J72=8,AG72,IF($J72=7,AG72,0)))))</f>
        <v>0</v>
      </c>
      <c r="AF72" s="1806">
        <f>IF(AG72=0,0,IF(AG72&lt;0,IF($J72=12,AG72,IF($J72=11,AG72,IF($J72=10,AG72,0)))))</f>
        <v>0</v>
      </c>
      <c r="AG72" s="1791">
        <f>IF(AG$5=$H72,-$E72,0)</f>
        <v>0</v>
      </c>
      <c r="AH72" s="1808">
        <f>IF(AL72=0,0,IF(AL72&lt;0,IF($J72=3,AL72,IF($J72=2,AL72,IF($J72=1,AL72,0)))))</f>
        <v>0</v>
      </c>
      <c r="AI72" s="1807">
        <f>IF(AL72=0,0,IF(AL72&lt;0,IF($J72=6,AL72,IF($J72=5,AL72,IF($J72=4,AL72,0)))))</f>
        <v>0</v>
      </c>
      <c r="AJ72" s="1807">
        <f>IF(AL72=0,0,IF(AL72&lt;0,IF($J72=9,AL72,IF($J72=8,AL72,IF($J72=7,AL72,0)))))</f>
        <v>0</v>
      </c>
      <c r="AK72" s="1806">
        <f>IF(AL72=0,0,IF(AL72&lt;0,IF($J72=12,AL72,IF($J72=11,AL72,IF($J72=10,AL72,0)))))</f>
        <v>0</v>
      </c>
      <c r="AL72" s="1791">
        <f>IF(AL$5=$H72,-$E72,0)</f>
        <v>0</v>
      </c>
      <c r="AM72" s="1808">
        <f>IF(AQ72=0,0,IF(AQ72&lt;0,IF($J72=3,AQ72,IF($J72=2,AQ72,IF($J72=1,AQ72,0)))))</f>
        <v>0</v>
      </c>
      <c r="AN72" s="1807">
        <f>IF(AQ72=0,0,IF(AQ72&lt;0,IF($J72=6,AQ72,IF($J72=5,AQ72,IF($J72=4,AQ72,0)))))</f>
        <v>0</v>
      </c>
      <c r="AO72" s="1807">
        <f>IF(AQ72=0,0,IF(AQ72&lt;0,IF($J72=9,AQ72,IF($J72=8,AQ72,IF($J72=7,AQ72,0)))))</f>
        <v>0</v>
      </c>
      <c r="AP72" s="1806">
        <f>IF(AQ72=0,0,IF(AQ72&lt;0,IF($J72=12,AQ72,IF($J72=11,AQ72,IF($J72=10,AQ72,0)))))</f>
        <v>0</v>
      </c>
      <c r="AQ72" s="1791">
        <f>IF(AQ$5=$H72,-$E72,0)</f>
        <v>0</v>
      </c>
      <c r="AR72" s="1808">
        <f>IF(AV72=0,0,IF(AV72&lt;0,IF($J72=3,AV72,IF($J72=2,AV72,IF($J72=1,AV72,0)))))</f>
        <v>0</v>
      </c>
      <c r="AS72" s="1807">
        <f>IF(AV72=0,0,IF(AV72&lt;0,IF($J72=6,AV72,IF($J72=5,AV72,IF($J72=4,AV72,0)))))</f>
        <v>0</v>
      </c>
      <c r="AT72" s="1807">
        <f>IF(AV72=0,0,IF(AV72&lt;0,IF($J72=9,AV72,IF($J72=8,AV72,IF($J72=7,AV72,0)))))</f>
        <v>-75</v>
      </c>
      <c r="AU72" s="1806">
        <f>IF(AV72=0,0,IF(AV72&lt;0,IF($J72=12,AV72,IF($J72=11,AV72,IF($J72=10,AV72,0)))))</f>
        <v>0</v>
      </c>
      <c r="AV72" s="1791">
        <f>IF(AV$5=$H72,-$E72,0)</f>
        <v>-75</v>
      </c>
      <c r="AW72" s="1808">
        <f>IF(BA72=0,0,IF(BA72&lt;0,IF($J72=3,BA72,IF($J72=2,BA72,IF($J72=1,BA72,0)))))</f>
        <v>0</v>
      </c>
      <c r="AX72" s="1807">
        <f>IF(BA72=0,0,IF(BA72&lt;0,IF($J72=6,BA72,IF($J72=5,BA72,IF($J72=4,BA72,0)))))</f>
        <v>0</v>
      </c>
      <c r="AY72" s="1807">
        <f>IF(BA72=0,0,IF(BA72&lt;0,IF($J72=9,BA72,IF($J72=8,BA72,IF($J72=7,BA72,0)))))</f>
        <v>0</v>
      </c>
      <c r="AZ72" s="1806">
        <f>IF(BA72=0,0,IF(BA72&lt;0,IF($J72=12,BA72,IF($J72=11,BA72,IF($J72=10,BA72,0)))))</f>
        <v>0</v>
      </c>
      <c r="BA72" s="1791">
        <f>IF(BA$5=$H72,-$E72,0)</f>
        <v>0</v>
      </c>
      <c r="BB72" s="1808">
        <f>IF(BF72=0,0,IF(BF72&lt;0,IF($J72=3,BF72,IF($J72=2,BF72,IF($J72=1,BF72,0)))))</f>
        <v>0</v>
      </c>
      <c r="BC72" s="1807">
        <f>IF(BF72=0,0,IF(BF72&lt;0,IF($J72=6,BF72,IF($J72=5,BF72,IF($J72=4,BF72,0)))))</f>
        <v>0</v>
      </c>
      <c r="BD72" s="1807">
        <f>IF(BF72=0,0,IF(BF72&lt;0,IF($J72=9,BF72,IF($J72=8,BF72,IF($J72=7,BF72,0)))))</f>
        <v>0</v>
      </c>
      <c r="BE72" s="1806">
        <f>IF(BF72=0,0,IF(BF72&lt;0,IF($J72=12,BF72,IF($J72=11,BF72,IF($J72=10,BF72,0)))))</f>
        <v>0</v>
      </c>
      <c r="BF72" s="1791">
        <f>IF(BF$5=$H72,-$E72,0)</f>
        <v>0</v>
      </c>
      <c r="BG72" s="1808">
        <f>IF(BK72=0,0,IF(BK72&lt;0,IF($J72=3,BK72,IF($J72=2,BK72,IF($J72=1,BK72,0)))))</f>
        <v>0</v>
      </c>
      <c r="BH72" s="1807">
        <f>IF(BK72=0,0,IF(BK72&lt;0,IF($J72=6,BK72,IF($J72=5,BK72,IF($J72=4,BK72,0)))))</f>
        <v>0</v>
      </c>
      <c r="BI72" s="1807">
        <f>IF(BK72=0,0,IF(BK72&lt;0,IF($J72=9,BK72,IF($J72=8,BK72,IF($J72=7,BK72,0)))))</f>
        <v>0</v>
      </c>
      <c r="BJ72" s="1806">
        <f>IF(BK72=0,0,IF(BK72&lt;0,IF($J72=12,BK72,IF($J72=11,BK72,IF($J72=10,BK72,0)))))</f>
        <v>0</v>
      </c>
      <c r="BK72" s="1791">
        <f>IF(BK$5=$H72,-$E72,0)</f>
        <v>0</v>
      </c>
      <c r="BL72" s="1808">
        <f>IF(BP72=0,0,IF(BP72&lt;0,IF($J72=3,BP72,IF($J72=2,BP72,IF($J72=1,BP72,0)))))</f>
        <v>0</v>
      </c>
      <c r="BM72" s="1807">
        <f>IF(BP72=0,0,IF(BP72&lt;0,IF($J72=6,BP72,IF($J72=5,BP72,IF($J72=4,BP72,0)))))</f>
        <v>0</v>
      </c>
      <c r="BN72" s="1807">
        <f>IF(BP72=0,0,IF(BP72&lt;0,IF($J72=9,BP72,IF($J72=8,BP72,IF($J72=7,BP72,0)))))</f>
        <v>0</v>
      </c>
      <c r="BO72" s="1806">
        <f>IF(BP72=0,0,IF(BP72&lt;0,IF($J72=12,BP72,IF($J72=11,BP72,IF($J72=10,BP72,0)))))</f>
        <v>0</v>
      </c>
      <c r="BP72" s="1791">
        <f>IF(BP$5=$H72,-$E72,0)</f>
        <v>0</v>
      </c>
      <c r="BQ72" s="1827"/>
      <c r="BR72" s="1991">
        <f t="shared" si="687"/>
        <v>0</v>
      </c>
      <c r="BS72" s="1991">
        <f t="shared" si="687"/>
        <v>0</v>
      </c>
      <c r="BT72" s="1992">
        <f>IF($H72&lt;&gt;BX$5,0,IF(BX72&lt;0,IF($J72=1,-$E72*$I72/12*3,IF($J72=2,-$E72*$I72/12*2,IF($J72=3,-$E72*$I72/12*1,0)))))+IF(BS$5&lt;&gt;$H72,0,IF(BS72&lt;0,IF($J72=1,-$E72*$I72/12*0,IF($J72=2,-$E72*$I72/12*1,IF($J72=3,-$E72*$I72/12*2,IF($J72&gt;=4,-$E72*$I72/12*3,0))))))</f>
        <v>0</v>
      </c>
      <c r="BU72" s="1992">
        <f>IF($H72&lt;&gt;BX$5,0,IF(BX72&lt;0,IF(OR($J72=1,$J72=2,$J72=3,$J72=4),-$E72*$I72/12*3,IF($J72=5,-$E72*$I72/12*2,IF($J72=6,-$E72*$I72/12*1,0)))))+IF(BS$5&lt;&gt;$H72,0,IF(BS72&lt;0,IF($J72=4,-$E72*$I72/12*0,IF($J72=5,-$E72*$I72/12*1,IF($J72=6,-$E72*$I72/12*2,IF($J72&gt;=7,-$E72*$I72/12*3,0))))))</f>
        <v>0</v>
      </c>
      <c r="BV72" s="1992">
        <f>IF($H72&lt;&gt;BX$5,0,IF(BX72&lt;0,IF(OR($J72=1,$J72=2,$J72=3,$J72=4,$J72=5,$J72=6,$J72=7),-$E72*$I72/12*3,IF($J72=8,-$E72*$I72/12*2,IF($J72=9,-$E72*$I72/12*1,0)))))+IF(BS$5&lt;&gt;$H72,0,IF(BS72&lt;0,IF($J72=7,-$E72*$I72/12*0,IF($J72=8,-$E72*$I72/12*1,IF($J72=9,-$E72*$I72/12*2,IF($J72&gt;=10,-$E72*$I72/12*3,0))))))</f>
        <v>0</v>
      </c>
      <c r="BW72" s="1992">
        <f>IF($H72&lt;&gt;BX$5,0,IF(BX72&lt;0,IF(OR($J72=1,$J72=2,$J72=3,$J72=4,$J72=5,$J72=6,$J72=7,$J72=8,$J72=9,$J72=10),-$E72*$I72/12*3,IF($J72=11,-$E72*$I72/12*2,IF($J72=12,-$E72*$I72/12*1,0)))))+IF(BS$5&lt;&gt;$H72,0,IF(BS72&lt;0,IF($J72=10,-$E72*$I72/12*0,IF($J72=11,-$E72*$I72/12*1,IF($J72=12,-$E72*$I72/12*2,0)))))</f>
        <v>0</v>
      </c>
      <c r="BX72" s="1810">
        <f>IF(AND(BS72&lt;&gt;0,BS$5=$H72),-$I72*$E72-BS72,IF(BX$5=$H72,-$I72*$E72*(12-$J72+1)/12,0))</f>
        <v>0</v>
      </c>
      <c r="BY72" s="1807">
        <f>IF($H72&lt;&gt;CC$5,0,IF(CC72&lt;0,IF($J72=1,-$E72*$I72/12*3,IF($J72=2,-$E72*$I72/12*2,IF($J72=3,-$E72*$I72/12*1,0)))))+IF(BX$5&lt;&gt;$H72,0,IF(BX72&lt;0,IF($J72=1,-$E72*$I72/12*0,IF($J72=2,-$E72*$I72/12*1,IF($J72=3,-$E72*$I72/12*2,IF($J72&gt;=4,-$E72*$I72/12*3,0))))))</f>
        <v>0</v>
      </c>
      <c r="BZ72" s="1807">
        <f>IF($H72&lt;&gt;CC$5,0,IF(CC72&lt;0,IF(OR($J72=1,$J72=2,$J72=3,$J72=4),-$E72*$I72/12*3,IF($J72=5,-$E72*$I72/12*2,IF($J72=6,-$E72*$I72/12*1,0)))))+IF(BX$5&lt;&gt;$H72,0,IF(BX72&lt;0,IF($J72=4,-$E72*$I72/12*0,IF($J72=5,-$E72*$I72/12*1,IF($J72=6,-$E72*$I72/12*2,IF($J72&gt;=7,-$E72*$I72/12*3,0))))))</f>
        <v>0</v>
      </c>
      <c r="CA72" s="1807">
        <f>IF($H72&lt;&gt;CC$5,0,IF(CC72&lt;0,IF(OR($J72=1,$J72=2,$J72=3,$J72=4,$J72=5,$J72=6,$J72=7),-$E72*$I72/12*3,IF($J72=8,-$E72*$I72/12*2,IF($J72=9,-$E72*$I72/12*1,0)))))+IF(BX$5&lt;&gt;$H72,0,IF(BX72&lt;0,IF($J72=7,-$E72*$I72/12*0,IF($J72=8,-$E72*$I72/12*1,IF($J72=9,-$E72*$I72/12*2,IF($J72&gt;=10,-$E72*$I72/12*3,0))))))</f>
        <v>0</v>
      </c>
      <c r="CB72" s="1806">
        <f>IF($H72&lt;&gt;CC$5,0,IF(CC72&lt;0,IF(OR($J72=1,$J72=2,$J72=3,$J72=4,$J72=5,$J72=6,$J72=7,$J72=8,$J72=9,$J72=10),-$E72*$I72/12*3,IF($J72=11,-$E72*$I72/12*2,IF($J72=12,-$E72*$I72/12*1,0)))))+IF(BX$5&lt;&gt;$H72,0,IF(BX72&lt;0,IF($J72=10,-$E72*$I72/12*0,IF($J72=11,-$E72*$I72/12*1,IF($J72=12,-$E72*$I72/12*2,0)))))</f>
        <v>0</v>
      </c>
      <c r="CC72" s="1791">
        <f>IF(AND(BX72&lt;&gt;0,BX$5=$H72),-$I72*$E72-BX72,IF(CC$5=$H72,-$I72*$E72*(12-$J72+1)/12,0))</f>
        <v>0</v>
      </c>
      <c r="CD72" s="1808">
        <f>IF($H72&lt;&gt;CH$5,0,IF(CH72&lt;0,IF($J72=1,-$E72*$I72/12*3,IF($J72=2,-$E72*$I72/12*2,IF($J72=3,-$E72*$I72/12*1,0)))))+IF(CC$5&lt;&gt;$H72,0,IF(CC72&lt;0,IF($J72=1,-$E72*$I72/12*0,IF($J72=2,-$E72*$I72/12*1,IF($J72=3,-$E72*$I72/12*2,IF($J72&gt;=4,-$E72*$I72/12*3,0))))))</f>
        <v>0</v>
      </c>
      <c r="CE72" s="1807">
        <f>IF($H72&lt;&gt;CH$5,0,IF(CH72&lt;0,IF(OR($J72=1,$J72=2,$J72=3,$J72=4),-$E72*$I72/12*3,IF($J72=5,-$E72*$I72/12*2,IF($J72=6,-$E72*$I72/12*1,0)))))+IF(CC$5&lt;&gt;$H72,0,IF(CC72&lt;0,IF($J72=4,-$E72*$I72/12*0,IF($J72=5,-$E72*$I72/12*1,IF($J72=6,-$E72*$I72/12*2,IF($J72&gt;=7,-$E72*$I72/12*3,0))))))</f>
        <v>0</v>
      </c>
      <c r="CF72" s="1807">
        <f>IF($H72&lt;&gt;CH$5,0,IF(CH72&lt;0,IF(OR($J72=1,$J72=2,$J72=3,$J72=4,$J72=5,$J72=6,$J72=7),-$E72*$I72/12*3,IF($J72=8,-$E72*$I72/12*2,IF($J72=9,-$E72*$I72/12*1,0)))))+IF(CC$5&lt;&gt;$H72,0,IF(CC72&lt;0,IF($J72=7,-$E72*$I72/12*0,IF($J72=8,-$E72*$I72/12*1,IF($J72=9,-$E72*$I72/12*2,IF($J72&gt;=10,-$E72*$I72/12*3,0))))))</f>
        <v>0</v>
      </c>
      <c r="CG72" s="1806">
        <f>IF($H72&lt;&gt;CH$5,0,IF(CH72&lt;0,IF(OR($J72=1,$J72=2,$J72=3,$J72=4,$J72=5,$J72=6,$J72=7,$J72=8,$J72=9,$J72=10),-$E72*$I72/12*3,IF($J72=11,-$E72*$I72/12*2,IF($J72=12,-$E72*$I72/12*1,0)))))+IF(CC$5&lt;&gt;$H72,0,IF(CC72&lt;0,IF($J72=10,-$E72*$I72/12*0,IF($J72=11,-$E72*$I72/12*1,IF($J72=12,-$E72*$I72/12*2,0)))))</f>
        <v>0</v>
      </c>
      <c r="CH72" s="1791">
        <f>IF(AND(CC72&lt;&gt;0,CC$5=$H72),-$I72*$E72-CC72,IF(CH$5=$H72,-$I72*$E72*(12-$J72+1)/12,0))</f>
        <v>0</v>
      </c>
      <c r="CI72" s="1808">
        <f>IF($H72&lt;&gt;CM$5,0,IF(CM72&lt;0,IF($J72=1,-$E72*$I72/12*3,IF($J72=2,-$E72*$I72/12*2,IF($J72=3,-$E72*$I72/12*1,0)))))+IF(CH$5&lt;&gt;$H72,0,IF(CH72&lt;0,IF($J72=1,-$E72*$I72/12*0,IF($J72=2,-$E72*$I72/12*1,IF($J72=3,-$E72*$I72/12*2,IF($J72&gt;=4,-$E72*$I72/12*3,0))))))</f>
        <v>0</v>
      </c>
      <c r="CJ72" s="1807">
        <f>IF($H72&lt;&gt;CM$5,0,IF(CM72&lt;0,IF(OR($J72=1,$J72=2,$J72=3,$J72=4),-$E72*$I72/12*3,IF($J72=5,-$E72*$I72/12*2,IF($J72=6,-$E72*$I72/12*1,0)))))+IF(CH$5&lt;&gt;$H72,0,IF(CH72&lt;0,IF($J72=4,-$E72*$I72/12*0,IF($J72=5,-$E72*$I72/12*1,IF($J72=6,-$E72*$I72/12*2,IF($J72&gt;=7,-$E72*$I72/12*3,0))))))</f>
        <v>0</v>
      </c>
      <c r="CK72" s="1807">
        <f>IF($H72&lt;&gt;CM$5,0,IF(CM72&lt;0,IF(OR($J72=1,$J72=2,$J72=3,$J72=4,$J72=5,$J72=6,$J72=7),-$E72*$I72/12*3,IF($J72=8,-$E72*$I72/12*2,IF($J72=9,-$E72*$I72/12*1,0)))))+IF(CH$5&lt;&gt;$H72,0,IF(CH72&lt;0,IF($J72=7,-$E72*$I72/12*0,IF($J72=8,-$E72*$I72/12*1,IF($J72=9,-$E72*$I72/12*2,IF($J72&gt;=10,-$E72*$I72/12*3,0))))))</f>
        <v>0</v>
      </c>
      <c r="CL72" s="1806">
        <f>IF($H72&lt;&gt;CM$5,0,IF(CM72&lt;0,IF(OR($J72=1,$J72=2,$J72=3,$J72=4,$J72=5,$J72=6,$J72=7,$J72=8,$J72=9,$J72=10),-$E72*$I72/12*3,IF($J72=11,-$E72*$I72/12*2,IF($J72=12,-$E72*$I72/12*1,0)))))+IF(CH$5&lt;&gt;$H72,0,IF(CH72&lt;0,IF($J72=10,-$E72*$I72/12*0,IF($J72=11,-$E72*$I72/12*1,IF($J72=12,-$E72*$I72/12*2,0)))))</f>
        <v>0</v>
      </c>
      <c r="CM72" s="1791">
        <f>IF(AND(CH72&lt;&gt;0,CH$5=$H72),-$I72*$E72-CH72,IF(CM$5=$H72,-$I72*$E72*(12-$J72+1)/12,0))</f>
        <v>0</v>
      </c>
      <c r="CN72" s="1808">
        <f>IF($H72&lt;&gt;CR$5,0,IF(CR72&lt;0,IF($J72=1,-$E72*$I72/12*3,IF($J72=2,-$E72*$I72/12*2,IF($J72=3,-$E72*$I72/12*1,0)))))+IF(CM$5&lt;&gt;$H72,0,IF(CM72&lt;0,IF($J72=1,-$E72*$I72/12*0,IF($J72=2,-$E72*$I72/12*1,IF($J72=3,-$E72*$I72/12*2,IF($J72&gt;=4,-$E72*$I72/12*3,0))))))</f>
        <v>0</v>
      </c>
      <c r="CO72" s="1807">
        <f>IF($H72&lt;&gt;CR$5,0,IF(CR72&lt;0,IF(OR($J72=1,$J72=2,$J72=3,$J72=4),-$E72*$I72/12*3,IF($J72=5,-$E72*$I72/12*2,IF($J72=6,-$E72*$I72/12*1,0)))))+IF(CM$5&lt;&gt;$H72,0,IF(CM72&lt;0,IF($J72=4,-$E72*$I72/12*0,IF($J72=5,-$E72*$I72/12*1,IF($J72=6,-$E72*$I72/12*2,IF($J72&gt;=7,-$E72*$I72/12*3,0))))))</f>
        <v>0</v>
      </c>
      <c r="CP72" s="1807">
        <f>IF($H72&lt;&gt;CR$5,0,IF(CR72&lt;0,IF(OR($J72=1,$J72=2,$J72=3,$J72=4,$J72=5,$J72=6,$J72=7),-$E72*$I72/12*3,IF($J72=8,-$E72*$I72/12*2,IF($J72=9,-$E72*$I72/12*1,0)))))+IF(CM$5&lt;&gt;$H72,0,IF(CM72&lt;0,IF($J72=7,-$E72*$I72/12*0,IF($J72=8,-$E72*$I72/12*1,IF($J72=9,-$E72*$I72/12*2,IF($J72&gt;=10,-$E72*$I72/12*3,0))))))</f>
        <v>0</v>
      </c>
      <c r="CQ72" s="1806">
        <f>IF($H72&lt;&gt;CR$5,0,IF(CR72&lt;0,IF(OR($J72=1,$J72=2,$J72=3,$J72=4,$J72=5,$J72=6,$J72=7,$J72=8,$J72=9,$J72=10),-$E72*$I72/12*3,IF($J72=11,-$E72*$I72/12*2,IF($J72=12,-$E72*$I72/12*1,0)))))+IF(CM$5&lt;&gt;$H72,0,IF(CM72&lt;0,IF($J72=10,-$E72*$I72/12*0,IF($J72=11,-$E72*$I72/12*1,IF($J72=12,-$E72*$I72/12*2,0)))))</f>
        <v>0</v>
      </c>
      <c r="CR72" s="1791">
        <f>IF(AND(CM72&lt;&gt;0,CM$5=$H72),-$I72*$E72-CM72,IF(CR$5=$H72,-$I72*$E72*(12-$J72+1)/12,0))</f>
        <v>0</v>
      </c>
      <c r="CS72" s="1808">
        <f>IF($H72&lt;&gt;CW$5,0,IF(CW72&lt;0,IF($J72=1,-$E72*$I72/12*3,IF($J72=2,-$E72*$I72/12*2,IF($J72=3,-$E72*$I72/12*1,0)))))+IF(CR$5&lt;&gt;$H72,0,IF(CR72&lt;0,IF($J72=1,-$E72*$I72/12*0,IF($J72=2,-$E72*$I72/12*1,IF($J72=3,-$E72*$I72/12*2,IF($J72&gt;=4,-$E72*$I72/12*3,0))))))</f>
        <v>0</v>
      </c>
      <c r="CT72" s="1807">
        <f>IF($H72&lt;&gt;CW$5,0,IF(CW72&lt;0,IF(OR($J72=1,$J72=2,$J72=3,$J72=4),-$E72*$I72/12*3,IF($J72=5,-$E72*$I72/12*2,IF($J72=6,-$E72*$I72/12*1,0)))))+IF(CR$5&lt;&gt;$H72,0,IF(CR72&lt;0,IF($J72=4,-$E72*$I72/12*0,IF($J72=5,-$E72*$I72/12*1,IF($J72=6,-$E72*$I72/12*2,IF($J72&gt;=7,-$E72*$I72/12*3,0))))))</f>
        <v>0</v>
      </c>
      <c r="CU72" s="1807">
        <f>IF($H72&lt;&gt;CW$5,0,IF(CW72&lt;0,IF(OR($J72=1,$J72=2,$J72=3,$J72=4,$J72=5,$J72=6,$J72=7),-$E72*$I72/12*3,IF($J72=8,-$E72*$I72/12*2,IF($J72=9,-$E72*$I72/12*1,0)))))+IF(CR$5&lt;&gt;$H72,0,IF(CR72&lt;0,IF($J72=7,-$E72*$I72/12*0,IF($J72=8,-$E72*$I72/12*1,IF($J72=9,-$E72*$I72/12*2,IF($J72&gt;=10,-$E72*$I72/12*3,0))))))</f>
        <v>0</v>
      </c>
      <c r="CV72" s="1806">
        <f>IF($H72&lt;&gt;CW$5,0,IF(CW72&lt;0,IF(OR($J72=1,$J72=2,$J72=3,$J72=4,$J72=5,$J72=6,$J72=7,$J72=8,$J72=9,$J72=10),-$E72*$I72/12*3,IF($J72=11,-$E72*$I72/12*2,IF($J72=12,-$E72*$I72/12*1,0)))))+IF(CR$5&lt;&gt;$H72,0,IF(CR72&lt;0,IF($J72=10,-$E72*$I72/12*0,IF($J72=11,-$E72*$I72/12*1,IF($J72=12,-$E72*$I72/12*2,0)))))</f>
        <v>0</v>
      </c>
      <c r="CW72" s="1791">
        <f>IF(AND(CR72&lt;&gt;0,CR$5=$H72),-$I72*$E72-CR72,IF(CW$5=$H72,-$I72*$E72*(12-$J72+1)/12,0))</f>
        <v>0</v>
      </c>
      <c r="CX72" s="1808">
        <f>IF($H72&lt;&gt;DB$5,0,IF(DB72&lt;0,IF($J72=1,-$E72*$I72/12*3,IF($J72=2,-$E72*$I72/12*2,IF($J72=3,-$E72*$I72/12*1,0)))))+IF(CW$5&lt;&gt;$H72,0,IF(CW72&lt;0,IF($J72=1,-$E72*$I72/12*0,IF($J72=2,-$E72*$I72/12*1,IF($J72=3,-$E72*$I72/12*2,IF($J72&gt;=4,-$E72*$I72/12*3,0))))))</f>
        <v>0</v>
      </c>
      <c r="CY72" s="1807">
        <f>IF($H72&lt;&gt;DB$5,0,IF(DB72&lt;0,IF(OR($J72=1,$J72=2,$J72=3,$J72=4),-$E72*$I72/12*3,IF($J72=5,-$E72*$I72/12*2,IF($J72=6,-$E72*$I72/12*1,0)))))+IF(CW$5&lt;&gt;$H72,0,IF(CW72&lt;0,IF($J72=4,-$E72*$I72/12*0,IF($J72=5,-$E72*$I72/12*1,IF($J72=6,-$E72*$I72/12*2,IF($J72&gt;=7,-$E72*$I72/12*3,0))))))</f>
        <v>0</v>
      </c>
      <c r="CZ72" s="1807">
        <f>IF($H72&lt;&gt;DB$5,0,IF(DB72&lt;0,IF(OR($J72=1,$J72=2,$J72=3,$J72=4,$J72=5,$J72=6,$J72=7),-$E72*$I72/12*3,IF($J72=8,-$E72*$I72/12*2,IF($J72=9,-$E72*$I72/12*1,0)))))+IF(CW$5&lt;&gt;$H72,0,IF(CW72&lt;0,IF($J72=7,-$E72*$I72/12*0,IF($J72=8,-$E72*$I72/12*1,IF($J72=9,-$E72*$I72/12*2,IF($J72&gt;=10,-$E72*$I72/12*3,0))))))</f>
        <v>-0.609375</v>
      </c>
      <c r="DA72" s="1806">
        <f>IF($H72&lt;&gt;DB$5,0,IF(DB72&lt;0,IF(OR($J72=1,$J72=2,$J72=3,$J72=4,$J72=5,$J72=6,$J72=7,$J72=8,$J72=9,$J72=10),-$E72*$I72/12*3,IF($J72=11,-$E72*$I72/12*2,IF($J72=12,-$E72*$I72/12*1,0)))))+IF(CW$5&lt;&gt;$H72,0,IF(CW72&lt;0,IF($J72=10,-$E72*$I72/12*0,IF($J72=11,-$E72*$I72/12*1,IF($J72=12,-$E72*$I72/12*2,0)))))</f>
        <v>-0.609375</v>
      </c>
      <c r="DB72" s="1791">
        <f>IF(AND(CW72&lt;&gt;0,CW$5=$H72),-$I72*$E72-CW72,IF(DB$5=$H72,-$I72*$E72*(12-$J72+1)/12,0))</f>
        <v>-1.21875</v>
      </c>
      <c r="DC72" s="1808">
        <f>IF($H72&lt;&gt;DG$5,0,IF(DG72&lt;0,IF($J72=1,-$E72*$I72/12*3,IF($J72=2,-$E72*$I72/12*2,IF($J72=3,-$E72*$I72/12*1,0)))))+IF(DB$5&lt;&gt;$H72,0,IF(DB72&lt;0,IF($J72=1,-$E72*$I72/12*0,IF($J72=2,-$E72*$I72/12*1,IF($J72=3,-$E72*$I72/12*2,IF($J72&gt;=4,-$E72*$I72/12*3,0))))))</f>
        <v>-0.609375</v>
      </c>
      <c r="DD72" s="1807">
        <f>IF($H72&lt;&gt;DG$5,0,IF(DG72&lt;0,IF(OR($J72=1,$J72=2,$J72=3,$J72=4),-$E72*$I72/12*3,IF($J72=5,-$E72*$I72/12*2,IF($J72=6,-$E72*$I72/12*1,0)))))+IF(DB$5&lt;&gt;$H72,0,IF(DB72&lt;0,IF($J72=4,-$E72*$I72/12*0,IF($J72=5,-$E72*$I72/12*1,IF($J72=6,-$E72*$I72/12*2,IF($J72&gt;=7,-$E72*$I72/12*3,0))))))</f>
        <v>-0.609375</v>
      </c>
      <c r="DE72" s="1807">
        <f>IF($H72&lt;&gt;DG$5,0,IF(DG72&lt;0,IF(OR($J72=1,$J72=2,$J72=3,$J72=4,$J72=5,$J72=6,$J72=7),-$E72*$I72/12*3,IF($J72=8,-$E72*$I72/12*2,IF($J72=9,-$E72*$I72/12*1,0)))))+IF(DB$5&lt;&gt;$H72,0,IF(DB72&lt;0,IF($J72=7,-$E72*$I72/12*0,IF($J72=8,-$E72*$I72/12*1,IF($J72=9,-$E72*$I72/12*2,IF($J72&gt;=10,-$E72*$I72/12*3,0))))))</f>
        <v>0</v>
      </c>
      <c r="DF72" s="1806">
        <f>IF($H72&lt;&gt;DG$5,0,IF(DG72&lt;0,IF(OR($J72=1,$J72=2,$J72=3,$J72=4,$J72=5,$J72=6,$J72=7,$J72=8,$J72=9,$J72=10),-$E72*$I72/12*3,IF($J72=11,-$E72*$I72/12*2,IF($J72=12,-$E72*$I72/12*1,0)))))+IF(DB$5&lt;&gt;$H72,0,IF(DB72&lt;0,IF($J72=10,-$E72*$I72/12*0,IF($J72=11,-$E72*$I72/12*1,IF($J72=12,-$E72*$I72/12*2,0)))))</f>
        <v>0</v>
      </c>
      <c r="DG72" s="1791">
        <f>IF(AND(DB72&lt;&gt;0,DB$5=$H72),-$I72*$E72-DB72,IF(DG$5=$H72,-$I72*$E72*(12-$J72+1)/12,0))</f>
        <v>-1.21875</v>
      </c>
      <c r="DH72" s="1808">
        <f>IF($H72&lt;&gt;DL$5,0,IF(DL72&lt;0,IF($J72=1,-$E72*$I72/12*3,IF($J72=2,-$E72*$I72/12*2,IF($J72=3,-$E72*$I72/12*1,0)))))+IF(DG$5&lt;&gt;$H72,0,IF(DG72&lt;0,IF($J72=1,-$E72*$I72/12*0,IF($J72=2,-$E72*$I72/12*1,IF($J72=3,-$E72*$I72/12*2,IF($J72&gt;=4,-$E72*$I72/12*3,0))))))</f>
        <v>0</v>
      </c>
      <c r="DI72" s="1807">
        <f>IF($H72&lt;&gt;DL$5,0,IF(DL72&lt;0,IF(OR($J72=1,$J72=2,$J72=3,$J72=4),-$E72*$I72/12*3,IF($J72=5,-$E72*$I72/12*2,IF($J72=6,-$E72*$I72/12*1,0)))))+IF(DG$5&lt;&gt;$H72,0,IF(DG72&lt;0,IF($J72=4,-$E72*$I72/12*0,IF($J72=5,-$E72*$I72/12*1,IF($J72=6,-$E72*$I72/12*2,IF($J72&gt;=7,-$E72*$I72/12*3,0))))))</f>
        <v>0</v>
      </c>
      <c r="DJ72" s="1807">
        <f>IF($H72&lt;&gt;DL$5,0,IF(DL72&lt;0,IF(OR($J72=1,$J72=2,$J72=3,$J72=4,$J72=5,$J72=6,$J72=7),-$E72*$I72/12*3,IF($J72=8,-$E72*$I72/12*2,IF($J72=9,-$E72*$I72/12*1,0)))))+IF(DG$5&lt;&gt;$H72,0,IF(DG72&lt;0,IF($J72=7,-$E72*$I72/12*0,IF($J72=8,-$E72*$I72/12*1,IF($J72=9,-$E72*$I72/12*2,IF($J72&gt;=10,-$E72*$I72/12*3,0))))))</f>
        <v>0</v>
      </c>
      <c r="DK72" s="1806">
        <f>IF($H72&lt;&gt;DL$5,0,IF(DL72&lt;0,IF(OR($J72=1,$J72=2,$J72=3,$J72=4,$J72=5,$J72=6,$J72=7,$J72=8,$J72=9,$J72=10),-$E72*$I72/12*3,IF($J72=11,-$E72*$I72/12*2,IF($J72=12,-$E72*$I72/12*1,0)))))+IF(DG$5&lt;&gt;$H72,0,IF(DG72&lt;0,IF($J72=10,-$E72*$I72/12*0,IF($J72=11,-$E72*$I72/12*1,IF($J72=12,-$E72*$I72/12*2,0)))))</f>
        <v>0</v>
      </c>
      <c r="DL72" s="1791">
        <f>IF(AND(DG72&lt;&gt;0,DG$5=$H72),-$I72*$E72-DG72,IF(DL$5=$H72,-$I72*$E72*(12-$J72+1)/12,0))</f>
        <v>0</v>
      </c>
      <c r="DM72" s="1808">
        <f>IF($H72&lt;&gt;DQ$5,0,IF(DQ72&lt;0,IF($J72=1,-$E72*$I72/12*3,IF($J72=2,-$E72*$I72/12*2,IF($J72=3,-$E72*$I72/12*1,0)))))+IF(DL$5&lt;&gt;$H72,0,IF(DL72&lt;0,IF($J72=1,-$E72*$I72/12*0,IF($J72=2,-$E72*$I72/12*1,IF($J72=3,-$E72*$I72/12*2,IF($J72&gt;=4,-$E72*$I72/12*3,0))))))</f>
        <v>0</v>
      </c>
      <c r="DN72" s="1807">
        <f>IF($H72&lt;&gt;DQ$5,0,IF(DQ72&lt;0,IF(OR($J72=1,$J72=2,$J72=3,$J72=4),-$E72*$I72/12*3,IF($J72=5,-$E72*$I72/12*2,IF($J72=6,-$E72*$I72/12*1,0)))))+IF(DL$5&lt;&gt;$H72,0,IF(DL72&lt;0,IF($J72=4,-$E72*$I72/12*0,IF($J72=5,-$E72*$I72/12*1,IF($J72=6,-$E72*$I72/12*2,IF($J72&gt;=7,-$E72*$I72/12*3,0))))))</f>
        <v>0</v>
      </c>
      <c r="DO72" s="1807">
        <f>IF($H72&lt;&gt;DQ$5,0,IF(DQ72&lt;0,IF(OR($J72=1,$J72=2,$J72=3,$J72=4,$J72=5,$J72=6,$J72=7),-$E72*$I72/12*3,IF($J72=8,-$E72*$I72/12*2,IF($J72=9,-$E72*$I72/12*1,0)))))+IF(DL$5&lt;&gt;$H72,0,IF(DL72&lt;0,IF($J72=7,-$E72*$I72/12*0,IF($J72=8,-$E72*$I72/12*1,IF($J72=9,-$E72*$I72/12*2,IF($J72&gt;=10,-$E72*$I72/12*3,0))))))</f>
        <v>0</v>
      </c>
      <c r="DP72" s="1806">
        <f>IF($H72&lt;&gt;DQ$5,0,IF(DQ72&lt;0,IF(OR($J72=1,$J72=2,$J72=3,$J72=4,$J72=5,$J72=6,$J72=7,$J72=8,$J72=9,$J72=10),-$E72*$I72/12*3,IF($J72=11,-$E72*$I72/12*2,IF($J72=12,-$E72*$I72/12*1,0)))))+IF(DL$5&lt;&gt;$H72,0,IF(DL72&lt;0,IF($J72=10,-$E72*$I72/12*0,IF($J72=11,-$E72*$I72/12*1,IF($J72=12,-$E72*$I72/12*2,0)))))</f>
        <v>0</v>
      </c>
      <c r="DQ72" s="1791">
        <f>IF(AND(DL72&lt;&gt;0,DL$5=$H72),-$I72*$E72-DL72,IF(DQ$5=$H72,-$I72*$E72*(12-$J72+1)/12,0))</f>
        <v>0</v>
      </c>
      <c r="DR72" s="1808">
        <f>IF($H72&lt;&gt;DV$5,0,IF(DV72&lt;0,IF($J72=1,-$E72*$I72/12*3,IF($J72=2,-$E72*$I72/12*2,IF($J72=3,-$E72*$I72/12*1,0)))))+IF(DQ$5&lt;&gt;$H72,0,IF(DQ72&lt;0,IF($J72=1,-$E72*$I72/12*0,IF($J72=2,-$E72*$I72/12*1,IF($J72=3,-$E72*$I72/12*2,IF($J72&gt;=4,-$E72*$I72/12*3,0))))))</f>
        <v>0</v>
      </c>
      <c r="DS72" s="1807">
        <f>IF($H72&lt;&gt;DV$5,0,IF(DV72&lt;0,IF(OR($J72=1,$J72=2,$J72=3,$J72=4),-$E72*$I72/12*3,IF($J72=5,-$E72*$I72/12*2,IF($J72=6,-$E72*$I72/12*1,0)))))+IF(DQ$5&lt;&gt;$H72,0,IF(DQ72&lt;0,IF($J72=4,-$E72*$I72/12*0,IF($J72=5,-$E72*$I72/12*1,IF($J72=6,-$E72*$I72/12*2,IF($J72&gt;=7,-$E72*$I72/12*3,0))))))</f>
        <v>0</v>
      </c>
      <c r="DT72" s="1807">
        <f>IF($H72&lt;&gt;DV$5,0,IF(DV72&lt;0,IF(OR($J72=1,$J72=2,$J72=3,$J72=4,$J72=5,$J72=6,$J72=7),-$E72*$I72/12*3,IF($J72=8,-$E72*$I72/12*2,IF($J72=9,-$E72*$I72/12*1,0)))))+IF(DQ$5&lt;&gt;$H72,0,IF(DQ72&lt;0,IF($J72=7,-$E72*$I72/12*0,IF($J72=8,-$E72*$I72/12*1,IF($J72=9,-$E72*$I72/12*2,IF($J72&gt;=10,-$E72*$I72/12*3,0))))))</f>
        <v>0</v>
      </c>
      <c r="DU72" s="1806">
        <f>IF($H72&lt;&gt;DV$5,0,IF(DV72&lt;0,IF(OR($J72=1,$J72=2,$J72=3,$J72=4,$J72=5,$J72=6,$J72=7,$J72=8,$J72=9,$J72=10),-$E72*$I72/12*3,IF($J72=11,-$E72*$I72/12*2,IF($J72=12,-$E72*$I72/12*1,0)))))+IF(DQ$5&lt;&gt;$H72,0,IF(DQ72&lt;0,IF($J72=10,-$E72*$I72/12*0,IF($J72=11,-$E72*$I72/12*1,IF($J72=12,-$E72*$I72/12*2,0)))))</f>
        <v>0</v>
      </c>
      <c r="DV72" s="1791">
        <f>IF(AND(DQ72&lt;&gt;0,DQ$5=$H72),-$I72*$E72-DQ72,IF(DV$5=$H72,-$I72*$E72*(12-$J72+1)/12,0))</f>
        <v>0</v>
      </c>
    </row>
    <row r="73" spans="1:126">
      <c r="A73" s="455"/>
      <c r="B73" s="455"/>
      <c r="C73" s="1363" t="s">
        <v>429</v>
      </c>
      <c r="D73" s="94"/>
      <c r="E73" s="1817">
        <f>IF(F73=0,G73,F73)</f>
        <v>70</v>
      </c>
      <c r="F73" s="1435">
        <v>70</v>
      </c>
      <c r="G73" s="1435">
        <v>70</v>
      </c>
      <c r="H73" s="1350">
        <v>2020</v>
      </c>
      <c r="I73" s="1335">
        <v>3.3799999999999997E-2</v>
      </c>
      <c r="J73" s="1343">
        <v>8</v>
      </c>
      <c r="K73" s="1792"/>
      <c r="L73" s="1810">
        <f t="shared" si="686"/>
        <v>0</v>
      </c>
      <c r="M73" s="1791">
        <f t="shared" si="686"/>
        <v>0</v>
      </c>
      <c r="N73" s="1808">
        <f>IF(R73=0,0,IF(R73&lt;0,IF($J73=3,R73,IF($J73=2,R73,IF($J73=1,R73,0)))))</f>
        <v>0</v>
      </c>
      <c r="O73" s="1807">
        <f>IF(R73=0,0,IF(R73&lt;0,IF($J73=6,R73,IF($J73=5,R73,IF($J73=4,R73,0)))))</f>
        <v>0</v>
      </c>
      <c r="P73" s="1807">
        <f>IF(R73=0,0,IF(R73&lt;0,IF($J73=9,R73,IF($J73=8,R73,IF($J73=7,R73,0)))))</f>
        <v>0</v>
      </c>
      <c r="Q73" s="1806">
        <f>IF(R73=0,0,IF(R73&lt;0,IF($J73=12,R73,IF($J73=11,R73,IF($J73=10,R73,0)))))</f>
        <v>0</v>
      </c>
      <c r="R73" s="1791">
        <f>IF(R$5=$H73,-$E73,0)</f>
        <v>0</v>
      </c>
      <c r="S73" s="1808">
        <f>IF(W73=0,0,IF(W73&lt;0,IF($J73=3,W73,IF($J73=2,W73,IF($J73=1,W73,0)))))</f>
        <v>0</v>
      </c>
      <c r="T73" s="1807">
        <f>IF(W73=0,0,IF(W73&lt;0,IF($J73=6,W73,IF($J73=5,W73,IF($J73=4,W73,0)))))</f>
        <v>0</v>
      </c>
      <c r="U73" s="1807">
        <f>IF(W73=0,0,IF(W73&lt;0,IF($J73=9,W73,IF($J73=8,W73,IF($J73=7,W73,0)))))</f>
        <v>0</v>
      </c>
      <c r="V73" s="1806">
        <f>IF(W73=0,0,IF(W73&lt;0,IF($J73=12,W73,IF($J73=11,W73,IF($J73=10,W73,0)))))</f>
        <v>0</v>
      </c>
      <c r="W73" s="1791">
        <f>IF(W$5=$H73,-$E73,0)</f>
        <v>0</v>
      </c>
      <c r="X73" s="1808">
        <f>IF(AB73=0,0,IF(AB73&lt;0,IF($J73=3,AB73,IF($J73=2,AB73,IF($J73=1,AB73,0)))))</f>
        <v>0</v>
      </c>
      <c r="Y73" s="1807">
        <f>IF(AB73=0,0,IF(AB73&lt;0,IF($J73=6,AB73,IF($J73=5,AB73,IF($J73=4,AB73,0)))))</f>
        <v>0</v>
      </c>
      <c r="Z73" s="1807">
        <f>IF(AB73=0,0,IF(AB73&lt;0,IF($J73=9,AB73,IF($J73=8,AB73,IF($J73=7,AB73,0)))))</f>
        <v>0</v>
      </c>
      <c r="AA73" s="1806">
        <f>IF(AB73=0,0,IF(AB73&lt;0,IF($J73=12,AB73,IF($J73=11,AB73,IF($J73=10,AB73,0)))))</f>
        <v>0</v>
      </c>
      <c r="AB73" s="1791">
        <f>IF(AB$5=$H73,-$E73,0)</f>
        <v>0</v>
      </c>
      <c r="AC73" s="1808">
        <f>IF(AG73=0,0,IF(AG73&lt;0,IF($J73=3,AG73,IF($J73=2,AG73,IF($J73=1,AG73,0)))))</f>
        <v>0</v>
      </c>
      <c r="AD73" s="1807">
        <f>IF(AG73=0,0,IF(AG73&lt;0,IF($J73=6,AG73,IF($J73=5,AG73,IF($J73=4,AG73,0)))))</f>
        <v>0</v>
      </c>
      <c r="AE73" s="1807">
        <f>IF(AG73=0,0,IF(AG73&lt;0,IF($J73=9,AG73,IF($J73=8,AG73,IF($J73=7,AG73,0)))))</f>
        <v>0</v>
      </c>
      <c r="AF73" s="1806">
        <f>IF(AG73=0,0,IF(AG73&lt;0,IF($J73=12,AG73,IF($J73=11,AG73,IF($J73=10,AG73,0)))))</f>
        <v>0</v>
      </c>
      <c r="AG73" s="1791">
        <f>IF(AG$5=$H73,-$E73,0)</f>
        <v>0</v>
      </c>
      <c r="AH73" s="1808">
        <f>IF(AL73=0,0,IF(AL73&lt;0,IF($J73=3,AL73,IF($J73=2,AL73,IF($J73=1,AL73,0)))))</f>
        <v>0</v>
      </c>
      <c r="AI73" s="1807">
        <f>IF(AL73=0,0,IF(AL73&lt;0,IF($J73=6,AL73,IF($J73=5,AL73,IF($J73=4,AL73,0)))))</f>
        <v>0</v>
      </c>
      <c r="AJ73" s="1807">
        <f>IF(AL73=0,0,IF(AL73&lt;0,IF($J73=9,AL73,IF($J73=8,AL73,IF($J73=7,AL73,0)))))</f>
        <v>0</v>
      </c>
      <c r="AK73" s="1806">
        <f>IF(AL73=0,0,IF(AL73&lt;0,IF($J73=12,AL73,IF($J73=11,AL73,IF($J73=10,AL73,0)))))</f>
        <v>0</v>
      </c>
      <c r="AL73" s="1791">
        <f>IF(AL$5=$H73,-$E73,0)</f>
        <v>0</v>
      </c>
      <c r="AM73" s="1808">
        <f>IF(AQ73=0,0,IF(AQ73&lt;0,IF($J73=3,AQ73,IF($J73=2,AQ73,IF($J73=1,AQ73,0)))))</f>
        <v>0</v>
      </c>
      <c r="AN73" s="1807">
        <f>IF(AQ73=0,0,IF(AQ73&lt;0,IF($J73=6,AQ73,IF($J73=5,AQ73,IF($J73=4,AQ73,0)))))</f>
        <v>0</v>
      </c>
      <c r="AO73" s="1807">
        <f>IF(AQ73=0,0,IF(AQ73&lt;0,IF($J73=9,AQ73,IF($J73=8,AQ73,IF($J73=7,AQ73,0)))))</f>
        <v>0</v>
      </c>
      <c r="AP73" s="1806">
        <f>IF(AQ73=0,0,IF(AQ73&lt;0,IF($J73=12,AQ73,IF($J73=11,AQ73,IF($J73=10,AQ73,0)))))</f>
        <v>0</v>
      </c>
      <c r="AQ73" s="1791">
        <f>IF(AQ$5=$H73,-$E73,0)</f>
        <v>0</v>
      </c>
      <c r="AR73" s="1808">
        <f>IF(AV73=0,0,IF(AV73&lt;0,IF($J73=3,AV73,IF($J73=2,AV73,IF($J73=1,AV73,0)))))</f>
        <v>0</v>
      </c>
      <c r="AS73" s="1807">
        <f>IF(AV73=0,0,IF(AV73&lt;0,IF($J73=6,AV73,IF($J73=5,AV73,IF($J73=4,AV73,0)))))</f>
        <v>0</v>
      </c>
      <c r="AT73" s="1807">
        <f>IF(AV73=0,0,IF(AV73&lt;0,IF($J73=9,AV73,IF($J73=8,AV73,IF($J73=7,AV73,0)))))</f>
        <v>0</v>
      </c>
      <c r="AU73" s="1806">
        <f>IF(AV73=0,0,IF(AV73&lt;0,IF($J73=12,AV73,IF($J73=11,AV73,IF($J73=10,AV73,0)))))</f>
        <v>0</v>
      </c>
      <c r="AV73" s="1791">
        <f>IF(AV$5=$H73,-$E73,0)</f>
        <v>0</v>
      </c>
      <c r="AW73" s="1808">
        <f>IF(BA73=0,0,IF(BA73&lt;0,IF($J73=3,BA73,IF($J73=2,BA73,IF($J73=1,BA73,0)))))</f>
        <v>0</v>
      </c>
      <c r="AX73" s="1807">
        <f>IF(BA73=0,0,IF(BA73&lt;0,IF($J73=6,BA73,IF($J73=5,BA73,IF($J73=4,BA73,0)))))</f>
        <v>0</v>
      </c>
      <c r="AY73" s="1807">
        <f>IF(BA73=0,0,IF(BA73&lt;0,IF($J73=9,BA73,IF($J73=8,BA73,IF($J73=7,BA73,0)))))</f>
        <v>0</v>
      </c>
      <c r="AZ73" s="1806">
        <f>IF(BA73=0,0,IF(BA73&lt;0,IF($J73=12,BA73,IF($J73=11,BA73,IF($J73=10,BA73,0)))))</f>
        <v>0</v>
      </c>
      <c r="BA73" s="1791">
        <f>IF(BA$5=$H73,-$E73,0)</f>
        <v>0</v>
      </c>
      <c r="BB73" s="1808">
        <f>IF(BF73=0,0,IF(BF73&lt;0,IF($J73=3,BF73,IF($J73=2,BF73,IF($J73=1,BF73,0)))))</f>
        <v>0</v>
      </c>
      <c r="BC73" s="1807">
        <f>IF(BF73=0,0,IF(BF73&lt;0,IF($J73=6,BF73,IF($J73=5,BF73,IF($J73=4,BF73,0)))))</f>
        <v>0</v>
      </c>
      <c r="BD73" s="1807">
        <f>IF(BF73=0,0,IF(BF73&lt;0,IF($J73=9,BF73,IF($J73=8,BF73,IF($J73=7,BF73,0)))))</f>
        <v>0</v>
      </c>
      <c r="BE73" s="1806">
        <f>IF(BF73=0,0,IF(BF73&lt;0,IF($J73=12,BF73,IF($J73=11,BF73,IF($J73=10,BF73,0)))))</f>
        <v>0</v>
      </c>
      <c r="BF73" s="1791">
        <f>IF(BF$5=$H73,-$E73,0)</f>
        <v>0</v>
      </c>
      <c r="BG73" s="1808">
        <f>IF(BK73=0,0,IF(BK73&lt;0,IF($J73=3,BK73,IF($J73=2,BK73,IF($J73=1,BK73,0)))))</f>
        <v>0</v>
      </c>
      <c r="BH73" s="1807">
        <f>IF(BK73=0,0,IF(BK73&lt;0,IF($J73=6,BK73,IF($J73=5,BK73,IF($J73=4,BK73,0)))))</f>
        <v>0</v>
      </c>
      <c r="BI73" s="1807">
        <f>IF(BK73=0,0,IF(BK73&lt;0,IF($J73=9,BK73,IF($J73=8,BK73,IF($J73=7,BK73,0)))))</f>
        <v>-70</v>
      </c>
      <c r="BJ73" s="1806">
        <f>IF(BK73=0,0,IF(BK73&lt;0,IF($J73=12,BK73,IF($J73=11,BK73,IF($J73=10,BK73,0)))))</f>
        <v>0</v>
      </c>
      <c r="BK73" s="1791">
        <f>IF(BK$5=$H73,-$E73,0)</f>
        <v>-70</v>
      </c>
      <c r="BL73" s="1808">
        <f>IF(BP73=0,0,IF(BP73&lt;0,IF($J73=3,BP73,IF($J73=2,BP73,IF($J73=1,BP73,0)))))</f>
        <v>0</v>
      </c>
      <c r="BM73" s="1807">
        <f>IF(BP73=0,0,IF(BP73&lt;0,IF($J73=6,BP73,IF($J73=5,BP73,IF($J73=4,BP73,0)))))</f>
        <v>0</v>
      </c>
      <c r="BN73" s="1807">
        <f>IF(BP73=0,0,IF(BP73&lt;0,IF($J73=9,BP73,IF($J73=8,BP73,IF($J73=7,BP73,0)))))</f>
        <v>0</v>
      </c>
      <c r="BO73" s="1806">
        <f>IF(BP73=0,0,IF(BP73&lt;0,IF($J73=12,BP73,IF($J73=11,BP73,IF($J73=10,BP73,0)))))</f>
        <v>0</v>
      </c>
      <c r="BP73" s="1791">
        <f>IF(BP$5=$H73,-$E73,0)</f>
        <v>0</v>
      </c>
      <c r="BQ73" s="1827"/>
      <c r="BR73" s="1991">
        <f t="shared" si="687"/>
        <v>0</v>
      </c>
      <c r="BS73" s="1991">
        <f t="shared" si="687"/>
        <v>0</v>
      </c>
      <c r="BT73" s="1992">
        <f>IF($H73&lt;&gt;BX$5,0,IF(BX73&lt;0,IF($J73=1,-$E73*$I73/12*3,IF($J73=2,-$E73*$I73/12*2,IF($J73=3,-$E73*$I73/12*1,0)))))+IF(BS$5&lt;&gt;$H73,0,IF(BS73&lt;0,IF($J73=1,-$E73*$I73/12*0,IF($J73=2,-$E73*$I73/12*1,IF($J73=3,-$E73*$I73/12*2,IF($J73&gt;=4,-$E73*$I73/12*3,0))))))</f>
        <v>0</v>
      </c>
      <c r="BU73" s="1992">
        <f>IF($H73&lt;&gt;BX$5,0,IF(BX73&lt;0,IF(OR($J73=1,$J73=2,$J73=3,$J73=4),-$E73*$I73/12*3,IF($J73=5,-$E73*$I73/12*2,IF($J73=6,-$E73*$I73/12*1,0)))))+IF(BS$5&lt;&gt;$H73,0,IF(BS73&lt;0,IF($J73=4,-$E73*$I73/12*0,IF($J73=5,-$E73*$I73/12*1,IF($J73=6,-$E73*$I73/12*2,IF($J73&gt;=7,-$E73*$I73/12*3,0))))))</f>
        <v>0</v>
      </c>
      <c r="BV73" s="1992">
        <f>IF($H73&lt;&gt;BX$5,0,IF(BX73&lt;0,IF(OR($J73=1,$J73=2,$J73=3,$J73=4,$J73=5,$J73=6,$J73=7),-$E73*$I73/12*3,IF($J73=8,-$E73*$I73/12*2,IF($J73=9,-$E73*$I73/12*1,0)))))+IF(BS$5&lt;&gt;$H73,0,IF(BS73&lt;0,IF($J73=7,-$E73*$I73/12*0,IF($J73=8,-$E73*$I73/12*1,IF($J73=9,-$E73*$I73/12*2,IF($J73&gt;=10,-$E73*$I73/12*3,0))))))</f>
        <v>0</v>
      </c>
      <c r="BW73" s="1992">
        <f>IF($H73&lt;&gt;BX$5,0,IF(BX73&lt;0,IF(OR($J73=1,$J73=2,$J73=3,$J73=4,$J73=5,$J73=6,$J73=7,$J73=8,$J73=9,$J73=10),-$E73*$I73/12*3,IF($J73=11,-$E73*$I73/12*2,IF($J73=12,-$E73*$I73/12*1,0)))))+IF(BS$5&lt;&gt;$H73,0,IF(BS73&lt;0,IF($J73=10,-$E73*$I73/12*0,IF($J73=11,-$E73*$I73/12*1,IF($J73=12,-$E73*$I73/12*2,0)))))</f>
        <v>0</v>
      </c>
      <c r="BX73" s="1810">
        <f>IF(AND(BS73&lt;&gt;0,BS$5=$H73),-$I73*$E73-BS73,IF(BX$5=$H73,-$I73*$E73*(12-$J73+1)/12,0))</f>
        <v>0</v>
      </c>
      <c r="BY73" s="1807">
        <f>IF($H73&lt;&gt;CC$5,0,IF(CC73&lt;0,IF($J73=1,-$E73*$I73/12*3,IF($J73=2,-$E73*$I73/12*2,IF($J73=3,-$E73*$I73/12*1,0)))))+IF(BX$5&lt;&gt;$H73,0,IF(BX73&lt;0,IF($J73=1,-$E73*$I73/12*0,IF($J73=2,-$E73*$I73/12*1,IF($J73=3,-$E73*$I73/12*2,IF($J73&gt;=4,-$E73*$I73/12*3,0))))))</f>
        <v>0</v>
      </c>
      <c r="BZ73" s="1807">
        <f>IF($H73&lt;&gt;CC$5,0,IF(CC73&lt;0,IF(OR($J73=1,$J73=2,$J73=3,$J73=4),-$E73*$I73/12*3,IF($J73=5,-$E73*$I73/12*2,IF($J73=6,-$E73*$I73/12*1,0)))))+IF(BX$5&lt;&gt;$H73,0,IF(BX73&lt;0,IF($J73=4,-$E73*$I73/12*0,IF($J73=5,-$E73*$I73/12*1,IF($J73=6,-$E73*$I73/12*2,IF($J73&gt;=7,-$E73*$I73/12*3,0))))))</f>
        <v>0</v>
      </c>
      <c r="CA73" s="1807">
        <f>IF($H73&lt;&gt;CC$5,0,IF(CC73&lt;0,IF(OR($J73=1,$J73=2,$J73=3,$J73=4,$J73=5,$J73=6,$J73=7),-$E73*$I73/12*3,IF($J73=8,-$E73*$I73/12*2,IF($J73=9,-$E73*$I73/12*1,0)))))+IF(BX$5&lt;&gt;$H73,0,IF(BX73&lt;0,IF($J73=7,-$E73*$I73/12*0,IF($J73=8,-$E73*$I73/12*1,IF($J73=9,-$E73*$I73/12*2,IF($J73&gt;=10,-$E73*$I73/12*3,0))))))</f>
        <v>0</v>
      </c>
      <c r="CB73" s="1806">
        <f>IF($H73&lt;&gt;CC$5,0,IF(CC73&lt;0,IF(OR($J73=1,$J73=2,$J73=3,$J73=4,$J73=5,$J73=6,$J73=7,$J73=8,$J73=9,$J73=10),-$E73*$I73/12*3,IF($J73=11,-$E73*$I73/12*2,IF($J73=12,-$E73*$I73/12*1,0)))))+IF(BX$5&lt;&gt;$H73,0,IF(BX73&lt;0,IF($J73=10,-$E73*$I73/12*0,IF($J73=11,-$E73*$I73/12*1,IF($J73=12,-$E73*$I73/12*2,0)))))</f>
        <v>0</v>
      </c>
      <c r="CC73" s="1791">
        <f>IF(AND(BX73&lt;&gt;0,BX$5=$H73),-$I73*$E73-BX73,IF(CC$5=$H73,-$I73*$E73*(12-$J73+1)/12,0))</f>
        <v>0</v>
      </c>
      <c r="CD73" s="1808">
        <f>IF($H73&lt;&gt;CH$5,0,IF(CH73&lt;0,IF($J73=1,-$E73*$I73/12*3,IF($J73=2,-$E73*$I73/12*2,IF($J73=3,-$E73*$I73/12*1,0)))))+IF(CC$5&lt;&gt;$H73,0,IF(CC73&lt;0,IF($J73=1,-$E73*$I73/12*0,IF($J73=2,-$E73*$I73/12*1,IF($J73=3,-$E73*$I73/12*2,IF($J73&gt;=4,-$E73*$I73/12*3,0))))))</f>
        <v>0</v>
      </c>
      <c r="CE73" s="1807">
        <f>IF($H73&lt;&gt;CH$5,0,IF(CH73&lt;0,IF(OR($J73=1,$J73=2,$J73=3,$J73=4),-$E73*$I73/12*3,IF($J73=5,-$E73*$I73/12*2,IF($J73=6,-$E73*$I73/12*1,0)))))+IF(CC$5&lt;&gt;$H73,0,IF(CC73&lt;0,IF($J73=4,-$E73*$I73/12*0,IF($J73=5,-$E73*$I73/12*1,IF($J73=6,-$E73*$I73/12*2,IF($J73&gt;=7,-$E73*$I73/12*3,0))))))</f>
        <v>0</v>
      </c>
      <c r="CF73" s="1807">
        <f>IF($H73&lt;&gt;CH$5,0,IF(CH73&lt;0,IF(OR($J73=1,$J73=2,$J73=3,$J73=4,$J73=5,$J73=6,$J73=7),-$E73*$I73/12*3,IF($J73=8,-$E73*$I73/12*2,IF($J73=9,-$E73*$I73/12*1,0)))))+IF(CC$5&lt;&gt;$H73,0,IF(CC73&lt;0,IF($J73=7,-$E73*$I73/12*0,IF($J73=8,-$E73*$I73/12*1,IF($J73=9,-$E73*$I73/12*2,IF($J73&gt;=10,-$E73*$I73/12*3,0))))))</f>
        <v>0</v>
      </c>
      <c r="CG73" s="1806">
        <f>IF($H73&lt;&gt;CH$5,0,IF(CH73&lt;0,IF(OR($J73=1,$J73=2,$J73=3,$J73=4,$J73=5,$J73=6,$J73=7,$J73=8,$J73=9,$J73=10),-$E73*$I73/12*3,IF($J73=11,-$E73*$I73/12*2,IF($J73=12,-$E73*$I73/12*1,0)))))+IF(CC$5&lt;&gt;$H73,0,IF(CC73&lt;0,IF($J73=10,-$E73*$I73/12*0,IF($J73=11,-$E73*$I73/12*1,IF($J73=12,-$E73*$I73/12*2,0)))))</f>
        <v>0</v>
      </c>
      <c r="CH73" s="1791">
        <f>IF(AND(CC73&lt;&gt;0,CC$5=$H73),-$I73*$E73-CC73,IF(CH$5=$H73,-$I73*$E73*(12-$J73+1)/12,0))</f>
        <v>0</v>
      </c>
      <c r="CI73" s="1808">
        <f>IF($H73&lt;&gt;CM$5,0,IF(CM73&lt;0,IF($J73=1,-$E73*$I73/12*3,IF($J73=2,-$E73*$I73/12*2,IF($J73=3,-$E73*$I73/12*1,0)))))+IF(CH$5&lt;&gt;$H73,0,IF(CH73&lt;0,IF($J73=1,-$E73*$I73/12*0,IF($J73=2,-$E73*$I73/12*1,IF($J73=3,-$E73*$I73/12*2,IF($J73&gt;=4,-$E73*$I73/12*3,0))))))</f>
        <v>0</v>
      </c>
      <c r="CJ73" s="1807">
        <f>IF($H73&lt;&gt;CM$5,0,IF(CM73&lt;0,IF(OR($J73=1,$J73=2,$J73=3,$J73=4),-$E73*$I73/12*3,IF($J73=5,-$E73*$I73/12*2,IF($J73=6,-$E73*$I73/12*1,0)))))+IF(CH$5&lt;&gt;$H73,0,IF(CH73&lt;0,IF($J73=4,-$E73*$I73/12*0,IF($J73=5,-$E73*$I73/12*1,IF($J73=6,-$E73*$I73/12*2,IF($J73&gt;=7,-$E73*$I73/12*3,0))))))</f>
        <v>0</v>
      </c>
      <c r="CK73" s="1807">
        <f>IF($H73&lt;&gt;CM$5,0,IF(CM73&lt;0,IF(OR($J73=1,$J73=2,$J73=3,$J73=4,$J73=5,$J73=6,$J73=7),-$E73*$I73/12*3,IF($J73=8,-$E73*$I73/12*2,IF($J73=9,-$E73*$I73/12*1,0)))))+IF(CH$5&lt;&gt;$H73,0,IF(CH73&lt;0,IF($J73=7,-$E73*$I73/12*0,IF($J73=8,-$E73*$I73/12*1,IF($J73=9,-$E73*$I73/12*2,IF($J73&gt;=10,-$E73*$I73/12*3,0))))))</f>
        <v>0</v>
      </c>
      <c r="CL73" s="1806">
        <f>IF($H73&lt;&gt;CM$5,0,IF(CM73&lt;0,IF(OR($J73=1,$J73=2,$J73=3,$J73=4,$J73=5,$J73=6,$J73=7,$J73=8,$J73=9,$J73=10),-$E73*$I73/12*3,IF($J73=11,-$E73*$I73/12*2,IF($J73=12,-$E73*$I73/12*1,0)))))+IF(CH$5&lt;&gt;$H73,0,IF(CH73&lt;0,IF($J73=10,-$E73*$I73/12*0,IF($J73=11,-$E73*$I73/12*1,IF($J73=12,-$E73*$I73/12*2,0)))))</f>
        <v>0</v>
      </c>
      <c r="CM73" s="1791">
        <f>IF(AND(CH73&lt;&gt;0,CH$5=$H73),-$I73*$E73-CH73,IF(CM$5=$H73,-$I73*$E73*(12-$J73+1)/12,0))</f>
        <v>0</v>
      </c>
      <c r="CN73" s="1808">
        <f>IF($H73&lt;&gt;CR$5,0,IF(CR73&lt;0,IF($J73=1,-$E73*$I73/12*3,IF($J73=2,-$E73*$I73/12*2,IF($J73=3,-$E73*$I73/12*1,0)))))+IF(CM$5&lt;&gt;$H73,0,IF(CM73&lt;0,IF($J73=1,-$E73*$I73/12*0,IF($J73=2,-$E73*$I73/12*1,IF($J73=3,-$E73*$I73/12*2,IF($J73&gt;=4,-$E73*$I73/12*3,0))))))</f>
        <v>0</v>
      </c>
      <c r="CO73" s="1807">
        <f>IF($H73&lt;&gt;CR$5,0,IF(CR73&lt;0,IF(OR($J73=1,$J73=2,$J73=3,$J73=4),-$E73*$I73/12*3,IF($J73=5,-$E73*$I73/12*2,IF($J73=6,-$E73*$I73/12*1,0)))))+IF(CM$5&lt;&gt;$H73,0,IF(CM73&lt;0,IF($J73=4,-$E73*$I73/12*0,IF($J73=5,-$E73*$I73/12*1,IF($J73=6,-$E73*$I73/12*2,IF($J73&gt;=7,-$E73*$I73/12*3,0))))))</f>
        <v>0</v>
      </c>
      <c r="CP73" s="1807">
        <f>IF($H73&lt;&gt;CR$5,0,IF(CR73&lt;0,IF(OR($J73=1,$J73=2,$J73=3,$J73=4,$J73=5,$J73=6,$J73=7),-$E73*$I73/12*3,IF($J73=8,-$E73*$I73/12*2,IF($J73=9,-$E73*$I73/12*1,0)))))+IF(CM$5&lt;&gt;$H73,0,IF(CM73&lt;0,IF($J73=7,-$E73*$I73/12*0,IF($J73=8,-$E73*$I73/12*1,IF($J73=9,-$E73*$I73/12*2,IF($J73&gt;=10,-$E73*$I73/12*3,0))))))</f>
        <v>0</v>
      </c>
      <c r="CQ73" s="1806">
        <f>IF($H73&lt;&gt;CR$5,0,IF(CR73&lt;0,IF(OR($J73=1,$J73=2,$J73=3,$J73=4,$J73=5,$J73=6,$J73=7,$J73=8,$J73=9,$J73=10),-$E73*$I73/12*3,IF($J73=11,-$E73*$I73/12*2,IF($J73=12,-$E73*$I73/12*1,0)))))+IF(CM$5&lt;&gt;$H73,0,IF(CM73&lt;0,IF($J73=10,-$E73*$I73/12*0,IF($J73=11,-$E73*$I73/12*1,IF($J73=12,-$E73*$I73/12*2,0)))))</f>
        <v>0</v>
      </c>
      <c r="CR73" s="1791">
        <f>IF(AND(CM73&lt;&gt;0,CM$5=$H73),-$I73*$E73-CM73,IF(CR$5=$H73,-$I73*$E73*(12-$J73+1)/12,0))</f>
        <v>0</v>
      </c>
      <c r="CS73" s="1808">
        <f>IF($H73&lt;&gt;CW$5,0,IF(CW73&lt;0,IF($J73=1,-$E73*$I73/12*3,IF($J73=2,-$E73*$I73/12*2,IF($J73=3,-$E73*$I73/12*1,0)))))+IF(CR$5&lt;&gt;$H73,0,IF(CR73&lt;0,IF($J73=1,-$E73*$I73/12*0,IF($J73=2,-$E73*$I73/12*1,IF($J73=3,-$E73*$I73/12*2,IF($J73&gt;=4,-$E73*$I73/12*3,0))))))</f>
        <v>0</v>
      </c>
      <c r="CT73" s="1807">
        <f>IF($H73&lt;&gt;CW$5,0,IF(CW73&lt;0,IF(OR($J73=1,$J73=2,$J73=3,$J73=4),-$E73*$I73/12*3,IF($J73=5,-$E73*$I73/12*2,IF($J73=6,-$E73*$I73/12*1,0)))))+IF(CR$5&lt;&gt;$H73,0,IF(CR73&lt;0,IF($J73=4,-$E73*$I73/12*0,IF($J73=5,-$E73*$I73/12*1,IF($J73=6,-$E73*$I73/12*2,IF($J73&gt;=7,-$E73*$I73/12*3,0))))))</f>
        <v>0</v>
      </c>
      <c r="CU73" s="1807">
        <f>IF($H73&lt;&gt;CW$5,0,IF(CW73&lt;0,IF(OR($J73=1,$J73=2,$J73=3,$J73=4,$J73=5,$J73=6,$J73=7),-$E73*$I73/12*3,IF($J73=8,-$E73*$I73/12*2,IF($J73=9,-$E73*$I73/12*1,0)))))+IF(CR$5&lt;&gt;$H73,0,IF(CR73&lt;0,IF($J73=7,-$E73*$I73/12*0,IF($J73=8,-$E73*$I73/12*1,IF($J73=9,-$E73*$I73/12*2,IF($J73&gt;=10,-$E73*$I73/12*3,0))))))</f>
        <v>0</v>
      </c>
      <c r="CV73" s="1806">
        <f>IF($H73&lt;&gt;CW$5,0,IF(CW73&lt;0,IF(OR($J73=1,$J73=2,$J73=3,$J73=4,$J73=5,$J73=6,$J73=7,$J73=8,$J73=9,$J73=10),-$E73*$I73/12*3,IF($J73=11,-$E73*$I73/12*2,IF($J73=12,-$E73*$I73/12*1,0)))))+IF(CR$5&lt;&gt;$H73,0,IF(CR73&lt;0,IF($J73=10,-$E73*$I73/12*0,IF($J73=11,-$E73*$I73/12*1,IF($J73=12,-$E73*$I73/12*2,0)))))</f>
        <v>0</v>
      </c>
      <c r="CW73" s="1791">
        <f>IF(AND(CR73&lt;&gt;0,CR$5=$H73),-$I73*$E73-CR73,IF(CW$5=$H73,-$I73*$E73*(12-$J73+1)/12,0))</f>
        <v>0</v>
      </c>
      <c r="CX73" s="1808">
        <f>IF($H73&lt;&gt;DB$5,0,IF(DB73&lt;0,IF($J73=1,-$E73*$I73/12*3,IF($J73=2,-$E73*$I73/12*2,IF($J73=3,-$E73*$I73/12*1,0)))))+IF(CW$5&lt;&gt;$H73,0,IF(CW73&lt;0,IF($J73=1,-$E73*$I73/12*0,IF($J73=2,-$E73*$I73/12*1,IF($J73=3,-$E73*$I73/12*2,IF($J73&gt;=4,-$E73*$I73/12*3,0))))))</f>
        <v>0</v>
      </c>
      <c r="CY73" s="1807">
        <f>IF($H73&lt;&gt;DB$5,0,IF(DB73&lt;0,IF(OR($J73=1,$J73=2,$J73=3,$J73=4),-$E73*$I73/12*3,IF($J73=5,-$E73*$I73/12*2,IF($J73=6,-$E73*$I73/12*1,0)))))+IF(CW$5&lt;&gt;$H73,0,IF(CW73&lt;0,IF($J73=4,-$E73*$I73/12*0,IF($J73=5,-$E73*$I73/12*1,IF($J73=6,-$E73*$I73/12*2,IF($J73&gt;=7,-$E73*$I73/12*3,0))))))</f>
        <v>0</v>
      </c>
      <c r="CZ73" s="1807">
        <f>IF($H73&lt;&gt;DB$5,0,IF(DB73&lt;0,IF(OR($J73=1,$J73=2,$J73=3,$J73=4,$J73=5,$J73=6,$J73=7),-$E73*$I73/12*3,IF($J73=8,-$E73*$I73/12*2,IF($J73=9,-$E73*$I73/12*1,0)))))+IF(CW$5&lt;&gt;$H73,0,IF(CW73&lt;0,IF($J73=7,-$E73*$I73/12*0,IF($J73=8,-$E73*$I73/12*1,IF($J73=9,-$E73*$I73/12*2,IF($J73&gt;=10,-$E73*$I73/12*3,0))))))</f>
        <v>0</v>
      </c>
      <c r="DA73" s="1806">
        <f>IF($H73&lt;&gt;DB$5,0,IF(DB73&lt;0,IF(OR($J73=1,$J73=2,$J73=3,$J73=4,$J73=5,$J73=6,$J73=7,$J73=8,$J73=9,$J73=10),-$E73*$I73/12*3,IF($J73=11,-$E73*$I73/12*2,IF($J73=12,-$E73*$I73/12*1,0)))))+IF(CW$5&lt;&gt;$H73,0,IF(CW73&lt;0,IF($J73=10,-$E73*$I73/12*0,IF($J73=11,-$E73*$I73/12*1,IF($J73=12,-$E73*$I73/12*2,0)))))</f>
        <v>0</v>
      </c>
      <c r="DB73" s="1791">
        <f>IF(AND(CW73&lt;&gt;0,CW$5=$H73),-$I73*$E73-CW73,IF(DB$5=$H73,-$I73*$E73*(12-$J73+1)/12,0))</f>
        <v>0</v>
      </c>
      <c r="DC73" s="1808">
        <f>IF($H73&lt;&gt;DG$5,0,IF(DG73&lt;0,IF($J73=1,-$E73*$I73/12*3,IF($J73=2,-$E73*$I73/12*2,IF($J73=3,-$E73*$I73/12*1,0)))))+IF(DB$5&lt;&gt;$H73,0,IF(DB73&lt;0,IF($J73=1,-$E73*$I73/12*0,IF($J73=2,-$E73*$I73/12*1,IF($J73=3,-$E73*$I73/12*2,IF($J73&gt;=4,-$E73*$I73/12*3,0))))))</f>
        <v>0</v>
      </c>
      <c r="DD73" s="1807">
        <f>IF($H73&lt;&gt;DG$5,0,IF(DG73&lt;0,IF(OR($J73=1,$J73=2,$J73=3,$J73=4),-$E73*$I73/12*3,IF($J73=5,-$E73*$I73/12*2,IF($J73=6,-$E73*$I73/12*1,0)))))+IF(DB$5&lt;&gt;$H73,0,IF(DB73&lt;0,IF($J73=4,-$E73*$I73/12*0,IF($J73=5,-$E73*$I73/12*1,IF($J73=6,-$E73*$I73/12*2,IF($J73&gt;=7,-$E73*$I73/12*3,0))))))</f>
        <v>0</v>
      </c>
      <c r="DE73" s="1807">
        <f>IF($H73&lt;&gt;DG$5,0,IF(DG73&lt;0,IF(OR($J73=1,$J73=2,$J73=3,$J73=4,$J73=5,$J73=6,$J73=7),-$E73*$I73/12*3,IF($J73=8,-$E73*$I73/12*2,IF($J73=9,-$E73*$I73/12*1,0)))))+IF(DB$5&lt;&gt;$H73,0,IF(DB73&lt;0,IF($J73=7,-$E73*$I73/12*0,IF($J73=8,-$E73*$I73/12*1,IF($J73=9,-$E73*$I73/12*2,IF($J73&gt;=10,-$E73*$I73/12*3,0))))))</f>
        <v>0</v>
      </c>
      <c r="DF73" s="1806">
        <f>IF($H73&lt;&gt;DG$5,0,IF(DG73&lt;0,IF(OR($J73=1,$J73=2,$J73=3,$J73=4,$J73=5,$J73=6,$J73=7,$J73=8,$J73=9,$J73=10),-$E73*$I73/12*3,IF($J73=11,-$E73*$I73/12*2,IF($J73=12,-$E73*$I73/12*1,0)))))+IF(DB$5&lt;&gt;$H73,0,IF(DB73&lt;0,IF($J73=10,-$E73*$I73/12*0,IF($J73=11,-$E73*$I73/12*1,IF($J73=12,-$E73*$I73/12*2,0)))))</f>
        <v>0</v>
      </c>
      <c r="DG73" s="1791">
        <f>IF(AND(DB73&lt;&gt;0,DB$5=$H73),-$I73*$E73-DB73,IF(DG$5=$H73,-$I73*$E73*(12-$J73+1)/12,0))</f>
        <v>0</v>
      </c>
      <c r="DH73" s="1808">
        <f>IF($H73&lt;&gt;DL$5,0,IF(DL73&lt;0,IF($J73=1,-$E73*$I73/12*3,IF($J73=2,-$E73*$I73/12*2,IF($J73=3,-$E73*$I73/12*1,0)))))+IF(DG$5&lt;&gt;$H73,0,IF(DG73&lt;0,IF($J73=1,-$E73*$I73/12*0,IF($J73=2,-$E73*$I73/12*1,IF($J73=3,-$E73*$I73/12*2,IF($J73&gt;=4,-$E73*$I73/12*3,0))))))</f>
        <v>0</v>
      </c>
      <c r="DI73" s="1807">
        <f>IF($H73&lt;&gt;DL$5,0,IF(DL73&lt;0,IF(OR($J73=1,$J73=2,$J73=3,$J73=4),-$E73*$I73/12*3,IF($J73=5,-$E73*$I73/12*2,IF($J73=6,-$E73*$I73/12*1,0)))))+IF(DG$5&lt;&gt;$H73,0,IF(DG73&lt;0,IF($J73=4,-$E73*$I73/12*0,IF($J73=5,-$E73*$I73/12*1,IF($J73=6,-$E73*$I73/12*2,IF($J73&gt;=7,-$E73*$I73/12*3,0))))))</f>
        <v>0</v>
      </c>
      <c r="DJ73" s="1807">
        <f>IF($H73&lt;&gt;DL$5,0,IF(DL73&lt;0,IF(OR($J73=1,$J73=2,$J73=3,$J73=4,$J73=5,$J73=6,$J73=7),-$E73*$I73/12*3,IF($J73=8,-$E73*$I73/12*2,IF($J73=9,-$E73*$I73/12*1,0)))))+IF(DG$5&lt;&gt;$H73,0,IF(DG73&lt;0,IF($J73=7,-$E73*$I73/12*0,IF($J73=8,-$E73*$I73/12*1,IF($J73=9,-$E73*$I73/12*2,IF($J73&gt;=10,-$E73*$I73/12*3,0))))))</f>
        <v>0</v>
      </c>
      <c r="DK73" s="1806">
        <f>IF($H73&lt;&gt;DL$5,0,IF(DL73&lt;0,IF(OR($J73=1,$J73=2,$J73=3,$J73=4,$J73=5,$J73=6,$J73=7,$J73=8,$J73=9,$J73=10),-$E73*$I73/12*3,IF($J73=11,-$E73*$I73/12*2,IF($J73=12,-$E73*$I73/12*1,0)))))+IF(DG$5&lt;&gt;$H73,0,IF(DG73&lt;0,IF($J73=10,-$E73*$I73/12*0,IF($J73=11,-$E73*$I73/12*1,IF($J73=12,-$E73*$I73/12*2,0)))))</f>
        <v>0</v>
      </c>
      <c r="DL73" s="1791">
        <f>IF(AND(DG73&lt;&gt;0,DG$5=$H73),-$I73*$E73-DG73,IF(DL$5=$H73,-$I73*$E73*(12-$J73+1)/12,0))</f>
        <v>0</v>
      </c>
      <c r="DM73" s="1808">
        <f>IF($H73&lt;&gt;DQ$5,0,IF(DQ73&lt;0,IF($J73=1,-$E73*$I73/12*3,IF($J73=2,-$E73*$I73/12*2,IF($J73=3,-$E73*$I73/12*1,0)))))+IF(DL$5&lt;&gt;$H73,0,IF(DL73&lt;0,IF($J73=1,-$E73*$I73/12*0,IF($J73=2,-$E73*$I73/12*1,IF($J73=3,-$E73*$I73/12*2,IF($J73&gt;=4,-$E73*$I73/12*3,0))))))</f>
        <v>0</v>
      </c>
      <c r="DN73" s="1807">
        <f>IF($H73&lt;&gt;DQ$5,0,IF(DQ73&lt;0,IF(OR($J73=1,$J73=2,$J73=3,$J73=4),-$E73*$I73/12*3,IF($J73=5,-$E73*$I73/12*2,IF($J73=6,-$E73*$I73/12*1,0)))))+IF(DL$5&lt;&gt;$H73,0,IF(DL73&lt;0,IF($J73=4,-$E73*$I73/12*0,IF($J73=5,-$E73*$I73/12*1,IF($J73=6,-$E73*$I73/12*2,IF($J73&gt;=7,-$E73*$I73/12*3,0))))))</f>
        <v>0</v>
      </c>
      <c r="DO73" s="1807">
        <f>IF($H73&lt;&gt;DQ$5,0,IF(DQ73&lt;0,IF(OR($J73=1,$J73=2,$J73=3,$J73=4,$J73=5,$J73=6,$J73=7),-$E73*$I73/12*3,IF($J73=8,-$E73*$I73/12*2,IF($J73=9,-$E73*$I73/12*1,0)))))+IF(DL$5&lt;&gt;$H73,0,IF(DL73&lt;0,IF($J73=7,-$E73*$I73/12*0,IF($J73=8,-$E73*$I73/12*1,IF($J73=9,-$E73*$I73/12*2,IF($J73&gt;=10,-$E73*$I73/12*3,0))))))</f>
        <v>-0.39433333333333326</v>
      </c>
      <c r="DP73" s="1806">
        <f>IF($H73&lt;&gt;DQ$5,0,IF(DQ73&lt;0,IF(OR($J73=1,$J73=2,$J73=3,$J73=4,$J73=5,$J73=6,$J73=7,$J73=8,$J73=9,$J73=10),-$E73*$I73/12*3,IF($J73=11,-$E73*$I73/12*2,IF($J73=12,-$E73*$I73/12*1,0)))))+IF(DL$5&lt;&gt;$H73,0,IF(DL73&lt;0,IF($J73=10,-$E73*$I73/12*0,IF($J73=11,-$E73*$I73/12*1,IF($J73=12,-$E73*$I73/12*2,0)))))</f>
        <v>-0.59149999999999991</v>
      </c>
      <c r="DQ73" s="1791">
        <f>IF(AND(DL73&lt;&gt;0,DL$5=$H73),-$I73*$E73-DL73,IF(DQ$5=$H73,-$I73*$E73*(12-$J73+1)/12,0))</f>
        <v>-0.98583333333333323</v>
      </c>
      <c r="DR73" s="1808">
        <f>IF($H73&lt;&gt;DV$5,0,IF(DV73&lt;0,IF($J73=1,-$E73*$I73/12*3,IF($J73=2,-$E73*$I73/12*2,IF($J73=3,-$E73*$I73/12*1,0)))))+IF(DQ$5&lt;&gt;$H73,0,IF(DQ73&lt;0,IF($J73=1,-$E73*$I73/12*0,IF($J73=2,-$E73*$I73/12*1,IF($J73=3,-$E73*$I73/12*2,IF($J73&gt;=4,-$E73*$I73/12*3,0))))))</f>
        <v>-0.59149999999999991</v>
      </c>
      <c r="DS73" s="1807">
        <f>IF($H73&lt;&gt;DV$5,0,IF(DV73&lt;0,IF(OR($J73=1,$J73=2,$J73=3,$J73=4),-$E73*$I73/12*3,IF($J73=5,-$E73*$I73/12*2,IF($J73=6,-$E73*$I73/12*1,0)))))+IF(DQ$5&lt;&gt;$H73,0,IF(DQ73&lt;0,IF($J73=4,-$E73*$I73/12*0,IF($J73=5,-$E73*$I73/12*1,IF($J73=6,-$E73*$I73/12*2,IF($J73&gt;=7,-$E73*$I73/12*3,0))))))</f>
        <v>-0.59149999999999991</v>
      </c>
      <c r="DT73" s="1807">
        <f>IF($H73&lt;&gt;DV$5,0,IF(DV73&lt;0,IF(OR($J73=1,$J73=2,$J73=3,$J73=4,$J73=5,$J73=6,$J73=7),-$E73*$I73/12*3,IF($J73=8,-$E73*$I73/12*2,IF($J73=9,-$E73*$I73/12*1,0)))))+IF(DQ$5&lt;&gt;$H73,0,IF(DQ73&lt;0,IF($J73=7,-$E73*$I73/12*0,IF($J73=8,-$E73*$I73/12*1,IF($J73=9,-$E73*$I73/12*2,IF($J73&gt;=10,-$E73*$I73/12*3,0))))))</f>
        <v>-0.19716666666666663</v>
      </c>
      <c r="DU73" s="1806">
        <f>IF($H73&lt;&gt;DV$5,0,IF(DV73&lt;0,IF(OR($J73=1,$J73=2,$J73=3,$J73=4,$J73=5,$J73=6,$J73=7,$J73=8,$J73=9,$J73=10),-$E73*$I73/12*3,IF($J73=11,-$E73*$I73/12*2,IF($J73=12,-$E73*$I73/12*1,0)))))+IF(DQ$5&lt;&gt;$H73,0,IF(DQ73&lt;0,IF($J73=10,-$E73*$I73/12*0,IF($J73=11,-$E73*$I73/12*1,IF($J73=12,-$E73*$I73/12*2,0)))))</f>
        <v>0</v>
      </c>
      <c r="DV73" s="1791">
        <f>IF(AND(DQ73&lt;&gt;0,DQ$5=$H73),-$I73*$E73-DQ73,IF(DV$5=$H73,-$I73*$E73*(12-$J73+1)/12,0))</f>
        <v>-1.3801666666666663</v>
      </c>
    </row>
    <row r="74" spans="1:126">
      <c r="A74" s="455"/>
      <c r="B74" s="455"/>
      <c r="C74" s="1363"/>
      <c r="D74" s="94"/>
      <c r="E74" s="1817"/>
      <c r="F74" s="1435"/>
      <c r="G74" s="1435"/>
      <c r="H74" s="1597"/>
      <c r="I74" s="1598"/>
      <c r="J74" s="1599"/>
      <c r="K74" s="1792"/>
      <c r="L74" s="1810"/>
      <c r="M74" s="1791"/>
      <c r="N74" s="1808"/>
      <c r="O74" s="1807"/>
      <c r="P74" s="1807"/>
      <c r="Q74" s="1806"/>
      <c r="R74" s="1791"/>
      <c r="S74" s="1808"/>
      <c r="T74" s="1807"/>
      <c r="U74" s="1807"/>
      <c r="V74" s="1806"/>
      <c r="W74" s="1791"/>
      <c r="X74" s="1808"/>
      <c r="Y74" s="1807"/>
      <c r="Z74" s="1807"/>
      <c r="AA74" s="1806"/>
      <c r="AB74" s="1791"/>
      <c r="AC74" s="1808"/>
      <c r="AD74" s="1807"/>
      <c r="AE74" s="1807"/>
      <c r="AF74" s="1806"/>
      <c r="AG74" s="1791"/>
      <c r="AH74" s="1808"/>
      <c r="AI74" s="1807"/>
      <c r="AJ74" s="1807"/>
      <c r="AK74" s="1806"/>
      <c r="AL74" s="1791"/>
      <c r="AM74" s="1808"/>
      <c r="AN74" s="1807"/>
      <c r="AO74" s="1807"/>
      <c r="AP74" s="1806"/>
      <c r="AQ74" s="1791"/>
      <c r="AR74" s="1808"/>
      <c r="AS74" s="1807"/>
      <c r="AT74" s="1807"/>
      <c r="AU74" s="1806"/>
      <c r="AV74" s="1791"/>
      <c r="AW74" s="1808"/>
      <c r="AX74" s="1807"/>
      <c r="AY74" s="1807"/>
      <c r="AZ74" s="1806"/>
      <c r="BA74" s="1791"/>
      <c r="BB74" s="1808"/>
      <c r="BC74" s="1807"/>
      <c r="BD74" s="1807"/>
      <c r="BE74" s="1806"/>
      <c r="BF74" s="1791"/>
      <c r="BG74" s="1808"/>
      <c r="BH74" s="1807"/>
      <c r="BI74" s="1807"/>
      <c r="BJ74" s="1806"/>
      <c r="BK74" s="1791"/>
      <c r="BL74" s="1808"/>
      <c r="BM74" s="1807"/>
      <c r="BN74" s="1807"/>
      <c r="BO74" s="1806"/>
      <c r="BP74" s="1791"/>
      <c r="BQ74" s="1827"/>
      <c r="BR74" s="1991"/>
      <c r="BS74" s="1991"/>
      <c r="BT74" s="1992"/>
      <c r="BU74" s="1992"/>
      <c r="BV74" s="1992"/>
      <c r="BW74" s="1992"/>
      <c r="BX74" s="1810"/>
      <c r="BY74" s="1807"/>
      <c r="BZ74" s="1807"/>
      <c r="CA74" s="1807"/>
      <c r="CB74" s="1806"/>
      <c r="CC74" s="1791"/>
      <c r="CD74" s="1808"/>
      <c r="CE74" s="1807"/>
      <c r="CF74" s="1807"/>
      <c r="CG74" s="1806"/>
      <c r="CH74" s="1791"/>
      <c r="CI74" s="1808"/>
      <c r="CJ74" s="1807"/>
      <c r="CK74" s="1807"/>
      <c r="CL74" s="1806"/>
      <c r="CM74" s="1791"/>
      <c r="CN74" s="1808"/>
      <c r="CO74" s="1807"/>
      <c r="CP74" s="1807"/>
      <c r="CQ74" s="1806"/>
      <c r="CR74" s="1791"/>
      <c r="CS74" s="1808"/>
      <c r="CT74" s="1807"/>
      <c r="CU74" s="1807"/>
      <c r="CV74" s="1806"/>
      <c r="CW74" s="1791"/>
      <c r="CX74" s="1808"/>
      <c r="CY74" s="1807"/>
      <c r="CZ74" s="1807"/>
      <c r="DA74" s="1806"/>
      <c r="DB74" s="1791"/>
      <c r="DC74" s="1808"/>
      <c r="DD74" s="1807"/>
      <c r="DE74" s="1807"/>
      <c r="DF74" s="1806"/>
      <c r="DG74" s="1791"/>
      <c r="DH74" s="1808"/>
      <c r="DI74" s="1807"/>
      <c r="DJ74" s="1807"/>
      <c r="DK74" s="1806"/>
      <c r="DL74" s="1791"/>
      <c r="DM74" s="1808"/>
      <c r="DN74" s="1807"/>
      <c r="DO74" s="1807"/>
      <c r="DP74" s="1806"/>
      <c r="DQ74" s="1791"/>
      <c r="DR74" s="1808"/>
      <c r="DS74" s="1807"/>
      <c r="DT74" s="1807"/>
      <c r="DU74" s="1806"/>
      <c r="DV74" s="1791"/>
    </row>
    <row r="75" spans="1:126">
      <c r="A75" s="455"/>
      <c r="B75" s="455"/>
      <c r="C75" s="1596" t="s">
        <v>313</v>
      </c>
      <c r="D75" s="94"/>
      <c r="E75" s="1817"/>
      <c r="F75" s="1435"/>
      <c r="G75" s="1435"/>
      <c r="H75" s="1597"/>
      <c r="I75" s="1598"/>
      <c r="J75" s="1599"/>
      <c r="K75" s="1792"/>
      <c r="L75" s="1810">
        <f>IF(L$5=$H75,-$E75,0)</f>
        <v>0</v>
      </c>
      <c r="M75" s="1791">
        <f>IF(M$5=$H75,-$E75,0)</f>
        <v>0</v>
      </c>
      <c r="N75" s="1808">
        <f>IF(R75=0,0,IF(R75&lt;0,IF($J75=3,R75,IF($J75=2,R75,IF($J75=1,R75,0)))))</f>
        <v>0</v>
      </c>
      <c r="O75" s="1807">
        <f>IF(R75=0,0,IF(R75&lt;0,IF($J75=6,R75,IF($J75=5,R75,IF($J75=4,R75,0)))))</f>
        <v>0</v>
      </c>
      <c r="P75" s="1807">
        <f>IF(R75=0,0,IF(R75&lt;0,IF($J75=9,R75,IF($J75=8,R75,IF($J75=7,R75,0)))))</f>
        <v>0</v>
      </c>
      <c r="Q75" s="1806">
        <f>IF(R75=0,0,IF(R75&lt;0,IF($J75=12,R75,IF($J75=11,R75,IF($J75=10,R75,0)))))</f>
        <v>0</v>
      </c>
      <c r="R75" s="1791">
        <f>IF(R$5=$H75,-$E75,0)</f>
        <v>0</v>
      </c>
      <c r="S75" s="1808">
        <f>IF(W75=0,0,IF(W75&lt;0,IF($J75=3,W75,IF($J75=2,W75,IF($J75=1,W75,0)))))</f>
        <v>0</v>
      </c>
      <c r="T75" s="1807">
        <f>IF(W75=0,0,IF(W75&lt;0,IF($J75=6,W75,IF($J75=5,W75,IF($J75=4,W75,0)))))</f>
        <v>0</v>
      </c>
      <c r="U75" s="1807">
        <f>IF(W75=0,0,IF(W75&lt;0,IF($J75=9,W75,IF($J75=8,W75,IF($J75=7,W75,0)))))</f>
        <v>0</v>
      </c>
      <c r="V75" s="1806">
        <f>IF(W75=0,0,IF(W75&lt;0,IF($J75=12,W75,IF($J75=11,W75,IF($J75=10,W75,0)))))</f>
        <v>0</v>
      </c>
      <c r="W75" s="1791">
        <f>IF(W$5=$H75,-$E75,0)</f>
        <v>0</v>
      </c>
      <c r="X75" s="1808">
        <f>IF(AB75=0,0,IF(AB75&lt;0,IF($J75=3,AB75,IF($J75=2,AB75,IF($J75=1,AB75,0)))))</f>
        <v>0</v>
      </c>
      <c r="Y75" s="1807">
        <f>IF(AB75=0,0,IF(AB75&lt;0,IF($J75=6,AB75,IF($J75=5,AB75,IF($J75=4,AB75,0)))))</f>
        <v>0</v>
      </c>
      <c r="Z75" s="1807">
        <f>IF(AB75=0,0,IF(AB75&lt;0,IF($J75=9,AB75,IF($J75=8,AB75,IF($J75=7,AB75,0)))))</f>
        <v>0</v>
      </c>
      <c r="AA75" s="1806">
        <f>IF(AB75=0,0,IF(AB75&lt;0,IF($J75=12,AB75,IF($J75=11,AB75,IF($J75=10,AB75,0)))))</f>
        <v>0</v>
      </c>
      <c r="AB75" s="1791">
        <f>IF(AB$5=$H75,-$E75,0)</f>
        <v>0</v>
      </c>
      <c r="AC75" s="1808">
        <f>IF(AG75=0,0,IF(AG75&lt;0,IF($J75=3,AG75,IF($J75=2,AG75,IF($J75=1,AG75,0)))))</f>
        <v>0</v>
      </c>
      <c r="AD75" s="1807">
        <f>IF(AG75=0,0,IF(AG75&lt;0,IF($J75=6,AG75,IF($J75=5,AG75,IF($J75=4,AG75,0)))))</f>
        <v>0</v>
      </c>
      <c r="AE75" s="1807">
        <f>IF(AG75=0,0,IF(AG75&lt;0,IF($J75=9,AG75,IF($J75=8,AG75,IF($J75=7,AG75,0)))))</f>
        <v>0</v>
      </c>
      <c r="AF75" s="1806">
        <f>IF(AG75=0,0,IF(AG75&lt;0,IF($J75=12,AG75,IF($J75=11,AG75,IF($J75=10,AG75,0)))))</f>
        <v>0</v>
      </c>
      <c r="AG75" s="1791">
        <f>IF(AG$5=$H75,-$E75,0)</f>
        <v>0</v>
      </c>
      <c r="AH75" s="1808">
        <f>IF(AL75=0,0,IF(AL75&lt;0,IF($J75=3,AL75,IF($J75=2,AL75,IF($J75=1,AL75,0)))))</f>
        <v>0</v>
      </c>
      <c r="AI75" s="1807">
        <f>IF(AL75=0,0,IF(AL75&lt;0,IF($J75=6,AL75,IF($J75=5,AL75,IF($J75=4,AL75,0)))))</f>
        <v>0</v>
      </c>
      <c r="AJ75" s="1807">
        <f>IF(AL75=0,0,IF(AL75&lt;0,IF($J75=9,AL75,IF($J75=8,AL75,IF($J75=7,AL75,0)))))</f>
        <v>0</v>
      </c>
      <c r="AK75" s="1806">
        <f>IF(AL75=0,0,IF(AL75&lt;0,IF($J75=12,AL75,IF($J75=11,AL75,IF($J75=10,AL75,0)))))</f>
        <v>0</v>
      </c>
      <c r="AL75" s="1791">
        <f>IF(AL$5=$H75,-$E75,0)</f>
        <v>0</v>
      </c>
      <c r="AM75" s="1808">
        <f>IF(AQ75=0,0,IF(AQ75&lt;0,IF($J75=3,AQ75,IF($J75=2,AQ75,IF($J75=1,AQ75,0)))))</f>
        <v>0</v>
      </c>
      <c r="AN75" s="1807">
        <f>IF(AQ75=0,0,IF(AQ75&lt;0,IF($J75=6,AQ75,IF($J75=5,AQ75,IF($J75=4,AQ75,0)))))</f>
        <v>0</v>
      </c>
      <c r="AO75" s="1807">
        <f>IF(AQ75=0,0,IF(AQ75&lt;0,IF($J75=9,AQ75,IF($J75=8,AQ75,IF($J75=7,AQ75,0)))))</f>
        <v>0</v>
      </c>
      <c r="AP75" s="1806">
        <f>IF(AQ75=0,0,IF(AQ75&lt;0,IF($J75=12,AQ75,IF($J75=11,AQ75,IF($J75=10,AQ75,0)))))</f>
        <v>0</v>
      </c>
      <c r="AQ75" s="1791">
        <f>IF(AQ$5=$H75,-$E75,0)</f>
        <v>0</v>
      </c>
      <c r="AR75" s="1808">
        <f>IF(AV75=0,0,IF(AV75&lt;0,IF($J75=3,AV75,IF($J75=2,AV75,IF($J75=1,AV75,0)))))</f>
        <v>0</v>
      </c>
      <c r="AS75" s="1807">
        <f>IF(AV75=0,0,IF(AV75&lt;0,IF($J75=6,AV75,IF($J75=5,AV75,IF($J75=4,AV75,0)))))</f>
        <v>0</v>
      </c>
      <c r="AT75" s="1807">
        <f>IF(AV75=0,0,IF(AV75&lt;0,IF($J75=9,AV75,IF($J75=8,AV75,IF($J75=7,AV75,0)))))</f>
        <v>0</v>
      </c>
      <c r="AU75" s="1806">
        <f>IF(AV75=0,0,IF(AV75&lt;0,IF($J75=12,AV75,IF($J75=11,AV75,IF($J75=10,AV75,0)))))</f>
        <v>0</v>
      </c>
      <c r="AV75" s="1791">
        <f>IF(AV$5=$H75,-$E75,0)</f>
        <v>0</v>
      </c>
      <c r="AW75" s="1808">
        <f>IF(BA75=0,0,IF(BA75&lt;0,IF($J75=3,BA75,IF($J75=2,BA75,IF($J75=1,BA75,0)))))</f>
        <v>0</v>
      </c>
      <c r="AX75" s="1807">
        <f>IF(BA75=0,0,IF(BA75&lt;0,IF($J75=6,BA75,IF($J75=5,BA75,IF($J75=4,BA75,0)))))</f>
        <v>0</v>
      </c>
      <c r="AY75" s="1807">
        <f>IF(BA75=0,0,IF(BA75&lt;0,IF($J75=9,BA75,IF($J75=8,BA75,IF($J75=7,BA75,0)))))</f>
        <v>0</v>
      </c>
      <c r="AZ75" s="1806">
        <f>IF(BA75=0,0,IF(BA75&lt;0,IF($J75=12,BA75,IF($J75=11,BA75,IF($J75=10,BA75,0)))))</f>
        <v>0</v>
      </c>
      <c r="BA75" s="1791">
        <f>IF(BA$5=$H75,-$E75,0)</f>
        <v>0</v>
      </c>
      <c r="BB75" s="1808">
        <f>IF(BF75=0,0,IF(BF75&lt;0,IF($J75=3,BF75,IF($J75=2,BF75,IF($J75=1,BF75,0)))))</f>
        <v>0</v>
      </c>
      <c r="BC75" s="1807">
        <f>IF(BF75=0,0,IF(BF75&lt;0,IF($J75=6,BF75,IF($J75=5,BF75,IF($J75=4,BF75,0)))))</f>
        <v>0</v>
      </c>
      <c r="BD75" s="1807">
        <f>IF(BF75=0,0,IF(BF75&lt;0,IF($J75=9,BF75,IF($J75=8,BF75,IF($J75=7,BF75,0)))))</f>
        <v>0</v>
      </c>
      <c r="BE75" s="1806">
        <f>IF(BF75=0,0,IF(BF75&lt;0,IF($J75=12,BF75,IF($J75=11,BF75,IF($J75=10,BF75,0)))))</f>
        <v>0</v>
      </c>
      <c r="BF75" s="1791">
        <f>IF(BF$5=$H75,-$E75,0)</f>
        <v>0</v>
      </c>
      <c r="BG75" s="1808">
        <f>IF(BK75=0,0,IF(BK75&lt;0,IF($J75=3,BK75,IF($J75=2,BK75,IF($J75=1,BK75,0)))))</f>
        <v>0</v>
      </c>
      <c r="BH75" s="1807">
        <f>IF(BK75=0,0,IF(BK75&lt;0,IF($J75=6,BK75,IF($J75=5,BK75,IF($J75=4,BK75,0)))))</f>
        <v>0</v>
      </c>
      <c r="BI75" s="1807">
        <f>IF(BK75=0,0,IF(BK75&lt;0,IF($J75=9,BK75,IF($J75=8,BK75,IF($J75=7,BK75,0)))))</f>
        <v>0</v>
      </c>
      <c r="BJ75" s="1806">
        <f>IF(BK75=0,0,IF(BK75&lt;0,IF($J75=12,BK75,IF($J75=11,BK75,IF($J75=10,BK75,0)))))</f>
        <v>0</v>
      </c>
      <c r="BK75" s="1791">
        <f>IF(BK$5=$H75,-$E75,0)</f>
        <v>0</v>
      </c>
      <c r="BL75" s="1808">
        <f>IF(BP75=0,0,IF(BP75&lt;0,IF($J75=3,BP75,IF($J75=2,BP75,IF($J75=1,BP75,0)))))</f>
        <v>0</v>
      </c>
      <c r="BM75" s="1807">
        <f>IF(BP75=0,0,IF(BP75&lt;0,IF($J75=6,BP75,IF($J75=5,BP75,IF($J75=4,BP75,0)))))</f>
        <v>0</v>
      </c>
      <c r="BN75" s="1807">
        <f>IF(BP75=0,0,IF(BP75&lt;0,IF($J75=9,BP75,IF($J75=8,BP75,IF($J75=7,BP75,0)))))</f>
        <v>0</v>
      </c>
      <c r="BO75" s="1806">
        <f>IF(BP75=0,0,IF(BP75&lt;0,IF($J75=12,BP75,IF($J75=11,BP75,IF($J75=10,BP75,0)))))</f>
        <v>0</v>
      </c>
      <c r="BP75" s="1791">
        <f>IF(BP$5=$H75,-$E75,0)</f>
        <v>0</v>
      </c>
      <c r="BQ75" s="1827"/>
      <c r="BR75" s="1991">
        <f>IF(AND(BQ75&lt;&gt;0,BQ$5=$H75),-$I75*$E75-BQ75,IF(BR$5=$H75,-$I75*$E75*(12-$J75+1)/12,0))</f>
        <v>0</v>
      </c>
      <c r="BS75" s="1991">
        <f>IF(AND(BR75&lt;&gt;0,BR$5=$H75),-$I75*$E75-BR75,IF(BS$5=$H75,-$I75*$E75*(12-$J75+1)/12,0))</f>
        <v>0</v>
      </c>
      <c r="BT75" s="1992">
        <f>IF($H75&lt;&gt;BX$5,0,IF(BX75&lt;0,IF($J75=1,-$E75*$I75/12*3,IF($J75=2,-$E75*$I75/12*2,IF($J75=3,-$E75*$I75/12*1,0)))))+IF(BS$5&lt;&gt;$H75,0,IF(BS75&lt;0,IF($J75=1,-$E75*$I75/12*0,IF($J75=2,-$E75*$I75/12*1,IF($J75=3,-$E75*$I75/12*2,IF($J75&gt;=4,-$E75*$I75/12*3,0))))))</f>
        <v>0</v>
      </c>
      <c r="BU75" s="1992">
        <f>IF($H75&lt;&gt;BX$5,0,IF(BX75&lt;0,IF(OR($J75=1,$J75=2,$J75=3,$J75=4),-$E75*$I75/12*3,IF($J75=5,-$E75*$I75/12*2,IF($J75=6,-$E75*$I75/12*1,0)))))+IF(BS$5&lt;&gt;$H75,0,IF(BS75&lt;0,IF($J75=4,-$E75*$I75/12*0,IF($J75=5,-$E75*$I75/12*1,IF($J75=6,-$E75*$I75/12*2,IF($J75&gt;=7,-$E75*$I75/12*3,0))))))</f>
        <v>0</v>
      </c>
      <c r="BV75" s="1992">
        <f>IF($H75&lt;&gt;BX$5,0,IF(BX75&lt;0,IF(OR($J75=1,$J75=2,$J75=3,$J75=4,$J75=5,$J75=6,$J75=7),-$E75*$I75/12*3,IF($J75=8,-$E75*$I75/12*2,IF($J75=9,-$E75*$I75/12*1,0)))))+IF(BS$5&lt;&gt;$H75,0,IF(BS75&lt;0,IF($J75=7,-$E75*$I75/12*0,IF($J75=8,-$E75*$I75/12*1,IF($J75=9,-$E75*$I75/12*2,IF($J75&gt;=10,-$E75*$I75/12*3,0))))))</f>
        <v>0</v>
      </c>
      <c r="BW75" s="1992">
        <f>IF($H75&lt;&gt;BX$5,0,IF(BX75&lt;0,IF(OR($J75=1,$J75=2,$J75=3,$J75=4,$J75=5,$J75=6,$J75=7,$J75=8,$J75=9,$J75=10),-$E75*$I75/12*3,IF($J75=11,-$E75*$I75/12*2,IF($J75=12,-$E75*$I75/12*1,0)))))+IF(BS$5&lt;&gt;$H75,0,IF(BS75&lt;0,IF($J75=10,-$E75*$I75/12*0,IF($J75=11,-$E75*$I75/12*1,IF($J75=12,-$E75*$I75/12*2,0)))))</f>
        <v>0</v>
      </c>
      <c r="BX75" s="1810">
        <f>IF(AND(BS75&lt;&gt;0,BS$5=$H75),-$I75*$E75-BS75,IF(BX$5=$H75,-$I75*$E75*(12-$J75+1)/12,0))</f>
        <v>0</v>
      </c>
      <c r="BY75" s="1807">
        <f>IF($H75&lt;&gt;CC$5,0,IF(CC75&lt;0,IF($J75=1,-$E75*$I75/12*3,IF($J75=2,-$E75*$I75/12*2,IF($J75=3,-$E75*$I75/12*1,0)))))+IF(BX$5&lt;&gt;$H75,0,IF(BX75&lt;0,IF($J75=1,-$E75*$I75/12*0,IF($J75=2,-$E75*$I75/12*1,IF($J75=3,-$E75*$I75/12*2,IF($J75&gt;=4,-$E75*$I75/12*3,0))))))</f>
        <v>0</v>
      </c>
      <c r="BZ75" s="1807">
        <f>IF($H75&lt;&gt;CC$5,0,IF(CC75&lt;0,IF(OR($J75=1,$J75=2,$J75=3,$J75=4),-$E75*$I75/12*3,IF($J75=5,-$E75*$I75/12*2,IF($J75=6,-$E75*$I75/12*1,0)))))+IF(BX$5&lt;&gt;$H75,0,IF(BX75&lt;0,IF($J75=4,-$E75*$I75/12*0,IF($J75=5,-$E75*$I75/12*1,IF($J75=6,-$E75*$I75/12*2,IF($J75&gt;=7,-$E75*$I75/12*3,0))))))</f>
        <v>0</v>
      </c>
      <c r="CA75" s="1807">
        <f>IF($H75&lt;&gt;CC$5,0,IF(CC75&lt;0,IF(OR($J75=1,$J75=2,$J75=3,$J75=4,$J75=5,$J75=6,$J75=7),-$E75*$I75/12*3,IF($J75=8,-$E75*$I75/12*2,IF($J75=9,-$E75*$I75/12*1,0)))))+IF(BX$5&lt;&gt;$H75,0,IF(BX75&lt;0,IF($J75=7,-$E75*$I75/12*0,IF($J75=8,-$E75*$I75/12*1,IF($J75=9,-$E75*$I75/12*2,IF($J75&gt;=10,-$E75*$I75/12*3,0))))))</f>
        <v>0</v>
      </c>
      <c r="CB75" s="1806">
        <f>IF($H75&lt;&gt;CC$5,0,IF(CC75&lt;0,IF(OR($J75=1,$J75=2,$J75=3,$J75=4,$J75=5,$J75=6,$J75=7,$J75=8,$J75=9,$J75=10),-$E75*$I75/12*3,IF($J75=11,-$E75*$I75/12*2,IF($J75=12,-$E75*$I75/12*1,0)))))+IF(BX$5&lt;&gt;$H75,0,IF(BX75&lt;0,IF($J75=10,-$E75*$I75/12*0,IF($J75=11,-$E75*$I75/12*1,IF($J75=12,-$E75*$I75/12*2,0)))))</f>
        <v>0</v>
      </c>
      <c r="CC75" s="1791">
        <f>IF(AND(BX75&lt;&gt;0,BX$5=$H75),-$I75*$E75-BX75,IF(CC$5=$H75,-$I75*$E75*(12-$J75+1)/12,0))</f>
        <v>0</v>
      </c>
      <c r="CD75" s="1808">
        <f>IF($H75&lt;&gt;CH$5,0,IF(CH75&lt;0,IF($J75=1,-$E75*$I75/12*3,IF($J75=2,-$E75*$I75/12*2,IF($J75=3,-$E75*$I75/12*1,0)))))+IF(CC$5&lt;&gt;$H75,0,IF(CC75&lt;0,IF($J75=1,-$E75*$I75/12*0,IF($J75=2,-$E75*$I75/12*1,IF($J75=3,-$E75*$I75/12*2,IF($J75&gt;=4,-$E75*$I75/12*3,0))))))</f>
        <v>0</v>
      </c>
      <c r="CE75" s="1807">
        <f>IF($H75&lt;&gt;CH$5,0,IF(CH75&lt;0,IF(OR($J75=1,$J75=2,$J75=3,$J75=4),-$E75*$I75/12*3,IF($J75=5,-$E75*$I75/12*2,IF($J75=6,-$E75*$I75/12*1,0)))))+IF(CC$5&lt;&gt;$H75,0,IF(CC75&lt;0,IF($J75=4,-$E75*$I75/12*0,IF($J75=5,-$E75*$I75/12*1,IF($J75=6,-$E75*$I75/12*2,IF($J75&gt;=7,-$E75*$I75/12*3,0))))))</f>
        <v>0</v>
      </c>
      <c r="CF75" s="1807">
        <f>IF($H75&lt;&gt;CH$5,0,IF(CH75&lt;0,IF(OR($J75=1,$J75=2,$J75=3,$J75=4,$J75=5,$J75=6,$J75=7),-$E75*$I75/12*3,IF($J75=8,-$E75*$I75/12*2,IF($J75=9,-$E75*$I75/12*1,0)))))+IF(CC$5&lt;&gt;$H75,0,IF(CC75&lt;0,IF($J75=7,-$E75*$I75/12*0,IF($J75=8,-$E75*$I75/12*1,IF($J75=9,-$E75*$I75/12*2,IF($J75&gt;=10,-$E75*$I75/12*3,0))))))</f>
        <v>0</v>
      </c>
      <c r="CG75" s="1806">
        <f>IF($H75&lt;&gt;CH$5,0,IF(CH75&lt;0,IF(OR($J75=1,$J75=2,$J75=3,$J75=4,$J75=5,$J75=6,$J75=7,$J75=8,$J75=9,$J75=10),-$E75*$I75/12*3,IF($J75=11,-$E75*$I75/12*2,IF($J75=12,-$E75*$I75/12*1,0)))))+IF(CC$5&lt;&gt;$H75,0,IF(CC75&lt;0,IF($J75=10,-$E75*$I75/12*0,IF($J75=11,-$E75*$I75/12*1,IF($J75=12,-$E75*$I75/12*2,0)))))</f>
        <v>0</v>
      </c>
      <c r="CH75" s="1791">
        <f>IF(AND(CC75&lt;&gt;0,CC$5=$H75),-$I75*$E75-CC75,IF(CH$5=$H75,-$I75*$E75*(12-$J75+1)/12,0))</f>
        <v>0</v>
      </c>
      <c r="CI75" s="1808">
        <f>IF($H75&lt;&gt;CM$5,0,IF(CM75&lt;0,IF($J75=1,-$E75*$I75/12*3,IF($J75=2,-$E75*$I75/12*2,IF($J75=3,-$E75*$I75/12*1,0)))))+IF(CH$5&lt;&gt;$H75,0,IF(CH75&lt;0,IF($J75=1,-$E75*$I75/12*0,IF($J75=2,-$E75*$I75/12*1,IF($J75=3,-$E75*$I75/12*2,IF($J75&gt;=4,-$E75*$I75/12*3,0))))))</f>
        <v>0</v>
      </c>
      <c r="CJ75" s="1807">
        <f>IF($H75&lt;&gt;CM$5,0,IF(CM75&lt;0,IF(OR($J75=1,$J75=2,$J75=3,$J75=4),-$E75*$I75/12*3,IF($J75=5,-$E75*$I75/12*2,IF($J75=6,-$E75*$I75/12*1,0)))))+IF(CH$5&lt;&gt;$H75,0,IF(CH75&lt;0,IF($J75=4,-$E75*$I75/12*0,IF($J75=5,-$E75*$I75/12*1,IF($J75=6,-$E75*$I75/12*2,IF($J75&gt;=7,-$E75*$I75/12*3,0))))))</f>
        <v>0</v>
      </c>
      <c r="CK75" s="1807">
        <f>IF($H75&lt;&gt;CM$5,0,IF(CM75&lt;0,IF(OR($J75=1,$J75=2,$J75=3,$J75=4,$J75=5,$J75=6,$J75=7),-$E75*$I75/12*3,IF($J75=8,-$E75*$I75/12*2,IF($J75=9,-$E75*$I75/12*1,0)))))+IF(CH$5&lt;&gt;$H75,0,IF(CH75&lt;0,IF($J75=7,-$E75*$I75/12*0,IF($J75=8,-$E75*$I75/12*1,IF($J75=9,-$E75*$I75/12*2,IF($J75&gt;=10,-$E75*$I75/12*3,0))))))</f>
        <v>0</v>
      </c>
      <c r="CL75" s="1806">
        <f>IF($H75&lt;&gt;CM$5,0,IF(CM75&lt;0,IF(OR($J75=1,$J75=2,$J75=3,$J75=4,$J75=5,$J75=6,$J75=7,$J75=8,$J75=9,$J75=10),-$E75*$I75/12*3,IF($J75=11,-$E75*$I75/12*2,IF($J75=12,-$E75*$I75/12*1,0)))))+IF(CH$5&lt;&gt;$H75,0,IF(CH75&lt;0,IF($J75=10,-$E75*$I75/12*0,IF($J75=11,-$E75*$I75/12*1,IF($J75=12,-$E75*$I75/12*2,0)))))</f>
        <v>0</v>
      </c>
      <c r="CM75" s="1791">
        <f>IF(AND(CH75&lt;&gt;0,CH$5=$H75),-$I75*$E75-CH75,IF(CM$5=$H75,-$I75*$E75*(12-$J75+1)/12,0))</f>
        <v>0</v>
      </c>
      <c r="CN75" s="1808">
        <f>IF($H75&lt;&gt;CR$5,0,IF(CR75&lt;0,IF($J75=1,-$E75*$I75/12*3,IF($J75=2,-$E75*$I75/12*2,IF($J75=3,-$E75*$I75/12*1,0)))))+IF(CM$5&lt;&gt;$H75,0,IF(CM75&lt;0,IF($J75=1,-$E75*$I75/12*0,IF($J75=2,-$E75*$I75/12*1,IF($J75=3,-$E75*$I75/12*2,IF($J75&gt;=4,-$E75*$I75/12*3,0))))))</f>
        <v>0</v>
      </c>
      <c r="CO75" s="1807">
        <f>IF($H75&lt;&gt;CR$5,0,IF(CR75&lt;0,IF(OR($J75=1,$J75=2,$J75=3,$J75=4),-$E75*$I75/12*3,IF($J75=5,-$E75*$I75/12*2,IF($J75=6,-$E75*$I75/12*1,0)))))+IF(CM$5&lt;&gt;$H75,0,IF(CM75&lt;0,IF($J75=4,-$E75*$I75/12*0,IF($J75=5,-$E75*$I75/12*1,IF($J75=6,-$E75*$I75/12*2,IF($J75&gt;=7,-$E75*$I75/12*3,0))))))</f>
        <v>0</v>
      </c>
      <c r="CP75" s="1807">
        <f>IF($H75&lt;&gt;CR$5,0,IF(CR75&lt;0,IF(OR($J75=1,$J75=2,$J75=3,$J75=4,$J75=5,$J75=6,$J75=7),-$E75*$I75/12*3,IF($J75=8,-$E75*$I75/12*2,IF($J75=9,-$E75*$I75/12*1,0)))))+IF(CM$5&lt;&gt;$H75,0,IF(CM75&lt;0,IF($J75=7,-$E75*$I75/12*0,IF($J75=8,-$E75*$I75/12*1,IF($J75=9,-$E75*$I75/12*2,IF($J75&gt;=10,-$E75*$I75/12*3,0))))))</f>
        <v>0</v>
      </c>
      <c r="CQ75" s="1806">
        <f>IF($H75&lt;&gt;CR$5,0,IF(CR75&lt;0,IF(OR($J75=1,$J75=2,$J75=3,$J75=4,$J75=5,$J75=6,$J75=7,$J75=8,$J75=9,$J75=10),-$E75*$I75/12*3,IF($J75=11,-$E75*$I75/12*2,IF($J75=12,-$E75*$I75/12*1,0)))))+IF(CM$5&lt;&gt;$H75,0,IF(CM75&lt;0,IF($J75=10,-$E75*$I75/12*0,IF($J75=11,-$E75*$I75/12*1,IF($J75=12,-$E75*$I75/12*2,0)))))</f>
        <v>0</v>
      </c>
      <c r="CR75" s="1791">
        <f>IF(AND(CM75&lt;&gt;0,CM$5=$H75),-$I75*$E75-CM75,IF(CR$5=$H75,-$I75*$E75*(12-$J75+1)/12,0))</f>
        <v>0</v>
      </c>
      <c r="CS75" s="1808">
        <f>IF($H75&lt;&gt;CW$5,0,IF(CW75&lt;0,IF($J75=1,-$E75*$I75/12*3,IF($J75=2,-$E75*$I75/12*2,IF($J75=3,-$E75*$I75/12*1,0)))))+IF(CR$5&lt;&gt;$H75,0,IF(CR75&lt;0,IF($J75=1,-$E75*$I75/12*0,IF($J75=2,-$E75*$I75/12*1,IF($J75=3,-$E75*$I75/12*2,IF($J75&gt;=4,-$E75*$I75/12*3,0))))))</f>
        <v>0</v>
      </c>
      <c r="CT75" s="1807">
        <f>IF($H75&lt;&gt;CW$5,0,IF(CW75&lt;0,IF(OR($J75=1,$J75=2,$J75=3,$J75=4),-$E75*$I75/12*3,IF($J75=5,-$E75*$I75/12*2,IF($J75=6,-$E75*$I75/12*1,0)))))+IF(CR$5&lt;&gt;$H75,0,IF(CR75&lt;0,IF($J75=4,-$E75*$I75/12*0,IF($J75=5,-$E75*$I75/12*1,IF($J75=6,-$E75*$I75/12*2,IF($J75&gt;=7,-$E75*$I75/12*3,0))))))</f>
        <v>0</v>
      </c>
      <c r="CU75" s="1807">
        <f>IF($H75&lt;&gt;CW$5,0,IF(CW75&lt;0,IF(OR($J75=1,$J75=2,$J75=3,$J75=4,$J75=5,$J75=6,$J75=7),-$E75*$I75/12*3,IF($J75=8,-$E75*$I75/12*2,IF($J75=9,-$E75*$I75/12*1,0)))))+IF(CR$5&lt;&gt;$H75,0,IF(CR75&lt;0,IF($J75=7,-$E75*$I75/12*0,IF($J75=8,-$E75*$I75/12*1,IF($J75=9,-$E75*$I75/12*2,IF($J75&gt;=10,-$E75*$I75/12*3,0))))))</f>
        <v>0</v>
      </c>
      <c r="CV75" s="1806">
        <f>IF($H75&lt;&gt;CW$5,0,IF(CW75&lt;0,IF(OR($J75=1,$J75=2,$J75=3,$J75=4,$J75=5,$J75=6,$J75=7,$J75=8,$J75=9,$J75=10),-$E75*$I75/12*3,IF($J75=11,-$E75*$I75/12*2,IF($J75=12,-$E75*$I75/12*1,0)))))+IF(CR$5&lt;&gt;$H75,0,IF(CR75&lt;0,IF($J75=10,-$E75*$I75/12*0,IF($J75=11,-$E75*$I75/12*1,IF($J75=12,-$E75*$I75/12*2,0)))))</f>
        <v>0</v>
      </c>
      <c r="CW75" s="1791">
        <f>IF(AND(CR75&lt;&gt;0,CR$5=$H75),-$I75*$E75-CR75,IF(CW$5=$H75,-$I75*$E75*(12-$J75+1)/12,0))</f>
        <v>0</v>
      </c>
      <c r="CX75" s="1808">
        <f>IF($H75&lt;&gt;DB$5,0,IF(DB75&lt;0,IF($J75=1,-$E75*$I75/12*3,IF($J75=2,-$E75*$I75/12*2,IF($J75=3,-$E75*$I75/12*1,0)))))+IF(CW$5&lt;&gt;$H75,0,IF(CW75&lt;0,IF($J75=1,-$E75*$I75/12*0,IF($J75=2,-$E75*$I75/12*1,IF($J75=3,-$E75*$I75/12*2,IF($J75&gt;=4,-$E75*$I75/12*3,0))))))</f>
        <v>0</v>
      </c>
      <c r="CY75" s="1807">
        <f>IF($H75&lt;&gt;DB$5,0,IF(DB75&lt;0,IF(OR($J75=1,$J75=2,$J75=3,$J75=4),-$E75*$I75/12*3,IF($J75=5,-$E75*$I75/12*2,IF($J75=6,-$E75*$I75/12*1,0)))))+IF(CW$5&lt;&gt;$H75,0,IF(CW75&lt;0,IF($J75=4,-$E75*$I75/12*0,IF($J75=5,-$E75*$I75/12*1,IF($J75=6,-$E75*$I75/12*2,IF($J75&gt;=7,-$E75*$I75/12*3,0))))))</f>
        <v>0</v>
      </c>
      <c r="CZ75" s="1807">
        <f>IF($H75&lt;&gt;DB$5,0,IF(DB75&lt;0,IF(OR($J75=1,$J75=2,$J75=3,$J75=4,$J75=5,$J75=6,$J75=7),-$E75*$I75/12*3,IF($J75=8,-$E75*$I75/12*2,IF($J75=9,-$E75*$I75/12*1,0)))))+IF(CW$5&lt;&gt;$H75,0,IF(CW75&lt;0,IF($J75=7,-$E75*$I75/12*0,IF($J75=8,-$E75*$I75/12*1,IF($J75=9,-$E75*$I75/12*2,IF($J75&gt;=10,-$E75*$I75/12*3,0))))))</f>
        <v>0</v>
      </c>
      <c r="DA75" s="1806">
        <f>IF($H75&lt;&gt;DB$5,0,IF(DB75&lt;0,IF(OR($J75=1,$J75=2,$J75=3,$J75=4,$J75=5,$J75=6,$J75=7,$J75=8,$J75=9,$J75=10),-$E75*$I75/12*3,IF($J75=11,-$E75*$I75/12*2,IF($J75=12,-$E75*$I75/12*1,0)))))+IF(CW$5&lt;&gt;$H75,0,IF(CW75&lt;0,IF($J75=10,-$E75*$I75/12*0,IF($J75=11,-$E75*$I75/12*1,IF($J75=12,-$E75*$I75/12*2,0)))))</f>
        <v>0</v>
      </c>
      <c r="DB75" s="1791">
        <f>IF(AND(CW75&lt;&gt;0,CW$5=$H75),-$I75*$E75-CW75,IF(DB$5=$H75,-$I75*$E75*(12-$J75+1)/12,0))</f>
        <v>0</v>
      </c>
      <c r="DC75" s="1808">
        <f>IF($H75&lt;&gt;DG$5,0,IF(DG75&lt;0,IF($J75=1,-$E75*$I75/12*3,IF($J75=2,-$E75*$I75/12*2,IF($J75=3,-$E75*$I75/12*1,0)))))+IF(DB$5&lt;&gt;$H75,0,IF(DB75&lt;0,IF($J75=1,-$E75*$I75/12*0,IF($J75=2,-$E75*$I75/12*1,IF($J75=3,-$E75*$I75/12*2,IF($J75&gt;=4,-$E75*$I75/12*3,0))))))</f>
        <v>0</v>
      </c>
      <c r="DD75" s="1807">
        <f>IF($H75&lt;&gt;DG$5,0,IF(DG75&lt;0,IF(OR($J75=1,$J75=2,$J75=3,$J75=4),-$E75*$I75/12*3,IF($J75=5,-$E75*$I75/12*2,IF($J75=6,-$E75*$I75/12*1,0)))))+IF(DB$5&lt;&gt;$H75,0,IF(DB75&lt;0,IF($J75=4,-$E75*$I75/12*0,IF($J75=5,-$E75*$I75/12*1,IF($J75=6,-$E75*$I75/12*2,IF($J75&gt;=7,-$E75*$I75/12*3,0))))))</f>
        <v>0</v>
      </c>
      <c r="DE75" s="1807">
        <f>IF($H75&lt;&gt;DG$5,0,IF(DG75&lt;0,IF(OR($J75=1,$J75=2,$J75=3,$J75=4,$J75=5,$J75=6,$J75=7),-$E75*$I75/12*3,IF($J75=8,-$E75*$I75/12*2,IF($J75=9,-$E75*$I75/12*1,0)))))+IF(DB$5&lt;&gt;$H75,0,IF(DB75&lt;0,IF($J75=7,-$E75*$I75/12*0,IF($J75=8,-$E75*$I75/12*1,IF($J75=9,-$E75*$I75/12*2,IF($J75&gt;=10,-$E75*$I75/12*3,0))))))</f>
        <v>0</v>
      </c>
      <c r="DF75" s="1806">
        <f>IF($H75&lt;&gt;DG$5,0,IF(DG75&lt;0,IF(OR($J75=1,$J75=2,$J75=3,$J75=4,$J75=5,$J75=6,$J75=7,$J75=8,$J75=9,$J75=10),-$E75*$I75/12*3,IF($J75=11,-$E75*$I75/12*2,IF($J75=12,-$E75*$I75/12*1,0)))))+IF(DB$5&lt;&gt;$H75,0,IF(DB75&lt;0,IF($J75=10,-$E75*$I75/12*0,IF($J75=11,-$E75*$I75/12*1,IF($J75=12,-$E75*$I75/12*2,0)))))</f>
        <v>0</v>
      </c>
      <c r="DG75" s="1791">
        <f>IF(AND(DB75&lt;&gt;0,DB$5=$H75),-$I75*$E75-DB75,IF(DG$5=$H75,-$I75*$E75*(12-$J75+1)/12,0))</f>
        <v>0</v>
      </c>
      <c r="DH75" s="1808">
        <f>IF($H75&lt;&gt;DL$5,0,IF(DL75&lt;0,IF($J75=1,-$E75*$I75/12*3,IF($J75=2,-$E75*$I75/12*2,IF($J75=3,-$E75*$I75/12*1,0)))))+IF(DG$5&lt;&gt;$H75,0,IF(DG75&lt;0,IF($J75=1,-$E75*$I75/12*0,IF($J75=2,-$E75*$I75/12*1,IF($J75=3,-$E75*$I75/12*2,IF($J75&gt;=4,-$E75*$I75/12*3,0))))))</f>
        <v>0</v>
      </c>
      <c r="DI75" s="1807">
        <f>IF($H75&lt;&gt;DL$5,0,IF(DL75&lt;0,IF(OR($J75=1,$J75=2,$J75=3,$J75=4),-$E75*$I75/12*3,IF($J75=5,-$E75*$I75/12*2,IF($J75=6,-$E75*$I75/12*1,0)))))+IF(DG$5&lt;&gt;$H75,0,IF(DG75&lt;0,IF($J75=4,-$E75*$I75/12*0,IF($J75=5,-$E75*$I75/12*1,IF($J75=6,-$E75*$I75/12*2,IF($J75&gt;=7,-$E75*$I75/12*3,0))))))</f>
        <v>0</v>
      </c>
      <c r="DJ75" s="1807">
        <f>IF($H75&lt;&gt;DL$5,0,IF(DL75&lt;0,IF(OR($J75=1,$J75=2,$J75=3,$J75=4,$J75=5,$J75=6,$J75=7),-$E75*$I75/12*3,IF($J75=8,-$E75*$I75/12*2,IF($J75=9,-$E75*$I75/12*1,0)))))+IF(DG$5&lt;&gt;$H75,0,IF(DG75&lt;0,IF($J75=7,-$E75*$I75/12*0,IF($J75=8,-$E75*$I75/12*1,IF($J75=9,-$E75*$I75/12*2,IF($J75&gt;=10,-$E75*$I75/12*3,0))))))</f>
        <v>0</v>
      </c>
      <c r="DK75" s="1806">
        <f>IF($H75&lt;&gt;DL$5,0,IF(DL75&lt;0,IF(OR($J75=1,$J75=2,$J75=3,$J75=4,$J75=5,$J75=6,$J75=7,$J75=8,$J75=9,$J75=10),-$E75*$I75/12*3,IF($J75=11,-$E75*$I75/12*2,IF($J75=12,-$E75*$I75/12*1,0)))))+IF(DG$5&lt;&gt;$H75,0,IF(DG75&lt;0,IF($J75=10,-$E75*$I75/12*0,IF($J75=11,-$E75*$I75/12*1,IF($J75=12,-$E75*$I75/12*2,0)))))</f>
        <v>0</v>
      </c>
      <c r="DL75" s="1791">
        <f>IF(AND(DG75&lt;&gt;0,DG$5=$H75),-$I75*$E75-DG75,IF(DL$5=$H75,-$I75*$E75*(12-$J75+1)/12,0))</f>
        <v>0</v>
      </c>
      <c r="DM75" s="1808">
        <f>IF($H75&lt;&gt;DQ$5,0,IF(DQ75&lt;0,IF($J75=1,-$E75*$I75/12*3,IF($J75=2,-$E75*$I75/12*2,IF($J75=3,-$E75*$I75/12*1,0)))))+IF(DL$5&lt;&gt;$H75,0,IF(DL75&lt;0,IF($J75=1,-$E75*$I75/12*0,IF($J75=2,-$E75*$I75/12*1,IF($J75=3,-$E75*$I75/12*2,IF($J75&gt;=4,-$E75*$I75/12*3,0))))))</f>
        <v>0</v>
      </c>
      <c r="DN75" s="1807">
        <f>IF($H75&lt;&gt;DQ$5,0,IF(DQ75&lt;0,IF(OR($J75=1,$J75=2,$J75=3,$J75=4),-$E75*$I75/12*3,IF($J75=5,-$E75*$I75/12*2,IF($J75=6,-$E75*$I75/12*1,0)))))+IF(DL$5&lt;&gt;$H75,0,IF(DL75&lt;0,IF($J75=4,-$E75*$I75/12*0,IF($J75=5,-$E75*$I75/12*1,IF($J75=6,-$E75*$I75/12*2,IF($J75&gt;=7,-$E75*$I75/12*3,0))))))</f>
        <v>0</v>
      </c>
      <c r="DO75" s="1807">
        <f>IF($H75&lt;&gt;DQ$5,0,IF(DQ75&lt;0,IF(OR($J75=1,$J75=2,$J75=3,$J75=4,$J75=5,$J75=6,$J75=7),-$E75*$I75/12*3,IF($J75=8,-$E75*$I75/12*2,IF($J75=9,-$E75*$I75/12*1,0)))))+IF(DL$5&lt;&gt;$H75,0,IF(DL75&lt;0,IF($J75=7,-$E75*$I75/12*0,IF($J75=8,-$E75*$I75/12*1,IF($J75=9,-$E75*$I75/12*2,IF($J75&gt;=10,-$E75*$I75/12*3,0))))))</f>
        <v>0</v>
      </c>
      <c r="DP75" s="1806">
        <f>IF($H75&lt;&gt;DQ$5,0,IF(DQ75&lt;0,IF(OR($J75=1,$J75=2,$J75=3,$J75=4,$J75=5,$J75=6,$J75=7,$J75=8,$J75=9,$J75=10),-$E75*$I75/12*3,IF($J75=11,-$E75*$I75/12*2,IF($J75=12,-$E75*$I75/12*1,0)))))+IF(DL$5&lt;&gt;$H75,0,IF(DL75&lt;0,IF($J75=10,-$E75*$I75/12*0,IF($J75=11,-$E75*$I75/12*1,IF($J75=12,-$E75*$I75/12*2,0)))))</f>
        <v>0</v>
      </c>
      <c r="DQ75" s="1791">
        <f>IF(AND(DL75&lt;&gt;0,DL$5=$H75),-$I75*$E75-DL75,IF(DQ$5=$H75,-$I75*$E75*(12-$J75+1)/12,0))</f>
        <v>0</v>
      </c>
      <c r="DR75" s="1808">
        <f>IF($H75&lt;&gt;DV$5,0,IF(DV75&lt;0,IF($J75=1,-$E75*$I75/12*3,IF($J75=2,-$E75*$I75/12*2,IF($J75=3,-$E75*$I75/12*1,0)))))+IF(DQ$5&lt;&gt;$H75,0,IF(DQ75&lt;0,IF($J75=1,-$E75*$I75/12*0,IF($J75=2,-$E75*$I75/12*1,IF($J75=3,-$E75*$I75/12*2,IF($J75&gt;=4,-$E75*$I75/12*3,0))))))</f>
        <v>0</v>
      </c>
      <c r="DS75" s="1807">
        <f>IF($H75&lt;&gt;DV$5,0,IF(DV75&lt;0,IF(OR($J75=1,$J75=2,$J75=3,$J75=4),-$E75*$I75/12*3,IF($J75=5,-$E75*$I75/12*2,IF($J75=6,-$E75*$I75/12*1,0)))))+IF(DQ$5&lt;&gt;$H75,0,IF(DQ75&lt;0,IF($J75=4,-$E75*$I75/12*0,IF($J75=5,-$E75*$I75/12*1,IF($J75=6,-$E75*$I75/12*2,IF($J75&gt;=7,-$E75*$I75/12*3,0))))))</f>
        <v>0</v>
      </c>
      <c r="DT75" s="1807">
        <f>IF($H75&lt;&gt;DV$5,0,IF(DV75&lt;0,IF(OR($J75=1,$J75=2,$J75=3,$J75=4,$J75=5,$J75=6,$J75=7),-$E75*$I75/12*3,IF($J75=8,-$E75*$I75/12*2,IF($J75=9,-$E75*$I75/12*1,0)))))+IF(DQ$5&lt;&gt;$H75,0,IF(DQ75&lt;0,IF($J75=7,-$E75*$I75/12*0,IF($J75=8,-$E75*$I75/12*1,IF($J75=9,-$E75*$I75/12*2,IF($J75&gt;=10,-$E75*$I75/12*3,0))))))</f>
        <v>0</v>
      </c>
      <c r="DU75" s="1806">
        <f>IF($H75&lt;&gt;DV$5,0,IF(DV75&lt;0,IF(OR($J75=1,$J75=2,$J75=3,$J75=4,$J75=5,$J75=6,$J75=7,$J75=8,$J75=9,$J75=10),-$E75*$I75/12*3,IF($J75=11,-$E75*$I75/12*2,IF($J75=12,-$E75*$I75/12*1,0)))))+IF(DQ$5&lt;&gt;$H75,0,IF(DQ75&lt;0,IF($J75=10,-$E75*$I75/12*0,IF($J75=11,-$E75*$I75/12*1,IF($J75=12,-$E75*$I75/12*2,0)))))</f>
        <v>0</v>
      </c>
      <c r="DV75" s="1791">
        <f>IF(AND(DQ75&lt;&gt;0,DQ$5=$H75),-$I75*$E75-DQ75,IF(DV$5=$H75,-$I75*$E75*(12-$J75+1)/12,0))</f>
        <v>0</v>
      </c>
    </row>
    <row r="76" spans="1:126">
      <c r="A76" s="455"/>
      <c r="B76" s="455"/>
      <c r="C76" s="1363" t="s">
        <v>313</v>
      </c>
      <c r="D76" s="94"/>
      <c r="E76" s="1817">
        <f>IF(F76=0,G76,F76)</f>
        <v>3.6040000000000001</v>
      </c>
      <c r="F76" s="1435">
        <v>3.6040000000000001</v>
      </c>
      <c r="G76" s="1435">
        <v>3.6040000000000001</v>
      </c>
      <c r="H76" s="1601">
        <v>2039</v>
      </c>
      <c r="I76" s="1602">
        <v>0.05</v>
      </c>
      <c r="J76" s="1600">
        <v>6</v>
      </c>
      <c r="K76" s="1792"/>
      <c r="L76" s="1810">
        <f>IF(L$5=$H76,-$E76,0)</f>
        <v>0</v>
      </c>
      <c r="M76" s="1791">
        <f>IF(M$5=$H76,-$E76,0)</f>
        <v>0</v>
      </c>
      <c r="N76" s="1808">
        <f>IF(R76=0,0,IF(R76&lt;0,IF($J76=3,R76,IF($J76=2,R76,IF($J76=1,R76,0)))))</f>
        <v>0</v>
      </c>
      <c r="O76" s="1807">
        <f>IF(R76=0,0,IF(R76&lt;0,IF($J76=6,R76,IF($J76=5,R76,IF($J76=4,R76,0)))))</f>
        <v>0</v>
      </c>
      <c r="P76" s="1807">
        <f>IF(R76=0,0,IF(R76&lt;0,IF($J76=9,R76,IF($J76=8,R76,IF($J76=7,R76,0)))))</f>
        <v>0</v>
      </c>
      <c r="Q76" s="1806">
        <f>IF(R76=0,0,IF(R76&lt;0,IF($J76=12,R76,IF($J76=11,R76,IF($J76=10,R76,0)))))</f>
        <v>0</v>
      </c>
      <c r="R76" s="1791">
        <f>IF(R$5=$H76,-$E76,0)</f>
        <v>0</v>
      </c>
      <c r="S76" s="1808">
        <f>IF(W76=0,0,IF(W76&lt;0,IF($J76=3,W76,IF($J76=2,W76,IF($J76=1,W76,0)))))</f>
        <v>0</v>
      </c>
      <c r="T76" s="1807">
        <f>IF(W76=0,0,IF(W76&lt;0,IF($J76=6,W76,IF($J76=5,W76,IF($J76=4,W76,0)))))</f>
        <v>0</v>
      </c>
      <c r="U76" s="1807">
        <f>IF(W76=0,0,IF(W76&lt;0,IF($J76=9,W76,IF($J76=8,W76,IF($J76=7,W76,0)))))</f>
        <v>0</v>
      </c>
      <c r="V76" s="1806">
        <f>IF(W76=0,0,IF(W76&lt;0,IF($J76=12,W76,IF($J76=11,W76,IF($J76=10,W76,0)))))</f>
        <v>0</v>
      </c>
      <c r="W76" s="1791">
        <f>IF(W$5=$H76,-$E76,0)</f>
        <v>0</v>
      </c>
      <c r="X76" s="1808">
        <f>IF(AB76=0,0,IF(AB76&lt;0,IF($J76=3,AB76,IF($J76=2,AB76,IF($J76=1,AB76,0)))))</f>
        <v>0</v>
      </c>
      <c r="Y76" s="1807">
        <f>IF(AB76=0,0,IF(AB76&lt;0,IF($J76=6,AB76,IF($J76=5,AB76,IF($J76=4,AB76,0)))))</f>
        <v>0</v>
      </c>
      <c r="Z76" s="1807">
        <f>IF(AB76=0,0,IF(AB76&lt;0,IF($J76=9,AB76,IF($J76=8,AB76,IF($J76=7,AB76,0)))))</f>
        <v>0</v>
      </c>
      <c r="AA76" s="1806">
        <f>IF(AB76=0,0,IF(AB76&lt;0,IF($J76=12,AB76,IF($J76=11,AB76,IF($J76=10,AB76,0)))))</f>
        <v>0</v>
      </c>
      <c r="AB76" s="1791">
        <f>IF(AB$5=$H76,-$E76,0)</f>
        <v>0</v>
      </c>
      <c r="AC76" s="1808">
        <f>IF(AG76=0,0,IF(AG76&lt;0,IF($J76=3,AG76,IF($J76=2,AG76,IF($J76=1,AG76,0)))))</f>
        <v>0</v>
      </c>
      <c r="AD76" s="1807">
        <f>IF(AG76=0,0,IF(AG76&lt;0,IF($J76=6,AG76,IF($J76=5,AG76,IF($J76=4,AG76,0)))))</f>
        <v>0</v>
      </c>
      <c r="AE76" s="1807">
        <f>IF(AG76=0,0,IF(AG76&lt;0,IF($J76=9,AG76,IF($J76=8,AG76,IF($J76=7,AG76,0)))))</f>
        <v>0</v>
      </c>
      <c r="AF76" s="1806">
        <f>IF(AG76=0,0,IF(AG76&lt;0,IF($J76=12,AG76,IF($J76=11,AG76,IF($J76=10,AG76,0)))))</f>
        <v>0</v>
      </c>
      <c r="AG76" s="1791">
        <f>IF(AG$5=$H76,-$E76,0)</f>
        <v>0</v>
      </c>
      <c r="AH76" s="1808">
        <f>IF(AL76=0,0,IF(AL76&lt;0,IF($J76=3,AL76,IF($J76=2,AL76,IF($J76=1,AL76,0)))))</f>
        <v>0</v>
      </c>
      <c r="AI76" s="1807">
        <f>IF(AL76=0,0,IF(AL76&lt;0,IF($J76=6,AL76,IF($J76=5,AL76,IF($J76=4,AL76,0)))))</f>
        <v>0</v>
      </c>
      <c r="AJ76" s="1807">
        <f>IF(AL76=0,0,IF(AL76&lt;0,IF($J76=9,AL76,IF($J76=8,AL76,IF($J76=7,AL76,0)))))</f>
        <v>0</v>
      </c>
      <c r="AK76" s="1806">
        <f>IF(AL76=0,0,IF(AL76&lt;0,IF($J76=12,AL76,IF($J76=11,AL76,IF($J76=10,AL76,0)))))</f>
        <v>0</v>
      </c>
      <c r="AL76" s="1791">
        <f>IF(AL$5=$H76,-$E76,0)</f>
        <v>0</v>
      </c>
      <c r="AM76" s="1808">
        <f>IF(AQ76=0,0,IF(AQ76&lt;0,IF($J76=3,AQ76,IF($J76=2,AQ76,IF($J76=1,AQ76,0)))))</f>
        <v>0</v>
      </c>
      <c r="AN76" s="1807">
        <f>IF(AQ76=0,0,IF(AQ76&lt;0,IF($J76=6,AQ76,IF($J76=5,AQ76,IF($J76=4,AQ76,0)))))</f>
        <v>0</v>
      </c>
      <c r="AO76" s="1807">
        <f>IF(AQ76=0,0,IF(AQ76&lt;0,IF($J76=9,AQ76,IF($J76=8,AQ76,IF($J76=7,AQ76,0)))))</f>
        <v>0</v>
      </c>
      <c r="AP76" s="1806">
        <f>IF(AQ76=0,0,IF(AQ76&lt;0,IF($J76=12,AQ76,IF($J76=11,AQ76,IF($J76=10,AQ76,0)))))</f>
        <v>0</v>
      </c>
      <c r="AQ76" s="1791">
        <f>IF(AQ$5=$H76,-$E76,0)</f>
        <v>0</v>
      </c>
      <c r="AR76" s="1808">
        <f>IF(AV76=0,0,IF(AV76&lt;0,IF($J76=3,AV76,IF($J76=2,AV76,IF($J76=1,AV76,0)))))</f>
        <v>0</v>
      </c>
      <c r="AS76" s="1807">
        <f>IF(AV76=0,0,IF(AV76&lt;0,IF($J76=6,AV76,IF($J76=5,AV76,IF($J76=4,AV76,0)))))</f>
        <v>0</v>
      </c>
      <c r="AT76" s="1807">
        <f>IF(AV76=0,0,IF(AV76&lt;0,IF($J76=9,AV76,IF($J76=8,AV76,IF($J76=7,AV76,0)))))</f>
        <v>0</v>
      </c>
      <c r="AU76" s="1806">
        <f>IF(AV76=0,0,IF(AV76&lt;0,IF($J76=12,AV76,IF($J76=11,AV76,IF($J76=10,AV76,0)))))</f>
        <v>0</v>
      </c>
      <c r="AV76" s="1791">
        <f>IF(AV$5=$H76,-$E76,0)</f>
        <v>0</v>
      </c>
      <c r="AW76" s="1808">
        <f>IF(BA76=0,0,IF(BA76&lt;0,IF($J76=3,BA76,IF($J76=2,BA76,IF($J76=1,BA76,0)))))</f>
        <v>0</v>
      </c>
      <c r="AX76" s="1807">
        <f>IF(BA76=0,0,IF(BA76&lt;0,IF($J76=6,BA76,IF($J76=5,BA76,IF($J76=4,BA76,0)))))</f>
        <v>0</v>
      </c>
      <c r="AY76" s="1807">
        <f>IF(BA76=0,0,IF(BA76&lt;0,IF($J76=9,BA76,IF($J76=8,BA76,IF($J76=7,BA76,0)))))</f>
        <v>0</v>
      </c>
      <c r="AZ76" s="1806">
        <f>IF(BA76=0,0,IF(BA76&lt;0,IF($J76=12,BA76,IF($J76=11,BA76,IF($J76=10,BA76,0)))))</f>
        <v>0</v>
      </c>
      <c r="BA76" s="1791">
        <f>IF(BA$5=$H76,-$E76,0)</f>
        <v>0</v>
      </c>
      <c r="BB76" s="1808">
        <f>IF(BF76=0,0,IF(BF76&lt;0,IF($J76=3,BF76,IF($J76=2,BF76,IF($J76=1,BF76,0)))))</f>
        <v>0</v>
      </c>
      <c r="BC76" s="1807">
        <f>IF(BF76=0,0,IF(BF76&lt;0,IF($J76=6,BF76,IF($J76=5,BF76,IF($J76=4,BF76,0)))))</f>
        <v>0</v>
      </c>
      <c r="BD76" s="1807">
        <f>IF(BF76=0,0,IF(BF76&lt;0,IF($J76=9,BF76,IF($J76=8,BF76,IF($J76=7,BF76,0)))))</f>
        <v>0</v>
      </c>
      <c r="BE76" s="1806">
        <f>IF(BF76=0,0,IF(BF76&lt;0,IF($J76=12,BF76,IF($J76=11,BF76,IF($J76=10,BF76,0)))))</f>
        <v>0</v>
      </c>
      <c r="BF76" s="1791">
        <f>IF(BF$5=$H76,-$E76,0)</f>
        <v>0</v>
      </c>
      <c r="BG76" s="1808">
        <f>IF(BK76=0,0,IF(BK76&lt;0,IF($J76=3,BK76,IF($J76=2,BK76,IF($J76=1,BK76,0)))))</f>
        <v>0</v>
      </c>
      <c r="BH76" s="1807">
        <f>IF(BK76=0,0,IF(BK76&lt;0,IF($J76=6,BK76,IF($J76=5,BK76,IF($J76=4,BK76,0)))))</f>
        <v>0</v>
      </c>
      <c r="BI76" s="1807">
        <f>IF(BK76=0,0,IF(BK76&lt;0,IF($J76=9,BK76,IF($J76=8,BK76,IF($J76=7,BK76,0)))))</f>
        <v>0</v>
      </c>
      <c r="BJ76" s="1806">
        <f>IF(BK76=0,0,IF(BK76&lt;0,IF($J76=12,BK76,IF($J76=11,BK76,IF($J76=10,BK76,0)))))</f>
        <v>0</v>
      </c>
      <c r="BK76" s="1791">
        <f>IF(BK$5=$H76,-$E76,0)</f>
        <v>0</v>
      </c>
      <c r="BL76" s="1808">
        <f>IF(BP76=0,0,IF(BP76&lt;0,IF($J76=3,BP76,IF($J76=2,BP76,IF($J76=1,BP76,0)))))</f>
        <v>0</v>
      </c>
      <c r="BM76" s="1807">
        <f>IF(BP76=0,0,IF(BP76&lt;0,IF($J76=6,BP76,IF($J76=5,BP76,IF($J76=4,BP76,0)))))</f>
        <v>0</v>
      </c>
      <c r="BN76" s="1807">
        <f>IF(BP76=0,0,IF(BP76&lt;0,IF($J76=9,BP76,IF($J76=8,BP76,IF($J76=7,BP76,0)))))</f>
        <v>0</v>
      </c>
      <c r="BO76" s="1806">
        <f>IF(BP76=0,0,IF(BP76&lt;0,IF($J76=12,BP76,IF($J76=11,BP76,IF($J76=10,BP76,0)))))</f>
        <v>0</v>
      </c>
      <c r="BP76" s="1791">
        <f>IF(BP$5=$H76,-$E76,0)</f>
        <v>0</v>
      </c>
      <c r="BQ76" s="1827"/>
      <c r="BR76" s="1991">
        <f>IF(AND(BQ76&lt;&gt;0,BQ$5=$H76),-$I76*$E76-BQ76,IF(BR$5=$H76,-$I76*$E76*(12-$J76+1)/12,0))</f>
        <v>0</v>
      </c>
      <c r="BS76" s="1991">
        <f>IF(AND(BR76&lt;&gt;0,BR$5=$H76),-$I76*$E76-BR76,IF(BS$5=$H76,-$I76*$E76*(12-$J76+1)/12,0))</f>
        <v>0</v>
      </c>
      <c r="BT76" s="1992">
        <f>IF($H76&lt;&gt;BX$5,0,IF(BX76&lt;0,IF($J76=1,-$E76*$I76/12*3,IF($J76=2,-$E76*$I76/12*2,IF($J76=3,-$E76*$I76/12*1,0)))))+IF(BS$5&lt;&gt;$H76,0,IF(BS76&lt;0,IF($J76=1,-$E76*$I76/12*0,IF($J76=2,-$E76*$I76/12*1,IF($J76=3,-$E76*$I76/12*2,IF($J76&gt;=4,-$E76*$I76/12*3,0))))))</f>
        <v>0</v>
      </c>
      <c r="BU76" s="1992">
        <f>IF($H76&lt;&gt;BX$5,0,IF(BX76&lt;0,IF(OR($J76=1,$J76=2,$J76=3,$J76=4),-$E76*$I76/12*3,IF($J76=5,-$E76*$I76/12*2,IF($J76=6,-$E76*$I76/12*1,0)))))+IF(BS$5&lt;&gt;$H76,0,IF(BS76&lt;0,IF($J76=4,-$E76*$I76/12*0,IF($J76=5,-$E76*$I76/12*1,IF($J76=6,-$E76*$I76/12*2,IF($J76&gt;=7,-$E76*$I76/12*3,0))))))</f>
        <v>0</v>
      </c>
      <c r="BV76" s="1992">
        <f>IF($H76&lt;&gt;BX$5,0,IF(BX76&lt;0,IF(OR($J76=1,$J76=2,$J76=3,$J76=4,$J76=5,$J76=6,$J76=7),-$E76*$I76/12*3,IF($J76=8,-$E76*$I76/12*2,IF($J76=9,-$E76*$I76/12*1,0)))))+IF(BS$5&lt;&gt;$H76,0,IF(BS76&lt;0,IF($J76=7,-$E76*$I76/12*0,IF($J76=8,-$E76*$I76/12*1,IF($J76=9,-$E76*$I76/12*2,IF($J76&gt;=10,-$E76*$I76/12*3,0))))))</f>
        <v>0</v>
      </c>
      <c r="BW76" s="1992">
        <f>IF($H76&lt;&gt;BX$5,0,IF(BX76&lt;0,IF(OR($J76=1,$J76=2,$J76=3,$J76=4,$J76=5,$J76=6,$J76=7,$J76=8,$J76=9,$J76=10),-$E76*$I76/12*3,IF($J76=11,-$E76*$I76/12*2,IF($J76=12,-$E76*$I76/12*1,0)))))+IF(BS$5&lt;&gt;$H76,0,IF(BS76&lt;0,IF($J76=10,-$E76*$I76/12*0,IF($J76=11,-$E76*$I76/12*1,IF($J76=12,-$E76*$I76/12*2,0)))))</f>
        <v>0</v>
      </c>
      <c r="BX76" s="1810">
        <f>IF(AND(BS76&lt;&gt;0,BS$5=$H76),-$I76*$E76-BS76,IF(BX$5=$H76,-$I76*$E76*(12-$J76+1)/12,0))</f>
        <v>0</v>
      </c>
      <c r="BY76" s="1807">
        <f>IF($H76&lt;&gt;CC$5,0,IF(CC76&lt;0,IF($J76=1,-$E76*$I76/12*3,IF($J76=2,-$E76*$I76/12*2,IF($J76=3,-$E76*$I76/12*1,0)))))+IF(BX$5&lt;&gt;$H76,0,IF(BX76&lt;0,IF($J76=1,-$E76*$I76/12*0,IF($J76=2,-$E76*$I76/12*1,IF($J76=3,-$E76*$I76/12*2,IF($J76&gt;=4,-$E76*$I76/12*3,0))))))</f>
        <v>0</v>
      </c>
      <c r="BZ76" s="1807">
        <f>IF($H76&lt;&gt;CC$5,0,IF(CC76&lt;0,IF(OR($J76=1,$J76=2,$J76=3,$J76=4),-$E76*$I76/12*3,IF($J76=5,-$E76*$I76/12*2,IF($J76=6,-$E76*$I76/12*1,0)))))+IF(BX$5&lt;&gt;$H76,0,IF(BX76&lt;0,IF($J76=4,-$E76*$I76/12*0,IF($J76=5,-$E76*$I76/12*1,IF($J76=6,-$E76*$I76/12*2,IF($J76&gt;=7,-$E76*$I76/12*3,0))))))</f>
        <v>0</v>
      </c>
      <c r="CA76" s="1807">
        <f>IF($H76&lt;&gt;CC$5,0,IF(CC76&lt;0,IF(OR($J76=1,$J76=2,$J76=3,$J76=4,$J76=5,$J76=6,$J76=7),-$E76*$I76/12*3,IF($J76=8,-$E76*$I76/12*2,IF($J76=9,-$E76*$I76/12*1,0)))))+IF(BX$5&lt;&gt;$H76,0,IF(BX76&lt;0,IF($J76=7,-$E76*$I76/12*0,IF($J76=8,-$E76*$I76/12*1,IF($J76=9,-$E76*$I76/12*2,IF($J76&gt;=10,-$E76*$I76/12*3,0))))))</f>
        <v>0</v>
      </c>
      <c r="CB76" s="1806">
        <f>IF($H76&lt;&gt;CC$5,0,IF(CC76&lt;0,IF(OR($J76=1,$J76=2,$J76=3,$J76=4,$J76=5,$J76=6,$J76=7,$J76=8,$J76=9,$J76=10),-$E76*$I76/12*3,IF($J76=11,-$E76*$I76/12*2,IF($J76=12,-$E76*$I76/12*1,0)))))+IF(BX$5&lt;&gt;$H76,0,IF(BX76&lt;0,IF($J76=10,-$E76*$I76/12*0,IF($J76=11,-$E76*$I76/12*1,IF($J76=12,-$E76*$I76/12*2,0)))))</f>
        <v>0</v>
      </c>
      <c r="CC76" s="1791">
        <f>IF(AND(BX76&lt;&gt;0,BX$5=$H76),-$I76*$E76-BX76,IF(CC$5=$H76,-$I76*$E76*(12-$J76+1)/12,0))</f>
        <v>0</v>
      </c>
      <c r="CD76" s="1808">
        <f>IF($H76&lt;&gt;CH$5,0,IF(CH76&lt;0,IF($J76=1,-$E76*$I76/12*3,IF($J76=2,-$E76*$I76/12*2,IF($J76=3,-$E76*$I76/12*1,0)))))+IF(CC$5&lt;&gt;$H76,0,IF(CC76&lt;0,IF($J76=1,-$E76*$I76/12*0,IF($J76=2,-$E76*$I76/12*1,IF($J76=3,-$E76*$I76/12*2,IF($J76&gt;=4,-$E76*$I76/12*3,0))))))</f>
        <v>0</v>
      </c>
      <c r="CE76" s="1807">
        <f>IF($H76&lt;&gt;CH$5,0,IF(CH76&lt;0,IF(OR($J76=1,$J76=2,$J76=3,$J76=4),-$E76*$I76/12*3,IF($J76=5,-$E76*$I76/12*2,IF($J76=6,-$E76*$I76/12*1,0)))))+IF(CC$5&lt;&gt;$H76,0,IF(CC76&lt;0,IF($J76=4,-$E76*$I76/12*0,IF($J76=5,-$E76*$I76/12*1,IF($J76=6,-$E76*$I76/12*2,IF($J76&gt;=7,-$E76*$I76/12*3,0))))))</f>
        <v>0</v>
      </c>
      <c r="CF76" s="1807">
        <f>IF($H76&lt;&gt;CH$5,0,IF(CH76&lt;0,IF(OR($J76=1,$J76=2,$J76=3,$J76=4,$J76=5,$J76=6,$J76=7),-$E76*$I76/12*3,IF($J76=8,-$E76*$I76/12*2,IF($J76=9,-$E76*$I76/12*1,0)))))+IF(CC$5&lt;&gt;$H76,0,IF(CC76&lt;0,IF($J76=7,-$E76*$I76/12*0,IF($J76=8,-$E76*$I76/12*1,IF($J76=9,-$E76*$I76/12*2,IF($J76&gt;=10,-$E76*$I76/12*3,0))))))</f>
        <v>0</v>
      </c>
      <c r="CG76" s="1806">
        <f>IF($H76&lt;&gt;CH$5,0,IF(CH76&lt;0,IF(OR($J76=1,$J76=2,$J76=3,$J76=4,$J76=5,$J76=6,$J76=7,$J76=8,$J76=9,$J76=10),-$E76*$I76/12*3,IF($J76=11,-$E76*$I76/12*2,IF($J76=12,-$E76*$I76/12*1,0)))))+IF(CC$5&lt;&gt;$H76,0,IF(CC76&lt;0,IF($J76=10,-$E76*$I76/12*0,IF($J76=11,-$E76*$I76/12*1,IF($J76=12,-$E76*$I76/12*2,0)))))</f>
        <v>0</v>
      </c>
      <c r="CH76" s="1791">
        <f>IF(AND(CC76&lt;&gt;0,CC$5=$H76),-$I76*$E76-CC76,IF(CH$5=$H76,-$I76*$E76*(12-$J76+1)/12,0))</f>
        <v>0</v>
      </c>
      <c r="CI76" s="1808">
        <f>IF($H76&lt;&gt;CM$5,0,IF(CM76&lt;0,IF($J76=1,-$E76*$I76/12*3,IF($J76=2,-$E76*$I76/12*2,IF($J76=3,-$E76*$I76/12*1,0)))))+IF(CH$5&lt;&gt;$H76,0,IF(CH76&lt;0,IF($J76=1,-$E76*$I76/12*0,IF($J76=2,-$E76*$I76/12*1,IF($J76=3,-$E76*$I76/12*2,IF($J76&gt;=4,-$E76*$I76/12*3,0))))))</f>
        <v>0</v>
      </c>
      <c r="CJ76" s="1807">
        <f>IF($H76&lt;&gt;CM$5,0,IF(CM76&lt;0,IF(OR($J76=1,$J76=2,$J76=3,$J76=4),-$E76*$I76/12*3,IF($J76=5,-$E76*$I76/12*2,IF($J76=6,-$E76*$I76/12*1,0)))))+IF(CH$5&lt;&gt;$H76,0,IF(CH76&lt;0,IF($J76=4,-$E76*$I76/12*0,IF($J76=5,-$E76*$I76/12*1,IF($J76=6,-$E76*$I76/12*2,IF($J76&gt;=7,-$E76*$I76/12*3,0))))))</f>
        <v>0</v>
      </c>
      <c r="CK76" s="1807">
        <f>IF($H76&lt;&gt;CM$5,0,IF(CM76&lt;0,IF(OR($J76=1,$J76=2,$J76=3,$J76=4,$J76=5,$J76=6,$J76=7),-$E76*$I76/12*3,IF($J76=8,-$E76*$I76/12*2,IF($J76=9,-$E76*$I76/12*1,0)))))+IF(CH$5&lt;&gt;$H76,0,IF(CH76&lt;0,IF($J76=7,-$E76*$I76/12*0,IF($J76=8,-$E76*$I76/12*1,IF($J76=9,-$E76*$I76/12*2,IF($J76&gt;=10,-$E76*$I76/12*3,0))))))</f>
        <v>0</v>
      </c>
      <c r="CL76" s="1806">
        <f>IF($H76&lt;&gt;CM$5,0,IF(CM76&lt;0,IF(OR($J76=1,$J76=2,$J76=3,$J76=4,$J76=5,$J76=6,$J76=7,$J76=8,$J76=9,$J76=10),-$E76*$I76/12*3,IF($J76=11,-$E76*$I76/12*2,IF($J76=12,-$E76*$I76/12*1,0)))))+IF(CH$5&lt;&gt;$H76,0,IF(CH76&lt;0,IF($J76=10,-$E76*$I76/12*0,IF($J76=11,-$E76*$I76/12*1,IF($J76=12,-$E76*$I76/12*2,0)))))</f>
        <v>0</v>
      </c>
      <c r="CM76" s="1791">
        <f>IF(AND(CH76&lt;&gt;0,CH$5=$H76),-$I76*$E76-CH76,IF(CM$5=$H76,-$I76*$E76*(12-$J76+1)/12,0))</f>
        <v>0</v>
      </c>
      <c r="CN76" s="1808">
        <f>IF($H76&lt;&gt;CR$5,0,IF(CR76&lt;0,IF($J76=1,-$E76*$I76/12*3,IF($J76=2,-$E76*$I76/12*2,IF($J76=3,-$E76*$I76/12*1,0)))))+IF(CM$5&lt;&gt;$H76,0,IF(CM76&lt;0,IF($J76=1,-$E76*$I76/12*0,IF($J76=2,-$E76*$I76/12*1,IF($J76=3,-$E76*$I76/12*2,IF($J76&gt;=4,-$E76*$I76/12*3,0))))))</f>
        <v>0</v>
      </c>
      <c r="CO76" s="1807">
        <f>IF($H76&lt;&gt;CR$5,0,IF(CR76&lt;0,IF(OR($J76=1,$J76=2,$J76=3,$J76=4),-$E76*$I76/12*3,IF($J76=5,-$E76*$I76/12*2,IF($J76=6,-$E76*$I76/12*1,0)))))+IF(CM$5&lt;&gt;$H76,0,IF(CM76&lt;0,IF($J76=4,-$E76*$I76/12*0,IF($J76=5,-$E76*$I76/12*1,IF($J76=6,-$E76*$I76/12*2,IF($J76&gt;=7,-$E76*$I76/12*3,0))))))</f>
        <v>0</v>
      </c>
      <c r="CP76" s="1807">
        <f>IF($H76&lt;&gt;CR$5,0,IF(CR76&lt;0,IF(OR($J76=1,$J76=2,$J76=3,$J76=4,$J76=5,$J76=6,$J76=7),-$E76*$I76/12*3,IF($J76=8,-$E76*$I76/12*2,IF($J76=9,-$E76*$I76/12*1,0)))))+IF(CM$5&lt;&gt;$H76,0,IF(CM76&lt;0,IF($J76=7,-$E76*$I76/12*0,IF($J76=8,-$E76*$I76/12*1,IF($J76=9,-$E76*$I76/12*2,IF($J76&gt;=10,-$E76*$I76/12*3,0))))))</f>
        <v>0</v>
      </c>
      <c r="CQ76" s="1806">
        <f>IF($H76&lt;&gt;CR$5,0,IF(CR76&lt;0,IF(OR($J76=1,$J76=2,$J76=3,$J76=4,$J76=5,$J76=6,$J76=7,$J76=8,$J76=9,$J76=10),-$E76*$I76/12*3,IF($J76=11,-$E76*$I76/12*2,IF($J76=12,-$E76*$I76/12*1,0)))))+IF(CM$5&lt;&gt;$H76,0,IF(CM76&lt;0,IF($J76=10,-$E76*$I76/12*0,IF($J76=11,-$E76*$I76/12*1,IF($J76=12,-$E76*$I76/12*2,0)))))</f>
        <v>0</v>
      </c>
      <c r="CR76" s="1791">
        <f>IF(AND(CM76&lt;&gt;0,CM$5=$H76),-$I76*$E76-CM76,IF(CR$5=$H76,-$I76*$E76*(12-$J76+1)/12,0))</f>
        <v>0</v>
      </c>
      <c r="CS76" s="1808">
        <f>IF($H76&lt;&gt;CW$5,0,IF(CW76&lt;0,IF($J76=1,-$E76*$I76/12*3,IF($J76=2,-$E76*$I76/12*2,IF($J76=3,-$E76*$I76/12*1,0)))))+IF(CR$5&lt;&gt;$H76,0,IF(CR76&lt;0,IF($J76=1,-$E76*$I76/12*0,IF($J76=2,-$E76*$I76/12*1,IF($J76=3,-$E76*$I76/12*2,IF($J76&gt;=4,-$E76*$I76/12*3,0))))))</f>
        <v>0</v>
      </c>
      <c r="CT76" s="1807">
        <f>IF($H76&lt;&gt;CW$5,0,IF(CW76&lt;0,IF(OR($J76=1,$J76=2,$J76=3,$J76=4),-$E76*$I76/12*3,IF($J76=5,-$E76*$I76/12*2,IF($J76=6,-$E76*$I76/12*1,0)))))+IF(CR$5&lt;&gt;$H76,0,IF(CR76&lt;0,IF($J76=4,-$E76*$I76/12*0,IF($J76=5,-$E76*$I76/12*1,IF($J76=6,-$E76*$I76/12*2,IF($J76&gt;=7,-$E76*$I76/12*3,0))))))</f>
        <v>0</v>
      </c>
      <c r="CU76" s="1807">
        <f>IF($H76&lt;&gt;CW$5,0,IF(CW76&lt;0,IF(OR($J76=1,$J76=2,$J76=3,$J76=4,$J76=5,$J76=6,$J76=7),-$E76*$I76/12*3,IF($J76=8,-$E76*$I76/12*2,IF($J76=9,-$E76*$I76/12*1,0)))))+IF(CR$5&lt;&gt;$H76,0,IF(CR76&lt;0,IF($J76=7,-$E76*$I76/12*0,IF($J76=8,-$E76*$I76/12*1,IF($J76=9,-$E76*$I76/12*2,IF($J76&gt;=10,-$E76*$I76/12*3,0))))))</f>
        <v>0</v>
      </c>
      <c r="CV76" s="1806">
        <f>IF($H76&lt;&gt;CW$5,0,IF(CW76&lt;0,IF(OR($J76=1,$J76=2,$J76=3,$J76=4,$J76=5,$J76=6,$J76=7,$J76=8,$J76=9,$J76=10),-$E76*$I76/12*3,IF($J76=11,-$E76*$I76/12*2,IF($J76=12,-$E76*$I76/12*1,0)))))+IF(CR$5&lt;&gt;$H76,0,IF(CR76&lt;0,IF($J76=10,-$E76*$I76/12*0,IF($J76=11,-$E76*$I76/12*1,IF($J76=12,-$E76*$I76/12*2,0)))))</f>
        <v>0</v>
      </c>
      <c r="CW76" s="1791">
        <f>IF(AND(CR76&lt;&gt;0,CR$5=$H76),-$I76*$E76-CR76,IF(CW$5=$H76,-$I76*$E76*(12-$J76+1)/12,0))</f>
        <v>0</v>
      </c>
      <c r="CX76" s="1808">
        <f>IF($H76&lt;&gt;DB$5,0,IF(DB76&lt;0,IF($J76=1,-$E76*$I76/12*3,IF($J76=2,-$E76*$I76/12*2,IF($J76=3,-$E76*$I76/12*1,0)))))+IF(CW$5&lt;&gt;$H76,0,IF(CW76&lt;0,IF($J76=1,-$E76*$I76/12*0,IF($J76=2,-$E76*$I76/12*1,IF($J76=3,-$E76*$I76/12*2,IF($J76&gt;=4,-$E76*$I76/12*3,0))))))</f>
        <v>0</v>
      </c>
      <c r="CY76" s="1807">
        <f>IF($H76&lt;&gt;DB$5,0,IF(DB76&lt;0,IF(OR($J76=1,$J76=2,$J76=3,$J76=4),-$E76*$I76/12*3,IF($J76=5,-$E76*$I76/12*2,IF($J76=6,-$E76*$I76/12*1,0)))))+IF(CW$5&lt;&gt;$H76,0,IF(CW76&lt;0,IF($J76=4,-$E76*$I76/12*0,IF($J76=5,-$E76*$I76/12*1,IF($J76=6,-$E76*$I76/12*2,IF($J76&gt;=7,-$E76*$I76/12*3,0))))))</f>
        <v>0</v>
      </c>
      <c r="CZ76" s="1807">
        <f>IF($H76&lt;&gt;DB$5,0,IF(DB76&lt;0,IF(OR($J76=1,$J76=2,$J76=3,$J76=4,$J76=5,$J76=6,$J76=7),-$E76*$I76/12*3,IF($J76=8,-$E76*$I76/12*2,IF($J76=9,-$E76*$I76/12*1,0)))))+IF(CW$5&lt;&gt;$H76,0,IF(CW76&lt;0,IF($J76=7,-$E76*$I76/12*0,IF($J76=8,-$E76*$I76/12*1,IF($J76=9,-$E76*$I76/12*2,IF($J76&gt;=10,-$E76*$I76/12*3,0))))))</f>
        <v>0</v>
      </c>
      <c r="DA76" s="1806">
        <f>IF($H76&lt;&gt;DB$5,0,IF(DB76&lt;0,IF(OR($J76=1,$J76=2,$J76=3,$J76=4,$J76=5,$J76=6,$J76=7,$J76=8,$J76=9,$J76=10),-$E76*$I76/12*3,IF($J76=11,-$E76*$I76/12*2,IF($J76=12,-$E76*$I76/12*1,0)))))+IF(CW$5&lt;&gt;$H76,0,IF(CW76&lt;0,IF($J76=10,-$E76*$I76/12*0,IF($J76=11,-$E76*$I76/12*1,IF($J76=12,-$E76*$I76/12*2,0)))))</f>
        <v>0</v>
      </c>
      <c r="DB76" s="1791">
        <f>IF(AND(CW76&lt;&gt;0,CW$5=$H76),-$I76*$E76-CW76,IF(DB$5=$H76,-$I76*$E76*(12-$J76+1)/12,0))</f>
        <v>0</v>
      </c>
      <c r="DC76" s="1808">
        <f>IF($H76&lt;&gt;DG$5,0,IF(DG76&lt;0,IF($J76=1,-$E76*$I76/12*3,IF($J76=2,-$E76*$I76/12*2,IF($J76=3,-$E76*$I76/12*1,0)))))+IF(DB$5&lt;&gt;$H76,0,IF(DB76&lt;0,IF($J76=1,-$E76*$I76/12*0,IF($J76=2,-$E76*$I76/12*1,IF($J76=3,-$E76*$I76/12*2,IF($J76&gt;=4,-$E76*$I76/12*3,0))))))</f>
        <v>0</v>
      </c>
      <c r="DD76" s="1807">
        <f>IF($H76&lt;&gt;DG$5,0,IF(DG76&lt;0,IF(OR($J76=1,$J76=2,$J76=3,$J76=4),-$E76*$I76/12*3,IF($J76=5,-$E76*$I76/12*2,IF($J76=6,-$E76*$I76/12*1,0)))))+IF(DB$5&lt;&gt;$H76,0,IF(DB76&lt;0,IF($J76=4,-$E76*$I76/12*0,IF($J76=5,-$E76*$I76/12*1,IF($J76=6,-$E76*$I76/12*2,IF($J76&gt;=7,-$E76*$I76/12*3,0))))))</f>
        <v>0</v>
      </c>
      <c r="DE76" s="1807">
        <f>IF($H76&lt;&gt;DG$5,0,IF(DG76&lt;0,IF(OR($J76=1,$J76=2,$J76=3,$J76=4,$J76=5,$J76=6,$J76=7),-$E76*$I76/12*3,IF($J76=8,-$E76*$I76/12*2,IF($J76=9,-$E76*$I76/12*1,0)))))+IF(DB$5&lt;&gt;$H76,0,IF(DB76&lt;0,IF($J76=7,-$E76*$I76/12*0,IF($J76=8,-$E76*$I76/12*1,IF($J76=9,-$E76*$I76/12*2,IF($J76&gt;=10,-$E76*$I76/12*3,0))))))</f>
        <v>0</v>
      </c>
      <c r="DF76" s="1806">
        <f>IF($H76&lt;&gt;DG$5,0,IF(DG76&lt;0,IF(OR($J76=1,$J76=2,$J76=3,$J76=4,$J76=5,$J76=6,$J76=7,$J76=8,$J76=9,$J76=10),-$E76*$I76/12*3,IF($J76=11,-$E76*$I76/12*2,IF($J76=12,-$E76*$I76/12*1,0)))))+IF(DB$5&lt;&gt;$H76,0,IF(DB76&lt;0,IF($J76=10,-$E76*$I76/12*0,IF($J76=11,-$E76*$I76/12*1,IF($J76=12,-$E76*$I76/12*2,0)))))</f>
        <v>0</v>
      </c>
      <c r="DG76" s="1791">
        <f>IF(AND(DB76&lt;&gt;0,DB$5=$H76),-$I76*$E76-DB76,IF(DG$5=$H76,-$I76*$E76*(12-$J76+1)/12,0))</f>
        <v>0</v>
      </c>
      <c r="DH76" s="1808">
        <f>IF($H76&lt;&gt;DL$5,0,IF(DL76&lt;0,IF($J76=1,-$E76*$I76/12*3,IF($J76=2,-$E76*$I76/12*2,IF($J76=3,-$E76*$I76/12*1,0)))))+IF(DG$5&lt;&gt;$H76,0,IF(DG76&lt;0,IF($J76=1,-$E76*$I76/12*0,IF($J76=2,-$E76*$I76/12*1,IF($J76=3,-$E76*$I76/12*2,IF($J76&gt;=4,-$E76*$I76/12*3,0))))))</f>
        <v>0</v>
      </c>
      <c r="DI76" s="1807">
        <f>IF($H76&lt;&gt;DL$5,0,IF(DL76&lt;0,IF(OR($J76=1,$J76=2,$J76=3,$J76=4),-$E76*$I76/12*3,IF($J76=5,-$E76*$I76/12*2,IF($J76=6,-$E76*$I76/12*1,0)))))+IF(DG$5&lt;&gt;$H76,0,IF(DG76&lt;0,IF($J76=4,-$E76*$I76/12*0,IF($J76=5,-$E76*$I76/12*1,IF($J76=6,-$E76*$I76/12*2,IF($J76&gt;=7,-$E76*$I76/12*3,0))))))</f>
        <v>0</v>
      </c>
      <c r="DJ76" s="1807">
        <f>IF($H76&lt;&gt;DL$5,0,IF(DL76&lt;0,IF(OR($J76=1,$J76=2,$J76=3,$J76=4,$J76=5,$J76=6,$J76=7),-$E76*$I76/12*3,IF($J76=8,-$E76*$I76/12*2,IF($J76=9,-$E76*$I76/12*1,0)))))+IF(DG$5&lt;&gt;$H76,0,IF(DG76&lt;0,IF($J76=7,-$E76*$I76/12*0,IF($J76=8,-$E76*$I76/12*1,IF($J76=9,-$E76*$I76/12*2,IF($J76&gt;=10,-$E76*$I76/12*3,0))))))</f>
        <v>0</v>
      </c>
      <c r="DK76" s="1806">
        <f>IF($H76&lt;&gt;DL$5,0,IF(DL76&lt;0,IF(OR($J76=1,$J76=2,$J76=3,$J76=4,$J76=5,$J76=6,$J76=7,$J76=8,$J76=9,$J76=10),-$E76*$I76/12*3,IF($J76=11,-$E76*$I76/12*2,IF($J76=12,-$E76*$I76/12*1,0)))))+IF(DG$5&lt;&gt;$H76,0,IF(DG76&lt;0,IF($J76=10,-$E76*$I76/12*0,IF($J76=11,-$E76*$I76/12*1,IF($J76=12,-$E76*$I76/12*2,0)))))</f>
        <v>0</v>
      </c>
      <c r="DL76" s="1791">
        <f>IF(AND(DG76&lt;&gt;0,DG$5=$H76),-$I76*$E76-DG76,IF(DL$5=$H76,-$I76*$E76*(12-$J76+1)/12,0))</f>
        <v>0</v>
      </c>
      <c r="DM76" s="1808">
        <f>IF($H76&lt;&gt;DQ$5,0,IF(DQ76&lt;0,IF($J76=1,-$E76*$I76/12*3,IF($J76=2,-$E76*$I76/12*2,IF($J76=3,-$E76*$I76/12*1,0)))))+IF(DL$5&lt;&gt;$H76,0,IF(DL76&lt;0,IF($J76=1,-$E76*$I76/12*0,IF($J76=2,-$E76*$I76/12*1,IF($J76=3,-$E76*$I76/12*2,IF($J76&gt;=4,-$E76*$I76/12*3,0))))))</f>
        <v>0</v>
      </c>
      <c r="DN76" s="1807">
        <f>IF($H76&lt;&gt;DQ$5,0,IF(DQ76&lt;0,IF(OR($J76=1,$J76=2,$J76=3,$J76=4),-$E76*$I76/12*3,IF($J76=5,-$E76*$I76/12*2,IF($J76=6,-$E76*$I76/12*1,0)))))+IF(DL$5&lt;&gt;$H76,0,IF(DL76&lt;0,IF($J76=4,-$E76*$I76/12*0,IF($J76=5,-$E76*$I76/12*1,IF($J76=6,-$E76*$I76/12*2,IF($J76&gt;=7,-$E76*$I76/12*3,0))))))</f>
        <v>0</v>
      </c>
      <c r="DO76" s="1807">
        <f>IF($H76&lt;&gt;DQ$5,0,IF(DQ76&lt;0,IF(OR($J76=1,$J76=2,$J76=3,$J76=4,$J76=5,$J76=6,$J76=7),-$E76*$I76/12*3,IF($J76=8,-$E76*$I76/12*2,IF($J76=9,-$E76*$I76/12*1,0)))))+IF(DL$5&lt;&gt;$H76,0,IF(DL76&lt;0,IF($J76=7,-$E76*$I76/12*0,IF($J76=8,-$E76*$I76/12*1,IF($J76=9,-$E76*$I76/12*2,IF($J76&gt;=10,-$E76*$I76/12*3,0))))))</f>
        <v>0</v>
      </c>
      <c r="DP76" s="1806">
        <f>IF($H76&lt;&gt;DQ$5,0,IF(DQ76&lt;0,IF(OR($J76=1,$J76=2,$J76=3,$J76=4,$J76=5,$J76=6,$J76=7,$J76=8,$J76=9,$J76=10),-$E76*$I76/12*3,IF($J76=11,-$E76*$I76/12*2,IF($J76=12,-$E76*$I76/12*1,0)))))+IF(DL$5&lt;&gt;$H76,0,IF(DL76&lt;0,IF($J76=10,-$E76*$I76/12*0,IF($J76=11,-$E76*$I76/12*1,IF($J76=12,-$E76*$I76/12*2,0)))))</f>
        <v>0</v>
      </c>
      <c r="DQ76" s="1791">
        <f>IF(AND(DL76&lt;&gt;0,DL$5=$H76),-$I76*$E76-DL76,IF(DQ$5=$H76,-$I76*$E76*(12-$J76+1)/12,0))</f>
        <v>0</v>
      </c>
      <c r="DR76" s="1808">
        <f>IF($H76&lt;&gt;DV$5,0,IF(DV76&lt;0,IF($J76=1,-$E76*$I76/12*3,IF($J76=2,-$E76*$I76/12*2,IF($J76=3,-$E76*$I76/12*1,0)))))+IF(DQ$5&lt;&gt;$H76,0,IF(DQ76&lt;0,IF($J76=1,-$E76*$I76/12*0,IF($J76=2,-$E76*$I76/12*1,IF($J76=3,-$E76*$I76/12*2,IF($J76&gt;=4,-$E76*$I76/12*3,0))))))</f>
        <v>0</v>
      </c>
      <c r="DS76" s="1807">
        <f>IF($H76&lt;&gt;DV$5,0,IF(DV76&lt;0,IF(OR($J76=1,$J76=2,$J76=3,$J76=4),-$E76*$I76/12*3,IF($J76=5,-$E76*$I76/12*2,IF($J76=6,-$E76*$I76/12*1,0)))))+IF(DQ$5&lt;&gt;$H76,0,IF(DQ76&lt;0,IF($J76=4,-$E76*$I76/12*0,IF($J76=5,-$E76*$I76/12*1,IF($J76=6,-$E76*$I76/12*2,IF($J76&gt;=7,-$E76*$I76/12*3,0))))))</f>
        <v>0</v>
      </c>
      <c r="DT76" s="1807">
        <f>IF($H76&lt;&gt;DV$5,0,IF(DV76&lt;0,IF(OR($J76=1,$J76=2,$J76=3,$J76=4,$J76=5,$J76=6,$J76=7),-$E76*$I76/12*3,IF($J76=8,-$E76*$I76/12*2,IF($J76=9,-$E76*$I76/12*1,0)))))+IF(DQ$5&lt;&gt;$H76,0,IF(DQ76&lt;0,IF($J76=7,-$E76*$I76/12*0,IF($J76=8,-$E76*$I76/12*1,IF($J76=9,-$E76*$I76/12*2,IF($J76&gt;=10,-$E76*$I76/12*3,0))))))</f>
        <v>0</v>
      </c>
      <c r="DU76" s="1806">
        <f>IF($H76&lt;&gt;DV$5,0,IF(DV76&lt;0,IF(OR($J76=1,$J76=2,$J76=3,$J76=4,$J76=5,$J76=6,$J76=7,$J76=8,$J76=9,$J76=10),-$E76*$I76/12*3,IF($J76=11,-$E76*$I76/12*2,IF($J76=12,-$E76*$I76/12*1,0)))))+IF(DQ$5&lt;&gt;$H76,0,IF(DQ76&lt;0,IF($J76=10,-$E76*$I76/12*0,IF($J76=11,-$E76*$I76/12*1,IF($J76=12,-$E76*$I76/12*2,0)))))</f>
        <v>0</v>
      </c>
      <c r="DV76" s="1791">
        <f>IF(AND(DQ76&lt;&gt;0,DQ$5=$H76),-$I76*$E76-DQ76,IF(DV$5=$H76,-$I76*$E76*(12-$J76+1)/12,0))</f>
        <v>0</v>
      </c>
    </row>
    <row r="77" spans="1:126">
      <c r="A77" s="455"/>
      <c r="B77" s="455"/>
      <c r="C77" s="1364"/>
      <c r="D77" s="94"/>
      <c r="E77" s="455"/>
      <c r="F77" s="455"/>
      <c r="G77" s="455"/>
      <c r="H77" s="1597"/>
      <c r="I77" s="1598"/>
      <c r="J77" s="1599"/>
      <c r="K77" s="1792"/>
      <c r="L77" s="1810"/>
      <c r="M77" s="1791"/>
      <c r="N77" s="1808"/>
      <c r="O77" s="1807"/>
      <c r="P77" s="1807"/>
      <c r="Q77" s="1806"/>
      <c r="R77" s="1791"/>
      <c r="S77" s="1808"/>
      <c r="T77" s="1807"/>
      <c r="U77" s="1807"/>
      <c r="V77" s="1806"/>
      <c r="W77" s="1791"/>
      <c r="X77" s="1808"/>
      <c r="Y77" s="1807"/>
      <c r="Z77" s="1807"/>
      <c r="AA77" s="1806"/>
      <c r="AB77" s="1791"/>
      <c r="AC77" s="1808"/>
      <c r="AD77" s="1807"/>
      <c r="AE77" s="1807"/>
      <c r="AF77" s="1806"/>
      <c r="AG77" s="1791"/>
      <c r="AH77" s="1808"/>
      <c r="AI77" s="1807"/>
      <c r="AJ77" s="1807"/>
      <c r="AK77" s="1806"/>
      <c r="AL77" s="1791"/>
      <c r="AM77" s="1808"/>
      <c r="AN77" s="1807"/>
      <c r="AO77" s="1807"/>
      <c r="AP77" s="1806"/>
      <c r="AQ77" s="1791"/>
      <c r="AR77" s="1808"/>
      <c r="AS77" s="1807"/>
      <c r="AT77" s="1807"/>
      <c r="AU77" s="1806"/>
      <c r="AV77" s="1791"/>
      <c r="AW77" s="1808"/>
      <c r="AX77" s="1807"/>
      <c r="AY77" s="1807"/>
      <c r="AZ77" s="1806"/>
      <c r="BA77" s="1791"/>
      <c r="BB77" s="1808"/>
      <c r="BC77" s="1807"/>
      <c r="BD77" s="1807"/>
      <c r="BE77" s="1806"/>
      <c r="BF77" s="1791"/>
      <c r="BG77" s="1808"/>
      <c r="BH77" s="1807"/>
      <c r="BI77" s="1807"/>
      <c r="BJ77" s="1806"/>
      <c r="BK77" s="1791"/>
      <c r="BL77" s="1808"/>
      <c r="BM77" s="1807"/>
      <c r="BN77" s="1807"/>
      <c r="BO77" s="1806"/>
      <c r="BP77" s="1791"/>
      <c r="BQ77" s="1827"/>
      <c r="BR77" s="1991"/>
      <c r="BS77" s="1991"/>
      <c r="BT77" s="1992"/>
      <c r="BU77" s="1992"/>
      <c r="BV77" s="1992"/>
      <c r="BW77" s="1992"/>
      <c r="BX77" s="1810"/>
      <c r="BY77" s="1807"/>
      <c r="BZ77" s="1807"/>
      <c r="CA77" s="1807"/>
      <c r="CB77" s="1806"/>
      <c r="CC77" s="1791"/>
      <c r="CD77" s="1808"/>
      <c r="CE77" s="1807"/>
      <c r="CF77" s="1807"/>
      <c r="CG77" s="1806"/>
      <c r="CH77" s="1791"/>
      <c r="CI77" s="1808"/>
      <c r="CJ77" s="1807"/>
      <c r="CK77" s="1807"/>
      <c r="CL77" s="1806"/>
      <c r="CM77" s="1791"/>
      <c r="CN77" s="1808"/>
      <c r="CO77" s="1807"/>
      <c r="CP77" s="1807"/>
      <c r="CQ77" s="1806"/>
      <c r="CR77" s="1791"/>
      <c r="CS77" s="1808"/>
      <c r="CT77" s="1807"/>
      <c r="CU77" s="1807"/>
      <c r="CV77" s="1806"/>
      <c r="CW77" s="1791"/>
      <c r="CX77" s="1808"/>
      <c r="CY77" s="1807"/>
      <c r="CZ77" s="1807"/>
      <c r="DA77" s="1806"/>
      <c r="DB77" s="1791"/>
      <c r="DC77" s="1808"/>
      <c r="DD77" s="1807"/>
      <c r="DE77" s="1807"/>
      <c r="DF77" s="1806"/>
      <c r="DG77" s="1791"/>
      <c r="DH77" s="1808"/>
      <c r="DI77" s="1807"/>
      <c r="DJ77" s="1807"/>
      <c r="DK77" s="1806"/>
      <c r="DL77" s="1791"/>
      <c r="DM77" s="1808"/>
      <c r="DN77" s="1807"/>
      <c r="DO77" s="1807"/>
      <c r="DP77" s="1806"/>
      <c r="DQ77" s="1791"/>
      <c r="DR77" s="1808"/>
      <c r="DS77" s="1807"/>
      <c r="DT77" s="1807"/>
      <c r="DU77" s="1806"/>
      <c r="DV77" s="1791"/>
    </row>
    <row r="78" spans="1:126">
      <c r="A78" s="455"/>
      <c r="B78" s="455"/>
      <c r="C78" s="1365" t="s">
        <v>162</v>
      </c>
      <c r="D78" s="94"/>
      <c r="E78" s="455"/>
      <c r="F78" s="455"/>
      <c r="G78" s="455"/>
      <c r="H78" s="1597"/>
      <c r="I78" s="1598"/>
      <c r="J78" s="1599"/>
      <c r="K78" s="1792"/>
      <c r="L78" s="1810"/>
      <c r="M78" s="1791"/>
      <c r="N78" s="1808"/>
      <c r="O78" s="1807"/>
      <c r="P78" s="1807"/>
      <c r="Q78" s="1806"/>
      <c r="R78" s="1791"/>
      <c r="S78" s="1808"/>
      <c r="T78" s="1807"/>
      <c r="U78" s="1807"/>
      <c r="V78" s="1806"/>
      <c r="W78" s="1791"/>
      <c r="X78" s="1808"/>
      <c r="Y78" s="1807"/>
      <c r="Z78" s="1807"/>
      <c r="AA78" s="1806"/>
      <c r="AB78" s="1791"/>
      <c r="AC78" s="1808"/>
      <c r="AD78" s="1807"/>
      <c r="AE78" s="1807"/>
      <c r="AF78" s="1806"/>
      <c r="AG78" s="1791"/>
      <c r="AH78" s="1808"/>
      <c r="AI78" s="1807"/>
      <c r="AJ78" s="1807"/>
      <c r="AK78" s="1806"/>
      <c r="AL78" s="1791"/>
      <c r="AM78" s="1808"/>
      <c r="AN78" s="1807"/>
      <c r="AO78" s="1807"/>
      <c r="AP78" s="1806"/>
      <c r="AQ78" s="1791"/>
      <c r="AR78" s="1808"/>
      <c r="AS78" s="1807"/>
      <c r="AT78" s="1807"/>
      <c r="AU78" s="1806"/>
      <c r="AV78" s="1791"/>
      <c r="AW78" s="1808"/>
      <c r="AX78" s="1807"/>
      <c r="AY78" s="1807"/>
      <c r="AZ78" s="1806"/>
      <c r="BA78" s="1791"/>
      <c r="BB78" s="1808"/>
      <c r="BC78" s="1807"/>
      <c r="BD78" s="1807"/>
      <c r="BE78" s="1806"/>
      <c r="BF78" s="1791"/>
      <c r="BG78" s="1808"/>
      <c r="BH78" s="1807"/>
      <c r="BI78" s="1807"/>
      <c r="BJ78" s="1806"/>
      <c r="BK78" s="1791"/>
      <c r="BL78" s="1808"/>
      <c r="BM78" s="1807"/>
      <c r="BN78" s="1807"/>
      <c r="BO78" s="1806"/>
      <c r="BP78" s="1791"/>
      <c r="BQ78" s="1827"/>
      <c r="BR78" s="1991"/>
      <c r="BS78" s="1991"/>
      <c r="BT78" s="1992"/>
      <c r="BU78" s="1992"/>
      <c r="BV78" s="1992"/>
      <c r="BW78" s="1992"/>
      <c r="BX78" s="1810"/>
      <c r="BY78" s="1807"/>
      <c r="BZ78" s="1807"/>
      <c r="CA78" s="1807"/>
      <c r="CB78" s="1806"/>
      <c r="CC78" s="1791"/>
      <c r="CD78" s="1808"/>
      <c r="CE78" s="1807"/>
      <c r="CF78" s="1807"/>
      <c r="CG78" s="1806"/>
      <c r="CH78" s="1791"/>
      <c r="CI78" s="1808"/>
      <c r="CJ78" s="1807"/>
      <c r="CK78" s="1807"/>
      <c r="CL78" s="1806"/>
      <c r="CM78" s="1791"/>
      <c r="CN78" s="1808"/>
      <c r="CO78" s="1807"/>
      <c r="CP78" s="1807"/>
      <c r="CQ78" s="1806"/>
      <c r="CR78" s="1791"/>
      <c r="CS78" s="1808"/>
      <c r="CT78" s="1807"/>
      <c r="CU78" s="1807"/>
      <c r="CV78" s="1806"/>
      <c r="CW78" s="1791"/>
      <c r="CX78" s="1808"/>
      <c r="CY78" s="1807"/>
      <c r="CZ78" s="1807"/>
      <c r="DA78" s="1806"/>
      <c r="DB78" s="1791"/>
      <c r="DC78" s="1808"/>
      <c r="DD78" s="1807"/>
      <c r="DE78" s="1807"/>
      <c r="DF78" s="1806"/>
      <c r="DG78" s="1791"/>
      <c r="DH78" s="1808"/>
      <c r="DI78" s="1807"/>
      <c r="DJ78" s="1807"/>
      <c r="DK78" s="1806"/>
      <c r="DL78" s="1791"/>
      <c r="DM78" s="1808"/>
      <c r="DN78" s="1807"/>
      <c r="DO78" s="1807"/>
      <c r="DP78" s="1806"/>
      <c r="DQ78" s="1791"/>
      <c r="DR78" s="1808"/>
      <c r="DS78" s="1807"/>
      <c r="DT78" s="1807"/>
      <c r="DU78" s="1806"/>
      <c r="DV78" s="1791"/>
    </row>
    <row r="79" spans="1:126">
      <c r="A79" s="455"/>
      <c r="B79" s="455"/>
      <c r="C79" s="1596" t="s">
        <v>745</v>
      </c>
      <c r="D79" s="94"/>
      <c r="E79" s="455"/>
      <c r="F79" s="455"/>
      <c r="G79" s="455"/>
      <c r="H79" s="1597"/>
      <c r="I79" s="1598"/>
      <c r="J79" s="1599"/>
      <c r="K79" s="1792"/>
      <c r="L79" s="1810">
        <f t="shared" ref="L79:M96" si="688">IF(L$5=$H79,-$E79,0)</f>
        <v>0</v>
      </c>
      <c r="M79" s="1791">
        <f t="shared" si="688"/>
        <v>0</v>
      </c>
      <c r="N79" s="1808">
        <f t="shared" ref="N79:N91" si="689">IF(R79=0,0,IF(R79&lt;0,IF($J79=3,R79,IF($J79=2,R79,IF($J79=1,R79,0)))))</f>
        <v>0</v>
      </c>
      <c r="O79" s="1807">
        <f t="shared" ref="O79:O91" si="690">IF(R79=0,0,IF(R79&lt;0,IF($J79=6,R79,IF($J79=5,R79,IF($J79=4,R79,0)))))</f>
        <v>0</v>
      </c>
      <c r="P79" s="1807">
        <f t="shared" ref="P79:P91" si="691">IF(R79=0,0,IF(R79&lt;0,IF($J79=9,R79,IF($J79=8,R79,IF($J79=7,R79,0)))))</f>
        <v>0</v>
      </c>
      <c r="Q79" s="1806">
        <f t="shared" ref="Q79:Q91" si="692">IF(R79=0,0,IF(R79&lt;0,IF($J79=12,R79,IF($J79=11,R79,IF($J79=10,R79,0)))))</f>
        <v>0</v>
      </c>
      <c r="R79" s="1791">
        <f t="shared" ref="R79:R97" si="693">IF(R$5=$H79,-$E79,0)</f>
        <v>0</v>
      </c>
      <c r="S79" s="1808">
        <f t="shared" ref="S79:S91" si="694">IF(W79=0,0,IF(W79&lt;0,IF($J79=3,W79,IF($J79=2,W79,IF($J79=1,W79,0)))))</f>
        <v>0</v>
      </c>
      <c r="T79" s="1807">
        <f t="shared" ref="T79:T91" si="695">IF(W79=0,0,IF(W79&lt;0,IF($J79=6,W79,IF($J79=5,W79,IF($J79=4,W79,0)))))</f>
        <v>0</v>
      </c>
      <c r="U79" s="1807">
        <f t="shared" ref="U79:U91" si="696">IF(W79=0,0,IF(W79&lt;0,IF($J79=9,W79,IF($J79=8,W79,IF($J79=7,W79,0)))))</f>
        <v>0</v>
      </c>
      <c r="V79" s="1806">
        <f t="shared" ref="V79:V91" si="697">IF(W79=0,0,IF(W79&lt;0,IF($J79=12,W79,IF($J79=11,W79,IF($J79=10,W79,0)))))</f>
        <v>0</v>
      </c>
      <c r="W79" s="1791">
        <f t="shared" ref="W79:W97" si="698">IF(W$5=$H79,-$E79,0)</f>
        <v>0</v>
      </c>
      <c r="X79" s="1808">
        <f t="shared" ref="X79:X91" si="699">IF(AB79=0,0,IF(AB79&lt;0,IF($J79=3,AB79,IF($J79=2,AB79,IF($J79=1,AB79,0)))))</f>
        <v>0</v>
      </c>
      <c r="Y79" s="1807">
        <f t="shared" ref="Y79:Y91" si="700">IF(AB79=0,0,IF(AB79&lt;0,IF($J79=6,AB79,IF($J79=5,AB79,IF($J79=4,AB79,0)))))</f>
        <v>0</v>
      </c>
      <c r="Z79" s="1807">
        <f t="shared" ref="Z79:Z91" si="701">IF(AB79=0,0,IF(AB79&lt;0,IF($J79=9,AB79,IF($J79=8,AB79,IF($J79=7,AB79,0)))))</f>
        <v>0</v>
      </c>
      <c r="AA79" s="1806">
        <f t="shared" ref="AA79:AA91" si="702">IF(AB79=0,0,IF(AB79&lt;0,IF($J79=12,AB79,IF($J79=11,AB79,IF($J79=10,AB79,0)))))</f>
        <v>0</v>
      </c>
      <c r="AB79" s="1791">
        <f t="shared" ref="AB79:AB97" si="703">IF(AB$5=$H79,-$E79,0)</f>
        <v>0</v>
      </c>
      <c r="AC79" s="1808">
        <f t="shared" ref="AC79:AC91" si="704">IF(AG79=0,0,IF(AG79&lt;0,IF($J79=3,AG79,IF($J79=2,AG79,IF($J79=1,AG79,0)))))</f>
        <v>0</v>
      </c>
      <c r="AD79" s="1807">
        <f t="shared" ref="AD79:AD91" si="705">IF(AG79=0,0,IF(AG79&lt;0,IF($J79=6,AG79,IF($J79=5,AG79,IF($J79=4,AG79,0)))))</f>
        <v>0</v>
      </c>
      <c r="AE79" s="1807">
        <f t="shared" ref="AE79:AE91" si="706">IF(AG79=0,0,IF(AG79&lt;0,IF($J79=9,AG79,IF($J79=8,AG79,IF($J79=7,AG79,0)))))</f>
        <v>0</v>
      </c>
      <c r="AF79" s="1806">
        <f t="shared" ref="AF79:AF91" si="707">IF(AG79=0,0,IF(AG79&lt;0,IF($J79=12,AG79,IF($J79=11,AG79,IF($J79=10,AG79,0)))))</f>
        <v>0</v>
      </c>
      <c r="AG79" s="1791">
        <f t="shared" ref="AG79:AG97" si="708">IF(AG$5=$H79,-$E79,0)</f>
        <v>0</v>
      </c>
      <c r="AH79" s="1808">
        <f t="shared" ref="AH79:AH91" si="709">IF(AL79=0,0,IF(AL79&lt;0,IF($J79=3,AL79,IF($J79=2,AL79,IF($J79=1,AL79,0)))))</f>
        <v>0</v>
      </c>
      <c r="AI79" s="1807">
        <f t="shared" ref="AI79:AI91" si="710">IF(AL79=0,0,IF(AL79&lt;0,IF($J79=6,AL79,IF($J79=5,AL79,IF($J79=4,AL79,0)))))</f>
        <v>0</v>
      </c>
      <c r="AJ79" s="1807">
        <f t="shared" ref="AJ79:AJ91" si="711">IF(AL79=0,0,IF(AL79&lt;0,IF($J79=9,AL79,IF($J79=8,AL79,IF($J79=7,AL79,0)))))</f>
        <v>0</v>
      </c>
      <c r="AK79" s="1806">
        <f t="shared" ref="AK79:AK91" si="712">IF(AL79=0,0,IF(AL79&lt;0,IF($J79=12,AL79,IF($J79=11,AL79,IF($J79=10,AL79,0)))))</f>
        <v>0</v>
      </c>
      <c r="AL79" s="1791">
        <f t="shared" ref="AL79:AL97" si="713">IF(AL$5=$H79,-$E79,0)</f>
        <v>0</v>
      </c>
      <c r="AM79" s="1808">
        <f t="shared" ref="AM79:AM91" si="714">IF(AQ79=0,0,IF(AQ79&lt;0,IF($J79=3,AQ79,IF($J79=2,AQ79,IF($J79=1,AQ79,0)))))</f>
        <v>0</v>
      </c>
      <c r="AN79" s="1807">
        <f t="shared" ref="AN79:AN91" si="715">IF(AQ79=0,0,IF(AQ79&lt;0,IF($J79=6,AQ79,IF($J79=5,AQ79,IF($J79=4,AQ79,0)))))</f>
        <v>0</v>
      </c>
      <c r="AO79" s="1807">
        <f t="shared" ref="AO79:AO91" si="716">IF(AQ79=0,0,IF(AQ79&lt;0,IF($J79=9,AQ79,IF($J79=8,AQ79,IF($J79=7,AQ79,0)))))</f>
        <v>0</v>
      </c>
      <c r="AP79" s="1806">
        <f t="shared" ref="AP79:AP91" si="717">IF(AQ79=0,0,IF(AQ79&lt;0,IF($J79=12,AQ79,IF($J79=11,AQ79,IF($J79=10,AQ79,0)))))</f>
        <v>0</v>
      </c>
      <c r="AQ79" s="1791">
        <f t="shared" ref="AQ79:AQ97" si="718">IF(AQ$5=$H79,-$E79,0)</f>
        <v>0</v>
      </c>
      <c r="AR79" s="1808">
        <f t="shared" ref="AR79:AR91" si="719">IF(AV79=0,0,IF(AV79&lt;0,IF($J79=3,AV79,IF($J79=2,AV79,IF($J79=1,AV79,0)))))</f>
        <v>0</v>
      </c>
      <c r="AS79" s="1807">
        <f t="shared" ref="AS79:AS94" si="720">IF(AV79=0,0,IF(AV79&lt;0,IF($J79=6,AV79,IF($J79=5,AV79,IF($J79=4,AV79,0)))))</f>
        <v>0</v>
      </c>
      <c r="AT79" s="1807">
        <f t="shared" ref="AT79:AT91" si="721">IF(AV79=0,0,IF(AV79&lt;0,IF($J79=9,AV79,IF($J79=8,AV79,IF($J79=7,AV79,0)))))</f>
        <v>0</v>
      </c>
      <c r="AU79" s="1806">
        <f t="shared" ref="AU79:AU91" si="722">IF(AV79=0,0,IF(AV79&lt;0,IF($J79=12,AV79,IF($J79=11,AV79,IF($J79=10,AV79,0)))))</f>
        <v>0</v>
      </c>
      <c r="AV79" s="1791">
        <f t="shared" ref="AV79:AV97" si="723">IF(AV$5=$H79,-$E79,0)</f>
        <v>0</v>
      </c>
      <c r="AW79" s="1808">
        <f t="shared" ref="AW79:AW91" si="724">IF(BA79=0,0,IF(BA79&lt;0,IF($J79=3,BA79,IF($J79=2,BA79,IF($J79=1,BA79,0)))))</f>
        <v>0</v>
      </c>
      <c r="AX79" s="1807">
        <f t="shared" ref="AX79:AX91" si="725">IF(BA79=0,0,IF(BA79&lt;0,IF($J79=6,BA79,IF($J79=5,BA79,IF($J79=4,BA79,0)))))</f>
        <v>0</v>
      </c>
      <c r="AY79" s="1807">
        <f t="shared" ref="AY79:AY91" si="726">IF(BA79=0,0,IF(BA79&lt;0,IF($J79=9,BA79,IF($J79=8,BA79,IF($J79=7,BA79,0)))))</f>
        <v>0</v>
      </c>
      <c r="AZ79" s="1806">
        <f t="shared" ref="AZ79:AZ91" si="727">IF(BA79=0,0,IF(BA79&lt;0,IF($J79=12,BA79,IF($J79=11,BA79,IF($J79=10,BA79,0)))))</f>
        <v>0</v>
      </c>
      <c r="BA79" s="1791">
        <f t="shared" ref="BA79:BA97" si="728">IF(BA$5=$H79,-$E79,0)</f>
        <v>0</v>
      </c>
      <c r="BB79" s="1808">
        <f t="shared" ref="BB79:BB91" si="729">IF(BF79=0,0,IF(BF79&lt;0,IF($J79=3,BF79,IF($J79=2,BF79,IF($J79=1,BF79,0)))))</f>
        <v>0</v>
      </c>
      <c r="BC79" s="1807">
        <f t="shared" ref="BC79:BC91" si="730">IF(BF79=0,0,IF(BF79&lt;0,IF($J79=6,BF79,IF($J79=5,BF79,IF($J79=4,BF79,0)))))</f>
        <v>0</v>
      </c>
      <c r="BD79" s="1807">
        <f t="shared" ref="BD79:BD91" si="731">IF(BF79=0,0,IF(BF79&lt;0,IF($J79=9,BF79,IF($J79=8,BF79,IF($J79=7,BF79,0)))))</f>
        <v>0</v>
      </c>
      <c r="BE79" s="1806">
        <f t="shared" ref="BE79:BE91" si="732">IF(BF79=0,0,IF(BF79&lt;0,IF($J79=12,BF79,IF($J79=11,BF79,IF($J79=10,BF79,0)))))</f>
        <v>0</v>
      </c>
      <c r="BF79" s="1791">
        <f t="shared" ref="BF79:BF97" si="733">IF(BF$5=$H79,-$E79,0)</f>
        <v>0</v>
      </c>
      <c r="BG79" s="1808">
        <f t="shared" ref="BG79:BG91" si="734">IF(BK79=0,0,IF(BK79&lt;0,IF($J79=3,BK79,IF($J79=2,BK79,IF($J79=1,BK79,0)))))</f>
        <v>0</v>
      </c>
      <c r="BH79" s="1807">
        <f t="shared" ref="BH79:BH91" si="735">IF(BK79=0,0,IF(BK79&lt;0,IF($J79=6,BK79,IF($J79=5,BK79,IF($J79=4,BK79,0)))))</f>
        <v>0</v>
      </c>
      <c r="BI79" s="1807">
        <f t="shared" ref="BI79:BI91" si="736">IF(BK79=0,0,IF(BK79&lt;0,IF($J79=9,BK79,IF($J79=8,BK79,IF($J79=7,BK79,0)))))</f>
        <v>0</v>
      </c>
      <c r="BJ79" s="1806">
        <f t="shared" ref="BJ79:BJ91" si="737">IF(BK79=0,0,IF(BK79&lt;0,IF($J79=12,BK79,IF($J79=11,BK79,IF($J79=10,BK79,0)))))</f>
        <v>0</v>
      </c>
      <c r="BK79" s="1791">
        <f t="shared" ref="BK79:BK97" si="738">IF(BK$5=$H79,-$E79,0)</f>
        <v>0</v>
      </c>
      <c r="BL79" s="1808">
        <f t="shared" ref="BL79:BL93" si="739">IF(BP79=0,0,IF(BP79&lt;0,IF($J79=3,BP79,IF($J79=2,BP79,IF($J79=1,BP79,0)))))</f>
        <v>0</v>
      </c>
      <c r="BM79" s="1807">
        <f t="shared" ref="BM79:BM93" si="740">IF(BP79=0,0,IF(BP79&lt;0,IF($J79=6,BP79,IF($J79=5,BP79,IF($J79=4,BP79,0)))))</f>
        <v>0</v>
      </c>
      <c r="BN79" s="1807">
        <f t="shared" ref="BN79:BN93" si="741">IF(BP79=0,0,IF(BP79&lt;0,IF($J79=9,BP79,IF($J79=8,BP79,IF($J79=7,BP79,0)))))</f>
        <v>0</v>
      </c>
      <c r="BO79" s="1806">
        <f t="shared" ref="BO79:BO93" si="742">IF(BP79=0,0,IF(BP79&lt;0,IF($J79=12,BP79,IF($J79=11,BP79,IF($J79=10,BP79,0)))))</f>
        <v>0</v>
      </c>
      <c r="BP79" s="1791">
        <f t="shared" ref="BP79:BP97" si="743">IF(BP$5=$H79,-$E79,0)</f>
        <v>0</v>
      </c>
      <c r="BQ79" s="1827"/>
      <c r="BR79" s="1991">
        <f t="shared" ref="BR79:BS91" si="744">IF(AND(BQ79&lt;&gt;0,BQ$5=$H79),-$I79*$E79-BQ79,IF(BR$5=$H79,-$I79*$E79*(12-$J79+1)/12,0))</f>
        <v>0</v>
      </c>
      <c r="BS79" s="1991">
        <f t="shared" si="744"/>
        <v>0</v>
      </c>
      <c r="BT79" s="1992">
        <f t="shared" ref="BT79:BT91" si="745">IF($H79&lt;&gt;BX$5,0,IF(BX79&lt;0,IF($J79=1,-$E79*$I79/12*3,IF($J79=2,-$E79*$I79/12*2,IF($J79=3,-$E79*$I79/12*1,0)))))+IF(BS$5&lt;&gt;$H79,0,IF(BS79&lt;0,IF($J79=1,-$E79*$I79/12*0,IF($J79=2,-$E79*$I79/12*1,IF($J79=3,-$E79*$I79/12*2,IF($J79&gt;=4,-$E79*$I79/12*3,0))))))</f>
        <v>0</v>
      </c>
      <c r="BU79" s="1992">
        <f t="shared" ref="BU79:BU91" si="746">IF($H79&lt;&gt;BX$5,0,IF(BX79&lt;0,IF(OR($J79=1,$J79=2,$J79=3,$J79=4),-$E79*$I79/12*3,IF($J79=5,-$E79*$I79/12*2,IF($J79=6,-$E79*$I79/12*1,0)))))+IF(BS$5&lt;&gt;$H79,0,IF(BS79&lt;0,IF($J79=4,-$E79*$I79/12*0,IF($J79=5,-$E79*$I79/12*1,IF($J79=6,-$E79*$I79/12*2,IF($J79&gt;=7,-$E79*$I79/12*3,0))))))</f>
        <v>0</v>
      </c>
      <c r="BV79" s="1992">
        <f t="shared" ref="BV79:BV91" si="747">IF($H79&lt;&gt;BX$5,0,IF(BX79&lt;0,IF(OR($J79=1,$J79=2,$J79=3,$J79=4,$J79=5,$J79=6,$J79=7),-$E79*$I79/12*3,IF($J79=8,-$E79*$I79/12*2,IF($J79=9,-$E79*$I79/12*1,0)))))+IF(BS$5&lt;&gt;$H79,0,IF(BS79&lt;0,IF($J79=7,-$E79*$I79/12*0,IF($J79=8,-$E79*$I79/12*1,IF($J79=9,-$E79*$I79/12*2,IF($J79&gt;=10,-$E79*$I79/12*3,0))))))</f>
        <v>0</v>
      </c>
      <c r="BW79" s="1992">
        <f t="shared" ref="BW79:BW91" si="748">IF($H79&lt;&gt;BX$5,0,IF(BX79&lt;0,IF(OR($J79=1,$J79=2,$J79=3,$J79=4,$J79=5,$J79=6,$J79=7,$J79=8,$J79=9,$J79=10),-$E79*$I79/12*3,IF($J79=11,-$E79*$I79/12*2,IF($J79=12,-$E79*$I79/12*1,0)))))+IF(BS$5&lt;&gt;$H79,0,IF(BS79&lt;0,IF($J79=10,-$E79*$I79/12*0,IF($J79=11,-$E79*$I79/12*1,IF($J79=12,-$E79*$I79/12*2,0)))))</f>
        <v>0</v>
      </c>
      <c r="BX79" s="1810">
        <f t="shared" ref="BX79:BX91" si="749">IF(AND(BS79&lt;&gt;0,BS$5=$H79),-$I79*$E79-BS79,IF(BX$5=$H79,-$I79*$E79*(12-$J79+1)/12,0))</f>
        <v>0</v>
      </c>
      <c r="BY79" s="1807">
        <f t="shared" ref="BY79:BY91" si="750">IF($H79&lt;&gt;CC$5,0,IF(CC79&lt;0,IF($J79=1,-$E79*$I79/12*3,IF($J79=2,-$E79*$I79/12*2,IF($J79=3,-$E79*$I79/12*1,0)))))+IF(BX$5&lt;&gt;$H79,0,IF(BX79&lt;0,IF($J79=1,-$E79*$I79/12*0,IF($J79=2,-$E79*$I79/12*1,IF($J79=3,-$E79*$I79/12*2,IF($J79&gt;=4,-$E79*$I79/12*3,0))))))</f>
        <v>0</v>
      </c>
      <c r="BZ79" s="1807">
        <f t="shared" ref="BZ79:BZ91" si="751">IF($H79&lt;&gt;CC$5,0,IF(CC79&lt;0,IF(OR($J79=1,$J79=2,$J79=3,$J79=4),-$E79*$I79/12*3,IF($J79=5,-$E79*$I79/12*2,IF($J79=6,-$E79*$I79/12*1,0)))))+IF(BX$5&lt;&gt;$H79,0,IF(BX79&lt;0,IF($J79=4,-$E79*$I79/12*0,IF($J79=5,-$E79*$I79/12*1,IF($J79=6,-$E79*$I79/12*2,IF($J79&gt;=7,-$E79*$I79/12*3,0))))))</f>
        <v>0</v>
      </c>
      <c r="CA79" s="1807">
        <f t="shared" ref="CA79:CA91" si="752">IF($H79&lt;&gt;CC$5,0,IF(CC79&lt;0,IF(OR($J79=1,$J79=2,$J79=3,$J79=4,$J79=5,$J79=6,$J79=7),-$E79*$I79/12*3,IF($J79=8,-$E79*$I79/12*2,IF($J79=9,-$E79*$I79/12*1,0)))))+IF(BX$5&lt;&gt;$H79,0,IF(BX79&lt;0,IF($J79=7,-$E79*$I79/12*0,IF($J79=8,-$E79*$I79/12*1,IF($J79=9,-$E79*$I79/12*2,IF($J79&gt;=10,-$E79*$I79/12*3,0))))))</f>
        <v>0</v>
      </c>
      <c r="CB79" s="1806">
        <f t="shared" ref="CB79:CB91" si="753">IF($H79&lt;&gt;CC$5,0,IF(CC79&lt;0,IF(OR($J79=1,$J79=2,$J79=3,$J79=4,$J79=5,$J79=6,$J79=7,$J79=8,$J79=9,$J79=10),-$E79*$I79/12*3,IF($J79=11,-$E79*$I79/12*2,IF($J79=12,-$E79*$I79/12*1,0)))))+IF(BX$5&lt;&gt;$H79,0,IF(BX79&lt;0,IF($J79=10,-$E79*$I79/12*0,IF($J79=11,-$E79*$I79/12*1,IF($J79=12,-$E79*$I79/12*2,0)))))</f>
        <v>0</v>
      </c>
      <c r="CC79" s="1791">
        <f t="shared" ref="CC79:CC91" si="754">IF(AND(BX79&lt;&gt;0,BX$5=$H79),-$I79*$E79-BX79,IF(CC$5=$H79,-$I79*$E79*(12-$J79+1)/12,0))</f>
        <v>0</v>
      </c>
      <c r="CD79" s="1808">
        <f t="shared" ref="CD79:CD91" si="755">IF($H79&lt;&gt;CH$5,0,IF(CH79&lt;0,IF($J79=1,-$E79*$I79/12*3,IF($J79=2,-$E79*$I79/12*2,IF($J79=3,-$E79*$I79/12*1,0)))))+IF(CC$5&lt;&gt;$H79,0,IF(CC79&lt;0,IF($J79=1,-$E79*$I79/12*0,IF($J79=2,-$E79*$I79/12*1,IF($J79=3,-$E79*$I79/12*2,IF($J79&gt;=4,-$E79*$I79/12*3,0))))))</f>
        <v>0</v>
      </c>
      <c r="CE79" s="1807">
        <f t="shared" ref="CE79:CE91" si="756">IF($H79&lt;&gt;CH$5,0,IF(CH79&lt;0,IF(OR($J79=1,$J79=2,$J79=3,$J79=4),-$E79*$I79/12*3,IF($J79=5,-$E79*$I79/12*2,IF($J79=6,-$E79*$I79/12*1,0)))))+IF(CC$5&lt;&gt;$H79,0,IF(CC79&lt;0,IF($J79=4,-$E79*$I79/12*0,IF($J79=5,-$E79*$I79/12*1,IF($J79=6,-$E79*$I79/12*2,IF($J79&gt;=7,-$E79*$I79/12*3,0))))))</f>
        <v>0</v>
      </c>
      <c r="CF79" s="1807">
        <f t="shared" ref="CF79:CF91" si="757">IF($H79&lt;&gt;CH$5,0,IF(CH79&lt;0,IF(OR($J79=1,$J79=2,$J79=3,$J79=4,$J79=5,$J79=6,$J79=7),-$E79*$I79/12*3,IF($J79=8,-$E79*$I79/12*2,IF($J79=9,-$E79*$I79/12*1,0)))))+IF(CC$5&lt;&gt;$H79,0,IF(CC79&lt;0,IF($J79=7,-$E79*$I79/12*0,IF($J79=8,-$E79*$I79/12*1,IF($J79=9,-$E79*$I79/12*2,IF($J79&gt;=10,-$E79*$I79/12*3,0))))))</f>
        <v>0</v>
      </c>
      <c r="CG79" s="1806">
        <f t="shared" ref="CG79:CG91" si="758">IF($H79&lt;&gt;CH$5,0,IF(CH79&lt;0,IF(OR($J79=1,$J79=2,$J79=3,$J79=4,$J79=5,$J79=6,$J79=7,$J79=8,$J79=9,$J79=10),-$E79*$I79/12*3,IF($J79=11,-$E79*$I79/12*2,IF($J79=12,-$E79*$I79/12*1,0)))))+IF(CC$5&lt;&gt;$H79,0,IF(CC79&lt;0,IF($J79=10,-$E79*$I79/12*0,IF($J79=11,-$E79*$I79/12*1,IF($J79=12,-$E79*$I79/12*2,0)))))</f>
        <v>0</v>
      </c>
      <c r="CH79" s="1791">
        <f t="shared" ref="CH79:CH91" si="759">IF(AND(CC79&lt;&gt;0,CC$5=$H79),-$I79*$E79-CC79,IF(CH$5=$H79,-$I79*$E79*(12-$J79+1)/12,0))</f>
        <v>0</v>
      </c>
      <c r="CI79" s="1808">
        <f t="shared" ref="CI79:CI91" si="760">IF($H79&lt;&gt;CM$5,0,IF(CM79&lt;0,IF($J79=1,-$E79*$I79/12*3,IF($J79=2,-$E79*$I79/12*2,IF($J79=3,-$E79*$I79/12*1,0)))))+IF(CH$5&lt;&gt;$H79,0,IF(CH79&lt;0,IF($J79=1,-$E79*$I79/12*0,IF($J79=2,-$E79*$I79/12*1,IF($J79=3,-$E79*$I79/12*2,IF($J79&gt;=4,-$E79*$I79/12*3,0))))))</f>
        <v>0</v>
      </c>
      <c r="CJ79" s="1807">
        <f t="shared" ref="CJ79:CJ91" si="761">IF($H79&lt;&gt;CM$5,0,IF(CM79&lt;0,IF(OR($J79=1,$J79=2,$J79=3,$J79=4),-$E79*$I79/12*3,IF($J79=5,-$E79*$I79/12*2,IF($J79=6,-$E79*$I79/12*1,0)))))+IF(CH$5&lt;&gt;$H79,0,IF(CH79&lt;0,IF($J79=4,-$E79*$I79/12*0,IF($J79=5,-$E79*$I79/12*1,IF($J79=6,-$E79*$I79/12*2,IF($J79&gt;=7,-$E79*$I79/12*3,0))))))</f>
        <v>0</v>
      </c>
      <c r="CK79" s="1807">
        <f t="shared" ref="CK79:CK91" si="762">IF($H79&lt;&gt;CM$5,0,IF(CM79&lt;0,IF(OR($J79=1,$J79=2,$J79=3,$J79=4,$J79=5,$J79=6,$J79=7),-$E79*$I79/12*3,IF($J79=8,-$E79*$I79/12*2,IF($J79=9,-$E79*$I79/12*1,0)))))+IF(CH$5&lt;&gt;$H79,0,IF(CH79&lt;0,IF($J79=7,-$E79*$I79/12*0,IF($J79=8,-$E79*$I79/12*1,IF($J79=9,-$E79*$I79/12*2,IF($J79&gt;=10,-$E79*$I79/12*3,0))))))</f>
        <v>0</v>
      </c>
      <c r="CL79" s="1806">
        <f t="shared" ref="CL79:CL91" si="763">IF($H79&lt;&gt;CM$5,0,IF(CM79&lt;0,IF(OR($J79=1,$J79=2,$J79=3,$J79=4,$J79=5,$J79=6,$J79=7,$J79=8,$J79=9,$J79=10),-$E79*$I79/12*3,IF($J79=11,-$E79*$I79/12*2,IF($J79=12,-$E79*$I79/12*1,0)))))+IF(CH$5&lt;&gt;$H79,0,IF(CH79&lt;0,IF($J79=10,-$E79*$I79/12*0,IF($J79=11,-$E79*$I79/12*1,IF($J79=12,-$E79*$I79/12*2,0)))))</f>
        <v>0</v>
      </c>
      <c r="CM79" s="1791">
        <f t="shared" ref="CM79:CM91" si="764">IF(AND(CH79&lt;&gt;0,CH$5=$H79),-$I79*$E79-CH79,IF(CM$5=$H79,-$I79*$E79*(12-$J79+1)/12,0))</f>
        <v>0</v>
      </c>
      <c r="CN79" s="1808">
        <f t="shared" ref="CN79:CN91" si="765">IF($H79&lt;&gt;CR$5,0,IF(CR79&lt;0,IF($J79=1,-$E79*$I79/12*3,IF($J79=2,-$E79*$I79/12*2,IF($J79=3,-$E79*$I79/12*1,0)))))+IF(CM$5&lt;&gt;$H79,0,IF(CM79&lt;0,IF($J79=1,-$E79*$I79/12*0,IF($J79=2,-$E79*$I79/12*1,IF($J79=3,-$E79*$I79/12*2,IF($J79&gt;=4,-$E79*$I79/12*3,0))))))</f>
        <v>0</v>
      </c>
      <c r="CO79" s="1807">
        <f t="shared" ref="CO79:CO91" si="766">IF($H79&lt;&gt;CR$5,0,IF(CR79&lt;0,IF(OR($J79=1,$J79=2,$J79=3,$J79=4),-$E79*$I79/12*3,IF($J79=5,-$E79*$I79/12*2,IF($J79=6,-$E79*$I79/12*1,0)))))+IF(CM$5&lt;&gt;$H79,0,IF(CM79&lt;0,IF($J79=4,-$E79*$I79/12*0,IF($J79=5,-$E79*$I79/12*1,IF($J79=6,-$E79*$I79/12*2,IF($J79&gt;=7,-$E79*$I79/12*3,0))))))</f>
        <v>0</v>
      </c>
      <c r="CP79" s="1807">
        <f t="shared" ref="CP79:CP91" si="767">IF($H79&lt;&gt;CR$5,0,IF(CR79&lt;0,IF(OR($J79=1,$J79=2,$J79=3,$J79=4,$J79=5,$J79=6,$J79=7),-$E79*$I79/12*3,IF($J79=8,-$E79*$I79/12*2,IF($J79=9,-$E79*$I79/12*1,0)))))+IF(CM$5&lt;&gt;$H79,0,IF(CM79&lt;0,IF($J79=7,-$E79*$I79/12*0,IF($J79=8,-$E79*$I79/12*1,IF($J79=9,-$E79*$I79/12*2,IF($J79&gt;=10,-$E79*$I79/12*3,0))))))</f>
        <v>0</v>
      </c>
      <c r="CQ79" s="1806">
        <f t="shared" ref="CQ79:CQ91" si="768">IF($H79&lt;&gt;CR$5,0,IF(CR79&lt;0,IF(OR($J79=1,$J79=2,$J79=3,$J79=4,$J79=5,$J79=6,$J79=7,$J79=8,$J79=9,$J79=10),-$E79*$I79/12*3,IF($J79=11,-$E79*$I79/12*2,IF($J79=12,-$E79*$I79/12*1,0)))))+IF(CM$5&lt;&gt;$H79,0,IF(CM79&lt;0,IF($J79=10,-$E79*$I79/12*0,IF($J79=11,-$E79*$I79/12*1,IF($J79=12,-$E79*$I79/12*2,0)))))</f>
        <v>0</v>
      </c>
      <c r="CR79" s="1791">
        <f t="shared" ref="CR79:CR91" si="769">IF(AND(CM79&lt;&gt;0,CM$5=$H79),-$I79*$E79-CM79,IF(CR$5=$H79,-$I79*$E79*(12-$J79+1)/12,0))</f>
        <v>0</v>
      </c>
      <c r="CS79" s="1808">
        <f t="shared" ref="CS79:CS91" si="770">IF($H79&lt;&gt;CW$5,0,IF(CW79&lt;0,IF($J79=1,-$E79*$I79/12*3,IF($J79=2,-$E79*$I79/12*2,IF($J79=3,-$E79*$I79/12*1,0)))))+IF(CR$5&lt;&gt;$H79,0,IF(CR79&lt;0,IF($J79=1,-$E79*$I79/12*0,IF($J79=2,-$E79*$I79/12*1,IF($J79=3,-$E79*$I79/12*2,IF($J79&gt;=4,-$E79*$I79/12*3,0))))))</f>
        <v>0</v>
      </c>
      <c r="CT79" s="1807">
        <f t="shared" ref="CT79:CT91" si="771">IF($H79&lt;&gt;CW$5,0,IF(CW79&lt;0,IF(OR($J79=1,$J79=2,$J79=3,$J79=4),-$E79*$I79/12*3,IF($J79=5,-$E79*$I79/12*2,IF($J79=6,-$E79*$I79/12*1,0)))))+IF(CR$5&lt;&gt;$H79,0,IF(CR79&lt;0,IF($J79=4,-$E79*$I79/12*0,IF($J79=5,-$E79*$I79/12*1,IF($J79=6,-$E79*$I79/12*2,IF($J79&gt;=7,-$E79*$I79/12*3,0))))))</f>
        <v>0</v>
      </c>
      <c r="CU79" s="1807">
        <f t="shared" ref="CU79:CU91" si="772">IF($H79&lt;&gt;CW$5,0,IF(CW79&lt;0,IF(OR($J79=1,$J79=2,$J79=3,$J79=4,$J79=5,$J79=6,$J79=7),-$E79*$I79/12*3,IF($J79=8,-$E79*$I79/12*2,IF($J79=9,-$E79*$I79/12*1,0)))))+IF(CR$5&lt;&gt;$H79,0,IF(CR79&lt;0,IF($J79=7,-$E79*$I79/12*0,IF($J79=8,-$E79*$I79/12*1,IF($J79=9,-$E79*$I79/12*2,IF($J79&gt;=10,-$E79*$I79/12*3,0))))))</f>
        <v>0</v>
      </c>
      <c r="CV79" s="1806">
        <f t="shared" ref="CV79:CV91" si="773">IF($H79&lt;&gt;CW$5,0,IF(CW79&lt;0,IF(OR($J79=1,$J79=2,$J79=3,$J79=4,$J79=5,$J79=6,$J79=7,$J79=8,$J79=9,$J79=10),-$E79*$I79/12*3,IF($J79=11,-$E79*$I79/12*2,IF($J79=12,-$E79*$I79/12*1,0)))))+IF(CR$5&lt;&gt;$H79,0,IF(CR79&lt;0,IF($J79=10,-$E79*$I79/12*0,IF($J79=11,-$E79*$I79/12*1,IF($J79=12,-$E79*$I79/12*2,0)))))</f>
        <v>0</v>
      </c>
      <c r="CW79" s="1791">
        <f t="shared" ref="CW79:CW91" si="774">IF(AND(CR79&lt;&gt;0,CR$5=$H79),-$I79*$E79-CR79,IF(CW$5=$H79,-$I79*$E79*(12-$J79+1)/12,0))</f>
        <v>0</v>
      </c>
      <c r="CX79" s="1808">
        <f t="shared" ref="CX79:CX91" si="775">IF($H79&lt;&gt;DB$5,0,IF(DB79&lt;0,IF($J79=1,-$E79*$I79/12*3,IF($J79=2,-$E79*$I79/12*2,IF($J79=3,-$E79*$I79/12*1,0)))))+IF(CW$5&lt;&gt;$H79,0,IF(CW79&lt;0,IF($J79=1,-$E79*$I79/12*0,IF($J79=2,-$E79*$I79/12*1,IF($J79=3,-$E79*$I79/12*2,IF($J79&gt;=4,-$E79*$I79/12*3,0))))))</f>
        <v>0</v>
      </c>
      <c r="CY79" s="1807">
        <f t="shared" ref="CY79:CY91" si="776">IF($H79&lt;&gt;DB$5,0,IF(DB79&lt;0,IF(OR($J79=1,$J79=2,$J79=3,$J79=4),-$E79*$I79/12*3,IF($J79=5,-$E79*$I79/12*2,IF($J79=6,-$E79*$I79/12*1,0)))))+IF(CW$5&lt;&gt;$H79,0,IF(CW79&lt;0,IF($J79=4,-$E79*$I79/12*0,IF($J79=5,-$E79*$I79/12*1,IF($J79=6,-$E79*$I79/12*2,IF($J79&gt;=7,-$E79*$I79/12*3,0))))))</f>
        <v>0</v>
      </c>
      <c r="CZ79" s="1807">
        <f t="shared" ref="CZ79:CZ91" si="777">IF($H79&lt;&gt;DB$5,0,IF(DB79&lt;0,IF(OR($J79=1,$J79=2,$J79=3,$J79=4,$J79=5,$J79=6,$J79=7),-$E79*$I79/12*3,IF($J79=8,-$E79*$I79/12*2,IF($J79=9,-$E79*$I79/12*1,0)))))+IF(CW$5&lt;&gt;$H79,0,IF(CW79&lt;0,IF($J79=7,-$E79*$I79/12*0,IF($J79=8,-$E79*$I79/12*1,IF($J79=9,-$E79*$I79/12*2,IF($J79&gt;=10,-$E79*$I79/12*3,0))))))</f>
        <v>0</v>
      </c>
      <c r="DA79" s="1806">
        <f t="shared" ref="DA79:DA91" si="778">IF($H79&lt;&gt;DB$5,0,IF(DB79&lt;0,IF(OR($J79=1,$J79=2,$J79=3,$J79=4,$J79=5,$J79=6,$J79=7,$J79=8,$J79=9,$J79=10),-$E79*$I79/12*3,IF($J79=11,-$E79*$I79/12*2,IF($J79=12,-$E79*$I79/12*1,0)))))+IF(CW$5&lt;&gt;$H79,0,IF(CW79&lt;0,IF($J79=10,-$E79*$I79/12*0,IF($J79=11,-$E79*$I79/12*1,IF($J79=12,-$E79*$I79/12*2,0)))))</f>
        <v>0</v>
      </c>
      <c r="DB79" s="1791">
        <f t="shared" ref="DB79:DB91" si="779">IF(AND(CW79&lt;&gt;0,CW$5=$H79),-$I79*$E79-CW79,IF(DB$5=$H79,-$I79*$E79*(12-$J79+1)/12,0))</f>
        <v>0</v>
      </c>
      <c r="DC79" s="1808">
        <f t="shared" ref="DC79:DC91" si="780">IF($H79&lt;&gt;DG$5,0,IF(DG79&lt;0,IF($J79=1,-$E79*$I79/12*3,IF($J79=2,-$E79*$I79/12*2,IF($J79=3,-$E79*$I79/12*1,0)))))+IF(DB$5&lt;&gt;$H79,0,IF(DB79&lt;0,IF($J79=1,-$E79*$I79/12*0,IF($J79=2,-$E79*$I79/12*1,IF($J79=3,-$E79*$I79/12*2,IF($J79&gt;=4,-$E79*$I79/12*3,0))))))</f>
        <v>0</v>
      </c>
      <c r="DD79" s="1807">
        <f t="shared" ref="DD79:DD91" si="781">IF($H79&lt;&gt;DG$5,0,IF(DG79&lt;0,IF(OR($J79=1,$J79=2,$J79=3,$J79=4),-$E79*$I79/12*3,IF($J79=5,-$E79*$I79/12*2,IF($J79=6,-$E79*$I79/12*1,0)))))+IF(DB$5&lt;&gt;$H79,0,IF(DB79&lt;0,IF($J79=4,-$E79*$I79/12*0,IF($J79=5,-$E79*$I79/12*1,IF($J79=6,-$E79*$I79/12*2,IF($J79&gt;=7,-$E79*$I79/12*3,0))))))</f>
        <v>0</v>
      </c>
      <c r="DE79" s="1807">
        <f t="shared" ref="DE79:DE91" si="782">IF($H79&lt;&gt;DG$5,0,IF(DG79&lt;0,IF(OR($J79=1,$J79=2,$J79=3,$J79=4,$J79=5,$J79=6,$J79=7),-$E79*$I79/12*3,IF($J79=8,-$E79*$I79/12*2,IF($J79=9,-$E79*$I79/12*1,0)))))+IF(DB$5&lt;&gt;$H79,0,IF(DB79&lt;0,IF($J79=7,-$E79*$I79/12*0,IF($J79=8,-$E79*$I79/12*1,IF($J79=9,-$E79*$I79/12*2,IF($J79&gt;=10,-$E79*$I79/12*3,0))))))</f>
        <v>0</v>
      </c>
      <c r="DF79" s="1806">
        <f t="shared" ref="DF79:DF91" si="783">IF($H79&lt;&gt;DG$5,0,IF(DG79&lt;0,IF(OR($J79=1,$J79=2,$J79=3,$J79=4,$J79=5,$J79=6,$J79=7,$J79=8,$J79=9,$J79=10),-$E79*$I79/12*3,IF($J79=11,-$E79*$I79/12*2,IF($J79=12,-$E79*$I79/12*1,0)))))+IF(DB$5&lt;&gt;$H79,0,IF(DB79&lt;0,IF($J79=10,-$E79*$I79/12*0,IF($J79=11,-$E79*$I79/12*1,IF($J79=12,-$E79*$I79/12*2,0)))))</f>
        <v>0</v>
      </c>
      <c r="DG79" s="1791">
        <f t="shared" ref="DG79:DG91" si="784">IF(AND(DB79&lt;&gt;0,DB$5=$H79),-$I79*$E79-DB79,IF(DG$5=$H79,-$I79*$E79*(12-$J79+1)/12,0))</f>
        <v>0</v>
      </c>
      <c r="DH79" s="1808">
        <f t="shared" ref="DH79:DH91" si="785">IF($H79&lt;&gt;DL$5,0,IF(DL79&lt;0,IF($J79=1,-$E79*$I79/12*3,IF($J79=2,-$E79*$I79/12*2,IF($J79=3,-$E79*$I79/12*1,0)))))+IF(DG$5&lt;&gt;$H79,0,IF(DG79&lt;0,IF($J79=1,-$E79*$I79/12*0,IF($J79=2,-$E79*$I79/12*1,IF($J79=3,-$E79*$I79/12*2,IF($J79&gt;=4,-$E79*$I79/12*3,0))))))</f>
        <v>0</v>
      </c>
      <c r="DI79" s="1807">
        <f t="shared" ref="DI79:DI91" si="786">IF($H79&lt;&gt;DL$5,0,IF(DL79&lt;0,IF(OR($J79=1,$J79=2,$J79=3,$J79=4),-$E79*$I79/12*3,IF($J79=5,-$E79*$I79/12*2,IF($J79=6,-$E79*$I79/12*1,0)))))+IF(DG$5&lt;&gt;$H79,0,IF(DG79&lt;0,IF($J79=4,-$E79*$I79/12*0,IF($J79=5,-$E79*$I79/12*1,IF($J79=6,-$E79*$I79/12*2,IF($J79&gt;=7,-$E79*$I79/12*3,0))))))</f>
        <v>0</v>
      </c>
      <c r="DJ79" s="1807">
        <f t="shared" ref="DJ79:DJ91" si="787">IF($H79&lt;&gt;DL$5,0,IF(DL79&lt;0,IF(OR($J79=1,$J79=2,$J79=3,$J79=4,$J79=5,$J79=6,$J79=7),-$E79*$I79/12*3,IF($J79=8,-$E79*$I79/12*2,IF($J79=9,-$E79*$I79/12*1,0)))))+IF(DG$5&lt;&gt;$H79,0,IF(DG79&lt;0,IF($J79=7,-$E79*$I79/12*0,IF($J79=8,-$E79*$I79/12*1,IF($J79=9,-$E79*$I79/12*2,IF($J79&gt;=10,-$E79*$I79/12*3,0))))))</f>
        <v>0</v>
      </c>
      <c r="DK79" s="1806">
        <f t="shared" ref="DK79:DK91" si="788">IF($H79&lt;&gt;DL$5,0,IF(DL79&lt;0,IF(OR($J79=1,$J79=2,$J79=3,$J79=4,$J79=5,$J79=6,$J79=7,$J79=8,$J79=9,$J79=10),-$E79*$I79/12*3,IF($J79=11,-$E79*$I79/12*2,IF($J79=12,-$E79*$I79/12*1,0)))))+IF(DG$5&lt;&gt;$H79,0,IF(DG79&lt;0,IF($J79=10,-$E79*$I79/12*0,IF($J79=11,-$E79*$I79/12*1,IF($J79=12,-$E79*$I79/12*2,0)))))</f>
        <v>0</v>
      </c>
      <c r="DL79" s="1791">
        <f t="shared" ref="DL79:DL91" si="789">IF(AND(DG79&lt;&gt;0,DG$5=$H79),-$I79*$E79-DG79,IF(DL$5=$H79,-$I79*$E79*(12-$J79+1)/12,0))</f>
        <v>0</v>
      </c>
      <c r="DM79" s="1808">
        <f t="shared" ref="DM79:DM91" si="790">IF($H79&lt;&gt;DQ$5,0,IF(DQ79&lt;0,IF($J79=1,-$E79*$I79/12*3,IF($J79=2,-$E79*$I79/12*2,IF($J79=3,-$E79*$I79/12*1,0)))))+IF(DL$5&lt;&gt;$H79,0,IF(DL79&lt;0,IF($J79=1,-$E79*$I79/12*0,IF($J79=2,-$E79*$I79/12*1,IF($J79=3,-$E79*$I79/12*2,IF($J79&gt;=4,-$E79*$I79/12*3,0))))))</f>
        <v>0</v>
      </c>
      <c r="DN79" s="1807">
        <f t="shared" ref="DN79:DN91" si="791">IF($H79&lt;&gt;DQ$5,0,IF(DQ79&lt;0,IF(OR($J79=1,$J79=2,$J79=3,$J79=4),-$E79*$I79/12*3,IF($J79=5,-$E79*$I79/12*2,IF($J79=6,-$E79*$I79/12*1,0)))))+IF(DL$5&lt;&gt;$H79,0,IF(DL79&lt;0,IF($J79=4,-$E79*$I79/12*0,IF($J79=5,-$E79*$I79/12*1,IF($J79=6,-$E79*$I79/12*2,IF($J79&gt;=7,-$E79*$I79/12*3,0))))))</f>
        <v>0</v>
      </c>
      <c r="DO79" s="1807">
        <f t="shared" ref="DO79:DO91" si="792">IF($H79&lt;&gt;DQ$5,0,IF(DQ79&lt;0,IF(OR($J79=1,$J79=2,$J79=3,$J79=4,$J79=5,$J79=6,$J79=7),-$E79*$I79/12*3,IF($J79=8,-$E79*$I79/12*2,IF($J79=9,-$E79*$I79/12*1,0)))))+IF(DL$5&lt;&gt;$H79,0,IF(DL79&lt;0,IF($J79=7,-$E79*$I79/12*0,IF($J79=8,-$E79*$I79/12*1,IF($J79=9,-$E79*$I79/12*2,IF($J79&gt;=10,-$E79*$I79/12*3,0))))))</f>
        <v>0</v>
      </c>
      <c r="DP79" s="1806">
        <f t="shared" ref="DP79:DP91" si="793">IF($H79&lt;&gt;DQ$5,0,IF(DQ79&lt;0,IF(OR($J79=1,$J79=2,$J79=3,$J79=4,$J79=5,$J79=6,$J79=7,$J79=8,$J79=9,$J79=10),-$E79*$I79/12*3,IF($J79=11,-$E79*$I79/12*2,IF($J79=12,-$E79*$I79/12*1,0)))))+IF(DL$5&lt;&gt;$H79,0,IF(DL79&lt;0,IF($J79=10,-$E79*$I79/12*0,IF($J79=11,-$E79*$I79/12*1,IF($J79=12,-$E79*$I79/12*2,0)))))</f>
        <v>0</v>
      </c>
      <c r="DQ79" s="1791">
        <f t="shared" ref="DQ79:DQ91" si="794">IF(AND(DL79&lt;&gt;0,DL$5=$H79),-$I79*$E79-DL79,IF(DQ$5=$H79,-$I79*$E79*(12-$J79+1)/12,0))</f>
        <v>0</v>
      </c>
      <c r="DR79" s="1808">
        <f t="shared" ref="DR79:DR93" si="795">IF($H79&lt;&gt;DV$5,0,IF(DV79&lt;0,IF($J79=1,-$E79*$I79/12*3,IF($J79=2,-$E79*$I79/12*2,IF($J79=3,-$E79*$I79/12*1,0)))))+IF(DQ$5&lt;&gt;$H79,0,IF(DQ79&lt;0,IF($J79=1,-$E79*$I79/12*0,IF($J79=2,-$E79*$I79/12*1,IF($J79=3,-$E79*$I79/12*2,IF($J79&gt;=4,-$E79*$I79/12*3,0))))))</f>
        <v>0</v>
      </c>
      <c r="DS79" s="1807">
        <f t="shared" ref="DS79:DS93" si="796">IF($H79&lt;&gt;DV$5,0,IF(DV79&lt;0,IF(OR($J79=1,$J79=2,$J79=3,$J79=4),-$E79*$I79/12*3,IF($J79=5,-$E79*$I79/12*2,IF($J79=6,-$E79*$I79/12*1,0)))))+IF(DQ$5&lt;&gt;$H79,0,IF(DQ79&lt;0,IF($J79=4,-$E79*$I79/12*0,IF($J79=5,-$E79*$I79/12*1,IF($J79=6,-$E79*$I79/12*2,IF($J79&gt;=7,-$E79*$I79/12*3,0))))))</f>
        <v>0</v>
      </c>
      <c r="DT79" s="1807">
        <f t="shared" ref="DT79:DT93" si="797">IF($H79&lt;&gt;DV$5,0,IF(DV79&lt;0,IF(OR($J79=1,$J79=2,$J79=3,$J79=4,$J79=5,$J79=6,$J79=7),-$E79*$I79/12*3,IF($J79=8,-$E79*$I79/12*2,IF($J79=9,-$E79*$I79/12*1,0)))))+IF(DQ$5&lt;&gt;$H79,0,IF(DQ79&lt;0,IF($J79=7,-$E79*$I79/12*0,IF($J79=8,-$E79*$I79/12*1,IF($J79=9,-$E79*$I79/12*2,IF($J79&gt;=10,-$E79*$I79/12*3,0))))))</f>
        <v>0</v>
      </c>
      <c r="DU79" s="1806">
        <f t="shared" ref="DU79:DU93" si="798">IF($H79&lt;&gt;DV$5,0,IF(DV79&lt;0,IF(OR($J79=1,$J79=2,$J79=3,$J79=4,$J79=5,$J79=6,$J79=7,$J79=8,$J79=9,$J79=10),-$E79*$I79/12*3,IF($J79=11,-$E79*$I79/12*2,IF($J79=12,-$E79*$I79/12*1,0)))))+IF(DQ$5&lt;&gt;$H79,0,IF(DQ79&lt;0,IF($J79=10,-$E79*$I79/12*0,IF($J79=11,-$E79*$I79/12*1,IF($J79=12,-$E79*$I79/12*2,0)))))</f>
        <v>0</v>
      </c>
      <c r="DV79" s="1791">
        <f t="shared" ref="DV79:DV93" si="799">IF(AND(DQ79&lt;&gt;0,DQ$5=$H79),-$I79*$E79-DQ79,IF(DV$5=$H79,-$I79*$E79*(12-$J79+1)/12,0))</f>
        <v>0</v>
      </c>
    </row>
    <row r="80" spans="1:126">
      <c r="A80" s="455"/>
      <c r="B80" s="455"/>
      <c r="C80" s="1363" t="s">
        <v>752</v>
      </c>
      <c r="D80" s="94"/>
      <c r="E80" s="1817">
        <f t="shared" ref="E80:E97" si="800">IF(F80=0,G80,F80)</f>
        <v>300</v>
      </c>
      <c r="F80" s="1435">
        <v>300</v>
      </c>
      <c r="G80" s="1435">
        <v>300</v>
      </c>
      <c r="H80" s="1350">
        <v>2018</v>
      </c>
      <c r="I80" s="1335">
        <v>6.5000000000000002E-2</v>
      </c>
      <c r="J80" s="1343">
        <v>9</v>
      </c>
      <c r="K80" s="1792"/>
      <c r="L80" s="1810">
        <f t="shared" si="688"/>
        <v>0</v>
      </c>
      <c r="M80" s="1791">
        <f t="shared" si="688"/>
        <v>0</v>
      </c>
      <c r="N80" s="1808">
        <f t="shared" si="689"/>
        <v>0</v>
      </c>
      <c r="O80" s="1807">
        <f t="shared" si="690"/>
        <v>0</v>
      </c>
      <c r="P80" s="1807">
        <f t="shared" si="691"/>
        <v>0</v>
      </c>
      <c r="Q80" s="1806">
        <f t="shared" si="692"/>
        <v>0</v>
      </c>
      <c r="R80" s="1791">
        <f t="shared" si="693"/>
        <v>0</v>
      </c>
      <c r="S80" s="1808">
        <f t="shared" si="694"/>
        <v>0</v>
      </c>
      <c r="T80" s="1807">
        <f t="shared" si="695"/>
        <v>0</v>
      </c>
      <c r="U80" s="1807">
        <f t="shared" si="696"/>
        <v>0</v>
      </c>
      <c r="V80" s="1806">
        <f t="shared" si="697"/>
        <v>0</v>
      </c>
      <c r="W80" s="1791">
        <f t="shared" si="698"/>
        <v>0</v>
      </c>
      <c r="X80" s="1808">
        <f t="shared" si="699"/>
        <v>0</v>
      </c>
      <c r="Y80" s="1807">
        <f t="shared" si="700"/>
        <v>0</v>
      </c>
      <c r="Z80" s="1807">
        <f t="shared" si="701"/>
        <v>0</v>
      </c>
      <c r="AA80" s="1806">
        <f t="shared" si="702"/>
        <v>0</v>
      </c>
      <c r="AB80" s="1791">
        <f t="shared" si="703"/>
        <v>0</v>
      </c>
      <c r="AC80" s="1808">
        <f t="shared" si="704"/>
        <v>0</v>
      </c>
      <c r="AD80" s="1807">
        <f t="shared" si="705"/>
        <v>0</v>
      </c>
      <c r="AE80" s="1807">
        <f t="shared" si="706"/>
        <v>0</v>
      </c>
      <c r="AF80" s="1806">
        <f t="shared" si="707"/>
        <v>0</v>
      </c>
      <c r="AG80" s="1791">
        <f t="shared" si="708"/>
        <v>0</v>
      </c>
      <c r="AH80" s="1808">
        <f t="shared" si="709"/>
        <v>0</v>
      </c>
      <c r="AI80" s="1807">
        <f t="shared" si="710"/>
        <v>0</v>
      </c>
      <c r="AJ80" s="1807">
        <f t="shared" si="711"/>
        <v>0</v>
      </c>
      <c r="AK80" s="1806">
        <f t="shared" si="712"/>
        <v>0</v>
      </c>
      <c r="AL80" s="1791">
        <f t="shared" si="713"/>
        <v>0</v>
      </c>
      <c r="AM80" s="1808">
        <f t="shared" si="714"/>
        <v>0</v>
      </c>
      <c r="AN80" s="1807">
        <f t="shared" si="715"/>
        <v>0</v>
      </c>
      <c r="AO80" s="1807">
        <f t="shared" si="716"/>
        <v>0</v>
      </c>
      <c r="AP80" s="1806">
        <f t="shared" si="717"/>
        <v>0</v>
      </c>
      <c r="AQ80" s="1791">
        <f t="shared" si="718"/>
        <v>0</v>
      </c>
      <c r="AR80" s="1808">
        <f t="shared" si="719"/>
        <v>0</v>
      </c>
      <c r="AS80" s="1807">
        <f t="shared" si="720"/>
        <v>0</v>
      </c>
      <c r="AT80" s="1807">
        <f t="shared" si="721"/>
        <v>0</v>
      </c>
      <c r="AU80" s="1806">
        <f t="shared" si="722"/>
        <v>0</v>
      </c>
      <c r="AV80" s="1791">
        <f t="shared" si="723"/>
        <v>0</v>
      </c>
      <c r="AW80" s="1808">
        <f t="shared" si="724"/>
        <v>0</v>
      </c>
      <c r="AX80" s="1807">
        <f t="shared" si="725"/>
        <v>0</v>
      </c>
      <c r="AY80" s="1807">
        <f t="shared" si="726"/>
        <v>-300</v>
      </c>
      <c r="AZ80" s="1806">
        <f t="shared" si="727"/>
        <v>0</v>
      </c>
      <c r="BA80" s="1791">
        <f t="shared" si="728"/>
        <v>-300</v>
      </c>
      <c r="BB80" s="1808">
        <f t="shared" si="729"/>
        <v>0</v>
      </c>
      <c r="BC80" s="1807">
        <f t="shared" si="730"/>
        <v>0</v>
      </c>
      <c r="BD80" s="1807">
        <f t="shared" si="731"/>
        <v>0</v>
      </c>
      <c r="BE80" s="1806">
        <f t="shared" si="732"/>
        <v>0</v>
      </c>
      <c r="BF80" s="1791">
        <f t="shared" si="733"/>
        <v>0</v>
      </c>
      <c r="BG80" s="1808">
        <f t="shared" si="734"/>
        <v>0</v>
      </c>
      <c r="BH80" s="1807">
        <f t="shared" si="735"/>
        <v>0</v>
      </c>
      <c r="BI80" s="1807">
        <f t="shared" si="736"/>
        <v>0</v>
      </c>
      <c r="BJ80" s="1806">
        <f t="shared" si="737"/>
        <v>0</v>
      </c>
      <c r="BK80" s="1791">
        <f t="shared" si="738"/>
        <v>0</v>
      </c>
      <c r="BL80" s="1808">
        <f t="shared" si="739"/>
        <v>0</v>
      </c>
      <c r="BM80" s="1807">
        <f t="shared" si="740"/>
        <v>0</v>
      </c>
      <c r="BN80" s="1807">
        <f t="shared" si="741"/>
        <v>0</v>
      </c>
      <c r="BO80" s="1806">
        <f t="shared" si="742"/>
        <v>0</v>
      </c>
      <c r="BP80" s="1791">
        <f t="shared" si="743"/>
        <v>0</v>
      </c>
      <c r="BQ80" s="1827"/>
      <c r="BR80" s="1991">
        <f t="shared" si="744"/>
        <v>0</v>
      </c>
      <c r="BS80" s="1991">
        <f t="shared" si="744"/>
        <v>0</v>
      </c>
      <c r="BT80" s="1992">
        <f t="shared" si="745"/>
        <v>0</v>
      </c>
      <c r="BU80" s="1992">
        <f t="shared" si="746"/>
        <v>0</v>
      </c>
      <c r="BV80" s="1992">
        <f t="shared" si="747"/>
        <v>0</v>
      </c>
      <c r="BW80" s="1992">
        <f t="shared" si="748"/>
        <v>0</v>
      </c>
      <c r="BX80" s="1810">
        <f t="shared" si="749"/>
        <v>0</v>
      </c>
      <c r="BY80" s="1807">
        <f t="shared" si="750"/>
        <v>0</v>
      </c>
      <c r="BZ80" s="1807">
        <f t="shared" si="751"/>
        <v>0</v>
      </c>
      <c r="CA80" s="1807">
        <f t="shared" si="752"/>
        <v>0</v>
      </c>
      <c r="CB80" s="1806">
        <f t="shared" si="753"/>
        <v>0</v>
      </c>
      <c r="CC80" s="1791">
        <f t="shared" si="754"/>
        <v>0</v>
      </c>
      <c r="CD80" s="1808">
        <f t="shared" si="755"/>
        <v>0</v>
      </c>
      <c r="CE80" s="1807">
        <f t="shared" si="756"/>
        <v>0</v>
      </c>
      <c r="CF80" s="1807">
        <f t="shared" si="757"/>
        <v>0</v>
      </c>
      <c r="CG80" s="1806">
        <f t="shared" si="758"/>
        <v>0</v>
      </c>
      <c r="CH80" s="1791">
        <f t="shared" si="759"/>
        <v>0</v>
      </c>
      <c r="CI80" s="1808">
        <f t="shared" si="760"/>
        <v>0</v>
      </c>
      <c r="CJ80" s="1807">
        <f t="shared" si="761"/>
        <v>0</v>
      </c>
      <c r="CK80" s="1807">
        <f t="shared" si="762"/>
        <v>0</v>
      </c>
      <c r="CL80" s="1806">
        <f t="shared" si="763"/>
        <v>0</v>
      </c>
      <c r="CM80" s="1791">
        <f t="shared" si="764"/>
        <v>0</v>
      </c>
      <c r="CN80" s="1808">
        <f t="shared" si="765"/>
        <v>0</v>
      </c>
      <c r="CO80" s="1807">
        <f t="shared" si="766"/>
        <v>0</v>
      </c>
      <c r="CP80" s="1807">
        <f t="shared" si="767"/>
        <v>0</v>
      </c>
      <c r="CQ80" s="1806">
        <f t="shared" si="768"/>
        <v>0</v>
      </c>
      <c r="CR80" s="1791">
        <f t="shared" si="769"/>
        <v>0</v>
      </c>
      <c r="CS80" s="1808">
        <f t="shared" si="770"/>
        <v>0</v>
      </c>
      <c r="CT80" s="1807">
        <f t="shared" si="771"/>
        <v>0</v>
      </c>
      <c r="CU80" s="1807">
        <f t="shared" si="772"/>
        <v>0</v>
      </c>
      <c r="CV80" s="1806">
        <f t="shared" si="773"/>
        <v>0</v>
      </c>
      <c r="CW80" s="1791">
        <f t="shared" si="774"/>
        <v>0</v>
      </c>
      <c r="CX80" s="1808">
        <f t="shared" si="775"/>
        <v>0</v>
      </c>
      <c r="CY80" s="1807">
        <f t="shared" si="776"/>
        <v>0</v>
      </c>
      <c r="CZ80" s="1807">
        <f t="shared" si="777"/>
        <v>0</v>
      </c>
      <c r="DA80" s="1806">
        <f t="shared" si="778"/>
        <v>0</v>
      </c>
      <c r="DB80" s="1791">
        <f t="shared" si="779"/>
        <v>0</v>
      </c>
      <c r="DC80" s="1808">
        <f t="shared" si="780"/>
        <v>0</v>
      </c>
      <c r="DD80" s="1807">
        <f t="shared" si="781"/>
        <v>0</v>
      </c>
      <c r="DE80" s="1807">
        <f t="shared" si="782"/>
        <v>-1.625</v>
      </c>
      <c r="DF80" s="1806">
        <f t="shared" si="783"/>
        <v>-4.875</v>
      </c>
      <c r="DG80" s="1791">
        <f t="shared" si="784"/>
        <v>-6.5</v>
      </c>
      <c r="DH80" s="1808">
        <f t="shared" si="785"/>
        <v>-4.875</v>
      </c>
      <c r="DI80" s="1807">
        <f t="shared" si="786"/>
        <v>-4.875</v>
      </c>
      <c r="DJ80" s="1807">
        <f t="shared" si="787"/>
        <v>-3.25</v>
      </c>
      <c r="DK80" s="1806">
        <f t="shared" si="788"/>
        <v>0</v>
      </c>
      <c r="DL80" s="1791">
        <f t="shared" si="789"/>
        <v>-13</v>
      </c>
      <c r="DM80" s="1808">
        <f t="shared" si="790"/>
        <v>0</v>
      </c>
      <c r="DN80" s="1807">
        <f t="shared" si="791"/>
        <v>0</v>
      </c>
      <c r="DO80" s="1807">
        <f t="shared" si="792"/>
        <v>0</v>
      </c>
      <c r="DP80" s="1806">
        <f t="shared" si="793"/>
        <v>0</v>
      </c>
      <c r="DQ80" s="1791">
        <f t="shared" si="794"/>
        <v>0</v>
      </c>
      <c r="DR80" s="1808">
        <f t="shared" si="795"/>
        <v>0</v>
      </c>
      <c r="DS80" s="1807">
        <f t="shared" si="796"/>
        <v>0</v>
      </c>
      <c r="DT80" s="1807">
        <f t="shared" si="797"/>
        <v>0</v>
      </c>
      <c r="DU80" s="1806">
        <f t="shared" si="798"/>
        <v>0</v>
      </c>
      <c r="DV80" s="1791">
        <f t="shared" si="799"/>
        <v>0</v>
      </c>
    </row>
    <row r="81" spans="1:126">
      <c r="A81" s="455"/>
      <c r="B81" s="455"/>
      <c r="C81" s="1363" t="s">
        <v>753</v>
      </c>
      <c r="D81" s="455"/>
      <c r="E81" s="1817">
        <f t="shared" si="800"/>
        <v>200</v>
      </c>
      <c r="F81" s="1435">
        <v>200</v>
      </c>
      <c r="G81" s="1435">
        <v>200</v>
      </c>
      <c r="H81" s="1350">
        <v>2021</v>
      </c>
      <c r="I81" s="1335">
        <v>4.8000000000000001E-2</v>
      </c>
      <c r="J81" s="1343">
        <v>5</v>
      </c>
      <c r="K81" s="1792"/>
      <c r="L81" s="1810">
        <f t="shared" si="688"/>
        <v>0</v>
      </c>
      <c r="M81" s="1791">
        <f t="shared" si="688"/>
        <v>0</v>
      </c>
      <c r="N81" s="1808">
        <f t="shared" si="689"/>
        <v>0</v>
      </c>
      <c r="O81" s="1807">
        <f t="shared" si="690"/>
        <v>0</v>
      </c>
      <c r="P81" s="1807">
        <f t="shared" si="691"/>
        <v>0</v>
      </c>
      <c r="Q81" s="1806">
        <f t="shared" si="692"/>
        <v>0</v>
      </c>
      <c r="R81" s="1791">
        <f t="shared" si="693"/>
        <v>0</v>
      </c>
      <c r="S81" s="1808">
        <f t="shared" si="694"/>
        <v>0</v>
      </c>
      <c r="T81" s="1807">
        <f t="shared" si="695"/>
        <v>0</v>
      </c>
      <c r="U81" s="1807">
        <f t="shared" si="696"/>
        <v>0</v>
      </c>
      <c r="V81" s="1806">
        <f t="shared" si="697"/>
        <v>0</v>
      </c>
      <c r="W81" s="1791">
        <f t="shared" si="698"/>
        <v>0</v>
      </c>
      <c r="X81" s="1808">
        <f t="shared" si="699"/>
        <v>0</v>
      </c>
      <c r="Y81" s="1807">
        <f t="shared" si="700"/>
        <v>0</v>
      </c>
      <c r="Z81" s="1807">
        <f t="shared" si="701"/>
        <v>0</v>
      </c>
      <c r="AA81" s="1806">
        <f t="shared" si="702"/>
        <v>0</v>
      </c>
      <c r="AB81" s="1791">
        <f t="shared" si="703"/>
        <v>0</v>
      </c>
      <c r="AC81" s="1808">
        <f t="shared" si="704"/>
        <v>0</v>
      </c>
      <c r="AD81" s="1807">
        <f t="shared" si="705"/>
        <v>0</v>
      </c>
      <c r="AE81" s="1807">
        <f t="shared" si="706"/>
        <v>0</v>
      </c>
      <c r="AF81" s="1806">
        <f t="shared" si="707"/>
        <v>0</v>
      </c>
      <c r="AG81" s="1791">
        <f t="shared" si="708"/>
        <v>0</v>
      </c>
      <c r="AH81" s="1808">
        <f t="shared" si="709"/>
        <v>0</v>
      </c>
      <c r="AI81" s="1807">
        <f t="shared" si="710"/>
        <v>0</v>
      </c>
      <c r="AJ81" s="1807">
        <f t="shared" si="711"/>
        <v>0</v>
      </c>
      <c r="AK81" s="1806">
        <f t="shared" si="712"/>
        <v>0</v>
      </c>
      <c r="AL81" s="1791">
        <f t="shared" si="713"/>
        <v>0</v>
      </c>
      <c r="AM81" s="1808">
        <f t="shared" si="714"/>
        <v>0</v>
      </c>
      <c r="AN81" s="1807">
        <f t="shared" si="715"/>
        <v>0</v>
      </c>
      <c r="AO81" s="1807">
        <f t="shared" si="716"/>
        <v>0</v>
      </c>
      <c r="AP81" s="1806">
        <f t="shared" si="717"/>
        <v>0</v>
      </c>
      <c r="AQ81" s="1791">
        <f t="shared" si="718"/>
        <v>0</v>
      </c>
      <c r="AR81" s="1808">
        <f t="shared" si="719"/>
        <v>0</v>
      </c>
      <c r="AS81" s="1807">
        <f t="shared" si="720"/>
        <v>0</v>
      </c>
      <c r="AT81" s="1807">
        <f t="shared" si="721"/>
        <v>0</v>
      </c>
      <c r="AU81" s="1806">
        <f t="shared" si="722"/>
        <v>0</v>
      </c>
      <c r="AV81" s="1791">
        <f t="shared" si="723"/>
        <v>0</v>
      </c>
      <c r="AW81" s="1808">
        <f t="shared" si="724"/>
        <v>0</v>
      </c>
      <c r="AX81" s="1807">
        <f t="shared" si="725"/>
        <v>0</v>
      </c>
      <c r="AY81" s="1807">
        <f t="shared" si="726"/>
        <v>0</v>
      </c>
      <c r="AZ81" s="1806">
        <f t="shared" si="727"/>
        <v>0</v>
      </c>
      <c r="BA81" s="1791">
        <f t="shared" si="728"/>
        <v>0</v>
      </c>
      <c r="BB81" s="1808">
        <f t="shared" si="729"/>
        <v>0</v>
      </c>
      <c r="BC81" s="1807">
        <f t="shared" si="730"/>
        <v>0</v>
      </c>
      <c r="BD81" s="1807">
        <f t="shared" si="731"/>
        <v>0</v>
      </c>
      <c r="BE81" s="1806">
        <f t="shared" si="732"/>
        <v>0</v>
      </c>
      <c r="BF81" s="1791">
        <f t="shared" si="733"/>
        <v>0</v>
      </c>
      <c r="BG81" s="1808">
        <f t="shared" si="734"/>
        <v>0</v>
      </c>
      <c r="BH81" s="1807">
        <f t="shared" si="735"/>
        <v>0</v>
      </c>
      <c r="BI81" s="1807">
        <f t="shared" si="736"/>
        <v>0</v>
      </c>
      <c r="BJ81" s="1806">
        <f t="shared" si="737"/>
        <v>0</v>
      </c>
      <c r="BK81" s="1791">
        <f t="shared" si="738"/>
        <v>0</v>
      </c>
      <c r="BL81" s="1808">
        <f t="shared" si="739"/>
        <v>0</v>
      </c>
      <c r="BM81" s="1807">
        <f t="shared" si="740"/>
        <v>-200</v>
      </c>
      <c r="BN81" s="1807">
        <f t="shared" si="741"/>
        <v>0</v>
      </c>
      <c r="BO81" s="1806">
        <f t="shared" si="742"/>
        <v>0</v>
      </c>
      <c r="BP81" s="1791">
        <f t="shared" si="743"/>
        <v>-200</v>
      </c>
      <c r="BQ81" s="1827"/>
      <c r="BR81" s="1991">
        <f t="shared" si="744"/>
        <v>0</v>
      </c>
      <c r="BS81" s="1991">
        <f t="shared" si="744"/>
        <v>0</v>
      </c>
      <c r="BT81" s="1992">
        <f t="shared" si="745"/>
        <v>0</v>
      </c>
      <c r="BU81" s="1992">
        <f t="shared" si="746"/>
        <v>0</v>
      </c>
      <c r="BV81" s="1992">
        <f t="shared" si="747"/>
        <v>0</v>
      </c>
      <c r="BW81" s="1992">
        <f t="shared" si="748"/>
        <v>0</v>
      </c>
      <c r="BX81" s="1810">
        <f t="shared" si="749"/>
        <v>0</v>
      </c>
      <c r="BY81" s="1807">
        <f t="shared" si="750"/>
        <v>0</v>
      </c>
      <c r="BZ81" s="1807">
        <f t="shared" si="751"/>
        <v>0</v>
      </c>
      <c r="CA81" s="1807">
        <f t="shared" si="752"/>
        <v>0</v>
      </c>
      <c r="CB81" s="1806">
        <f t="shared" si="753"/>
        <v>0</v>
      </c>
      <c r="CC81" s="1791">
        <f t="shared" si="754"/>
        <v>0</v>
      </c>
      <c r="CD81" s="1808">
        <f t="shared" si="755"/>
        <v>0</v>
      </c>
      <c r="CE81" s="1807">
        <f t="shared" si="756"/>
        <v>0</v>
      </c>
      <c r="CF81" s="1807">
        <f t="shared" si="757"/>
        <v>0</v>
      </c>
      <c r="CG81" s="1806">
        <f t="shared" si="758"/>
        <v>0</v>
      </c>
      <c r="CH81" s="1791">
        <f t="shared" si="759"/>
        <v>0</v>
      </c>
      <c r="CI81" s="1808">
        <f t="shared" si="760"/>
        <v>0</v>
      </c>
      <c r="CJ81" s="1807">
        <f t="shared" si="761"/>
        <v>0</v>
      </c>
      <c r="CK81" s="1807">
        <f t="shared" si="762"/>
        <v>0</v>
      </c>
      <c r="CL81" s="1806">
        <f t="shared" si="763"/>
        <v>0</v>
      </c>
      <c r="CM81" s="1791">
        <f t="shared" si="764"/>
        <v>0</v>
      </c>
      <c r="CN81" s="1808">
        <f t="shared" si="765"/>
        <v>0</v>
      </c>
      <c r="CO81" s="1807">
        <f t="shared" si="766"/>
        <v>0</v>
      </c>
      <c r="CP81" s="1807">
        <f t="shared" si="767"/>
        <v>0</v>
      </c>
      <c r="CQ81" s="1806">
        <f t="shared" si="768"/>
        <v>0</v>
      </c>
      <c r="CR81" s="1791">
        <f t="shared" si="769"/>
        <v>0</v>
      </c>
      <c r="CS81" s="1808">
        <f t="shared" si="770"/>
        <v>0</v>
      </c>
      <c r="CT81" s="1807">
        <f t="shared" si="771"/>
        <v>0</v>
      </c>
      <c r="CU81" s="1807">
        <f t="shared" si="772"/>
        <v>0</v>
      </c>
      <c r="CV81" s="1806">
        <f t="shared" si="773"/>
        <v>0</v>
      </c>
      <c r="CW81" s="1791">
        <f t="shared" si="774"/>
        <v>0</v>
      </c>
      <c r="CX81" s="1808">
        <f t="shared" si="775"/>
        <v>0</v>
      </c>
      <c r="CY81" s="1807">
        <f t="shared" si="776"/>
        <v>0</v>
      </c>
      <c r="CZ81" s="1807">
        <f t="shared" si="777"/>
        <v>0</v>
      </c>
      <c r="DA81" s="1806">
        <f t="shared" si="778"/>
        <v>0</v>
      </c>
      <c r="DB81" s="1791">
        <f t="shared" si="779"/>
        <v>0</v>
      </c>
      <c r="DC81" s="1808">
        <f t="shared" si="780"/>
        <v>0</v>
      </c>
      <c r="DD81" s="1807">
        <f t="shared" si="781"/>
        <v>0</v>
      </c>
      <c r="DE81" s="1807">
        <f t="shared" si="782"/>
        <v>0</v>
      </c>
      <c r="DF81" s="1806">
        <f t="shared" si="783"/>
        <v>0</v>
      </c>
      <c r="DG81" s="1791">
        <f t="shared" si="784"/>
        <v>0</v>
      </c>
      <c r="DH81" s="1808">
        <f t="shared" si="785"/>
        <v>0</v>
      </c>
      <c r="DI81" s="1807">
        <f t="shared" si="786"/>
        <v>0</v>
      </c>
      <c r="DJ81" s="1807">
        <f t="shared" si="787"/>
        <v>0</v>
      </c>
      <c r="DK81" s="1806">
        <f t="shared" si="788"/>
        <v>0</v>
      </c>
      <c r="DL81" s="1791">
        <f t="shared" si="789"/>
        <v>0</v>
      </c>
      <c r="DM81" s="1808">
        <f t="shared" si="790"/>
        <v>0</v>
      </c>
      <c r="DN81" s="1807">
        <f t="shared" si="791"/>
        <v>0</v>
      </c>
      <c r="DO81" s="1807">
        <f t="shared" si="792"/>
        <v>0</v>
      </c>
      <c r="DP81" s="1806">
        <f t="shared" si="793"/>
        <v>0</v>
      </c>
      <c r="DQ81" s="1791">
        <f t="shared" si="794"/>
        <v>0</v>
      </c>
      <c r="DR81" s="1808">
        <f t="shared" si="795"/>
        <v>0</v>
      </c>
      <c r="DS81" s="1807">
        <f t="shared" si="796"/>
        <v>-1.5999999999999999</v>
      </c>
      <c r="DT81" s="1807">
        <f t="shared" si="797"/>
        <v>-2.4</v>
      </c>
      <c r="DU81" s="1806">
        <f t="shared" si="798"/>
        <v>-2.4</v>
      </c>
      <c r="DV81" s="1791">
        <f t="shared" si="799"/>
        <v>-6.3999999999999995</v>
      </c>
    </row>
    <row r="82" spans="1:126">
      <c r="A82" s="455"/>
      <c r="B82" s="455"/>
      <c r="C82" s="1363" t="s">
        <v>114</v>
      </c>
      <c r="D82" s="455"/>
      <c r="E82" s="1817">
        <f t="shared" si="800"/>
        <v>200</v>
      </c>
      <c r="F82" s="1435">
        <v>200</v>
      </c>
      <c r="G82" s="1435">
        <v>200</v>
      </c>
      <c r="H82" s="1350">
        <v>2024</v>
      </c>
      <c r="I82" s="1335">
        <v>5.3999999999999999E-2</v>
      </c>
      <c r="J82" s="1343">
        <v>12</v>
      </c>
      <c r="K82" s="1792"/>
      <c r="L82" s="1810">
        <f t="shared" si="688"/>
        <v>0</v>
      </c>
      <c r="M82" s="1791">
        <f t="shared" si="688"/>
        <v>0</v>
      </c>
      <c r="N82" s="1808">
        <f t="shared" si="689"/>
        <v>0</v>
      </c>
      <c r="O82" s="1807">
        <f t="shared" si="690"/>
        <v>0</v>
      </c>
      <c r="P82" s="1807">
        <f t="shared" si="691"/>
        <v>0</v>
      </c>
      <c r="Q82" s="1806">
        <f t="shared" si="692"/>
        <v>0</v>
      </c>
      <c r="R82" s="1791">
        <f t="shared" si="693"/>
        <v>0</v>
      </c>
      <c r="S82" s="1808">
        <f t="shared" si="694"/>
        <v>0</v>
      </c>
      <c r="T82" s="1807">
        <f t="shared" si="695"/>
        <v>0</v>
      </c>
      <c r="U82" s="1807">
        <f t="shared" si="696"/>
        <v>0</v>
      </c>
      <c r="V82" s="1806">
        <f t="shared" si="697"/>
        <v>0</v>
      </c>
      <c r="W82" s="1791">
        <f t="shared" si="698"/>
        <v>0</v>
      </c>
      <c r="X82" s="1808">
        <f t="shared" si="699"/>
        <v>0</v>
      </c>
      <c r="Y82" s="1807">
        <f t="shared" si="700"/>
        <v>0</v>
      </c>
      <c r="Z82" s="1807">
        <f t="shared" si="701"/>
        <v>0</v>
      </c>
      <c r="AA82" s="1806">
        <f t="shared" si="702"/>
        <v>0</v>
      </c>
      <c r="AB82" s="1791">
        <f t="shared" si="703"/>
        <v>0</v>
      </c>
      <c r="AC82" s="1808">
        <f t="shared" si="704"/>
        <v>0</v>
      </c>
      <c r="AD82" s="1807">
        <f t="shared" si="705"/>
        <v>0</v>
      </c>
      <c r="AE82" s="1807">
        <f t="shared" si="706"/>
        <v>0</v>
      </c>
      <c r="AF82" s="1806">
        <f t="shared" si="707"/>
        <v>0</v>
      </c>
      <c r="AG82" s="1791">
        <f t="shared" si="708"/>
        <v>0</v>
      </c>
      <c r="AH82" s="1808">
        <f t="shared" si="709"/>
        <v>0</v>
      </c>
      <c r="AI82" s="1807">
        <f t="shared" si="710"/>
        <v>0</v>
      </c>
      <c r="AJ82" s="1807">
        <f t="shared" si="711"/>
        <v>0</v>
      </c>
      <c r="AK82" s="1806">
        <f t="shared" si="712"/>
        <v>0</v>
      </c>
      <c r="AL82" s="1791">
        <f t="shared" si="713"/>
        <v>0</v>
      </c>
      <c r="AM82" s="1808">
        <f t="shared" si="714"/>
        <v>0</v>
      </c>
      <c r="AN82" s="1807">
        <f t="shared" si="715"/>
        <v>0</v>
      </c>
      <c r="AO82" s="1807">
        <f t="shared" si="716"/>
        <v>0</v>
      </c>
      <c r="AP82" s="1806">
        <f t="shared" si="717"/>
        <v>0</v>
      </c>
      <c r="AQ82" s="1791">
        <f t="shared" si="718"/>
        <v>0</v>
      </c>
      <c r="AR82" s="1808">
        <f t="shared" si="719"/>
        <v>0</v>
      </c>
      <c r="AS82" s="1807">
        <f t="shared" si="720"/>
        <v>0</v>
      </c>
      <c r="AT82" s="1807">
        <f t="shared" si="721"/>
        <v>0</v>
      </c>
      <c r="AU82" s="1806">
        <f t="shared" si="722"/>
        <v>0</v>
      </c>
      <c r="AV82" s="1791">
        <f t="shared" si="723"/>
        <v>0</v>
      </c>
      <c r="AW82" s="1808">
        <f t="shared" si="724"/>
        <v>0</v>
      </c>
      <c r="AX82" s="1807">
        <f t="shared" si="725"/>
        <v>0</v>
      </c>
      <c r="AY82" s="1807">
        <f t="shared" si="726"/>
        <v>0</v>
      </c>
      <c r="AZ82" s="1806">
        <f t="shared" si="727"/>
        <v>0</v>
      </c>
      <c r="BA82" s="1791">
        <f t="shared" si="728"/>
        <v>0</v>
      </c>
      <c r="BB82" s="1808">
        <f t="shared" si="729"/>
        <v>0</v>
      </c>
      <c r="BC82" s="1807">
        <f t="shared" si="730"/>
        <v>0</v>
      </c>
      <c r="BD82" s="1807">
        <f t="shared" si="731"/>
        <v>0</v>
      </c>
      <c r="BE82" s="1806">
        <f t="shared" si="732"/>
        <v>0</v>
      </c>
      <c r="BF82" s="1791">
        <f t="shared" si="733"/>
        <v>0</v>
      </c>
      <c r="BG82" s="1808">
        <f t="shared" si="734"/>
        <v>0</v>
      </c>
      <c r="BH82" s="1807">
        <f t="shared" si="735"/>
        <v>0</v>
      </c>
      <c r="BI82" s="1807">
        <f t="shared" si="736"/>
        <v>0</v>
      </c>
      <c r="BJ82" s="1806">
        <f t="shared" si="737"/>
        <v>0</v>
      </c>
      <c r="BK82" s="1791">
        <f t="shared" si="738"/>
        <v>0</v>
      </c>
      <c r="BL82" s="1808">
        <f t="shared" si="739"/>
        <v>0</v>
      </c>
      <c r="BM82" s="1807">
        <f t="shared" si="740"/>
        <v>0</v>
      </c>
      <c r="BN82" s="1807">
        <f t="shared" si="741"/>
        <v>0</v>
      </c>
      <c r="BO82" s="1806">
        <f t="shared" si="742"/>
        <v>0</v>
      </c>
      <c r="BP82" s="1791">
        <f t="shared" si="743"/>
        <v>0</v>
      </c>
      <c r="BQ82" s="1827"/>
      <c r="BR82" s="1991">
        <f t="shared" si="744"/>
        <v>0</v>
      </c>
      <c r="BS82" s="1991">
        <f t="shared" si="744"/>
        <v>0</v>
      </c>
      <c r="BT82" s="1992">
        <f t="shared" si="745"/>
        <v>0</v>
      </c>
      <c r="BU82" s="1992">
        <f t="shared" si="746"/>
        <v>0</v>
      </c>
      <c r="BV82" s="1992">
        <f t="shared" si="747"/>
        <v>0</v>
      </c>
      <c r="BW82" s="1992">
        <f t="shared" si="748"/>
        <v>0</v>
      </c>
      <c r="BX82" s="1810">
        <f t="shared" si="749"/>
        <v>0</v>
      </c>
      <c r="BY82" s="1807">
        <f t="shared" si="750"/>
        <v>0</v>
      </c>
      <c r="BZ82" s="1807">
        <f t="shared" si="751"/>
        <v>0</v>
      </c>
      <c r="CA82" s="1807">
        <f t="shared" si="752"/>
        <v>0</v>
      </c>
      <c r="CB82" s="1806">
        <f t="shared" si="753"/>
        <v>0</v>
      </c>
      <c r="CC82" s="1791">
        <f t="shared" si="754"/>
        <v>0</v>
      </c>
      <c r="CD82" s="1808">
        <f t="shared" si="755"/>
        <v>0</v>
      </c>
      <c r="CE82" s="1807">
        <f t="shared" si="756"/>
        <v>0</v>
      </c>
      <c r="CF82" s="1807">
        <f t="shared" si="757"/>
        <v>0</v>
      </c>
      <c r="CG82" s="1806">
        <f t="shared" si="758"/>
        <v>0</v>
      </c>
      <c r="CH82" s="1791">
        <f t="shared" si="759"/>
        <v>0</v>
      </c>
      <c r="CI82" s="1808">
        <f t="shared" si="760"/>
        <v>0</v>
      </c>
      <c r="CJ82" s="1807">
        <f t="shared" si="761"/>
        <v>0</v>
      </c>
      <c r="CK82" s="1807">
        <f t="shared" si="762"/>
        <v>0</v>
      </c>
      <c r="CL82" s="1806">
        <f t="shared" si="763"/>
        <v>0</v>
      </c>
      <c r="CM82" s="1791">
        <f t="shared" si="764"/>
        <v>0</v>
      </c>
      <c r="CN82" s="1808">
        <f t="shared" si="765"/>
        <v>0</v>
      </c>
      <c r="CO82" s="1807">
        <f t="shared" si="766"/>
        <v>0</v>
      </c>
      <c r="CP82" s="1807">
        <f t="shared" si="767"/>
        <v>0</v>
      </c>
      <c r="CQ82" s="1806">
        <f t="shared" si="768"/>
        <v>0</v>
      </c>
      <c r="CR82" s="1791">
        <f t="shared" si="769"/>
        <v>0</v>
      </c>
      <c r="CS82" s="1808">
        <f t="shared" si="770"/>
        <v>0</v>
      </c>
      <c r="CT82" s="1807">
        <f t="shared" si="771"/>
        <v>0</v>
      </c>
      <c r="CU82" s="1807">
        <f t="shared" si="772"/>
        <v>0</v>
      </c>
      <c r="CV82" s="1806">
        <f t="shared" si="773"/>
        <v>0</v>
      </c>
      <c r="CW82" s="1791">
        <f t="shared" si="774"/>
        <v>0</v>
      </c>
      <c r="CX82" s="1808">
        <f t="shared" si="775"/>
        <v>0</v>
      </c>
      <c r="CY82" s="1807">
        <f t="shared" si="776"/>
        <v>0</v>
      </c>
      <c r="CZ82" s="1807">
        <f t="shared" si="777"/>
        <v>0</v>
      </c>
      <c r="DA82" s="1806">
        <f t="shared" si="778"/>
        <v>0</v>
      </c>
      <c r="DB82" s="1791">
        <f t="shared" si="779"/>
        <v>0</v>
      </c>
      <c r="DC82" s="1808">
        <f t="shared" si="780"/>
        <v>0</v>
      </c>
      <c r="DD82" s="1807">
        <f t="shared" si="781"/>
        <v>0</v>
      </c>
      <c r="DE82" s="1807">
        <f t="shared" si="782"/>
        <v>0</v>
      </c>
      <c r="DF82" s="1806">
        <f t="shared" si="783"/>
        <v>0</v>
      </c>
      <c r="DG82" s="1791">
        <f t="shared" si="784"/>
        <v>0</v>
      </c>
      <c r="DH82" s="1808">
        <f t="shared" si="785"/>
        <v>0</v>
      </c>
      <c r="DI82" s="1807">
        <f t="shared" si="786"/>
        <v>0</v>
      </c>
      <c r="DJ82" s="1807">
        <f t="shared" si="787"/>
        <v>0</v>
      </c>
      <c r="DK82" s="1806">
        <f t="shared" si="788"/>
        <v>0</v>
      </c>
      <c r="DL82" s="1791">
        <f t="shared" si="789"/>
        <v>0</v>
      </c>
      <c r="DM82" s="1808">
        <f t="shared" si="790"/>
        <v>0</v>
      </c>
      <c r="DN82" s="1807">
        <f t="shared" si="791"/>
        <v>0</v>
      </c>
      <c r="DO82" s="1807">
        <f t="shared" si="792"/>
        <v>0</v>
      </c>
      <c r="DP82" s="1806">
        <f t="shared" si="793"/>
        <v>0</v>
      </c>
      <c r="DQ82" s="1791">
        <f t="shared" si="794"/>
        <v>0</v>
      </c>
      <c r="DR82" s="1808">
        <f t="shared" si="795"/>
        <v>0</v>
      </c>
      <c r="DS82" s="1807">
        <f t="shared" si="796"/>
        <v>0</v>
      </c>
      <c r="DT82" s="1807">
        <f t="shared" si="797"/>
        <v>0</v>
      </c>
      <c r="DU82" s="1806">
        <f t="shared" si="798"/>
        <v>0</v>
      </c>
      <c r="DV82" s="1791">
        <f t="shared" si="799"/>
        <v>0</v>
      </c>
    </row>
    <row r="83" spans="1:126">
      <c r="A83" s="455"/>
      <c r="B83" s="455"/>
      <c r="C83" s="1363" t="s">
        <v>755</v>
      </c>
      <c r="D83" s="455"/>
      <c r="E83" s="1817">
        <f t="shared" si="800"/>
        <v>400</v>
      </c>
      <c r="F83" s="1435">
        <v>400</v>
      </c>
      <c r="G83" s="1435">
        <v>400</v>
      </c>
      <c r="H83" s="1350">
        <v>2024</v>
      </c>
      <c r="I83" s="1335">
        <v>5.3999999999999999E-2</v>
      </c>
      <c r="J83" s="1343">
        <v>11</v>
      </c>
      <c r="K83" s="1792"/>
      <c r="L83" s="1810">
        <f t="shared" si="688"/>
        <v>0</v>
      </c>
      <c r="M83" s="1791">
        <f t="shared" si="688"/>
        <v>0</v>
      </c>
      <c r="N83" s="1808">
        <f t="shared" si="689"/>
        <v>0</v>
      </c>
      <c r="O83" s="1807">
        <f t="shared" si="690"/>
        <v>0</v>
      </c>
      <c r="P83" s="1807">
        <f t="shared" si="691"/>
        <v>0</v>
      </c>
      <c r="Q83" s="1806">
        <f t="shared" si="692"/>
        <v>0</v>
      </c>
      <c r="R83" s="1791">
        <f t="shared" si="693"/>
        <v>0</v>
      </c>
      <c r="S83" s="1808">
        <f t="shared" si="694"/>
        <v>0</v>
      </c>
      <c r="T83" s="1807">
        <f t="shared" si="695"/>
        <v>0</v>
      </c>
      <c r="U83" s="1807">
        <f t="shared" si="696"/>
        <v>0</v>
      </c>
      <c r="V83" s="1806">
        <f t="shared" si="697"/>
        <v>0</v>
      </c>
      <c r="W83" s="1791">
        <f t="shared" si="698"/>
        <v>0</v>
      </c>
      <c r="X83" s="1808">
        <f t="shared" si="699"/>
        <v>0</v>
      </c>
      <c r="Y83" s="1807">
        <f t="shared" si="700"/>
        <v>0</v>
      </c>
      <c r="Z83" s="1807">
        <f t="shared" si="701"/>
        <v>0</v>
      </c>
      <c r="AA83" s="1806">
        <f t="shared" si="702"/>
        <v>0</v>
      </c>
      <c r="AB83" s="1791">
        <f t="shared" si="703"/>
        <v>0</v>
      </c>
      <c r="AC83" s="1808">
        <f t="shared" si="704"/>
        <v>0</v>
      </c>
      <c r="AD83" s="1807">
        <f t="shared" si="705"/>
        <v>0</v>
      </c>
      <c r="AE83" s="1807">
        <f t="shared" si="706"/>
        <v>0</v>
      </c>
      <c r="AF83" s="1806">
        <f t="shared" si="707"/>
        <v>0</v>
      </c>
      <c r="AG83" s="1791">
        <f t="shared" si="708"/>
        <v>0</v>
      </c>
      <c r="AH83" s="1808">
        <f t="shared" si="709"/>
        <v>0</v>
      </c>
      <c r="AI83" s="1807">
        <f t="shared" si="710"/>
        <v>0</v>
      </c>
      <c r="AJ83" s="1807">
        <f t="shared" si="711"/>
        <v>0</v>
      </c>
      <c r="AK83" s="1806">
        <f t="shared" si="712"/>
        <v>0</v>
      </c>
      <c r="AL83" s="1791">
        <f t="shared" si="713"/>
        <v>0</v>
      </c>
      <c r="AM83" s="1808">
        <f t="shared" si="714"/>
        <v>0</v>
      </c>
      <c r="AN83" s="1807">
        <f t="shared" si="715"/>
        <v>0</v>
      </c>
      <c r="AO83" s="1807">
        <f t="shared" si="716"/>
        <v>0</v>
      </c>
      <c r="AP83" s="1806">
        <f t="shared" si="717"/>
        <v>0</v>
      </c>
      <c r="AQ83" s="1791">
        <f t="shared" si="718"/>
        <v>0</v>
      </c>
      <c r="AR83" s="1808">
        <f t="shared" si="719"/>
        <v>0</v>
      </c>
      <c r="AS83" s="1807">
        <f t="shared" si="720"/>
        <v>0</v>
      </c>
      <c r="AT83" s="1807">
        <f t="shared" si="721"/>
        <v>0</v>
      </c>
      <c r="AU83" s="1806">
        <f t="shared" si="722"/>
        <v>0</v>
      </c>
      <c r="AV83" s="1791">
        <f t="shared" si="723"/>
        <v>0</v>
      </c>
      <c r="AW83" s="1808">
        <f t="shared" si="724"/>
        <v>0</v>
      </c>
      <c r="AX83" s="1807">
        <f t="shared" si="725"/>
        <v>0</v>
      </c>
      <c r="AY83" s="1807">
        <f t="shared" si="726"/>
        <v>0</v>
      </c>
      <c r="AZ83" s="1806">
        <f t="shared" si="727"/>
        <v>0</v>
      </c>
      <c r="BA83" s="1791">
        <f t="shared" si="728"/>
        <v>0</v>
      </c>
      <c r="BB83" s="1808">
        <f t="shared" si="729"/>
        <v>0</v>
      </c>
      <c r="BC83" s="1807">
        <f t="shared" si="730"/>
        <v>0</v>
      </c>
      <c r="BD83" s="1807">
        <f t="shared" si="731"/>
        <v>0</v>
      </c>
      <c r="BE83" s="1806">
        <f t="shared" si="732"/>
        <v>0</v>
      </c>
      <c r="BF83" s="1791">
        <f t="shared" si="733"/>
        <v>0</v>
      </c>
      <c r="BG83" s="1808">
        <f t="shared" si="734"/>
        <v>0</v>
      </c>
      <c r="BH83" s="1807">
        <f t="shared" si="735"/>
        <v>0</v>
      </c>
      <c r="BI83" s="1807">
        <f t="shared" si="736"/>
        <v>0</v>
      </c>
      <c r="BJ83" s="1806">
        <f t="shared" si="737"/>
        <v>0</v>
      </c>
      <c r="BK83" s="1791">
        <f t="shared" si="738"/>
        <v>0</v>
      </c>
      <c r="BL83" s="1808">
        <f t="shared" si="739"/>
        <v>0</v>
      </c>
      <c r="BM83" s="1807">
        <f t="shared" si="740"/>
        <v>0</v>
      </c>
      <c r="BN83" s="1807">
        <f t="shared" si="741"/>
        <v>0</v>
      </c>
      <c r="BO83" s="1806">
        <f t="shared" si="742"/>
        <v>0</v>
      </c>
      <c r="BP83" s="1791">
        <f t="shared" si="743"/>
        <v>0</v>
      </c>
      <c r="BQ83" s="1827"/>
      <c r="BR83" s="1991">
        <f t="shared" si="744"/>
        <v>0</v>
      </c>
      <c r="BS83" s="1991">
        <f t="shared" si="744"/>
        <v>0</v>
      </c>
      <c r="BT83" s="1992">
        <f t="shared" si="745"/>
        <v>0</v>
      </c>
      <c r="BU83" s="1992">
        <f t="shared" si="746"/>
        <v>0</v>
      </c>
      <c r="BV83" s="1992">
        <f t="shared" si="747"/>
        <v>0</v>
      </c>
      <c r="BW83" s="1992">
        <f t="shared" si="748"/>
        <v>0</v>
      </c>
      <c r="BX83" s="1810">
        <f t="shared" si="749"/>
        <v>0</v>
      </c>
      <c r="BY83" s="1807">
        <f t="shared" si="750"/>
        <v>0</v>
      </c>
      <c r="BZ83" s="1807">
        <f t="shared" si="751"/>
        <v>0</v>
      </c>
      <c r="CA83" s="1807">
        <f t="shared" si="752"/>
        <v>0</v>
      </c>
      <c r="CB83" s="1806">
        <f t="shared" si="753"/>
        <v>0</v>
      </c>
      <c r="CC83" s="1791">
        <f t="shared" si="754"/>
        <v>0</v>
      </c>
      <c r="CD83" s="1808">
        <f t="shared" si="755"/>
        <v>0</v>
      </c>
      <c r="CE83" s="1807">
        <f t="shared" si="756"/>
        <v>0</v>
      </c>
      <c r="CF83" s="1807">
        <f t="shared" si="757"/>
        <v>0</v>
      </c>
      <c r="CG83" s="1806">
        <f t="shared" si="758"/>
        <v>0</v>
      </c>
      <c r="CH83" s="1791">
        <f t="shared" si="759"/>
        <v>0</v>
      </c>
      <c r="CI83" s="1808">
        <f t="shared" si="760"/>
        <v>0</v>
      </c>
      <c r="CJ83" s="1807">
        <f t="shared" si="761"/>
        <v>0</v>
      </c>
      <c r="CK83" s="1807">
        <f t="shared" si="762"/>
        <v>0</v>
      </c>
      <c r="CL83" s="1806">
        <f t="shared" si="763"/>
        <v>0</v>
      </c>
      <c r="CM83" s="1791">
        <f t="shared" si="764"/>
        <v>0</v>
      </c>
      <c r="CN83" s="1808">
        <f t="shared" si="765"/>
        <v>0</v>
      </c>
      <c r="CO83" s="1807">
        <f t="shared" si="766"/>
        <v>0</v>
      </c>
      <c r="CP83" s="1807">
        <f t="shared" si="767"/>
        <v>0</v>
      </c>
      <c r="CQ83" s="1806">
        <f t="shared" si="768"/>
        <v>0</v>
      </c>
      <c r="CR83" s="1791">
        <f t="shared" si="769"/>
        <v>0</v>
      </c>
      <c r="CS83" s="1808">
        <f t="shared" si="770"/>
        <v>0</v>
      </c>
      <c r="CT83" s="1807">
        <f t="shared" si="771"/>
        <v>0</v>
      </c>
      <c r="CU83" s="1807">
        <f t="shared" si="772"/>
        <v>0</v>
      </c>
      <c r="CV83" s="1806">
        <f t="shared" si="773"/>
        <v>0</v>
      </c>
      <c r="CW83" s="1791">
        <f t="shared" si="774"/>
        <v>0</v>
      </c>
      <c r="CX83" s="1808">
        <f t="shared" si="775"/>
        <v>0</v>
      </c>
      <c r="CY83" s="1807">
        <f t="shared" si="776"/>
        <v>0</v>
      </c>
      <c r="CZ83" s="1807">
        <f t="shared" si="777"/>
        <v>0</v>
      </c>
      <c r="DA83" s="1806">
        <f t="shared" si="778"/>
        <v>0</v>
      </c>
      <c r="DB83" s="1791">
        <f t="shared" si="779"/>
        <v>0</v>
      </c>
      <c r="DC83" s="1808">
        <f t="shared" si="780"/>
        <v>0</v>
      </c>
      <c r="DD83" s="1807">
        <f t="shared" si="781"/>
        <v>0</v>
      </c>
      <c r="DE83" s="1807">
        <f t="shared" si="782"/>
        <v>0</v>
      </c>
      <c r="DF83" s="1806">
        <f t="shared" si="783"/>
        <v>0</v>
      </c>
      <c r="DG83" s="1791">
        <f t="shared" si="784"/>
        <v>0</v>
      </c>
      <c r="DH83" s="1808">
        <f t="shared" si="785"/>
        <v>0</v>
      </c>
      <c r="DI83" s="1807">
        <f t="shared" si="786"/>
        <v>0</v>
      </c>
      <c r="DJ83" s="1807">
        <f t="shared" si="787"/>
        <v>0</v>
      </c>
      <c r="DK83" s="1806">
        <f t="shared" si="788"/>
        <v>0</v>
      </c>
      <c r="DL83" s="1791">
        <f t="shared" si="789"/>
        <v>0</v>
      </c>
      <c r="DM83" s="1808">
        <f t="shared" si="790"/>
        <v>0</v>
      </c>
      <c r="DN83" s="1807">
        <f t="shared" si="791"/>
        <v>0</v>
      </c>
      <c r="DO83" s="1807">
        <f t="shared" si="792"/>
        <v>0</v>
      </c>
      <c r="DP83" s="1806">
        <f t="shared" si="793"/>
        <v>0</v>
      </c>
      <c r="DQ83" s="1791">
        <f t="shared" si="794"/>
        <v>0</v>
      </c>
      <c r="DR83" s="1808">
        <f t="shared" si="795"/>
        <v>0</v>
      </c>
      <c r="DS83" s="1807">
        <f t="shared" si="796"/>
        <v>0</v>
      </c>
      <c r="DT83" s="1807">
        <f t="shared" si="797"/>
        <v>0</v>
      </c>
      <c r="DU83" s="1806">
        <f t="shared" si="798"/>
        <v>0</v>
      </c>
      <c r="DV83" s="1791">
        <f t="shared" si="799"/>
        <v>0</v>
      </c>
    </row>
    <row r="84" spans="1:126">
      <c r="A84" s="455"/>
      <c r="B84" s="455"/>
      <c r="C84" s="1363" t="s">
        <v>756</v>
      </c>
      <c r="D84" s="455"/>
      <c r="E84" s="1817">
        <f t="shared" si="800"/>
        <v>250</v>
      </c>
      <c r="F84" s="1435">
        <v>250</v>
      </c>
      <c r="G84" s="1435">
        <v>250</v>
      </c>
      <c r="H84" s="1350">
        <v>2026</v>
      </c>
      <c r="I84" s="1335">
        <v>4.4400000000000002E-2</v>
      </c>
      <c r="J84" s="1343">
        <v>1</v>
      </c>
      <c r="K84" s="1792"/>
      <c r="L84" s="1810">
        <f t="shared" si="688"/>
        <v>0</v>
      </c>
      <c r="M84" s="1791">
        <f t="shared" si="688"/>
        <v>0</v>
      </c>
      <c r="N84" s="1808">
        <f t="shared" si="689"/>
        <v>0</v>
      </c>
      <c r="O84" s="1807">
        <f t="shared" si="690"/>
        <v>0</v>
      </c>
      <c r="P84" s="1807">
        <f t="shared" si="691"/>
        <v>0</v>
      </c>
      <c r="Q84" s="1806">
        <f t="shared" si="692"/>
        <v>0</v>
      </c>
      <c r="R84" s="1791">
        <f t="shared" si="693"/>
        <v>0</v>
      </c>
      <c r="S84" s="1808">
        <f t="shared" si="694"/>
        <v>0</v>
      </c>
      <c r="T84" s="1807">
        <f t="shared" si="695"/>
        <v>0</v>
      </c>
      <c r="U84" s="1807">
        <f t="shared" si="696"/>
        <v>0</v>
      </c>
      <c r="V84" s="1806">
        <f t="shared" si="697"/>
        <v>0</v>
      </c>
      <c r="W84" s="1791">
        <f t="shared" si="698"/>
        <v>0</v>
      </c>
      <c r="X84" s="1808">
        <f t="shared" si="699"/>
        <v>0</v>
      </c>
      <c r="Y84" s="1807">
        <f t="shared" si="700"/>
        <v>0</v>
      </c>
      <c r="Z84" s="1807">
        <f t="shared" si="701"/>
        <v>0</v>
      </c>
      <c r="AA84" s="1806">
        <f t="shared" si="702"/>
        <v>0</v>
      </c>
      <c r="AB84" s="1791">
        <f t="shared" si="703"/>
        <v>0</v>
      </c>
      <c r="AC84" s="1808">
        <f t="shared" si="704"/>
        <v>0</v>
      </c>
      <c r="AD84" s="1807">
        <f t="shared" si="705"/>
        <v>0</v>
      </c>
      <c r="AE84" s="1807">
        <f t="shared" si="706"/>
        <v>0</v>
      </c>
      <c r="AF84" s="1806">
        <f t="shared" si="707"/>
        <v>0</v>
      </c>
      <c r="AG84" s="1791">
        <f t="shared" si="708"/>
        <v>0</v>
      </c>
      <c r="AH84" s="1808">
        <f t="shared" si="709"/>
        <v>0</v>
      </c>
      <c r="AI84" s="1807">
        <f t="shared" si="710"/>
        <v>0</v>
      </c>
      <c r="AJ84" s="1807">
        <f t="shared" si="711"/>
        <v>0</v>
      </c>
      <c r="AK84" s="1806">
        <f t="shared" si="712"/>
        <v>0</v>
      </c>
      <c r="AL84" s="1791">
        <f t="shared" si="713"/>
        <v>0</v>
      </c>
      <c r="AM84" s="1808">
        <f t="shared" si="714"/>
        <v>0</v>
      </c>
      <c r="AN84" s="1807">
        <f t="shared" si="715"/>
        <v>0</v>
      </c>
      <c r="AO84" s="1807">
        <f t="shared" si="716"/>
        <v>0</v>
      </c>
      <c r="AP84" s="1806">
        <f t="shared" si="717"/>
        <v>0</v>
      </c>
      <c r="AQ84" s="1791">
        <f t="shared" si="718"/>
        <v>0</v>
      </c>
      <c r="AR84" s="1808">
        <f t="shared" si="719"/>
        <v>0</v>
      </c>
      <c r="AS84" s="1807">
        <f t="shared" si="720"/>
        <v>0</v>
      </c>
      <c r="AT84" s="1807">
        <f t="shared" si="721"/>
        <v>0</v>
      </c>
      <c r="AU84" s="1806">
        <f t="shared" si="722"/>
        <v>0</v>
      </c>
      <c r="AV84" s="1791">
        <f t="shared" si="723"/>
        <v>0</v>
      </c>
      <c r="AW84" s="1808">
        <f t="shared" si="724"/>
        <v>0</v>
      </c>
      <c r="AX84" s="1807">
        <f t="shared" si="725"/>
        <v>0</v>
      </c>
      <c r="AY84" s="1807">
        <f t="shared" si="726"/>
        <v>0</v>
      </c>
      <c r="AZ84" s="1806">
        <f t="shared" si="727"/>
        <v>0</v>
      </c>
      <c r="BA84" s="1791">
        <f t="shared" si="728"/>
        <v>0</v>
      </c>
      <c r="BB84" s="1808">
        <f t="shared" si="729"/>
        <v>0</v>
      </c>
      <c r="BC84" s="1807">
        <f t="shared" si="730"/>
        <v>0</v>
      </c>
      <c r="BD84" s="1807">
        <f t="shared" si="731"/>
        <v>0</v>
      </c>
      <c r="BE84" s="1806">
        <f t="shared" si="732"/>
        <v>0</v>
      </c>
      <c r="BF84" s="1791">
        <f t="shared" si="733"/>
        <v>0</v>
      </c>
      <c r="BG84" s="1808">
        <f t="shared" si="734"/>
        <v>0</v>
      </c>
      <c r="BH84" s="1807">
        <f t="shared" si="735"/>
        <v>0</v>
      </c>
      <c r="BI84" s="1807">
        <f t="shared" si="736"/>
        <v>0</v>
      </c>
      <c r="BJ84" s="1806">
        <f t="shared" si="737"/>
        <v>0</v>
      </c>
      <c r="BK84" s="1791">
        <f t="shared" si="738"/>
        <v>0</v>
      </c>
      <c r="BL84" s="1808">
        <f t="shared" si="739"/>
        <v>0</v>
      </c>
      <c r="BM84" s="1807">
        <f t="shared" si="740"/>
        <v>0</v>
      </c>
      <c r="BN84" s="1807">
        <f t="shared" si="741"/>
        <v>0</v>
      </c>
      <c r="BO84" s="1806">
        <f t="shared" si="742"/>
        <v>0</v>
      </c>
      <c r="BP84" s="1791">
        <f t="shared" si="743"/>
        <v>0</v>
      </c>
      <c r="BQ84" s="1827"/>
      <c r="BR84" s="1991">
        <f t="shared" si="744"/>
        <v>0</v>
      </c>
      <c r="BS84" s="1991">
        <f t="shared" si="744"/>
        <v>0</v>
      </c>
      <c r="BT84" s="1992">
        <f t="shared" si="745"/>
        <v>0</v>
      </c>
      <c r="BU84" s="1992">
        <f t="shared" si="746"/>
        <v>0</v>
      </c>
      <c r="BV84" s="1992">
        <f t="shared" si="747"/>
        <v>0</v>
      </c>
      <c r="BW84" s="1992">
        <f t="shared" si="748"/>
        <v>0</v>
      </c>
      <c r="BX84" s="1810">
        <f t="shared" si="749"/>
        <v>0</v>
      </c>
      <c r="BY84" s="1807">
        <f t="shared" si="750"/>
        <v>0</v>
      </c>
      <c r="BZ84" s="1807">
        <f t="shared" si="751"/>
        <v>0</v>
      </c>
      <c r="CA84" s="1807">
        <f t="shared" si="752"/>
        <v>0</v>
      </c>
      <c r="CB84" s="1806">
        <f t="shared" si="753"/>
        <v>0</v>
      </c>
      <c r="CC84" s="1791">
        <f t="shared" si="754"/>
        <v>0</v>
      </c>
      <c r="CD84" s="1808">
        <f t="shared" si="755"/>
        <v>0</v>
      </c>
      <c r="CE84" s="1807">
        <f t="shared" si="756"/>
        <v>0</v>
      </c>
      <c r="CF84" s="1807">
        <f t="shared" si="757"/>
        <v>0</v>
      </c>
      <c r="CG84" s="1806">
        <f t="shared" si="758"/>
        <v>0</v>
      </c>
      <c r="CH84" s="1791">
        <f t="shared" si="759"/>
        <v>0</v>
      </c>
      <c r="CI84" s="1808">
        <f t="shared" si="760"/>
        <v>0</v>
      </c>
      <c r="CJ84" s="1807">
        <f t="shared" si="761"/>
        <v>0</v>
      </c>
      <c r="CK84" s="1807">
        <f t="shared" si="762"/>
        <v>0</v>
      </c>
      <c r="CL84" s="1806">
        <f t="shared" si="763"/>
        <v>0</v>
      </c>
      <c r="CM84" s="1791">
        <f t="shared" si="764"/>
        <v>0</v>
      </c>
      <c r="CN84" s="1808">
        <f t="shared" si="765"/>
        <v>0</v>
      </c>
      <c r="CO84" s="1807">
        <f t="shared" si="766"/>
        <v>0</v>
      </c>
      <c r="CP84" s="1807">
        <f t="shared" si="767"/>
        <v>0</v>
      </c>
      <c r="CQ84" s="1806">
        <f t="shared" si="768"/>
        <v>0</v>
      </c>
      <c r="CR84" s="1791">
        <f t="shared" si="769"/>
        <v>0</v>
      </c>
      <c r="CS84" s="1808">
        <f t="shared" si="770"/>
        <v>0</v>
      </c>
      <c r="CT84" s="1807">
        <f t="shared" si="771"/>
        <v>0</v>
      </c>
      <c r="CU84" s="1807">
        <f t="shared" si="772"/>
        <v>0</v>
      </c>
      <c r="CV84" s="1806">
        <f t="shared" si="773"/>
        <v>0</v>
      </c>
      <c r="CW84" s="1791">
        <f t="shared" si="774"/>
        <v>0</v>
      </c>
      <c r="CX84" s="1808">
        <f t="shared" si="775"/>
        <v>0</v>
      </c>
      <c r="CY84" s="1807">
        <f t="shared" si="776"/>
        <v>0</v>
      </c>
      <c r="CZ84" s="1807">
        <f t="shared" si="777"/>
        <v>0</v>
      </c>
      <c r="DA84" s="1806">
        <f t="shared" si="778"/>
        <v>0</v>
      </c>
      <c r="DB84" s="1791">
        <f t="shared" si="779"/>
        <v>0</v>
      </c>
      <c r="DC84" s="1808">
        <f t="shared" si="780"/>
        <v>0</v>
      </c>
      <c r="DD84" s="1807">
        <f t="shared" si="781"/>
        <v>0</v>
      </c>
      <c r="DE84" s="1807">
        <f t="shared" si="782"/>
        <v>0</v>
      </c>
      <c r="DF84" s="1806">
        <f t="shared" si="783"/>
        <v>0</v>
      </c>
      <c r="DG84" s="1791">
        <f t="shared" si="784"/>
        <v>0</v>
      </c>
      <c r="DH84" s="1808">
        <f t="shared" si="785"/>
        <v>0</v>
      </c>
      <c r="DI84" s="1807">
        <f t="shared" si="786"/>
        <v>0</v>
      </c>
      <c r="DJ84" s="1807">
        <f t="shared" si="787"/>
        <v>0</v>
      </c>
      <c r="DK84" s="1806">
        <f t="shared" si="788"/>
        <v>0</v>
      </c>
      <c r="DL84" s="1791">
        <f t="shared" si="789"/>
        <v>0</v>
      </c>
      <c r="DM84" s="1808">
        <f t="shared" si="790"/>
        <v>0</v>
      </c>
      <c r="DN84" s="1807">
        <f t="shared" si="791"/>
        <v>0</v>
      </c>
      <c r="DO84" s="1807">
        <f t="shared" si="792"/>
        <v>0</v>
      </c>
      <c r="DP84" s="1806">
        <f t="shared" si="793"/>
        <v>0</v>
      </c>
      <c r="DQ84" s="1791">
        <f t="shared" si="794"/>
        <v>0</v>
      </c>
      <c r="DR84" s="1808">
        <f t="shared" si="795"/>
        <v>0</v>
      </c>
      <c r="DS84" s="1807">
        <f t="shared" si="796"/>
        <v>0</v>
      </c>
      <c r="DT84" s="1807">
        <f t="shared" si="797"/>
        <v>0</v>
      </c>
      <c r="DU84" s="1806">
        <f t="shared" si="798"/>
        <v>0</v>
      </c>
      <c r="DV84" s="1791">
        <f t="shared" si="799"/>
        <v>0</v>
      </c>
    </row>
    <row r="85" spans="1:126">
      <c r="A85" s="455"/>
      <c r="B85" s="455"/>
      <c r="C85" s="1363" t="s">
        <v>789</v>
      </c>
      <c r="D85" s="455"/>
      <c r="E85" s="1817">
        <f t="shared" si="800"/>
        <v>200</v>
      </c>
      <c r="F85" s="1435">
        <v>200</v>
      </c>
      <c r="G85" s="1435">
        <v>200</v>
      </c>
      <c r="H85" s="1350">
        <v>2052</v>
      </c>
      <c r="I85" s="1335">
        <v>5.2499999999999998E-2</v>
      </c>
      <c r="J85" s="1343">
        <v>7</v>
      </c>
      <c r="K85" s="1792"/>
      <c r="L85" s="1810">
        <f t="shared" si="688"/>
        <v>0</v>
      </c>
      <c r="M85" s="1791">
        <f t="shared" si="688"/>
        <v>0</v>
      </c>
      <c r="N85" s="1808">
        <f t="shared" si="689"/>
        <v>0</v>
      </c>
      <c r="O85" s="1807">
        <f t="shared" si="690"/>
        <v>0</v>
      </c>
      <c r="P85" s="1807">
        <f t="shared" si="691"/>
        <v>0</v>
      </c>
      <c r="Q85" s="1806">
        <f t="shared" si="692"/>
        <v>0</v>
      </c>
      <c r="R85" s="1791">
        <f t="shared" si="693"/>
        <v>0</v>
      </c>
      <c r="S85" s="1808">
        <f t="shared" si="694"/>
        <v>0</v>
      </c>
      <c r="T85" s="1807">
        <f t="shared" si="695"/>
        <v>0</v>
      </c>
      <c r="U85" s="1807">
        <f t="shared" si="696"/>
        <v>0</v>
      </c>
      <c r="V85" s="1806">
        <f t="shared" si="697"/>
        <v>0</v>
      </c>
      <c r="W85" s="1791">
        <f t="shared" si="698"/>
        <v>0</v>
      </c>
      <c r="X85" s="1808">
        <f t="shared" si="699"/>
        <v>0</v>
      </c>
      <c r="Y85" s="1807">
        <f t="shared" si="700"/>
        <v>0</v>
      </c>
      <c r="Z85" s="1807">
        <f t="shared" si="701"/>
        <v>0</v>
      </c>
      <c r="AA85" s="1806">
        <f t="shared" si="702"/>
        <v>0</v>
      </c>
      <c r="AB85" s="1791">
        <f t="shared" si="703"/>
        <v>0</v>
      </c>
      <c r="AC85" s="1808">
        <f t="shared" si="704"/>
        <v>0</v>
      </c>
      <c r="AD85" s="1807">
        <f t="shared" si="705"/>
        <v>0</v>
      </c>
      <c r="AE85" s="1807">
        <f t="shared" si="706"/>
        <v>0</v>
      </c>
      <c r="AF85" s="1806">
        <f t="shared" si="707"/>
        <v>0</v>
      </c>
      <c r="AG85" s="1791">
        <f t="shared" si="708"/>
        <v>0</v>
      </c>
      <c r="AH85" s="1808">
        <f t="shared" si="709"/>
        <v>0</v>
      </c>
      <c r="AI85" s="1807">
        <f t="shared" si="710"/>
        <v>0</v>
      </c>
      <c r="AJ85" s="1807">
        <f t="shared" si="711"/>
        <v>0</v>
      </c>
      <c r="AK85" s="1806">
        <f t="shared" si="712"/>
        <v>0</v>
      </c>
      <c r="AL85" s="1791">
        <f t="shared" si="713"/>
        <v>0</v>
      </c>
      <c r="AM85" s="1808">
        <f t="shared" si="714"/>
        <v>0</v>
      </c>
      <c r="AN85" s="1807">
        <f t="shared" si="715"/>
        <v>0</v>
      </c>
      <c r="AO85" s="1807">
        <f t="shared" si="716"/>
        <v>0</v>
      </c>
      <c r="AP85" s="1806">
        <f t="shared" si="717"/>
        <v>0</v>
      </c>
      <c r="AQ85" s="1791">
        <f t="shared" si="718"/>
        <v>0</v>
      </c>
      <c r="AR85" s="1808">
        <f t="shared" si="719"/>
        <v>0</v>
      </c>
      <c r="AS85" s="1807">
        <f t="shared" si="720"/>
        <v>0</v>
      </c>
      <c r="AT85" s="1807">
        <f t="shared" si="721"/>
        <v>0</v>
      </c>
      <c r="AU85" s="1806">
        <f t="shared" si="722"/>
        <v>0</v>
      </c>
      <c r="AV85" s="1791">
        <f t="shared" si="723"/>
        <v>0</v>
      </c>
      <c r="AW85" s="1808">
        <f t="shared" si="724"/>
        <v>0</v>
      </c>
      <c r="AX85" s="1807">
        <f t="shared" si="725"/>
        <v>0</v>
      </c>
      <c r="AY85" s="1807">
        <f t="shared" si="726"/>
        <v>0</v>
      </c>
      <c r="AZ85" s="1806">
        <f t="shared" si="727"/>
        <v>0</v>
      </c>
      <c r="BA85" s="1791">
        <f t="shared" si="728"/>
        <v>0</v>
      </c>
      <c r="BB85" s="1808">
        <f t="shared" si="729"/>
        <v>0</v>
      </c>
      <c r="BC85" s="1807">
        <f t="shared" si="730"/>
        <v>0</v>
      </c>
      <c r="BD85" s="1807">
        <f t="shared" si="731"/>
        <v>0</v>
      </c>
      <c r="BE85" s="1806">
        <f t="shared" si="732"/>
        <v>0</v>
      </c>
      <c r="BF85" s="1791">
        <f t="shared" si="733"/>
        <v>0</v>
      </c>
      <c r="BG85" s="1808">
        <f t="shared" si="734"/>
        <v>0</v>
      </c>
      <c r="BH85" s="1807">
        <f t="shared" si="735"/>
        <v>0</v>
      </c>
      <c r="BI85" s="1807">
        <f t="shared" si="736"/>
        <v>0</v>
      </c>
      <c r="BJ85" s="1806">
        <f t="shared" si="737"/>
        <v>0</v>
      </c>
      <c r="BK85" s="1791">
        <f t="shared" si="738"/>
        <v>0</v>
      </c>
      <c r="BL85" s="1808">
        <f t="shared" si="739"/>
        <v>0</v>
      </c>
      <c r="BM85" s="1807">
        <f t="shared" si="740"/>
        <v>0</v>
      </c>
      <c r="BN85" s="1807">
        <f t="shared" si="741"/>
        <v>0</v>
      </c>
      <c r="BO85" s="1806">
        <f t="shared" si="742"/>
        <v>0</v>
      </c>
      <c r="BP85" s="1791">
        <f t="shared" si="743"/>
        <v>0</v>
      </c>
      <c r="BQ85" s="1827"/>
      <c r="BR85" s="1791">
        <f t="shared" si="744"/>
        <v>0</v>
      </c>
      <c r="BS85" s="1791">
        <f t="shared" si="744"/>
        <v>0</v>
      </c>
      <c r="BT85" s="1808">
        <f t="shared" si="745"/>
        <v>0</v>
      </c>
      <c r="BU85" s="1807">
        <f t="shared" si="746"/>
        <v>0</v>
      </c>
      <c r="BV85" s="1807">
        <f t="shared" si="747"/>
        <v>0</v>
      </c>
      <c r="BW85" s="1806">
        <f t="shared" si="748"/>
        <v>0</v>
      </c>
      <c r="BX85" s="1791">
        <f t="shared" si="749"/>
        <v>0</v>
      </c>
      <c r="BY85" s="1808">
        <f t="shared" si="750"/>
        <v>0</v>
      </c>
      <c r="BZ85" s="1807">
        <f t="shared" si="751"/>
        <v>0</v>
      </c>
      <c r="CA85" s="1807">
        <f t="shared" si="752"/>
        <v>0</v>
      </c>
      <c r="CB85" s="1806">
        <f t="shared" si="753"/>
        <v>0</v>
      </c>
      <c r="CC85" s="1791">
        <f t="shared" si="754"/>
        <v>0</v>
      </c>
      <c r="CD85" s="1808">
        <f t="shared" si="755"/>
        <v>0</v>
      </c>
      <c r="CE85" s="1807">
        <f t="shared" si="756"/>
        <v>0</v>
      </c>
      <c r="CF85" s="1807">
        <f t="shared" si="757"/>
        <v>0</v>
      </c>
      <c r="CG85" s="1806">
        <f t="shared" si="758"/>
        <v>0</v>
      </c>
      <c r="CH85" s="1791">
        <f t="shared" si="759"/>
        <v>0</v>
      </c>
      <c r="CI85" s="1808">
        <f t="shared" si="760"/>
        <v>0</v>
      </c>
      <c r="CJ85" s="1807">
        <f t="shared" si="761"/>
        <v>0</v>
      </c>
      <c r="CK85" s="1807">
        <f t="shared" si="762"/>
        <v>0</v>
      </c>
      <c r="CL85" s="1806">
        <f t="shared" si="763"/>
        <v>0</v>
      </c>
      <c r="CM85" s="1791">
        <f t="shared" si="764"/>
        <v>0</v>
      </c>
      <c r="CN85" s="1808">
        <f t="shared" si="765"/>
        <v>0</v>
      </c>
      <c r="CO85" s="1807">
        <f t="shared" si="766"/>
        <v>0</v>
      </c>
      <c r="CP85" s="1807">
        <f t="shared" si="767"/>
        <v>0</v>
      </c>
      <c r="CQ85" s="1806">
        <f t="shared" si="768"/>
        <v>0</v>
      </c>
      <c r="CR85" s="1791">
        <f t="shared" si="769"/>
        <v>0</v>
      </c>
      <c r="CS85" s="1808">
        <f t="shared" si="770"/>
        <v>0</v>
      </c>
      <c r="CT85" s="1807">
        <f t="shared" si="771"/>
        <v>0</v>
      </c>
      <c r="CU85" s="1807">
        <f t="shared" si="772"/>
        <v>0</v>
      </c>
      <c r="CV85" s="1806">
        <f t="shared" si="773"/>
        <v>0</v>
      </c>
      <c r="CW85" s="1791">
        <f t="shared" si="774"/>
        <v>0</v>
      </c>
      <c r="CX85" s="1808">
        <f t="shared" si="775"/>
        <v>0</v>
      </c>
      <c r="CY85" s="1807">
        <f t="shared" si="776"/>
        <v>0</v>
      </c>
      <c r="CZ85" s="1807">
        <f t="shared" si="777"/>
        <v>0</v>
      </c>
      <c r="DA85" s="1806">
        <f t="shared" si="778"/>
        <v>0</v>
      </c>
      <c r="DB85" s="1791">
        <f t="shared" si="779"/>
        <v>0</v>
      </c>
      <c r="DC85" s="1808">
        <f t="shared" si="780"/>
        <v>0</v>
      </c>
      <c r="DD85" s="1807">
        <f t="shared" si="781"/>
        <v>0</v>
      </c>
      <c r="DE85" s="1807">
        <f t="shared" si="782"/>
        <v>0</v>
      </c>
      <c r="DF85" s="1806">
        <f t="shared" si="783"/>
        <v>0</v>
      </c>
      <c r="DG85" s="1791">
        <f t="shared" si="784"/>
        <v>0</v>
      </c>
      <c r="DH85" s="1808">
        <f t="shared" si="785"/>
        <v>0</v>
      </c>
      <c r="DI85" s="1807">
        <f t="shared" si="786"/>
        <v>0</v>
      </c>
      <c r="DJ85" s="1807">
        <f t="shared" si="787"/>
        <v>0</v>
      </c>
      <c r="DK85" s="1806">
        <f t="shared" si="788"/>
        <v>0</v>
      </c>
      <c r="DL85" s="1791">
        <f t="shared" si="789"/>
        <v>0</v>
      </c>
      <c r="DM85" s="1808">
        <f t="shared" si="790"/>
        <v>0</v>
      </c>
      <c r="DN85" s="1807">
        <f t="shared" si="791"/>
        <v>0</v>
      </c>
      <c r="DO85" s="1807">
        <f t="shared" si="792"/>
        <v>0</v>
      </c>
      <c r="DP85" s="1806">
        <f t="shared" si="793"/>
        <v>0</v>
      </c>
      <c r="DQ85" s="1791">
        <f t="shared" si="794"/>
        <v>0</v>
      </c>
      <c r="DR85" s="1808">
        <f t="shared" si="795"/>
        <v>0</v>
      </c>
      <c r="DS85" s="1807">
        <f t="shared" si="796"/>
        <v>0</v>
      </c>
      <c r="DT85" s="1807">
        <f t="shared" si="797"/>
        <v>0</v>
      </c>
      <c r="DU85" s="1806">
        <f t="shared" si="798"/>
        <v>0</v>
      </c>
      <c r="DV85" s="1791">
        <f t="shared" si="799"/>
        <v>0</v>
      </c>
    </row>
    <row r="86" spans="1:126">
      <c r="A86" s="455"/>
      <c r="B86" s="455"/>
      <c r="C86" s="1363" t="s">
        <v>435</v>
      </c>
      <c r="D86" s="455"/>
      <c r="E86" s="1817">
        <f t="shared" si="800"/>
        <v>100</v>
      </c>
      <c r="F86" s="1435">
        <v>100</v>
      </c>
      <c r="G86" s="1435">
        <v>100</v>
      </c>
      <c r="H86" s="1350">
        <v>2063</v>
      </c>
      <c r="I86" s="1337">
        <v>4.7E-2</v>
      </c>
      <c r="J86" s="1343">
        <v>6</v>
      </c>
      <c r="K86" s="1792"/>
      <c r="L86" s="1810">
        <f t="shared" si="688"/>
        <v>0</v>
      </c>
      <c r="M86" s="1791">
        <f t="shared" si="688"/>
        <v>0</v>
      </c>
      <c r="N86" s="1808">
        <f t="shared" si="689"/>
        <v>0</v>
      </c>
      <c r="O86" s="1807">
        <f t="shared" si="690"/>
        <v>0</v>
      </c>
      <c r="P86" s="1807">
        <f t="shared" si="691"/>
        <v>0</v>
      </c>
      <c r="Q86" s="1806">
        <f t="shared" si="692"/>
        <v>0</v>
      </c>
      <c r="R86" s="1791">
        <f t="shared" si="693"/>
        <v>0</v>
      </c>
      <c r="S86" s="1808">
        <f t="shared" si="694"/>
        <v>0</v>
      </c>
      <c r="T86" s="1807">
        <f t="shared" si="695"/>
        <v>0</v>
      </c>
      <c r="U86" s="1807">
        <f t="shared" si="696"/>
        <v>0</v>
      </c>
      <c r="V86" s="1806">
        <f t="shared" si="697"/>
        <v>0</v>
      </c>
      <c r="W86" s="1791">
        <f t="shared" si="698"/>
        <v>0</v>
      </c>
      <c r="X86" s="1808">
        <f t="shared" si="699"/>
        <v>0</v>
      </c>
      <c r="Y86" s="1807">
        <f t="shared" si="700"/>
        <v>0</v>
      </c>
      <c r="Z86" s="1807">
        <f t="shared" si="701"/>
        <v>0</v>
      </c>
      <c r="AA86" s="1806">
        <f t="shared" si="702"/>
        <v>0</v>
      </c>
      <c r="AB86" s="1791">
        <f t="shared" si="703"/>
        <v>0</v>
      </c>
      <c r="AC86" s="1808">
        <f t="shared" si="704"/>
        <v>0</v>
      </c>
      <c r="AD86" s="1807">
        <f t="shared" si="705"/>
        <v>0</v>
      </c>
      <c r="AE86" s="1807">
        <f t="shared" si="706"/>
        <v>0</v>
      </c>
      <c r="AF86" s="1806">
        <f t="shared" si="707"/>
        <v>0</v>
      </c>
      <c r="AG86" s="1791">
        <f t="shared" si="708"/>
        <v>0</v>
      </c>
      <c r="AH86" s="1808">
        <f t="shared" si="709"/>
        <v>0</v>
      </c>
      <c r="AI86" s="1807">
        <f t="shared" si="710"/>
        <v>0</v>
      </c>
      <c r="AJ86" s="1807">
        <f t="shared" si="711"/>
        <v>0</v>
      </c>
      <c r="AK86" s="1806">
        <f t="shared" si="712"/>
        <v>0</v>
      </c>
      <c r="AL86" s="1791">
        <f t="shared" si="713"/>
        <v>0</v>
      </c>
      <c r="AM86" s="1808">
        <f t="shared" si="714"/>
        <v>0</v>
      </c>
      <c r="AN86" s="1807">
        <f t="shared" si="715"/>
        <v>0</v>
      </c>
      <c r="AO86" s="1807">
        <f t="shared" si="716"/>
        <v>0</v>
      </c>
      <c r="AP86" s="1806">
        <f t="shared" si="717"/>
        <v>0</v>
      </c>
      <c r="AQ86" s="1791">
        <f t="shared" si="718"/>
        <v>0</v>
      </c>
      <c r="AR86" s="1808">
        <f t="shared" si="719"/>
        <v>0</v>
      </c>
      <c r="AS86" s="1807">
        <f t="shared" si="720"/>
        <v>0</v>
      </c>
      <c r="AT86" s="1807">
        <f t="shared" si="721"/>
        <v>0</v>
      </c>
      <c r="AU86" s="1806">
        <f t="shared" si="722"/>
        <v>0</v>
      </c>
      <c r="AV86" s="1791">
        <f t="shared" si="723"/>
        <v>0</v>
      </c>
      <c r="AW86" s="1808">
        <f t="shared" si="724"/>
        <v>0</v>
      </c>
      <c r="AX86" s="1807">
        <f t="shared" si="725"/>
        <v>0</v>
      </c>
      <c r="AY86" s="1807">
        <f t="shared" si="726"/>
        <v>0</v>
      </c>
      <c r="AZ86" s="1806">
        <f t="shared" si="727"/>
        <v>0</v>
      </c>
      <c r="BA86" s="1791">
        <f t="shared" si="728"/>
        <v>0</v>
      </c>
      <c r="BB86" s="1808">
        <f t="shared" si="729"/>
        <v>0</v>
      </c>
      <c r="BC86" s="1807">
        <f t="shared" si="730"/>
        <v>0</v>
      </c>
      <c r="BD86" s="1807">
        <f t="shared" si="731"/>
        <v>0</v>
      </c>
      <c r="BE86" s="1806">
        <f t="shared" si="732"/>
        <v>0</v>
      </c>
      <c r="BF86" s="1791">
        <f t="shared" si="733"/>
        <v>0</v>
      </c>
      <c r="BG86" s="1808">
        <f t="shared" si="734"/>
        <v>0</v>
      </c>
      <c r="BH86" s="1807">
        <f t="shared" si="735"/>
        <v>0</v>
      </c>
      <c r="BI86" s="1807">
        <f t="shared" si="736"/>
        <v>0</v>
      </c>
      <c r="BJ86" s="1806">
        <f t="shared" si="737"/>
        <v>0</v>
      </c>
      <c r="BK86" s="1791">
        <f t="shared" si="738"/>
        <v>0</v>
      </c>
      <c r="BL86" s="1808">
        <f t="shared" si="739"/>
        <v>0</v>
      </c>
      <c r="BM86" s="1807">
        <f t="shared" si="740"/>
        <v>0</v>
      </c>
      <c r="BN86" s="1807">
        <f t="shared" si="741"/>
        <v>0</v>
      </c>
      <c r="BO86" s="1806">
        <f t="shared" si="742"/>
        <v>0</v>
      </c>
      <c r="BP86" s="1791">
        <f t="shared" si="743"/>
        <v>0</v>
      </c>
      <c r="BQ86" s="1827"/>
      <c r="BR86" s="1791">
        <f t="shared" si="744"/>
        <v>0</v>
      </c>
      <c r="BS86" s="1791">
        <f t="shared" si="744"/>
        <v>0</v>
      </c>
      <c r="BT86" s="1808">
        <f t="shared" si="745"/>
        <v>0</v>
      </c>
      <c r="BU86" s="1807">
        <f t="shared" si="746"/>
        <v>0</v>
      </c>
      <c r="BV86" s="1807">
        <f t="shared" si="747"/>
        <v>0</v>
      </c>
      <c r="BW86" s="1806">
        <f t="shared" si="748"/>
        <v>0</v>
      </c>
      <c r="BX86" s="1791">
        <f t="shared" si="749"/>
        <v>0</v>
      </c>
      <c r="BY86" s="1808">
        <f t="shared" si="750"/>
        <v>0</v>
      </c>
      <c r="BZ86" s="1807">
        <f t="shared" si="751"/>
        <v>0</v>
      </c>
      <c r="CA86" s="1807">
        <f t="shared" si="752"/>
        <v>0</v>
      </c>
      <c r="CB86" s="1806">
        <f t="shared" si="753"/>
        <v>0</v>
      </c>
      <c r="CC86" s="1791">
        <f t="shared" si="754"/>
        <v>0</v>
      </c>
      <c r="CD86" s="1808">
        <f t="shared" si="755"/>
        <v>0</v>
      </c>
      <c r="CE86" s="1807">
        <f t="shared" si="756"/>
        <v>0</v>
      </c>
      <c r="CF86" s="1807">
        <f t="shared" si="757"/>
        <v>0</v>
      </c>
      <c r="CG86" s="1806">
        <f t="shared" si="758"/>
        <v>0</v>
      </c>
      <c r="CH86" s="1791">
        <f t="shared" si="759"/>
        <v>0</v>
      </c>
      <c r="CI86" s="1808">
        <f t="shared" si="760"/>
        <v>0</v>
      </c>
      <c r="CJ86" s="1807">
        <f t="shared" si="761"/>
        <v>0</v>
      </c>
      <c r="CK86" s="1807">
        <f t="shared" si="762"/>
        <v>0</v>
      </c>
      <c r="CL86" s="1806">
        <f t="shared" si="763"/>
        <v>0</v>
      </c>
      <c r="CM86" s="1791">
        <f t="shared" si="764"/>
        <v>0</v>
      </c>
      <c r="CN86" s="1808">
        <f t="shared" si="765"/>
        <v>0</v>
      </c>
      <c r="CO86" s="1807">
        <f t="shared" si="766"/>
        <v>0</v>
      </c>
      <c r="CP86" s="1807">
        <f t="shared" si="767"/>
        <v>0</v>
      </c>
      <c r="CQ86" s="1806">
        <f t="shared" si="768"/>
        <v>0</v>
      </c>
      <c r="CR86" s="1791">
        <f t="shared" si="769"/>
        <v>0</v>
      </c>
      <c r="CS86" s="1808">
        <f t="shared" si="770"/>
        <v>0</v>
      </c>
      <c r="CT86" s="1807">
        <f t="shared" si="771"/>
        <v>0</v>
      </c>
      <c r="CU86" s="1807">
        <f t="shared" si="772"/>
        <v>0</v>
      </c>
      <c r="CV86" s="1806">
        <f t="shared" si="773"/>
        <v>0</v>
      </c>
      <c r="CW86" s="1791">
        <f t="shared" si="774"/>
        <v>0</v>
      </c>
      <c r="CX86" s="1808">
        <f t="shared" si="775"/>
        <v>0</v>
      </c>
      <c r="CY86" s="1807">
        <f t="shared" si="776"/>
        <v>0</v>
      </c>
      <c r="CZ86" s="1807">
        <f t="shared" si="777"/>
        <v>0</v>
      </c>
      <c r="DA86" s="1806">
        <f t="shared" si="778"/>
        <v>0</v>
      </c>
      <c r="DB86" s="1791">
        <f t="shared" si="779"/>
        <v>0</v>
      </c>
      <c r="DC86" s="1808">
        <f t="shared" si="780"/>
        <v>0</v>
      </c>
      <c r="DD86" s="1807">
        <f t="shared" si="781"/>
        <v>0</v>
      </c>
      <c r="DE86" s="1807">
        <f t="shared" si="782"/>
        <v>0</v>
      </c>
      <c r="DF86" s="1806">
        <f t="shared" si="783"/>
        <v>0</v>
      </c>
      <c r="DG86" s="1791">
        <f t="shared" si="784"/>
        <v>0</v>
      </c>
      <c r="DH86" s="1808">
        <f t="shared" si="785"/>
        <v>0</v>
      </c>
      <c r="DI86" s="1807">
        <f t="shared" si="786"/>
        <v>0</v>
      </c>
      <c r="DJ86" s="1807">
        <f t="shared" si="787"/>
        <v>0</v>
      </c>
      <c r="DK86" s="1806">
        <f t="shared" si="788"/>
        <v>0</v>
      </c>
      <c r="DL86" s="1791">
        <f t="shared" si="789"/>
        <v>0</v>
      </c>
      <c r="DM86" s="1808">
        <f t="shared" si="790"/>
        <v>0</v>
      </c>
      <c r="DN86" s="1807">
        <f t="shared" si="791"/>
        <v>0</v>
      </c>
      <c r="DO86" s="1807">
        <f t="shared" si="792"/>
        <v>0</v>
      </c>
      <c r="DP86" s="1806">
        <f t="shared" si="793"/>
        <v>0</v>
      </c>
      <c r="DQ86" s="1791">
        <f t="shared" si="794"/>
        <v>0</v>
      </c>
      <c r="DR86" s="1808">
        <f t="shared" si="795"/>
        <v>0</v>
      </c>
      <c r="DS86" s="1807">
        <f t="shared" si="796"/>
        <v>0</v>
      </c>
      <c r="DT86" s="1807">
        <f t="shared" si="797"/>
        <v>0</v>
      </c>
      <c r="DU86" s="1806">
        <f t="shared" si="798"/>
        <v>0</v>
      </c>
      <c r="DV86" s="1791">
        <f t="shared" si="799"/>
        <v>0</v>
      </c>
    </row>
    <row r="87" spans="1:126">
      <c r="A87" s="455"/>
      <c r="B87" s="455"/>
      <c r="C87" s="1363" t="s">
        <v>431</v>
      </c>
      <c r="D87" s="455"/>
      <c r="E87" s="1817">
        <f t="shared" si="800"/>
        <v>325</v>
      </c>
      <c r="F87" s="1435">
        <v>325</v>
      </c>
      <c r="G87" s="1435">
        <v>325</v>
      </c>
      <c r="H87" s="1350">
        <v>2023</v>
      </c>
      <c r="I87" s="1337">
        <v>4.0500000000000001E-2</v>
      </c>
      <c r="J87" s="1343">
        <v>9</v>
      </c>
      <c r="K87" s="1792"/>
      <c r="L87" s="1810">
        <f t="shared" si="688"/>
        <v>0</v>
      </c>
      <c r="M87" s="1791">
        <f t="shared" si="688"/>
        <v>0</v>
      </c>
      <c r="N87" s="1808">
        <f t="shared" si="689"/>
        <v>0</v>
      </c>
      <c r="O87" s="1807">
        <f t="shared" si="690"/>
        <v>0</v>
      </c>
      <c r="P87" s="1807">
        <f t="shared" si="691"/>
        <v>0</v>
      </c>
      <c r="Q87" s="1806">
        <f t="shared" si="692"/>
        <v>0</v>
      </c>
      <c r="R87" s="1791">
        <f t="shared" si="693"/>
        <v>0</v>
      </c>
      <c r="S87" s="1808">
        <f t="shared" si="694"/>
        <v>0</v>
      </c>
      <c r="T87" s="1807">
        <f t="shared" si="695"/>
        <v>0</v>
      </c>
      <c r="U87" s="1807">
        <f t="shared" si="696"/>
        <v>0</v>
      </c>
      <c r="V87" s="1806">
        <f t="shared" si="697"/>
        <v>0</v>
      </c>
      <c r="W87" s="1791">
        <f t="shared" si="698"/>
        <v>0</v>
      </c>
      <c r="X87" s="1808">
        <f t="shared" si="699"/>
        <v>0</v>
      </c>
      <c r="Y87" s="1807">
        <f t="shared" si="700"/>
        <v>0</v>
      </c>
      <c r="Z87" s="1807">
        <f t="shared" si="701"/>
        <v>0</v>
      </c>
      <c r="AA87" s="1806">
        <f t="shared" si="702"/>
        <v>0</v>
      </c>
      <c r="AB87" s="1791">
        <f t="shared" si="703"/>
        <v>0</v>
      </c>
      <c r="AC87" s="1808">
        <f t="shared" si="704"/>
        <v>0</v>
      </c>
      <c r="AD87" s="1807">
        <f t="shared" si="705"/>
        <v>0</v>
      </c>
      <c r="AE87" s="1807">
        <f t="shared" si="706"/>
        <v>0</v>
      </c>
      <c r="AF87" s="1806">
        <f t="shared" si="707"/>
        <v>0</v>
      </c>
      <c r="AG87" s="1791">
        <f t="shared" si="708"/>
        <v>0</v>
      </c>
      <c r="AH87" s="1808">
        <f t="shared" si="709"/>
        <v>0</v>
      </c>
      <c r="AI87" s="1807">
        <f t="shared" si="710"/>
        <v>0</v>
      </c>
      <c r="AJ87" s="1807">
        <f t="shared" si="711"/>
        <v>0</v>
      </c>
      <c r="AK87" s="1806">
        <f t="shared" si="712"/>
        <v>0</v>
      </c>
      <c r="AL87" s="1791">
        <f t="shared" si="713"/>
        <v>0</v>
      </c>
      <c r="AM87" s="1808">
        <f t="shared" si="714"/>
        <v>0</v>
      </c>
      <c r="AN87" s="1807">
        <f t="shared" si="715"/>
        <v>0</v>
      </c>
      <c r="AO87" s="1807">
        <f t="shared" si="716"/>
        <v>0</v>
      </c>
      <c r="AP87" s="1806">
        <f t="shared" si="717"/>
        <v>0</v>
      </c>
      <c r="AQ87" s="1791">
        <f t="shared" si="718"/>
        <v>0</v>
      </c>
      <c r="AR87" s="1808">
        <f t="shared" si="719"/>
        <v>0</v>
      </c>
      <c r="AS87" s="1807">
        <f t="shared" si="720"/>
        <v>0</v>
      </c>
      <c r="AT87" s="1807">
        <f t="shared" si="721"/>
        <v>0</v>
      </c>
      <c r="AU87" s="1806">
        <f t="shared" si="722"/>
        <v>0</v>
      </c>
      <c r="AV87" s="1791">
        <f t="shared" si="723"/>
        <v>0</v>
      </c>
      <c r="AW87" s="1808">
        <f t="shared" si="724"/>
        <v>0</v>
      </c>
      <c r="AX87" s="1807">
        <f t="shared" si="725"/>
        <v>0</v>
      </c>
      <c r="AY87" s="1807">
        <f t="shared" si="726"/>
        <v>0</v>
      </c>
      <c r="AZ87" s="1806">
        <f t="shared" si="727"/>
        <v>0</v>
      </c>
      <c r="BA87" s="1791">
        <f t="shared" si="728"/>
        <v>0</v>
      </c>
      <c r="BB87" s="1808">
        <f t="shared" si="729"/>
        <v>0</v>
      </c>
      <c r="BC87" s="1807">
        <f t="shared" si="730"/>
        <v>0</v>
      </c>
      <c r="BD87" s="1807">
        <f t="shared" si="731"/>
        <v>0</v>
      </c>
      <c r="BE87" s="1806">
        <f t="shared" si="732"/>
        <v>0</v>
      </c>
      <c r="BF87" s="1791">
        <f t="shared" si="733"/>
        <v>0</v>
      </c>
      <c r="BG87" s="1808">
        <f t="shared" si="734"/>
        <v>0</v>
      </c>
      <c r="BH87" s="1807">
        <f t="shared" si="735"/>
        <v>0</v>
      </c>
      <c r="BI87" s="1807">
        <f t="shared" si="736"/>
        <v>0</v>
      </c>
      <c r="BJ87" s="1806">
        <f t="shared" si="737"/>
        <v>0</v>
      </c>
      <c r="BK87" s="1791">
        <f t="shared" si="738"/>
        <v>0</v>
      </c>
      <c r="BL87" s="1808">
        <f t="shared" si="739"/>
        <v>0</v>
      </c>
      <c r="BM87" s="1807">
        <f t="shared" si="740"/>
        <v>0</v>
      </c>
      <c r="BN87" s="1807">
        <f t="shared" si="741"/>
        <v>0</v>
      </c>
      <c r="BO87" s="1806">
        <f t="shared" si="742"/>
        <v>0</v>
      </c>
      <c r="BP87" s="1791">
        <f t="shared" si="743"/>
        <v>0</v>
      </c>
      <c r="BQ87" s="1827"/>
      <c r="BR87" s="1791">
        <f t="shared" si="744"/>
        <v>0</v>
      </c>
      <c r="BS87" s="1791">
        <f t="shared" si="744"/>
        <v>0</v>
      </c>
      <c r="BT87" s="1808">
        <f t="shared" si="745"/>
        <v>0</v>
      </c>
      <c r="BU87" s="1807">
        <f t="shared" si="746"/>
        <v>0</v>
      </c>
      <c r="BV87" s="1807">
        <f t="shared" si="747"/>
        <v>0</v>
      </c>
      <c r="BW87" s="1806">
        <f t="shared" si="748"/>
        <v>0</v>
      </c>
      <c r="BX87" s="1791">
        <f t="shared" si="749"/>
        <v>0</v>
      </c>
      <c r="BY87" s="1808">
        <f t="shared" si="750"/>
        <v>0</v>
      </c>
      <c r="BZ87" s="1807">
        <f t="shared" si="751"/>
        <v>0</v>
      </c>
      <c r="CA87" s="1807">
        <f t="shared" si="752"/>
        <v>0</v>
      </c>
      <c r="CB87" s="1806">
        <f t="shared" si="753"/>
        <v>0</v>
      </c>
      <c r="CC87" s="1791">
        <f t="shared" si="754"/>
        <v>0</v>
      </c>
      <c r="CD87" s="1808">
        <f t="shared" si="755"/>
        <v>0</v>
      </c>
      <c r="CE87" s="1807">
        <f t="shared" si="756"/>
        <v>0</v>
      </c>
      <c r="CF87" s="1807">
        <f t="shared" si="757"/>
        <v>0</v>
      </c>
      <c r="CG87" s="1806">
        <f t="shared" si="758"/>
        <v>0</v>
      </c>
      <c r="CH87" s="1791">
        <f t="shared" si="759"/>
        <v>0</v>
      </c>
      <c r="CI87" s="1808">
        <f t="shared" si="760"/>
        <v>0</v>
      </c>
      <c r="CJ87" s="1807">
        <f t="shared" si="761"/>
        <v>0</v>
      </c>
      <c r="CK87" s="1807">
        <f t="shared" si="762"/>
        <v>0</v>
      </c>
      <c r="CL87" s="1806">
        <f t="shared" si="763"/>
        <v>0</v>
      </c>
      <c r="CM87" s="1791">
        <f t="shared" si="764"/>
        <v>0</v>
      </c>
      <c r="CN87" s="1808">
        <f t="shared" si="765"/>
        <v>0</v>
      </c>
      <c r="CO87" s="1807">
        <f t="shared" si="766"/>
        <v>0</v>
      </c>
      <c r="CP87" s="1807">
        <f t="shared" si="767"/>
        <v>0</v>
      </c>
      <c r="CQ87" s="1806">
        <f t="shared" si="768"/>
        <v>0</v>
      </c>
      <c r="CR87" s="1791">
        <f t="shared" si="769"/>
        <v>0</v>
      </c>
      <c r="CS87" s="1808">
        <f t="shared" si="770"/>
        <v>0</v>
      </c>
      <c r="CT87" s="1807">
        <f t="shared" si="771"/>
        <v>0</v>
      </c>
      <c r="CU87" s="1807">
        <f t="shared" si="772"/>
        <v>0</v>
      </c>
      <c r="CV87" s="1806">
        <f t="shared" si="773"/>
        <v>0</v>
      </c>
      <c r="CW87" s="1791">
        <f t="shared" si="774"/>
        <v>0</v>
      </c>
      <c r="CX87" s="1808">
        <f t="shared" si="775"/>
        <v>0</v>
      </c>
      <c r="CY87" s="1807">
        <f t="shared" si="776"/>
        <v>0</v>
      </c>
      <c r="CZ87" s="1807">
        <f t="shared" si="777"/>
        <v>0</v>
      </c>
      <c r="DA87" s="1806">
        <f t="shared" si="778"/>
        <v>0</v>
      </c>
      <c r="DB87" s="1791">
        <f t="shared" si="779"/>
        <v>0</v>
      </c>
      <c r="DC87" s="1808">
        <f t="shared" si="780"/>
        <v>0</v>
      </c>
      <c r="DD87" s="1807">
        <f t="shared" si="781"/>
        <v>0</v>
      </c>
      <c r="DE87" s="1807">
        <f t="shared" si="782"/>
        <v>0</v>
      </c>
      <c r="DF87" s="1806">
        <f t="shared" si="783"/>
        <v>0</v>
      </c>
      <c r="DG87" s="1791">
        <f t="shared" si="784"/>
        <v>0</v>
      </c>
      <c r="DH87" s="1808">
        <f t="shared" si="785"/>
        <v>0</v>
      </c>
      <c r="DI87" s="1807">
        <f t="shared" si="786"/>
        <v>0</v>
      </c>
      <c r="DJ87" s="1807">
        <f t="shared" si="787"/>
        <v>0</v>
      </c>
      <c r="DK87" s="1806">
        <f t="shared" si="788"/>
        <v>0</v>
      </c>
      <c r="DL87" s="1791">
        <f t="shared" si="789"/>
        <v>0</v>
      </c>
      <c r="DM87" s="1808">
        <f t="shared" si="790"/>
        <v>0</v>
      </c>
      <c r="DN87" s="1807">
        <f t="shared" si="791"/>
        <v>0</v>
      </c>
      <c r="DO87" s="1807">
        <f t="shared" si="792"/>
        <v>0</v>
      </c>
      <c r="DP87" s="1806">
        <f t="shared" si="793"/>
        <v>0</v>
      </c>
      <c r="DQ87" s="1791">
        <f t="shared" si="794"/>
        <v>0</v>
      </c>
      <c r="DR87" s="1808">
        <f t="shared" si="795"/>
        <v>0</v>
      </c>
      <c r="DS87" s="1807">
        <f t="shared" si="796"/>
        <v>0</v>
      </c>
      <c r="DT87" s="1807">
        <f t="shared" si="797"/>
        <v>0</v>
      </c>
      <c r="DU87" s="1806">
        <f t="shared" si="798"/>
        <v>0</v>
      </c>
      <c r="DV87" s="1791">
        <f t="shared" si="799"/>
        <v>0</v>
      </c>
    </row>
    <row r="88" spans="1:126">
      <c r="A88" s="455"/>
      <c r="B88" s="455"/>
      <c r="C88" s="1363" t="s">
        <v>217</v>
      </c>
      <c r="D88" s="455"/>
      <c r="E88" s="1817">
        <f t="shared" si="800"/>
        <v>170</v>
      </c>
      <c r="F88" s="1435">
        <v>170</v>
      </c>
      <c r="G88" s="1435">
        <v>170</v>
      </c>
      <c r="H88" s="1350">
        <v>2044</v>
      </c>
      <c r="I88" s="1337">
        <v>0.05</v>
      </c>
      <c r="J88" s="1343">
        <v>7</v>
      </c>
      <c r="K88" s="1792"/>
      <c r="L88" s="1810">
        <f t="shared" si="688"/>
        <v>0</v>
      </c>
      <c r="M88" s="1791">
        <f t="shared" si="688"/>
        <v>0</v>
      </c>
      <c r="N88" s="1808">
        <f t="shared" si="689"/>
        <v>0</v>
      </c>
      <c r="O88" s="1807">
        <f t="shared" si="690"/>
        <v>0</v>
      </c>
      <c r="P88" s="1807">
        <f t="shared" si="691"/>
        <v>0</v>
      </c>
      <c r="Q88" s="1806">
        <f t="shared" si="692"/>
        <v>0</v>
      </c>
      <c r="R88" s="1791">
        <f t="shared" si="693"/>
        <v>0</v>
      </c>
      <c r="S88" s="1808">
        <f t="shared" si="694"/>
        <v>0</v>
      </c>
      <c r="T88" s="1807">
        <f t="shared" si="695"/>
        <v>0</v>
      </c>
      <c r="U88" s="1807">
        <f t="shared" si="696"/>
        <v>0</v>
      </c>
      <c r="V88" s="1806">
        <f t="shared" si="697"/>
        <v>0</v>
      </c>
      <c r="W88" s="1791">
        <f t="shared" si="698"/>
        <v>0</v>
      </c>
      <c r="X88" s="1808">
        <f t="shared" si="699"/>
        <v>0</v>
      </c>
      <c r="Y88" s="1807">
        <f t="shared" si="700"/>
        <v>0</v>
      </c>
      <c r="Z88" s="1807">
        <f t="shared" si="701"/>
        <v>0</v>
      </c>
      <c r="AA88" s="1806">
        <f t="shared" si="702"/>
        <v>0</v>
      </c>
      <c r="AB88" s="1791">
        <f t="shared" si="703"/>
        <v>0</v>
      </c>
      <c r="AC88" s="1808">
        <f t="shared" si="704"/>
        <v>0</v>
      </c>
      <c r="AD88" s="1807">
        <f t="shared" si="705"/>
        <v>0</v>
      </c>
      <c r="AE88" s="1807">
        <f t="shared" si="706"/>
        <v>0</v>
      </c>
      <c r="AF88" s="1806">
        <f t="shared" si="707"/>
        <v>0</v>
      </c>
      <c r="AG88" s="1791">
        <f t="shared" si="708"/>
        <v>0</v>
      </c>
      <c r="AH88" s="1808">
        <f t="shared" si="709"/>
        <v>0</v>
      </c>
      <c r="AI88" s="1807">
        <f t="shared" si="710"/>
        <v>0</v>
      </c>
      <c r="AJ88" s="1807">
        <f t="shared" si="711"/>
        <v>0</v>
      </c>
      <c r="AK88" s="1806">
        <f t="shared" si="712"/>
        <v>0</v>
      </c>
      <c r="AL88" s="1791">
        <f t="shared" si="713"/>
        <v>0</v>
      </c>
      <c r="AM88" s="1808">
        <f t="shared" si="714"/>
        <v>0</v>
      </c>
      <c r="AN88" s="1807">
        <f t="shared" si="715"/>
        <v>0</v>
      </c>
      <c r="AO88" s="1807">
        <f t="shared" si="716"/>
        <v>0</v>
      </c>
      <c r="AP88" s="1806">
        <f t="shared" si="717"/>
        <v>0</v>
      </c>
      <c r="AQ88" s="1791">
        <f t="shared" si="718"/>
        <v>0</v>
      </c>
      <c r="AR88" s="1808">
        <f t="shared" si="719"/>
        <v>0</v>
      </c>
      <c r="AS88" s="1807">
        <f t="shared" si="720"/>
        <v>0</v>
      </c>
      <c r="AT88" s="1807">
        <f t="shared" si="721"/>
        <v>0</v>
      </c>
      <c r="AU88" s="1806">
        <f t="shared" si="722"/>
        <v>0</v>
      </c>
      <c r="AV88" s="1791">
        <f t="shared" si="723"/>
        <v>0</v>
      </c>
      <c r="AW88" s="1808">
        <f t="shared" si="724"/>
        <v>0</v>
      </c>
      <c r="AX88" s="1807">
        <f t="shared" si="725"/>
        <v>0</v>
      </c>
      <c r="AY88" s="1807">
        <f t="shared" si="726"/>
        <v>0</v>
      </c>
      <c r="AZ88" s="1806">
        <f t="shared" si="727"/>
        <v>0</v>
      </c>
      <c r="BA88" s="1791">
        <f t="shared" si="728"/>
        <v>0</v>
      </c>
      <c r="BB88" s="1808">
        <f t="shared" si="729"/>
        <v>0</v>
      </c>
      <c r="BC88" s="1807">
        <f t="shared" si="730"/>
        <v>0</v>
      </c>
      <c r="BD88" s="1807">
        <f t="shared" si="731"/>
        <v>0</v>
      </c>
      <c r="BE88" s="1806">
        <f t="shared" si="732"/>
        <v>0</v>
      </c>
      <c r="BF88" s="1791">
        <f t="shared" si="733"/>
        <v>0</v>
      </c>
      <c r="BG88" s="1808">
        <f t="shared" si="734"/>
        <v>0</v>
      </c>
      <c r="BH88" s="1807">
        <f t="shared" si="735"/>
        <v>0</v>
      </c>
      <c r="BI88" s="1807">
        <f t="shared" si="736"/>
        <v>0</v>
      </c>
      <c r="BJ88" s="1806">
        <f t="shared" si="737"/>
        <v>0</v>
      </c>
      <c r="BK88" s="1791">
        <f t="shared" si="738"/>
        <v>0</v>
      </c>
      <c r="BL88" s="1808">
        <f t="shared" si="739"/>
        <v>0</v>
      </c>
      <c r="BM88" s="1807">
        <f t="shared" si="740"/>
        <v>0</v>
      </c>
      <c r="BN88" s="1807">
        <f t="shared" si="741"/>
        <v>0</v>
      </c>
      <c r="BO88" s="1806">
        <f t="shared" si="742"/>
        <v>0</v>
      </c>
      <c r="BP88" s="1791">
        <f t="shared" si="743"/>
        <v>0</v>
      </c>
      <c r="BQ88" s="1827"/>
      <c r="BR88" s="1791">
        <f t="shared" si="744"/>
        <v>0</v>
      </c>
      <c r="BS88" s="1791">
        <f t="shared" si="744"/>
        <v>0</v>
      </c>
      <c r="BT88" s="1808">
        <f t="shared" si="745"/>
        <v>0</v>
      </c>
      <c r="BU88" s="1807">
        <f t="shared" si="746"/>
        <v>0</v>
      </c>
      <c r="BV88" s="1807">
        <f t="shared" si="747"/>
        <v>0</v>
      </c>
      <c r="BW88" s="1806">
        <f t="shared" si="748"/>
        <v>0</v>
      </c>
      <c r="BX88" s="1791">
        <f t="shared" si="749"/>
        <v>0</v>
      </c>
      <c r="BY88" s="1808">
        <f t="shared" si="750"/>
        <v>0</v>
      </c>
      <c r="BZ88" s="1807">
        <f t="shared" si="751"/>
        <v>0</v>
      </c>
      <c r="CA88" s="1807">
        <f t="shared" si="752"/>
        <v>0</v>
      </c>
      <c r="CB88" s="1806">
        <f t="shared" si="753"/>
        <v>0</v>
      </c>
      <c r="CC88" s="1791">
        <f t="shared" si="754"/>
        <v>0</v>
      </c>
      <c r="CD88" s="1808">
        <f t="shared" si="755"/>
        <v>0</v>
      </c>
      <c r="CE88" s="1807">
        <f t="shared" si="756"/>
        <v>0</v>
      </c>
      <c r="CF88" s="1807">
        <f t="shared" si="757"/>
        <v>0</v>
      </c>
      <c r="CG88" s="1806">
        <f t="shared" si="758"/>
        <v>0</v>
      </c>
      <c r="CH88" s="1791">
        <f t="shared" si="759"/>
        <v>0</v>
      </c>
      <c r="CI88" s="1808">
        <f t="shared" si="760"/>
        <v>0</v>
      </c>
      <c r="CJ88" s="1807">
        <f t="shared" si="761"/>
        <v>0</v>
      </c>
      <c r="CK88" s="1807">
        <f t="shared" si="762"/>
        <v>0</v>
      </c>
      <c r="CL88" s="1806">
        <f t="shared" si="763"/>
        <v>0</v>
      </c>
      <c r="CM88" s="1791">
        <f t="shared" si="764"/>
        <v>0</v>
      </c>
      <c r="CN88" s="1808">
        <f t="shared" si="765"/>
        <v>0</v>
      </c>
      <c r="CO88" s="1807">
        <f t="shared" si="766"/>
        <v>0</v>
      </c>
      <c r="CP88" s="1807">
        <f t="shared" si="767"/>
        <v>0</v>
      </c>
      <c r="CQ88" s="1806">
        <f t="shared" si="768"/>
        <v>0</v>
      </c>
      <c r="CR88" s="1791">
        <f t="shared" si="769"/>
        <v>0</v>
      </c>
      <c r="CS88" s="1808">
        <f t="shared" si="770"/>
        <v>0</v>
      </c>
      <c r="CT88" s="1807">
        <f t="shared" si="771"/>
        <v>0</v>
      </c>
      <c r="CU88" s="1807">
        <f t="shared" si="772"/>
        <v>0</v>
      </c>
      <c r="CV88" s="1806">
        <f t="shared" si="773"/>
        <v>0</v>
      </c>
      <c r="CW88" s="1791">
        <f t="shared" si="774"/>
        <v>0</v>
      </c>
      <c r="CX88" s="1808">
        <f t="shared" si="775"/>
        <v>0</v>
      </c>
      <c r="CY88" s="1807">
        <f t="shared" si="776"/>
        <v>0</v>
      </c>
      <c r="CZ88" s="1807">
        <f t="shared" si="777"/>
        <v>0</v>
      </c>
      <c r="DA88" s="1806">
        <f t="shared" si="778"/>
        <v>0</v>
      </c>
      <c r="DB88" s="1791">
        <f t="shared" si="779"/>
        <v>0</v>
      </c>
      <c r="DC88" s="1808">
        <f t="shared" si="780"/>
        <v>0</v>
      </c>
      <c r="DD88" s="1807">
        <f t="shared" si="781"/>
        <v>0</v>
      </c>
      <c r="DE88" s="1807">
        <f t="shared" si="782"/>
        <v>0</v>
      </c>
      <c r="DF88" s="1806">
        <f t="shared" si="783"/>
        <v>0</v>
      </c>
      <c r="DG88" s="1791">
        <f t="shared" si="784"/>
        <v>0</v>
      </c>
      <c r="DH88" s="1808">
        <f t="shared" si="785"/>
        <v>0</v>
      </c>
      <c r="DI88" s="1807">
        <f t="shared" si="786"/>
        <v>0</v>
      </c>
      <c r="DJ88" s="1807">
        <f t="shared" si="787"/>
        <v>0</v>
      </c>
      <c r="DK88" s="1806">
        <f t="shared" si="788"/>
        <v>0</v>
      </c>
      <c r="DL88" s="1791">
        <f t="shared" si="789"/>
        <v>0</v>
      </c>
      <c r="DM88" s="1808">
        <f t="shared" si="790"/>
        <v>0</v>
      </c>
      <c r="DN88" s="1807">
        <f t="shared" si="791"/>
        <v>0</v>
      </c>
      <c r="DO88" s="1807">
        <f t="shared" si="792"/>
        <v>0</v>
      </c>
      <c r="DP88" s="1806">
        <f t="shared" si="793"/>
        <v>0</v>
      </c>
      <c r="DQ88" s="1791">
        <f t="shared" si="794"/>
        <v>0</v>
      </c>
      <c r="DR88" s="1808">
        <f t="shared" si="795"/>
        <v>0</v>
      </c>
      <c r="DS88" s="1807">
        <f t="shared" si="796"/>
        <v>0</v>
      </c>
      <c r="DT88" s="1807">
        <f t="shared" si="797"/>
        <v>0</v>
      </c>
      <c r="DU88" s="1806">
        <f t="shared" si="798"/>
        <v>0</v>
      </c>
      <c r="DV88" s="1791">
        <f t="shared" si="799"/>
        <v>0</v>
      </c>
    </row>
    <row r="89" spans="1:126">
      <c r="A89" s="455"/>
      <c r="B89" s="455"/>
      <c r="C89" s="1363" t="s">
        <v>215</v>
      </c>
      <c r="D89" s="455"/>
      <c r="E89" s="1817">
        <f t="shared" si="800"/>
        <v>190</v>
      </c>
      <c r="F89" s="1435">
        <v>190</v>
      </c>
      <c r="G89" s="1435">
        <v>190</v>
      </c>
      <c r="H89" s="1350">
        <v>2025</v>
      </c>
      <c r="I89" s="1337">
        <v>3.78E-2</v>
      </c>
      <c r="J89" s="1343">
        <v>4</v>
      </c>
      <c r="K89" s="1792"/>
      <c r="L89" s="1810">
        <f t="shared" si="688"/>
        <v>0</v>
      </c>
      <c r="M89" s="1791">
        <f t="shared" si="688"/>
        <v>0</v>
      </c>
      <c r="N89" s="1808">
        <f t="shared" si="689"/>
        <v>0</v>
      </c>
      <c r="O89" s="1807">
        <f t="shared" si="690"/>
        <v>0</v>
      </c>
      <c r="P89" s="1807">
        <f t="shared" si="691"/>
        <v>0</v>
      </c>
      <c r="Q89" s="1806">
        <f t="shared" si="692"/>
        <v>0</v>
      </c>
      <c r="R89" s="1791">
        <f t="shared" si="693"/>
        <v>0</v>
      </c>
      <c r="S89" s="1808">
        <f t="shared" si="694"/>
        <v>0</v>
      </c>
      <c r="T89" s="1807">
        <f t="shared" si="695"/>
        <v>0</v>
      </c>
      <c r="U89" s="1807">
        <f t="shared" si="696"/>
        <v>0</v>
      </c>
      <c r="V89" s="1806">
        <f t="shared" si="697"/>
        <v>0</v>
      </c>
      <c r="W89" s="1791">
        <f t="shared" si="698"/>
        <v>0</v>
      </c>
      <c r="X89" s="1808">
        <f t="shared" si="699"/>
        <v>0</v>
      </c>
      <c r="Y89" s="1807">
        <f t="shared" si="700"/>
        <v>0</v>
      </c>
      <c r="Z89" s="1807">
        <f t="shared" si="701"/>
        <v>0</v>
      </c>
      <c r="AA89" s="1806">
        <f t="shared" si="702"/>
        <v>0</v>
      </c>
      <c r="AB89" s="1791">
        <f t="shared" si="703"/>
        <v>0</v>
      </c>
      <c r="AC89" s="1808">
        <f t="shared" si="704"/>
        <v>0</v>
      </c>
      <c r="AD89" s="1807">
        <f t="shared" si="705"/>
        <v>0</v>
      </c>
      <c r="AE89" s="1807">
        <f t="shared" si="706"/>
        <v>0</v>
      </c>
      <c r="AF89" s="1806">
        <f t="shared" si="707"/>
        <v>0</v>
      </c>
      <c r="AG89" s="1791">
        <f t="shared" si="708"/>
        <v>0</v>
      </c>
      <c r="AH89" s="1808">
        <f t="shared" si="709"/>
        <v>0</v>
      </c>
      <c r="AI89" s="1807">
        <f t="shared" si="710"/>
        <v>0</v>
      </c>
      <c r="AJ89" s="1807">
        <f t="shared" si="711"/>
        <v>0</v>
      </c>
      <c r="AK89" s="1806">
        <f t="shared" si="712"/>
        <v>0</v>
      </c>
      <c r="AL89" s="1791">
        <f t="shared" si="713"/>
        <v>0</v>
      </c>
      <c r="AM89" s="1808">
        <f t="shared" si="714"/>
        <v>0</v>
      </c>
      <c r="AN89" s="1807">
        <f t="shared" si="715"/>
        <v>0</v>
      </c>
      <c r="AO89" s="1807">
        <f t="shared" si="716"/>
        <v>0</v>
      </c>
      <c r="AP89" s="1806">
        <f t="shared" si="717"/>
        <v>0</v>
      </c>
      <c r="AQ89" s="1791">
        <f t="shared" si="718"/>
        <v>0</v>
      </c>
      <c r="AR89" s="1808">
        <f t="shared" si="719"/>
        <v>0</v>
      </c>
      <c r="AS89" s="1807">
        <f t="shared" si="720"/>
        <v>0</v>
      </c>
      <c r="AT89" s="1807">
        <f t="shared" si="721"/>
        <v>0</v>
      </c>
      <c r="AU89" s="1806">
        <f t="shared" si="722"/>
        <v>0</v>
      </c>
      <c r="AV89" s="1791">
        <f t="shared" si="723"/>
        <v>0</v>
      </c>
      <c r="AW89" s="1808">
        <f t="shared" si="724"/>
        <v>0</v>
      </c>
      <c r="AX89" s="1807">
        <f t="shared" si="725"/>
        <v>0</v>
      </c>
      <c r="AY89" s="1807">
        <f t="shared" si="726"/>
        <v>0</v>
      </c>
      <c r="AZ89" s="1806">
        <f t="shared" si="727"/>
        <v>0</v>
      </c>
      <c r="BA89" s="1791">
        <f t="shared" si="728"/>
        <v>0</v>
      </c>
      <c r="BB89" s="1808">
        <f t="shared" si="729"/>
        <v>0</v>
      </c>
      <c r="BC89" s="1807">
        <f t="shared" si="730"/>
        <v>0</v>
      </c>
      <c r="BD89" s="1807">
        <f t="shared" si="731"/>
        <v>0</v>
      </c>
      <c r="BE89" s="1806">
        <f t="shared" si="732"/>
        <v>0</v>
      </c>
      <c r="BF89" s="1791">
        <f t="shared" si="733"/>
        <v>0</v>
      </c>
      <c r="BG89" s="1808">
        <f t="shared" si="734"/>
        <v>0</v>
      </c>
      <c r="BH89" s="1807">
        <f t="shared" si="735"/>
        <v>0</v>
      </c>
      <c r="BI89" s="1807">
        <f t="shared" si="736"/>
        <v>0</v>
      </c>
      <c r="BJ89" s="1806">
        <f t="shared" si="737"/>
        <v>0</v>
      </c>
      <c r="BK89" s="1791">
        <f t="shared" si="738"/>
        <v>0</v>
      </c>
      <c r="BL89" s="1808">
        <f t="shared" si="739"/>
        <v>0</v>
      </c>
      <c r="BM89" s="1807">
        <f t="shared" si="740"/>
        <v>0</v>
      </c>
      <c r="BN89" s="1807">
        <f t="shared" si="741"/>
        <v>0</v>
      </c>
      <c r="BO89" s="1806">
        <f t="shared" si="742"/>
        <v>0</v>
      </c>
      <c r="BP89" s="1791">
        <f t="shared" si="743"/>
        <v>0</v>
      </c>
      <c r="BQ89" s="1827"/>
      <c r="BR89" s="1791">
        <f t="shared" si="744"/>
        <v>0</v>
      </c>
      <c r="BS89" s="1791">
        <f t="shared" si="744"/>
        <v>0</v>
      </c>
      <c r="BT89" s="1808">
        <f t="shared" si="745"/>
        <v>0</v>
      </c>
      <c r="BU89" s="1807">
        <f t="shared" si="746"/>
        <v>0</v>
      </c>
      <c r="BV89" s="1807">
        <f t="shared" si="747"/>
        <v>0</v>
      </c>
      <c r="BW89" s="1806">
        <f t="shared" si="748"/>
        <v>0</v>
      </c>
      <c r="BX89" s="1791">
        <f t="shared" si="749"/>
        <v>0</v>
      </c>
      <c r="BY89" s="1808">
        <f t="shared" si="750"/>
        <v>0</v>
      </c>
      <c r="BZ89" s="1807">
        <f t="shared" si="751"/>
        <v>0</v>
      </c>
      <c r="CA89" s="1807">
        <f t="shared" si="752"/>
        <v>0</v>
      </c>
      <c r="CB89" s="1806">
        <f t="shared" si="753"/>
        <v>0</v>
      </c>
      <c r="CC89" s="1791">
        <f t="shared" si="754"/>
        <v>0</v>
      </c>
      <c r="CD89" s="1808">
        <f t="shared" si="755"/>
        <v>0</v>
      </c>
      <c r="CE89" s="1807">
        <f t="shared" si="756"/>
        <v>0</v>
      </c>
      <c r="CF89" s="1807">
        <f t="shared" si="757"/>
        <v>0</v>
      </c>
      <c r="CG89" s="1806">
        <f t="shared" si="758"/>
        <v>0</v>
      </c>
      <c r="CH89" s="1791">
        <f t="shared" si="759"/>
        <v>0</v>
      </c>
      <c r="CI89" s="1808">
        <f t="shared" si="760"/>
        <v>0</v>
      </c>
      <c r="CJ89" s="1807">
        <f t="shared" si="761"/>
        <v>0</v>
      </c>
      <c r="CK89" s="1807">
        <f t="shared" si="762"/>
        <v>0</v>
      </c>
      <c r="CL89" s="1806">
        <f t="shared" si="763"/>
        <v>0</v>
      </c>
      <c r="CM89" s="1791">
        <f t="shared" si="764"/>
        <v>0</v>
      </c>
      <c r="CN89" s="1808">
        <f t="shared" si="765"/>
        <v>0</v>
      </c>
      <c r="CO89" s="1807">
        <f t="shared" si="766"/>
        <v>0</v>
      </c>
      <c r="CP89" s="1807">
        <f t="shared" si="767"/>
        <v>0</v>
      </c>
      <c r="CQ89" s="1806">
        <f t="shared" si="768"/>
        <v>0</v>
      </c>
      <c r="CR89" s="1791">
        <f t="shared" si="769"/>
        <v>0</v>
      </c>
      <c r="CS89" s="1808">
        <f t="shared" si="770"/>
        <v>0</v>
      </c>
      <c r="CT89" s="1807">
        <f t="shared" si="771"/>
        <v>0</v>
      </c>
      <c r="CU89" s="1807">
        <f t="shared" si="772"/>
        <v>0</v>
      </c>
      <c r="CV89" s="1806">
        <f t="shared" si="773"/>
        <v>0</v>
      </c>
      <c r="CW89" s="1791">
        <f t="shared" si="774"/>
        <v>0</v>
      </c>
      <c r="CX89" s="1808">
        <f t="shared" si="775"/>
        <v>0</v>
      </c>
      <c r="CY89" s="1807">
        <f t="shared" si="776"/>
        <v>0</v>
      </c>
      <c r="CZ89" s="1807">
        <f t="shared" si="777"/>
        <v>0</v>
      </c>
      <c r="DA89" s="1806">
        <f t="shared" si="778"/>
        <v>0</v>
      </c>
      <c r="DB89" s="1791">
        <f t="shared" si="779"/>
        <v>0</v>
      </c>
      <c r="DC89" s="1808">
        <f t="shared" si="780"/>
        <v>0</v>
      </c>
      <c r="DD89" s="1807">
        <f t="shared" si="781"/>
        <v>0</v>
      </c>
      <c r="DE89" s="1807">
        <f t="shared" si="782"/>
        <v>0</v>
      </c>
      <c r="DF89" s="1806">
        <f t="shared" si="783"/>
        <v>0</v>
      </c>
      <c r="DG89" s="1791">
        <f t="shared" si="784"/>
        <v>0</v>
      </c>
      <c r="DH89" s="1808">
        <f t="shared" si="785"/>
        <v>0</v>
      </c>
      <c r="DI89" s="1807">
        <f t="shared" si="786"/>
        <v>0</v>
      </c>
      <c r="DJ89" s="1807">
        <f t="shared" si="787"/>
        <v>0</v>
      </c>
      <c r="DK89" s="1806">
        <f t="shared" si="788"/>
        <v>0</v>
      </c>
      <c r="DL89" s="1791">
        <f t="shared" si="789"/>
        <v>0</v>
      </c>
      <c r="DM89" s="1808">
        <f t="shared" si="790"/>
        <v>0</v>
      </c>
      <c r="DN89" s="1807">
        <f t="shared" si="791"/>
        <v>0</v>
      </c>
      <c r="DO89" s="1807">
        <f t="shared" si="792"/>
        <v>0</v>
      </c>
      <c r="DP89" s="1806">
        <f t="shared" si="793"/>
        <v>0</v>
      </c>
      <c r="DQ89" s="1791">
        <f t="shared" si="794"/>
        <v>0</v>
      </c>
      <c r="DR89" s="1808">
        <f t="shared" si="795"/>
        <v>0</v>
      </c>
      <c r="DS89" s="1807">
        <f t="shared" si="796"/>
        <v>0</v>
      </c>
      <c r="DT89" s="1807">
        <f t="shared" si="797"/>
        <v>0</v>
      </c>
      <c r="DU89" s="1806">
        <f t="shared" si="798"/>
        <v>0</v>
      </c>
      <c r="DV89" s="1791">
        <f t="shared" si="799"/>
        <v>0</v>
      </c>
    </row>
    <row r="90" spans="1:126">
      <c r="A90" s="455"/>
      <c r="B90" s="455"/>
      <c r="C90" s="1723" t="s">
        <v>895</v>
      </c>
      <c r="D90" s="455"/>
      <c r="E90" s="1817">
        <f t="shared" si="800"/>
        <v>450</v>
      </c>
      <c r="F90" s="1435">
        <v>450</v>
      </c>
      <c r="G90" s="1435">
        <v>450</v>
      </c>
      <c r="H90" s="1350">
        <v>2045</v>
      </c>
      <c r="I90" s="1337">
        <v>4.9500000000000002E-2</v>
      </c>
      <c r="J90" s="1343">
        <v>1</v>
      </c>
      <c r="K90" s="1792"/>
      <c r="L90" s="1810">
        <f t="shared" si="688"/>
        <v>0</v>
      </c>
      <c r="M90" s="1791">
        <f t="shared" si="688"/>
        <v>0</v>
      </c>
      <c r="N90" s="1808">
        <f t="shared" si="689"/>
        <v>0</v>
      </c>
      <c r="O90" s="1807">
        <f t="shared" si="690"/>
        <v>0</v>
      </c>
      <c r="P90" s="1807">
        <f t="shared" si="691"/>
        <v>0</v>
      </c>
      <c r="Q90" s="1806">
        <f t="shared" si="692"/>
        <v>0</v>
      </c>
      <c r="R90" s="1791">
        <f t="shared" si="693"/>
        <v>0</v>
      </c>
      <c r="S90" s="1808">
        <f t="shared" si="694"/>
        <v>0</v>
      </c>
      <c r="T90" s="1807">
        <f t="shared" si="695"/>
        <v>0</v>
      </c>
      <c r="U90" s="1807">
        <f t="shared" si="696"/>
        <v>0</v>
      </c>
      <c r="V90" s="1806">
        <f t="shared" si="697"/>
        <v>0</v>
      </c>
      <c r="W90" s="1791">
        <f t="shared" si="698"/>
        <v>0</v>
      </c>
      <c r="X90" s="1808">
        <f t="shared" si="699"/>
        <v>0</v>
      </c>
      <c r="Y90" s="1807">
        <f t="shared" si="700"/>
        <v>0</v>
      </c>
      <c r="Z90" s="1807">
        <f t="shared" si="701"/>
        <v>0</v>
      </c>
      <c r="AA90" s="1806">
        <f t="shared" si="702"/>
        <v>0</v>
      </c>
      <c r="AB90" s="1791">
        <f t="shared" si="703"/>
        <v>0</v>
      </c>
      <c r="AC90" s="1808">
        <f t="shared" si="704"/>
        <v>0</v>
      </c>
      <c r="AD90" s="1807">
        <f t="shared" si="705"/>
        <v>0</v>
      </c>
      <c r="AE90" s="1807">
        <f t="shared" si="706"/>
        <v>0</v>
      </c>
      <c r="AF90" s="1806">
        <f t="shared" si="707"/>
        <v>0</v>
      </c>
      <c r="AG90" s="1791">
        <f t="shared" si="708"/>
        <v>0</v>
      </c>
      <c r="AH90" s="1808">
        <f t="shared" si="709"/>
        <v>0</v>
      </c>
      <c r="AI90" s="1807">
        <f t="shared" si="710"/>
        <v>0</v>
      </c>
      <c r="AJ90" s="1807">
        <f t="shared" si="711"/>
        <v>0</v>
      </c>
      <c r="AK90" s="1806">
        <f t="shared" si="712"/>
        <v>0</v>
      </c>
      <c r="AL90" s="1791">
        <f t="shared" si="713"/>
        <v>0</v>
      </c>
      <c r="AM90" s="1808">
        <f t="shared" si="714"/>
        <v>0</v>
      </c>
      <c r="AN90" s="1807">
        <f t="shared" si="715"/>
        <v>0</v>
      </c>
      <c r="AO90" s="1807">
        <f t="shared" si="716"/>
        <v>0</v>
      </c>
      <c r="AP90" s="1806">
        <f t="shared" si="717"/>
        <v>0</v>
      </c>
      <c r="AQ90" s="1791">
        <f t="shared" si="718"/>
        <v>0</v>
      </c>
      <c r="AR90" s="1808">
        <f t="shared" si="719"/>
        <v>0</v>
      </c>
      <c r="AS90" s="1807">
        <f t="shared" si="720"/>
        <v>0</v>
      </c>
      <c r="AT90" s="1807">
        <f t="shared" si="721"/>
        <v>0</v>
      </c>
      <c r="AU90" s="1806">
        <f t="shared" si="722"/>
        <v>0</v>
      </c>
      <c r="AV90" s="1791">
        <f t="shared" si="723"/>
        <v>0</v>
      </c>
      <c r="AW90" s="1808">
        <f t="shared" si="724"/>
        <v>0</v>
      </c>
      <c r="AX90" s="1807">
        <f t="shared" si="725"/>
        <v>0</v>
      </c>
      <c r="AY90" s="1807">
        <f t="shared" si="726"/>
        <v>0</v>
      </c>
      <c r="AZ90" s="1806">
        <f t="shared" si="727"/>
        <v>0</v>
      </c>
      <c r="BA90" s="1791">
        <f t="shared" si="728"/>
        <v>0</v>
      </c>
      <c r="BB90" s="1808">
        <f t="shared" si="729"/>
        <v>0</v>
      </c>
      <c r="BC90" s="1807">
        <f t="shared" si="730"/>
        <v>0</v>
      </c>
      <c r="BD90" s="1807">
        <f t="shared" si="731"/>
        <v>0</v>
      </c>
      <c r="BE90" s="1806">
        <f t="shared" si="732"/>
        <v>0</v>
      </c>
      <c r="BF90" s="1791">
        <f t="shared" si="733"/>
        <v>0</v>
      </c>
      <c r="BG90" s="1808">
        <f t="shared" si="734"/>
        <v>0</v>
      </c>
      <c r="BH90" s="1807">
        <f t="shared" si="735"/>
        <v>0</v>
      </c>
      <c r="BI90" s="1807">
        <f t="shared" si="736"/>
        <v>0</v>
      </c>
      <c r="BJ90" s="1806">
        <f t="shared" si="737"/>
        <v>0</v>
      </c>
      <c r="BK90" s="1791">
        <f t="shared" si="738"/>
        <v>0</v>
      </c>
      <c r="BL90" s="1808">
        <f t="shared" si="739"/>
        <v>0</v>
      </c>
      <c r="BM90" s="1807">
        <f t="shared" si="740"/>
        <v>0</v>
      </c>
      <c r="BN90" s="1807">
        <f t="shared" si="741"/>
        <v>0</v>
      </c>
      <c r="BO90" s="1806">
        <f t="shared" si="742"/>
        <v>0</v>
      </c>
      <c r="BP90" s="1791">
        <f t="shared" si="743"/>
        <v>0</v>
      </c>
      <c r="BQ90" s="1827"/>
      <c r="BR90" s="1791">
        <f t="shared" si="744"/>
        <v>0</v>
      </c>
      <c r="BS90" s="1791">
        <f t="shared" si="744"/>
        <v>0</v>
      </c>
      <c r="BT90" s="1808">
        <f t="shared" si="745"/>
        <v>0</v>
      </c>
      <c r="BU90" s="1807">
        <f t="shared" si="746"/>
        <v>0</v>
      </c>
      <c r="BV90" s="1807">
        <f t="shared" si="747"/>
        <v>0</v>
      </c>
      <c r="BW90" s="1806">
        <f t="shared" si="748"/>
        <v>0</v>
      </c>
      <c r="BX90" s="1791">
        <f t="shared" si="749"/>
        <v>0</v>
      </c>
      <c r="BY90" s="1808">
        <f t="shared" si="750"/>
        <v>0</v>
      </c>
      <c r="BZ90" s="1807">
        <f t="shared" si="751"/>
        <v>0</v>
      </c>
      <c r="CA90" s="1807">
        <f t="shared" si="752"/>
        <v>0</v>
      </c>
      <c r="CB90" s="1806">
        <f t="shared" si="753"/>
        <v>0</v>
      </c>
      <c r="CC90" s="1791">
        <f t="shared" si="754"/>
        <v>0</v>
      </c>
      <c r="CD90" s="1808">
        <f t="shared" si="755"/>
        <v>0</v>
      </c>
      <c r="CE90" s="1807">
        <f t="shared" si="756"/>
        <v>0</v>
      </c>
      <c r="CF90" s="1807">
        <f t="shared" si="757"/>
        <v>0</v>
      </c>
      <c r="CG90" s="1806">
        <f t="shared" si="758"/>
        <v>0</v>
      </c>
      <c r="CH90" s="1791">
        <f t="shared" si="759"/>
        <v>0</v>
      </c>
      <c r="CI90" s="1808">
        <f t="shared" si="760"/>
        <v>0</v>
      </c>
      <c r="CJ90" s="1807">
        <f t="shared" si="761"/>
        <v>0</v>
      </c>
      <c r="CK90" s="1807">
        <f t="shared" si="762"/>
        <v>0</v>
      </c>
      <c r="CL90" s="1806">
        <f t="shared" si="763"/>
        <v>0</v>
      </c>
      <c r="CM90" s="1791">
        <f t="shared" si="764"/>
        <v>0</v>
      </c>
      <c r="CN90" s="1808">
        <f t="shared" si="765"/>
        <v>0</v>
      </c>
      <c r="CO90" s="1807">
        <f t="shared" si="766"/>
        <v>0</v>
      </c>
      <c r="CP90" s="1807">
        <f t="shared" si="767"/>
        <v>0</v>
      </c>
      <c r="CQ90" s="1806">
        <f t="shared" si="768"/>
        <v>0</v>
      </c>
      <c r="CR90" s="1791">
        <f t="shared" si="769"/>
        <v>0</v>
      </c>
      <c r="CS90" s="1808">
        <f t="shared" si="770"/>
        <v>0</v>
      </c>
      <c r="CT90" s="1807">
        <f t="shared" si="771"/>
        <v>0</v>
      </c>
      <c r="CU90" s="1807">
        <f t="shared" si="772"/>
        <v>0</v>
      </c>
      <c r="CV90" s="1806">
        <f t="shared" si="773"/>
        <v>0</v>
      </c>
      <c r="CW90" s="1791">
        <f t="shared" si="774"/>
        <v>0</v>
      </c>
      <c r="CX90" s="1808">
        <f t="shared" si="775"/>
        <v>0</v>
      </c>
      <c r="CY90" s="1807">
        <f t="shared" si="776"/>
        <v>0</v>
      </c>
      <c r="CZ90" s="1807">
        <f t="shared" si="777"/>
        <v>0</v>
      </c>
      <c r="DA90" s="1806">
        <f t="shared" si="778"/>
        <v>0</v>
      </c>
      <c r="DB90" s="1791">
        <f t="shared" si="779"/>
        <v>0</v>
      </c>
      <c r="DC90" s="1808">
        <f t="shared" si="780"/>
        <v>0</v>
      </c>
      <c r="DD90" s="1807">
        <f t="shared" si="781"/>
        <v>0</v>
      </c>
      <c r="DE90" s="1807">
        <f t="shared" si="782"/>
        <v>0</v>
      </c>
      <c r="DF90" s="1806">
        <f t="shared" si="783"/>
        <v>0</v>
      </c>
      <c r="DG90" s="1791">
        <f t="shared" si="784"/>
        <v>0</v>
      </c>
      <c r="DH90" s="1808">
        <f t="shared" si="785"/>
        <v>0</v>
      </c>
      <c r="DI90" s="1807">
        <f t="shared" si="786"/>
        <v>0</v>
      </c>
      <c r="DJ90" s="1807">
        <f t="shared" si="787"/>
        <v>0</v>
      </c>
      <c r="DK90" s="1806">
        <f t="shared" si="788"/>
        <v>0</v>
      </c>
      <c r="DL90" s="1791">
        <f t="shared" si="789"/>
        <v>0</v>
      </c>
      <c r="DM90" s="1808">
        <f t="shared" si="790"/>
        <v>0</v>
      </c>
      <c r="DN90" s="1807">
        <f t="shared" si="791"/>
        <v>0</v>
      </c>
      <c r="DO90" s="1807">
        <f t="shared" si="792"/>
        <v>0</v>
      </c>
      <c r="DP90" s="1806">
        <f t="shared" si="793"/>
        <v>0</v>
      </c>
      <c r="DQ90" s="1791">
        <f t="shared" si="794"/>
        <v>0</v>
      </c>
      <c r="DR90" s="1808">
        <f t="shared" si="795"/>
        <v>0</v>
      </c>
      <c r="DS90" s="1807">
        <f t="shared" si="796"/>
        <v>0</v>
      </c>
      <c r="DT90" s="1807">
        <f t="shared" si="797"/>
        <v>0</v>
      </c>
      <c r="DU90" s="1806">
        <f t="shared" si="798"/>
        <v>0</v>
      </c>
      <c r="DV90" s="1791">
        <f t="shared" si="799"/>
        <v>0</v>
      </c>
    </row>
    <row r="91" spans="1:126">
      <c r="A91" s="455"/>
      <c r="B91" s="455"/>
      <c r="C91" s="1723" t="s">
        <v>1013</v>
      </c>
      <c r="D91" s="94"/>
      <c r="E91" s="1817">
        <f t="shared" si="800"/>
        <v>400</v>
      </c>
      <c r="F91" s="1435">
        <v>400</v>
      </c>
      <c r="G91" s="1435">
        <v>400</v>
      </c>
      <c r="H91" s="1350">
        <v>2026</v>
      </c>
      <c r="I91" s="1337">
        <v>2.4E-2</v>
      </c>
      <c r="J91" s="1343">
        <v>10</v>
      </c>
      <c r="K91" s="1792"/>
      <c r="L91" s="1810">
        <f t="shared" si="688"/>
        <v>0</v>
      </c>
      <c r="M91" s="1791">
        <f t="shared" si="688"/>
        <v>0</v>
      </c>
      <c r="N91" s="1808">
        <f t="shared" si="689"/>
        <v>0</v>
      </c>
      <c r="O91" s="1807">
        <f t="shared" si="690"/>
        <v>0</v>
      </c>
      <c r="P91" s="1807">
        <f t="shared" si="691"/>
        <v>0</v>
      </c>
      <c r="Q91" s="1806">
        <f t="shared" si="692"/>
        <v>0</v>
      </c>
      <c r="R91" s="1791">
        <f t="shared" si="693"/>
        <v>0</v>
      </c>
      <c r="S91" s="1808">
        <f t="shared" si="694"/>
        <v>0</v>
      </c>
      <c r="T91" s="1807">
        <f t="shared" si="695"/>
        <v>0</v>
      </c>
      <c r="U91" s="1807">
        <f t="shared" si="696"/>
        <v>0</v>
      </c>
      <c r="V91" s="1806">
        <f t="shared" si="697"/>
        <v>0</v>
      </c>
      <c r="W91" s="1791">
        <f t="shared" si="698"/>
        <v>0</v>
      </c>
      <c r="X91" s="1808">
        <f t="shared" si="699"/>
        <v>0</v>
      </c>
      <c r="Y91" s="1807">
        <f t="shared" si="700"/>
        <v>0</v>
      </c>
      <c r="Z91" s="1807">
        <f t="shared" si="701"/>
        <v>0</v>
      </c>
      <c r="AA91" s="1806">
        <f t="shared" si="702"/>
        <v>0</v>
      </c>
      <c r="AB91" s="1791">
        <f t="shared" si="703"/>
        <v>0</v>
      </c>
      <c r="AC91" s="1808">
        <f t="shared" si="704"/>
        <v>0</v>
      </c>
      <c r="AD91" s="1807">
        <f t="shared" si="705"/>
        <v>0</v>
      </c>
      <c r="AE91" s="1807">
        <f t="shared" si="706"/>
        <v>0</v>
      </c>
      <c r="AF91" s="1806">
        <f t="shared" si="707"/>
        <v>0</v>
      </c>
      <c r="AG91" s="1791">
        <f t="shared" si="708"/>
        <v>0</v>
      </c>
      <c r="AH91" s="1808">
        <f t="shared" si="709"/>
        <v>0</v>
      </c>
      <c r="AI91" s="1807">
        <f t="shared" si="710"/>
        <v>0</v>
      </c>
      <c r="AJ91" s="1807">
        <f t="shared" si="711"/>
        <v>0</v>
      </c>
      <c r="AK91" s="1806">
        <f t="shared" si="712"/>
        <v>0</v>
      </c>
      <c r="AL91" s="1791">
        <f t="shared" si="713"/>
        <v>0</v>
      </c>
      <c r="AM91" s="1808">
        <f t="shared" si="714"/>
        <v>0</v>
      </c>
      <c r="AN91" s="1807">
        <f t="shared" si="715"/>
        <v>0</v>
      </c>
      <c r="AO91" s="1807">
        <f t="shared" si="716"/>
        <v>0</v>
      </c>
      <c r="AP91" s="1806">
        <f t="shared" si="717"/>
        <v>0</v>
      </c>
      <c r="AQ91" s="1791">
        <f t="shared" si="718"/>
        <v>0</v>
      </c>
      <c r="AR91" s="1808">
        <f t="shared" si="719"/>
        <v>0</v>
      </c>
      <c r="AS91" s="1807">
        <f t="shared" si="720"/>
        <v>0</v>
      </c>
      <c r="AT91" s="1807">
        <f t="shared" si="721"/>
        <v>0</v>
      </c>
      <c r="AU91" s="1806">
        <f t="shared" si="722"/>
        <v>0</v>
      </c>
      <c r="AV91" s="1791">
        <f t="shared" si="723"/>
        <v>0</v>
      </c>
      <c r="AW91" s="1808">
        <f t="shared" si="724"/>
        <v>0</v>
      </c>
      <c r="AX91" s="1807">
        <f t="shared" si="725"/>
        <v>0</v>
      </c>
      <c r="AY91" s="1807">
        <f t="shared" si="726"/>
        <v>0</v>
      </c>
      <c r="AZ91" s="1806">
        <f t="shared" si="727"/>
        <v>0</v>
      </c>
      <c r="BA91" s="1791">
        <f t="shared" si="728"/>
        <v>0</v>
      </c>
      <c r="BB91" s="1808">
        <f t="shared" si="729"/>
        <v>0</v>
      </c>
      <c r="BC91" s="1807">
        <f t="shared" si="730"/>
        <v>0</v>
      </c>
      <c r="BD91" s="1807">
        <f t="shared" si="731"/>
        <v>0</v>
      </c>
      <c r="BE91" s="1806">
        <f t="shared" si="732"/>
        <v>0</v>
      </c>
      <c r="BF91" s="1791">
        <f t="shared" si="733"/>
        <v>0</v>
      </c>
      <c r="BG91" s="1808">
        <f t="shared" si="734"/>
        <v>0</v>
      </c>
      <c r="BH91" s="1807">
        <f t="shared" si="735"/>
        <v>0</v>
      </c>
      <c r="BI91" s="1807">
        <f t="shared" si="736"/>
        <v>0</v>
      </c>
      <c r="BJ91" s="1806">
        <f t="shared" si="737"/>
        <v>0</v>
      </c>
      <c r="BK91" s="1791">
        <f t="shared" si="738"/>
        <v>0</v>
      </c>
      <c r="BL91" s="1808">
        <f t="shared" ref="BL91" si="801">IF(BP91=0,0,IF(BP91&lt;0,IF($J91=3,BP91,IF($J91=2,BP91,IF($J91=1,BP91,0)))))</f>
        <v>0</v>
      </c>
      <c r="BM91" s="1807">
        <f t="shared" ref="BM91" si="802">IF(BP91=0,0,IF(BP91&lt;0,IF($J91=6,BP91,IF($J91=5,BP91,IF($J91=4,BP91,0)))))</f>
        <v>0</v>
      </c>
      <c r="BN91" s="1807">
        <f t="shared" ref="BN91" si="803">IF(BP91=0,0,IF(BP91&lt;0,IF($J91=9,BP91,IF($J91=8,BP91,IF($J91=7,BP91,0)))))</f>
        <v>0</v>
      </c>
      <c r="BO91" s="1806">
        <f t="shared" ref="BO91" si="804">IF(BP91=0,0,IF(BP91&lt;0,IF($J91=12,BP91,IF($J91=11,BP91,IF($J91=10,BP91,0)))))</f>
        <v>0</v>
      </c>
      <c r="BP91" s="1791">
        <f t="shared" si="743"/>
        <v>0</v>
      </c>
      <c r="BQ91" s="1827"/>
      <c r="BR91" s="1791">
        <f t="shared" si="744"/>
        <v>0</v>
      </c>
      <c r="BS91" s="1791">
        <f t="shared" si="744"/>
        <v>0</v>
      </c>
      <c r="BT91" s="1808">
        <f t="shared" si="745"/>
        <v>0</v>
      </c>
      <c r="BU91" s="1807">
        <f t="shared" si="746"/>
        <v>0</v>
      </c>
      <c r="BV91" s="1807">
        <f t="shared" si="747"/>
        <v>0</v>
      </c>
      <c r="BW91" s="1806">
        <f t="shared" si="748"/>
        <v>0</v>
      </c>
      <c r="BX91" s="1791">
        <f t="shared" si="749"/>
        <v>0</v>
      </c>
      <c r="BY91" s="1808">
        <f t="shared" si="750"/>
        <v>0</v>
      </c>
      <c r="BZ91" s="1807">
        <f t="shared" si="751"/>
        <v>0</v>
      </c>
      <c r="CA91" s="1807">
        <f t="shared" si="752"/>
        <v>0</v>
      </c>
      <c r="CB91" s="1806">
        <f t="shared" si="753"/>
        <v>0</v>
      </c>
      <c r="CC91" s="1791">
        <f t="shared" si="754"/>
        <v>0</v>
      </c>
      <c r="CD91" s="1808">
        <f t="shared" si="755"/>
        <v>0</v>
      </c>
      <c r="CE91" s="1807">
        <f t="shared" si="756"/>
        <v>0</v>
      </c>
      <c r="CF91" s="1807">
        <f t="shared" si="757"/>
        <v>0</v>
      </c>
      <c r="CG91" s="1806">
        <f t="shared" si="758"/>
        <v>0</v>
      </c>
      <c r="CH91" s="1791">
        <f t="shared" si="759"/>
        <v>0</v>
      </c>
      <c r="CI91" s="1808">
        <f t="shared" si="760"/>
        <v>0</v>
      </c>
      <c r="CJ91" s="1807">
        <f t="shared" si="761"/>
        <v>0</v>
      </c>
      <c r="CK91" s="1807">
        <f t="shared" si="762"/>
        <v>0</v>
      </c>
      <c r="CL91" s="1806">
        <f t="shared" si="763"/>
        <v>0</v>
      </c>
      <c r="CM91" s="1791">
        <f t="shared" si="764"/>
        <v>0</v>
      </c>
      <c r="CN91" s="1808">
        <f t="shared" si="765"/>
        <v>0</v>
      </c>
      <c r="CO91" s="1807">
        <f t="shared" si="766"/>
        <v>0</v>
      </c>
      <c r="CP91" s="1807">
        <f t="shared" si="767"/>
        <v>0</v>
      </c>
      <c r="CQ91" s="1806">
        <f t="shared" si="768"/>
        <v>0</v>
      </c>
      <c r="CR91" s="1791">
        <f t="shared" si="769"/>
        <v>0</v>
      </c>
      <c r="CS91" s="1808">
        <f t="shared" si="770"/>
        <v>0</v>
      </c>
      <c r="CT91" s="1807">
        <f t="shared" si="771"/>
        <v>0</v>
      </c>
      <c r="CU91" s="1807">
        <f t="shared" si="772"/>
        <v>0</v>
      </c>
      <c r="CV91" s="1806">
        <f t="shared" si="773"/>
        <v>0</v>
      </c>
      <c r="CW91" s="1791">
        <f t="shared" si="774"/>
        <v>0</v>
      </c>
      <c r="CX91" s="1808">
        <f t="shared" si="775"/>
        <v>0</v>
      </c>
      <c r="CY91" s="1807">
        <f t="shared" si="776"/>
        <v>0</v>
      </c>
      <c r="CZ91" s="1807">
        <f t="shared" si="777"/>
        <v>0</v>
      </c>
      <c r="DA91" s="1806">
        <f t="shared" si="778"/>
        <v>0</v>
      </c>
      <c r="DB91" s="1791">
        <f t="shared" si="779"/>
        <v>0</v>
      </c>
      <c r="DC91" s="1808">
        <f t="shared" si="780"/>
        <v>0</v>
      </c>
      <c r="DD91" s="1807">
        <f t="shared" si="781"/>
        <v>0</v>
      </c>
      <c r="DE91" s="1807">
        <f t="shared" si="782"/>
        <v>0</v>
      </c>
      <c r="DF91" s="1806">
        <f t="shared" si="783"/>
        <v>0</v>
      </c>
      <c r="DG91" s="1791">
        <f t="shared" si="784"/>
        <v>0</v>
      </c>
      <c r="DH91" s="1808">
        <f t="shared" si="785"/>
        <v>0</v>
      </c>
      <c r="DI91" s="1807">
        <f t="shared" si="786"/>
        <v>0</v>
      </c>
      <c r="DJ91" s="1807">
        <f t="shared" si="787"/>
        <v>0</v>
      </c>
      <c r="DK91" s="1806">
        <f t="shared" si="788"/>
        <v>0</v>
      </c>
      <c r="DL91" s="1791">
        <f t="shared" si="789"/>
        <v>0</v>
      </c>
      <c r="DM91" s="1808">
        <f t="shared" si="790"/>
        <v>0</v>
      </c>
      <c r="DN91" s="1807">
        <f t="shared" si="791"/>
        <v>0</v>
      </c>
      <c r="DO91" s="1807">
        <f t="shared" si="792"/>
        <v>0</v>
      </c>
      <c r="DP91" s="1806">
        <f t="shared" si="793"/>
        <v>0</v>
      </c>
      <c r="DQ91" s="1791">
        <f t="shared" si="794"/>
        <v>0</v>
      </c>
      <c r="DR91" s="1808">
        <f t="shared" ref="DR91" si="805">IF($H91&lt;&gt;DV$5,0,IF(DV91&lt;0,IF($J91=1,-$E91*$I91/12*3,IF($J91=2,-$E91*$I91/12*2,IF($J91=3,-$E91*$I91/12*1,0)))))+IF(DQ$5&lt;&gt;$H91,0,IF(DQ91&lt;0,IF($J91=1,-$E91*$I91/12*0,IF($J91=2,-$E91*$I91/12*1,IF($J91=3,-$E91*$I91/12*2,IF($J91&gt;=4,-$E91*$I91/12*3,0))))))</f>
        <v>0</v>
      </c>
      <c r="DS91" s="1807">
        <f t="shared" ref="DS91" si="806">IF($H91&lt;&gt;DV$5,0,IF(DV91&lt;0,IF(OR($J91=1,$J91=2,$J91=3,$J91=4),-$E91*$I91/12*3,IF($J91=5,-$E91*$I91/12*2,IF($J91=6,-$E91*$I91/12*1,0)))))+IF(DQ$5&lt;&gt;$H91,0,IF(DQ91&lt;0,IF($J91=4,-$E91*$I91/12*0,IF($J91=5,-$E91*$I91/12*1,IF($J91=6,-$E91*$I91/12*2,IF($J91&gt;=7,-$E91*$I91/12*3,0))))))</f>
        <v>0</v>
      </c>
      <c r="DT91" s="1807">
        <f t="shared" ref="DT91" si="807">IF($H91&lt;&gt;DV$5,0,IF(DV91&lt;0,IF(OR($J91=1,$J91=2,$J91=3,$J91=4,$J91=5,$J91=6,$J91=7),-$E91*$I91/12*3,IF($J91=8,-$E91*$I91/12*2,IF($J91=9,-$E91*$I91/12*1,0)))))+IF(DQ$5&lt;&gt;$H91,0,IF(DQ91&lt;0,IF($J91=7,-$E91*$I91/12*0,IF($J91=8,-$E91*$I91/12*1,IF($J91=9,-$E91*$I91/12*2,IF($J91&gt;=10,-$E91*$I91/12*3,0))))))</f>
        <v>0</v>
      </c>
      <c r="DU91" s="1806">
        <f t="shared" ref="DU91" si="808">IF($H91&lt;&gt;DV$5,0,IF(DV91&lt;0,IF(OR($J91=1,$J91=2,$J91=3,$J91=4,$J91=5,$J91=6,$J91=7,$J91=8,$J91=9,$J91=10),-$E91*$I91/12*3,IF($J91=11,-$E91*$I91/12*2,IF($J91=12,-$E91*$I91/12*1,0)))))+IF(DQ$5&lt;&gt;$H91,0,IF(DQ91&lt;0,IF($J91=10,-$E91*$I91/12*0,IF($J91=11,-$E91*$I91/12*1,IF($J91=12,-$E91*$I91/12*2,0)))))</f>
        <v>0</v>
      </c>
      <c r="DV91" s="1791">
        <f t="shared" ref="DV91" si="809">IF(AND(DQ91&lt;&gt;0,DQ$5=$H91),-$I91*$E91-DQ91,IF(DV$5=$H91,-$I91*$E91*(12-$J91+1)/12,0))</f>
        <v>0</v>
      </c>
    </row>
    <row r="92" spans="1:126">
      <c r="A92" s="455"/>
      <c r="B92" s="455"/>
      <c r="C92" s="1723" t="s">
        <v>954</v>
      </c>
      <c r="D92" s="94"/>
      <c r="E92" s="1817">
        <f t="shared" si="800"/>
        <v>425</v>
      </c>
      <c r="F92" s="1435">
        <v>425</v>
      </c>
      <c r="G92" s="1435">
        <v>425</v>
      </c>
      <c r="H92" s="1350">
        <v>2028</v>
      </c>
      <c r="I92" s="1337">
        <v>3.2500000000000001E-2</v>
      </c>
      <c r="J92" s="1343">
        <v>4</v>
      </c>
      <c r="K92" s="1792"/>
      <c r="L92" s="1810">
        <f t="shared" si="688"/>
        <v>0</v>
      </c>
      <c r="M92" s="1791">
        <f t="shared" si="688"/>
        <v>0</v>
      </c>
      <c r="N92" s="1808">
        <f t="shared" ref="N92" si="810">IF(R92=0,0,IF(R92&lt;0,IF($J92=3,R92,IF($J92=2,R92,IF($J92=1,R92,0)))))</f>
        <v>0</v>
      </c>
      <c r="O92" s="1807">
        <f t="shared" ref="O92" si="811">IF(R92=0,0,IF(R92&lt;0,IF($J92=6,R92,IF($J92=5,R92,IF($J92=4,R92,0)))))</f>
        <v>0</v>
      </c>
      <c r="P92" s="1807">
        <f t="shared" ref="P92" si="812">IF(R92=0,0,IF(R92&lt;0,IF($J92=9,R92,IF($J92=8,R92,IF($J92=7,R92,0)))))</f>
        <v>0</v>
      </c>
      <c r="Q92" s="1806">
        <f t="shared" ref="Q92" si="813">IF(R92=0,0,IF(R92&lt;0,IF($J92=12,R92,IF($J92=11,R92,IF($J92=10,R92,0)))))</f>
        <v>0</v>
      </c>
      <c r="R92" s="1791">
        <f t="shared" si="693"/>
        <v>0</v>
      </c>
      <c r="S92" s="1808">
        <f t="shared" ref="S92" si="814">IF(W92=0,0,IF(W92&lt;0,IF($J92=3,W92,IF($J92=2,W92,IF($J92=1,W92,0)))))</f>
        <v>0</v>
      </c>
      <c r="T92" s="1807">
        <f t="shared" ref="T92" si="815">IF(W92=0,0,IF(W92&lt;0,IF($J92=6,W92,IF($J92=5,W92,IF($J92=4,W92,0)))))</f>
        <v>0</v>
      </c>
      <c r="U92" s="1807">
        <f t="shared" ref="U92" si="816">IF(W92=0,0,IF(W92&lt;0,IF($J92=9,W92,IF($J92=8,W92,IF($J92=7,W92,0)))))</f>
        <v>0</v>
      </c>
      <c r="V92" s="1806">
        <f t="shared" ref="V92" si="817">IF(W92=0,0,IF(W92&lt;0,IF($J92=12,W92,IF($J92=11,W92,IF($J92=10,W92,0)))))</f>
        <v>0</v>
      </c>
      <c r="W92" s="1791">
        <f t="shared" si="698"/>
        <v>0</v>
      </c>
      <c r="X92" s="1808">
        <f t="shared" ref="X92" si="818">IF(AB92=0,0,IF(AB92&lt;0,IF($J92=3,AB92,IF($J92=2,AB92,IF($J92=1,AB92,0)))))</f>
        <v>0</v>
      </c>
      <c r="Y92" s="1807">
        <f t="shared" ref="Y92" si="819">IF(AB92=0,0,IF(AB92&lt;0,IF($J92=6,AB92,IF($J92=5,AB92,IF($J92=4,AB92,0)))))</f>
        <v>0</v>
      </c>
      <c r="Z92" s="1807">
        <f t="shared" ref="Z92" si="820">IF(AB92=0,0,IF(AB92&lt;0,IF($J92=9,AB92,IF($J92=8,AB92,IF($J92=7,AB92,0)))))</f>
        <v>0</v>
      </c>
      <c r="AA92" s="1806">
        <f t="shared" ref="AA92" si="821">IF(AB92=0,0,IF(AB92&lt;0,IF($J92=12,AB92,IF($J92=11,AB92,IF($J92=10,AB92,0)))))</f>
        <v>0</v>
      </c>
      <c r="AB92" s="1791">
        <f t="shared" si="703"/>
        <v>0</v>
      </c>
      <c r="AC92" s="1808">
        <f t="shared" ref="AC92" si="822">IF(AG92=0,0,IF(AG92&lt;0,IF($J92=3,AG92,IF($J92=2,AG92,IF($J92=1,AG92,0)))))</f>
        <v>0</v>
      </c>
      <c r="AD92" s="1807">
        <f t="shared" ref="AD92" si="823">IF(AG92=0,0,IF(AG92&lt;0,IF($J92=6,AG92,IF($J92=5,AG92,IF($J92=4,AG92,0)))))</f>
        <v>0</v>
      </c>
      <c r="AE92" s="1807">
        <f t="shared" ref="AE92" si="824">IF(AG92=0,0,IF(AG92&lt;0,IF($J92=9,AG92,IF($J92=8,AG92,IF($J92=7,AG92,0)))))</f>
        <v>0</v>
      </c>
      <c r="AF92" s="1806">
        <f t="shared" ref="AF92" si="825">IF(AG92=0,0,IF(AG92&lt;0,IF($J92=12,AG92,IF($J92=11,AG92,IF($J92=10,AG92,0)))))</f>
        <v>0</v>
      </c>
      <c r="AG92" s="1791">
        <f t="shared" si="708"/>
        <v>0</v>
      </c>
      <c r="AH92" s="1808">
        <f t="shared" ref="AH92" si="826">IF(AL92=0,0,IF(AL92&lt;0,IF($J92=3,AL92,IF($J92=2,AL92,IF($J92=1,AL92,0)))))</f>
        <v>0</v>
      </c>
      <c r="AI92" s="1807">
        <f t="shared" ref="AI92" si="827">IF(AL92=0,0,IF(AL92&lt;0,IF($J92=6,AL92,IF($J92=5,AL92,IF($J92=4,AL92,0)))))</f>
        <v>0</v>
      </c>
      <c r="AJ92" s="1807">
        <f t="shared" ref="AJ92" si="828">IF(AL92=0,0,IF(AL92&lt;0,IF($J92=9,AL92,IF($J92=8,AL92,IF($J92=7,AL92,0)))))</f>
        <v>0</v>
      </c>
      <c r="AK92" s="1806">
        <f t="shared" ref="AK92" si="829">IF(AL92=0,0,IF(AL92&lt;0,IF($J92=12,AL92,IF($J92=11,AL92,IF($J92=10,AL92,0)))))</f>
        <v>0</v>
      </c>
      <c r="AL92" s="1791">
        <f t="shared" si="713"/>
        <v>0</v>
      </c>
      <c r="AM92" s="1808">
        <f t="shared" ref="AM92" si="830">IF(AQ92=0,0,IF(AQ92&lt;0,IF($J92=3,AQ92,IF($J92=2,AQ92,IF($J92=1,AQ92,0)))))</f>
        <v>0</v>
      </c>
      <c r="AN92" s="1807">
        <f t="shared" ref="AN92" si="831">IF(AQ92=0,0,IF(AQ92&lt;0,IF($J92=6,AQ92,IF($J92=5,AQ92,IF($J92=4,AQ92,0)))))</f>
        <v>0</v>
      </c>
      <c r="AO92" s="1807">
        <f t="shared" ref="AO92" si="832">IF(AQ92=0,0,IF(AQ92&lt;0,IF($J92=9,AQ92,IF($J92=8,AQ92,IF($J92=7,AQ92,0)))))</f>
        <v>0</v>
      </c>
      <c r="AP92" s="1806">
        <f t="shared" ref="AP92" si="833">IF(AQ92=0,0,IF(AQ92&lt;0,IF($J92=12,AQ92,IF($J92=11,AQ92,IF($J92=10,AQ92,0)))))</f>
        <v>0</v>
      </c>
      <c r="AQ92" s="1791">
        <f t="shared" si="718"/>
        <v>0</v>
      </c>
      <c r="AR92" s="1808">
        <f t="shared" ref="AR92" si="834">IF(AV92=0,0,IF(AV92&lt;0,IF($J92=3,AV92,IF($J92=2,AV92,IF($J92=1,AV92,0)))))</f>
        <v>0</v>
      </c>
      <c r="AS92" s="1807">
        <f t="shared" si="720"/>
        <v>0</v>
      </c>
      <c r="AT92" s="1807">
        <f t="shared" ref="AT92" si="835">IF(AV92=0,0,IF(AV92&lt;0,IF($J92=9,AV92,IF($J92=8,AV92,IF($J92=7,AV92,0)))))</f>
        <v>0</v>
      </c>
      <c r="AU92" s="1806">
        <f t="shared" ref="AU92" si="836">IF(AV92=0,0,IF(AV92&lt;0,IF($J92=12,AV92,IF($J92=11,AV92,IF($J92=10,AV92,0)))))</f>
        <v>0</v>
      </c>
      <c r="AV92" s="1791">
        <f t="shared" si="723"/>
        <v>0</v>
      </c>
      <c r="AW92" s="1808">
        <f t="shared" ref="AW92" si="837">IF(BA92=0,0,IF(BA92&lt;0,IF($J92=3,BA92,IF($J92=2,BA92,IF($J92=1,BA92,0)))))</f>
        <v>0</v>
      </c>
      <c r="AX92" s="1807">
        <f t="shared" ref="AX92" si="838">IF(BA92=0,0,IF(BA92&lt;0,IF($J92=6,BA92,IF($J92=5,BA92,IF($J92=4,BA92,0)))))</f>
        <v>0</v>
      </c>
      <c r="AY92" s="1807">
        <f t="shared" ref="AY92" si="839">IF(BA92=0,0,IF(BA92&lt;0,IF($J92=9,BA92,IF($J92=8,BA92,IF($J92=7,BA92,0)))))</f>
        <v>0</v>
      </c>
      <c r="AZ92" s="1806">
        <f t="shared" ref="AZ92" si="840">IF(BA92=0,0,IF(BA92&lt;0,IF($J92=12,BA92,IF($J92=11,BA92,IF($J92=10,BA92,0)))))</f>
        <v>0</v>
      </c>
      <c r="BA92" s="1791">
        <f t="shared" si="728"/>
        <v>0</v>
      </c>
      <c r="BB92" s="1808">
        <f t="shared" ref="BB92" si="841">IF(BF92=0,0,IF(BF92&lt;0,IF($J92=3,BF92,IF($J92=2,BF92,IF($J92=1,BF92,0)))))</f>
        <v>0</v>
      </c>
      <c r="BC92" s="1807">
        <f t="shared" ref="BC92" si="842">IF(BF92=0,0,IF(BF92&lt;0,IF($J92=6,BF92,IF($J92=5,BF92,IF($J92=4,BF92,0)))))</f>
        <v>0</v>
      </c>
      <c r="BD92" s="1807">
        <f t="shared" ref="BD92" si="843">IF(BF92=0,0,IF(BF92&lt;0,IF($J92=9,BF92,IF($J92=8,BF92,IF($J92=7,BF92,0)))))</f>
        <v>0</v>
      </c>
      <c r="BE92" s="1806">
        <f t="shared" ref="BE92" si="844">IF(BF92=0,0,IF(BF92&lt;0,IF($J92=12,BF92,IF($J92=11,BF92,IF($J92=10,BF92,0)))))</f>
        <v>0</v>
      </c>
      <c r="BF92" s="1791">
        <f t="shared" si="733"/>
        <v>0</v>
      </c>
      <c r="BG92" s="1808">
        <f t="shared" ref="BG92" si="845">IF(BK92=0,0,IF(BK92&lt;0,IF($J92=3,BK92,IF($J92=2,BK92,IF($J92=1,BK92,0)))))</f>
        <v>0</v>
      </c>
      <c r="BH92" s="1807">
        <f t="shared" ref="BH92" si="846">IF(BK92=0,0,IF(BK92&lt;0,IF($J92=6,BK92,IF($J92=5,BK92,IF($J92=4,BK92,0)))))</f>
        <v>0</v>
      </c>
      <c r="BI92" s="1807">
        <f t="shared" ref="BI92" si="847">IF(BK92=0,0,IF(BK92&lt;0,IF($J92=9,BK92,IF($J92=8,BK92,IF($J92=7,BK92,0)))))</f>
        <v>0</v>
      </c>
      <c r="BJ92" s="1806">
        <f t="shared" ref="BJ92" si="848">IF(BK92=0,0,IF(BK92&lt;0,IF($J92=12,BK92,IF($J92=11,BK92,IF($J92=10,BK92,0)))))</f>
        <v>0</v>
      </c>
      <c r="BK92" s="1791">
        <f t="shared" si="738"/>
        <v>0</v>
      </c>
      <c r="BL92" s="1808">
        <f t="shared" si="739"/>
        <v>0</v>
      </c>
      <c r="BM92" s="1807">
        <f t="shared" si="740"/>
        <v>0</v>
      </c>
      <c r="BN92" s="1807">
        <f t="shared" si="741"/>
        <v>0</v>
      </c>
      <c r="BO92" s="1806">
        <f t="shared" si="742"/>
        <v>0</v>
      </c>
      <c r="BP92" s="1791">
        <f t="shared" si="743"/>
        <v>0</v>
      </c>
      <c r="BQ92" s="1827"/>
      <c r="BR92" s="1791">
        <f t="shared" ref="BR92" si="849">IF(AND(BQ92&lt;&gt;0,BQ$5=$H92),-$I92*$E92-BQ92,IF(BR$5=$H92,-$I92*$E92*(12-$J92+1)/12,0))</f>
        <v>0</v>
      </c>
      <c r="BS92" s="1791">
        <f t="shared" ref="BS92" si="850">IF(AND(BR92&lt;&gt;0,BR$5=$H92),-$I92*$E92-BR92,IF(BS$5=$H92,-$I92*$E92*(12-$J92+1)/12,0))</f>
        <v>0</v>
      </c>
      <c r="BT92" s="1808">
        <f t="shared" ref="BT92" si="851">IF($H92&lt;&gt;BX$5,0,IF(BX92&lt;0,IF($J92=1,-$E92*$I92/12*3,IF($J92=2,-$E92*$I92/12*2,IF($J92=3,-$E92*$I92/12*1,0)))))+IF(BS$5&lt;&gt;$H92,0,IF(BS92&lt;0,IF($J92=1,-$E92*$I92/12*0,IF($J92=2,-$E92*$I92/12*1,IF($J92=3,-$E92*$I92/12*2,IF($J92&gt;=4,-$E92*$I92/12*3,0))))))</f>
        <v>0</v>
      </c>
      <c r="BU92" s="1807">
        <f t="shared" ref="BU92" si="852">IF($H92&lt;&gt;BX$5,0,IF(BX92&lt;0,IF(OR($J92=1,$J92=2,$J92=3,$J92=4),-$E92*$I92/12*3,IF($J92=5,-$E92*$I92/12*2,IF($J92=6,-$E92*$I92/12*1,0)))))+IF(BS$5&lt;&gt;$H92,0,IF(BS92&lt;0,IF($J92=4,-$E92*$I92/12*0,IF($J92=5,-$E92*$I92/12*1,IF($J92=6,-$E92*$I92/12*2,IF($J92&gt;=7,-$E92*$I92/12*3,0))))))</f>
        <v>0</v>
      </c>
      <c r="BV92" s="1807">
        <f t="shared" ref="BV92" si="853">IF($H92&lt;&gt;BX$5,0,IF(BX92&lt;0,IF(OR($J92=1,$J92=2,$J92=3,$J92=4,$J92=5,$J92=6,$J92=7),-$E92*$I92/12*3,IF($J92=8,-$E92*$I92/12*2,IF($J92=9,-$E92*$I92/12*1,0)))))+IF(BS$5&lt;&gt;$H92,0,IF(BS92&lt;0,IF($J92=7,-$E92*$I92/12*0,IF($J92=8,-$E92*$I92/12*1,IF($J92=9,-$E92*$I92/12*2,IF($J92&gt;=10,-$E92*$I92/12*3,0))))))</f>
        <v>0</v>
      </c>
      <c r="BW92" s="1806">
        <f t="shared" ref="BW92" si="854">IF($H92&lt;&gt;BX$5,0,IF(BX92&lt;0,IF(OR($J92=1,$J92=2,$J92=3,$J92=4,$J92=5,$J92=6,$J92=7,$J92=8,$J92=9,$J92=10),-$E92*$I92/12*3,IF($J92=11,-$E92*$I92/12*2,IF($J92=12,-$E92*$I92/12*1,0)))))+IF(BS$5&lt;&gt;$H92,0,IF(BS92&lt;0,IF($J92=10,-$E92*$I92/12*0,IF($J92=11,-$E92*$I92/12*1,IF($J92=12,-$E92*$I92/12*2,0)))))</f>
        <v>0</v>
      </c>
      <c r="BX92" s="1791">
        <f t="shared" ref="BX92" si="855">IF(AND(BS92&lt;&gt;0,BS$5=$H92),-$I92*$E92-BS92,IF(BX$5=$H92,-$I92*$E92*(12-$J92+1)/12,0))</f>
        <v>0</v>
      </c>
      <c r="BY92" s="1808">
        <f t="shared" ref="BY92" si="856">IF($H92&lt;&gt;CC$5,0,IF(CC92&lt;0,IF($J92=1,-$E92*$I92/12*3,IF($J92=2,-$E92*$I92/12*2,IF($J92=3,-$E92*$I92/12*1,0)))))+IF(BX$5&lt;&gt;$H92,0,IF(BX92&lt;0,IF($J92=1,-$E92*$I92/12*0,IF($J92=2,-$E92*$I92/12*1,IF($J92=3,-$E92*$I92/12*2,IF($J92&gt;=4,-$E92*$I92/12*3,0))))))</f>
        <v>0</v>
      </c>
      <c r="BZ92" s="1807">
        <f t="shared" ref="BZ92" si="857">IF($H92&lt;&gt;CC$5,0,IF(CC92&lt;0,IF(OR($J92=1,$J92=2,$J92=3,$J92=4),-$E92*$I92/12*3,IF($J92=5,-$E92*$I92/12*2,IF($J92=6,-$E92*$I92/12*1,0)))))+IF(BX$5&lt;&gt;$H92,0,IF(BX92&lt;0,IF($J92=4,-$E92*$I92/12*0,IF($J92=5,-$E92*$I92/12*1,IF($J92=6,-$E92*$I92/12*2,IF($J92&gt;=7,-$E92*$I92/12*3,0))))))</f>
        <v>0</v>
      </c>
      <c r="CA92" s="1807">
        <f t="shared" ref="CA92" si="858">IF($H92&lt;&gt;CC$5,0,IF(CC92&lt;0,IF(OR($J92=1,$J92=2,$J92=3,$J92=4,$J92=5,$J92=6,$J92=7),-$E92*$I92/12*3,IF($J92=8,-$E92*$I92/12*2,IF($J92=9,-$E92*$I92/12*1,0)))))+IF(BX$5&lt;&gt;$H92,0,IF(BX92&lt;0,IF($J92=7,-$E92*$I92/12*0,IF($J92=8,-$E92*$I92/12*1,IF($J92=9,-$E92*$I92/12*2,IF($J92&gt;=10,-$E92*$I92/12*3,0))))))</f>
        <v>0</v>
      </c>
      <c r="CB92" s="1806">
        <f t="shared" ref="CB92" si="859">IF($H92&lt;&gt;CC$5,0,IF(CC92&lt;0,IF(OR($J92=1,$J92=2,$J92=3,$J92=4,$J92=5,$J92=6,$J92=7,$J92=8,$J92=9,$J92=10),-$E92*$I92/12*3,IF($J92=11,-$E92*$I92/12*2,IF($J92=12,-$E92*$I92/12*1,0)))))+IF(BX$5&lt;&gt;$H92,0,IF(BX92&lt;0,IF($J92=10,-$E92*$I92/12*0,IF($J92=11,-$E92*$I92/12*1,IF($J92=12,-$E92*$I92/12*2,0)))))</f>
        <v>0</v>
      </c>
      <c r="CC92" s="1791">
        <f t="shared" ref="CC92" si="860">IF(AND(BX92&lt;&gt;0,BX$5=$H92),-$I92*$E92-BX92,IF(CC$5=$H92,-$I92*$E92*(12-$J92+1)/12,0))</f>
        <v>0</v>
      </c>
      <c r="CD92" s="1808">
        <f t="shared" ref="CD92" si="861">IF($H92&lt;&gt;CH$5,0,IF(CH92&lt;0,IF($J92=1,-$E92*$I92/12*3,IF($J92=2,-$E92*$I92/12*2,IF($J92=3,-$E92*$I92/12*1,0)))))+IF(CC$5&lt;&gt;$H92,0,IF(CC92&lt;0,IF($J92=1,-$E92*$I92/12*0,IF($J92=2,-$E92*$I92/12*1,IF($J92=3,-$E92*$I92/12*2,IF($J92&gt;=4,-$E92*$I92/12*3,0))))))</f>
        <v>0</v>
      </c>
      <c r="CE92" s="1807">
        <f t="shared" ref="CE92" si="862">IF($H92&lt;&gt;CH$5,0,IF(CH92&lt;0,IF(OR($J92=1,$J92=2,$J92=3,$J92=4),-$E92*$I92/12*3,IF($J92=5,-$E92*$I92/12*2,IF($J92=6,-$E92*$I92/12*1,0)))))+IF(CC$5&lt;&gt;$H92,0,IF(CC92&lt;0,IF($J92=4,-$E92*$I92/12*0,IF($J92=5,-$E92*$I92/12*1,IF($J92=6,-$E92*$I92/12*2,IF($J92&gt;=7,-$E92*$I92/12*3,0))))))</f>
        <v>0</v>
      </c>
      <c r="CF92" s="1807">
        <f t="shared" ref="CF92" si="863">IF($H92&lt;&gt;CH$5,0,IF(CH92&lt;0,IF(OR($J92=1,$J92=2,$J92=3,$J92=4,$J92=5,$J92=6,$J92=7),-$E92*$I92/12*3,IF($J92=8,-$E92*$I92/12*2,IF($J92=9,-$E92*$I92/12*1,0)))))+IF(CC$5&lt;&gt;$H92,0,IF(CC92&lt;0,IF($J92=7,-$E92*$I92/12*0,IF($J92=8,-$E92*$I92/12*1,IF($J92=9,-$E92*$I92/12*2,IF($J92&gt;=10,-$E92*$I92/12*3,0))))))</f>
        <v>0</v>
      </c>
      <c r="CG92" s="1806">
        <f t="shared" ref="CG92" si="864">IF($H92&lt;&gt;CH$5,0,IF(CH92&lt;0,IF(OR($J92=1,$J92=2,$J92=3,$J92=4,$J92=5,$J92=6,$J92=7,$J92=8,$J92=9,$J92=10),-$E92*$I92/12*3,IF($J92=11,-$E92*$I92/12*2,IF($J92=12,-$E92*$I92/12*1,0)))))+IF(CC$5&lt;&gt;$H92,0,IF(CC92&lt;0,IF($J92=10,-$E92*$I92/12*0,IF($J92=11,-$E92*$I92/12*1,IF($J92=12,-$E92*$I92/12*2,0)))))</f>
        <v>0</v>
      </c>
      <c r="CH92" s="1791">
        <f t="shared" ref="CH92" si="865">IF(AND(CC92&lt;&gt;0,CC$5=$H92),-$I92*$E92-CC92,IF(CH$5=$H92,-$I92*$E92*(12-$J92+1)/12,0))</f>
        <v>0</v>
      </c>
      <c r="CI92" s="1808">
        <f t="shared" ref="CI92" si="866">IF($H92&lt;&gt;CM$5,0,IF(CM92&lt;0,IF($J92=1,-$E92*$I92/12*3,IF($J92=2,-$E92*$I92/12*2,IF($J92=3,-$E92*$I92/12*1,0)))))+IF(CH$5&lt;&gt;$H92,0,IF(CH92&lt;0,IF($J92=1,-$E92*$I92/12*0,IF($J92=2,-$E92*$I92/12*1,IF($J92=3,-$E92*$I92/12*2,IF($J92&gt;=4,-$E92*$I92/12*3,0))))))</f>
        <v>0</v>
      </c>
      <c r="CJ92" s="1807">
        <f t="shared" ref="CJ92" si="867">IF($H92&lt;&gt;CM$5,0,IF(CM92&lt;0,IF(OR($J92=1,$J92=2,$J92=3,$J92=4),-$E92*$I92/12*3,IF($J92=5,-$E92*$I92/12*2,IF($J92=6,-$E92*$I92/12*1,0)))))+IF(CH$5&lt;&gt;$H92,0,IF(CH92&lt;0,IF($J92=4,-$E92*$I92/12*0,IF($J92=5,-$E92*$I92/12*1,IF($J92=6,-$E92*$I92/12*2,IF($J92&gt;=7,-$E92*$I92/12*3,0))))))</f>
        <v>0</v>
      </c>
      <c r="CK92" s="1807">
        <f t="shared" ref="CK92" si="868">IF($H92&lt;&gt;CM$5,0,IF(CM92&lt;0,IF(OR($J92=1,$J92=2,$J92=3,$J92=4,$J92=5,$J92=6,$J92=7),-$E92*$I92/12*3,IF($J92=8,-$E92*$I92/12*2,IF($J92=9,-$E92*$I92/12*1,0)))))+IF(CH$5&lt;&gt;$H92,0,IF(CH92&lt;0,IF($J92=7,-$E92*$I92/12*0,IF($J92=8,-$E92*$I92/12*1,IF($J92=9,-$E92*$I92/12*2,IF($J92&gt;=10,-$E92*$I92/12*3,0))))))</f>
        <v>0</v>
      </c>
      <c r="CL92" s="1806">
        <f t="shared" ref="CL92" si="869">IF($H92&lt;&gt;CM$5,0,IF(CM92&lt;0,IF(OR($J92=1,$J92=2,$J92=3,$J92=4,$J92=5,$J92=6,$J92=7,$J92=8,$J92=9,$J92=10),-$E92*$I92/12*3,IF($J92=11,-$E92*$I92/12*2,IF($J92=12,-$E92*$I92/12*1,0)))))+IF(CH$5&lt;&gt;$H92,0,IF(CH92&lt;0,IF($J92=10,-$E92*$I92/12*0,IF($J92=11,-$E92*$I92/12*1,IF($J92=12,-$E92*$I92/12*2,0)))))</f>
        <v>0</v>
      </c>
      <c r="CM92" s="1791">
        <f t="shared" ref="CM92" si="870">IF(AND(CH92&lt;&gt;0,CH$5=$H92),-$I92*$E92-CH92,IF(CM$5=$H92,-$I92*$E92*(12-$J92+1)/12,0))</f>
        <v>0</v>
      </c>
      <c r="CN92" s="1808">
        <f t="shared" ref="CN92" si="871">IF($H92&lt;&gt;CR$5,0,IF(CR92&lt;0,IF($J92=1,-$E92*$I92/12*3,IF($J92=2,-$E92*$I92/12*2,IF($J92=3,-$E92*$I92/12*1,0)))))+IF(CM$5&lt;&gt;$H92,0,IF(CM92&lt;0,IF($J92=1,-$E92*$I92/12*0,IF($J92=2,-$E92*$I92/12*1,IF($J92=3,-$E92*$I92/12*2,IF($J92&gt;=4,-$E92*$I92/12*3,0))))))</f>
        <v>0</v>
      </c>
      <c r="CO92" s="1807">
        <f t="shared" ref="CO92" si="872">IF($H92&lt;&gt;CR$5,0,IF(CR92&lt;0,IF(OR($J92=1,$J92=2,$J92=3,$J92=4),-$E92*$I92/12*3,IF($J92=5,-$E92*$I92/12*2,IF($J92=6,-$E92*$I92/12*1,0)))))+IF(CM$5&lt;&gt;$H92,0,IF(CM92&lt;0,IF($J92=4,-$E92*$I92/12*0,IF($J92=5,-$E92*$I92/12*1,IF($J92=6,-$E92*$I92/12*2,IF($J92&gt;=7,-$E92*$I92/12*3,0))))))</f>
        <v>0</v>
      </c>
      <c r="CP92" s="1807">
        <f t="shared" ref="CP92" si="873">IF($H92&lt;&gt;CR$5,0,IF(CR92&lt;0,IF(OR($J92=1,$J92=2,$J92=3,$J92=4,$J92=5,$J92=6,$J92=7),-$E92*$I92/12*3,IF($J92=8,-$E92*$I92/12*2,IF($J92=9,-$E92*$I92/12*1,0)))))+IF(CM$5&lt;&gt;$H92,0,IF(CM92&lt;0,IF($J92=7,-$E92*$I92/12*0,IF($J92=8,-$E92*$I92/12*1,IF($J92=9,-$E92*$I92/12*2,IF($J92&gt;=10,-$E92*$I92/12*3,0))))))</f>
        <v>0</v>
      </c>
      <c r="CQ92" s="1806">
        <f t="shared" ref="CQ92" si="874">IF($H92&lt;&gt;CR$5,0,IF(CR92&lt;0,IF(OR($J92=1,$J92=2,$J92=3,$J92=4,$J92=5,$J92=6,$J92=7,$J92=8,$J92=9,$J92=10),-$E92*$I92/12*3,IF($J92=11,-$E92*$I92/12*2,IF($J92=12,-$E92*$I92/12*1,0)))))+IF(CM$5&lt;&gt;$H92,0,IF(CM92&lt;0,IF($J92=10,-$E92*$I92/12*0,IF($J92=11,-$E92*$I92/12*1,IF($J92=12,-$E92*$I92/12*2,0)))))</f>
        <v>0</v>
      </c>
      <c r="CR92" s="1791">
        <f t="shared" ref="CR92" si="875">IF(AND(CM92&lt;&gt;0,CM$5=$H92),-$I92*$E92-CM92,IF(CR$5=$H92,-$I92*$E92*(12-$J92+1)/12,0))</f>
        <v>0</v>
      </c>
      <c r="CS92" s="1808">
        <f t="shared" ref="CS92" si="876">IF($H92&lt;&gt;CW$5,0,IF(CW92&lt;0,IF($J92=1,-$E92*$I92/12*3,IF($J92=2,-$E92*$I92/12*2,IF($J92=3,-$E92*$I92/12*1,0)))))+IF(CR$5&lt;&gt;$H92,0,IF(CR92&lt;0,IF($J92=1,-$E92*$I92/12*0,IF($J92=2,-$E92*$I92/12*1,IF($J92=3,-$E92*$I92/12*2,IF($J92&gt;=4,-$E92*$I92/12*3,0))))))</f>
        <v>0</v>
      </c>
      <c r="CT92" s="1807">
        <f t="shared" ref="CT92" si="877">IF($H92&lt;&gt;CW$5,0,IF(CW92&lt;0,IF(OR($J92=1,$J92=2,$J92=3,$J92=4),-$E92*$I92/12*3,IF($J92=5,-$E92*$I92/12*2,IF($J92=6,-$E92*$I92/12*1,0)))))+IF(CR$5&lt;&gt;$H92,0,IF(CR92&lt;0,IF($J92=4,-$E92*$I92/12*0,IF($J92=5,-$E92*$I92/12*1,IF($J92=6,-$E92*$I92/12*2,IF($J92&gt;=7,-$E92*$I92/12*3,0))))))</f>
        <v>0</v>
      </c>
      <c r="CU92" s="1807">
        <f t="shared" ref="CU92" si="878">IF($H92&lt;&gt;CW$5,0,IF(CW92&lt;0,IF(OR($J92=1,$J92=2,$J92=3,$J92=4,$J92=5,$J92=6,$J92=7),-$E92*$I92/12*3,IF($J92=8,-$E92*$I92/12*2,IF($J92=9,-$E92*$I92/12*1,0)))))+IF(CR$5&lt;&gt;$H92,0,IF(CR92&lt;0,IF($J92=7,-$E92*$I92/12*0,IF($J92=8,-$E92*$I92/12*1,IF($J92=9,-$E92*$I92/12*2,IF($J92&gt;=10,-$E92*$I92/12*3,0))))))</f>
        <v>0</v>
      </c>
      <c r="CV92" s="1806">
        <f t="shared" ref="CV92" si="879">IF($H92&lt;&gt;CW$5,0,IF(CW92&lt;0,IF(OR($J92=1,$J92=2,$J92=3,$J92=4,$J92=5,$J92=6,$J92=7,$J92=8,$J92=9,$J92=10),-$E92*$I92/12*3,IF($J92=11,-$E92*$I92/12*2,IF($J92=12,-$E92*$I92/12*1,0)))))+IF(CR$5&lt;&gt;$H92,0,IF(CR92&lt;0,IF($J92=10,-$E92*$I92/12*0,IF($J92=11,-$E92*$I92/12*1,IF($J92=12,-$E92*$I92/12*2,0)))))</f>
        <v>0</v>
      </c>
      <c r="CW92" s="1791">
        <f t="shared" ref="CW92" si="880">IF(AND(CR92&lt;&gt;0,CR$5=$H92),-$I92*$E92-CR92,IF(CW$5=$H92,-$I92*$E92*(12-$J92+1)/12,0))</f>
        <v>0</v>
      </c>
      <c r="CX92" s="1808">
        <f t="shared" ref="CX92" si="881">IF($H92&lt;&gt;DB$5,0,IF(DB92&lt;0,IF($J92=1,-$E92*$I92/12*3,IF($J92=2,-$E92*$I92/12*2,IF($J92=3,-$E92*$I92/12*1,0)))))+IF(CW$5&lt;&gt;$H92,0,IF(CW92&lt;0,IF($J92=1,-$E92*$I92/12*0,IF($J92=2,-$E92*$I92/12*1,IF($J92=3,-$E92*$I92/12*2,IF($J92&gt;=4,-$E92*$I92/12*3,0))))))</f>
        <v>0</v>
      </c>
      <c r="CY92" s="1807">
        <f t="shared" ref="CY92" si="882">IF($H92&lt;&gt;DB$5,0,IF(DB92&lt;0,IF(OR($J92=1,$J92=2,$J92=3,$J92=4),-$E92*$I92/12*3,IF($J92=5,-$E92*$I92/12*2,IF($J92=6,-$E92*$I92/12*1,0)))))+IF(CW$5&lt;&gt;$H92,0,IF(CW92&lt;0,IF($J92=4,-$E92*$I92/12*0,IF($J92=5,-$E92*$I92/12*1,IF($J92=6,-$E92*$I92/12*2,IF($J92&gt;=7,-$E92*$I92/12*3,0))))))</f>
        <v>0</v>
      </c>
      <c r="CZ92" s="1807">
        <f t="shared" ref="CZ92" si="883">IF($H92&lt;&gt;DB$5,0,IF(DB92&lt;0,IF(OR($J92=1,$J92=2,$J92=3,$J92=4,$J92=5,$J92=6,$J92=7),-$E92*$I92/12*3,IF($J92=8,-$E92*$I92/12*2,IF($J92=9,-$E92*$I92/12*1,0)))))+IF(CW$5&lt;&gt;$H92,0,IF(CW92&lt;0,IF($J92=7,-$E92*$I92/12*0,IF($J92=8,-$E92*$I92/12*1,IF($J92=9,-$E92*$I92/12*2,IF($J92&gt;=10,-$E92*$I92/12*3,0))))))</f>
        <v>0</v>
      </c>
      <c r="DA92" s="1806">
        <f t="shared" ref="DA92" si="884">IF($H92&lt;&gt;DB$5,0,IF(DB92&lt;0,IF(OR($J92=1,$J92=2,$J92=3,$J92=4,$J92=5,$J92=6,$J92=7,$J92=8,$J92=9,$J92=10),-$E92*$I92/12*3,IF($J92=11,-$E92*$I92/12*2,IF($J92=12,-$E92*$I92/12*1,0)))))+IF(CW$5&lt;&gt;$H92,0,IF(CW92&lt;0,IF($J92=10,-$E92*$I92/12*0,IF($J92=11,-$E92*$I92/12*1,IF($J92=12,-$E92*$I92/12*2,0)))))</f>
        <v>0</v>
      </c>
      <c r="DB92" s="1791">
        <f t="shared" ref="DB92" si="885">IF(AND(CW92&lt;&gt;0,CW$5=$H92),-$I92*$E92-CW92,IF(DB$5=$H92,-$I92*$E92*(12-$J92+1)/12,0))</f>
        <v>0</v>
      </c>
      <c r="DC92" s="1808">
        <f t="shared" ref="DC92" si="886">IF($H92&lt;&gt;DG$5,0,IF(DG92&lt;0,IF($J92=1,-$E92*$I92/12*3,IF($J92=2,-$E92*$I92/12*2,IF($J92=3,-$E92*$I92/12*1,0)))))+IF(DB$5&lt;&gt;$H92,0,IF(DB92&lt;0,IF($J92=1,-$E92*$I92/12*0,IF($J92=2,-$E92*$I92/12*1,IF($J92=3,-$E92*$I92/12*2,IF($J92&gt;=4,-$E92*$I92/12*3,0))))))</f>
        <v>0</v>
      </c>
      <c r="DD92" s="1807">
        <f t="shared" ref="DD92" si="887">IF($H92&lt;&gt;DG$5,0,IF(DG92&lt;0,IF(OR($J92=1,$J92=2,$J92=3,$J92=4),-$E92*$I92/12*3,IF($J92=5,-$E92*$I92/12*2,IF($J92=6,-$E92*$I92/12*1,0)))))+IF(DB$5&lt;&gt;$H92,0,IF(DB92&lt;0,IF($J92=4,-$E92*$I92/12*0,IF($J92=5,-$E92*$I92/12*1,IF($J92=6,-$E92*$I92/12*2,IF($J92&gt;=7,-$E92*$I92/12*3,0))))))</f>
        <v>0</v>
      </c>
      <c r="DE92" s="1807">
        <f t="shared" ref="DE92" si="888">IF($H92&lt;&gt;DG$5,0,IF(DG92&lt;0,IF(OR($J92=1,$J92=2,$J92=3,$J92=4,$J92=5,$J92=6,$J92=7),-$E92*$I92/12*3,IF($J92=8,-$E92*$I92/12*2,IF($J92=9,-$E92*$I92/12*1,0)))))+IF(DB$5&lt;&gt;$H92,0,IF(DB92&lt;0,IF($J92=7,-$E92*$I92/12*0,IF($J92=8,-$E92*$I92/12*1,IF($J92=9,-$E92*$I92/12*2,IF($J92&gt;=10,-$E92*$I92/12*3,0))))))</f>
        <v>0</v>
      </c>
      <c r="DF92" s="1806">
        <f t="shared" ref="DF92" si="889">IF($H92&lt;&gt;DG$5,0,IF(DG92&lt;0,IF(OR($J92=1,$J92=2,$J92=3,$J92=4,$J92=5,$J92=6,$J92=7,$J92=8,$J92=9,$J92=10),-$E92*$I92/12*3,IF($J92=11,-$E92*$I92/12*2,IF($J92=12,-$E92*$I92/12*1,0)))))+IF(DB$5&lt;&gt;$H92,0,IF(DB92&lt;0,IF($J92=10,-$E92*$I92/12*0,IF($J92=11,-$E92*$I92/12*1,IF($J92=12,-$E92*$I92/12*2,0)))))</f>
        <v>0</v>
      </c>
      <c r="DG92" s="1791">
        <f t="shared" ref="DG92" si="890">IF(AND(DB92&lt;&gt;0,DB$5=$H92),-$I92*$E92-DB92,IF(DG$5=$H92,-$I92*$E92*(12-$J92+1)/12,0))</f>
        <v>0</v>
      </c>
      <c r="DH92" s="1808">
        <f t="shared" ref="DH92" si="891">IF($H92&lt;&gt;DL$5,0,IF(DL92&lt;0,IF($J92=1,-$E92*$I92/12*3,IF($J92=2,-$E92*$I92/12*2,IF($J92=3,-$E92*$I92/12*1,0)))))+IF(DG$5&lt;&gt;$H92,0,IF(DG92&lt;0,IF($J92=1,-$E92*$I92/12*0,IF($J92=2,-$E92*$I92/12*1,IF($J92=3,-$E92*$I92/12*2,IF($J92&gt;=4,-$E92*$I92/12*3,0))))))</f>
        <v>0</v>
      </c>
      <c r="DI92" s="1807">
        <f t="shared" ref="DI92" si="892">IF($H92&lt;&gt;DL$5,0,IF(DL92&lt;0,IF(OR($J92=1,$J92=2,$J92=3,$J92=4),-$E92*$I92/12*3,IF($J92=5,-$E92*$I92/12*2,IF($J92=6,-$E92*$I92/12*1,0)))))+IF(DG$5&lt;&gt;$H92,0,IF(DG92&lt;0,IF($J92=4,-$E92*$I92/12*0,IF($J92=5,-$E92*$I92/12*1,IF($J92=6,-$E92*$I92/12*2,IF($J92&gt;=7,-$E92*$I92/12*3,0))))))</f>
        <v>0</v>
      </c>
      <c r="DJ92" s="1807">
        <f t="shared" ref="DJ92" si="893">IF($H92&lt;&gt;DL$5,0,IF(DL92&lt;0,IF(OR($J92=1,$J92=2,$J92=3,$J92=4,$J92=5,$J92=6,$J92=7),-$E92*$I92/12*3,IF($J92=8,-$E92*$I92/12*2,IF($J92=9,-$E92*$I92/12*1,0)))))+IF(DG$5&lt;&gt;$H92,0,IF(DG92&lt;0,IF($J92=7,-$E92*$I92/12*0,IF($J92=8,-$E92*$I92/12*1,IF($J92=9,-$E92*$I92/12*2,IF($J92&gt;=10,-$E92*$I92/12*3,0))))))</f>
        <v>0</v>
      </c>
      <c r="DK92" s="1806">
        <f t="shared" ref="DK92" si="894">IF($H92&lt;&gt;DL$5,0,IF(DL92&lt;0,IF(OR($J92=1,$J92=2,$J92=3,$J92=4,$J92=5,$J92=6,$J92=7,$J92=8,$J92=9,$J92=10),-$E92*$I92/12*3,IF($J92=11,-$E92*$I92/12*2,IF($J92=12,-$E92*$I92/12*1,0)))))+IF(DG$5&lt;&gt;$H92,0,IF(DG92&lt;0,IF($J92=10,-$E92*$I92/12*0,IF($J92=11,-$E92*$I92/12*1,IF($J92=12,-$E92*$I92/12*2,0)))))</f>
        <v>0</v>
      </c>
      <c r="DL92" s="1791">
        <f t="shared" ref="DL92" si="895">IF(AND(DG92&lt;&gt;0,DG$5=$H92),-$I92*$E92-DG92,IF(DL$5=$H92,-$I92*$E92*(12-$J92+1)/12,0))</f>
        <v>0</v>
      </c>
      <c r="DM92" s="1808">
        <f t="shared" ref="DM92" si="896">IF($H92&lt;&gt;DQ$5,0,IF(DQ92&lt;0,IF($J92=1,-$E92*$I92/12*3,IF($J92=2,-$E92*$I92/12*2,IF($J92=3,-$E92*$I92/12*1,0)))))+IF(DL$5&lt;&gt;$H92,0,IF(DL92&lt;0,IF($J92=1,-$E92*$I92/12*0,IF($J92=2,-$E92*$I92/12*1,IF($J92=3,-$E92*$I92/12*2,IF($J92&gt;=4,-$E92*$I92/12*3,0))))))</f>
        <v>0</v>
      </c>
      <c r="DN92" s="1807">
        <f t="shared" ref="DN92" si="897">IF($H92&lt;&gt;DQ$5,0,IF(DQ92&lt;0,IF(OR($J92=1,$J92=2,$J92=3,$J92=4),-$E92*$I92/12*3,IF($J92=5,-$E92*$I92/12*2,IF($J92=6,-$E92*$I92/12*1,0)))))+IF(DL$5&lt;&gt;$H92,0,IF(DL92&lt;0,IF($J92=4,-$E92*$I92/12*0,IF($J92=5,-$E92*$I92/12*1,IF($J92=6,-$E92*$I92/12*2,IF($J92&gt;=7,-$E92*$I92/12*3,0))))))</f>
        <v>0</v>
      </c>
      <c r="DO92" s="1807">
        <f t="shared" ref="DO92" si="898">IF($H92&lt;&gt;DQ$5,0,IF(DQ92&lt;0,IF(OR($J92=1,$J92=2,$J92=3,$J92=4,$J92=5,$J92=6,$J92=7),-$E92*$I92/12*3,IF($J92=8,-$E92*$I92/12*2,IF($J92=9,-$E92*$I92/12*1,0)))))+IF(DL$5&lt;&gt;$H92,0,IF(DL92&lt;0,IF($J92=7,-$E92*$I92/12*0,IF($J92=8,-$E92*$I92/12*1,IF($J92=9,-$E92*$I92/12*2,IF($J92&gt;=10,-$E92*$I92/12*3,0))))))</f>
        <v>0</v>
      </c>
      <c r="DP92" s="1806">
        <f t="shared" ref="DP92" si="899">IF($H92&lt;&gt;DQ$5,0,IF(DQ92&lt;0,IF(OR($J92=1,$J92=2,$J92=3,$J92=4,$J92=5,$J92=6,$J92=7,$J92=8,$J92=9,$J92=10),-$E92*$I92/12*3,IF($J92=11,-$E92*$I92/12*2,IF($J92=12,-$E92*$I92/12*1,0)))))+IF(DL$5&lt;&gt;$H92,0,IF(DL92&lt;0,IF($J92=10,-$E92*$I92/12*0,IF($J92=11,-$E92*$I92/12*1,IF($J92=12,-$E92*$I92/12*2,0)))))</f>
        <v>0</v>
      </c>
      <c r="DQ92" s="1791">
        <f t="shared" ref="DQ92" si="900">IF(AND(DL92&lt;&gt;0,DL$5=$H92),-$I92*$E92-DL92,IF(DQ$5=$H92,-$I92*$E92*(12-$J92+1)/12,0))</f>
        <v>0</v>
      </c>
      <c r="DR92" s="1808">
        <f t="shared" si="795"/>
        <v>0</v>
      </c>
      <c r="DS92" s="1807">
        <f t="shared" si="796"/>
        <v>0</v>
      </c>
      <c r="DT92" s="1807">
        <f t="shared" si="797"/>
        <v>0</v>
      </c>
      <c r="DU92" s="1806">
        <f t="shared" si="798"/>
        <v>0</v>
      </c>
      <c r="DV92" s="1791">
        <f t="shared" si="799"/>
        <v>0</v>
      </c>
    </row>
    <row r="93" spans="1:126">
      <c r="A93" s="455"/>
      <c r="B93" s="455"/>
      <c r="C93" s="1723" t="s">
        <v>963</v>
      </c>
      <c r="D93" s="94"/>
      <c r="E93" s="1817">
        <f t="shared" si="800"/>
        <v>325</v>
      </c>
      <c r="F93" s="1435">
        <v>325</v>
      </c>
      <c r="G93" s="1435">
        <v>325</v>
      </c>
      <c r="H93" s="1350">
        <v>2031</v>
      </c>
      <c r="I93" s="1337">
        <v>3.0499999999999999E-2</v>
      </c>
      <c r="J93" s="1343">
        <v>6</v>
      </c>
      <c r="K93" s="1792"/>
      <c r="L93" s="1810">
        <f t="shared" si="688"/>
        <v>0</v>
      </c>
      <c r="M93" s="1791">
        <f t="shared" si="688"/>
        <v>0</v>
      </c>
      <c r="N93" s="1808">
        <f t="shared" ref="N93" si="901">IF(R93=0,0,IF(R93&lt;0,IF($J93=3,R93,IF($J93=2,R93,IF($J93=1,R93,0)))))</f>
        <v>0</v>
      </c>
      <c r="O93" s="1807">
        <f t="shared" ref="O93" si="902">IF(R93=0,0,IF(R93&lt;0,IF($J93=6,R93,IF($J93=5,R93,IF($J93=4,R93,0)))))</f>
        <v>0</v>
      </c>
      <c r="P93" s="1807">
        <f t="shared" ref="P93" si="903">IF(R93=0,0,IF(R93&lt;0,IF($J93=9,R93,IF($J93=8,R93,IF($J93=7,R93,0)))))</f>
        <v>0</v>
      </c>
      <c r="Q93" s="1806">
        <f t="shared" ref="Q93" si="904">IF(R93=0,0,IF(R93&lt;0,IF($J93=12,R93,IF($J93=11,R93,IF($J93=10,R93,0)))))</f>
        <v>0</v>
      </c>
      <c r="R93" s="1791">
        <f t="shared" si="693"/>
        <v>0</v>
      </c>
      <c r="S93" s="1808">
        <f t="shared" ref="S93" si="905">IF(W93=0,0,IF(W93&lt;0,IF($J93=3,W93,IF($J93=2,W93,IF($J93=1,W93,0)))))</f>
        <v>0</v>
      </c>
      <c r="T93" s="1807">
        <f t="shared" ref="T93" si="906">IF(W93=0,0,IF(W93&lt;0,IF($J93=6,W93,IF($J93=5,W93,IF($J93=4,W93,0)))))</f>
        <v>0</v>
      </c>
      <c r="U93" s="1807">
        <f t="shared" ref="U93" si="907">IF(W93=0,0,IF(W93&lt;0,IF($J93=9,W93,IF($J93=8,W93,IF($J93=7,W93,0)))))</f>
        <v>0</v>
      </c>
      <c r="V93" s="1806">
        <f t="shared" ref="V93" si="908">IF(W93=0,0,IF(W93&lt;0,IF($J93=12,W93,IF($J93=11,W93,IF($J93=10,W93,0)))))</f>
        <v>0</v>
      </c>
      <c r="W93" s="1791">
        <f t="shared" si="698"/>
        <v>0</v>
      </c>
      <c r="X93" s="1808">
        <f t="shared" ref="X93" si="909">IF(AB93=0,0,IF(AB93&lt;0,IF($J93=3,AB93,IF($J93=2,AB93,IF($J93=1,AB93,0)))))</f>
        <v>0</v>
      </c>
      <c r="Y93" s="1807">
        <f t="shared" ref="Y93" si="910">IF(AB93=0,0,IF(AB93&lt;0,IF($J93=6,AB93,IF($J93=5,AB93,IF($J93=4,AB93,0)))))</f>
        <v>0</v>
      </c>
      <c r="Z93" s="1807">
        <f t="shared" ref="Z93" si="911">IF(AB93=0,0,IF(AB93&lt;0,IF($J93=9,AB93,IF($J93=8,AB93,IF($J93=7,AB93,0)))))</f>
        <v>0</v>
      </c>
      <c r="AA93" s="1806">
        <f t="shared" ref="AA93" si="912">IF(AB93=0,0,IF(AB93&lt;0,IF($J93=12,AB93,IF($J93=11,AB93,IF($J93=10,AB93,0)))))</f>
        <v>0</v>
      </c>
      <c r="AB93" s="1791">
        <f t="shared" si="703"/>
        <v>0</v>
      </c>
      <c r="AC93" s="1808">
        <f t="shared" ref="AC93" si="913">IF(AG93=0,0,IF(AG93&lt;0,IF($J93=3,AG93,IF($J93=2,AG93,IF($J93=1,AG93,0)))))</f>
        <v>0</v>
      </c>
      <c r="AD93" s="1807">
        <f t="shared" ref="AD93" si="914">IF(AG93=0,0,IF(AG93&lt;0,IF($J93=6,AG93,IF($J93=5,AG93,IF($J93=4,AG93,0)))))</f>
        <v>0</v>
      </c>
      <c r="AE93" s="1807">
        <f t="shared" ref="AE93" si="915">IF(AG93=0,0,IF(AG93&lt;0,IF($J93=9,AG93,IF($J93=8,AG93,IF($J93=7,AG93,0)))))</f>
        <v>0</v>
      </c>
      <c r="AF93" s="1806">
        <f t="shared" ref="AF93" si="916">IF(AG93=0,0,IF(AG93&lt;0,IF($J93=12,AG93,IF($J93=11,AG93,IF($J93=10,AG93,0)))))</f>
        <v>0</v>
      </c>
      <c r="AG93" s="1791">
        <f t="shared" si="708"/>
        <v>0</v>
      </c>
      <c r="AH93" s="1808">
        <f t="shared" ref="AH93" si="917">IF(AL93=0,0,IF(AL93&lt;0,IF($J93=3,AL93,IF($J93=2,AL93,IF($J93=1,AL93,0)))))</f>
        <v>0</v>
      </c>
      <c r="AI93" s="1807">
        <f t="shared" ref="AI93" si="918">IF(AL93=0,0,IF(AL93&lt;0,IF($J93=6,AL93,IF($J93=5,AL93,IF($J93=4,AL93,0)))))</f>
        <v>0</v>
      </c>
      <c r="AJ93" s="1807">
        <f t="shared" ref="AJ93" si="919">IF(AL93=0,0,IF(AL93&lt;0,IF($J93=9,AL93,IF($J93=8,AL93,IF($J93=7,AL93,0)))))</f>
        <v>0</v>
      </c>
      <c r="AK93" s="1806">
        <f t="shared" ref="AK93" si="920">IF(AL93=0,0,IF(AL93&lt;0,IF($J93=12,AL93,IF($J93=11,AL93,IF($J93=10,AL93,0)))))</f>
        <v>0</v>
      </c>
      <c r="AL93" s="1791">
        <f t="shared" si="713"/>
        <v>0</v>
      </c>
      <c r="AM93" s="1808">
        <f t="shared" ref="AM93" si="921">IF(AQ93=0,0,IF(AQ93&lt;0,IF($J93=3,AQ93,IF($J93=2,AQ93,IF($J93=1,AQ93,0)))))</f>
        <v>0</v>
      </c>
      <c r="AN93" s="1807">
        <f t="shared" ref="AN93" si="922">IF(AQ93=0,0,IF(AQ93&lt;0,IF($J93=6,AQ93,IF($J93=5,AQ93,IF($J93=4,AQ93,0)))))</f>
        <v>0</v>
      </c>
      <c r="AO93" s="1807">
        <f t="shared" ref="AO93" si="923">IF(AQ93=0,0,IF(AQ93&lt;0,IF($J93=9,AQ93,IF($J93=8,AQ93,IF($J93=7,AQ93,0)))))</f>
        <v>0</v>
      </c>
      <c r="AP93" s="1806">
        <f t="shared" ref="AP93" si="924">IF(AQ93=0,0,IF(AQ93&lt;0,IF($J93=12,AQ93,IF($J93=11,AQ93,IF($J93=10,AQ93,0)))))</f>
        <v>0</v>
      </c>
      <c r="AQ93" s="1791">
        <f t="shared" si="718"/>
        <v>0</v>
      </c>
      <c r="AR93" s="1808">
        <f t="shared" ref="AR93" si="925">IF(AV93=0,0,IF(AV93&lt;0,IF($J93=3,AV93,IF($J93=2,AV93,IF($J93=1,AV93,0)))))</f>
        <v>0</v>
      </c>
      <c r="AS93" s="1807">
        <f t="shared" si="720"/>
        <v>0</v>
      </c>
      <c r="AT93" s="1807">
        <f t="shared" ref="AT93" si="926">IF(AV93=0,0,IF(AV93&lt;0,IF($J93=9,AV93,IF($J93=8,AV93,IF($J93=7,AV93,0)))))</f>
        <v>0</v>
      </c>
      <c r="AU93" s="1806">
        <f t="shared" ref="AU93" si="927">IF(AV93=0,0,IF(AV93&lt;0,IF($J93=12,AV93,IF($J93=11,AV93,IF($J93=10,AV93,0)))))</f>
        <v>0</v>
      </c>
      <c r="AV93" s="1791">
        <f t="shared" si="723"/>
        <v>0</v>
      </c>
      <c r="AW93" s="1808">
        <f t="shared" ref="AW93" si="928">IF(BA93=0,0,IF(BA93&lt;0,IF($J93=3,BA93,IF($J93=2,BA93,IF($J93=1,BA93,0)))))</f>
        <v>0</v>
      </c>
      <c r="AX93" s="1807">
        <f t="shared" ref="AX93" si="929">IF(BA93=0,0,IF(BA93&lt;0,IF($J93=6,BA93,IF($J93=5,BA93,IF($J93=4,BA93,0)))))</f>
        <v>0</v>
      </c>
      <c r="AY93" s="1807">
        <f t="shared" ref="AY93" si="930">IF(BA93=0,0,IF(BA93&lt;0,IF($J93=9,BA93,IF($J93=8,BA93,IF($J93=7,BA93,0)))))</f>
        <v>0</v>
      </c>
      <c r="AZ93" s="1806">
        <f t="shared" ref="AZ93" si="931">IF(BA93=0,0,IF(BA93&lt;0,IF($J93=12,BA93,IF($J93=11,BA93,IF($J93=10,BA93,0)))))</f>
        <v>0</v>
      </c>
      <c r="BA93" s="1791">
        <f t="shared" si="728"/>
        <v>0</v>
      </c>
      <c r="BB93" s="1808">
        <f t="shared" ref="BB93" si="932">IF(BF93=0,0,IF(BF93&lt;0,IF($J93=3,BF93,IF($J93=2,BF93,IF($J93=1,BF93,0)))))</f>
        <v>0</v>
      </c>
      <c r="BC93" s="1807">
        <f t="shared" ref="BC93" si="933">IF(BF93=0,0,IF(BF93&lt;0,IF($J93=6,BF93,IF($J93=5,BF93,IF($J93=4,BF93,0)))))</f>
        <v>0</v>
      </c>
      <c r="BD93" s="1807">
        <f t="shared" ref="BD93" si="934">IF(BF93=0,0,IF(BF93&lt;0,IF($J93=9,BF93,IF($J93=8,BF93,IF($J93=7,BF93,0)))))</f>
        <v>0</v>
      </c>
      <c r="BE93" s="1806">
        <f t="shared" ref="BE93" si="935">IF(BF93=0,0,IF(BF93&lt;0,IF($J93=12,BF93,IF($J93=11,BF93,IF($J93=10,BF93,0)))))</f>
        <v>0</v>
      </c>
      <c r="BF93" s="1791">
        <f t="shared" si="733"/>
        <v>0</v>
      </c>
      <c r="BG93" s="1808">
        <f t="shared" ref="BG93" si="936">IF(BK93=0,0,IF(BK93&lt;0,IF($J93=3,BK93,IF($J93=2,BK93,IF($J93=1,BK93,0)))))</f>
        <v>0</v>
      </c>
      <c r="BH93" s="1807">
        <f t="shared" ref="BH93" si="937">IF(BK93=0,0,IF(BK93&lt;0,IF($J93=6,BK93,IF($J93=5,BK93,IF($J93=4,BK93,0)))))</f>
        <v>0</v>
      </c>
      <c r="BI93" s="1807">
        <f t="shared" ref="BI93" si="938">IF(BK93=0,0,IF(BK93&lt;0,IF($J93=9,BK93,IF($J93=8,BK93,IF($J93=7,BK93,0)))))</f>
        <v>0</v>
      </c>
      <c r="BJ93" s="1806">
        <f t="shared" ref="BJ93" si="939">IF(BK93=0,0,IF(BK93&lt;0,IF($J93=12,BK93,IF($J93=11,BK93,IF($J93=10,BK93,0)))))</f>
        <v>0</v>
      </c>
      <c r="BK93" s="1791">
        <f t="shared" si="738"/>
        <v>0</v>
      </c>
      <c r="BL93" s="1808">
        <f t="shared" si="739"/>
        <v>0</v>
      </c>
      <c r="BM93" s="1807">
        <f t="shared" si="740"/>
        <v>0</v>
      </c>
      <c r="BN93" s="1807">
        <f t="shared" si="741"/>
        <v>0</v>
      </c>
      <c r="BO93" s="1806">
        <f t="shared" si="742"/>
        <v>0</v>
      </c>
      <c r="BP93" s="1791">
        <f t="shared" si="743"/>
        <v>0</v>
      </c>
      <c r="BQ93" s="1827"/>
      <c r="BR93" s="1791">
        <f t="shared" ref="BR93" si="940">IF(AND(BQ93&lt;&gt;0,BQ$5=$H93),-$I93*$E93-BQ93,IF(BR$5=$H93,-$I93*$E93*(12-$J93+1)/12,0))</f>
        <v>0</v>
      </c>
      <c r="BS93" s="1791">
        <f t="shared" ref="BS93" si="941">IF(AND(BR93&lt;&gt;0,BR$5=$H93),-$I93*$E93-BR93,IF(BS$5=$H93,-$I93*$E93*(12-$J93+1)/12,0))</f>
        <v>0</v>
      </c>
      <c r="BT93" s="1808">
        <f t="shared" ref="BT93" si="942">IF($H93&lt;&gt;BX$5,0,IF(BX93&lt;0,IF($J93=1,-$E93*$I93/12*3,IF($J93=2,-$E93*$I93/12*2,IF($J93=3,-$E93*$I93/12*1,0)))))+IF(BS$5&lt;&gt;$H93,0,IF(BS93&lt;0,IF($J93=1,-$E93*$I93/12*0,IF($J93=2,-$E93*$I93/12*1,IF($J93=3,-$E93*$I93/12*2,IF($J93&gt;=4,-$E93*$I93/12*3,0))))))</f>
        <v>0</v>
      </c>
      <c r="BU93" s="1807">
        <f t="shared" ref="BU93" si="943">IF($H93&lt;&gt;BX$5,0,IF(BX93&lt;0,IF(OR($J93=1,$J93=2,$J93=3,$J93=4),-$E93*$I93/12*3,IF($J93=5,-$E93*$I93/12*2,IF($J93=6,-$E93*$I93/12*1,0)))))+IF(BS$5&lt;&gt;$H93,0,IF(BS93&lt;0,IF($J93=4,-$E93*$I93/12*0,IF($J93=5,-$E93*$I93/12*1,IF($J93=6,-$E93*$I93/12*2,IF($J93&gt;=7,-$E93*$I93/12*3,0))))))</f>
        <v>0</v>
      </c>
      <c r="BV93" s="1807">
        <f t="shared" ref="BV93" si="944">IF($H93&lt;&gt;BX$5,0,IF(BX93&lt;0,IF(OR($J93=1,$J93=2,$J93=3,$J93=4,$J93=5,$J93=6,$J93=7),-$E93*$I93/12*3,IF($J93=8,-$E93*$I93/12*2,IF($J93=9,-$E93*$I93/12*1,0)))))+IF(BS$5&lt;&gt;$H93,0,IF(BS93&lt;0,IF($J93=7,-$E93*$I93/12*0,IF($J93=8,-$E93*$I93/12*1,IF($J93=9,-$E93*$I93/12*2,IF($J93&gt;=10,-$E93*$I93/12*3,0))))))</f>
        <v>0</v>
      </c>
      <c r="BW93" s="1806">
        <f t="shared" ref="BW93" si="945">IF($H93&lt;&gt;BX$5,0,IF(BX93&lt;0,IF(OR($J93=1,$J93=2,$J93=3,$J93=4,$J93=5,$J93=6,$J93=7,$J93=8,$J93=9,$J93=10),-$E93*$I93/12*3,IF($J93=11,-$E93*$I93/12*2,IF($J93=12,-$E93*$I93/12*1,0)))))+IF(BS$5&lt;&gt;$H93,0,IF(BS93&lt;0,IF($J93=10,-$E93*$I93/12*0,IF($J93=11,-$E93*$I93/12*1,IF($J93=12,-$E93*$I93/12*2,0)))))</f>
        <v>0</v>
      </c>
      <c r="BX93" s="1791">
        <f t="shared" ref="BX93" si="946">IF(AND(BS93&lt;&gt;0,BS$5=$H93),-$I93*$E93-BS93,IF(BX$5=$H93,-$I93*$E93*(12-$J93+1)/12,0))</f>
        <v>0</v>
      </c>
      <c r="BY93" s="1808">
        <f t="shared" ref="BY93" si="947">IF($H93&lt;&gt;CC$5,0,IF(CC93&lt;0,IF($J93=1,-$E93*$I93/12*3,IF($J93=2,-$E93*$I93/12*2,IF($J93=3,-$E93*$I93/12*1,0)))))+IF(BX$5&lt;&gt;$H93,0,IF(BX93&lt;0,IF($J93=1,-$E93*$I93/12*0,IF($J93=2,-$E93*$I93/12*1,IF($J93=3,-$E93*$I93/12*2,IF($J93&gt;=4,-$E93*$I93/12*3,0))))))</f>
        <v>0</v>
      </c>
      <c r="BZ93" s="1807">
        <f t="shared" ref="BZ93" si="948">IF($H93&lt;&gt;CC$5,0,IF(CC93&lt;0,IF(OR($J93=1,$J93=2,$J93=3,$J93=4),-$E93*$I93/12*3,IF($J93=5,-$E93*$I93/12*2,IF($J93=6,-$E93*$I93/12*1,0)))))+IF(BX$5&lt;&gt;$H93,0,IF(BX93&lt;0,IF($J93=4,-$E93*$I93/12*0,IF($J93=5,-$E93*$I93/12*1,IF($J93=6,-$E93*$I93/12*2,IF($J93&gt;=7,-$E93*$I93/12*3,0))))))</f>
        <v>0</v>
      </c>
      <c r="CA93" s="1807">
        <f t="shared" ref="CA93" si="949">IF($H93&lt;&gt;CC$5,0,IF(CC93&lt;0,IF(OR($J93=1,$J93=2,$J93=3,$J93=4,$J93=5,$J93=6,$J93=7),-$E93*$I93/12*3,IF($J93=8,-$E93*$I93/12*2,IF($J93=9,-$E93*$I93/12*1,0)))))+IF(BX$5&lt;&gt;$H93,0,IF(BX93&lt;0,IF($J93=7,-$E93*$I93/12*0,IF($J93=8,-$E93*$I93/12*1,IF($J93=9,-$E93*$I93/12*2,IF($J93&gt;=10,-$E93*$I93/12*3,0))))))</f>
        <v>0</v>
      </c>
      <c r="CB93" s="1806">
        <f t="shared" ref="CB93" si="950">IF($H93&lt;&gt;CC$5,0,IF(CC93&lt;0,IF(OR($J93=1,$J93=2,$J93=3,$J93=4,$J93=5,$J93=6,$J93=7,$J93=8,$J93=9,$J93=10),-$E93*$I93/12*3,IF($J93=11,-$E93*$I93/12*2,IF($J93=12,-$E93*$I93/12*1,0)))))+IF(BX$5&lt;&gt;$H93,0,IF(BX93&lt;0,IF($J93=10,-$E93*$I93/12*0,IF($J93=11,-$E93*$I93/12*1,IF($J93=12,-$E93*$I93/12*2,0)))))</f>
        <v>0</v>
      </c>
      <c r="CC93" s="1791">
        <f t="shared" ref="CC93" si="951">IF(AND(BX93&lt;&gt;0,BX$5=$H93),-$I93*$E93-BX93,IF(CC$5=$H93,-$I93*$E93*(12-$J93+1)/12,0))</f>
        <v>0</v>
      </c>
      <c r="CD93" s="1808">
        <f t="shared" ref="CD93" si="952">IF($H93&lt;&gt;CH$5,0,IF(CH93&lt;0,IF($J93=1,-$E93*$I93/12*3,IF($J93=2,-$E93*$I93/12*2,IF($J93=3,-$E93*$I93/12*1,0)))))+IF(CC$5&lt;&gt;$H93,0,IF(CC93&lt;0,IF($J93=1,-$E93*$I93/12*0,IF($J93=2,-$E93*$I93/12*1,IF($J93=3,-$E93*$I93/12*2,IF($J93&gt;=4,-$E93*$I93/12*3,0))))))</f>
        <v>0</v>
      </c>
      <c r="CE93" s="1807">
        <f t="shared" ref="CE93" si="953">IF($H93&lt;&gt;CH$5,0,IF(CH93&lt;0,IF(OR($J93=1,$J93=2,$J93=3,$J93=4),-$E93*$I93/12*3,IF($J93=5,-$E93*$I93/12*2,IF($J93=6,-$E93*$I93/12*1,0)))))+IF(CC$5&lt;&gt;$H93,0,IF(CC93&lt;0,IF($J93=4,-$E93*$I93/12*0,IF($J93=5,-$E93*$I93/12*1,IF($J93=6,-$E93*$I93/12*2,IF($J93&gt;=7,-$E93*$I93/12*3,0))))))</f>
        <v>0</v>
      </c>
      <c r="CF93" s="1807">
        <f t="shared" ref="CF93" si="954">IF($H93&lt;&gt;CH$5,0,IF(CH93&lt;0,IF(OR($J93=1,$J93=2,$J93=3,$J93=4,$J93=5,$J93=6,$J93=7),-$E93*$I93/12*3,IF($J93=8,-$E93*$I93/12*2,IF($J93=9,-$E93*$I93/12*1,0)))))+IF(CC$5&lt;&gt;$H93,0,IF(CC93&lt;0,IF($J93=7,-$E93*$I93/12*0,IF($J93=8,-$E93*$I93/12*1,IF($J93=9,-$E93*$I93/12*2,IF($J93&gt;=10,-$E93*$I93/12*3,0))))))</f>
        <v>0</v>
      </c>
      <c r="CG93" s="1806">
        <f t="shared" ref="CG93" si="955">IF($H93&lt;&gt;CH$5,0,IF(CH93&lt;0,IF(OR($J93=1,$J93=2,$J93=3,$J93=4,$J93=5,$J93=6,$J93=7,$J93=8,$J93=9,$J93=10),-$E93*$I93/12*3,IF($J93=11,-$E93*$I93/12*2,IF($J93=12,-$E93*$I93/12*1,0)))))+IF(CC$5&lt;&gt;$H93,0,IF(CC93&lt;0,IF($J93=10,-$E93*$I93/12*0,IF($J93=11,-$E93*$I93/12*1,IF($J93=12,-$E93*$I93/12*2,0)))))</f>
        <v>0</v>
      </c>
      <c r="CH93" s="1791">
        <f t="shared" ref="CH93" si="956">IF(AND(CC93&lt;&gt;0,CC$5=$H93),-$I93*$E93-CC93,IF(CH$5=$H93,-$I93*$E93*(12-$J93+1)/12,0))</f>
        <v>0</v>
      </c>
      <c r="CI93" s="1808">
        <f t="shared" ref="CI93" si="957">IF($H93&lt;&gt;CM$5,0,IF(CM93&lt;0,IF($J93=1,-$E93*$I93/12*3,IF($J93=2,-$E93*$I93/12*2,IF($J93=3,-$E93*$I93/12*1,0)))))+IF(CH$5&lt;&gt;$H93,0,IF(CH93&lt;0,IF($J93=1,-$E93*$I93/12*0,IF($J93=2,-$E93*$I93/12*1,IF($J93=3,-$E93*$I93/12*2,IF($J93&gt;=4,-$E93*$I93/12*3,0))))))</f>
        <v>0</v>
      </c>
      <c r="CJ93" s="1807">
        <f t="shared" ref="CJ93" si="958">IF($H93&lt;&gt;CM$5,0,IF(CM93&lt;0,IF(OR($J93=1,$J93=2,$J93=3,$J93=4),-$E93*$I93/12*3,IF($J93=5,-$E93*$I93/12*2,IF($J93=6,-$E93*$I93/12*1,0)))))+IF(CH$5&lt;&gt;$H93,0,IF(CH93&lt;0,IF($J93=4,-$E93*$I93/12*0,IF($J93=5,-$E93*$I93/12*1,IF($J93=6,-$E93*$I93/12*2,IF($J93&gt;=7,-$E93*$I93/12*3,0))))))</f>
        <v>0</v>
      </c>
      <c r="CK93" s="1807">
        <f t="shared" ref="CK93" si="959">IF($H93&lt;&gt;CM$5,0,IF(CM93&lt;0,IF(OR($J93=1,$J93=2,$J93=3,$J93=4,$J93=5,$J93=6,$J93=7),-$E93*$I93/12*3,IF($J93=8,-$E93*$I93/12*2,IF($J93=9,-$E93*$I93/12*1,0)))))+IF(CH$5&lt;&gt;$H93,0,IF(CH93&lt;0,IF($J93=7,-$E93*$I93/12*0,IF($J93=8,-$E93*$I93/12*1,IF($J93=9,-$E93*$I93/12*2,IF($J93&gt;=10,-$E93*$I93/12*3,0))))))</f>
        <v>0</v>
      </c>
      <c r="CL93" s="1806">
        <f t="shared" ref="CL93" si="960">IF($H93&lt;&gt;CM$5,0,IF(CM93&lt;0,IF(OR($J93=1,$J93=2,$J93=3,$J93=4,$J93=5,$J93=6,$J93=7,$J93=8,$J93=9,$J93=10),-$E93*$I93/12*3,IF($J93=11,-$E93*$I93/12*2,IF($J93=12,-$E93*$I93/12*1,0)))))+IF(CH$5&lt;&gt;$H93,0,IF(CH93&lt;0,IF($J93=10,-$E93*$I93/12*0,IF($J93=11,-$E93*$I93/12*1,IF($J93=12,-$E93*$I93/12*2,0)))))</f>
        <v>0</v>
      </c>
      <c r="CM93" s="1791">
        <f t="shared" ref="CM93" si="961">IF(AND(CH93&lt;&gt;0,CH$5=$H93),-$I93*$E93-CH93,IF(CM$5=$H93,-$I93*$E93*(12-$J93+1)/12,0))</f>
        <v>0</v>
      </c>
      <c r="CN93" s="1808">
        <f t="shared" ref="CN93" si="962">IF($H93&lt;&gt;CR$5,0,IF(CR93&lt;0,IF($J93=1,-$E93*$I93/12*3,IF($J93=2,-$E93*$I93/12*2,IF($J93=3,-$E93*$I93/12*1,0)))))+IF(CM$5&lt;&gt;$H93,0,IF(CM93&lt;0,IF($J93=1,-$E93*$I93/12*0,IF($J93=2,-$E93*$I93/12*1,IF($J93=3,-$E93*$I93/12*2,IF($J93&gt;=4,-$E93*$I93/12*3,0))))))</f>
        <v>0</v>
      </c>
      <c r="CO93" s="1807">
        <f t="shared" ref="CO93" si="963">IF($H93&lt;&gt;CR$5,0,IF(CR93&lt;0,IF(OR($J93=1,$J93=2,$J93=3,$J93=4),-$E93*$I93/12*3,IF($J93=5,-$E93*$I93/12*2,IF($J93=6,-$E93*$I93/12*1,0)))))+IF(CM$5&lt;&gt;$H93,0,IF(CM93&lt;0,IF($J93=4,-$E93*$I93/12*0,IF($J93=5,-$E93*$I93/12*1,IF($J93=6,-$E93*$I93/12*2,IF($J93&gt;=7,-$E93*$I93/12*3,0))))))</f>
        <v>0</v>
      </c>
      <c r="CP93" s="1807">
        <f t="shared" ref="CP93" si="964">IF($H93&lt;&gt;CR$5,0,IF(CR93&lt;0,IF(OR($J93=1,$J93=2,$J93=3,$J93=4,$J93=5,$J93=6,$J93=7),-$E93*$I93/12*3,IF($J93=8,-$E93*$I93/12*2,IF($J93=9,-$E93*$I93/12*1,0)))))+IF(CM$5&lt;&gt;$H93,0,IF(CM93&lt;0,IF($J93=7,-$E93*$I93/12*0,IF($J93=8,-$E93*$I93/12*1,IF($J93=9,-$E93*$I93/12*2,IF($J93&gt;=10,-$E93*$I93/12*3,0))))))</f>
        <v>0</v>
      </c>
      <c r="CQ93" s="1806">
        <f t="shared" ref="CQ93" si="965">IF($H93&lt;&gt;CR$5,0,IF(CR93&lt;0,IF(OR($J93=1,$J93=2,$J93=3,$J93=4,$J93=5,$J93=6,$J93=7,$J93=8,$J93=9,$J93=10),-$E93*$I93/12*3,IF($J93=11,-$E93*$I93/12*2,IF($J93=12,-$E93*$I93/12*1,0)))))+IF(CM$5&lt;&gt;$H93,0,IF(CM93&lt;0,IF($J93=10,-$E93*$I93/12*0,IF($J93=11,-$E93*$I93/12*1,IF($J93=12,-$E93*$I93/12*2,0)))))</f>
        <v>0</v>
      </c>
      <c r="CR93" s="1791">
        <f t="shared" ref="CR93" si="966">IF(AND(CM93&lt;&gt;0,CM$5=$H93),-$I93*$E93-CM93,IF(CR$5=$H93,-$I93*$E93*(12-$J93+1)/12,0))</f>
        <v>0</v>
      </c>
      <c r="CS93" s="1808">
        <f t="shared" ref="CS93" si="967">IF($H93&lt;&gt;CW$5,0,IF(CW93&lt;0,IF($J93=1,-$E93*$I93/12*3,IF($J93=2,-$E93*$I93/12*2,IF($J93=3,-$E93*$I93/12*1,0)))))+IF(CR$5&lt;&gt;$H93,0,IF(CR93&lt;0,IF($J93=1,-$E93*$I93/12*0,IF($J93=2,-$E93*$I93/12*1,IF($J93=3,-$E93*$I93/12*2,IF($J93&gt;=4,-$E93*$I93/12*3,0))))))</f>
        <v>0</v>
      </c>
      <c r="CT93" s="1807">
        <f t="shared" ref="CT93" si="968">IF($H93&lt;&gt;CW$5,0,IF(CW93&lt;0,IF(OR($J93=1,$J93=2,$J93=3,$J93=4),-$E93*$I93/12*3,IF($J93=5,-$E93*$I93/12*2,IF($J93=6,-$E93*$I93/12*1,0)))))+IF(CR$5&lt;&gt;$H93,0,IF(CR93&lt;0,IF($J93=4,-$E93*$I93/12*0,IF($J93=5,-$E93*$I93/12*1,IF($J93=6,-$E93*$I93/12*2,IF($J93&gt;=7,-$E93*$I93/12*3,0))))))</f>
        <v>0</v>
      </c>
      <c r="CU93" s="1807">
        <f t="shared" ref="CU93" si="969">IF($H93&lt;&gt;CW$5,0,IF(CW93&lt;0,IF(OR($J93=1,$J93=2,$J93=3,$J93=4,$J93=5,$J93=6,$J93=7),-$E93*$I93/12*3,IF($J93=8,-$E93*$I93/12*2,IF($J93=9,-$E93*$I93/12*1,0)))))+IF(CR$5&lt;&gt;$H93,0,IF(CR93&lt;0,IF($J93=7,-$E93*$I93/12*0,IF($J93=8,-$E93*$I93/12*1,IF($J93=9,-$E93*$I93/12*2,IF($J93&gt;=10,-$E93*$I93/12*3,0))))))</f>
        <v>0</v>
      </c>
      <c r="CV93" s="1806">
        <f t="shared" ref="CV93" si="970">IF($H93&lt;&gt;CW$5,0,IF(CW93&lt;0,IF(OR($J93=1,$J93=2,$J93=3,$J93=4,$J93=5,$J93=6,$J93=7,$J93=8,$J93=9,$J93=10),-$E93*$I93/12*3,IF($J93=11,-$E93*$I93/12*2,IF($J93=12,-$E93*$I93/12*1,0)))))+IF(CR$5&lt;&gt;$H93,0,IF(CR93&lt;0,IF($J93=10,-$E93*$I93/12*0,IF($J93=11,-$E93*$I93/12*1,IF($J93=12,-$E93*$I93/12*2,0)))))</f>
        <v>0</v>
      </c>
      <c r="CW93" s="1791">
        <f t="shared" ref="CW93" si="971">IF(AND(CR93&lt;&gt;0,CR$5=$H93),-$I93*$E93-CR93,IF(CW$5=$H93,-$I93*$E93*(12-$J93+1)/12,0))</f>
        <v>0</v>
      </c>
      <c r="CX93" s="1808">
        <f t="shared" ref="CX93" si="972">IF($H93&lt;&gt;DB$5,0,IF(DB93&lt;0,IF($J93=1,-$E93*$I93/12*3,IF($J93=2,-$E93*$I93/12*2,IF($J93=3,-$E93*$I93/12*1,0)))))+IF(CW$5&lt;&gt;$H93,0,IF(CW93&lt;0,IF($J93=1,-$E93*$I93/12*0,IF($J93=2,-$E93*$I93/12*1,IF($J93=3,-$E93*$I93/12*2,IF($J93&gt;=4,-$E93*$I93/12*3,0))))))</f>
        <v>0</v>
      </c>
      <c r="CY93" s="1807">
        <f t="shared" ref="CY93" si="973">IF($H93&lt;&gt;DB$5,0,IF(DB93&lt;0,IF(OR($J93=1,$J93=2,$J93=3,$J93=4),-$E93*$I93/12*3,IF($J93=5,-$E93*$I93/12*2,IF($J93=6,-$E93*$I93/12*1,0)))))+IF(CW$5&lt;&gt;$H93,0,IF(CW93&lt;0,IF($J93=4,-$E93*$I93/12*0,IF($J93=5,-$E93*$I93/12*1,IF($J93=6,-$E93*$I93/12*2,IF($J93&gt;=7,-$E93*$I93/12*3,0))))))</f>
        <v>0</v>
      </c>
      <c r="CZ93" s="1807">
        <f t="shared" ref="CZ93" si="974">IF($H93&lt;&gt;DB$5,0,IF(DB93&lt;0,IF(OR($J93=1,$J93=2,$J93=3,$J93=4,$J93=5,$J93=6,$J93=7),-$E93*$I93/12*3,IF($J93=8,-$E93*$I93/12*2,IF($J93=9,-$E93*$I93/12*1,0)))))+IF(CW$5&lt;&gt;$H93,0,IF(CW93&lt;0,IF($J93=7,-$E93*$I93/12*0,IF($J93=8,-$E93*$I93/12*1,IF($J93=9,-$E93*$I93/12*2,IF($J93&gt;=10,-$E93*$I93/12*3,0))))))</f>
        <v>0</v>
      </c>
      <c r="DA93" s="1806">
        <f t="shared" ref="DA93" si="975">IF($H93&lt;&gt;DB$5,0,IF(DB93&lt;0,IF(OR($J93=1,$J93=2,$J93=3,$J93=4,$J93=5,$J93=6,$J93=7,$J93=8,$J93=9,$J93=10),-$E93*$I93/12*3,IF($J93=11,-$E93*$I93/12*2,IF($J93=12,-$E93*$I93/12*1,0)))))+IF(CW$5&lt;&gt;$H93,0,IF(CW93&lt;0,IF($J93=10,-$E93*$I93/12*0,IF($J93=11,-$E93*$I93/12*1,IF($J93=12,-$E93*$I93/12*2,0)))))</f>
        <v>0</v>
      </c>
      <c r="DB93" s="1791">
        <f t="shared" ref="DB93" si="976">IF(AND(CW93&lt;&gt;0,CW$5=$H93),-$I93*$E93-CW93,IF(DB$5=$H93,-$I93*$E93*(12-$J93+1)/12,0))</f>
        <v>0</v>
      </c>
      <c r="DC93" s="1808">
        <f t="shared" ref="DC93" si="977">IF($H93&lt;&gt;DG$5,0,IF(DG93&lt;0,IF($J93=1,-$E93*$I93/12*3,IF($J93=2,-$E93*$I93/12*2,IF($J93=3,-$E93*$I93/12*1,0)))))+IF(DB$5&lt;&gt;$H93,0,IF(DB93&lt;0,IF($J93=1,-$E93*$I93/12*0,IF($J93=2,-$E93*$I93/12*1,IF($J93=3,-$E93*$I93/12*2,IF($J93&gt;=4,-$E93*$I93/12*3,0))))))</f>
        <v>0</v>
      </c>
      <c r="DD93" s="1807">
        <f t="shared" ref="DD93" si="978">IF($H93&lt;&gt;DG$5,0,IF(DG93&lt;0,IF(OR($J93=1,$J93=2,$J93=3,$J93=4),-$E93*$I93/12*3,IF($J93=5,-$E93*$I93/12*2,IF($J93=6,-$E93*$I93/12*1,0)))))+IF(DB$5&lt;&gt;$H93,0,IF(DB93&lt;0,IF($J93=4,-$E93*$I93/12*0,IF($J93=5,-$E93*$I93/12*1,IF($J93=6,-$E93*$I93/12*2,IF($J93&gt;=7,-$E93*$I93/12*3,0))))))</f>
        <v>0</v>
      </c>
      <c r="DE93" s="1807">
        <f t="shared" ref="DE93" si="979">IF($H93&lt;&gt;DG$5,0,IF(DG93&lt;0,IF(OR($J93=1,$J93=2,$J93=3,$J93=4,$J93=5,$J93=6,$J93=7),-$E93*$I93/12*3,IF($J93=8,-$E93*$I93/12*2,IF($J93=9,-$E93*$I93/12*1,0)))))+IF(DB$5&lt;&gt;$H93,0,IF(DB93&lt;0,IF($J93=7,-$E93*$I93/12*0,IF($J93=8,-$E93*$I93/12*1,IF($J93=9,-$E93*$I93/12*2,IF($J93&gt;=10,-$E93*$I93/12*3,0))))))</f>
        <v>0</v>
      </c>
      <c r="DF93" s="1806">
        <f t="shared" ref="DF93" si="980">IF($H93&lt;&gt;DG$5,0,IF(DG93&lt;0,IF(OR($J93=1,$J93=2,$J93=3,$J93=4,$J93=5,$J93=6,$J93=7,$J93=8,$J93=9,$J93=10),-$E93*$I93/12*3,IF($J93=11,-$E93*$I93/12*2,IF($J93=12,-$E93*$I93/12*1,0)))))+IF(DB$5&lt;&gt;$H93,0,IF(DB93&lt;0,IF($J93=10,-$E93*$I93/12*0,IF($J93=11,-$E93*$I93/12*1,IF($J93=12,-$E93*$I93/12*2,0)))))</f>
        <v>0</v>
      </c>
      <c r="DG93" s="1791">
        <f t="shared" ref="DG93" si="981">IF(AND(DB93&lt;&gt;0,DB$5=$H93),-$I93*$E93-DB93,IF(DG$5=$H93,-$I93*$E93*(12-$J93+1)/12,0))</f>
        <v>0</v>
      </c>
      <c r="DH93" s="1808">
        <f t="shared" ref="DH93" si="982">IF($H93&lt;&gt;DL$5,0,IF(DL93&lt;0,IF($J93=1,-$E93*$I93/12*3,IF($J93=2,-$E93*$I93/12*2,IF($J93=3,-$E93*$I93/12*1,0)))))+IF(DG$5&lt;&gt;$H93,0,IF(DG93&lt;0,IF($J93=1,-$E93*$I93/12*0,IF($J93=2,-$E93*$I93/12*1,IF($J93=3,-$E93*$I93/12*2,IF($J93&gt;=4,-$E93*$I93/12*3,0))))))</f>
        <v>0</v>
      </c>
      <c r="DI93" s="1807">
        <f t="shared" ref="DI93" si="983">IF($H93&lt;&gt;DL$5,0,IF(DL93&lt;0,IF(OR($J93=1,$J93=2,$J93=3,$J93=4),-$E93*$I93/12*3,IF($J93=5,-$E93*$I93/12*2,IF($J93=6,-$E93*$I93/12*1,0)))))+IF(DG$5&lt;&gt;$H93,0,IF(DG93&lt;0,IF($J93=4,-$E93*$I93/12*0,IF($J93=5,-$E93*$I93/12*1,IF($J93=6,-$E93*$I93/12*2,IF($J93&gt;=7,-$E93*$I93/12*3,0))))))</f>
        <v>0</v>
      </c>
      <c r="DJ93" s="1807">
        <f t="shared" ref="DJ93" si="984">IF($H93&lt;&gt;DL$5,0,IF(DL93&lt;0,IF(OR($J93=1,$J93=2,$J93=3,$J93=4,$J93=5,$J93=6,$J93=7),-$E93*$I93/12*3,IF($J93=8,-$E93*$I93/12*2,IF($J93=9,-$E93*$I93/12*1,0)))))+IF(DG$5&lt;&gt;$H93,0,IF(DG93&lt;0,IF($J93=7,-$E93*$I93/12*0,IF($J93=8,-$E93*$I93/12*1,IF($J93=9,-$E93*$I93/12*2,IF($J93&gt;=10,-$E93*$I93/12*3,0))))))</f>
        <v>0</v>
      </c>
      <c r="DK93" s="1806">
        <f t="shared" ref="DK93" si="985">IF($H93&lt;&gt;DL$5,0,IF(DL93&lt;0,IF(OR($J93=1,$J93=2,$J93=3,$J93=4,$J93=5,$J93=6,$J93=7,$J93=8,$J93=9,$J93=10),-$E93*$I93/12*3,IF($J93=11,-$E93*$I93/12*2,IF($J93=12,-$E93*$I93/12*1,0)))))+IF(DG$5&lt;&gt;$H93,0,IF(DG93&lt;0,IF($J93=10,-$E93*$I93/12*0,IF($J93=11,-$E93*$I93/12*1,IF($J93=12,-$E93*$I93/12*2,0)))))</f>
        <v>0</v>
      </c>
      <c r="DL93" s="1791">
        <f t="shared" ref="DL93" si="986">IF(AND(DG93&lt;&gt;0,DG$5=$H93),-$I93*$E93-DG93,IF(DL$5=$H93,-$I93*$E93*(12-$J93+1)/12,0))</f>
        <v>0</v>
      </c>
      <c r="DM93" s="1808">
        <f t="shared" ref="DM93" si="987">IF($H93&lt;&gt;DQ$5,0,IF(DQ93&lt;0,IF($J93=1,-$E93*$I93/12*3,IF($J93=2,-$E93*$I93/12*2,IF($J93=3,-$E93*$I93/12*1,0)))))+IF(DL$5&lt;&gt;$H93,0,IF(DL93&lt;0,IF($J93=1,-$E93*$I93/12*0,IF($J93=2,-$E93*$I93/12*1,IF($J93=3,-$E93*$I93/12*2,IF($J93&gt;=4,-$E93*$I93/12*3,0))))))</f>
        <v>0</v>
      </c>
      <c r="DN93" s="1807">
        <f t="shared" ref="DN93" si="988">IF($H93&lt;&gt;DQ$5,0,IF(DQ93&lt;0,IF(OR($J93=1,$J93=2,$J93=3,$J93=4),-$E93*$I93/12*3,IF($J93=5,-$E93*$I93/12*2,IF($J93=6,-$E93*$I93/12*1,0)))))+IF(DL$5&lt;&gt;$H93,0,IF(DL93&lt;0,IF($J93=4,-$E93*$I93/12*0,IF($J93=5,-$E93*$I93/12*1,IF($J93=6,-$E93*$I93/12*2,IF($J93&gt;=7,-$E93*$I93/12*3,0))))))</f>
        <v>0</v>
      </c>
      <c r="DO93" s="1807">
        <f t="shared" ref="DO93" si="989">IF($H93&lt;&gt;DQ$5,0,IF(DQ93&lt;0,IF(OR($J93=1,$J93=2,$J93=3,$J93=4,$J93=5,$J93=6,$J93=7),-$E93*$I93/12*3,IF($J93=8,-$E93*$I93/12*2,IF($J93=9,-$E93*$I93/12*1,0)))))+IF(DL$5&lt;&gt;$H93,0,IF(DL93&lt;0,IF($J93=7,-$E93*$I93/12*0,IF($J93=8,-$E93*$I93/12*1,IF($J93=9,-$E93*$I93/12*2,IF($J93&gt;=10,-$E93*$I93/12*3,0))))))</f>
        <v>0</v>
      </c>
      <c r="DP93" s="1806">
        <f t="shared" ref="DP93" si="990">IF($H93&lt;&gt;DQ$5,0,IF(DQ93&lt;0,IF(OR($J93=1,$J93=2,$J93=3,$J93=4,$J93=5,$J93=6,$J93=7,$J93=8,$J93=9,$J93=10),-$E93*$I93/12*3,IF($J93=11,-$E93*$I93/12*2,IF($J93=12,-$E93*$I93/12*1,0)))))+IF(DL$5&lt;&gt;$H93,0,IF(DL93&lt;0,IF($J93=10,-$E93*$I93/12*0,IF($J93=11,-$E93*$I93/12*1,IF($J93=12,-$E93*$I93/12*2,0)))))</f>
        <v>0</v>
      </c>
      <c r="DQ93" s="1791">
        <f t="shared" ref="DQ93" si="991">IF(AND(DL93&lt;&gt;0,DL$5=$H93),-$I93*$E93-DL93,IF(DQ$5=$H93,-$I93*$E93*(12-$J93+1)/12,0))</f>
        <v>0</v>
      </c>
      <c r="DR93" s="1808">
        <f t="shared" si="795"/>
        <v>0</v>
      </c>
      <c r="DS93" s="1807">
        <f t="shared" si="796"/>
        <v>0</v>
      </c>
      <c r="DT93" s="1807">
        <f t="shared" si="797"/>
        <v>0</v>
      </c>
      <c r="DU93" s="1806">
        <f t="shared" si="798"/>
        <v>0</v>
      </c>
      <c r="DV93" s="1791">
        <f t="shared" si="799"/>
        <v>0</v>
      </c>
    </row>
    <row r="94" spans="1:126">
      <c r="A94" s="455"/>
      <c r="B94" s="455"/>
      <c r="C94" s="1723" t="s">
        <v>1002</v>
      </c>
      <c r="D94" s="94"/>
      <c r="E94" s="1817">
        <f t="shared" si="800"/>
        <v>270</v>
      </c>
      <c r="F94" s="1435">
        <v>270</v>
      </c>
      <c r="G94" s="1435">
        <v>270</v>
      </c>
      <c r="H94" s="1350">
        <v>2066</v>
      </c>
      <c r="I94" s="1337">
        <v>4.8750000000000002E-2</v>
      </c>
      <c r="J94" s="1343">
        <v>8</v>
      </c>
      <c r="K94" s="1792"/>
      <c r="L94" s="1810">
        <f t="shared" si="688"/>
        <v>0</v>
      </c>
      <c r="M94" s="1791">
        <f t="shared" si="688"/>
        <v>0</v>
      </c>
      <c r="N94" s="1808">
        <f t="shared" ref="N94" si="992">IF(R94=0,0,IF(R94&lt;0,IF($J94=3,R94,IF($J94=2,R94,IF($J94=1,R94,0)))))</f>
        <v>0</v>
      </c>
      <c r="O94" s="1807">
        <f t="shared" ref="O94" si="993">IF(R94=0,0,IF(R94&lt;0,IF($J94=6,R94,IF($J94=5,R94,IF($J94=4,R94,0)))))</f>
        <v>0</v>
      </c>
      <c r="P94" s="1807">
        <f t="shared" ref="P94" si="994">IF(R94=0,0,IF(R94&lt;0,IF($J94=9,R94,IF($J94=8,R94,IF($J94=7,R94,0)))))</f>
        <v>0</v>
      </c>
      <c r="Q94" s="1806">
        <f t="shared" ref="Q94" si="995">IF(R94=0,0,IF(R94&lt;0,IF($J94=12,R94,IF($J94=11,R94,IF($J94=10,R94,0)))))</f>
        <v>0</v>
      </c>
      <c r="R94" s="1791">
        <f t="shared" si="693"/>
        <v>0</v>
      </c>
      <c r="S94" s="1808">
        <f t="shared" ref="S94" si="996">IF(W94=0,0,IF(W94&lt;0,IF($J94=3,W94,IF($J94=2,W94,IF($J94=1,W94,0)))))</f>
        <v>0</v>
      </c>
      <c r="T94" s="1807">
        <f t="shared" ref="T94" si="997">IF(W94=0,0,IF(W94&lt;0,IF($J94=6,W94,IF($J94=5,W94,IF($J94=4,W94,0)))))</f>
        <v>0</v>
      </c>
      <c r="U94" s="1807">
        <f t="shared" ref="U94" si="998">IF(W94=0,0,IF(W94&lt;0,IF($J94=9,W94,IF($J94=8,W94,IF($J94=7,W94,0)))))</f>
        <v>0</v>
      </c>
      <c r="V94" s="1806">
        <f t="shared" ref="V94" si="999">IF(W94=0,0,IF(W94&lt;0,IF($J94=12,W94,IF($J94=11,W94,IF($J94=10,W94,0)))))</f>
        <v>0</v>
      </c>
      <c r="W94" s="1791">
        <f t="shared" si="698"/>
        <v>0</v>
      </c>
      <c r="X94" s="1808">
        <f t="shared" ref="X94" si="1000">IF(AB94=0,0,IF(AB94&lt;0,IF($J94=3,AB94,IF($J94=2,AB94,IF($J94=1,AB94,0)))))</f>
        <v>0</v>
      </c>
      <c r="Y94" s="1807">
        <f t="shared" ref="Y94" si="1001">IF(AB94=0,0,IF(AB94&lt;0,IF($J94=6,AB94,IF($J94=5,AB94,IF($J94=4,AB94,0)))))</f>
        <v>0</v>
      </c>
      <c r="Z94" s="1807">
        <f t="shared" ref="Z94" si="1002">IF(AB94=0,0,IF(AB94&lt;0,IF($J94=9,AB94,IF($J94=8,AB94,IF($J94=7,AB94,0)))))</f>
        <v>0</v>
      </c>
      <c r="AA94" s="1806">
        <f t="shared" ref="AA94" si="1003">IF(AB94=0,0,IF(AB94&lt;0,IF($J94=12,AB94,IF($J94=11,AB94,IF($J94=10,AB94,0)))))</f>
        <v>0</v>
      </c>
      <c r="AB94" s="1791">
        <f t="shared" si="703"/>
        <v>0</v>
      </c>
      <c r="AC94" s="1808">
        <f t="shared" ref="AC94" si="1004">IF(AG94=0,0,IF(AG94&lt;0,IF($J94=3,AG94,IF($J94=2,AG94,IF($J94=1,AG94,0)))))</f>
        <v>0</v>
      </c>
      <c r="AD94" s="1807">
        <f t="shared" ref="AD94" si="1005">IF(AG94=0,0,IF(AG94&lt;0,IF($J94=6,AG94,IF($J94=5,AG94,IF($J94=4,AG94,0)))))</f>
        <v>0</v>
      </c>
      <c r="AE94" s="1807">
        <f t="shared" ref="AE94" si="1006">IF(AG94=0,0,IF(AG94&lt;0,IF($J94=9,AG94,IF($J94=8,AG94,IF($J94=7,AG94,0)))))</f>
        <v>0</v>
      </c>
      <c r="AF94" s="1806">
        <f t="shared" ref="AF94" si="1007">IF(AG94=0,0,IF(AG94&lt;0,IF($J94=12,AG94,IF($J94=11,AG94,IF($J94=10,AG94,0)))))</f>
        <v>0</v>
      </c>
      <c r="AG94" s="1791">
        <f t="shared" si="708"/>
        <v>0</v>
      </c>
      <c r="AH94" s="1808">
        <f t="shared" ref="AH94" si="1008">IF(AL94=0,0,IF(AL94&lt;0,IF($J94=3,AL94,IF($J94=2,AL94,IF($J94=1,AL94,0)))))</f>
        <v>0</v>
      </c>
      <c r="AI94" s="1807">
        <f t="shared" ref="AI94" si="1009">IF(AL94=0,0,IF(AL94&lt;0,IF($J94=6,AL94,IF($J94=5,AL94,IF($J94=4,AL94,0)))))</f>
        <v>0</v>
      </c>
      <c r="AJ94" s="1807">
        <f t="shared" ref="AJ94" si="1010">IF(AL94=0,0,IF(AL94&lt;0,IF($J94=9,AL94,IF($J94=8,AL94,IF($J94=7,AL94,0)))))</f>
        <v>0</v>
      </c>
      <c r="AK94" s="1806">
        <f t="shared" ref="AK94" si="1011">IF(AL94=0,0,IF(AL94&lt;0,IF($J94=12,AL94,IF($J94=11,AL94,IF($J94=10,AL94,0)))))</f>
        <v>0</v>
      </c>
      <c r="AL94" s="1791">
        <f t="shared" si="713"/>
        <v>0</v>
      </c>
      <c r="AM94" s="1808">
        <f t="shared" ref="AM94" si="1012">IF(AQ94=0,0,IF(AQ94&lt;0,IF($J94=3,AQ94,IF($J94=2,AQ94,IF($J94=1,AQ94,0)))))</f>
        <v>0</v>
      </c>
      <c r="AN94" s="1807">
        <f t="shared" ref="AN94" si="1013">IF(AQ94=0,0,IF(AQ94&lt;0,IF($J94=6,AQ94,IF($J94=5,AQ94,IF($J94=4,AQ94,0)))))</f>
        <v>0</v>
      </c>
      <c r="AO94" s="1807">
        <f t="shared" ref="AO94" si="1014">IF(AQ94=0,0,IF(AQ94&lt;0,IF($J94=9,AQ94,IF($J94=8,AQ94,IF($J94=7,AQ94,0)))))</f>
        <v>0</v>
      </c>
      <c r="AP94" s="1806">
        <f t="shared" ref="AP94" si="1015">IF(AQ94=0,0,IF(AQ94&lt;0,IF($J94=12,AQ94,IF($J94=11,AQ94,IF($J94=10,AQ94,0)))))</f>
        <v>0</v>
      </c>
      <c r="AQ94" s="1791">
        <f t="shared" si="718"/>
        <v>0</v>
      </c>
      <c r="AR94" s="1808">
        <f t="shared" ref="AR94" si="1016">IF(AV94=0,0,IF(AV94&lt;0,IF($J94=3,AV94,IF($J94=2,AV94,IF($J94=1,AV94,0)))))</f>
        <v>0</v>
      </c>
      <c r="AS94" s="1807">
        <f t="shared" si="720"/>
        <v>0</v>
      </c>
      <c r="AT94" s="1807">
        <f t="shared" ref="AT94" si="1017">IF(AV94=0,0,IF(AV94&lt;0,IF($J94=9,AV94,IF($J94=8,AV94,IF($J94=7,AV94,0)))))</f>
        <v>0</v>
      </c>
      <c r="AU94" s="1806">
        <f t="shared" ref="AU94" si="1018">IF(AV94=0,0,IF(AV94&lt;0,IF($J94=12,AV94,IF($J94=11,AV94,IF($J94=10,AV94,0)))))</f>
        <v>0</v>
      </c>
      <c r="AV94" s="1791">
        <f t="shared" si="723"/>
        <v>0</v>
      </c>
      <c r="AW94" s="1808">
        <f t="shared" ref="AW94" si="1019">IF(BA94=0,0,IF(BA94&lt;0,IF($J94=3,BA94,IF($J94=2,BA94,IF($J94=1,BA94,0)))))</f>
        <v>0</v>
      </c>
      <c r="AX94" s="1807">
        <f t="shared" ref="AX94" si="1020">IF(BA94=0,0,IF(BA94&lt;0,IF($J94=6,BA94,IF($J94=5,BA94,IF($J94=4,BA94,0)))))</f>
        <v>0</v>
      </c>
      <c r="AY94" s="1807">
        <f t="shared" ref="AY94" si="1021">IF(BA94=0,0,IF(BA94&lt;0,IF($J94=9,BA94,IF($J94=8,BA94,IF($J94=7,BA94,0)))))</f>
        <v>0</v>
      </c>
      <c r="AZ94" s="1806">
        <f t="shared" ref="AZ94" si="1022">IF(BA94=0,0,IF(BA94&lt;0,IF($J94=12,BA94,IF($J94=11,BA94,IF($J94=10,BA94,0)))))</f>
        <v>0</v>
      </c>
      <c r="BA94" s="1791">
        <f t="shared" si="728"/>
        <v>0</v>
      </c>
      <c r="BB94" s="1808">
        <f t="shared" ref="BB94" si="1023">IF(BF94=0,0,IF(BF94&lt;0,IF($J94=3,BF94,IF($J94=2,BF94,IF($J94=1,BF94,0)))))</f>
        <v>0</v>
      </c>
      <c r="BC94" s="1807">
        <f t="shared" ref="BC94" si="1024">IF(BF94=0,0,IF(BF94&lt;0,IF($J94=6,BF94,IF($J94=5,BF94,IF($J94=4,BF94,0)))))</f>
        <v>0</v>
      </c>
      <c r="BD94" s="1807">
        <f t="shared" ref="BD94" si="1025">IF(BF94=0,0,IF(BF94&lt;0,IF($J94=9,BF94,IF($J94=8,BF94,IF($J94=7,BF94,0)))))</f>
        <v>0</v>
      </c>
      <c r="BE94" s="1806">
        <f t="shared" ref="BE94" si="1026">IF(BF94=0,0,IF(BF94&lt;0,IF($J94=12,BF94,IF($J94=11,BF94,IF($J94=10,BF94,0)))))</f>
        <v>0</v>
      </c>
      <c r="BF94" s="1791">
        <f t="shared" si="733"/>
        <v>0</v>
      </c>
      <c r="BG94" s="1808">
        <f t="shared" ref="BG94" si="1027">IF(BK94=0,0,IF(BK94&lt;0,IF($J94=3,BK94,IF($J94=2,BK94,IF($J94=1,BK94,0)))))</f>
        <v>0</v>
      </c>
      <c r="BH94" s="1807">
        <f t="shared" ref="BH94" si="1028">IF(BK94=0,0,IF(BK94&lt;0,IF($J94=6,BK94,IF($J94=5,BK94,IF($J94=4,BK94,0)))))</f>
        <v>0</v>
      </c>
      <c r="BI94" s="1807">
        <f t="shared" ref="BI94" si="1029">IF(BK94=0,0,IF(BK94&lt;0,IF($J94=9,BK94,IF($J94=8,BK94,IF($J94=7,BK94,0)))))</f>
        <v>0</v>
      </c>
      <c r="BJ94" s="1806">
        <f t="shared" ref="BJ94" si="1030">IF(BK94=0,0,IF(BK94&lt;0,IF($J94=12,BK94,IF($J94=11,BK94,IF($J94=10,BK94,0)))))</f>
        <v>0</v>
      </c>
      <c r="BK94" s="1791">
        <f t="shared" si="738"/>
        <v>0</v>
      </c>
      <c r="BL94" s="1808">
        <f t="shared" ref="BL94" si="1031">IF(BP94=0,0,IF(BP94&lt;0,IF($J94=3,BP94,IF($J94=2,BP94,IF($J94=1,BP94,0)))))</f>
        <v>0</v>
      </c>
      <c r="BM94" s="1807">
        <f t="shared" ref="BM94" si="1032">IF(BP94=0,0,IF(BP94&lt;0,IF($J94=6,BP94,IF($J94=5,BP94,IF($J94=4,BP94,0)))))</f>
        <v>0</v>
      </c>
      <c r="BN94" s="1807">
        <f t="shared" ref="BN94" si="1033">IF(BP94=0,0,IF(BP94&lt;0,IF($J94=9,BP94,IF($J94=8,BP94,IF($J94=7,BP94,0)))))</f>
        <v>0</v>
      </c>
      <c r="BO94" s="1806">
        <f t="shared" ref="BO94" si="1034">IF(BP94=0,0,IF(BP94&lt;0,IF($J94=12,BP94,IF($J94=11,BP94,IF($J94=10,BP94,0)))))</f>
        <v>0</v>
      </c>
      <c r="BP94" s="1791">
        <f t="shared" si="743"/>
        <v>0</v>
      </c>
      <c r="BQ94" s="1827"/>
      <c r="BR94" s="1791">
        <f t="shared" ref="BR94" si="1035">IF(AND(BQ94&lt;&gt;0,BQ$5=$H94),-$I94*$E94-BQ94,IF(BR$5=$H94,-$I94*$E94*(12-$J94+1)/12,0))</f>
        <v>0</v>
      </c>
      <c r="BS94" s="1791">
        <f t="shared" ref="BS94" si="1036">IF(AND(BR94&lt;&gt;0,BR$5=$H94),-$I94*$E94-BR94,IF(BS$5=$H94,-$I94*$E94*(12-$J94+1)/12,0))</f>
        <v>0</v>
      </c>
      <c r="BT94" s="1808">
        <f t="shared" ref="BT94" si="1037">IF($H94&lt;&gt;BX$5,0,IF(BX94&lt;0,IF($J94=1,-$E94*$I94/12*3,IF($J94=2,-$E94*$I94/12*2,IF($J94=3,-$E94*$I94/12*1,0)))))+IF(BS$5&lt;&gt;$H94,0,IF(BS94&lt;0,IF($J94=1,-$E94*$I94/12*0,IF($J94=2,-$E94*$I94/12*1,IF($J94=3,-$E94*$I94/12*2,IF($J94&gt;=4,-$E94*$I94/12*3,0))))))</f>
        <v>0</v>
      </c>
      <c r="BU94" s="1807">
        <f t="shared" ref="BU94" si="1038">IF($H94&lt;&gt;BX$5,0,IF(BX94&lt;0,IF(OR($J94=1,$J94=2,$J94=3,$J94=4),-$E94*$I94/12*3,IF($J94=5,-$E94*$I94/12*2,IF($J94=6,-$E94*$I94/12*1,0)))))+IF(BS$5&lt;&gt;$H94,0,IF(BS94&lt;0,IF($J94=4,-$E94*$I94/12*0,IF($J94=5,-$E94*$I94/12*1,IF($J94=6,-$E94*$I94/12*2,IF($J94&gt;=7,-$E94*$I94/12*3,0))))))</f>
        <v>0</v>
      </c>
      <c r="BV94" s="1807">
        <f t="shared" ref="BV94" si="1039">IF($H94&lt;&gt;BX$5,0,IF(BX94&lt;0,IF(OR($J94=1,$J94=2,$J94=3,$J94=4,$J94=5,$J94=6,$J94=7),-$E94*$I94/12*3,IF($J94=8,-$E94*$I94/12*2,IF($J94=9,-$E94*$I94/12*1,0)))))+IF(BS$5&lt;&gt;$H94,0,IF(BS94&lt;0,IF($J94=7,-$E94*$I94/12*0,IF($J94=8,-$E94*$I94/12*1,IF($J94=9,-$E94*$I94/12*2,IF($J94&gt;=10,-$E94*$I94/12*3,0))))))</f>
        <v>0</v>
      </c>
      <c r="BW94" s="1806">
        <f t="shared" ref="BW94" si="1040">IF($H94&lt;&gt;BX$5,0,IF(BX94&lt;0,IF(OR($J94=1,$J94=2,$J94=3,$J94=4,$J94=5,$J94=6,$J94=7,$J94=8,$J94=9,$J94=10),-$E94*$I94/12*3,IF($J94=11,-$E94*$I94/12*2,IF($J94=12,-$E94*$I94/12*1,0)))))+IF(BS$5&lt;&gt;$H94,0,IF(BS94&lt;0,IF($J94=10,-$E94*$I94/12*0,IF($J94=11,-$E94*$I94/12*1,IF($J94=12,-$E94*$I94/12*2,0)))))</f>
        <v>0</v>
      </c>
      <c r="BX94" s="1791">
        <f t="shared" ref="BX94" si="1041">IF(AND(BS94&lt;&gt;0,BS$5=$H94),-$I94*$E94-BS94,IF(BX$5=$H94,-$I94*$E94*(12-$J94+1)/12,0))</f>
        <v>0</v>
      </c>
      <c r="BY94" s="1808">
        <f t="shared" ref="BY94" si="1042">IF($H94&lt;&gt;CC$5,0,IF(CC94&lt;0,IF($J94=1,-$E94*$I94/12*3,IF($J94=2,-$E94*$I94/12*2,IF($J94=3,-$E94*$I94/12*1,0)))))+IF(BX$5&lt;&gt;$H94,0,IF(BX94&lt;0,IF($J94=1,-$E94*$I94/12*0,IF($J94=2,-$E94*$I94/12*1,IF($J94=3,-$E94*$I94/12*2,IF($J94&gt;=4,-$E94*$I94/12*3,0))))))</f>
        <v>0</v>
      </c>
      <c r="BZ94" s="1807">
        <f t="shared" ref="BZ94" si="1043">IF($H94&lt;&gt;CC$5,0,IF(CC94&lt;0,IF(OR($J94=1,$J94=2,$J94=3,$J94=4),-$E94*$I94/12*3,IF($J94=5,-$E94*$I94/12*2,IF($J94=6,-$E94*$I94/12*1,0)))))+IF(BX$5&lt;&gt;$H94,0,IF(BX94&lt;0,IF($J94=4,-$E94*$I94/12*0,IF($J94=5,-$E94*$I94/12*1,IF($J94=6,-$E94*$I94/12*2,IF($J94&gt;=7,-$E94*$I94/12*3,0))))))</f>
        <v>0</v>
      </c>
      <c r="CA94" s="1807">
        <f t="shared" ref="CA94" si="1044">IF($H94&lt;&gt;CC$5,0,IF(CC94&lt;0,IF(OR($J94=1,$J94=2,$J94=3,$J94=4,$J94=5,$J94=6,$J94=7),-$E94*$I94/12*3,IF($J94=8,-$E94*$I94/12*2,IF($J94=9,-$E94*$I94/12*1,0)))))+IF(BX$5&lt;&gt;$H94,0,IF(BX94&lt;0,IF($J94=7,-$E94*$I94/12*0,IF($J94=8,-$E94*$I94/12*1,IF($J94=9,-$E94*$I94/12*2,IF($J94&gt;=10,-$E94*$I94/12*3,0))))))</f>
        <v>0</v>
      </c>
      <c r="CB94" s="1806">
        <f t="shared" ref="CB94" si="1045">IF($H94&lt;&gt;CC$5,0,IF(CC94&lt;0,IF(OR($J94=1,$J94=2,$J94=3,$J94=4,$J94=5,$J94=6,$J94=7,$J94=8,$J94=9,$J94=10),-$E94*$I94/12*3,IF($J94=11,-$E94*$I94/12*2,IF($J94=12,-$E94*$I94/12*1,0)))))+IF(BX$5&lt;&gt;$H94,0,IF(BX94&lt;0,IF($J94=10,-$E94*$I94/12*0,IF($J94=11,-$E94*$I94/12*1,IF($J94=12,-$E94*$I94/12*2,0)))))</f>
        <v>0</v>
      </c>
      <c r="CC94" s="1791">
        <f t="shared" ref="CC94" si="1046">IF(AND(BX94&lt;&gt;0,BX$5=$H94),-$I94*$E94-BX94,IF(CC$5=$H94,-$I94*$E94*(12-$J94+1)/12,0))</f>
        <v>0</v>
      </c>
      <c r="CD94" s="1808">
        <f t="shared" ref="CD94" si="1047">IF($H94&lt;&gt;CH$5,0,IF(CH94&lt;0,IF($J94=1,-$E94*$I94/12*3,IF($J94=2,-$E94*$I94/12*2,IF($J94=3,-$E94*$I94/12*1,0)))))+IF(CC$5&lt;&gt;$H94,0,IF(CC94&lt;0,IF($J94=1,-$E94*$I94/12*0,IF($J94=2,-$E94*$I94/12*1,IF($J94=3,-$E94*$I94/12*2,IF($J94&gt;=4,-$E94*$I94/12*3,0))))))</f>
        <v>0</v>
      </c>
      <c r="CE94" s="1807">
        <f t="shared" ref="CE94" si="1048">IF($H94&lt;&gt;CH$5,0,IF(CH94&lt;0,IF(OR($J94=1,$J94=2,$J94=3,$J94=4),-$E94*$I94/12*3,IF($J94=5,-$E94*$I94/12*2,IF($J94=6,-$E94*$I94/12*1,0)))))+IF(CC$5&lt;&gt;$H94,0,IF(CC94&lt;0,IF($J94=4,-$E94*$I94/12*0,IF($J94=5,-$E94*$I94/12*1,IF($J94=6,-$E94*$I94/12*2,IF($J94&gt;=7,-$E94*$I94/12*3,0))))))</f>
        <v>0</v>
      </c>
      <c r="CF94" s="1807">
        <f t="shared" ref="CF94" si="1049">IF($H94&lt;&gt;CH$5,0,IF(CH94&lt;0,IF(OR($J94=1,$J94=2,$J94=3,$J94=4,$J94=5,$J94=6,$J94=7),-$E94*$I94/12*3,IF($J94=8,-$E94*$I94/12*2,IF($J94=9,-$E94*$I94/12*1,0)))))+IF(CC$5&lt;&gt;$H94,0,IF(CC94&lt;0,IF($J94=7,-$E94*$I94/12*0,IF($J94=8,-$E94*$I94/12*1,IF($J94=9,-$E94*$I94/12*2,IF($J94&gt;=10,-$E94*$I94/12*3,0))))))</f>
        <v>0</v>
      </c>
      <c r="CG94" s="1806">
        <f t="shared" ref="CG94" si="1050">IF($H94&lt;&gt;CH$5,0,IF(CH94&lt;0,IF(OR($J94=1,$J94=2,$J94=3,$J94=4,$J94=5,$J94=6,$J94=7,$J94=8,$J94=9,$J94=10),-$E94*$I94/12*3,IF($J94=11,-$E94*$I94/12*2,IF($J94=12,-$E94*$I94/12*1,0)))))+IF(CC$5&lt;&gt;$H94,0,IF(CC94&lt;0,IF($J94=10,-$E94*$I94/12*0,IF($J94=11,-$E94*$I94/12*1,IF($J94=12,-$E94*$I94/12*2,0)))))</f>
        <v>0</v>
      </c>
      <c r="CH94" s="1791">
        <f t="shared" ref="CH94" si="1051">IF(AND(CC94&lt;&gt;0,CC$5=$H94),-$I94*$E94-CC94,IF(CH$5=$H94,-$I94*$E94*(12-$J94+1)/12,0))</f>
        <v>0</v>
      </c>
      <c r="CI94" s="1808">
        <f t="shared" ref="CI94" si="1052">IF($H94&lt;&gt;CM$5,0,IF(CM94&lt;0,IF($J94=1,-$E94*$I94/12*3,IF($J94=2,-$E94*$I94/12*2,IF($J94=3,-$E94*$I94/12*1,0)))))+IF(CH$5&lt;&gt;$H94,0,IF(CH94&lt;0,IF($J94=1,-$E94*$I94/12*0,IF($J94=2,-$E94*$I94/12*1,IF($J94=3,-$E94*$I94/12*2,IF($J94&gt;=4,-$E94*$I94/12*3,0))))))</f>
        <v>0</v>
      </c>
      <c r="CJ94" s="1807">
        <f t="shared" ref="CJ94" si="1053">IF($H94&lt;&gt;CM$5,0,IF(CM94&lt;0,IF(OR($J94=1,$J94=2,$J94=3,$J94=4),-$E94*$I94/12*3,IF($J94=5,-$E94*$I94/12*2,IF($J94=6,-$E94*$I94/12*1,0)))))+IF(CH$5&lt;&gt;$H94,0,IF(CH94&lt;0,IF($J94=4,-$E94*$I94/12*0,IF($J94=5,-$E94*$I94/12*1,IF($J94=6,-$E94*$I94/12*2,IF($J94&gt;=7,-$E94*$I94/12*3,0))))))</f>
        <v>0</v>
      </c>
      <c r="CK94" s="1807">
        <f t="shared" ref="CK94" si="1054">IF($H94&lt;&gt;CM$5,0,IF(CM94&lt;0,IF(OR($J94=1,$J94=2,$J94=3,$J94=4,$J94=5,$J94=6,$J94=7),-$E94*$I94/12*3,IF($J94=8,-$E94*$I94/12*2,IF($J94=9,-$E94*$I94/12*1,0)))))+IF(CH$5&lt;&gt;$H94,0,IF(CH94&lt;0,IF($J94=7,-$E94*$I94/12*0,IF($J94=8,-$E94*$I94/12*1,IF($J94=9,-$E94*$I94/12*2,IF($J94&gt;=10,-$E94*$I94/12*3,0))))))</f>
        <v>0</v>
      </c>
      <c r="CL94" s="1806">
        <f t="shared" ref="CL94" si="1055">IF($H94&lt;&gt;CM$5,0,IF(CM94&lt;0,IF(OR($J94=1,$J94=2,$J94=3,$J94=4,$J94=5,$J94=6,$J94=7,$J94=8,$J94=9,$J94=10),-$E94*$I94/12*3,IF($J94=11,-$E94*$I94/12*2,IF($J94=12,-$E94*$I94/12*1,0)))))+IF(CH$5&lt;&gt;$H94,0,IF(CH94&lt;0,IF($J94=10,-$E94*$I94/12*0,IF($J94=11,-$E94*$I94/12*1,IF($J94=12,-$E94*$I94/12*2,0)))))</f>
        <v>0</v>
      </c>
      <c r="CM94" s="1791">
        <f t="shared" ref="CM94" si="1056">IF(AND(CH94&lt;&gt;0,CH$5=$H94),-$I94*$E94-CH94,IF(CM$5=$H94,-$I94*$E94*(12-$J94+1)/12,0))</f>
        <v>0</v>
      </c>
      <c r="CN94" s="1808">
        <f t="shared" ref="CN94" si="1057">IF($H94&lt;&gt;CR$5,0,IF(CR94&lt;0,IF($J94=1,-$E94*$I94/12*3,IF($J94=2,-$E94*$I94/12*2,IF($J94=3,-$E94*$I94/12*1,0)))))+IF(CM$5&lt;&gt;$H94,0,IF(CM94&lt;0,IF($J94=1,-$E94*$I94/12*0,IF($J94=2,-$E94*$I94/12*1,IF($J94=3,-$E94*$I94/12*2,IF($J94&gt;=4,-$E94*$I94/12*3,0))))))</f>
        <v>0</v>
      </c>
      <c r="CO94" s="1807">
        <f t="shared" ref="CO94" si="1058">IF($H94&lt;&gt;CR$5,0,IF(CR94&lt;0,IF(OR($J94=1,$J94=2,$J94=3,$J94=4),-$E94*$I94/12*3,IF($J94=5,-$E94*$I94/12*2,IF($J94=6,-$E94*$I94/12*1,0)))))+IF(CM$5&lt;&gt;$H94,0,IF(CM94&lt;0,IF($J94=4,-$E94*$I94/12*0,IF($J94=5,-$E94*$I94/12*1,IF($J94=6,-$E94*$I94/12*2,IF($J94&gt;=7,-$E94*$I94/12*3,0))))))</f>
        <v>0</v>
      </c>
      <c r="CP94" s="1807">
        <f t="shared" ref="CP94" si="1059">IF($H94&lt;&gt;CR$5,0,IF(CR94&lt;0,IF(OR($J94=1,$J94=2,$J94=3,$J94=4,$J94=5,$J94=6,$J94=7),-$E94*$I94/12*3,IF($J94=8,-$E94*$I94/12*2,IF($J94=9,-$E94*$I94/12*1,0)))))+IF(CM$5&lt;&gt;$H94,0,IF(CM94&lt;0,IF($J94=7,-$E94*$I94/12*0,IF($J94=8,-$E94*$I94/12*1,IF($J94=9,-$E94*$I94/12*2,IF($J94&gt;=10,-$E94*$I94/12*3,0))))))</f>
        <v>0</v>
      </c>
      <c r="CQ94" s="1806">
        <f t="shared" ref="CQ94" si="1060">IF($H94&lt;&gt;CR$5,0,IF(CR94&lt;0,IF(OR($J94=1,$J94=2,$J94=3,$J94=4,$J94=5,$J94=6,$J94=7,$J94=8,$J94=9,$J94=10),-$E94*$I94/12*3,IF($J94=11,-$E94*$I94/12*2,IF($J94=12,-$E94*$I94/12*1,0)))))+IF(CM$5&lt;&gt;$H94,0,IF(CM94&lt;0,IF($J94=10,-$E94*$I94/12*0,IF($J94=11,-$E94*$I94/12*1,IF($J94=12,-$E94*$I94/12*2,0)))))</f>
        <v>0</v>
      </c>
      <c r="CR94" s="1791">
        <f t="shared" ref="CR94" si="1061">IF(AND(CM94&lt;&gt;0,CM$5=$H94),-$I94*$E94-CM94,IF(CR$5=$H94,-$I94*$E94*(12-$J94+1)/12,0))</f>
        <v>0</v>
      </c>
      <c r="CS94" s="1808">
        <f t="shared" ref="CS94" si="1062">IF($H94&lt;&gt;CW$5,0,IF(CW94&lt;0,IF($J94=1,-$E94*$I94/12*3,IF($J94=2,-$E94*$I94/12*2,IF($J94=3,-$E94*$I94/12*1,0)))))+IF(CR$5&lt;&gt;$H94,0,IF(CR94&lt;0,IF($J94=1,-$E94*$I94/12*0,IF($J94=2,-$E94*$I94/12*1,IF($J94=3,-$E94*$I94/12*2,IF($J94&gt;=4,-$E94*$I94/12*3,0))))))</f>
        <v>0</v>
      </c>
      <c r="CT94" s="1807">
        <f t="shared" ref="CT94" si="1063">IF($H94&lt;&gt;CW$5,0,IF(CW94&lt;0,IF(OR($J94=1,$J94=2,$J94=3,$J94=4),-$E94*$I94/12*3,IF($J94=5,-$E94*$I94/12*2,IF($J94=6,-$E94*$I94/12*1,0)))))+IF(CR$5&lt;&gt;$H94,0,IF(CR94&lt;0,IF($J94=4,-$E94*$I94/12*0,IF($J94=5,-$E94*$I94/12*1,IF($J94=6,-$E94*$I94/12*2,IF($J94&gt;=7,-$E94*$I94/12*3,0))))))</f>
        <v>0</v>
      </c>
      <c r="CU94" s="1807">
        <f t="shared" ref="CU94" si="1064">IF($H94&lt;&gt;CW$5,0,IF(CW94&lt;0,IF(OR($J94=1,$J94=2,$J94=3,$J94=4,$J94=5,$J94=6,$J94=7),-$E94*$I94/12*3,IF($J94=8,-$E94*$I94/12*2,IF($J94=9,-$E94*$I94/12*1,0)))))+IF(CR$5&lt;&gt;$H94,0,IF(CR94&lt;0,IF($J94=7,-$E94*$I94/12*0,IF($J94=8,-$E94*$I94/12*1,IF($J94=9,-$E94*$I94/12*2,IF($J94&gt;=10,-$E94*$I94/12*3,0))))))</f>
        <v>0</v>
      </c>
      <c r="CV94" s="1806">
        <f t="shared" ref="CV94" si="1065">IF($H94&lt;&gt;CW$5,0,IF(CW94&lt;0,IF(OR($J94=1,$J94=2,$J94=3,$J94=4,$J94=5,$J94=6,$J94=7,$J94=8,$J94=9,$J94=10),-$E94*$I94/12*3,IF($J94=11,-$E94*$I94/12*2,IF($J94=12,-$E94*$I94/12*1,0)))))+IF(CR$5&lt;&gt;$H94,0,IF(CR94&lt;0,IF($J94=10,-$E94*$I94/12*0,IF($J94=11,-$E94*$I94/12*1,IF($J94=12,-$E94*$I94/12*2,0)))))</f>
        <v>0</v>
      </c>
      <c r="CW94" s="1791">
        <f t="shared" ref="CW94" si="1066">IF(AND(CR94&lt;&gt;0,CR$5=$H94),-$I94*$E94-CR94,IF(CW$5=$H94,-$I94*$E94*(12-$J94+1)/12,0))</f>
        <v>0</v>
      </c>
      <c r="CX94" s="1808">
        <f t="shared" ref="CX94" si="1067">IF($H94&lt;&gt;DB$5,0,IF(DB94&lt;0,IF($J94=1,-$E94*$I94/12*3,IF($J94=2,-$E94*$I94/12*2,IF($J94=3,-$E94*$I94/12*1,0)))))+IF(CW$5&lt;&gt;$H94,0,IF(CW94&lt;0,IF($J94=1,-$E94*$I94/12*0,IF($J94=2,-$E94*$I94/12*1,IF($J94=3,-$E94*$I94/12*2,IF($J94&gt;=4,-$E94*$I94/12*3,0))))))</f>
        <v>0</v>
      </c>
      <c r="CY94" s="1807">
        <f t="shared" ref="CY94" si="1068">IF($H94&lt;&gt;DB$5,0,IF(DB94&lt;0,IF(OR($J94=1,$J94=2,$J94=3,$J94=4),-$E94*$I94/12*3,IF($J94=5,-$E94*$I94/12*2,IF($J94=6,-$E94*$I94/12*1,0)))))+IF(CW$5&lt;&gt;$H94,0,IF(CW94&lt;0,IF($J94=4,-$E94*$I94/12*0,IF($J94=5,-$E94*$I94/12*1,IF($J94=6,-$E94*$I94/12*2,IF($J94&gt;=7,-$E94*$I94/12*3,0))))))</f>
        <v>0</v>
      </c>
      <c r="CZ94" s="1807">
        <f t="shared" ref="CZ94" si="1069">IF($H94&lt;&gt;DB$5,0,IF(DB94&lt;0,IF(OR($J94=1,$J94=2,$J94=3,$J94=4,$J94=5,$J94=6,$J94=7),-$E94*$I94/12*3,IF($J94=8,-$E94*$I94/12*2,IF($J94=9,-$E94*$I94/12*1,0)))))+IF(CW$5&lt;&gt;$H94,0,IF(CW94&lt;0,IF($J94=7,-$E94*$I94/12*0,IF($J94=8,-$E94*$I94/12*1,IF($J94=9,-$E94*$I94/12*2,IF($J94&gt;=10,-$E94*$I94/12*3,0))))))</f>
        <v>0</v>
      </c>
      <c r="DA94" s="1806">
        <f t="shared" ref="DA94" si="1070">IF($H94&lt;&gt;DB$5,0,IF(DB94&lt;0,IF(OR($J94=1,$J94=2,$J94=3,$J94=4,$J94=5,$J94=6,$J94=7,$J94=8,$J94=9,$J94=10),-$E94*$I94/12*3,IF($J94=11,-$E94*$I94/12*2,IF($J94=12,-$E94*$I94/12*1,0)))))+IF(CW$5&lt;&gt;$H94,0,IF(CW94&lt;0,IF($J94=10,-$E94*$I94/12*0,IF($J94=11,-$E94*$I94/12*1,IF($J94=12,-$E94*$I94/12*2,0)))))</f>
        <v>0</v>
      </c>
      <c r="DB94" s="1791">
        <f t="shared" ref="DB94" si="1071">IF(AND(CW94&lt;&gt;0,CW$5=$H94),-$I94*$E94-CW94,IF(DB$5=$H94,-$I94*$E94*(12-$J94+1)/12,0))</f>
        <v>0</v>
      </c>
      <c r="DC94" s="1808">
        <f t="shared" ref="DC94" si="1072">IF($H94&lt;&gt;DG$5,0,IF(DG94&lt;0,IF($J94=1,-$E94*$I94/12*3,IF($J94=2,-$E94*$I94/12*2,IF($J94=3,-$E94*$I94/12*1,0)))))+IF(DB$5&lt;&gt;$H94,0,IF(DB94&lt;0,IF($J94=1,-$E94*$I94/12*0,IF($J94=2,-$E94*$I94/12*1,IF($J94=3,-$E94*$I94/12*2,IF($J94&gt;=4,-$E94*$I94/12*3,0))))))</f>
        <v>0</v>
      </c>
      <c r="DD94" s="1807">
        <f t="shared" ref="DD94" si="1073">IF($H94&lt;&gt;DG$5,0,IF(DG94&lt;0,IF(OR($J94=1,$J94=2,$J94=3,$J94=4),-$E94*$I94/12*3,IF($J94=5,-$E94*$I94/12*2,IF($J94=6,-$E94*$I94/12*1,0)))))+IF(DB$5&lt;&gt;$H94,0,IF(DB94&lt;0,IF($J94=4,-$E94*$I94/12*0,IF($J94=5,-$E94*$I94/12*1,IF($J94=6,-$E94*$I94/12*2,IF($J94&gt;=7,-$E94*$I94/12*3,0))))))</f>
        <v>0</v>
      </c>
      <c r="DE94" s="1807">
        <f t="shared" ref="DE94" si="1074">IF($H94&lt;&gt;DG$5,0,IF(DG94&lt;0,IF(OR($J94=1,$J94=2,$J94=3,$J94=4,$J94=5,$J94=6,$J94=7),-$E94*$I94/12*3,IF($J94=8,-$E94*$I94/12*2,IF($J94=9,-$E94*$I94/12*1,0)))))+IF(DB$5&lt;&gt;$H94,0,IF(DB94&lt;0,IF($J94=7,-$E94*$I94/12*0,IF($J94=8,-$E94*$I94/12*1,IF($J94=9,-$E94*$I94/12*2,IF($J94&gt;=10,-$E94*$I94/12*3,0))))))</f>
        <v>0</v>
      </c>
      <c r="DF94" s="1806">
        <f t="shared" ref="DF94" si="1075">IF($H94&lt;&gt;DG$5,0,IF(DG94&lt;0,IF(OR($J94=1,$J94=2,$J94=3,$J94=4,$J94=5,$J94=6,$J94=7,$J94=8,$J94=9,$J94=10),-$E94*$I94/12*3,IF($J94=11,-$E94*$I94/12*2,IF($J94=12,-$E94*$I94/12*1,0)))))+IF(DB$5&lt;&gt;$H94,0,IF(DB94&lt;0,IF($J94=10,-$E94*$I94/12*0,IF($J94=11,-$E94*$I94/12*1,IF($J94=12,-$E94*$I94/12*2,0)))))</f>
        <v>0</v>
      </c>
      <c r="DG94" s="1791">
        <f t="shared" ref="DG94" si="1076">IF(AND(DB94&lt;&gt;0,DB$5=$H94),-$I94*$E94-DB94,IF(DG$5=$H94,-$I94*$E94*(12-$J94+1)/12,0))</f>
        <v>0</v>
      </c>
      <c r="DH94" s="1808">
        <f t="shared" ref="DH94" si="1077">IF($H94&lt;&gt;DL$5,0,IF(DL94&lt;0,IF($J94=1,-$E94*$I94/12*3,IF($J94=2,-$E94*$I94/12*2,IF($J94=3,-$E94*$I94/12*1,0)))))+IF(DG$5&lt;&gt;$H94,0,IF(DG94&lt;0,IF($J94=1,-$E94*$I94/12*0,IF($J94=2,-$E94*$I94/12*1,IF($J94=3,-$E94*$I94/12*2,IF($J94&gt;=4,-$E94*$I94/12*3,0))))))</f>
        <v>0</v>
      </c>
      <c r="DI94" s="1807">
        <f t="shared" ref="DI94" si="1078">IF($H94&lt;&gt;DL$5,0,IF(DL94&lt;0,IF(OR($J94=1,$J94=2,$J94=3,$J94=4),-$E94*$I94/12*3,IF($J94=5,-$E94*$I94/12*2,IF($J94=6,-$E94*$I94/12*1,0)))))+IF(DG$5&lt;&gt;$H94,0,IF(DG94&lt;0,IF($J94=4,-$E94*$I94/12*0,IF($J94=5,-$E94*$I94/12*1,IF($J94=6,-$E94*$I94/12*2,IF($J94&gt;=7,-$E94*$I94/12*3,0))))))</f>
        <v>0</v>
      </c>
      <c r="DJ94" s="1807">
        <f t="shared" ref="DJ94" si="1079">IF($H94&lt;&gt;DL$5,0,IF(DL94&lt;0,IF(OR($J94=1,$J94=2,$J94=3,$J94=4,$J94=5,$J94=6,$J94=7),-$E94*$I94/12*3,IF($J94=8,-$E94*$I94/12*2,IF($J94=9,-$E94*$I94/12*1,0)))))+IF(DG$5&lt;&gt;$H94,0,IF(DG94&lt;0,IF($J94=7,-$E94*$I94/12*0,IF($J94=8,-$E94*$I94/12*1,IF($J94=9,-$E94*$I94/12*2,IF($J94&gt;=10,-$E94*$I94/12*3,0))))))</f>
        <v>0</v>
      </c>
      <c r="DK94" s="1806">
        <f t="shared" ref="DK94" si="1080">IF($H94&lt;&gt;DL$5,0,IF(DL94&lt;0,IF(OR($J94=1,$J94=2,$J94=3,$J94=4,$J94=5,$J94=6,$J94=7,$J94=8,$J94=9,$J94=10),-$E94*$I94/12*3,IF($J94=11,-$E94*$I94/12*2,IF($J94=12,-$E94*$I94/12*1,0)))))+IF(DG$5&lt;&gt;$H94,0,IF(DG94&lt;0,IF($J94=10,-$E94*$I94/12*0,IF($J94=11,-$E94*$I94/12*1,IF($J94=12,-$E94*$I94/12*2,0)))))</f>
        <v>0</v>
      </c>
      <c r="DL94" s="1791">
        <f t="shared" ref="DL94" si="1081">IF(AND(DG94&lt;&gt;0,DG$5=$H94),-$I94*$E94-DG94,IF(DL$5=$H94,-$I94*$E94*(12-$J94+1)/12,0))</f>
        <v>0</v>
      </c>
      <c r="DM94" s="1808">
        <f t="shared" ref="DM94" si="1082">IF($H94&lt;&gt;DQ$5,0,IF(DQ94&lt;0,IF($J94=1,-$E94*$I94/12*3,IF($J94=2,-$E94*$I94/12*2,IF($J94=3,-$E94*$I94/12*1,0)))))+IF(DL$5&lt;&gt;$H94,0,IF(DL94&lt;0,IF($J94=1,-$E94*$I94/12*0,IF($J94=2,-$E94*$I94/12*1,IF($J94=3,-$E94*$I94/12*2,IF($J94&gt;=4,-$E94*$I94/12*3,0))))))</f>
        <v>0</v>
      </c>
      <c r="DN94" s="1807">
        <f t="shared" ref="DN94" si="1083">IF($H94&lt;&gt;DQ$5,0,IF(DQ94&lt;0,IF(OR($J94=1,$J94=2,$J94=3,$J94=4),-$E94*$I94/12*3,IF($J94=5,-$E94*$I94/12*2,IF($J94=6,-$E94*$I94/12*1,0)))))+IF(DL$5&lt;&gt;$H94,0,IF(DL94&lt;0,IF($J94=4,-$E94*$I94/12*0,IF($J94=5,-$E94*$I94/12*1,IF($J94=6,-$E94*$I94/12*2,IF($J94&gt;=7,-$E94*$I94/12*3,0))))))</f>
        <v>0</v>
      </c>
      <c r="DO94" s="1807">
        <f t="shared" ref="DO94" si="1084">IF($H94&lt;&gt;DQ$5,0,IF(DQ94&lt;0,IF(OR($J94=1,$J94=2,$J94=3,$J94=4,$J94=5,$J94=6,$J94=7),-$E94*$I94/12*3,IF($J94=8,-$E94*$I94/12*2,IF($J94=9,-$E94*$I94/12*1,0)))))+IF(DL$5&lt;&gt;$H94,0,IF(DL94&lt;0,IF($J94=7,-$E94*$I94/12*0,IF($J94=8,-$E94*$I94/12*1,IF($J94=9,-$E94*$I94/12*2,IF($J94&gt;=10,-$E94*$I94/12*3,0))))))</f>
        <v>0</v>
      </c>
      <c r="DP94" s="1806">
        <f t="shared" ref="DP94" si="1085">IF($H94&lt;&gt;DQ$5,0,IF(DQ94&lt;0,IF(OR($J94=1,$J94=2,$J94=3,$J94=4,$J94=5,$J94=6,$J94=7,$J94=8,$J94=9,$J94=10),-$E94*$I94/12*3,IF($J94=11,-$E94*$I94/12*2,IF($J94=12,-$E94*$I94/12*1,0)))))+IF(DL$5&lt;&gt;$H94,0,IF(DL94&lt;0,IF($J94=10,-$E94*$I94/12*0,IF($J94=11,-$E94*$I94/12*1,IF($J94=12,-$E94*$I94/12*2,0)))))</f>
        <v>0</v>
      </c>
      <c r="DQ94" s="1791">
        <f t="shared" ref="DQ94" si="1086">IF(AND(DL94&lt;&gt;0,DL$5=$H94),-$I94*$E94-DL94,IF(DQ$5=$H94,-$I94*$E94*(12-$J94+1)/12,0))</f>
        <v>0</v>
      </c>
      <c r="DR94" s="1808">
        <f t="shared" ref="DR94" si="1087">IF($H94&lt;&gt;DV$5,0,IF(DV94&lt;0,IF($J94=1,-$E94*$I94/12*3,IF($J94=2,-$E94*$I94/12*2,IF($J94=3,-$E94*$I94/12*1,0)))))+IF(DQ$5&lt;&gt;$H94,0,IF(DQ94&lt;0,IF($J94=1,-$E94*$I94/12*0,IF($J94=2,-$E94*$I94/12*1,IF($J94=3,-$E94*$I94/12*2,IF($J94&gt;=4,-$E94*$I94/12*3,0))))))</f>
        <v>0</v>
      </c>
      <c r="DS94" s="1807">
        <f t="shared" ref="DS94" si="1088">IF($H94&lt;&gt;DV$5,0,IF(DV94&lt;0,IF(OR($J94=1,$J94=2,$J94=3,$J94=4),-$E94*$I94/12*3,IF($J94=5,-$E94*$I94/12*2,IF($J94=6,-$E94*$I94/12*1,0)))))+IF(DQ$5&lt;&gt;$H94,0,IF(DQ94&lt;0,IF($J94=4,-$E94*$I94/12*0,IF($J94=5,-$E94*$I94/12*1,IF($J94=6,-$E94*$I94/12*2,IF($J94&gt;=7,-$E94*$I94/12*3,0))))))</f>
        <v>0</v>
      </c>
      <c r="DT94" s="1807">
        <f t="shared" ref="DT94" si="1089">IF($H94&lt;&gt;DV$5,0,IF(DV94&lt;0,IF(OR($J94=1,$J94=2,$J94=3,$J94=4,$J94=5,$J94=6,$J94=7),-$E94*$I94/12*3,IF($J94=8,-$E94*$I94/12*2,IF($J94=9,-$E94*$I94/12*1,0)))))+IF(DQ$5&lt;&gt;$H94,0,IF(DQ94&lt;0,IF($J94=7,-$E94*$I94/12*0,IF($J94=8,-$E94*$I94/12*1,IF($J94=9,-$E94*$I94/12*2,IF($J94&gt;=10,-$E94*$I94/12*3,0))))))</f>
        <v>0</v>
      </c>
      <c r="DU94" s="1806">
        <f t="shared" ref="DU94" si="1090">IF($H94&lt;&gt;DV$5,0,IF(DV94&lt;0,IF(OR($J94=1,$J94=2,$J94=3,$J94=4,$J94=5,$J94=6,$J94=7,$J94=8,$J94=9,$J94=10),-$E94*$I94/12*3,IF($J94=11,-$E94*$I94/12*2,IF($J94=12,-$E94*$I94/12*1,0)))))+IF(DQ$5&lt;&gt;$H94,0,IF(DQ94&lt;0,IF($J94=10,-$E94*$I94/12*0,IF($J94=11,-$E94*$I94/12*1,IF($J94=12,-$E94*$I94/12*2,0)))))</f>
        <v>0</v>
      </c>
      <c r="DV94" s="1791">
        <f t="shared" ref="DV94" si="1091">IF(AND(DQ94&lt;&gt;0,DQ$5=$H94),-$I94*$E94-DQ94,IF(DV$5=$H94,-$I94*$E94*(12-$J94+1)/12,0))</f>
        <v>0</v>
      </c>
    </row>
    <row r="95" spans="1:126">
      <c r="A95" s="455"/>
      <c r="B95" s="455"/>
      <c r="C95" s="1723" t="s">
        <v>1024</v>
      </c>
      <c r="D95" s="94"/>
      <c r="E95" s="1817">
        <f t="shared" si="800"/>
        <v>450</v>
      </c>
      <c r="F95" s="1435">
        <v>450</v>
      </c>
      <c r="G95" s="1435">
        <v>0</v>
      </c>
      <c r="H95" s="1350">
        <v>2027</v>
      </c>
      <c r="I95" s="1337">
        <v>3.1199999999999999E-2</v>
      </c>
      <c r="J95" s="1343">
        <v>9</v>
      </c>
      <c r="K95" s="1792"/>
      <c r="L95" s="1810">
        <f t="shared" si="688"/>
        <v>0</v>
      </c>
      <c r="M95" s="1791">
        <f t="shared" si="688"/>
        <v>0</v>
      </c>
      <c r="N95" s="1808">
        <f t="shared" ref="N95" si="1092">IF(R95=0,0,IF(R95&lt;0,IF($J95=3,R95,IF($J95=2,R95,IF($J95=1,R95,0)))))</f>
        <v>0</v>
      </c>
      <c r="O95" s="1807">
        <f t="shared" ref="O95" si="1093">IF(R95=0,0,IF(R95&lt;0,IF($J95=6,R95,IF($J95=5,R95,IF($J95=4,R95,0)))))</f>
        <v>0</v>
      </c>
      <c r="P95" s="1807">
        <f t="shared" ref="P95" si="1094">IF(R95=0,0,IF(R95&lt;0,IF($J95=9,R95,IF($J95=8,R95,IF($J95=7,R95,0)))))</f>
        <v>0</v>
      </c>
      <c r="Q95" s="1806">
        <f t="shared" ref="Q95" si="1095">IF(R95=0,0,IF(R95&lt;0,IF($J95=12,R95,IF($J95=11,R95,IF($J95=10,R95,0)))))</f>
        <v>0</v>
      </c>
      <c r="R95" s="1791">
        <f t="shared" si="693"/>
        <v>0</v>
      </c>
      <c r="S95" s="1808">
        <f t="shared" ref="S95" si="1096">IF(W95=0,0,IF(W95&lt;0,IF($J95=3,W95,IF($J95=2,W95,IF($J95=1,W95,0)))))</f>
        <v>0</v>
      </c>
      <c r="T95" s="1807">
        <f t="shared" ref="T95" si="1097">IF(W95=0,0,IF(W95&lt;0,IF($J95=6,W95,IF($J95=5,W95,IF($J95=4,W95,0)))))</f>
        <v>0</v>
      </c>
      <c r="U95" s="1807">
        <f t="shared" ref="U95" si="1098">IF(W95=0,0,IF(W95&lt;0,IF($J95=9,W95,IF($J95=8,W95,IF($J95=7,W95,0)))))</f>
        <v>0</v>
      </c>
      <c r="V95" s="1806">
        <f t="shared" ref="V95" si="1099">IF(W95=0,0,IF(W95&lt;0,IF($J95=12,W95,IF($J95=11,W95,IF($J95=10,W95,0)))))</f>
        <v>0</v>
      </c>
      <c r="W95" s="1791">
        <f t="shared" si="698"/>
        <v>0</v>
      </c>
      <c r="X95" s="1808">
        <f t="shared" ref="X95" si="1100">IF(AB95=0,0,IF(AB95&lt;0,IF($J95=3,AB95,IF($J95=2,AB95,IF($J95=1,AB95,0)))))</f>
        <v>0</v>
      </c>
      <c r="Y95" s="1807">
        <f t="shared" ref="Y95" si="1101">IF(AB95=0,0,IF(AB95&lt;0,IF($J95=6,AB95,IF($J95=5,AB95,IF($J95=4,AB95,0)))))</f>
        <v>0</v>
      </c>
      <c r="Z95" s="1807">
        <f t="shared" ref="Z95" si="1102">IF(AB95=0,0,IF(AB95&lt;0,IF($J95=9,AB95,IF($J95=8,AB95,IF($J95=7,AB95,0)))))</f>
        <v>0</v>
      </c>
      <c r="AA95" s="1806">
        <f t="shared" ref="AA95" si="1103">IF(AB95=0,0,IF(AB95&lt;0,IF($J95=12,AB95,IF($J95=11,AB95,IF($J95=10,AB95,0)))))</f>
        <v>0</v>
      </c>
      <c r="AB95" s="1791">
        <f t="shared" si="703"/>
        <v>0</v>
      </c>
      <c r="AC95" s="1808">
        <f t="shared" ref="AC95" si="1104">IF(AG95=0,0,IF(AG95&lt;0,IF($J95=3,AG95,IF($J95=2,AG95,IF($J95=1,AG95,0)))))</f>
        <v>0</v>
      </c>
      <c r="AD95" s="1807">
        <f t="shared" ref="AD95" si="1105">IF(AG95=0,0,IF(AG95&lt;0,IF($J95=6,AG95,IF($J95=5,AG95,IF($J95=4,AG95,0)))))</f>
        <v>0</v>
      </c>
      <c r="AE95" s="1807">
        <f t="shared" ref="AE95" si="1106">IF(AG95=0,0,IF(AG95&lt;0,IF($J95=9,AG95,IF($J95=8,AG95,IF($J95=7,AG95,0)))))</f>
        <v>0</v>
      </c>
      <c r="AF95" s="1806">
        <f t="shared" ref="AF95" si="1107">IF(AG95=0,0,IF(AG95&lt;0,IF($J95=12,AG95,IF($J95=11,AG95,IF($J95=10,AG95,0)))))</f>
        <v>0</v>
      </c>
      <c r="AG95" s="1791">
        <f t="shared" si="708"/>
        <v>0</v>
      </c>
      <c r="AH95" s="1808">
        <f t="shared" ref="AH95" si="1108">IF(AL95=0,0,IF(AL95&lt;0,IF($J95=3,AL95,IF($J95=2,AL95,IF($J95=1,AL95,0)))))</f>
        <v>0</v>
      </c>
      <c r="AI95" s="1807">
        <f t="shared" ref="AI95" si="1109">IF(AL95=0,0,IF(AL95&lt;0,IF($J95=6,AL95,IF($J95=5,AL95,IF($J95=4,AL95,0)))))</f>
        <v>0</v>
      </c>
      <c r="AJ95" s="1807">
        <f t="shared" ref="AJ95" si="1110">IF(AL95=0,0,IF(AL95&lt;0,IF($J95=9,AL95,IF($J95=8,AL95,IF($J95=7,AL95,0)))))</f>
        <v>0</v>
      </c>
      <c r="AK95" s="1806">
        <f t="shared" ref="AK95" si="1111">IF(AL95=0,0,IF(AL95&lt;0,IF($J95=12,AL95,IF($J95=11,AL95,IF($J95=10,AL95,0)))))</f>
        <v>0</v>
      </c>
      <c r="AL95" s="1791">
        <f t="shared" si="713"/>
        <v>0</v>
      </c>
      <c r="AM95" s="1808">
        <f t="shared" ref="AM95" si="1112">IF(AQ95=0,0,IF(AQ95&lt;0,IF($J95=3,AQ95,IF($J95=2,AQ95,IF($J95=1,AQ95,0)))))</f>
        <v>0</v>
      </c>
      <c r="AN95" s="1807">
        <f t="shared" ref="AN95" si="1113">IF(AQ95=0,0,IF(AQ95&lt;0,IF($J95=6,AQ95,IF($J95=5,AQ95,IF($J95=4,AQ95,0)))))</f>
        <v>0</v>
      </c>
      <c r="AO95" s="1807">
        <f t="shared" ref="AO95" si="1114">IF(AQ95=0,0,IF(AQ95&lt;0,IF($J95=9,AQ95,IF($J95=8,AQ95,IF($J95=7,AQ95,0)))))</f>
        <v>0</v>
      </c>
      <c r="AP95" s="1806">
        <f t="shared" ref="AP95" si="1115">IF(AQ95=0,0,IF(AQ95&lt;0,IF($J95=12,AQ95,IF($J95=11,AQ95,IF($J95=10,AQ95,0)))))</f>
        <v>0</v>
      </c>
      <c r="AQ95" s="1791">
        <f t="shared" si="718"/>
        <v>0</v>
      </c>
      <c r="AR95" s="1808">
        <f t="shared" ref="AR95" si="1116">IF(AV95=0,0,IF(AV95&lt;0,IF($J95=3,AV95,IF($J95=2,AV95,IF($J95=1,AV95,0)))))</f>
        <v>0</v>
      </c>
      <c r="AS95" s="1807">
        <f t="shared" ref="AS95" si="1117">IF(AV95=0,0,IF(AV95&lt;0,IF($J95=6,AV95,IF($J95=5,AV95,IF($J95=4,AV95,0)))))</f>
        <v>0</v>
      </c>
      <c r="AT95" s="1807">
        <f t="shared" ref="AT95" si="1118">IF(AV95=0,0,IF(AV95&lt;0,IF($J95=9,AV95,IF($J95=8,AV95,IF($J95=7,AV95,0)))))</f>
        <v>0</v>
      </c>
      <c r="AU95" s="1806">
        <f t="shared" ref="AU95" si="1119">IF(AV95=0,0,IF(AV95&lt;0,IF($J95=12,AV95,IF($J95=11,AV95,IF($J95=10,AV95,0)))))</f>
        <v>0</v>
      </c>
      <c r="AV95" s="1791">
        <f t="shared" si="723"/>
        <v>0</v>
      </c>
      <c r="AW95" s="1808">
        <f t="shared" ref="AW95" si="1120">IF(BA95=0,0,IF(BA95&lt;0,IF($J95=3,BA95,IF($J95=2,BA95,IF($J95=1,BA95,0)))))</f>
        <v>0</v>
      </c>
      <c r="AX95" s="1807">
        <f t="shared" ref="AX95" si="1121">IF(BA95=0,0,IF(BA95&lt;0,IF($J95=6,BA95,IF($J95=5,BA95,IF($J95=4,BA95,0)))))</f>
        <v>0</v>
      </c>
      <c r="AY95" s="1807">
        <f t="shared" ref="AY95" si="1122">IF(BA95=0,0,IF(BA95&lt;0,IF($J95=9,BA95,IF($J95=8,BA95,IF($J95=7,BA95,0)))))</f>
        <v>0</v>
      </c>
      <c r="AZ95" s="1806">
        <f t="shared" ref="AZ95" si="1123">IF(BA95=0,0,IF(BA95&lt;0,IF($J95=12,BA95,IF($J95=11,BA95,IF($J95=10,BA95,0)))))</f>
        <v>0</v>
      </c>
      <c r="BA95" s="1791">
        <f t="shared" si="728"/>
        <v>0</v>
      </c>
      <c r="BB95" s="1808">
        <f t="shared" ref="BB95" si="1124">IF(BF95=0,0,IF(BF95&lt;0,IF($J95=3,BF95,IF($J95=2,BF95,IF($J95=1,BF95,0)))))</f>
        <v>0</v>
      </c>
      <c r="BC95" s="1807">
        <f t="shared" ref="BC95" si="1125">IF(BF95=0,0,IF(BF95&lt;0,IF($J95=6,BF95,IF($J95=5,BF95,IF($J95=4,BF95,0)))))</f>
        <v>0</v>
      </c>
      <c r="BD95" s="1807">
        <f t="shared" ref="BD95" si="1126">IF(BF95=0,0,IF(BF95&lt;0,IF($J95=9,BF95,IF($J95=8,BF95,IF($J95=7,BF95,0)))))</f>
        <v>0</v>
      </c>
      <c r="BE95" s="1806">
        <f t="shared" ref="BE95" si="1127">IF(BF95=0,0,IF(BF95&lt;0,IF($J95=12,BF95,IF($J95=11,BF95,IF($J95=10,BF95,0)))))</f>
        <v>0</v>
      </c>
      <c r="BF95" s="1791">
        <f t="shared" si="733"/>
        <v>0</v>
      </c>
      <c r="BG95" s="1808">
        <f t="shared" ref="BG95" si="1128">IF(BK95=0,0,IF(BK95&lt;0,IF($J95=3,BK95,IF($J95=2,BK95,IF($J95=1,BK95,0)))))</f>
        <v>0</v>
      </c>
      <c r="BH95" s="1807">
        <f t="shared" ref="BH95" si="1129">IF(BK95=0,0,IF(BK95&lt;0,IF($J95=6,BK95,IF($J95=5,BK95,IF($J95=4,BK95,0)))))</f>
        <v>0</v>
      </c>
      <c r="BI95" s="1807">
        <f t="shared" ref="BI95" si="1130">IF(BK95=0,0,IF(BK95&lt;0,IF($J95=9,BK95,IF($J95=8,BK95,IF($J95=7,BK95,0)))))</f>
        <v>0</v>
      </c>
      <c r="BJ95" s="1806">
        <f t="shared" ref="BJ95" si="1131">IF(BK95=0,0,IF(BK95&lt;0,IF($J95=12,BK95,IF($J95=11,BK95,IF($J95=10,BK95,0)))))</f>
        <v>0</v>
      </c>
      <c r="BK95" s="1791">
        <f t="shared" si="738"/>
        <v>0</v>
      </c>
      <c r="BL95" s="1808">
        <f t="shared" ref="BL95" si="1132">IF(BP95=0,0,IF(BP95&lt;0,IF($J95=3,BP95,IF($J95=2,BP95,IF($J95=1,BP95,0)))))</f>
        <v>0</v>
      </c>
      <c r="BM95" s="1807">
        <f t="shared" ref="BM95" si="1133">IF(BP95=0,0,IF(BP95&lt;0,IF($J95=6,BP95,IF($J95=5,BP95,IF($J95=4,BP95,0)))))</f>
        <v>0</v>
      </c>
      <c r="BN95" s="1807">
        <f t="shared" ref="BN95" si="1134">IF(BP95=0,0,IF(BP95&lt;0,IF($J95=9,BP95,IF($J95=8,BP95,IF($J95=7,BP95,0)))))</f>
        <v>0</v>
      </c>
      <c r="BO95" s="1806">
        <f t="shared" ref="BO95" si="1135">IF(BP95=0,0,IF(BP95&lt;0,IF($J95=12,BP95,IF($J95=11,BP95,IF($J95=10,BP95,0)))))</f>
        <v>0</v>
      </c>
      <c r="BP95" s="1791">
        <f t="shared" si="743"/>
        <v>0</v>
      </c>
      <c r="BQ95" s="1827"/>
      <c r="BR95" s="1791">
        <f t="shared" ref="BR95" si="1136">IF(AND(BQ95&lt;&gt;0,BQ$5=$H95),-$I95*$E95-BQ95,IF(BR$5=$H95,-$I95*$E95*(12-$J95+1)/12,0))</f>
        <v>0</v>
      </c>
      <c r="BS95" s="1791">
        <f t="shared" ref="BS95" si="1137">IF(AND(BR95&lt;&gt;0,BR$5=$H95),-$I95*$E95-BR95,IF(BS$5=$H95,-$I95*$E95*(12-$J95+1)/12,0))</f>
        <v>0</v>
      </c>
      <c r="BT95" s="1808">
        <f t="shared" ref="BT95" si="1138">IF($H95&lt;&gt;BX$5,0,IF(BX95&lt;0,IF($J95=1,-$E95*$I95/12*3,IF($J95=2,-$E95*$I95/12*2,IF($J95=3,-$E95*$I95/12*1,0)))))+IF(BS$5&lt;&gt;$H95,0,IF(BS95&lt;0,IF($J95=1,-$E95*$I95/12*0,IF($J95=2,-$E95*$I95/12*1,IF($J95=3,-$E95*$I95/12*2,IF($J95&gt;=4,-$E95*$I95/12*3,0))))))</f>
        <v>0</v>
      </c>
      <c r="BU95" s="1807">
        <f t="shared" ref="BU95" si="1139">IF($H95&lt;&gt;BX$5,0,IF(BX95&lt;0,IF(OR($J95=1,$J95=2,$J95=3,$J95=4),-$E95*$I95/12*3,IF($J95=5,-$E95*$I95/12*2,IF($J95=6,-$E95*$I95/12*1,0)))))+IF(BS$5&lt;&gt;$H95,0,IF(BS95&lt;0,IF($J95=4,-$E95*$I95/12*0,IF($J95=5,-$E95*$I95/12*1,IF($J95=6,-$E95*$I95/12*2,IF($J95&gt;=7,-$E95*$I95/12*3,0))))))</f>
        <v>0</v>
      </c>
      <c r="BV95" s="1807">
        <f t="shared" ref="BV95" si="1140">IF($H95&lt;&gt;BX$5,0,IF(BX95&lt;0,IF(OR($J95=1,$J95=2,$J95=3,$J95=4,$J95=5,$J95=6,$J95=7),-$E95*$I95/12*3,IF($J95=8,-$E95*$I95/12*2,IF($J95=9,-$E95*$I95/12*1,0)))))+IF(BS$5&lt;&gt;$H95,0,IF(BS95&lt;0,IF($J95=7,-$E95*$I95/12*0,IF($J95=8,-$E95*$I95/12*1,IF($J95=9,-$E95*$I95/12*2,IF($J95&gt;=10,-$E95*$I95/12*3,0))))))</f>
        <v>0</v>
      </c>
      <c r="BW95" s="1806">
        <f t="shared" ref="BW95" si="1141">IF($H95&lt;&gt;BX$5,0,IF(BX95&lt;0,IF(OR($J95=1,$J95=2,$J95=3,$J95=4,$J95=5,$J95=6,$J95=7,$J95=8,$J95=9,$J95=10),-$E95*$I95/12*3,IF($J95=11,-$E95*$I95/12*2,IF($J95=12,-$E95*$I95/12*1,0)))))+IF(BS$5&lt;&gt;$H95,0,IF(BS95&lt;0,IF($J95=10,-$E95*$I95/12*0,IF($J95=11,-$E95*$I95/12*1,IF($J95=12,-$E95*$I95/12*2,0)))))</f>
        <v>0</v>
      </c>
      <c r="BX95" s="1791">
        <f t="shared" ref="BX95" si="1142">IF(AND(BS95&lt;&gt;0,BS$5=$H95),-$I95*$E95-BS95,IF(BX$5=$H95,-$I95*$E95*(12-$J95+1)/12,0))</f>
        <v>0</v>
      </c>
      <c r="BY95" s="1808">
        <f t="shared" ref="BY95" si="1143">IF($H95&lt;&gt;CC$5,0,IF(CC95&lt;0,IF($J95=1,-$E95*$I95/12*3,IF($J95=2,-$E95*$I95/12*2,IF($J95=3,-$E95*$I95/12*1,0)))))+IF(BX$5&lt;&gt;$H95,0,IF(BX95&lt;0,IF($J95=1,-$E95*$I95/12*0,IF($J95=2,-$E95*$I95/12*1,IF($J95=3,-$E95*$I95/12*2,IF($J95&gt;=4,-$E95*$I95/12*3,0))))))</f>
        <v>0</v>
      </c>
      <c r="BZ95" s="1807">
        <f t="shared" ref="BZ95" si="1144">IF($H95&lt;&gt;CC$5,0,IF(CC95&lt;0,IF(OR($J95=1,$J95=2,$J95=3,$J95=4),-$E95*$I95/12*3,IF($J95=5,-$E95*$I95/12*2,IF($J95=6,-$E95*$I95/12*1,0)))))+IF(BX$5&lt;&gt;$H95,0,IF(BX95&lt;0,IF($J95=4,-$E95*$I95/12*0,IF($J95=5,-$E95*$I95/12*1,IF($J95=6,-$E95*$I95/12*2,IF($J95&gt;=7,-$E95*$I95/12*3,0))))))</f>
        <v>0</v>
      </c>
      <c r="CA95" s="1807">
        <f t="shared" ref="CA95" si="1145">IF($H95&lt;&gt;CC$5,0,IF(CC95&lt;0,IF(OR($J95=1,$J95=2,$J95=3,$J95=4,$J95=5,$J95=6,$J95=7),-$E95*$I95/12*3,IF($J95=8,-$E95*$I95/12*2,IF($J95=9,-$E95*$I95/12*1,0)))))+IF(BX$5&lt;&gt;$H95,0,IF(BX95&lt;0,IF($J95=7,-$E95*$I95/12*0,IF($J95=8,-$E95*$I95/12*1,IF($J95=9,-$E95*$I95/12*2,IF($J95&gt;=10,-$E95*$I95/12*3,0))))))</f>
        <v>0</v>
      </c>
      <c r="CB95" s="1806">
        <f t="shared" ref="CB95" si="1146">IF($H95&lt;&gt;CC$5,0,IF(CC95&lt;0,IF(OR($J95=1,$J95=2,$J95=3,$J95=4,$J95=5,$J95=6,$J95=7,$J95=8,$J95=9,$J95=10),-$E95*$I95/12*3,IF($J95=11,-$E95*$I95/12*2,IF($J95=12,-$E95*$I95/12*1,0)))))+IF(BX$5&lt;&gt;$H95,0,IF(BX95&lt;0,IF($J95=10,-$E95*$I95/12*0,IF($J95=11,-$E95*$I95/12*1,IF($J95=12,-$E95*$I95/12*2,0)))))</f>
        <v>0</v>
      </c>
      <c r="CC95" s="1791">
        <f t="shared" ref="CC95" si="1147">IF(AND(BX95&lt;&gt;0,BX$5=$H95),-$I95*$E95-BX95,IF(CC$5=$H95,-$I95*$E95*(12-$J95+1)/12,0))</f>
        <v>0</v>
      </c>
      <c r="CD95" s="1808">
        <f t="shared" ref="CD95" si="1148">IF($H95&lt;&gt;CH$5,0,IF(CH95&lt;0,IF($J95=1,-$E95*$I95/12*3,IF($J95=2,-$E95*$I95/12*2,IF($J95=3,-$E95*$I95/12*1,0)))))+IF(CC$5&lt;&gt;$H95,0,IF(CC95&lt;0,IF($J95=1,-$E95*$I95/12*0,IF($J95=2,-$E95*$I95/12*1,IF($J95=3,-$E95*$I95/12*2,IF($J95&gt;=4,-$E95*$I95/12*3,0))))))</f>
        <v>0</v>
      </c>
      <c r="CE95" s="1807">
        <f t="shared" ref="CE95" si="1149">IF($H95&lt;&gt;CH$5,0,IF(CH95&lt;0,IF(OR($J95=1,$J95=2,$J95=3,$J95=4),-$E95*$I95/12*3,IF($J95=5,-$E95*$I95/12*2,IF($J95=6,-$E95*$I95/12*1,0)))))+IF(CC$5&lt;&gt;$H95,0,IF(CC95&lt;0,IF($J95=4,-$E95*$I95/12*0,IF($J95=5,-$E95*$I95/12*1,IF($J95=6,-$E95*$I95/12*2,IF($J95&gt;=7,-$E95*$I95/12*3,0))))))</f>
        <v>0</v>
      </c>
      <c r="CF95" s="1807">
        <f t="shared" ref="CF95" si="1150">IF($H95&lt;&gt;CH$5,0,IF(CH95&lt;0,IF(OR($J95=1,$J95=2,$J95=3,$J95=4,$J95=5,$J95=6,$J95=7),-$E95*$I95/12*3,IF($J95=8,-$E95*$I95/12*2,IF($J95=9,-$E95*$I95/12*1,0)))))+IF(CC$5&lt;&gt;$H95,0,IF(CC95&lt;0,IF($J95=7,-$E95*$I95/12*0,IF($J95=8,-$E95*$I95/12*1,IF($J95=9,-$E95*$I95/12*2,IF($J95&gt;=10,-$E95*$I95/12*3,0))))))</f>
        <v>0</v>
      </c>
      <c r="CG95" s="1806">
        <f t="shared" ref="CG95" si="1151">IF($H95&lt;&gt;CH$5,0,IF(CH95&lt;0,IF(OR($J95=1,$J95=2,$J95=3,$J95=4,$J95=5,$J95=6,$J95=7,$J95=8,$J95=9,$J95=10),-$E95*$I95/12*3,IF($J95=11,-$E95*$I95/12*2,IF($J95=12,-$E95*$I95/12*1,0)))))+IF(CC$5&lt;&gt;$H95,0,IF(CC95&lt;0,IF($J95=10,-$E95*$I95/12*0,IF($J95=11,-$E95*$I95/12*1,IF($J95=12,-$E95*$I95/12*2,0)))))</f>
        <v>0</v>
      </c>
      <c r="CH95" s="1791">
        <f t="shared" ref="CH95" si="1152">IF(AND(CC95&lt;&gt;0,CC$5=$H95),-$I95*$E95-CC95,IF(CH$5=$H95,-$I95*$E95*(12-$J95+1)/12,0))</f>
        <v>0</v>
      </c>
      <c r="CI95" s="1808">
        <f t="shared" ref="CI95" si="1153">IF($H95&lt;&gt;CM$5,0,IF(CM95&lt;0,IF($J95=1,-$E95*$I95/12*3,IF($J95=2,-$E95*$I95/12*2,IF($J95=3,-$E95*$I95/12*1,0)))))+IF(CH$5&lt;&gt;$H95,0,IF(CH95&lt;0,IF($J95=1,-$E95*$I95/12*0,IF($J95=2,-$E95*$I95/12*1,IF($J95=3,-$E95*$I95/12*2,IF($J95&gt;=4,-$E95*$I95/12*3,0))))))</f>
        <v>0</v>
      </c>
      <c r="CJ95" s="1807">
        <f t="shared" ref="CJ95" si="1154">IF($H95&lt;&gt;CM$5,0,IF(CM95&lt;0,IF(OR($J95=1,$J95=2,$J95=3,$J95=4),-$E95*$I95/12*3,IF($J95=5,-$E95*$I95/12*2,IF($J95=6,-$E95*$I95/12*1,0)))))+IF(CH$5&lt;&gt;$H95,0,IF(CH95&lt;0,IF($J95=4,-$E95*$I95/12*0,IF($J95=5,-$E95*$I95/12*1,IF($J95=6,-$E95*$I95/12*2,IF($J95&gt;=7,-$E95*$I95/12*3,0))))))</f>
        <v>0</v>
      </c>
      <c r="CK95" s="1807">
        <f t="shared" ref="CK95" si="1155">IF($H95&lt;&gt;CM$5,0,IF(CM95&lt;0,IF(OR($J95=1,$J95=2,$J95=3,$J95=4,$J95=5,$J95=6,$J95=7),-$E95*$I95/12*3,IF($J95=8,-$E95*$I95/12*2,IF($J95=9,-$E95*$I95/12*1,0)))))+IF(CH$5&lt;&gt;$H95,0,IF(CH95&lt;0,IF($J95=7,-$E95*$I95/12*0,IF($J95=8,-$E95*$I95/12*1,IF($J95=9,-$E95*$I95/12*2,IF($J95&gt;=10,-$E95*$I95/12*3,0))))))</f>
        <v>0</v>
      </c>
      <c r="CL95" s="1806">
        <f t="shared" ref="CL95" si="1156">IF($H95&lt;&gt;CM$5,0,IF(CM95&lt;0,IF(OR($J95=1,$J95=2,$J95=3,$J95=4,$J95=5,$J95=6,$J95=7,$J95=8,$J95=9,$J95=10),-$E95*$I95/12*3,IF($J95=11,-$E95*$I95/12*2,IF($J95=12,-$E95*$I95/12*1,0)))))+IF(CH$5&lt;&gt;$H95,0,IF(CH95&lt;0,IF($J95=10,-$E95*$I95/12*0,IF($J95=11,-$E95*$I95/12*1,IF($J95=12,-$E95*$I95/12*2,0)))))</f>
        <v>0</v>
      </c>
      <c r="CM95" s="1791">
        <f t="shared" ref="CM95" si="1157">IF(AND(CH95&lt;&gt;0,CH$5=$H95),-$I95*$E95-CH95,IF(CM$5=$H95,-$I95*$E95*(12-$J95+1)/12,0))</f>
        <v>0</v>
      </c>
      <c r="CN95" s="1808">
        <f t="shared" ref="CN95" si="1158">IF($H95&lt;&gt;CR$5,0,IF(CR95&lt;0,IF($J95=1,-$E95*$I95/12*3,IF($J95=2,-$E95*$I95/12*2,IF($J95=3,-$E95*$I95/12*1,0)))))+IF(CM$5&lt;&gt;$H95,0,IF(CM95&lt;0,IF($J95=1,-$E95*$I95/12*0,IF($J95=2,-$E95*$I95/12*1,IF($J95=3,-$E95*$I95/12*2,IF($J95&gt;=4,-$E95*$I95/12*3,0))))))</f>
        <v>0</v>
      </c>
      <c r="CO95" s="1807">
        <f t="shared" ref="CO95" si="1159">IF($H95&lt;&gt;CR$5,0,IF(CR95&lt;0,IF(OR($J95=1,$J95=2,$J95=3,$J95=4),-$E95*$I95/12*3,IF($J95=5,-$E95*$I95/12*2,IF($J95=6,-$E95*$I95/12*1,0)))))+IF(CM$5&lt;&gt;$H95,0,IF(CM95&lt;0,IF($J95=4,-$E95*$I95/12*0,IF($J95=5,-$E95*$I95/12*1,IF($J95=6,-$E95*$I95/12*2,IF($J95&gt;=7,-$E95*$I95/12*3,0))))))</f>
        <v>0</v>
      </c>
      <c r="CP95" s="1807">
        <f t="shared" ref="CP95" si="1160">IF($H95&lt;&gt;CR$5,0,IF(CR95&lt;0,IF(OR($J95=1,$J95=2,$J95=3,$J95=4,$J95=5,$J95=6,$J95=7),-$E95*$I95/12*3,IF($J95=8,-$E95*$I95/12*2,IF($J95=9,-$E95*$I95/12*1,0)))))+IF(CM$5&lt;&gt;$H95,0,IF(CM95&lt;0,IF($J95=7,-$E95*$I95/12*0,IF($J95=8,-$E95*$I95/12*1,IF($J95=9,-$E95*$I95/12*2,IF($J95&gt;=10,-$E95*$I95/12*3,0))))))</f>
        <v>0</v>
      </c>
      <c r="CQ95" s="1806">
        <f t="shared" ref="CQ95" si="1161">IF($H95&lt;&gt;CR$5,0,IF(CR95&lt;0,IF(OR($J95=1,$J95=2,$J95=3,$J95=4,$J95=5,$J95=6,$J95=7,$J95=8,$J95=9,$J95=10),-$E95*$I95/12*3,IF($J95=11,-$E95*$I95/12*2,IF($J95=12,-$E95*$I95/12*1,0)))))+IF(CM$5&lt;&gt;$H95,0,IF(CM95&lt;0,IF($J95=10,-$E95*$I95/12*0,IF($J95=11,-$E95*$I95/12*1,IF($J95=12,-$E95*$I95/12*2,0)))))</f>
        <v>0</v>
      </c>
      <c r="CR95" s="1791">
        <f t="shared" ref="CR95" si="1162">IF(AND(CM95&lt;&gt;0,CM$5=$H95),-$I95*$E95-CM95,IF(CR$5=$H95,-$I95*$E95*(12-$J95+1)/12,0))</f>
        <v>0</v>
      </c>
      <c r="CS95" s="1808">
        <f t="shared" ref="CS95" si="1163">IF($H95&lt;&gt;CW$5,0,IF(CW95&lt;0,IF($J95=1,-$E95*$I95/12*3,IF($J95=2,-$E95*$I95/12*2,IF($J95=3,-$E95*$I95/12*1,0)))))+IF(CR$5&lt;&gt;$H95,0,IF(CR95&lt;0,IF($J95=1,-$E95*$I95/12*0,IF($J95=2,-$E95*$I95/12*1,IF($J95=3,-$E95*$I95/12*2,IF($J95&gt;=4,-$E95*$I95/12*3,0))))))</f>
        <v>0</v>
      </c>
      <c r="CT95" s="1807">
        <f t="shared" ref="CT95" si="1164">IF($H95&lt;&gt;CW$5,0,IF(CW95&lt;0,IF(OR($J95=1,$J95=2,$J95=3,$J95=4),-$E95*$I95/12*3,IF($J95=5,-$E95*$I95/12*2,IF($J95=6,-$E95*$I95/12*1,0)))))+IF(CR$5&lt;&gt;$H95,0,IF(CR95&lt;0,IF($J95=4,-$E95*$I95/12*0,IF($J95=5,-$E95*$I95/12*1,IF($J95=6,-$E95*$I95/12*2,IF($J95&gt;=7,-$E95*$I95/12*3,0))))))</f>
        <v>0</v>
      </c>
      <c r="CU95" s="1807">
        <f t="shared" ref="CU95" si="1165">IF($H95&lt;&gt;CW$5,0,IF(CW95&lt;0,IF(OR($J95=1,$J95=2,$J95=3,$J95=4,$J95=5,$J95=6,$J95=7),-$E95*$I95/12*3,IF($J95=8,-$E95*$I95/12*2,IF($J95=9,-$E95*$I95/12*1,0)))))+IF(CR$5&lt;&gt;$H95,0,IF(CR95&lt;0,IF($J95=7,-$E95*$I95/12*0,IF($J95=8,-$E95*$I95/12*1,IF($J95=9,-$E95*$I95/12*2,IF($J95&gt;=10,-$E95*$I95/12*3,0))))))</f>
        <v>0</v>
      </c>
      <c r="CV95" s="1806">
        <f t="shared" ref="CV95" si="1166">IF($H95&lt;&gt;CW$5,0,IF(CW95&lt;0,IF(OR($J95=1,$J95=2,$J95=3,$J95=4,$J95=5,$J95=6,$J95=7,$J95=8,$J95=9,$J95=10),-$E95*$I95/12*3,IF($J95=11,-$E95*$I95/12*2,IF($J95=12,-$E95*$I95/12*1,0)))))+IF(CR$5&lt;&gt;$H95,0,IF(CR95&lt;0,IF($J95=10,-$E95*$I95/12*0,IF($J95=11,-$E95*$I95/12*1,IF($J95=12,-$E95*$I95/12*2,0)))))</f>
        <v>0</v>
      </c>
      <c r="CW95" s="1791">
        <f t="shared" ref="CW95" si="1167">IF(AND(CR95&lt;&gt;0,CR$5=$H95),-$I95*$E95-CR95,IF(CW$5=$H95,-$I95*$E95*(12-$J95+1)/12,0))</f>
        <v>0</v>
      </c>
      <c r="CX95" s="1808">
        <f t="shared" ref="CX95" si="1168">IF($H95&lt;&gt;DB$5,0,IF(DB95&lt;0,IF($J95=1,-$E95*$I95/12*3,IF($J95=2,-$E95*$I95/12*2,IF($J95=3,-$E95*$I95/12*1,0)))))+IF(CW$5&lt;&gt;$H95,0,IF(CW95&lt;0,IF($J95=1,-$E95*$I95/12*0,IF($J95=2,-$E95*$I95/12*1,IF($J95=3,-$E95*$I95/12*2,IF($J95&gt;=4,-$E95*$I95/12*3,0))))))</f>
        <v>0</v>
      </c>
      <c r="CY95" s="1807">
        <f t="shared" ref="CY95" si="1169">IF($H95&lt;&gt;DB$5,0,IF(DB95&lt;0,IF(OR($J95=1,$J95=2,$J95=3,$J95=4),-$E95*$I95/12*3,IF($J95=5,-$E95*$I95/12*2,IF($J95=6,-$E95*$I95/12*1,0)))))+IF(CW$5&lt;&gt;$H95,0,IF(CW95&lt;0,IF($J95=4,-$E95*$I95/12*0,IF($J95=5,-$E95*$I95/12*1,IF($J95=6,-$E95*$I95/12*2,IF($J95&gt;=7,-$E95*$I95/12*3,0))))))</f>
        <v>0</v>
      </c>
      <c r="CZ95" s="1807">
        <f t="shared" ref="CZ95" si="1170">IF($H95&lt;&gt;DB$5,0,IF(DB95&lt;0,IF(OR($J95=1,$J95=2,$J95=3,$J95=4,$J95=5,$J95=6,$J95=7),-$E95*$I95/12*3,IF($J95=8,-$E95*$I95/12*2,IF($J95=9,-$E95*$I95/12*1,0)))))+IF(CW$5&lt;&gt;$H95,0,IF(CW95&lt;0,IF($J95=7,-$E95*$I95/12*0,IF($J95=8,-$E95*$I95/12*1,IF($J95=9,-$E95*$I95/12*2,IF($J95&gt;=10,-$E95*$I95/12*3,0))))))</f>
        <v>0</v>
      </c>
      <c r="DA95" s="1806">
        <f t="shared" ref="DA95" si="1171">IF($H95&lt;&gt;DB$5,0,IF(DB95&lt;0,IF(OR($J95=1,$J95=2,$J95=3,$J95=4,$J95=5,$J95=6,$J95=7,$J95=8,$J95=9,$J95=10),-$E95*$I95/12*3,IF($J95=11,-$E95*$I95/12*2,IF($J95=12,-$E95*$I95/12*1,0)))))+IF(CW$5&lt;&gt;$H95,0,IF(CW95&lt;0,IF($J95=10,-$E95*$I95/12*0,IF($J95=11,-$E95*$I95/12*1,IF($J95=12,-$E95*$I95/12*2,0)))))</f>
        <v>0</v>
      </c>
      <c r="DB95" s="1791">
        <f t="shared" ref="DB95" si="1172">IF(AND(CW95&lt;&gt;0,CW$5=$H95),-$I95*$E95-CW95,IF(DB$5=$H95,-$I95*$E95*(12-$J95+1)/12,0))</f>
        <v>0</v>
      </c>
      <c r="DC95" s="1808">
        <f t="shared" ref="DC95" si="1173">IF($H95&lt;&gt;DG$5,0,IF(DG95&lt;0,IF($J95=1,-$E95*$I95/12*3,IF($J95=2,-$E95*$I95/12*2,IF($J95=3,-$E95*$I95/12*1,0)))))+IF(DB$5&lt;&gt;$H95,0,IF(DB95&lt;0,IF($J95=1,-$E95*$I95/12*0,IF($J95=2,-$E95*$I95/12*1,IF($J95=3,-$E95*$I95/12*2,IF($J95&gt;=4,-$E95*$I95/12*3,0))))))</f>
        <v>0</v>
      </c>
      <c r="DD95" s="1807">
        <f t="shared" ref="DD95" si="1174">IF($H95&lt;&gt;DG$5,0,IF(DG95&lt;0,IF(OR($J95=1,$J95=2,$J95=3,$J95=4),-$E95*$I95/12*3,IF($J95=5,-$E95*$I95/12*2,IF($J95=6,-$E95*$I95/12*1,0)))))+IF(DB$5&lt;&gt;$H95,0,IF(DB95&lt;0,IF($J95=4,-$E95*$I95/12*0,IF($J95=5,-$E95*$I95/12*1,IF($J95=6,-$E95*$I95/12*2,IF($J95&gt;=7,-$E95*$I95/12*3,0))))))</f>
        <v>0</v>
      </c>
      <c r="DE95" s="1807">
        <f t="shared" ref="DE95" si="1175">IF($H95&lt;&gt;DG$5,0,IF(DG95&lt;0,IF(OR($J95=1,$J95=2,$J95=3,$J95=4,$J95=5,$J95=6,$J95=7),-$E95*$I95/12*3,IF($J95=8,-$E95*$I95/12*2,IF($J95=9,-$E95*$I95/12*1,0)))))+IF(DB$5&lt;&gt;$H95,0,IF(DB95&lt;0,IF($J95=7,-$E95*$I95/12*0,IF($J95=8,-$E95*$I95/12*1,IF($J95=9,-$E95*$I95/12*2,IF($J95&gt;=10,-$E95*$I95/12*3,0))))))</f>
        <v>0</v>
      </c>
      <c r="DF95" s="1806">
        <f t="shared" ref="DF95" si="1176">IF($H95&lt;&gt;DG$5,0,IF(DG95&lt;0,IF(OR($J95=1,$J95=2,$J95=3,$J95=4,$J95=5,$J95=6,$J95=7,$J95=8,$J95=9,$J95=10),-$E95*$I95/12*3,IF($J95=11,-$E95*$I95/12*2,IF($J95=12,-$E95*$I95/12*1,0)))))+IF(DB$5&lt;&gt;$H95,0,IF(DB95&lt;0,IF($J95=10,-$E95*$I95/12*0,IF($J95=11,-$E95*$I95/12*1,IF($J95=12,-$E95*$I95/12*2,0)))))</f>
        <v>0</v>
      </c>
      <c r="DG95" s="1791">
        <f t="shared" ref="DG95" si="1177">IF(AND(DB95&lt;&gt;0,DB$5=$H95),-$I95*$E95-DB95,IF(DG$5=$H95,-$I95*$E95*(12-$J95+1)/12,0))</f>
        <v>0</v>
      </c>
      <c r="DH95" s="1808">
        <f t="shared" ref="DH95" si="1178">IF($H95&lt;&gt;DL$5,0,IF(DL95&lt;0,IF($J95=1,-$E95*$I95/12*3,IF($J95=2,-$E95*$I95/12*2,IF($J95=3,-$E95*$I95/12*1,0)))))+IF(DG$5&lt;&gt;$H95,0,IF(DG95&lt;0,IF($J95=1,-$E95*$I95/12*0,IF($J95=2,-$E95*$I95/12*1,IF($J95=3,-$E95*$I95/12*2,IF($J95&gt;=4,-$E95*$I95/12*3,0))))))</f>
        <v>0</v>
      </c>
      <c r="DI95" s="1807">
        <f t="shared" ref="DI95" si="1179">IF($H95&lt;&gt;DL$5,0,IF(DL95&lt;0,IF(OR($J95=1,$J95=2,$J95=3,$J95=4),-$E95*$I95/12*3,IF($J95=5,-$E95*$I95/12*2,IF($J95=6,-$E95*$I95/12*1,0)))))+IF(DG$5&lt;&gt;$H95,0,IF(DG95&lt;0,IF($J95=4,-$E95*$I95/12*0,IF($J95=5,-$E95*$I95/12*1,IF($J95=6,-$E95*$I95/12*2,IF($J95&gt;=7,-$E95*$I95/12*3,0))))))</f>
        <v>0</v>
      </c>
      <c r="DJ95" s="1807">
        <f t="shared" ref="DJ95" si="1180">IF($H95&lt;&gt;DL$5,0,IF(DL95&lt;0,IF(OR($J95=1,$J95=2,$J95=3,$J95=4,$J95=5,$J95=6,$J95=7),-$E95*$I95/12*3,IF($J95=8,-$E95*$I95/12*2,IF($J95=9,-$E95*$I95/12*1,0)))))+IF(DG$5&lt;&gt;$H95,0,IF(DG95&lt;0,IF($J95=7,-$E95*$I95/12*0,IF($J95=8,-$E95*$I95/12*1,IF($J95=9,-$E95*$I95/12*2,IF($J95&gt;=10,-$E95*$I95/12*3,0))))))</f>
        <v>0</v>
      </c>
      <c r="DK95" s="1806">
        <f t="shared" ref="DK95" si="1181">IF($H95&lt;&gt;DL$5,0,IF(DL95&lt;0,IF(OR($J95=1,$J95=2,$J95=3,$J95=4,$J95=5,$J95=6,$J95=7,$J95=8,$J95=9,$J95=10),-$E95*$I95/12*3,IF($J95=11,-$E95*$I95/12*2,IF($J95=12,-$E95*$I95/12*1,0)))))+IF(DG$5&lt;&gt;$H95,0,IF(DG95&lt;0,IF($J95=10,-$E95*$I95/12*0,IF($J95=11,-$E95*$I95/12*1,IF($J95=12,-$E95*$I95/12*2,0)))))</f>
        <v>0</v>
      </c>
      <c r="DL95" s="1791">
        <f t="shared" ref="DL95" si="1182">IF(AND(DG95&lt;&gt;0,DG$5=$H95),-$I95*$E95-DG95,IF(DL$5=$H95,-$I95*$E95*(12-$J95+1)/12,0))</f>
        <v>0</v>
      </c>
      <c r="DM95" s="1808">
        <f t="shared" ref="DM95" si="1183">IF($H95&lt;&gt;DQ$5,0,IF(DQ95&lt;0,IF($J95=1,-$E95*$I95/12*3,IF($J95=2,-$E95*$I95/12*2,IF($J95=3,-$E95*$I95/12*1,0)))))+IF(DL$5&lt;&gt;$H95,0,IF(DL95&lt;0,IF($J95=1,-$E95*$I95/12*0,IF($J95=2,-$E95*$I95/12*1,IF($J95=3,-$E95*$I95/12*2,IF($J95&gt;=4,-$E95*$I95/12*3,0))))))</f>
        <v>0</v>
      </c>
      <c r="DN95" s="1807">
        <f t="shared" ref="DN95" si="1184">IF($H95&lt;&gt;DQ$5,0,IF(DQ95&lt;0,IF(OR($J95=1,$J95=2,$J95=3,$J95=4),-$E95*$I95/12*3,IF($J95=5,-$E95*$I95/12*2,IF($J95=6,-$E95*$I95/12*1,0)))))+IF(DL$5&lt;&gt;$H95,0,IF(DL95&lt;0,IF($J95=4,-$E95*$I95/12*0,IF($J95=5,-$E95*$I95/12*1,IF($J95=6,-$E95*$I95/12*2,IF($J95&gt;=7,-$E95*$I95/12*3,0))))))</f>
        <v>0</v>
      </c>
      <c r="DO95" s="1807">
        <f t="shared" ref="DO95" si="1185">IF($H95&lt;&gt;DQ$5,0,IF(DQ95&lt;0,IF(OR($J95=1,$J95=2,$J95=3,$J95=4,$J95=5,$J95=6,$J95=7),-$E95*$I95/12*3,IF($J95=8,-$E95*$I95/12*2,IF($J95=9,-$E95*$I95/12*1,0)))))+IF(DL$5&lt;&gt;$H95,0,IF(DL95&lt;0,IF($J95=7,-$E95*$I95/12*0,IF($J95=8,-$E95*$I95/12*1,IF($J95=9,-$E95*$I95/12*2,IF($J95&gt;=10,-$E95*$I95/12*3,0))))))</f>
        <v>0</v>
      </c>
      <c r="DP95" s="1806">
        <f t="shared" ref="DP95" si="1186">IF($H95&lt;&gt;DQ$5,0,IF(DQ95&lt;0,IF(OR($J95=1,$J95=2,$J95=3,$J95=4,$J95=5,$J95=6,$J95=7,$J95=8,$J95=9,$J95=10),-$E95*$I95/12*3,IF($J95=11,-$E95*$I95/12*2,IF($J95=12,-$E95*$I95/12*1,0)))))+IF(DL$5&lt;&gt;$H95,0,IF(DL95&lt;0,IF($J95=10,-$E95*$I95/12*0,IF($J95=11,-$E95*$I95/12*1,IF($J95=12,-$E95*$I95/12*2,0)))))</f>
        <v>0</v>
      </c>
      <c r="DQ95" s="1791">
        <f t="shared" ref="DQ95" si="1187">IF(AND(DL95&lt;&gt;0,DL$5=$H95),-$I95*$E95-DL95,IF(DQ$5=$H95,-$I95*$E95*(12-$J95+1)/12,0))</f>
        <v>0</v>
      </c>
      <c r="DR95" s="1808">
        <f t="shared" ref="DR95" si="1188">IF($H95&lt;&gt;DV$5,0,IF(DV95&lt;0,IF($J95=1,-$E95*$I95/12*3,IF($J95=2,-$E95*$I95/12*2,IF($J95=3,-$E95*$I95/12*1,0)))))+IF(DQ$5&lt;&gt;$H95,0,IF(DQ95&lt;0,IF($J95=1,-$E95*$I95/12*0,IF($J95=2,-$E95*$I95/12*1,IF($J95=3,-$E95*$I95/12*2,IF($J95&gt;=4,-$E95*$I95/12*3,0))))))</f>
        <v>0</v>
      </c>
      <c r="DS95" s="1807">
        <f t="shared" ref="DS95" si="1189">IF($H95&lt;&gt;DV$5,0,IF(DV95&lt;0,IF(OR($J95=1,$J95=2,$J95=3,$J95=4),-$E95*$I95/12*3,IF($J95=5,-$E95*$I95/12*2,IF($J95=6,-$E95*$I95/12*1,0)))))+IF(DQ$5&lt;&gt;$H95,0,IF(DQ95&lt;0,IF($J95=4,-$E95*$I95/12*0,IF($J95=5,-$E95*$I95/12*1,IF($J95=6,-$E95*$I95/12*2,IF($J95&gt;=7,-$E95*$I95/12*3,0))))))</f>
        <v>0</v>
      </c>
      <c r="DT95" s="1807">
        <f t="shared" ref="DT95" si="1190">IF($H95&lt;&gt;DV$5,0,IF(DV95&lt;0,IF(OR($J95=1,$J95=2,$J95=3,$J95=4,$J95=5,$J95=6,$J95=7),-$E95*$I95/12*3,IF($J95=8,-$E95*$I95/12*2,IF($J95=9,-$E95*$I95/12*1,0)))))+IF(DQ$5&lt;&gt;$H95,0,IF(DQ95&lt;0,IF($J95=7,-$E95*$I95/12*0,IF($J95=8,-$E95*$I95/12*1,IF($J95=9,-$E95*$I95/12*2,IF($J95&gt;=10,-$E95*$I95/12*3,0))))))</f>
        <v>0</v>
      </c>
      <c r="DU95" s="1806">
        <f t="shared" ref="DU95" si="1191">IF($H95&lt;&gt;DV$5,0,IF(DV95&lt;0,IF(OR($J95=1,$J95=2,$J95=3,$J95=4,$J95=5,$J95=6,$J95=7,$J95=8,$J95=9,$J95=10),-$E95*$I95/12*3,IF($J95=11,-$E95*$I95/12*2,IF($J95=12,-$E95*$I95/12*1,0)))))+IF(DQ$5&lt;&gt;$H95,0,IF(DQ95&lt;0,IF($J95=10,-$E95*$I95/12*0,IF($J95=11,-$E95*$I95/12*1,IF($J95=12,-$E95*$I95/12*2,0)))))</f>
        <v>0</v>
      </c>
      <c r="DV95" s="1791">
        <f t="shared" ref="DV95" si="1192">IF(AND(DQ95&lt;&gt;0,DQ$5=$H95),-$I95*$E95-DQ95,IF(DV$5=$H95,-$I95*$E95*(12-$J95+1)/12,0))</f>
        <v>0</v>
      </c>
    </row>
    <row r="96" spans="1:126">
      <c r="A96" s="455"/>
      <c r="B96" s="455"/>
      <c r="C96" s="1723" t="s">
        <v>1033</v>
      </c>
      <c r="D96" s="94"/>
      <c r="E96" s="1817">
        <f t="shared" si="800"/>
        <v>75</v>
      </c>
      <c r="F96" s="1435">
        <v>0</v>
      </c>
      <c r="G96" s="1435">
        <v>75</v>
      </c>
      <c r="H96" s="1350">
        <v>2017</v>
      </c>
      <c r="I96" s="1337">
        <v>3.2500000000000001E-2</v>
      </c>
      <c r="J96" s="1343">
        <v>7</v>
      </c>
      <c r="K96" s="1792"/>
      <c r="L96" s="1810">
        <f t="shared" si="688"/>
        <v>0</v>
      </c>
      <c r="M96" s="1791">
        <f t="shared" si="688"/>
        <v>0</v>
      </c>
      <c r="N96" s="1808">
        <f t="shared" ref="N96:N97" si="1193">IF(R96=0,0,IF(R96&lt;0,IF($J96=3,R96,IF($J96=2,R96,IF($J96=1,R96,0)))))</f>
        <v>0</v>
      </c>
      <c r="O96" s="1807">
        <f t="shared" ref="O96:O97" si="1194">IF(R96=0,0,IF(R96&lt;0,IF($J96=6,R96,IF($J96=5,R96,IF($J96=4,R96,0)))))</f>
        <v>0</v>
      </c>
      <c r="P96" s="1807">
        <f t="shared" ref="P96:P97" si="1195">IF(R96=0,0,IF(R96&lt;0,IF($J96=9,R96,IF($J96=8,R96,IF($J96=7,R96,0)))))</f>
        <v>0</v>
      </c>
      <c r="Q96" s="1806">
        <f t="shared" ref="Q96:Q97" si="1196">IF(R96=0,0,IF(R96&lt;0,IF($J96=12,R96,IF($J96=11,R96,IF($J96=10,R96,0)))))</f>
        <v>0</v>
      </c>
      <c r="R96" s="1791">
        <f t="shared" si="693"/>
        <v>0</v>
      </c>
      <c r="S96" s="1808">
        <f t="shared" ref="S96:S97" si="1197">IF(W96=0,0,IF(W96&lt;0,IF($J96=3,W96,IF($J96=2,W96,IF($J96=1,W96,0)))))</f>
        <v>0</v>
      </c>
      <c r="T96" s="1807">
        <f t="shared" ref="T96:T97" si="1198">IF(W96=0,0,IF(W96&lt;0,IF($J96=6,W96,IF($J96=5,W96,IF($J96=4,W96,0)))))</f>
        <v>0</v>
      </c>
      <c r="U96" s="1807">
        <f t="shared" ref="U96:U97" si="1199">IF(W96=0,0,IF(W96&lt;0,IF($J96=9,W96,IF($J96=8,W96,IF($J96=7,W96,0)))))</f>
        <v>0</v>
      </c>
      <c r="V96" s="1806">
        <f t="shared" ref="V96:V97" si="1200">IF(W96=0,0,IF(W96&lt;0,IF($J96=12,W96,IF($J96=11,W96,IF($J96=10,W96,0)))))</f>
        <v>0</v>
      </c>
      <c r="W96" s="1791">
        <f t="shared" si="698"/>
        <v>0</v>
      </c>
      <c r="X96" s="1808">
        <f t="shared" ref="X96:X97" si="1201">IF(AB96=0,0,IF(AB96&lt;0,IF($J96=3,AB96,IF($J96=2,AB96,IF($J96=1,AB96,0)))))</f>
        <v>0</v>
      </c>
      <c r="Y96" s="1807">
        <f t="shared" ref="Y96:Y97" si="1202">IF(AB96=0,0,IF(AB96&lt;0,IF($J96=6,AB96,IF($J96=5,AB96,IF($J96=4,AB96,0)))))</f>
        <v>0</v>
      </c>
      <c r="Z96" s="1807">
        <f t="shared" ref="Z96:Z97" si="1203">IF(AB96=0,0,IF(AB96&lt;0,IF($J96=9,AB96,IF($J96=8,AB96,IF($J96=7,AB96,0)))))</f>
        <v>0</v>
      </c>
      <c r="AA96" s="1806">
        <f t="shared" ref="AA96:AA97" si="1204">IF(AB96=0,0,IF(AB96&lt;0,IF($J96=12,AB96,IF($J96=11,AB96,IF($J96=10,AB96,0)))))</f>
        <v>0</v>
      </c>
      <c r="AB96" s="1791">
        <f t="shared" si="703"/>
        <v>0</v>
      </c>
      <c r="AC96" s="1808">
        <f t="shared" ref="AC96:AC97" si="1205">IF(AG96=0,0,IF(AG96&lt;0,IF($J96=3,AG96,IF($J96=2,AG96,IF($J96=1,AG96,0)))))</f>
        <v>0</v>
      </c>
      <c r="AD96" s="1807">
        <f t="shared" ref="AD96:AD97" si="1206">IF(AG96=0,0,IF(AG96&lt;0,IF($J96=6,AG96,IF($J96=5,AG96,IF($J96=4,AG96,0)))))</f>
        <v>0</v>
      </c>
      <c r="AE96" s="1807">
        <f t="shared" ref="AE96:AE97" si="1207">IF(AG96=0,0,IF(AG96&lt;0,IF($J96=9,AG96,IF($J96=8,AG96,IF($J96=7,AG96,0)))))</f>
        <v>0</v>
      </c>
      <c r="AF96" s="1806">
        <f t="shared" ref="AF96:AF97" si="1208">IF(AG96=0,0,IF(AG96&lt;0,IF($J96=12,AG96,IF($J96=11,AG96,IF($J96=10,AG96,0)))))</f>
        <v>0</v>
      </c>
      <c r="AG96" s="1791">
        <f t="shared" si="708"/>
        <v>0</v>
      </c>
      <c r="AH96" s="1808">
        <f t="shared" ref="AH96:AH97" si="1209">IF(AL96=0,0,IF(AL96&lt;0,IF($J96=3,AL96,IF($J96=2,AL96,IF($J96=1,AL96,0)))))</f>
        <v>0</v>
      </c>
      <c r="AI96" s="1807">
        <f t="shared" ref="AI96:AI97" si="1210">IF(AL96=0,0,IF(AL96&lt;0,IF($J96=6,AL96,IF($J96=5,AL96,IF($J96=4,AL96,0)))))</f>
        <v>0</v>
      </c>
      <c r="AJ96" s="1807">
        <f t="shared" ref="AJ96:AJ97" si="1211">IF(AL96=0,0,IF(AL96&lt;0,IF($J96=9,AL96,IF($J96=8,AL96,IF($J96=7,AL96,0)))))</f>
        <v>0</v>
      </c>
      <c r="AK96" s="1806">
        <f t="shared" ref="AK96:AK97" si="1212">IF(AL96=0,0,IF(AL96&lt;0,IF($J96=12,AL96,IF($J96=11,AL96,IF($J96=10,AL96,0)))))</f>
        <v>0</v>
      </c>
      <c r="AL96" s="1791">
        <f t="shared" si="713"/>
        <v>0</v>
      </c>
      <c r="AM96" s="1808">
        <f t="shared" ref="AM96:AM97" si="1213">IF(AQ96=0,0,IF(AQ96&lt;0,IF($J96=3,AQ96,IF($J96=2,AQ96,IF($J96=1,AQ96,0)))))</f>
        <v>0</v>
      </c>
      <c r="AN96" s="1807">
        <f t="shared" ref="AN96:AN97" si="1214">IF(AQ96=0,0,IF(AQ96&lt;0,IF($J96=6,AQ96,IF($J96=5,AQ96,IF($J96=4,AQ96,0)))))</f>
        <v>0</v>
      </c>
      <c r="AO96" s="1807">
        <f t="shared" ref="AO96:AO97" si="1215">IF(AQ96=0,0,IF(AQ96&lt;0,IF($J96=9,AQ96,IF($J96=8,AQ96,IF($J96=7,AQ96,0)))))</f>
        <v>0</v>
      </c>
      <c r="AP96" s="1806">
        <f t="shared" ref="AP96:AP97" si="1216">IF(AQ96=0,0,IF(AQ96&lt;0,IF($J96=12,AQ96,IF($J96=11,AQ96,IF($J96=10,AQ96,0)))))</f>
        <v>0</v>
      </c>
      <c r="AQ96" s="1791">
        <f t="shared" si="718"/>
        <v>0</v>
      </c>
      <c r="AR96" s="1808">
        <f t="shared" ref="AR96:AR97" si="1217">IF(AV96=0,0,IF(AV96&lt;0,IF($J96=3,AV96,IF($J96=2,AV96,IF($J96=1,AV96,0)))))</f>
        <v>0</v>
      </c>
      <c r="AS96" s="1807">
        <f t="shared" ref="AS96:AS97" si="1218">IF(AV96=0,0,IF(AV96&lt;0,IF($J96=6,AV96,IF($J96=5,AV96,IF($J96=4,AV96,0)))))</f>
        <v>0</v>
      </c>
      <c r="AT96" s="1807">
        <f t="shared" ref="AT96:AT97" si="1219">IF(AV96=0,0,IF(AV96&lt;0,IF($J96=9,AV96,IF($J96=8,AV96,IF($J96=7,AV96,0)))))</f>
        <v>-75</v>
      </c>
      <c r="AU96" s="1806">
        <f t="shared" ref="AU96:AU97" si="1220">IF(AV96=0,0,IF(AV96&lt;0,IF($J96=12,AV96,IF($J96=11,AV96,IF($J96=10,AV96,0)))))</f>
        <v>0</v>
      </c>
      <c r="AV96" s="1791">
        <f t="shared" si="723"/>
        <v>-75</v>
      </c>
      <c r="AW96" s="1808">
        <f t="shared" ref="AW96:AW97" si="1221">IF(BA96=0,0,IF(BA96&lt;0,IF($J96=3,BA96,IF($J96=2,BA96,IF($J96=1,BA96,0)))))</f>
        <v>0</v>
      </c>
      <c r="AX96" s="1807">
        <f t="shared" ref="AX96:AX97" si="1222">IF(BA96=0,0,IF(BA96&lt;0,IF($J96=6,BA96,IF($J96=5,BA96,IF($J96=4,BA96,0)))))</f>
        <v>0</v>
      </c>
      <c r="AY96" s="1807">
        <f t="shared" ref="AY96:AY97" si="1223">IF(BA96=0,0,IF(BA96&lt;0,IF($J96=9,BA96,IF($J96=8,BA96,IF($J96=7,BA96,0)))))</f>
        <v>0</v>
      </c>
      <c r="AZ96" s="1806">
        <f t="shared" ref="AZ96:AZ97" si="1224">IF(BA96=0,0,IF(BA96&lt;0,IF($J96=12,BA96,IF($J96=11,BA96,IF($J96=10,BA96,0)))))</f>
        <v>0</v>
      </c>
      <c r="BA96" s="1791">
        <f t="shared" si="728"/>
        <v>0</v>
      </c>
      <c r="BB96" s="1808">
        <f t="shared" ref="BB96:BB97" si="1225">IF(BF96=0,0,IF(BF96&lt;0,IF($J96=3,BF96,IF($J96=2,BF96,IF($J96=1,BF96,0)))))</f>
        <v>0</v>
      </c>
      <c r="BC96" s="1807">
        <f t="shared" ref="BC96:BC97" si="1226">IF(BF96=0,0,IF(BF96&lt;0,IF($J96=6,BF96,IF($J96=5,BF96,IF($J96=4,BF96,0)))))</f>
        <v>0</v>
      </c>
      <c r="BD96" s="1807">
        <f t="shared" ref="BD96:BD97" si="1227">IF(BF96=0,0,IF(BF96&lt;0,IF($J96=9,BF96,IF($J96=8,BF96,IF($J96=7,BF96,0)))))</f>
        <v>0</v>
      </c>
      <c r="BE96" s="1806">
        <f t="shared" ref="BE96:BE97" si="1228">IF(BF96=0,0,IF(BF96&lt;0,IF($J96=12,BF96,IF($J96=11,BF96,IF($J96=10,BF96,0)))))</f>
        <v>0</v>
      </c>
      <c r="BF96" s="1791">
        <f t="shared" si="733"/>
        <v>0</v>
      </c>
      <c r="BG96" s="1808">
        <f t="shared" ref="BG96:BG97" si="1229">IF(BK96=0,0,IF(BK96&lt;0,IF($J96=3,BK96,IF($J96=2,BK96,IF($J96=1,BK96,0)))))</f>
        <v>0</v>
      </c>
      <c r="BH96" s="1807">
        <f t="shared" ref="BH96:BH97" si="1230">IF(BK96=0,0,IF(BK96&lt;0,IF($J96=6,BK96,IF($J96=5,BK96,IF($J96=4,BK96,0)))))</f>
        <v>0</v>
      </c>
      <c r="BI96" s="1807">
        <f t="shared" ref="BI96:BI97" si="1231">IF(BK96=0,0,IF(BK96&lt;0,IF($J96=9,BK96,IF($J96=8,BK96,IF($J96=7,BK96,0)))))</f>
        <v>0</v>
      </c>
      <c r="BJ96" s="1806">
        <f t="shared" ref="BJ96:BJ97" si="1232">IF(BK96=0,0,IF(BK96&lt;0,IF($J96=12,BK96,IF($J96=11,BK96,IF($J96=10,BK96,0)))))</f>
        <v>0</v>
      </c>
      <c r="BK96" s="1791">
        <f t="shared" si="738"/>
        <v>0</v>
      </c>
      <c r="BL96" s="1808">
        <f t="shared" ref="BL96:BL97" si="1233">IF(BP96=0,0,IF(BP96&lt;0,IF($J96=3,BP96,IF($J96=2,BP96,IF($J96=1,BP96,0)))))</f>
        <v>0</v>
      </c>
      <c r="BM96" s="1807">
        <f t="shared" ref="BM96:BM97" si="1234">IF(BP96=0,0,IF(BP96&lt;0,IF($J96=6,BP96,IF($J96=5,BP96,IF($J96=4,BP96,0)))))</f>
        <v>0</v>
      </c>
      <c r="BN96" s="1807">
        <f t="shared" ref="BN96:BN97" si="1235">IF(BP96=0,0,IF(BP96&lt;0,IF($J96=9,BP96,IF($J96=8,BP96,IF($J96=7,BP96,0)))))</f>
        <v>0</v>
      </c>
      <c r="BO96" s="1806">
        <f t="shared" ref="BO96:BO97" si="1236">IF(BP96=0,0,IF(BP96&lt;0,IF($J96=12,BP96,IF($J96=11,BP96,IF($J96=10,BP96,0)))))</f>
        <v>0</v>
      </c>
      <c r="BP96" s="1791">
        <f t="shared" si="743"/>
        <v>0</v>
      </c>
      <c r="BQ96" s="1827"/>
      <c r="BR96" s="1791">
        <f t="shared" ref="BR96:BR97" si="1237">IF(AND(BQ96&lt;&gt;0,BQ$5=$H96),-$I96*$E96-BQ96,IF(BR$5=$H96,-$I96*$E96*(12-$J96+1)/12,0))</f>
        <v>0</v>
      </c>
      <c r="BS96" s="1791">
        <f t="shared" ref="BS96:BS97" si="1238">IF(AND(BR96&lt;&gt;0,BR$5=$H96),-$I96*$E96-BR96,IF(BS$5=$H96,-$I96*$E96*(12-$J96+1)/12,0))</f>
        <v>0</v>
      </c>
      <c r="BT96" s="1808">
        <f t="shared" ref="BT96:BT97" si="1239">IF($H96&lt;&gt;BX$5,0,IF(BX96&lt;0,IF($J96=1,-$E96*$I96/12*3,IF($J96=2,-$E96*$I96/12*2,IF($J96=3,-$E96*$I96/12*1,0)))))+IF(BS$5&lt;&gt;$H96,0,IF(BS96&lt;0,IF($J96=1,-$E96*$I96/12*0,IF($J96=2,-$E96*$I96/12*1,IF($J96=3,-$E96*$I96/12*2,IF($J96&gt;=4,-$E96*$I96/12*3,0))))))</f>
        <v>0</v>
      </c>
      <c r="BU96" s="1807">
        <f t="shared" ref="BU96:BU97" si="1240">IF($H96&lt;&gt;BX$5,0,IF(BX96&lt;0,IF(OR($J96=1,$J96=2,$J96=3,$J96=4),-$E96*$I96/12*3,IF($J96=5,-$E96*$I96/12*2,IF($J96=6,-$E96*$I96/12*1,0)))))+IF(BS$5&lt;&gt;$H96,0,IF(BS96&lt;0,IF($J96=4,-$E96*$I96/12*0,IF($J96=5,-$E96*$I96/12*1,IF($J96=6,-$E96*$I96/12*2,IF($J96&gt;=7,-$E96*$I96/12*3,0))))))</f>
        <v>0</v>
      </c>
      <c r="BV96" s="1807">
        <f t="shared" ref="BV96:BV97" si="1241">IF($H96&lt;&gt;BX$5,0,IF(BX96&lt;0,IF(OR($J96=1,$J96=2,$J96=3,$J96=4,$J96=5,$J96=6,$J96=7),-$E96*$I96/12*3,IF($J96=8,-$E96*$I96/12*2,IF($J96=9,-$E96*$I96/12*1,0)))))+IF(BS$5&lt;&gt;$H96,0,IF(BS96&lt;0,IF($J96=7,-$E96*$I96/12*0,IF($J96=8,-$E96*$I96/12*1,IF($J96=9,-$E96*$I96/12*2,IF($J96&gt;=10,-$E96*$I96/12*3,0))))))</f>
        <v>0</v>
      </c>
      <c r="BW96" s="1806">
        <f t="shared" ref="BW96:BW97" si="1242">IF($H96&lt;&gt;BX$5,0,IF(BX96&lt;0,IF(OR($J96=1,$J96=2,$J96=3,$J96=4,$J96=5,$J96=6,$J96=7,$J96=8,$J96=9,$J96=10),-$E96*$I96/12*3,IF($J96=11,-$E96*$I96/12*2,IF($J96=12,-$E96*$I96/12*1,0)))))+IF(BS$5&lt;&gt;$H96,0,IF(BS96&lt;0,IF($J96=10,-$E96*$I96/12*0,IF($J96=11,-$E96*$I96/12*1,IF($J96=12,-$E96*$I96/12*2,0)))))</f>
        <v>0</v>
      </c>
      <c r="BX96" s="1791">
        <f t="shared" ref="BX96:BX97" si="1243">IF(AND(BS96&lt;&gt;0,BS$5=$H96),-$I96*$E96-BS96,IF(BX$5=$H96,-$I96*$E96*(12-$J96+1)/12,0))</f>
        <v>0</v>
      </c>
      <c r="BY96" s="1808">
        <f t="shared" ref="BY96:BY97" si="1244">IF($H96&lt;&gt;CC$5,0,IF(CC96&lt;0,IF($J96=1,-$E96*$I96/12*3,IF($J96=2,-$E96*$I96/12*2,IF($J96=3,-$E96*$I96/12*1,0)))))+IF(BX$5&lt;&gt;$H96,0,IF(BX96&lt;0,IF($J96=1,-$E96*$I96/12*0,IF($J96=2,-$E96*$I96/12*1,IF($J96=3,-$E96*$I96/12*2,IF($J96&gt;=4,-$E96*$I96/12*3,0))))))</f>
        <v>0</v>
      </c>
      <c r="BZ96" s="1807">
        <f t="shared" ref="BZ96:BZ97" si="1245">IF($H96&lt;&gt;CC$5,0,IF(CC96&lt;0,IF(OR($J96=1,$J96=2,$J96=3,$J96=4),-$E96*$I96/12*3,IF($J96=5,-$E96*$I96/12*2,IF($J96=6,-$E96*$I96/12*1,0)))))+IF(BX$5&lt;&gt;$H96,0,IF(BX96&lt;0,IF($J96=4,-$E96*$I96/12*0,IF($J96=5,-$E96*$I96/12*1,IF($J96=6,-$E96*$I96/12*2,IF($J96&gt;=7,-$E96*$I96/12*3,0))))))</f>
        <v>0</v>
      </c>
      <c r="CA96" s="1807">
        <f t="shared" ref="CA96:CA97" si="1246">IF($H96&lt;&gt;CC$5,0,IF(CC96&lt;0,IF(OR($J96=1,$J96=2,$J96=3,$J96=4,$J96=5,$J96=6,$J96=7),-$E96*$I96/12*3,IF($J96=8,-$E96*$I96/12*2,IF($J96=9,-$E96*$I96/12*1,0)))))+IF(BX$5&lt;&gt;$H96,0,IF(BX96&lt;0,IF($J96=7,-$E96*$I96/12*0,IF($J96=8,-$E96*$I96/12*1,IF($J96=9,-$E96*$I96/12*2,IF($J96&gt;=10,-$E96*$I96/12*3,0))))))</f>
        <v>0</v>
      </c>
      <c r="CB96" s="1806">
        <f t="shared" ref="CB96:CB97" si="1247">IF($H96&lt;&gt;CC$5,0,IF(CC96&lt;0,IF(OR($J96=1,$J96=2,$J96=3,$J96=4,$J96=5,$J96=6,$J96=7,$J96=8,$J96=9,$J96=10),-$E96*$I96/12*3,IF($J96=11,-$E96*$I96/12*2,IF($J96=12,-$E96*$I96/12*1,0)))))+IF(BX$5&lt;&gt;$H96,0,IF(BX96&lt;0,IF($J96=10,-$E96*$I96/12*0,IF($J96=11,-$E96*$I96/12*1,IF($J96=12,-$E96*$I96/12*2,0)))))</f>
        <v>0</v>
      </c>
      <c r="CC96" s="1791">
        <f t="shared" ref="CC96:CC97" si="1248">IF(AND(BX96&lt;&gt;0,BX$5=$H96),-$I96*$E96-BX96,IF(CC$5=$H96,-$I96*$E96*(12-$J96+1)/12,0))</f>
        <v>0</v>
      </c>
      <c r="CD96" s="1808">
        <f t="shared" ref="CD96:CD97" si="1249">IF($H96&lt;&gt;CH$5,0,IF(CH96&lt;0,IF($J96=1,-$E96*$I96/12*3,IF($J96=2,-$E96*$I96/12*2,IF($J96=3,-$E96*$I96/12*1,0)))))+IF(CC$5&lt;&gt;$H96,0,IF(CC96&lt;0,IF($J96=1,-$E96*$I96/12*0,IF($J96=2,-$E96*$I96/12*1,IF($J96=3,-$E96*$I96/12*2,IF($J96&gt;=4,-$E96*$I96/12*3,0))))))</f>
        <v>0</v>
      </c>
      <c r="CE96" s="1807">
        <f t="shared" ref="CE96:CE97" si="1250">IF($H96&lt;&gt;CH$5,0,IF(CH96&lt;0,IF(OR($J96=1,$J96=2,$J96=3,$J96=4),-$E96*$I96/12*3,IF($J96=5,-$E96*$I96/12*2,IF($J96=6,-$E96*$I96/12*1,0)))))+IF(CC$5&lt;&gt;$H96,0,IF(CC96&lt;0,IF($J96=4,-$E96*$I96/12*0,IF($J96=5,-$E96*$I96/12*1,IF($J96=6,-$E96*$I96/12*2,IF($J96&gt;=7,-$E96*$I96/12*3,0))))))</f>
        <v>0</v>
      </c>
      <c r="CF96" s="1807">
        <f t="shared" ref="CF96:CF97" si="1251">IF($H96&lt;&gt;CH$5,0,IF(CH96&lt;0,IF(OR($J96=1,$J96=2,$J96=3,$J96=4,$J96=5,$J96=6,$J96=7),-$E96*$I96/12*3,IF($J96=8,-$E96*$I96/12*2,IF($J96=9,-$E96*$I96/12*1,0)))))+IF(CC$5&lt;&gt;$H96,0,IF(CC96&lt;0,IF($J96=7,-$E96*$I96/12*0,IF($J96=8,-$E96*$I96/12*1,IF($J96=9,-$E96*$I96/12*2,IF($J96&gt;=10,-$E96*$I96/12*3,0))))))</f>
        <v>0</v>
      </c>
      <c r="CG96" s="1806">
        <f t="shared" ref="CG96:CG97" si="1252">IF($H96&lt;&gt;CH$5,0,IF(CH96&lt;0,IF(OR($J96=1,$J96=2,$J96=3,$J96=4,$J96=5,$J96=6,$J96=7,$J96=8,$J96=9,$J96=10),-$E96*$I96/12*3,IF($J96=11,-$E96*$I96/12*2,IF($J96=12,-$E96*$I96/12*1,0)))))+IF(CC$5&lt;&gt;$H96,0,IF(CC96&lt;0,IF($J96=10,-$E96*$I96/12*0,IF($J96=11,-$E96*$I96/12*1,IF($J96=12,-$E96*$I96/12*2,0)))))</f>
        <v>0</v>
      </c>
      <c r="CH96" s="1791">
        <f t="shared" ref="CH96:CH97" si="1253">IF(AND(CC96&lt;&gt;0,CC$5=$H96),-$I96*$E96-CC96,IF(CH$5=$H96,-$I96*$E96*(12-$J96+1)/12,0))</f>
        <v>0</v>
      </c>
      <c r="CI96" s="1808">
        <f t="shared" ref="CI96:CI97" si="1254">IF($H96&lt;&gt;CM$5,0,IF(CM96&lt;0,IF($J96=1,-$E96*$I96/12*3,IF($J96=2,-$E96*$I96/12*2,IF($J96=3,-$E96*$I96/12*1,0)))))+IF(CH$5&lt;&gt;$H96,0,IF(CH96&lt;0,IF($J96=1,-$E96*$I96/12*0,IF($J96=2,-$E96*$I96/12*1,IF($J96=3,-$E96*$I96/12*2,IF($J96&gt;=4,-$E96*$I96/12*3,0))))))</f>
        <v>0</v>
      </c>
      <c r="CJ96" s="1807">
        <f t="shared" ref="CJ96:CJ97" si="1255">IF($H96&lt;&gt;CM$5,0,IF(CM96&lt;0,IF(OR($J96=1,$J96=2,$J96=3,$J96=4),-$E96*$I96/12*3,IF($J96=5,-$E96*$I96/12*2,IF($J96=6,-$E96*$I96/12*1,0)))))+IF(CH$5&lt;&gt;$H96,0,IF(CH96&lt;0,IF($J96=4,-$E96*$I96/12*0,IF($J96=5,-$E96*$I96/12*1,IF($J96=6,-$E96*$I96/12*2,IF($J96&gt;=7,-$E96*$I96/12*3,0))))))</f>
        <v>0</v>
      </c>
      <c r="CK96" s="1807">
        <f t="shared" ref="CK96:CK97" si="1256">IF($H96&lt;&gt;CM$5,0,IF(CM96&lt;0,IF(OR($J96=1,$J96=2,$J96=3,$J96=4,$J96=5,$J96=6,$J96=7),-$E96*$I96/12*3,IF($J96=8,-$E96*$I96/12*2,IF($J96=9,-$E96*$I96/12*1,0)))))+IF(CH$5&lt;&gt;$H96,0,IF(CH96&lt;0,IF($J96=7,-$E96*$I96/12*0,IF($J96=8,-$E96*$I96/12*1,IF($J96=9,-$E96*$I96/12*2,IF($J96&gt;=10,-$E96*$I96/12*3,0))))))</f>
        <v>0</v>
      </c>
      <c r="CL96" s="1806">
        <f t="shared" ref="CL96:CL97" si="1257">IF($H96&lt;&gt;CM$5,0,IF(CM96&lt;0,IF(OR($J96=1,$J96=2,$J96=3,$J96=4,$J96=5,$J96=6,$J96=7,$J96=8,$J96=9,$J96=10),-$E96*$I96/12*3,IF($J96=11,-$E96*$I96/12*2,IF($J96=12,-$E96*$I96/12*1,0)))))+IF(CH$5&lt;&gt;$H96,0,IF(CH96&lt;0,IF($J96=10,-$E96*$I96/12*0,IF($J96=11,-$E96*$I96/12*1,IF($J96=12,-$E96*$I96/12*2,0)))))</f>
        <v>0</v>
      </c>
      <c r="CM96" s="1791">
        <f t="shared" ref="CM96:CM97" si="1258">IF(AND(CH96&lt;&gt;0,CH$5=$H96),-$I96*$E96-CH96,IF(CM$5=$H96,-$I96*$E96*(12-$J96+1)/12,0))</f>
        <v>0</v>
      </c>
      <c r="CN96" s="1808">
        <f t="shared" ref="CN96:CN97" si="1259">IF($H96&lt;&gt;CR$5,0,IF(CR96&lt;0,IF($J96=1,-$E96*$I96/12*3,IF($J96=2,-$E96*$I96/12*2,IF($J96=3,-$E96*$I96/12*1,0)))))+IF(CM$5&lt;&gt;$H96,0,IF(CM96&lt;0,IF($J96=1,-$E96*$I96/12*0,IF($J96=2,-$E96*$I96/12*1,IF($J96=3,-$E96*$I96/12*2,IF($J96&gt;=4,-$E96*$I96/12*3,0))))))</f>
        <v>0</v>
      </c>
      <c r="CO96" s="1807">
        <f t="shared" ref="CO96:CO97" si="1260">IF($H96&lt;&gt;CR$5,0,IF(CR96&lt;0,IF(OR($J96=1,$J96=2,$J96=3,$J96=4),-$E96*$I96/12*3,IF($J96=5,-$E96*$I96/12*2,IF($J96=6,-$E96*$I96/12*1,0)))))+IF(CM$5&lt;&gt;$H96,0,IF(CM96&lt;0,IF($J96=4,-$E96*$I96/12*0,IF($J96=5,-$E96*$I96/12*1,IF($J96=6,-$E96*$I96/12*2,IF($J96&gt;=7,-$E96*$I96/12*3,0))))))</f>
        <v>0</v>
      </c>
      <c r="CP96" s="1807">
        <f t="shared" ref="CP96:CP97" si="1261">IF($H96&lt;&gt;CR$5,0,IF(CR96&lt;0,IF(OR($J96=1,$J96=2,$J96=3,$J96=4,$J96=5,$J96=6,$J96=7),-$E96*$I96/12*3,IF($J96=8,-$E96*$I96/12*2,IF($J96=9,-$E96*$I96/12*1,0)))))+IF(CM$5&lt;&gt;$H96,0,IF(CM96&lt;0,IF($J96=7,-$E96*$I96/12*0,IF($J96=8,-$E96*$I96/12*1,IF($J96=9,-$E96*$I96/12*2,IF($J96&gt;=10,-$E96*$I96/12*3,0))))))</f>
        <v>0</v>
      </c>
      <c r="CQ96" s="1806">
        <f t="shared" ref="CQ96:CQ97" si="1262">IF($H96&lt;&gt;CR$5,0,IF(CR96&lt;0,IF(OR($J96=1,$J96=2,$J96=3,$J96=4,$J96=5,$J96=6,$J96=7,$J96=8,$J96=9,$J96=10),-$E96*$I96/12*3,IF($J96=11,-$E96*$I96/12*2,IF($J96=12,-$E96*$I96/12*1,0)))))+IF(CM$5&lt;&gt;$H96,0,IF(CM96&lt;0,IF($J96=10,-$E96*$I96/12*0,IF($J96=11,-$E96*$I96/12*1,IF($J96=12,-$E96*$I96/12*2,0)))))</f>
        <v>0</v>
      </c>
      <c r="CR96" s="1791">
        <f t="shared" ref="CR96:CR97" si="1263">IF(AND(CM96&lt;&gt;0,CM$5=$H96),-$I96*$E96-CM96,IF(CR$5=$H96,-$I96*$E96*(12-$J96+1)/12,0))</f>
        <v>0</v>
      </c>
      <c r="CS96" s="1808">
        <f t="shared" ref="CS96:CS97" si="1264">IF($H96&lt;&gt;CW$5,0,IF(CW96&lt;0,IF($J96=1,-$E96*$I96/12*3,IF($J96=2,-$E96*$I96/12*2,IF($J96=3,-$E96*$I96/12*1,0)))))+IF(CR$5&lt;&gt;$H96,0,IF(CR96&lt;0,IF($J96=1,-$E96*$I96/12*0,IF($J96=2,-$E96*$I96/12*1,IF($J96=3,-$E96*$I96/12*2,IF($J96&gt;=4,-$E96*$I96/12*3,0))))))</f>
        <v>0</v>
      </c>
      <c r="CT96" s="1807">
        <f t="shared" ref="CT96:CT97" si="1265">IF($H96&lt;&gt;CW$5,0,IF(CW96&lt;0,IF(OR($J96=1,$J96=2,$J96=3,$J96=4),-$E96*$I96/12*3,IF($J96=5,-$E96*$I96/12*2,IF($J96=6,-$E96*$I96/12*1,0)))))+IF(CR$5&lt;&gt;$H96,0,IF(CR96&lt;0,IF($J96=4,-$E96*$I96/12*0,IF($J96=5,-$E96*$I96/12*1,IF($J96=6,-$E96*$I96/12*2,IF($J96&gt;=7,-$E96*$I96/12*3,0))))))</f>
        <v>0</v>
      </c>
      <c r="CU96" s="1807">
        <f t="shared" ref="CU96:CU97" si="1266">IF($H96&lt;&gt;CW$5,0,IF(CW96&lt;0,IF(OR($J96=1,$J96=2,$J96=3,$J96=4,$J96=5,$J96=6,$J96=7),-$E96*$I96/12*3,IF($J96=8,-$E96*$I96/12*2,IF($J96=9,-$E96*$I96/12*1,0)))))+IF(CR$5&lt;&gt;$H96,0,IF(CR96&lt;0,IF($J96=7,-$E96*$I96/12*0,IF($J96=8,-$E96*$I96/12*1,IF($J96=9,-$E96*$I96/12*2,IF($J96&gt;=10,-$E96*$I96/12*3,0))))))</f>
        <v>0</v>
      </c>
      <c r="CV96" s="1806">
        <f t="shared" ref="CV96:CV97" si="1267">IF($H96&lt;&gt;CW$5,0,IF(CW96&lt;0,IF(OR($J96=1,$J96=2,$J96=3,$J96=4,$J96=5,$J96=6,$J96=7,$J96=8,$J96=9,$J96=10),-$E96*$I96/12*3,IF($J96=11,-$E96*$I96/12*2,IF($J96=12,-$E96*$I96/12*1,0)))))+IF(CR$5&lt;&gt;$H96,0,IF(CR96&lt;0,IF($J96=10,-$E96*$I96/12*0,IF($J96=11,-$E96*$I96/12*1,IF($J96=12,-$E96*$I96/12*2,0)))))</f>
        <v>0</v>
      </c>
      <c r="CW96" s="1791">
        <f t="shared" ref="CW96:CW97" si="1268">IF(AND(CR96&lt;&gt;0,CR$5=$H96),-$I96*$E96-CR96,IF(CW$5=$H96,-$I96*$E96*(12-$J96+1)/12,0))</f>
        <v>0</v>
      </c>
      <c r="CX96" s="1808">
        <f t="shared" ref="CX96:CX97" si="1269">IF($H96&lt;&gt;DB$5,0,IF(DB96&lt;0,IF($J96=1,-$E96*$I96/12*3,IF($J96=2,-$E96*$I96/12*2,IF($J96=3,-$E96*$I96/12*1,0)))))+IF(CW$5&lt;&gt;$H96,0,IF(CW96&lt;0,IF($J96=1,-$E96*$I96/12*0,IF($J96=2,-$E96*$I96/12*1,IF($J96=3,-$E96*$I96/12*2,IF($J96&gt;=4,-$E96*$I96/12*3,0))))))</f>
        <v>0</v>
      </c>
      <c r="CY96" s="1807">
        <f t="shared" ref="CY96:CY97" si="1270">IF($H96&lt;&gt;DB$5,0,IF(DB96&lt;0,IF(OR($J96=1,$J96=2,$J96=3,$J96=4),-$E96*$I96/12*3,IF($J96=5,-$E96*$I96/12*2,IF($J96=6,-$E96*$I96/12*1,0)))))+IF(CW$5&lt;&gt;$H96,0,IF(CW96&lt;0,IF($J96=4,-$E96*$I96/12*0,IF($J96=5,-$E96*$I96/12*1,IF($J96=6,-$E96*$I96/12*2,IF($J96&gt;=7,-$E96*$I96/12*3,0))))))</f>
        <v>0</v>
      </c>
      <c r="CZ96" s="1807">
        <f t="shared" ref="CZ96:CZ97" si="1271">IF($H96&lt;&gt;DB$5,0,IF(DB96&lt;0,IF(OR($J96=1,$J96=2,$J96=3,$J96=4,$J96=5,$J96=6,$J96=7),-$E96*$I96/12*3,IF($J96=8,-$E96*$I96/12*2,IF($J96=9,-$E96*$I96/12*1,0)))))+IF(CW$5&lt;&gt;$H96,0,IF(CW96&lt;0,IF($J96=7,-$E96*$I96/12*0,IF($J96=8,-$E96*$I96/12*1,IF($J96=9,-$E96*$I96/12*2,IF($J96&gt;=10,-$E96*$I96/12*3,0))))))</f>
        <v>-0.609375</v>
      </c>
      <c r="DA96" s="1806">
        <f t="shared" ref="DA96:DA97" si="1272">IF($H96&lt;&gt;DB$5,0,IF(DB96&lt;0,IF(OR($J96=1,$J96=2,$J96=3,$J96=4,$J96=5,$J96=6,$J96=7,$J96=8,$J96=9,$J96=10),-$E96*$I96/12*3,IF($J96=11,-$E96*$I96/12*2,IF($J96=12,-$E96*$I96/12*1,0)))))+IF(CW$5&lt;&gt;$H96,0,IF(CW96&lt;0,IF($J96=10,-$E96*$I96/12*0,IF($J96=11,-$E96*$I96/12*1,IF($J96=12,-$E96*$I96/12*2,0)))))</f>
        <v>-0.609375</v>
      </c>
      <c r="DB96" s="1791">
        <f t="shared" ref="DB96:DB97" si="1273">IF(AND(CW96&lt;&gt;0,CW$5=$H96),-$I96*$E96-CW96,IF(DB$5=$H96,-$I96*$E96*(12-$J96+1)/12,0))</f>
        <v>-1.21875</v>
      </c>
      <c r="DC96" s="1808">
        <f t="shared" ref="DC96:DC97" si="1274">IF($H96&lt;&gt;DG$5,0,IF(DG96&lt;0,IF($J96=1,-$E96*$I96/12*3,IF($J96=2,-$E96*$I96/12*2,IF($J96=3,-$E96*$I96/12*1,0)))))+IF(DB$5&lt;&gt;$H96,0,IF(DB96&lt;0,IF($J96=1,-$E96*$I96/12*0,IF($J96=2,-$E96*$I96/12*1,IF($J96=3,-$E96*$I96/12*2,IF($J96&gt;=4,-$E96*$I96/12*3,0))))))</f>
        <v>-0.609375</v>
      </c>
      <c r="DD96" s="1807">
        <f t="shared" ref="DD96:DD97" si="1275">IF($H96&lt;&gt;DG$5,0,IF(DG96&lt;0,IF(OR($J96=1,$J96=2,$J96=3,$J96=4),-$E96*$I96/12*3,IF($J96=5,-$E96*$I96/12*2,IF($J96=6,-$E96*$I96/12*1,0)))))+IF(DB$5&lt;&gt;$H96,0,IF(DB96&lt;0,IF($J96=4,-$E96*$I96/12*0,IF($J96=5,-$E96*$I96/12*1,IF($J96=6,-$E96*$I96/12*2,IF($J96&gt;=7,-$E96*$I96/12*3,0))))))</f>
        <v>-0.609375</v>
      </c>
      <c r="DE96" s="1807">
        <f t="shared" ref="DE96:DE97" si="1276">IF($H96&lt;&gt;DG$5,0,IF(DG96&lt;0,IF(OR($J96=1,$J96=2,$J96=3,$J96=4,$J96=5,$J96=6,$J96=7),-$E96*$I96/12*3,IF($J96=8,-$E96*$I96/12*2,IF($J96=9,-$E96*$I96/12*1,0)))))+IF(DB$5&lt;&gt;$H96,0,IF(DB96&lt;0,IF($J96=7,-$E96*$I96/12*0,IF($J96=8,-$E96*$I96/12*1,IF($J96=9,-$E96*$I96/12*2,IF($J96&gt;=10,-$E96*$I96/12*3,0))))))</f>
        <v>0</v>
      </c>
      <c r="DF96" s="1806">
        <f t="shared" ref="DF96:DF97" si="1277">IF($H96&lt;&gt;DG$5,0,IF(DG96&lt;0,IF(OR($J96=1,$J96=2,$J96=3,$J96=4,$J96=5,$J96=6,$J96=7,$J96=8,$J96=9,$J96=10),-$E96*$I96/12*3,IF($J96=11,-$E96*$I96/12*2,IF($J96=12,-$E96*$I96/12*1,0)))))+IF(DB$5&lt;&gt;$H96,0,IF(DB96&lt;0,IF($J96=10,-$E96*$I96/12*0,IF($J96=11,-$E96*$I96/12*1,IF($J96=12,-$E96*$I96/12*2,0)))))</f>
        <v>0</v>
      </c>
      <c r="DG96" s="1791">
        <f t="shared" ref="DG96:DG97" si="1278">IF(AND(DB96&lt;&gt;0,DB$5=$H96),-$I96*$E96-DB96,IF(DG$5=$H96,-$I96*$E96*(12-$J96+1)/12,0))</f>
        <v>-1.21875</v>
      </c>
      <c r="DH96" s="1808">
        <f t="shared" ref="DH96:DH97" si="1279">IF($H96&lt;&gt;DL$5,0,IF(DL96&lt;0,IF($J96=1,-$E96*$I96/12*3,IF($J96=2,-$E96*$I96/12*2,IF($J96=3,-$E96*$I96/12*1,0)))))+IF(DG$5&lt;&gt;$H96,0,IF(DG96&lt;0,IF($J96=1,-$E96*$I96/12*0,IF($J96=2,-$E96*$I96/12*1,IF($J96=3,-$E96*$I96/12*2,IF($J96&gt;=4,-$E96*$I96/12*3,0))))))</f>
        <v>0</v>
      </c>
      <c r="DI96" s="1807">
        <f t="shared" ref="DI96:DI97" si="1280">IF($H96&lt;&gt;DL$5,0,IF(DL96&lt;0,IF(OR($J96=1,$J96=2,$J96=3,$J96=4),-$E96*$I96/12*3,IF($J96=5,-$E96*$I96/12*2,IF($J96=6,-$E96*$I96/12*1,0)))))+IF(DG$5&lt;&gt;$H96,0,IF(DG96&lt;0,IF($J96=4,-$E96*$I96/12*0,IF($J96=5,-$E96*$I96/12*1,IF($J96=6,-$E96*$I96/12*2,IF($J96&gt;=7,-$E96*$I96/12*3,0))))))</f>
        <v>0</v>
      </c>
      <c r="DJ96" s="1807">
        <f t="shared" ref="DJ96:DJ97" si="1281">IF($H96&lt;&gt;DL$5,0,IF(DL96&lt;0,IF(OR($J96=1,$J96=2,$J96=3,$J96=4,$J96=5,$J96=6,$J96=7),-$E96*$I96/12*3,IF($J96=8,-$E96*$I96/12*2,IF($J96=9,-$E96*$I96/12*1,0)))))+IF(DG$5&lt;&gt;$H96,0,IF(DG96&lt;0,IF($J96=7,-$E96*$I96/12*0,IF($J96=8,-$E96*$I96/12*1,IF($J96=9,-$E96*$I96/12*2,IF($J96&gt;=10,-$E96*$I96/12*3,0))))))</f>
        <v>0</v>
      </c>
      <c r="DK96" s="1806">
        <f t="shared" ref="DK96:DK97" si="1282">IF($H96&lt;&gt;DL$5,0,IF(DL96&lt;0,IF(OR($J96=1,$J96=2,$J96=3,$J96=4,$J96=5,$J96=6,$J96=7,$J96=8,$J96=9,$J96=10),-$E96*$I96/12*3,IF($J96=11,-$E96*$I96/12*2,IF($J96=12,-$E96*$I96/12*1,0)))))+IF(DG$5&lt;&gt;$H96,0,IF(DG96&lt;0,IF($J96=10,-$E96*$I96/12*0,IF($J96=11,-$E96*$I96/12*1,IF($J96=12,-$E96*$I96/12*2,0)))))</f>
        <v>0</v>
      </c>
      <c r="DL96" s="1791">
        <f t="shared" ref="DL96:DL97" si="1283">IF(AND(DG96&lt;&gt;0,DG$5=$H96),-$I96*$E96-DG96,IF(DL$5=$H96,-$I96*$E96*(12-$J96+1)/12,0))</f>
        <v>0</v>
      </c>
      <c r="DM96" s="1808">
        <f t="shared" ref="DM96:DM97" si="1284">IF($H96&lt;&gt;DQ$5,0,IF(DQ96&lt;0,IF($J96=1,-$E96*$I96/12*3,IF($J96=2,-$E96*$I96/12*2,IF($J96=3,-$E96*$I96/12*1,0)))))+IF(DL$5&lt;&gt;$H96,0,IF(DL96&lt;0,IF($J96=1,-$E96*$I96/12*0,IF($J96=2,-$E96*$I96/12*1,IF($J96=3,-$E96*$I96/12*2,IF($J96&gt;=4,-$E96*$I96/12*3,0))))))</f>
        <v>0</v>
      </c>
      <c r="DN96" s="1807">
        <f t="shared" ref="DN96:DN97" si="1285">IF($H96&lt;&gt;DQ$5,0,IF(DQ96&lt;0,IF(OR($J96=1,$J96=2,$J96=3,$J96=4),-$E96*$I96/12*3,IF($J96=5,-$E96*$I96/12*2,IF($J96=6,-$E96*$I96/12*1,0)))))+IF(DL$5&lt;&gt;$H96,0,IF(DL96&lt;0,IF($J96=4,-$E96*$I96/12*0,IF($J96=5,-$E96*$I96/12*1,IF($J96=6,-$E96*$I96/12*2,IF($J96&gt;=7,-$E96*$I96/12*3,0))))))</f>
        <v>0</v>
      </c>
      <c r="DO96" s="1807">
        <f t="shared" ref="DO96:DO97" si="1286">IF($H96&lt;&gt;DQ$5,0,IF(DQ96&lt;0,IF(OR($J96=1,$J96=2,$J96=3,$J96=4,$J96=5,$J96=6,$J96=7),-$E96*$I96/12*3,IF($J96=8,-$E96*$I96/12*2,IF($J96=9,-$E96*$I96/12*1,0)))))+IF(DL$5&lt;&gt;$H96,0,IF(DL96&lt;0,IF($J96=7,-$E96*$I96/12*0,IF($J96=8,-$E96*$I96/12*1,IF($J96=9,-$E96*$I96/12*2,IF($J96&gt;=10,-$E96*$I96/12*3,0))))))</f>
        <v>0</v>
      </c>
      <c r="DP96" s="1806">
        <f t="shared" ref="DP96:DP97" si="1287">IF($H96&lt;&gt;DQ$5,0,IF(DQ96&lt;0,IF(OR($J96=1,$J96=2,$J96=3,$J96=4,$J96=5,$J96=6,$J96=7,$J96=8,$J96=9,$J96=10),-$E96*$I96/12*3,IF($J96=11,-$E96*$I96/12*2,IF($J96=12,-$E96*$I96/12*1,0)))))+IF(DL$5&lt;&gt;$H96,0,IF(DL96&lt;0,IF($J96=10,-$E96*$I96/12*0,IF($J96=11,-$E96*$I96/12*1,IF($J96=12,-$E96*$I96/12*2,0)))))</f>
        <v>0</v>
      </c>
      <c r="DQ96" s="1791">
        <f t="shared" ref="DQ96:DQ97" si="1288">IF(AND(DL96&lt;&gt;0,DL$5=$H96),-$I96*$E96-DL96,IF(DQ$5=$H96,-$I96*$E96*(12-$J96+1)/12,0))</f>
        <v>0</v>
      </c>
      <c r="DR96" s="1808">
        <f t="shared" ref="DR96:DR97" si="1289">IF($H96&lt;&gt;DV$5,0,IF(DV96&lt;0,IF($J96=1,-$E96*$I96/12*3,IF($J96=2,-$E96*$I96/12*2,IF($J96=3,-$E96*$I96/12*1,0)))))+IF(DQ$5&lt;&gt;$H96,0,IF(DQ96&lt;0,IF($J96=1,-$E96*$I96/12*0,IF($J96=2,-$E96*$I96/12*1,IF($J96=3,-$E96*$I96/12*2,IF($J96&gt;=4,-$E96*$I96/12*3,0))))))</f>
        <v>0</v>
      </c>
      <c r="DS96" s="1807">
        <f t="shared" ref="DS96:DS97" si="1290">IF($H96&lt;&gt;DV$5,0,IF(DV96&lt;0,IF(OR($J96=1,$J96=2,$J96=3,$J96=4),-$E96*$I96/12*3,IF($J96=5,-$E96*$I96/12*2,IF($J96=6,-$E96*$I96/12*1,0)))))+IF(DQ$5&lt;&gt;$H96,0,IF(DQ96&lt;0,IF($J96=4,-$E96*$I96/12*0,IF($J96=5,-$E96*$I96/12*1,IF($J96=6,-$E96*$I96/12*2,IF($J96&gt;=7,-$E96*$I96/12*3,0))))))</f>
        <v>0</v>
      </c>
      <c r="DT96" s="1807">
        <f t="shared" ref="DT96:DT97" si="1291">IF($H96&lt;&gt;DV$5,0,IF(DV96&lt;0,IF(OR($J96=1,$J96=2,$J96=3,$J96=4,$J96=5,$J96=6,$J96=7),-$E96*$I96/12*3,IF($J96=8,-$E96*$I96/12*2,IF($J96=9,-$E96*$I96/12*1,0)))))+IF(DQ$5&lt;&gt;$H96,0,IF(DQ96&lt;0,IF($J96=7,-$E96*$I96/12*0,IF($J96=8,-$E96*$I96/12*1,IF($J96=9,-$E96*$I96/12*2,IF($J96&gt;=10,-$E96*$I96/12*3,0))))))</f>
        <v>0</v>
      </c>
      <c r="DU96" s="1806">
        <f t="shared" ref="DU96:DU97" si="1292">IF($H96&lt;&gt;DV$5,0,IF(DV96&lt;0,IF(OR($J96=1,$J96=2,$J96=3,$J96=4,$J96=5,$J96=6,$J96=7,$J96=8,$J96=9,$J96=10),-$E96*$I96/12*3,IF($J96=11,-$E96*$I96/12*2,IF($J96=12,-$E96*$I96/12*1,0)))))+IF(DQ$5&lt;&gt;$H96,0,IF(DQ96&lt;0,IF($J96=10,-$E96*$I96/12*0,IF($J96=11,-$E96*$I96/12*1,IF($J96=12,-$E96*$I96/12*2,0)))))</f>
        <v>0</v>
      </c>
      <c r="DV96" s="1791">
        <f t="shared" ref="DV96:DV97" si="1293">IF(AND(DQ96&lt;&gt;0,DQ$5=$H96),-$I96*$E96-DQ96,IF(DV$5=$H96,-$I96*$E96*(12-$J96+1)/12,0))</f>
        <v>0</v>
      </c>
    </row>
    <row r="97" spans="1:126">
      <c r="A97" s="455"/>
      <c r="B97" s="455"/>
      <c r="C97" s="1723" t="s">
        <v>1034</v>
      </c>
      <c r="D97" s="94"/>
      <c r="E97" s="1817">
        <f t="shared" si="800"/>
        <v>25</v>
      </c>
      <c r="F97" s="1435">
        <v>0</v>
      </c>
      <c r="G97" s="1435">
        <v>25</v>
      </c>
      <c r="H97" s="1350">
        <v>2017</v>
      </c>
      <c r="I97" s="1337">
        <v>3.2500000000000001E-2</v>
      </c>
      <c r="J97" s="1343">
        <v>7</v>
      </c>
      <c r="K97" s="1792"/>
      <c r="L97" s="1810">
        <f t="shared" ref="L97:M97" si="1294">IF(L$5=$H97,-$E97,0)</f>
        <v>0</v>
      </c>
      <c r="M97" s="1791">
        <f t="shared" si="1294"/>
        <v>0</v>
      </c>
      <c r="N97" s="1808">
        <f t="shared" si="1193"/>
        <v>0</v>
      </c>
      <c r="O97" s="1807">
        <f t="shared" si="1194"/>
        <v>0</v>
      </c>
      <c r="P97" s="1807">
        <f t="shared" si="1195"/>
        <v>0</v>
      </c>
      <c r="Q97" s="1806">
        <f t="shared" si="1196"/>
        <v>0</v>
      </c>
      <c r="R97" s="1791">
        <f t="shared" si="693"/>
        <v>0</v>
      </c>
      <c r="S97" s="1808">
        <f t="shared" si="1197"/>
        <v>0</v>
      </c>
      <c r="T97" s="1807">
        <f t="shared" si="1198"/>
        <v>0</v>
      </c>
      <c r="U97" s="1807">
        <f t="shared" si="1199"/>
        <v>0</v>
      </c>
      <c r="V97" s="1806">
        <f t="shared" si="1200"/>
        <v>0</v>
      </c>
      <c r="W97" s="1791">
        <f t="shared" si="698"/>
        <v>0</v>
      </c>
      <c r="X97" s="1808">
        <f t="shared" si="1201"/>
        <v>0</v>
      </c>
      <c r="Y97" s="1807">
        <f t="shared" si="1202"/>
        <v>0</v>
      </c>
      <c r="Z97" s="1807">
        <f t="shared" si="1203"/>
        <v>0</v>
      </c>
      <c r="AA97" s="1806">
        <f t="shared" si="1204"/>
        <v>0</v>
      </c>
      <c r="AB97" s="1791">
        <f t="shared" si="703"/>
        <v>0</v>
      </c>
      <c r="AC97" s="1808">
        <f t="shared" si="1205"/>
        <v>0</v>
      </c>
      <c r="AD97" s="1807">
        <f t="shared" si="1206"/>
        <v>0</v>
      </c>
      <c r="AE97" s="1807">
        <f t="shared" si="1207"/>
        <v>0</v>
      </c>
      <c r="AF97" s="1806">
        <f t="shared" si="1208"/>
        <v>0</v>
      </c>
      <c r="AG97" s="1791">
        <f t="shared" si="708"/>
        <v>0</v>
      </c>
      <c r="AH97" s="1808">
        <f t="shared" si="1209"/>
        <v>0</v>
      </c>
      <c r="AI97" s="1807">
        <f t="shared" si="1210"/>
        <v>0</v>
      </c>
      <c r="AJ97" s="1807">
        <f t="shared" si="1211"/>
        <v>0</v>
      </c>
      <c r="AK97" s="1806">
        <f t="shared" si="1212"/>
        <v>0</v>
      </c>
      <c r="AL97" s="1791">
        <f t="shared" si="713"/>
        <v>0</v>
      </c>
      <c r="AM97" s="1808">
        <f t="shared" si="1213"/>
        <v>0</v>
      </c>
      <c r="AN97" s="1807">
        <f t="shared" si="1214"/>
        <v>0</v>
      </c>
      <c r="AO97" s="1807">
        <f t="shared" si="1215"/>
        <v>0</v>
      </c>
      <c r="AP97" s="1806">
        <f t="shared" si="1216"/>
        <v>0</v>
      </c>
      <c r="AQ97" s="1791">
        <f t="shared" si="718"/>
        <v>0</v>
      </c>
      <c r="AR97" s="1808">
        <f t="shared" si="1217"/>
        <v>0</v>
      </c>
      <c r="AS97" s="1807">
        <f t="shared" si="1218"/>
        <v>0</v>
      </c>
      <c r="AT97" s="1807">
        <f t="shared" si="1219"/>
        <v>-25</v>
      </c>
      <c r="AU97" s="1806">
        <f t="shared" si="1220"/>
        <v>0</v>
      </c>
      <c r="AV97" s="1791">
        <f t="shared" si="723"/>
        <v>-25</v>
      </c>
      <c r="AW97" s="1808">
        <f t="shared" si="1221"/>
        <v>0</v>
      </c>
      <c r="AX97" s="1807">
        <f t="shared" si="1222"/>
        <v>0</v>
      </c>
      <c r="AY97" s="1807">
        <f t="shared" si="1223"/>
        <v>0</v>
      </c>
      <c r="AZ97" s="1806">
        <f t="shared" si="1224"/>
        <v>0</v>
      </c>
      <c r="BA97" s="1791">
        <f t="shared" si="728"/>
        <v>0</v>
      </c>
      <c r="BB97" s="1808">
        <f t="shared" si="1225"/>
        <v>0</v>
      </c>
      <c r="BC97" s="1807">
        <f t="shared" si="1226"/>
        <v>0</v>
      </c>
      <c r="BD97" s="1807">
        <f t="shared" si="1227"/>
        <v>0</v>
      </c>
      <c r="BE97" s="1806">
        <f t="shared" si="1228"/>
        <v>0</v>
      </c>
      <c r="BF97" s="1791">
        <f t="shared" si="733"/>
        <v>0</v>
      </c>
      <c r="BG97" s="1808">
        <f t="shared" si="1229"/>
        <v>0</v>
      </c>
      <c r="BH97" s="1807">
        <f t="shared" si="1230"/>
        <v>0</v>
      </c>
      <c r="BI97" s="1807">
        <f t="shared" si="1231"/>
        <v>0</v>
      </c>
      <c r="BJ97" s="1806">
        <f t="shared" si="1232"/>
        <v>0</v>
      </c>
      <c r="BK97" s="1791">
        <f t="shared" si="738"/>
        <v>0</v>
      </c>
      <c r="BL97" s="1808">
        <f t="shared" si="1233"/>
        <v>0</v>
      </c>
      <c r="BM97" s="1807">
        <f t="shared" si="1234"/>
        <v>0</v>
      </c>
      <c r="BN97" s="1807">
        <f t="shared" si="1235"/>
        <v>0</v>
      </c>
      <c r="BO97" s="1806">
        <f t="shared" si="1236"/>
        <v>0</v>
      </c>
      <c r="BP97" s="1791">
        <f t="shared" si="743"/>
        <v>0</v>
      </c>
      <c r="BQ97" s="1827"/>
      <c r="BR97" s="1791">
        <f t="shared" si="1237"/>
        <v>0</v>
      </c>
      <c r="BS97" s="1791">
        <f t="shared" si="1238"/>
        <v>0</v>
      </c>
      <c r="BT97" s="1808">
        <f t="shared" si="1239"/>
        <v>0</v>
      </c>
      <c r="BU97" s="1807">
        <f t="shared" si="1240"/>
        <v>0</v>
      </c>
      <c r="BV97" s="1807">
        <f t="shared" si="1241"/>
        <v>0</v>
      </c>
      <c r="BW97" s="1806">
        <f t="shared" si="1242"/>
        <v>0</v>
      </c>
      <c r="BX97" s="1791">
        <f t="shared" si="1243"/>
        <v>0</v>
      </c>
      <c r="BY97" s="1808">
        <f t="shared" si="1244"/>
        <v>0</v>
      </c>
      <c r="BZ97" s="1807">
        <f t="shared" si="1245"/>
        <v>0</v>
      </c>
      <c r="CA97" s="1807">
        <f t="shared" si="1246"/>
        <v>0</v>
      </c>
      <c r="CB97" s="1806">
        <f t="shared" si="1247"/>
        <v>0</v>
      </c>
      <c r="CC97" s="1791">
        <f t="shared" si="1248"/>
        <v>0</v>
      </c>
      <c r="CD97" s="1808">
        <f t="shared" si="1249"/>
        <v>0</v>
      </c>
      <c r="CE97" s="1807">
        <f t="shared" si="1250"/>
        <v>0</v>
      </c>
      <c r="CF97" s="1807">
        <f t="shared" si="1251"/>
        <v>0</v>
      </c>
      <c r="CG97" s="1806">
        <f t="shared" si="1252"/>
        <v>0</v>
      </c>
      <c r="CH97" s="1791">
        <f t="shared" si="1253"/>
        <v>0</v>
      </c>
      <c r="CI97" s="1808">
        <f t="shared" si="1254"/>
        <v>0</v>
      </c>
      <c r="CJ97" s="1807">
        <f t="shared" si="1255"/>
        <v>0</v>
      </c>
      <c r="CK97" s="1807">
        <f t="shared" si="1256"/>
        <v>0</v>
      </c>
      <c r="CL97" s="1806">
        <f t="shared" si="1257"/>
        <v>0</v>
      </c>
      <c r="CM97" s="1791">
        <f t="shared" si="1258"/>
        <v>0</v>
      </c>
      <c r="CN97" s="1808">
        <f t="shared" si="1259"/>
        <v>0</v>
      </c>
      <c r="CO97" s="1807">
        <f t="shared" si="1260"/>
        <v>0</v>
      </c>
      <c r="CP97" s="1807">
        <f t="shared" si="1261"/>
        <v>0</v>
      </c>
      <c r="CQ97" s="1806">
        <f t="shared" si="1262"/>
        <v>0</v>
      </c>
      <c r="CR97" s="1791">
        <f t="shared" si="1263"/>
        <v>0</v>
      </c>
      <c r="CS97" s="1808">
        <f t="shared" si="1264"/>
        <v>0</v>
      </c>
      <c r="CT97" s="1807">
        <f t="shared" si="1265"/>
        <v>0</v>
      </c>
      <c r="CU97" s="1807">
        <f t="shared" si="1266"/>
        <v>0</v>
      </c>
      <c r="CV97" s="1806">
        <f t="shared" si="1267"/>
        <v>0</v>
      </c>
      <c r="CW97" s="1791">
        <f t="shared" si="1268"/>
        <v>0</v>
      </c>
      <c r="CX97" s="1808">
        <f t="shared" si="1269"/>
        <v>0</v>
      </c>
      <c r="CY97" s="1807">
        <f t="shared" si="1270"/>
        <v>0</v>
      </c>
      <c r="CZ97" s="1807">
        <f t="shared" si="1271"/>
        <v>-0.203125</v>
      </c>
      <c r="DA97" s="1806">
        <f t="shared" si="1272"/>
        <v>-0.203125</v>
      </c>
      <c r="DB97" s="1791">
        <f t="shared" si="1273"/>
        <v>-0.40625</v>
      </c>
      <c r="DC97" s="1808">
        <f t="shared" si="1274"/>
        <v>-0.203125</v>
      </c>
      <c r="DD97" s="1807">
        <f t="shared" si="1275"/>
        <v>-0.203125</v>
      </c>
      <c r="DE97" s="1807">
        <f t="shared" si="1276"/>
        <v>0</v>
      </c>
      <c r="DF97" s="1806">
        <f t="shared" si="1277"/>
        <v>0</v>
      </c>
      <c r="DG97" s="1791">
        <f t="shared" si="1278"/>
        <v>-0.40625</v>
      </c>
      <c r="DH97" s="1808">
        <f t="shared" si="1279"/>
        <v>0</v>
      </c>
      <c r="DI97" s="1807">
        <f t="shared" si="1280"/>
        <v>0</v>
      </c>
      <c r="DJ97" s="1807">
        <f t="shared" si="1281"/>
        <v>0</v>
      </c>
      <c r="DK97" s="1806">
        <f t="shared" si="1282"/>
        <v>0</v>
      </c>
      <c r="DL97" s="1791">
        <f t="shared" si="1283"/>
        <v>0</v>
      </c>
      <c r="DM97" s="1808">
        <f t="shared" si="1284"/>
        <v>0</v>
      </c>
      <c r="DN97" s="1807">
        <f t="shared" si="1285"/>
        <v>0</v>
      </c>
      <c r="DO97" s="1807">
        <f t="shared" si="1286"/>
        <v>0</v>
      </c>
      <c r="DP97" s="1806">
        <f t="shared" si="1287"/>
        <v>0</v>
      </c>
      <c r="DQ97" s="1791">
        <f t="shared" si="1288"/>
        <v>0</v>
      </c>
      <c r="DR97" s="1808">
        <f t="shared" si="1289"/>
        <v>0</v>
      </c>
      <c r="DS97" s="1807">
        <f t="shared" si="1290"/>
        <v>0</v>
      </c>
      <c r="DT97" s="1807">
        <f t="shared" si="1291"/>
        <v>0</v>
      </c>
      <c r="DU97" s="1806">
        <f t="shared" si="1292"/>
        <v>0</v>
      </c>
      <c r="DV97" s="1791">
        <f t="shared" si="1293"/>
        <v>0</v>
      </c>
    </row>
    <row r="98" spans="1:126">
      <c r="A98" s="455"/>
      <c r="B98" s="455"/>
      <c r="C98" s="1363"/>
      <c r="D98" s="455"/>
      <c r="E98" s="1817"/>
      <c r="F98" s="1435"/>
      <c r="G98" s="1435"/>
      <c r="H98" s="1350"/>
      <c r="I98" s="1335"/>
      <c r="J98" s="1343"/>
      <c r="K98" s="1792"/>
      <c r="L98" s="1810"/>
      <c r="M98" s="1791"/>
      <c r="N98" s="1808"/>
      <c r="O98" s="1807"/>
      <c r="P98" s="1807"/>
      <c r="Q98" s="1806"/>
      <c r="R98" s="1791"/>
      <c r="S98" s="1808"/>
      <c r="T98" s="1807"/>
      <c r="U98" s="1807"/>
      <c r="V98" s="1806"/>
      <c r="W98" s="1791"/>
      <c r="X98" s="1808"/>
      <c r="Y98" s="1807"/>
      <c r="Z98" s="1807"/>
      <c r="AA98" s="1806"/>
      <c r="AB98" s="1791"/>
      <c r="AC98" s="1808"/>
      <c r="AD98" s="1807"/>
      <c r="AE98" s="1807"/>
      <c r="AF98" s="1806"/>
      <c r="AG98" s="1791"/>
      <c r="AH98" s="1808"/>
      <c r="AI98" s="1807"/>
      <c r="AJ98" s="1807"/>
      <c r="AK98" s="1806"/>
      <c r="AL98" s="1791"/>
      <c r="AM98" s="1808"/>
      <c r="AN98" s="1807"/>
      <c r="AO98" s="1807"/>
      <c r="AP98" s="1806"/>
      <c r="AQ98" s="1791"/>
      <c r="AR98" s="1808"/>
      <c r="AS98" s="1807"/>
      <c r="AT98" s="1807"/>
      <c r="AU98" s="1806"/>
      <c r="AV98" s="1791"/>
      <c r="AW98" s="1808"/>
      <c r="AX98" s="1807"/>
      <c r="AY98" s="1807"/>
      <c r="AZ98" s="1806"/>
      <c r="BA98" s="1791"/>
      <c r="BB98" s="1808"/>
      <c r="BC98" s="1807"/>
      <c r="BD98" s="1807"/>
      <c r="BE98" s="1806"/>
      <c r="BF98" s="1791"/>
      <c r="BG98" s="1808"/>
      <c r="BH98" s="1807"/>
      <c r="BI98" s="1807"/>
      <c r="BJ98" s="1806"/>
      <c r="BK98" s="1791"/>
      <c r="BL98" s="1808"/>
      <c r="BM98" s="1807"/>
      <c r="BN98" s="1807"/>
      <c r="BO98" s="1806"/>
      <c r="BP98" s="1791"/>
      <c r="BQ98" s="1827"/>
      <c r="BR98" s="1791"/>
      <c r="BS98" s="1791"/>
      <c r="BT98" s="1808"/>
      <c r="BU98" s="1807"/>
      <c r="BV98" s="1807"/>
      <c r="BW98" s="1806"/>
      <c r="BX98" s="1791"/>
      <c r="BY98" s="1808"/>
      <c r="BZ98" s="1807"/>
      <c r="CA98" s="1807"/>
      <c r="CB98" s="1806"/>
      <c r="CC98" s="1791"/>
      <c r="CD98" s="1808"/>
      <c r="CE98" s="1807"/>
      <c r="CF98" s="1807"/>
      <c r="CG98" s="1806"/>
      <c r="CH98" s="1791"/>
      <c r="CI98" s="1808"/>
      <c r="CJ98" s="1807"/>
      <c r="CK98" s="1807"/>
      <c r="CL98" s="1806"/>
      <c r="CM98" s="1791"/>
      <c r="CN98" s="1808"/>
      <c r="CO98" s="1807"/>
      <c r="CP98" s="1807"/>
      <c r="CQ98" s="1806"/>
      <c r="CR98" s="1791"/>
      <c r="CS98" s="1808"/>
      <c r="CT98" s="1807"/>
      <c r="CU98" s="1807"/>
      <c r="CV98" s="1806"/>
      <c r="CW98" s="1791"/>
      <c r="CX98" s="1808"/>
      <c r="CY98" s="1807"/>
      <c r="CZ98" s="1807"/>
      <c r="DA98" s="1806"/>
      <c r="DB98" s="1791"/>
      <c r="DC98" s="1808"/>
      <c r="DD98" s="1807"/>
      <c r="DE98" s="1807"/>
      <c r="DF98" s="1806"/>
      <c r="DG98" s="1791"/>
      <c r="DH98" s="1808"/>
      <c r="DI98" s="1807"/>
      <c r="DJ98" s="1807"/>
      <c r="DK98" s="1806"/>
      <c r="DL98" s="1791"/>
      <c r="DM98" s="1808"/>
      <c r="DN98" s="1807"/>
      <c r="DO98" s="1807"/>
      <c r="DP98" s="1806"/>
      <c r="DQ98" s="1791"/>
      <c r="DR98" s="1808"/>
      <c r="DS98" s="1807"/>
      <c r="DT98" s="1807"/>
      <c r="DU98" s="1806"/>
      <c r="DV98" s="1791"/>
    </row>
    <row r="99" spans="1:126">
      <c r="A99" s="455"/>
      <c r="B99" s="455"/>
      <c r="C99" s="1596" t="s">
        <v>746</v>
      </c>
      <c r="D99" s="455"/>
      <c r="E99" s="1817"/>
      <c r="F99" s="1435"/>
      <c r="G99" s="1435"/>
      <c r="H99" s="1597"/>
      <c r="I99" s="1598"/>
      <c r="J99" s="1599"/>
      <c r="K99" s="1792"/>
      <c r="L99" s="1810">
        <f t="shared" ref="L99:M101" si="1295">IF(L$5=$H99,-$E99,0)</f>
        <v>0</v>
      </c>
      <c r="M99" s="1791">
        <f t="shared" si="1295"/>
        <v>0</v>
      </c>
      <c r="N99" s="1808">
        <f>IF(R99=0,0,IF(R99&lt;0,IF($J99=3,R99,IF($J99=2,R99,IF($J99=1,R99,0)))))</f>
        <v>0</v>
      </c>
      <c r="O99" s="1807">
        <f>IF(R99=0,0,IF(R99&lt;0,IF($J99=6,R99,IF($J99=5,R99,IF($J99=4,R99,0)))))</f>
        <v>0</v>
      </c>
      <c r="P99" s="1807">
        <f>IF(R99=0,0,IF(R99&lt;0,IF($J99=9,R99,IF($J99=8,R99,IF($J99=7,R99,0)))))</f>
        <v>0</v>
      </c>
      <c r="Q99" s="1806">
        <f>IF(R99=0,0,IF(R99&lt;0,IF($J99=12,R99,IF($J99=11,R99,IF($J99=10,R99,0)))))</f>
        <v>0</v>
      </c>
      <c r="R99" s="1791">
        <f>IF(R$5=$H99,-$E99,0)</f>
        <v>0</v>
      </c>
      <c r="S99" s="1808">
        <f>IF(W99=0,0,IF(W99&lt;0,IF($J99=3,W99,IF($J99=2,W99,IF($J99=1,W99,0)))))</f>
        <v>0</v>
      </c>
      <c r="T99" s="1807">
        <f>IF(W99=0,0,IF(W99&lt;0,IF($J99=6,W99,IF($J99=5,W99,IF($J99=4,W99,0)))))</f>
        <v>0</v>
      </c>
      <c r="U99" s="1807">
        <f>IF(W99=0,0,IF(W99&lt;0,IF($J99=9,W99,IF($J99=8,W99,IF($J99=7,W99,0)))))</f>
        <v>0</v>
      </c>
      <c r="V99" s="1806">
        <f>IF(W99=0,0,IF(W99&lt;0,IF($J99=12,W99,IF($J99=11,W99,IF($J99=10,W99,0)))))</f>
        <v>0</v>
      </c>
      <c r="W99" s="1791">
        <f>IF(W$5=$H99,-$E99,0)</f>
        <v>0</v>
      </c>
      <c r="X99" s="1808">
        <f>IF(AB99=0,0,IF(AB99&lt;0,IF($J99=3,AB99,IF($J99=2,AB99,IF($J99=1,AB99,0)))))</f>
        <v>0</v>
      </c>
      <c r="Y99" s="1807">
        <f>IF(AB99=0,0,IF(AB99&lt;0,IF($J99=6,AB99,IF($J99=5,AB99,IF($J99=4,AB99,0)))))</f>
        <v>0</v>
      </c>
      <c r="Z99" s="1807">
        <f>IF(AB99=0,0,IF(AB99&lt;0,IF($J99=9,AB99,IF($J99=8,AB99,IF($J99=7,AB99,0)))))</f>
        <v>0</v>
      </c>
      <c r="AA99" s="1806">
        <f>IF(AB99=0,0,IF(AB99&lt;0,IF($J99=12,AB99,IF($J99=11,AB99,IF($J99=10,AB99,0)))))</f>
        <v>0</v>
      </c>
      <c r="AB99" s="1791">
        <f>IF(AB$5=$H99,-$E99,0)</f>
        <v>0</v>
      </c>
      <c r="AC99" s="1808">
        <f>IF(AG99=0,0,IF(AG99&lt;0,IF($J99=3,AG99,IF($J99=2,AG99,IF($J99=1,AG99,0)))))</f>
        <v>0</v>
      </c>
      <c r="AD99" s="1807">
        <f>IF(AG99=0,0,IF(AG99&lt;0,IF($J99=6,AG99,IF($J99=5,AG99,IF($J99=4,AG99,0)))))</f>
        <v>0</v>
      </c>
      <c r="AE99" s="1807">
        <f>IF(AG99=0,0,IF(AG99&lt;0,IF($J99=9,AG99,IF($J99=8,AG99,IF($J99=7,AG99,0)))))</f>
        <v>0</v>
      </c>
      <c r="AF99" s="1806">
        <f>IF(AG99=0,0,IF(AG99&lt;0,IF($J99=12,AG99,IF($J99=11,AG99,IF($J99=10,AG99,0)))))</f>
        <v>0</v>
      </c>
      <c r="AG99" s="1791">
        <f>IF(AG$5=$H99,-$E99,0)</f>
        <v>0</v>
      </c>
      <c r="AH99" s="1808">
        <f>IF(AL99=0,0,IF(AL99&lt;0,IF($J99=3,AL99,IF($J99=2,AL99,IF($J99=1,AL99,0)))))</f>
        <v>0</v>
      </c>
      <c r="AI99" s="1807">
        <f>IF(AL99=0,0,IF(AL99&lt;0,IF($J99=6,AL99,IF($J99=5,AL99,IF($J99=4,AL99,0)))))</f>
        <v>0</v>
      </c>
      <c r="AJ99" s="1807">
        <f>IF(AL99=0,0,IF(AL99&lt;0,IF($J99=9,AL99,IF($J99=8,AL99,IF($J99=7,AL99,0)))))</f>
        <v>0</v>
      </c>
      <c r="AK99" s="1806">
        <f>IF(AL99=0,0,IF(AL99&lt;0,IF($J99=12,AL99,IF($J99=11,AL99,IF($J99=10,AL99,0)))))</f>
        <v>0</v>
      </c>
      <c r="AL99" s="1791">
        <f>IF(AL$5=$H99,-$E99,0)</f>
        <v>0</v>
      </c>
      <c r="AM99" s="1808">
        <f>IF(AQ99=0,0,IF(AQ99&lt;0,IF($J99=3,AQ99,IF($J99=2,AQ99,IF($J99=1,AQ99,0)))))</f>
        <v>0</v>
      </c>
      <c r="AN99" s="1807">
        <f>IF(AQ99=0,0,IF(AQ99&lt;0,IF($J99=6,AQ99,IF($J99=5,AQ99,IF($J99=4,AQ99,0)))))</f>
        <v>0</v>
      </c>
      <c r="AO99" s="1807">
        <f>IF(AQ99=0,0,IF(AQ99&lt;0,IF($J99=9,AQ99,IF($J99=8,AQ99,IF($J99=7,AQ99,0)))))</f>
        <v>0</v>
      </c>
      <c r="AP99" s="1806">
        <f>IF(AQ99=0,0,IF(AQ99&lt;0,IF($J99=12,AQ99,IF($J99=11,AQ99,IF($J99=10,AQ99,0)))))</f>
        <v>0</v>
      </c>
      <c r="AQ99" s="1791">
        <f>IF(AQ$5=$H99,-$E99,0)</f>
        <v>0</v>
      </c>
      <c r="AR99" s="1808">
        <f>IF(AV99=0,0,IF(AV99&lt;0,IF($J99=3,AV99,IF($J99=2,AV99,IF($J99=1,AV99,0)))))</f>
        <v>0</v>
      </c>
      <c r="AS99" s="1807">
        <f>IF(AV99=0,0,IF(AV99&lt;0,IF($J99=6,AV99,IF($J99=5,AV99,IF($J99=4,AV99,0)))))</f>
        <v>0</v>
      </c>
      <c r="AT99" s="1807">
        <f>IF(AV99=0,0,IF(AV99&lt;0,IF($J99=9,AV99,IF($J99=8,AV99,IF($J99=7,AV99,0)))))</f>
        <v>0</v>
      </c>
      <c r="AU99" s="1806">
        <f>IF(AV99=0,0,IF(AV99&lt;0,IF($J99=12,AV99,IF($J99=11,AV99,IF($J99=10,AV99,0)))))</f>
        <v>0</v>
      </c>
      <c r="AV99" s="1791">
        <f>IF(AV$5=$H99,-$E99,0)</f>
        <v>0</v>
      </c>
      <c r="AW99" s="1808">
        <f>IF(BA99=0,0,IF(BA99&lt;0,IF($J99=3,BA99,IF($J99=2,BA99,IF($J99=1,BA99,0)))))</f>
        <v>0</v>
      </c>
      <c r="AX99" s="1807">
        <f>IF(BA99=0,0,IF(BA99&lt;0,IF($J99=6,BA99,IF($J99=5,BA99,IF($J99=4,BA99,0)))))</f>
        <v>0</v>
      </c>
      <c r="AY99" s="1807">
        <f>IF(BA99=0,0,IF(BA99&lt;0,IF($J99=9,BA99,IF($J99=8,BA99,IF($J99=7,BA99,0)))))</f>
        <v>0</v>
      </c>
      <c r="AZ99" s="1806">
        <f>IF(BA99=0,0,IF(BA99&lt;0,IF($J99=12,BA99,IF($J99=11,BA99,IF($J99=10,BA99,0)))))</f>
        <v>0</v>
      </c>
      <c r="BA99" s="1791">
        <f>IF(BA$5=$H99,-$E99,0)</f>
        <v>0</v>
      </c>
      <c r="BB99" s="1808">
        <f>IF(BF99=0,0,IF(BF99&lt;0,IF($J99=3,BF99,IF($J99=2,BF99,IF($J99=1,BF99,0)))))</f>
        <v>0</v>
      </c>
      <c r="BC99" s="1807">
        <f>IF(BF99=0,0,IF(BF99&lt;0,IF($J99=6,BF99,IF($J99=5,BF99,IF($J99=4,BF99,0)))))</f>
        <v>0</v>
      </c>
      <c r="BD99" s="1807">
        <f>IF(BF99=0,0,IF(BF99&lt;0,IF($J99=9,BF99,IF($J99=8,BF99,IF($J99=7,BF99,0)))))</f>
        <v>0</v>
      </c>
      <c r="BE99" s="1806">
        <f>IF(BF99=0,0,IF(BF99&lt;0,IF($J99=12,BF99,IF($J99=11,BF99,IF($J99=10,BF99,0)))))</f>
        <v>0</v>
      </c>
      <c r="BF99" s="1791">
        <f>IF(BF$5=$H99,-$E99,0)</f>
        <v>0</v>
      </c>
      <c r="BG99" s="1808">
        <f>IF(BK99=0,0,IF(BK99&lt;0,IF($J99=3,BK99,IF($J99=2,BK99,IF($J99=1,BK99,0)))))</f>
        <v>0</v>
      </c>
      <c r="BH99" s="1807">
        <f>IF(BK99=0,0,IF(BK99&lt;0,IF($J99=6,BK99,IF($J99=5,BK99,IF($J99=4,BK99,0)))))</f>
        <v>0</v>
      </c>
      <c r="BI99" s="1807">
        <f>IF(BK99=0,0,IF(BK99&lt;0,IF($J99=9,BK99,IF($J99=8,BK99,IF($J99=7,BK99,0)))))</f>
        <v>0</v>
      </c>
      <c r="BJ99" s="1806">
        <f>IF(BK99=0,0,IF(BK99&lt;0,IF($J99=12,BK99,IF($J99=11,BK99,IF($J99=10,BK99,0)))))</f>
        <v>0</v>
      </c>
      <c r="BK99" s="1791">
        <f>IF(BK$5=$H99,-$E99,0)</f>
        <v>0</v>
      </c>
      <c r="BL99" s="1808">
        <f>IF(BP99=0,0,IF(BP99&lt;0,IF($J99=3,BP99,IF($J99=2,BP99,IF($J99=1,BP99,0)))))</f>
        <v>0</v>
      </c>
      <c r="BM99" s="1807">
        <f>IF(BP99=0,0,IF(BP99&lt;0,IF($J99=6,BP99,IF($J99=5,BP99,IF($J99=4,BP99,0)))))</f>
        <v>0</v>
      </c>
      <c r="BN99" s="1807">
        <f>IF(BP99=0,0,IF(BP99&lt;0,IF($J99=9,BP99,IF($J99=8,BP99,IF($J99=7,BP99,0)))))</f>
        <v>0</v>
      </c>
      <c r="BO99" s="1806">
        <f>IF(BP99=0,0,IF(BP99&lt;0,IF($J99=12,BP99,IF($J99=11,BP99,IF($J99=10,BP99,0)))))</f>
        <v>0</v>
      </c>
      <c r="BP99" s="1791">
        <f>IF(BP$5=$H99,-$E99,0)</f>
        <v>0</v>
      </c>
      <c r="BQ99" s="1827"/>
      <c r="BR99" s="1791">
        <f t="shared" ref="BR99:BS101" si="1296">IF(AND(BQ99&lt;&gt;0,BQ$5=$H99),-$I99*$E99-BQ99,IF(BR$5=$H99,-$I99*$E99*(12-$J99+1)/12,0))</f>
        <v>0</v>
      </c>
      <c r="BS99" s="1791">
        <f t="shared" si="1296"/>
        <v>0</v>
      </c>
      <c r="BT99" s="1808">
        <f>IF($H99&lt;&gt;BX$5,0,IF(BX99&lt;0,IF($J99=1,-$E99*$I99/12*3,IF($J99=2,-$E99*$I99/12*2,IF($J99=3,-$E99*$I99/12*1,0)))))+IF(BS$5&lt;&gt;$H99,0,IF(BS99&lt;0,IF($J99=1,-$E99*$I99/12*0,IF($J99=2,-$E99*$I99/12*1,IF($J99=3,-$E99*$I99/12*2,IF($J99&gt;=4,-$E99*$I99/12*3,0))))))</f>
        <v>0</v>
      </c>
      <c r="BU99" s="1807">
        <f>IF($H99&lt;&gt;BX$5,0,IF(BX99&lt;0,IF(OR($J99=1,$J99=2,$J99=3,$J99=4),-$E99*$I99/12*3,IF($J99=5,-$E99*$I99/12*2,IF($J99=6,-$E99*$I99/12*1,0)))))+IF(BS$5&lt;&gt;$H99,0,IF(BS99&lt;0,IF($J99=4,-$E99*$I99/12*0,IF($J99=5,-$E99*$I99/12*1,IF($J99=6,-$E99*$I99/12*2,IF($J99&gt;=7,-$E99*$I99/12*3,0))))))</f>
        <v>0</v>
      </c>
      <c r="BV99" s="1807">
        <f>IF($H99&lt;&gt;BX$5,0,IF(BX99&lt;0,IF(OR($J99=1,$J99=2,$J99=3,$J99=4,$J99=5,$J99=6,$J99=7),-$E99*$I99/12*3,IF($J99=8,-$E99*$I99/12*2,IF($J99=9,-$E99*$I99/12*1,0)))))+IF(BS$5&lt;&gt;$H99,0,IF(BS99&lt;0,IF($J99=7,-$E99*$I99/12*0,IF($J99=8,-$E99*$I99/12*1,IF($J99=9,-$E99*$I99/12*2,IF($J99&gt;=10,-$E99*$I99/12*3,0))))))</f>
        <v>0</v>
      </c>
      <c r="BW99" s="1806">
        <f>IF($H99&lt;&gt;BX$5,0,IF(BX99&lt;0,IF(OR($J99=1,$J99=2,$J99=3,$J99=4,$J99=5,$J99=6,$J99=7,$J99=8,$J99=9,$J99=10),-$E99*$I99/12*3,IF($J99=11,-$E99*$I99/12*2,IF($J99=12,-$E99*$I99/12*1,0)))))+IF(BS$5&lt;&gt;$H99,0,IF(BS99&lt;0,IF($J99=10,-$E99*$I99/12*0,IF($J99=11,-$E99*$I99/12*1,IF($J99=12,-$E99*$I99/12*2,0)))))</f>
        <v>0</v>
      </c>
      <c r="BX99" s="1791">
        <f>IF(AND(BS99&lt;&gt;0,BS$5=$H99),-$I99*$E99-BS99,IF(BX$5=$H99,-$I99*$E99*(12-$J99+1)/12,0))</f>
        <v>0</v>
      </c>
      <c r="BY99" s="1808">
        <f>IF($H99&lt;&gt;CC$5,0,IF(CC99&lt;0,IF($J99=1,-$E99*$I99/12*3,IF($J99=2,-$E99*$I99/12*2,IF($J99=3,-$E99*$I99/12*1,0)))))+IF(BX$5&lt;&gt;$H99,0,IF(BX99&lt;0,IF($J99=1,-$E99*$I99/12*0,IF($J99=2,-$E99*$I99/12*1,IF($J99=3,-$E99*$I99/12*2,IF($J99&gt;=4,-$E99*$I99/12*3,0))))))</f>
        <v>0</v>
      </c>
      <c r="BZ99" s="1807">
        <f>IF($H99&lt;&gt;CC$5,0,IF(CC99&lt;0,IF(OR($J99=1,$J99=2,$J99=3,$J99=4),-$E99*$I99/12*3,IF($J99=5,-$E99*$I99/12*2,IF($J99=6,-$E99*$I99/12*1,0)))))+IF(BX$5&lt;&gt;$H99,0,IF(BX99&lt;0,IF($J99=4,-$E99*$I99/12*0,IF($J99=5,-$E99*$I99/12*1,IF($J99=6,-$E99*$I99/12*2,IF($J99&gt;=7,-$E99*$I99/12*3,0))))))</f>
        <v>0</v>
      </c>
      <c r="CA99" s="1807">
        <f>IF($H99&lt;&gt;CC$5,0,IF(CC99&lt;0,IF(OR($J99=1,$J99=2,$J99=3,$J99=4,$J99=5,$J99=6,$J99=7),-$E99*$I99/12*3,IF($J99=8,-$E99*$I99/12*2,IF($J99=9,-$E99*$I99/12*1,0)))))+IF(BX$5&lt;&gt;$H99,0,IF(BX99&lt;0,IF($J99=7,-$E99*$I99/12*0,IF($J99=8,-$E99*$I99/12*1,IF($J99=9,-$E99*$I99/12*2,IF($J99&gt;=10,-$E99*$I99/12*3,0))))))</f>
        <v>0</v>
      </c>
      <c r="CB99" s="1806">
        <f>IF($H99&lt;&gt;CC$5,0,IF(CC99&lt;0,IF(OR($J99=1,$J99=2,$J99=3,$J99=4,$J99=5,$J99=6,$J99=7,$J99=8,$J99=9,$J99=10),-$E99*$I99/12*3,IF($J99=11,-$E99*$I99/12*2,IF($J99=12,-$E99*$I99/12*1,0)))))+IF(BX$5&lt;&gt;$H99,0,IF(BX99&lt;0,IF($J99=10,-$E99*$I99/12*0,IF($J99=11,-$E99*$I99/12*1,IF($J99=12,-$E99*$I99/12*2,0)))))</f>
        <v>0</v>
      </c>
      <c r="CC99" s="1791">
        <f>IF(AND(BX99&lt;&gt;0,BX$5=$H99),-$I99*$E99-BX99,IF(CC$5=$H99,-$I99*$E99*(12-$J99+1)/12,0))</f>
        <v>0</v>
      </c>
      <c r="CD99" s="1808">
        <f>IF($H99&lt;&gt;CH$5,0,IF(CH99&lt;0,IF($J99=1,-$E99*$I99/12*3,IF($J99=2,-$E99*$I99/12*2,IF($J99=3,-$E99*$I99/12*1,0)))))+IF(CC$5&lt;&gt;$H99,0,IF(CC99&lt;0,IF($J99=1,-$E99*$I99/12*0,IF($J99=2,-$E99*$I99/12*1,IF($J99=3,-$E99*$I99/12*2,IF($J99&gt;=4,-$E99*$I99/12*3,0))))))</f>
        <v>0</v>
      </c>
      <c r="CE99" s="1807">
        <f>IF($H99&lt;&gt;CH$5,0,IF(CH99&lt;0,IF(OR($J99=1,$J99=2,$J99=3,$J99=4),-$E99*$I99/12*3,IF($J99=5,-$E99*$I99/12*2,IF($J99=6,-$E99*$I99/12*1,0)))))+IF(CC$5&lt;&gt;$H99,0,IF(CC99&lt;0,IF($J99=4,-$E99*$I99/12*0,IF($J99=5,-$E99*$I99/12*1,IF($J99=6,-$E99*$I99/12*2,IF($J99&gt;=7,-$E99*$I99/12*3,0))))))</f>
        <v>0</v>
      </c>
      <c r="CF99" s="1807">
        <f>IF($H99&lt;&gt;CH$5,0,IF(CH99&lt;0,IF(OR($J99=1,$J99=2,$J99=3,$J99=4,$J99=5,$J99=6,$J99=7),-$E99*$I99/12*3,IF($J99=8,-$E99*$I99/12*2,IF($J99=9,-$E99*$I99/12*1,0)))))+IF(CC$5&lt;&gt;$H99,0,IF(CC99&lt;0,IF($J99=7,-$E99*$I99/12*0,IF($J99=8,-$E99*$I99/12*1,IF($J99=9,-$E99*$I99/12*2,IF($J99&gt;=10,-$E99*$I99/12*3,0))))))</f>
        <v>0</v>
      </c>
      <c r="CG99" s="1806">
        <f>IF($H99&lt;&gt;CH$5,0,IF(CH99&lt;0,IF(OR($J99=1,$J99=2,$J99=3,$J99=4,$J99=5,$J99=6,$J99=7,$J99=8,$J99=9,$J99=10),-$E99*$I99/12*3,IF($J99=11,-$E99*$I99/12*2,IF($J99=12,-$E99*$I99/12*1,0)))))+IF(CC$5&lt;&gt;$H99,0,IF(CC99&lt;0,IF($J99=10,-$E99*$I99/12*0,IF($J99=11,-$E99*$I99/12*1,IF($J99=12,-$E99*$I99/12*2,0)))))</f>
        <v>0</v>
      </c>
      <c r="CH99" s="1791">
        <f>IF(AND(CC99&lt;&gt;0,CC$5=$H99),-$I99*$E99-CC99,IF(CH$5=$H99,-$I99*$E99*(12-$J99+1)/12,0))</f>
        <v>0</v>
      </c>
      <c r="CI99" s="1808">
        <f>IF($H99&lt;&gt;CM$5,0,IF(CM99&lt;0,IF($J99=1,-$E99*$I99/12*3,IF($J99=2,-$E99*$I99/12*2,IF($J99=3,-$E99*$I99/12*1,0)))))+IF(CH$5&lt;&gt;$H99,0,IF(CH99&lt;0,IF($J99=1,-$E99*$I99/12*0,IF($J99=2,-$E99*$I99/12*1,IF($J99=3,-$E99*$I99/12*2,IF($J99&gt;=4,-$E99*$I99/12*3,0))))))</f>
        <v>0</v>
      </c>
      <c r="CJ99" s="1807">
        <f>IF($H99&lt;&gt;CM$5,0,IF(CM99&lt;0,IF(OR($J99=1,$J99=2,$J99=3,$J99=4),-$E99*$I99/12*3,IF($J99=5,-$E99*$I99/12*2,IF($J99=6,-$E99*$I99/12*1,0)))))+IF(CH$5&lt;&gt;$H99,0,IF(CH99&lt;0,IF($J99=4,-$E99*$I99/12*0,IF($J99=5,-$E99*$I99/12*1,IF($J99=6,-$E99*$I99/12*2,IF($J99&gt;=7,-$E99*$I99/12*3,0))))))</f>
        <v>0</v>
      </c>
      <c r="CK99" s="1807">
        <f>IF($H99&lt;&gt;CM$5,0,IF(CM99&lt;0,IF(OR($J99=1,$J99=2,$J99=3,$J99=4,$J99=5,$J99=6,$J99=7),-$E99*$I99/12*3,IF($J99=8,-$E99*$I99/12*2,IF($J99=9,-$E99*$I99/12*1,0)))))+IF(CH$5&lt;&gt;$H99,0,IF(CH99&lt;0,IF($J99=7,-$E99*$I99/12*0,IF($J99=8,-$E99*$I99/12*1,IF($J99=9,-$E99*$I99/12*2,IF($J99&gt;=10,-$E99*$I99/12*3,0))))))</f>
        <v>0</v>
      </c>
      <c r="CL99" s="1806">
        <f>IF($H99&lt;&gt;CM$5,0,IF(CM99&lt;0,IF(OR($J99=1,$J99=2,$J99=3,$J99=4,$J99=5,$J99=6,$J99=7,$J99=8,$J99=9,$J99=10),-$E99*$I99/12*3,IF($J99=11,-$E99*$I99/12*2,IF($J99=12,-$E99*$I99/12*1,0)))))+IF(CH$5&lt;&gt;$H99,0,IF(CH99&lt;0,IF($J99=10,-$E99*$I99/12*0,IF($J99=11,-$E99*$I99/12*1,IF($J99=12,-$E99*$I99/12*2,0)))))</f>
        <v>0</v>
      </c>
      <c r="CM99" s="1791">
        <f>IF(AND(CH99&lt;&gt;0,CH$5=$H99),-$I99*$E99-CH99,IF(CM$5=$H99,-$I99*$E99*(12-$J99+1)/12,0))</f>
        <v>0</v>
      </c>
      <c r="CN99" s="1808">
        <f>IF($H99&lt;&gt;CR$5,0,IF(CR99&lt;0,IF($J99=1,-$E99*$I99/12*3,IF($J99=2,-$E99*$I99/12*2,IF($J99=3,-$E99*$I99/12*1,0)))))+IF(CM$5&lt;&gt;$H99,0,IF(CM99&lt;0,IF($J99=1,-$E99*$I99/12*0,IF($J99=2,-$E99*$I99/12*1,IF($J99=3,-$E99*$I99/12*2,IF($J99&gt;=4,-$E99*$I99/12*3,0))))))</f>
        <v>0</v>
      </c>
      <c r="CO99" s="1807">
        <f>IF($H99&lt;&gt;CR$5,0,IF(CR99&lt;0,IF(OR($J99=1,$J99=2,$J99=3,$J99=4),-$E99*$I99/12*3,IF($J99=5,-$E99*$I99/12*2,IF($J99=6,-$E99*$I99/12*1,0)))))+IF(CM$5&lt;&gt;$H99,0,IF(CM99&lt;0,IF($J99=4,-$E99*$I99/12*0,IF($J99=5,-$E99*$I99/12*1,IF($J99=6,-$E99*$I99/12*2,IF($J99&gt;=7,-$E99*$I99/12*3,0))))))</f>
        <v>0</v>
      </c>
      <c r="CP99" s="1807">
        <f>IF($H99&lt;&gt;CR$5,0,IF(CR99&lt;0,IF(OR($J99=1,$J99=2,$J99=3,$J99=4,$J99=5,$J99=6,$J99=7),-$E99*$I99/12*3,IF($J99=8,-$E99*$I99/12*2,IF($J99=9,-$E99*$I99/12*1,0)))))+IF(CM$5&lt;&gt;$H99,0,IF(CM99&lt;0,IF($J99=7,-$E99*$I99/12*0,IF($J99=8,-$E99*$I99/12*1,IF($J99=9,-$E99*$I99/12*2,IF($J99&gt;=10,-$E99*$I99/12*3,0))))))</f>
        <v>0</v>
      </c>
      <c r="CQ99" s="1806">
        <f>IF($H99&lt;&gt;CR$5,0,IF(CR99&lt;0,IF(OR($J99=1,$J99=2,$J99=3,$J99=4,$J99=5,$J99=6,$J99=7,$J99=8,$J99=9,$J99=10),-$E99*$I99/12*3,IF($J99=11,-$E99*$I99/12*2,IF($J99=12,-$E99*$I99/12*1,0)))))+IF(CM$5&lt;&gt;$H99,0,IF(CM99&lt;0,IF($J99=10,-$E99*$I99/12*0,IF($J99=11,-$E99*$I99/12*1,IF($J99=12,-$E99*$I99/12*2,0)))))</f>
        <v>0</v>
      </c>
      <c r="CR99" s="1791">
        <f>IF(AND(CM99&lt;&gt;0,CM$5=$H99),-$I99*$E99-CM99,IF(CR$5=$H99,-$I99*$E99*(12-$J99+1)/12,0))</f>
        <v>0</v>
      </c>
      <c r="CS99" s="1808">
        <f>IF($H99&lt;&gt;CW$5,0,IF(CW99&lt;0,IF($J99=1,-$E99*$I99/12*3,IF($J99=2,-$E99*$I99/12*2,IF($J99=3,-$E99*$I99/12*1,0)))))+IF(CR$5&lt;&gt;$H99,0,IF(CR99&lt;0,IF($J99=1,-$E99*$I99/12*0,IF($J99=2,-$E99*$I99/12*1,IF($J99=3,-$E99*$I99/12*2,IF($J99&gt;=4,-$E99*$I99/12*3,0))))))</f>
        <v>0</v>
      </c>
      <c r="CT99" s="1807">
        <f>IF($H99&lt;&gt;CW$5,0,IF(CW99&lt;0,IF(OR($J99=1,$J99=2,$J99=3,$J99=4),-$E99*$I99/12*3,IF($J99=5,-$E99*$I99/12*2,IF($J99=6,-$E99*$I99/12*1,0)))))+IF(CR$5&lt;&gt;$H99,0,IF(CR99&lt;0,IF($J99=4,-$E99*$I99/12*0,IF($J99=5,-$E99*$I99/12*1,IF($J99=6,-$E99*$I99/12*2,IF($J99&gt;=7,-$E99*$I99/12*3,0))))))</f>
        <v>0</v>
      </c>
      <c r="CU99" s="1807">
        <f>IF($H99&lt;&gt;CW$5,0,IF(CW99&lt;0,IF(OR($J99=1,$J99=2,$J99=3,$J99=4,$J99=5,$J99=6,$J99=7),-$E99*$I99/12*3,IF($J99=8,-$E99*$I99/12*2,IF($J99=9,-$E99*$I99/12*1,0)))))+IF(CR$5&lt;&gt;$H99,0,IF(CR99&lt;0,IF($J99=7,-$E99*$I99/12*0,IF($J99=8,-$E99*$I99/12*1,IF($J99=9,-$E99*$I99/12*2,IF($J99&gt;=10,-$E99*$I99/12*3,0))))))</f>
        <v>0</v>
      </c>
      <c r="CV99" s="1806">
        <f>IF($H99&lt;&gt;CW$5,0,IF(CW99&lt;0,IF(OR($J99=1,$J99=2,$J99=3,$J99=4,$J99=5,$J99=6,$J99=7,$J99=8,$J99=9,$J99=10),-$E99*$I99/12*3,IF($J99=11,-$E99*$I99/12*2,IF($J99=12,-$E99*$I99/12*1,0)))))+IF(CR$5&lt;&gt;$H99,0,IF(CR99&lt;0,IF($J99=10,-$E99*$I99/12*0,IF($J99=11,-$E99*$I99/12*1,IF($J99=12,-$E99*$I99/12*2,0)))))</f>
        <v>0</v>
      </c>
      <c r="CW99" s="1791">
        <f>IF(AND(CR99&lt;&gt;0,CR$5=$H99),-$I99*$E99-CR99,IF(CW$5=$H99,-$I99*$E99*(12-$J99+1)/12,0))</f>
        <v>0</v>
      </c>
      <c r="CX99" s="1808">
        <f>IF($H99&lt;&gt;DB$5,0,IF(DB99&lt;0,IF($J99=1,-$E99*$I99/12*3,IF($J99=2,-$E99*$I99/12*2,IF($J99=3,-$E99*$I99/12*1,0)))))+IF(CW$5&lt;&gt;$H99,0,IF(CW99&lt;0,IF($J99=1,-$E99*$I99/12*0,IF($J99=2,-$E99*$I99/12*1,IF($J99=3,-$E99*$I99/12*2,IF($J99&gt;=4,-$E99*$I99/12*3,0))))))</f>
        <v>0</v>
      </c>
      <c r="CY99" s="1807">
        <f>IF($H99&lt;&gt;DB$5,0,IF(DB99&lt;0,IF(OR($J99=1,$J99=2,$J99=3,$J99=4),-$E99*$I99/12*3,IF($J99=5,-$E99*$I99/12*2,IF($J99=6,-$E99*$I99/12*1,0)))))+IF(CW$5&lt;&gt;$H99,0,IF(CW99&lt;0,IF($J99=4,-$E99*$I99/12*0,IF($J99=5,-$E99*$I99/12*1,IF($J99=6,-$E99*$I99/12*2,IF($J99&gt;=7,-$E99*$I99/12*3,0))))))</f>
        <v>0</v>
      </c>
      <c r="CZ99" s="1807">
        <f>IF($H99&lt;&gt;DB$5,0,IF(DB99&lt;0,IF(OR($J99=1,$J99=2,$J99=3,$J99=4,$J99=5,$J99=6,$J99=7),-$E99*$I99/12*3,IF($J99=8,-$E99*$I99/12*2,IF($J99=9,-$E99*$I99/12*1,0)))))+IF(CW$5&lt;&gt;$H99,0,IF(CW99&lt;0,IF($J99=7,-$E99*$I99/12*0,IF($J99=8,-$E99*$I99/12*1,IF($J99=9,-$E99*$I99/12*2,IF($J99&gt;=10,-$E99*$I99/12*3,0))))))</f>
        <v>0</v>
      </c>
      <c r="DA99" s="1806">
        <f>IF($H99&lt;&gt;DB$5,0,IF(DB99&lt;0,IF(OR($J99=1,$J99=2,$J99=3,$J99=4,$J99=5,$J99=6,$J99=7,$J99=8,$J99=9,$J99=10),-$E99*$I99/12*3,IF($J99=11,-$E99*$I99/12*2,IF($J99=12,-$E99*$I99/12*1,0)))))+IF(CW$5&lt;&gt;$H99,0,IF(CW99&lt;0,IF($J99=10,-$E99*$I99/12*0,IF($J99=11,-$E99*$I99/12*1,IF($J99=12,-$E99*$I99/12*2,0)))))</f>
        <v>0</v>
      </c>
      <c r="DB99" s="1791">
        <f>IF(AND(CW99&lt;&gt;0,CW$5=$H99),-$I99*$E99-CW99,IF(DB$5=$H99,-$I99*$E99*(12-$J99+1)/12,0))</f>
        <v>0</v>
      </c>
      <c r="DC99" s="1808">
        <f>IF($H99&lt;&gt;DG$5,0,IF(DG99&lt;0,IF($J99=1,-$E99*$I99/12*3,IF($J99=2,-$E99*$I99/12*2,IF($J99=3,-$E99*$I99/12*1,0)))))+IF(DB$5&lt;&gt;$H99,0,IF(DB99&lt;0,IF($J99=1,-$E99*$I99/12*0,IF($J99=2,-$E99*$I99/12*1,IF($J99=3,-$E99*$I99/12*2,IF($J99&gt;=4,-$E99*$I99/12*3,0))))))</f>
        <v>0</v>
      </c>
      <c r="DD99" s="1807">
        <f>IF($H99&lt;&gt;DG$5,0,IF(DG99&lt;0,IF(OR($J99=1,$J99=2,$J99=3,$J99=4),-$E99*$I99/12*3,IF($J99=5,-$E99*$I99/12*2,IF($J99=6,-$E99*$I99/12*1,0)))))+IF(DB$5&lt;&gt;$H99,0,IF(DB99&lt;0,IF($J99=4,-$E99*$I99/12*0,IF($J99=5,-$E99*$I99/12*1,IF($J99=6,-$E99*$I99/12*2,IF($J99&gt;=7,-$E99*$I99/12*3,0))))))</f>
        <v>0</v>
      </c>
      <c r="DE99" s="1807">
        <f>IF($H99&lt;&gt;DG$5,0,IF(DG99&lt;0,IF(OR($J99=1,$J99=2,$J99=3,$J99=4,$J99=5,$J99=6,$J99=7),-$E99*$I99/12*3,IF($J99=8,-$E99*$I99/12*2,IF($J99=9,-$E99*$I99/12*1,0)))))+IF(DB$5&lt;&gt;$H99,0,IF(DB99&lt;0,IF($J99=7,-$E99*$I99/12*0,IF($J99=8,-$E99*$I99/12*1,IF($J99=9,-$E99*$I99/12*2,IF($J99&gt;=10,-$E99*$I99/12*3,0))))))</f>
        <v>0</v>
      </c>
      <c r="DF99" s="1806">
        <f>IF($H99&lt;&gt;DG$5,0,IF(DG99&lt;0,IF(OR($J99=1,$J99=2,$J99=3,$J99=4,$J99=5,$J99=6,$J99=7,$J99=8,$J99=9,$J99=10),-$E99*$I99/12*3,IF($J99=11,-$E99*$I99/12*2,IF($J99=12,-$E99*$I99/12*1,0)))))+IF(DB$5&lt;&gt;$H99,0,IF(DB99&lt;0,IF($J99=10,-$E99*$I99/12*0,IF($J99=11,-$E99*$I99/12*1,IF($J99=12,-$E99*$I99/12*2,0)))))</f>
        <v>0</v>
      </c>
      <c r="DG99" s="1791">
        <f>IF(AND(DB99&lt;&gt;0,DB$5=$H99),-$I99*$E99-DB99,IF(DG$5=$H99,-$I99*$E99*(12-$J99+1)/12,0))</f>
        <v>0</v>
      </c>
      <c r="DH99" s="1808">
        <f>IF($H99&lt;&gt;DL$5,0,IF(DL99&lt;0,IF($J99=1,-$E99*$I99/12*3,IF($J99=2,-$E99*$I99/12*2,IF($J99=3,-$E99*$I99/12*1,0)))))+IF(DG$5&lt;&gt;$H99,0,IF(DG99&lt;0,IF($J99=1,-$E99*$I99/12*0,IF($J99=2,-$E99*$I99/12*1,IF($J99=3,-$E99*$I99/12*2,IF($J99&gt;=4,-$E99*$I99/12*3,0))))))</f>
        <v>0</v>
      </c>
      <c r="DI99" s="1807">
        <f>IF($H99&lt;&gt;DL$5,0,IF(DL99&lt;0,IF(OR($J99=1,$J99=2,$J99=3,$J99=4),-$E99*$I99/12*3,IF($J99=5,-$E99*$I99/12*2,IF($J99=6,-$E99*$I99/12*1,0)))))+IF(DG$5&lt;&gt;$H99,0,IF(DG99&lt;0,IF($J99=4,-$E99*$I99/12*0,IF($J99=5,-$E99*$I99/12*1,IF($J99=6,-$E99*$I99/12*2,IF($J99&gt;=7,-$E99*$I99/12*3,0))))))</f>
        <v>0</v>
      </c>
      <c r="DJ99" s="1807">
        <f>IF($H99&lt;&gt;DL$5,0,IF(DL99&lt;0,IF(OR($J99=1,$J99=2,$J99=3,$J99=4,$J99=5,$J99=6,$J99=7),-$E99*$I99/12*3,IF($J99=8,-$E99*$I99/12*2,IF($J99=9,-$E99*$I99/12*1,0)))))+IF(DG$5&lt;&gt;$H99,0,IF(DG99&lt;0,IF($J99=7,-$E99*$I99/12*0,IF($J99=8,-$E99*$I99/12*1,IF($J99=9,-$E99*$I99/12*2,IF($J99&gt;=10,-$E99*$I99/12*3,0))))))</f>
        <v>0</v>
      </c>
      <c r="DK99" s="1806">
        <f>IF($H99&lt;&gt;DL$5,0,IF(DL99&lt;0,IF(OR($J99=1,$J99=2,$J99=3,$J99=4,$J99=5,$J99=6,$J99=7,$J99=8,$J99=9,$J99=10),-$E99*$I99/12*3,IF($J99=11,-$E99*$I99/12*2,IF($J99=12,-$E99*$I99/12*1,0)))))+IF(DG$5&lt;&gt;$H99,0,IF(DG99&lt;0,IF($J99=10,-$E99*$I99/12*0,IF($J99=11,-$E99*$I99/12*1,IF($J99=12,-$E99*$I99/12*2,0)))))</f>
        <v>0</v>
      </c>
      <c r="DL99" s="1791">
        <f>IF(AND(DG99&lt;&gt;0,DG$5=$H99),-$I99*$E99-DG99,IF(DL$5=$H99,-$I99*$E99*(12-$J99+1)/12,0))</f>
        <v>0</v>
      </c>
      <c r="DM99" s="1808">
        <f>IF($H99&lt;&gt;DQ$5,0,IF(DQ99&lt;0,IF($J99=1,-$E99*$I99/12*3,IF($J99=2,-$E99*$I99/12*2,IF($J99=3,-$E99*$I99/12*1,0)))))+IF(DL$5&lt;&gt;$H99,0,IF(DL99&lt;0,IF($J99=1,-$E99*$I99/12*0,IF($J99=2,-$E99*$I99/12*1,IF($J99=3,-$E99*$I99/12*2,IF($J99&gt;=4,-$E99*$I99/12*3,0))))))</f>
        <v>0</v>
      </c>
      <c r="DN99" s="1807">
        <f>IF($H99&lt;&gt;DQ$5,0,IF(DQ99&lt;0,IF(OR($J99=1,$J99=2,$J99=3,$J99=4),-$E99*$I99/12*3,IF($J99=5,-$E99*$I99/12*2,IF($J99=6,-$E99*$I99/12*1,0)))))+IF(DL$5&lt;&gt;$H99,0,IF(DL99&lt;0,IF($J99=4,-$E99*$I99/12*0,IF($J99=5,-$E99*$I99/12*1,IF($J99=6,-$E99*$I99/12*2,IF($J99&gt;=7,-$E99*$I99/12*3,0))))))</f>
        <v>0</v>
      </c>
      <c r="DO99" s="1807">
        <f>IF($H99&lt;&gt;DQ$5,0,IF(DQ99&lt;0,IF(OR($J99=1,$J99=2,$J99=3,$J99=4,$J99=5,$J99=6,$J99=7),-$E99*$I99/12*3,IF($J99=8,-$E99*$I99/12*2,IF($J99=9,-$E99*$I99/12*1,0)))))+IF(DL$5&lt;&gt;$H99,0,IF(DL99&lt;0,IF($J99=7,-$E99*$I99/12*0,IF($J99=8,-$E99*$I99/12*1,IF($J99=9,-$E99*$I99/12*2,IF($J99&gt;=10,-$E99*$I99/12*3,0))))))</f>
        <v>0</v>
      </c>
      <c r="DP99" s="1806">
        <f>IF($H99&lt;&gt;DQ$5,0,IF(DQ99&lt;0,IF(OR($J99=1,$J99=2,$J99=3,$J99=4,$J99=5,$J99=6,$J99=7,$J99=8,$J99=9,$J99=10),-$E99*$I99/12*3,IF($J99=11,-$E99*$I99/12*2,IF($J99=12,-$E99*$I99/12*1,0)))))+IF(DL$5&lt;&gt;$H99,0,IF(DL99&lt;0,IF($J99=10,-$E99*$I99/12*0,IF($J99=11,-$E99*$I99/12*1,IF($J99=12,-$E99*$I99/12*2,0)))))</f>
        <v>0</v>
      </c>
      <c r="DQ99" s="1791">
        <f>IF(AND(DL99&lt;&gt;0,DL$5=$H99),-$I99*$E99-DL99,IF(DQ$5=$H99,-$I99*$E99*(12-$J99+1)/12,0))</f>
        <v>0</v>
      </c>
      <c r="DR99" s="1808">
        <f>IF($H99&lt;&gt;DV$5,0,IF(DV99&lt;0,IF($J99=1,-$E99*$I99/12*3,IF($J99=2,-$E99*$I99/12*2,IF($J99=3,-$E99*$I99/12*1,0)))))+IF(DQ$5&lt;&gt;$H99,0,IF(DQ99&lt;0,IF($J99=1,-$E99*$I99/12*0,IF($J99=2,-$E99*$I99/12*1,IF($J99=3,-$E99*$I99/12*2,IF($J99&gt;=4,-$E99*$I99/12*3,0))))))</f>
        <v>0</v>
      </c>
      <c r="DS99" s="1807">
        <f>IF($H99&lt;&gt;DV$5,0,IF(DV99&lt;0,IF(OR($J99=1,$J99=2,$J99=3,$J99=4),-$E99*$I99/12*3,IF($J99=5,-$E99*$I99/12*2,IF($J99=6,-$E99*$I99/12*1,0)))))+IF(DQ$5&lt;&gt;$H99,0,IF(DQ99&lt;0,IF($J99=4,-$E99*$I99/12*0,IF($J99=5,-$E99*$I99/12*1,IF($J99=6,-$E99*$I99/12*2,IF($J99&gt;=7,-$E99*$I99/12*3,0))))))</f>
        <v>0</v>
      </c>
      <c r="DT99" s="1807">
        <f>IF($H99&lt;&gt;DV$5,0,IF(DV99&lt;0,IF(OR($J99=1,$J99=2,$J99=3,$J99=4,$J99=5,$J99=6,$J99=7),-$E99*$I99/12*3,IF($J99=8,-$E99*$I99/12*2,IF($J99=9,-$E99*$I99/12*1,0)))))+IF(DQ$5&lt;&gt;$H99,0,IF(DQ99&lt;0,IF($J99=7,-$E99*$I99/12*0,IF($J99=8,-$E99*$I99/12*1,IF($J99=9,-$E99*$I99/12*2,IF($J99&gt;=10,-$E99*$I99/12*3,0))))))</f>
        <v>0</v>
      </c>
      <c r="DU99" s="1806">
        <f>IF($H99&lt;&gt;DV$5,0,IF(DV99&lt;0,IF(OR($J99=1,$J99=2,$J99=3,$J99=4,$J99=5,$J99=6,$J99=7,$J99=8,$J99=9,$J99=10),-$E99*$I99/12*3,IF($J99=11,-$E99*$I99/12*2,IF($J99=12,-$E99*$I99/12*1,0)))))+IF(DQ$5&lt;&gt;$H99,0,IF(DQ99&lt;0,IF($J99=10,-$E99*$I99/12*0,IF($J99=11,-$E99*$I99/12*1,IF($J99=12,-$E99*$I99/12*2,0)))))</f>
        <v>0</v>
      </c>
      <c r="DV99" s="1791">
        <f>IF(AND(DQ99&lt;&gt;0,DQ$5=$H99),-$I99*$E99-DQ99,IF(DV$5=$H99,-$I99*$E99*(12-$J99+1)/12,0))</f>
        <v>0</v>
      </c>
    </row>
    <row r="100" spans="1:126">
      <c r="A100" s="455"/>
      <c r="B100" s="455"/>
      <c r="C100" s="1363" t="s">
        <v>955</v>
      </c>
      <c r="D100" s="94"/>
      <c r="E100" s="1817">
        <f t="shared" ref="E100:E101" si="1297">IF(F100=0,G100,F100)</f>
        <v>83.68</v>
      </c>
      <c r="F100" s="1435">
        <v>83.68</v>
      </c>
      <c r="G100" s="1435">
        <v>83.68</v>
      </c>
      <c r="H100" s="1350" t="s">
        <v>957</v>
      </c>
      <c r="I100" s="1337">
        <v>3.3750000000000002E-2</v>
      </c>
      <c r="J100" s="1343">
        <v>9</v>
      </c>
      <c r="K100" s="1792"/>
      <c r="L100" s="1810">
        <f t="shared" si="1295"/>
        <v>0</v>
      </c>
      <c r="M100" s="1791">
        <f t="shared" si="1295"/>
        <v>0</v>
      </c>
      <c r="N100" s="1808">
        <f>IF(R100=0,0,IF(R100&lt;0,IF($J100=3,R100,IF($J100=2,R100,IF($J100=1,R100,0)))))</f>
        <v>0</v>
      </c>
      <c r="O100" s="1807">
        <f>IF(R100=0,0,IF(R100&lt;0,IF($J100=6,R100,IF($J100=5,R100,IF($J100=4,R100,0)))))</f>
        <v>0</v>
      </c>
      <c r="P100" s="1807">
        <f>IF(R100=0,0,IF(R100&lt;0,IF($J100=9,R100,IF($J100=8,R100,IF($J100=7,R100,0)))))</f>
        <v>0</v>
      </c>
      <c r="Q100" s="1806">
        <f>IF(R100=0,0,IF(R100&lt;0,IF($J100=12,R100,IF($J100=11,R100,IF($J100=10,R100,0)))))</f>
        <v>0</v>
      </c>
      <c r="R100" s="1791">
        <f>IF(R$5=$H100,-$E100,0)</f>
        <v>0</v>
      </c>
      <c r="S100" s="1808">
        <f>IF(W100=0,0,IF(W100&lt;0,IF($J100=3,W100,IF($J100=2,W100,IF($J100=1,W100,0)))))</f>
        <v>0</v>
      </c>
      <c r="T100" s="1807">
        <f>IF(W100=0,0,IF(W100&lt;0,IF($J100=6,W100,IF($J100=5,W100,IF($J100=4,W100,0)))))</f>
        <v>0</v>
      </c>
      <c r="U100" s="1807">
        <f>IF(W100=0,0,IF(W100&lt;0,IF($J100=9,W100,IF($J100=8,W100,IF($J100=7,W100,0)))))</f>
        <v>0</v>
      </c>
      <c r="V100" s="1806">
        <f>IF(W100=0,0,IF(W100&lt;0,IF($J100=12,W100,IF($J100=11,W100,IF($J100=10,W100,0)))))</f>
        <v>0</v>
      </c>
      <c r="W100" s="1791">
        <f>IF(W$5=$H100,-$E100,0)</f>
        <v>0</v>
      </c>
      <c r="X100" s="1808">
        <f>IF(AB100=0,0,IF(AB100&lt;0,IF($J100=3,AB100,IF($J100=2,AB100,IF($J100=1,AB100,0)))))</f>
        <v>0</v>
      </c>
      <c r="Y100" s="1807">
        <f>IF(AB100=0,0,IF(AB100&lt;0,IF($J100=6,AB100,IF($J100=5,AB100,IF($J100=4,AB100,0)))))</f>
        <v>0</v>
      </c>
      <c r="Z100" s="1807">
        <f>IF(AB100=0,0,IF(AB100&lt;0,IF($J100=9,AB100,IF($J100=8,AB100,IF($J100=7,AB100,0)))))</f>
        <v>0</v>
      </c>
      <c r="AA100" s="1806">
        <f>IF(AB100=0,0,IF(AB100&lt;0,IF($J100=12,AB100,IF($J100=11,AB100,IF($J100=10,AB100,0)))))</f>
        <v>0</v>
      </c>
      <c r="AB100" s="1791">
        <f>IF(AB$5=$H100,-$E100,0)</f>
        <v>0</v>
      </c>
      <c r="AC100" s="1808">
        <f>IF(AG100=0,0,IF(AG100&lt;0,IF($J100=3,AG100,IF($J100=2,AG100,IF($J100=1,AG100,0)))))</f>
        <v>0</v>
      </c>
      <c r="AD100" s="1807">
        <f>IF(AG100=0,0,IF(AG100&lt;0,IF($J100=6,AG100,IF($J100=5,AG100,IF($J100=4,AG100,0)))))</f>
        <v>0</v>
      </c>
      <c r="AE100" s="1807">
        <f>IF(AG100=0,0,IF(AG100&lt;0,IF($J100=9,AG100,IF($J100=8,AG100,IF($J100=7,AG100,0)))))</f>
        <v>0</v>
      </c>
      <c r="AF100" s="1806">
        <f>IF(AG100=0,0,IF(AG100&lt;0,IF($J100=12,AG100,IF($J100=11,AG100,IF($J100=10,AG100,0)))))</f>
        <v>0</v>
      </c>
      <c r="AG100" s="1791">
        <f>IF(AG$5=$H100,-$E100,0)</f>
        <v>0</v>
      </c>
      <c r="AH100" s="1808">
        <f>IF(AL100=0,0,IF(AL100&lt;0,IF($J100=3,AL100,IF($J100=2,AL100,IF($J100=1,AL100,0)))))</f>
        <v>0</v>
      </c>
      <c r="AI100" s="1807">
        <f>IF(AL100=0,0,IF(AL100&lt;0,IF($J100=6,AL100,IF($J100=5,AL100,IF($J100=4,AL100,0)))))</f>
        <v>0</v>
      </c>
      <c r="AJ100" s="1807">
        <f>IF(AL100=0,0,IF(AL100&lt;0,IF($J100=9,AL100,IF($J100=8,AL100,IF($J100=7,AL100,0)))))</f>
        <v>0</v>
      </c>
      <c r="AK100" s="1806">
        <f>IF(AL100=0,0,IF(AL100&lt;0,IF($J100=12,AL100,IF($J100=11,AL100,IF($J100=10,AL100,0)))))</f>
        <v>0</v>
      </c>
      <c r="AL100" s="1791">
        <f>IF(AL$5=$H100,-$E100,0)</f>
        <v>0</v>
      </c>
      <c r="AM100" s="1808">
        <f>IF(AQ100=0,0,IF(AQ100&lt;0,IF($J100=3,AQ100,IF($J100=2,AQ100,IF($J100=1,AQ100,0)))))</f>
        <v>0</v>
      </c>
      <c r="AN100" s="1807">
        <f>IF(AQ100=0,0,IF(AQ100&lt;0,IF($J100=6,AQ100,IF($J100=5,AQ100,IF($J100=4,AQ100,0)))))</f>
        <v>0</v>
      </c>
      <c r="AO100" s="1807">
        <f>IF(AQ100=0,0,IF(AQ100&lt;0,IF($J100=9,AQ100,IF($J100=8,AQ100,IF($J100=7,AQ100,0)))))</f>
        <v>0</v>
      </c>
      <c r="AP100" s="1806">
        <f>IF(AQ100=0,0,IF(AQ100&lt;0,IF($J100=12,AQ100,IF($J100=11,AQ100,IF($J100=10,AQ100,0)))))</f>
        <v>0</v>
      </c>
      <c r="AQ100" s="1791">
        <f>IF(AQ$5=$H100,-$E100,0)</f>
        <v>0</v>
      </c>
      <c r="AR100" s="1808">
        <f>IF(AV100=0,0,IF(AV100&lt;0,IF($J100=3,AV100,IF($J100=2,AV100,IF($J100=1,AV100,0)))))</f>
        <v>0</v>
      </c>
      <c r="AS100" s="1807">
        <f>IF(AV100=0,0,IF(AV100&lt;0,IF($J100=6,AV100,IF($J100=5,AV100,IF($J100=4,AV100,0)))))</f>
        <v>0</v>
      </c>
      <c r="AT100" s="1807">
        <f>IF(AV100=0,0,IF(AV100&lt;0,IF($J100=9,AV100,IF($J100=8,AV100,IF($J100=7,AV100,0)))))</f>
        <v>0</v>
      </c>
      <c r="AU100" s="1806">
        <f>IF(AV100=0,0,IF(AV100&lt;0,IF($J100=12,AV100,IF($J100=11,AV100,IF($J100=10,AV100,0)))))</f>
        <v>0</v>
      </c>
      <c r="AV100" s="1791">
        <f>IF(AV$5=$H100,-$E100,0)</f>
        <v>0</v>
      </c>
      <c r="AW100" s="1808">
        <f>IF(BA100=0,0,IF(BA100&lt;0,IF($J100=3,BA100,IF($J100=2,BA100,IF($J100=1,BA100,0)))))</f>
        <v>0</v>
      </c>
      <c r="AX100" s="1807">
        <f>IF(BA100=0,0,IF(BA100&lt;0,IF($J100=6,BA100,IF($J100=5,BA100,IF($J100=4,BA100,0)))))</f>
        <v>0</v>
      </c>
      <c r="AY100" s="1807">
        <f>IF(BA100=0,0,IF(BA100&lt;0,IF($J100=9,BA100,IF($J100=8,BA100,IF($J100=7,BA100,0)))))</f>
        <v>0</v>
      </c>
      <c r="AZ100" s="1806">
        <f>IF(BA100=0,0,IF(BA100&lt;0,IF($J100=12,BA100,IF($J100=11,BA100,IF($J100=10,BA100,0)))))</f>
        <v>0</v>
      </c>
      <c r="BA100" s="1791">
        <f>IF(BA$5=$H100,-$E100,0)</f>
        <v>0</v>
      </c>
      <c r="BB100" s="1808">
        <f>IF(BF100=0,0,IF(BF100&lt;0,IF($J100=3,BF100,IF($J100=2,BF100,IF($J100=1,BF100,0)))))</f>
        <v>0</v>
      </c>
      <c r="BC100" s="1807">
        <f>IF(BF100=0,0,IF(BF100&lt;0,IF($J100=6,BF100,IF($J100=5,BF100,IF($J100=4,BF100,0)))))</f>
        <v>0</v>
      </c>
      <c r="BD100" s="1807">
        <f>IF(BF100=0,0,IF(BF100&lt;0,IF($J100=9,BF100,IF($J100=8,BF100,IF($J100=7,BF100,0)))))</f>
        <v>0</v>
      </c>
      <c r="BE100" s="1806">
        <f>IF(BF100=0,0,IF(BF100&lt;0,IF($J100=12,BF100,IF($J100=11,BF100,IF($J100=10,BF100,0)))))</f>
        <v>0</v>
      </c>
      <c r="BF100" s="1791">
        <f>IF(BF$5=$H100,-$E100,0)</f>
        <v>0</v>
      </c>
      <c r="BG100" s="1808">
        <f>IF(BK100=0,0,IF(BK100&lt;0,IF($J100=3,BK100,IF($J100=2,BK100,IF($J100=1,BK100,0)))))</f>
        <v>0</v>
      </c>
      <c r="BH100" s="1807">
        <f>IF(BK100=0,0,IF(BK100&lt;0,IF($J100=6,BK100,IF($J100=5,BK100,IF($J100=4,BK100,0)))))</f>
        <v>0</v>
      </c>
      <c r="BI100" s="1807">
        <f>IF(BK100=0,0,IF(BK100&lt;0,IF($J100=9,BK100,IF($J100=8,BK100,IF($J100=7,BK100,0)))))</f>
        <v>0</v>
      </c>
      <c r="BJ100" s="1806">
        <f>IF(BK100=0,0,IF(BK100&lt;0,IF($J100=12,BK100,IF($J100=11,BK100,IF($J100=10,BK100,0)))))</f>
        <v>0</v>
      </c>
      <c r="BK100" s="1791">
        <f>IF(BK$5=$H100,-$E100,0)</f>
        <v>0</v>
      </c>
      <c r="BL100" s="1808">
        <f>IF(BP100=0,0,IF(BP100&lt;0,IF($J100=3,BP100,IF($J100=2,BP100,IF($J100=1,BP100,0)))))</f>
        <v>0</v>
      </c>
      <c r="BM100" s="1807">
        <f>IF(BP100=0,0,IF(BP100&lt;0,IF($J100=6,BP100,IF($J100=5,BP100,IF($J100=4,BP100,0)))))</f>
        <v>0</v>
      </c>
      <c r="BN100" s="1807">
        <f>IF(BP100=0,0,IF(BP100&lt;0,IF($J100=9,BP100,IF($J100=8,BP100,IF($J100=7,BP100,0)))))</f>
        <v>0</v>
      </c>
      <c r="BO100" s="1806">
        <f>IF(BP100=0,0,IF(BP100&lt;0,IF($J100=12,BP100,IF($J100=11,BP100,IF($J100=10,BP100,0)))))</f>
        <v>0</v>
      </c>
      <c r="BP100" s="1791">
        <f>IF(BP$5=$H100,-$E100,0)</f>
        <v>0</v>
      </c>
      <c r="BQ100" s="1827"/>
      <c r="BR100" s="1791">
        <f t="shared" si="1296"/>
        <v>0</v>
      </c>
      <c r="BS100" s="1791">
        <f t="shared" si="1296"/>
        <v>0</v>
      </c>
      <c r="BT100" s="1808">
        <f>IF($H100&lt;&gt;BX$5,0,IF(BX100&lt;0,IF($J100=1,-$E100*$I100/12*3,IF($J100=2,-$E100*$I100/12*2,IF($J100=3,-$E100*$I100/12*1,0)))))+IF(BS$5&lt;&gt;$H100,0,IF(BS100&lt;0,IF($J100=1,-$E100*$I100/12*0,IF($J100=2,-$E100*$I100/12*1,IF($J100=3,-$E100*$I100/12*2,IF($J100&gt;=4,-$E100*$I100/12*3,0))))))</f>
        <v>0</v>
      </c>
      <c r="BU100" s="1807">
        <f>IF($H100&lt;&gt;BX$5,0,IF(BX100&lt;0,IF(OR($J100=1,$J100=2,$J100=3,$J100=4),-$E100*$I100/12*3,IF($J100=5,-$E100*$I100/12*2,IF($J100=6,-$E100*$I100/12*1,0)))))+IF(BS$5&lt;&gt;$H100,0,IF(BS100&lt;0,IF($J100=4,-$E100*$I100/12*0,IF($J100=5,-$E100*$I100/12*1,IF($J100=6,-$E100*$I100/12*2,IF($J100&gt;=7,-$E100*$I100/12*3,0))))))</f>
        <v>0</v>
      </c>
      <c r="BV100" s="1807">
        <f>IF($H100&lt;&gt;BX$5,0,IF(BX100&lt;0,IF(OR($J100=1,$J100=2,$J100=3,$J100=4,$J100=5,$J100=6,$J100=7),-$E100*$I100/12*3,IF($J100=8,-$E100*$I100/12*2,IF($J100=9,-$E100*$I100/12*1,0)))))+IF(BS$5&lt;&gt;$H100,0,IF(BS100&lt;0,IF($J100=7,-$E100*$I100/12*0,IF($J100=8,-$E100*$I100/12*1,IF($J100=9,-$E100*$I100/12*2,IF($J100&gt;=10,-$E100*$I100/12*3,0))))))</f>
        <v>0</v>
      </c>
      <c r="BW100" s="1806">
        <f>IF($H100&lt;&gt;BX$5,0,IF(BX100&lt;0,IF(OR($J100=1,$J100=2,$J100=3,$J100=4,$J100=5,$J100=6,$J100=7,$J100=8,$J100=9,$J100=10),-$E100*$I100/12*3,IF($J100=11,-$E100*$I100/12*2,IF($J100=12,-$E100*$I100/12*1,0)))))+IF(BS$5&lt;&gt;$H100,0,IF(BS100&lt;0,IF($J100=10,-$E100*$I100/12*0,IF($J100=11,-$E100*$I100/12*1,IF($J100=12,-$E100*$I100/12*2,0)))))</f>
        <v>0</v>
      </c>
      <c r="BX100" s="1791">
        <f>IF(AND(BS100&lt;&gt;0,BS$5=$H100),-$I100*$E100-BS100,IF(BX$5=$H100,-$I100*$E100*(12-$J100+1)/12,0))</f>
        <v>0</v>
      </c>
      <c r="BY100" s="1808">
        <f>IF($H100&lt;&gt;CC$5,0,IF(CC100&lt;0,IF($J100=1,-$E100*$I100/12*3,IF($J100=2,-$E100*$I100/12*2,IF($J100=3,-$E100*$I100/12*1,0)))))+IF(BX$5&lt;&gt;$H100,0,IF(BX100&lt;0,IF($J100=1,-$E100*$I100/12*0,IF($J100=2,-$E100*$I100/12*1,IF($J100=3,-$E100*$I100/12*2,IF($J100&gt;=4,-$E100*$I100/12*3,0))))))</f>
        <v>0</v>
      </c>
      <c r="BZ100" s="1807">
        <f>IF($H100&lt;&gt;CC$5,0,IF(CC100&lt;0,IF(OR($J100=1,$J100=2,$J100=3,$J100=4),-$E100*$I100/12*3,IF($J100=5,-$E100*$I100/12*2,IF($J100=6,-$E100*$I100/12*1,0)))))+IF(BX$5&lt;&gt;$H100,0,IF(BX100&lt;0,IF($J100=4,-$E100*$I100/12*0,IF($J100=5,-$E100*$I100/12*1,IF($J100=6,-$E100*$I100/12*2,IF($J100&gt;=7,-$E100*$I100/12*3,0))))))</f>
        <v>0</v>
      </c>
      <c r="CA100" s="1807">
        <f>IF($H100&lt;&gt;CC$5,0,IF(CC100&lt;0,IF(OR($J100=1,$J100=2,$J100=3,$J100=4,$J100=5,$J100=6,$J100=7),-$E100*$I100/12*3,IF($J100=8,-$E100*$I100/12*2,IF($J100=9,-$E100*$I100/12*1,0)))))+IF(BX$5&lt;&gt;$H100,0,IF(BX100&lt;0,IF($J100=7,-$E100*$I100/12*0,IF($J100=8,-$E100*$I100/12*1,IF($J100=9,-$E100*$I100/12*2,IF($J100&gt;=10,-$E100*$I100/12*3,0))))))</f>
        <v>0</v>
      </c>
      <c r="CB100" s="1806">
        <f>IF($H100&lt;&gt;CC$5,0,IF(CC100&lt;0,IF(OR($J100=1,$J100=2,$J100=3,$J100=4,$J100=5,$J100=6,$J100=7,$J100=8,$J100=9,$J100=10),-$E100*$I100/12*3,IF($J100=11,-$E100*$I100/12*2,IF($J100=12,-$E100*$I100/12*1,0)))))+IF(BX$5&lt;&gt;$H100,0,IF(BX100&lt;0,IF($J100=10,-$E100*$I100/12*0,IF($J100=11,-$E100*$I100/12*1,IF($J100=12,-$E100*$I100/12*2,0)))))</f>
        <v>0</v>
      </c>
      <c r="CC100" s="1791">
        <f>IF(AND(BX100&lt;&gt;0,BX$5=$H100),-$I100*$E100-BX100,IF(CC$5=$H100,-$I100*$E100*(12-$J100+1)/12,0))</f>
        <v>0</v>
      </c>
      <c r="CD100" s="1808">
        <f>IF($H100&lt;&gt;CH$5,0,IF(CH100&lt;0,IF($J100=1,-$E100*$I100/12*3,IF($J100=2,-$E100*$I100/12*2,IF($J100=3,-$E100*$I100/12*1,0)))))+IF(CC$5&lt;&gt;$H100,0,IF(CC100&lt;0,IF($J100=1,-$E100*$I100/12*0,IF($J100=2,-$E100*$I100/12*1,IF($J100=3,-$E100*$I100/12*2,IF($J100&gt;=4,-$E100*$I100/12*3,0))))))</f>
        <v>0</v>
      </c>
      <c r="CE100" s="1807">
        <f>IF($H100&lt;&gt;CH$5,0,IF(CH100&lt;0,IF(OR($J100=1,$J100=2,$J100=3,$J100=4),-$E100*$I100/12*3,IF($J100=5,-$E100*$I100/12*2,IF($J100=6,-$E100*$I100/12*1,0)))))+IF(CC$5&lt;&gt;$H100,0,IF(CC100&lt;0,IF($J100=4,-$E100*$I100/12*0,IF($J100=5,-$E100*$I100/12*1,IF($J100=6,-$E100*$I100/12*2,IF($J100&gt;=7,-$E100*$I100/12*3,0))))))</f>
        <v>0</v>
      </c>
      <c r="CF100" s="1807">
        <f>IF($H100&lt;&gt;CH$5,0,IF(CH100&lt;0,IF(OR($J100=1,$J100=2,$J100=3,$J100=4,$J100=5,$J100=6,$J100=7),-$E100*$I100/12*3,IF($J100=8,-$E100*$I100/12*2,IF($J100=9,-$E100*$I100/12*1,0)))))+IF(CC$5&lt;&gt;$H100,0,IF(CC100&lt;0,IF($J100=7,-$E100*$I100/12*0,IF($J100=8,-$E100*$I100/12*1,IF($J100=9,-$E100*$I100/12*2,IF($J100&gt;=10,-$E100*$I100/12*3,0))))))</f>
        <v>0</v>
      </c>
      <c r="CG100" s="1806">
        <f>IF($H100&lt;&gt;CH$5,0,IF(CH100&lt;0,IF(OR($J100=1,$J100=2,$J100=3,$J100=4,$J100=5,$J100=6,$J100=7,$J100=8,$J100=9,$J100=10),-$E100*$I100/12*3,IF($J100=11,-$E100*$I100/12*2,IF($J100=12,-$E100*$I100/12*1,0)))))+IF(CC$5&lt;&gt;$H100,0,IF(CC100&lt;0,IF($J100=10,-$E100*$I100/12*0,IF($J100=11,-$E100*$I100/12*1,IF($J100=12,-$E100*$I100/12*2,0)))))</f>
        <v>0</v>
      </c>
      <c r="CH100" s="1791">
        <f>IF(AND(CC100&lt;&gt;0,CC$5=$H100),-$I100*$E100-CC100,IF(CH$5=$H100,-$I100*$E100*(12-$J100+1)/12,0))</f>
        <v>0</v>
      </c>
      <c r="CI100" s="1808">
        <f>IF($H100&lt;&gt;CM$5,0,IF(CM100&lt;0,IF($J100=1,-$E100*$I100/12*3,IF($J100=2,-$E100*$I100/12*2,IF($J100=3,-$E100*$I100/12*1,0)))))+IF(CH$5&lt;&gt;$H100,0,IF(CH100&lt;0,IF($J100=1,-$E100*$I100/12*0,IF($J100=2,-$E100*$I100/12*1,IF($J100=3,-$E100*$I100/12*2,IF($J100&gt;=4,-$E100*$I100/12*3,0))))))</f>
        <v>0</v>
      </c>
      <c r="CJ100" s="1807">
        <f>IF($H100&lt;&gt;CM$5,0,IF(CM100&lt;0,IF(OR($J100=1,$J100=2,$J100=3,$J100=4),-$E100*$I100/12*3,IF($J100=5,-$E100*$I100/12*2,IF($J100=6,-$E100*$I100/12*1,0)))))+IF(CH$5&lt;&gt;$H100,0,IF(CH100&lt;0,IF($J100=4,-$E100*$I100/12*0,IF($J100=5,-$E100*$I100/12*1,IF($J100=6,-$E100*$I100/12*2,IF($J100&gt;=7,-$E100*$I100/12*3,0))))))</f>
        <v>0</v>
      </c>
      <c r="CK100" s="1807">
        <f>IF($H100&lt;&gt;CM$5,0,IF(CM100&lt;0,IF(OR($J100=1,$J100=2,$J100=3,$J100=4,$J100=5,$J100=6,$J100=7),-$E100*$I100/12*3,IF($J100=8,-$E100*$I100/12*2,IF($J100=9,-$E100*$I100/12*1,0)))))+IF(CH$5&lt;&gt;$H100,0,IF(CH100&lt;0,IF($J100=7,-$E100*$I100/12*0,IF($J100=8,-$E100*$I100/12*1,IF($J100=9,-$E100*$I100/12*2,IF($J100&gt;=10,-$E100*$I100/12*3,0))))))</f>
        <v>0</v>
      </c>
      <c r="CL100" s="1806">
        <f>IF($H100&lt;&gt;CM$5,0,IF(CM100&lt;0,IF(OR($J100=1,$J100=2,$J100=3,$J100=4,$J100=5,$J100=6,$J100=7,$J100=8,$J100=9,$J100=10),-$E100*$I100/12*3,IF($J100=11,-$E100*$I100/12*2,IF($J100=12,-$E100*$I100/12*1,0)))))+IF(CH$5&lt;&gt;$H100,0,IF(CH100&lt;0,IF($J100=10,-$E100*$I100/12*0,IF($J100=11,-$E100*$I100/12*1,IF($J100=12,-$E100*$I100/12*2,0)))))</f>
        <v>0</v>
      </c>
      <c r="CM100" s="1791">
        <f>IF(AND(CH100&lt;&gt;0,CH$5=$H100),-$I100*$E100-CH100,IF(CM$5=$H100,-$I100*$E100*(12-$J100+1)/12,0))</f>
        <v>0</v>
      </c>
      <c r="CN100" s="1808">
        <f>IF($H100&lt;&gt;CR$5,0,IF(CR100&lt;0,IF($J100=1,-$E100*$I100/12*3,IF($J100=2,-$E100*$I100/12*2,IF($J100=3,-$E100*$I100/12*1,0)))))+IF(CM$5&lt;&gt;$H100,0,IF(CM100&lt;0,IF($J100=1,-$E100*$I100/12*0,IF($J100=2,-$E100*$I100/12*1,IF($J100=3,-$E100*$I100/12*2,IF($J100&gt;=4,-$E100*$I100/12*3,0))))))</f>
        <v>0</v>
      </c>
      <c r="CO100" s="1807">
        <f>IF($H100&lt;&gt;CR$5,0,IF(CR100&lt;0,IF(OR($J100=1,$J100=2,$J100=3,$J100=4),-$E100*$I100/12*3,IF($J100=5,-$E100*$I100/12*2,IF($J100=6,-$E100*$I100/12*1,0)))))+IF(CM$5&lt;&gt;$H100,0,IF(CM100&lt;0,IF($J100=4,-$E100*$I100/12*0,IF($J100=5,-$E100*$I100/12*1,IF($J100=6,-$E100*$I100/12*2,IF($J100&gt;=7,-$E100*$I100/12*3,0))))))</f>
        <v>0</v>
      </c>
      <c r="CP100" s="1807">
        <f>IF($H100&lt;&gt;CR$5,0,IF(CR100&lt;0,IF(OR($J100=1,$J100=2,$J100=3,$J100=4,$J100=5,$J100=6,$J100=7),-$E100*$I100/12*3,IF($J100=8,-$E100*$I100/12*2,IF($J100=9,-$E100*$I100/12*1,0)))))+IF(CM$5&lt;&gt;$H100,0,IF(CM100&lt;0,IF($J100=7,-$E100*$I100/12*0,IF($J100=8,-$E100*$I100/12*1,IF($J100=9,-$E100*$I100/12*2,IF($J100&gt;=10,-$E100*$I100/12*3,0))))))</f>
        <v>0</v>
      </c>
      <c r="CQ100" s="1806">
        <f>IF($H100&lt;&gt;CR$5,0,IF(CR100&lt;0,IF(OR($J100=1,$J100=2,$J100=3,$J100=4,$J100=5,$J100=6,$J100=7,$J100=8,$J100=9,$J100=10),-$E100*$I100/12*3,IF($J100=11,-$E100*$I100/12*2,IF($J100=12,-$E100*$I100/12*1,0)))))+IF(CM$5&lt;&gt;$H100,0,IF(CM100&lt;0,IF($J100=10,-$E100*$I100/12*0,IF($J100=11,-$E100*$I100/12*1,IF($J100=12,-$E100*$I100/12*2,0)))))</f>
        <v>0</v>
      </c>
      <c r="CR100" s="1791">
        <f>IF(AND(CM100&lt;&gt;0,CM$5=$H100),-$I100*$E100-CM100,IF(CR$5=$H100,-$I100*$E100*(12-$J100+1)/12,0))</f>
        <v>0</v>
      </c>
      <c r="CS100" s="1808">
        <f>IF($H100&lt;&gt;CW$5,0,IF(CW100&lt;0,IF($J100=1,-$E100*$I100/12*3,IF($J100=2,-$E100*$I100/12*2,IF($J100=3,-$E100*$I100/12*1,0)))))+IF(CR$5&lt;&gt;$H100,0,IF(CR100&lt;0,IF($J100=1,-$E100*$I100/12*0,IF($J100=2,-$E100*$I100/12*1,IF($J100=3,-$E100*$I100/12*2,IF($J100&gt;=4,-$E100*$I100/12*3,0))))))</f>
        <v>0</v>
      </c>
      <c r="CT100" s="1807">
        <f>IF($H100&lt;&gt;CW$5,0,IF(CW100&lt;0,IF(OR($J100=1,$J100=2,$J100=3,$J100=4),-$E100*$I100/12*3,IF($J100=5,-$E100*$I100/12*2,IF($J100=6,-$E100*$I100/12*1,0)))))+IF(CR$5&lt;&gt;$H100,0,IF(CR100&lt;0,IF($J100=4,-$E100*$I100/12*0,IF($J100=5,-$E100*$I100/12*1,IF($J100=6,-$E100*$I100/12*2,IF($J100&gt;=7,-$E100*$I100/12*3,0))))))</f>
        <v>0</v>
      </c>
      <c r="CU100" s="1807">
        <f>IF($H100&lt;&gt;CW$5,0,IF(CW100&lt;0,IF(OR($J100=1,$J100=2,$J100=3,$J100=4,$J100=5,$J100=6,$J100=7),-$E100*$I100/12*3,IF($J100=8,-$E100*$I100/12*2,IF($J100=9,-$E100*$I100/12*1,0)))))+IF(CR$5&lt;&gt;$H100,0,IF(CR100&lt;0,IF($J100=7,-$E100*$I100/12*0,IF($J100=8,-$E100*$I100/12*1,IF($J100=9,-$E100*$I100/12*2,IF($J100&gt;=10,-$E100*$I100/12*3,0))))))</f>
        <v>0</v>
      </c>
      <c r="CV100" s="1806">
        <f>IF($H100&lt;&gt;CW$5,0,IF(CW100&lt;0,IF(OR($J100=1,$J100=2,$J100=3,$J100=4,$J100=5,$J100=6,$J100=7,$J100=8,$J100=9,$J100=10),-$E100*$I100/12*3,IF($J100=11,-$E100*$I100/12*2,IF($J100=12,-$E100*$I100/12*1,0)))))+IF(CR$5&lt;&gt;$H100,0,IF(CR100&lt;0,IF($J100=10,-$E100*$I100/12*0,IF($J100=11,-$E100*$I100/12*1,IF($J100=12,-$E100*$I100/12*2,0)))))</f>
        <v>0</v>
      </c>
      <c r="CW100" s="1791">
        <f>IF(AND(CR100&lt;&gt;0,CR$5=$H100),-$I100*$E100-CR100,IF(CW$5=$H100,-$I100*$E100*(12-$J100+1)/12,0))</f>
        <v>0</v>
      </c>
      <c r="CX100" s="1808">
        <f>IF($H100&lt;&gt;DB$5,0,IF(DB100&lt;0,IF($J100=1,-$E100*$I100/12*3,IF($J100=2,-$E100*$I100/12*2,IF($J100=3,-$E100*$I100/12*1,0)))))+IF(CW$5&lt;&gt;$H100,0,IF(CW100&lt;0,IF($J100=1,-$E100*$I100/12*0,IF($J100=2,-$E100*$I100/12*1,IF($J100=3,-$E100*$I100/12*2,IF($J100&gt;=4,-$E100*$I100/12*3,0))))))</f>
        <v>0</v>
      </c>
      <c r="CY100" s="1807">
        <f>IF($H100&lt;&gt;DB$5,0,IF(DB100&lt;0,IF(OR($J100=1,$J100=2,$J100=3,$J100=4),-$E100*$I100/12*3,IF($J100=5,-$E100*$I100/12*2,IF($J100=6,-$E100*$I100/12*1,0)))))+IF(CW$5&lt;&gt;$H100,0,IF(CW100&lt;0,IF($J100=4,-$E100*$I100/12*0,IF($J100=5,-$E100*$I100/12*1,IF($J100=6,-$E100*$I100/12*2,IF($J100&gt;=7,-$E100*$I100/12*3,0))))))</f>
        <v>0</v>
      </c>
      <c r="CZ100" s="1807">
        <f>IF($H100&lt;&gt;DB$5,0,IF(DB100&lt;0,IF(OR($J100=1,$J100=2,$J100=3,$J100=4,$J100=5,$J100=6,$J100=7),-$E100*$I100/12*3,IF($J100=8,-$E100*$I100/12*2,IF($J100=9,-$E100*$I100/12*1,0)))))+IF(CW$5&lt;&gt;$H100,0,IF(CW100&lt;0,IF($J100=7,-$E100*$I100/12*0,IF($J100=8,-$E100*$I100/12*1,IF($J100=9,-$E100*$I100/12*2,IF($J100&gt;=10,-$E100*$I100/12*3,0))))))</f>
        <v>0</v>
      </c>
      <c r="DA100" s="1806">
        <f>IF($H100&lt;&gt;DB$5,0,IF(DB100&lt;0,IF(OR($J100=1,$J100=2,$J100=3,$J100=4,$J100=5,$J100=6,$J100=7,$J100=8,$J100=9,$J100=10),-$E100*$I100/12*3,IF($J100=11,-$E100*$I100/12*2,IF($J100=12,-$E100*$I100/12*1,0)))))+IF(CW$5&lt;&gt;$H100,0,IF(CW100&lt;0,IF($J100=10,-$E100*$I100/12*0,IF($J100=11,-$E100*$I100/12*1,IF($J100=12,-$E100*$I100/12*2,0)))))</f>
        <v>0</v>
      </c>
      <c r="DB100" s="1791">
        <f>IF(AND(CW100&lt;&gt;0,CW$5=$H100),-$I100*$E100-CW100,IF(DB$5=$H100,-$I100*$E100*(12-$J100+1)/12,0))</f>
        <v>0</v>
      </c>
      <c r="DC100" s="1808">
        <f>IF($H100&lt;&gt;DG$5,0,IF(DG100&lt;0,IF($J100=1,-$E100*$I100/12*3,IF($J100=2,-$E100*$I100/12*2,IF($J100=3,-$E100*$I100/12*1,0)))))+IF(DB$5&lt;&gt;$H100,0,IF(DB100&lt;0,IF($J100=1,-$E100*$I100/12*0,IF($J100=2,-$E100*$I100/12*1,IF($J100=3,-$E100*$I100/12*2,IF($J100&gt;=4,-$E100*$I100/12*3,0))))))</f>
        <v>0</v>
      </c>
      <c r="DD100" s="1807">
        <f>IF($H100&lt;&gt;DG$5,0,IF(DG100&lt;0,IF(OR($J100=1,$J100=2,$J100=3,$J100=4),-$E100*$I100/12*3,IF($J100=5,-$E100*$I100/12*2,IF($J100=6,-$E100*$I100/12*1,0)))))+IF(DB$5&lt;&gt;$H100,0,IF(DB100&lt;0,IF($J100=4,-$E100*$I100/12*0,IF($J100=5,-$E100*$I100/12*1,IF($J100=6,-$E100*$I100/12*2,IF($J100&gt;=7,-$E100*$I100/12*3,0))))))</f>
        <v>0</v>
      </c>
      <c r="DE100" s="1807">
        <f>IF($H100&lt;&gt;DG$5,0,IF(DG100&lt;0,IF(OR($J100=1,$J100=2,$J100=3,$J100=4,$J100=5,$J100=6,$J100=7),-$E100*$I100/12*3,IF($J100=8,-$E100*$I100/12*2,IF($J100=9,-$E100*$I100/12*1,0)))))+IF(DB$5&lt;&gt;$H100,0,IF(DB100&lt;0,IF($J100=7,-$E100*$I100/12*0,IF($J100=8,-$E100*$I100/12*1,IF($J100=9,-$E100*$I100/12*2,IF($J100&gt;=10,-$E100*$I100/12*3,0))))))</f>
        <v>0</v>
      </c>
      <c r="DF100" s="1806">
        <f>IF($H100&lt;&gt;DG$5,0,IF(DG100&lt;0,IF(OR($J100=1,$J100=2,$J100=3,$J100=4,$J100=5,$J100=6,$J100=7,$J100=8,$J100=9,$J100=10),-$E100*$I100/12*3,IF($J100=11,-$E100*$I100/12*2,IF($J100=12,-$E100*$I100/12*1,0)))))+IF(DB$5&lt;&gt;$H100,0,IF(DB100&lt;0,IF($J100=10,-$E100*$I100/12*0,IF($J100=11,-$E100*$I100/12*1,IF($J100=12,-$E100*$I100/12*2,0)))))</f>
        <v>0</v>
      </c>
      <c r="DG100" s="1791">
        <f>IF(AND(DB100&lt;&gt;0,DB$5=$H100),-$I100*$E100-DB100,IF(DG$5=$H100,-$I100*$E100*(12-$J100+1)/12,0))</f>
        <v>0</v>
      </c>
      <c r="DH100" s="1808">
        <f>IF($H100&lt;&gt;DL$5,0,IF(DL100&lt;0,IF($J100=1,-$E100*$I100/12*3,IF($J100=2,-$E100*$I100/12*2,IF($J100=3,-$E100*$I100/12*1,0)))))+IF(DG$5&lt;&gt;$H100,0,IF(DG100&lt;0,IF($J100=1,-$E100*$I100/12*0,IF($J100=2,-$E100*$I100/12*1,IF($J100=3,-$E100*$I100/12*2,IF($J100&gt;=4,-$E100*$I100/12*3,0))))))</f>
        <v>0</v>
      </c>
      <c r="DI100" s="1807">
        <f>IF($H100&lt;&gt;DL$5,0,IF(DL100&lt;0,IF(OR($J100=1,$J100=2,$J100=3,$J100=4),-$E100*$I100/12*3,IF($J100=5,-$E100*$I100/12*2,IF($J100=6,-$E100*$I100/12*1,0)))))+IF(DG$5&lt;&gt;$H100,0,IF(DG100&lt;0,IF($J100=4,-$E100*$I100/12*0,IF($J100=5,-$E100*$I100/12*1,IF($J100=6,-$E100*$I100/12*2,IF($J100&gt;=7,-$E100*$I100/12*3,0))))))</f>
        <v>0</v>
      </c>
      <c r="DJ100" s="1807">
        <f>IF($H100&lt;&gt;DL$5,0,IF(DL100&lt;0,IF(OR($J100=1,$J100=2,$J100=3,$J100=4,$J100=5,$J100=6,$J100=7),-$E100*$I100/12*3,IF($J100=8,-$E100*$I100/12*2,IF($J100=9,-$E100*$I100/12*1,0)))))+IF(DG$5&lt;&gt;$H100,0,IF(DG100&lt;0,IF($J100=7,-$E100*$I100/12*0,IF($J100=8,-$E100*$I100/12*1,IF($J100=9,-$E100*$I100/12*2,IF($J100&gt;=10,-$E100*$I100/12*3,0))))))</f>
        <v>0</v>
      </c>
      <c r="DK100" s="1806">
        <f>IF($H100&lt;&gt;DL$5,0,IF(DL100&lt;0,IF(OR($J100=1,$J100=2,$J100=3,$J100=4,$J100=5,$J100=6,$J100=7,$J100=8,$J100=9,$J100=10),-$E100*$I100/12*3,IF($J100=11,-$E100*$I100/12*2,IF($J100=12,-$E100*$I100/12*1,0)))))+IF(DG$5&lt;&gt;$H100,0,IF(DG100&lt;0,IF($J100=10,-$E100*$I100/12*0,IF($J100=11,-$E100*$I100/12*1,IF($J100=12,-$E100*$I100/12*2,0)))))</f>
        <v>0</v>
      </c>
      <c r="DL100" s="1791">
        <f>IF(AND(DG100&lt;&gt;0,DG$5=$H100),-$I100*$E100-DG100,IF(DL$5=$H100,-$I100*$E100*(12-$J100+1)/12,0))</f>
        <v>0</v>
      </c>
      <c r="DM100" s="1808">
        <f>IF($H100&lt;&gt;DQ$5,0,IF(DQ100&lt;0,IF($J100=1,-$E100*$I100/12*3,IF($J100=2,-$E100*$I100/12*2,IF($J100=3,-$E100*$I100/12*1,0)))))+IF(DL$5&lt;&gt;$H100,0,IF(DL100&lt;0,IF($J100=1,-$E100*$I100/12*0,IF($J100=2,-$E100*$I100/12*1,IF($J100=3,-$E100*$I100/12*2,IF($J100&gt;=4,-$E100*$I100/12*3,0))))))</f>
        <v>0</v>
      </c>
      <c r="DN100" s="1807">
        <f>IF($H100&lt;&gt;DQ$5,0,IF(DQ100&lt;0,IF(OR($J100=1,$J100=2,$J100=3,$J100=4),-$E100*$I100/12*3,IF($J100=5,-$E100*$I100/12*2,IF($J100=6,-$E100*$I100/12*1,0)))))+IF(DL$5&lt;&gt;$H100,0,IF(DL100&lt;0,IF($J100=4,-$E100*$I100/12*0,IF($J100=5,-$E100*$I100/12*1,IF($J100=6,-$E100*$I100/12*2,IF($J100&gt;=7,-$E100*$I100/12*3,0))))))</f>
        <v>0</v>
      </c>
      <c r="DO100" s="1807">
        <f>IF($H100&lt;&gt;DQ$5,0,IF(DQ100&lt;0,IF(OR($J100=1,$J100=2,$J100=3,$J100=4,$J100=5,$J100=6,$J100=7),-$E100*$I100/12*3,IF($J100=8,-$E100*$I100/12*2,IF($J100=9,-$E100*$I100/12*1,0)))))+IF(DL$5&lt;&gt;$H100,0,IF(DL100&lt;0,IF($J100=7,-$E100*$I100/12*0,IF($J100=8,-$E100*$I100/12*1,IF($J100=9,-$E100*$I100/12*2,IF($J100&gt;=10,-$E100*$I100/12*3,0))))))</f>
        <v>0</v>
      </c>
      <c r="DP100" s="1806">
        <f>IF($H100&lt;&gt;DQ$5,0,IF(DQ100&lt;0,IF(OR($J100=1,$J100=2,$J100=3,$J100=4,$J100=5,$J100=6,$J100=7,$J100=8,$J100=9,$J100=10),-$E100*$I100/12*3,IF($J100=11,-$E100*$I100/12*2,IF($J100=12,-$E100*$I100/12*1,0)))))+IF(DL$5&lt;&gt;$H100,0,IF(DL100&lt;0,IF($J100=10,-$E100*$I100/12*0,IF($J100=11,-$E100*$I100/12*1,IF($J100=12,-$E100*$I100/12*2,0)))))</f>
        <v>0</v>
      </c>
      <c r="DQ100" s="1791">
        <f>IF(AND(DL100&lt;&gt;0,DL$5=$H100),-$I100*$E100-DL100,IF(DQ$5=$H100,-$I100*$E100*(12-$J100+1)/12,0))</f>
        <v>0</v>
      </c>
      <c r="DR100" s="1808">
        <f>IF($H100&lt;&gt;DV$5,0,IF(DV100&lt;0,IF($J100=1,-$E100*$I100/12*3,IF($J100=2,-$E100*$I100/12*2,IF($J100=3,-$E100*$I100/12*1,0)))))+IF(DQ$5&lt;&gt;$H100,0,IF(DQ100&lt;0,IF($J100=1,-$E100*$I100/12*0,IF($J100=2,-$E100*$I100/12*1,IF($J100=3,-$E100*$I100/12*2,IF($J100&gt;=4,-$E100*$I100/12*3,0))))))</f>
        <v>0</v>
      </c>
      <c r="DS100" s="1807">
        <f>IF($H100&lt;&gt;DV$5,0,IF(DV100&lt;0,IF(OR($J100=1,$J100=2,$J100=3,$J100=4),-$E100*$I100/12*3,IF($J100=5,-$E100*$I100/12*2,IF($J100=6,-$E100*$I100/12*1,0)))))+IF(DQ$5&lt;&gt;$H100,0,IF(DQ100&lt;0,IF($J100=4,-$E100*$I100/12*0,IF($J100=5,-$E100*$I100/12*1,IF($J100=6,-$E100*$I100/12*2,IF($J100&gt;=7,-$E100*$I100/12*3,0))))))</f>
        <v>0</v>
      </c>
      <c r="DT100" s="1807">
        <f>IF($H100&lt;&gt;DV$5,0,IF(DV100&lt;0,IF(OR($J100=1,$J100=2,$J100=3,$J100=4,$J100=5,$J100=6,$J100=7),-$E100*$I100/12*3,IF($J100=8,-$E100*$I100/12*2,IF($J100=9,-$E100*$I100/12*1,0)))))+IF(DQ$5&lt;&gt;$H100,0,IF(DQ100&lt;0,IF($J100=7,-$E100*$I100/12*0,IF($J100=8,-$E100*$I100/12*1,IF($J100=9,-$E100*$I100/12*2,IF($J100&gt;=10,-$E100*$I100/12*3,0))))))</f>
        <v>0</v>
      </c>
      <c r="DU100" s="1806">
        <f>IF($H100&lt;&gt;DV$5,0,IF(DV100&lt;0,IF(OR($J100=1,$J100=2,$J100=3,$J100=4,$J100=5,$J100=6,$J100=7,$J100=8,$J100=9,$J100=10),-$E100*$I100/12*3,IF($J100=11,-$E100*$I100/12*2,IF($J100=12,-$E100*$I100/12*1,0)))))+IF(DQ$5&lt;&gt;$H100,0,IF(DQ100&lt;0,IF($J100=10,-$E100*$I100/12*0,IF($J100=11,-$E100*$I100/12*1,IF($J100=12,-$E100*$I100/12*2,0)))))</f>
        <v>0</v>
      </c>
      <c r="DV100" s="1791">
        <f>IF(AND(DQ100&lt;&gt;0,DQ$5=$H100),-$I100*$E100-DQ100,IF(DV$5=$H100,-$I100*$E100*(12-$J100+1)/12,0))</f>
        <v>0</v>
      </c>
    </row>
    <row r="101" spans="1:126">
      <c r="A101" s="455"/>
      <c r="B101" s="455"/>
      <c r="C101" s="1363" t="s">
        <v>956</v>
      </c>
      <c r="D101" s="94"/>
      <c r="E101" s="1817">
        <f t="shared" si="1297"/>
        <v>115</v>
      </c>
      <c r="F101" s="1435">
        <v>115</v>
      </c>
      <c r="G101" s="1435">
        <v>115</v>
      </c>
      <c r="H101" s="1350" t="s">
        <v>958</v>
      </c>
      <c r="I101" s="1337">
        <v>3.5000000000000003E-2</v>
      </c>
      <c r="J101" s="1343">
        <v>6</v>
      </c>
      <c r="K101" s="1792"/>
      <c r="L101" s="1810">
        <f t="shared" si="1295"/>
        <v>0</v>
      </c>
      <c r="M101" s="1791">
        <f t="shared" si="1295"/>
        <v>0</v>
      </c>
      <c r="N101" s="1808">
        <f>IF(R101=0,0,IF(R101&lt;0,IF($J101=3,R101,IF($J101=2,R101,IF($J101=1,R101,0)))))</f>
        <v>0</v>
      </c>
      <c r="O101" s="1807">
        <f>IF(R101=0,0,IF(R101&lt;0,IF($J101=6,R101,IF($J101=5,R101,IF($J101=4,R101,0)))))</f>
        <v>0</v>
      </c>
      <c r="P101" s="1807">
        <f>IF(R101=0,0,IF(R101&lt;0,IF($J101=9,R101,IF($J101=8,R101,IF($J101=7,R101,0)))))</f>
        <v>0</v>
      </c>
      <c r="Q101" s="1806">
        <f>IF(R101=0,0,IF(R101&lt;0,IF($J101=12,R101,IF($J101=11,R101,IF($J101=10,R101,0)))))</f>
        <v>0</v>
      </c>
      <c r="R101" s="1791">
        <f>IF(R$5=$H101,-$E101,0)</f>
        <v>0</v>
      </c>
      <c r="S101" s="1808">
        <f>IF(W101=0,0,IF(W101&lt;0,IF($J101=3,W101,IF($J101=2,W101,IF($J101=1,W101,0)))))</f>
        <v>0</v>
      </c>
      <c r="T101" s="1807">
        <f>IF(W101=0,0,IF(W101&lt;0,IF($J101=6,W101,IF($J101=5,W101,IF($J101=4,W101,0)))))</f>
        <v>0</v>
      </c>
      <c r="U101" s="1807">
        <f>IF(W101=0,0,IF(W101&lt;0,IF($J101=9,W101,IF($J101=8,W101,IF($J101=7,W101,0)))))</f>
        <v>0</v>
      </c>
      <c r="V101" s="1806">
        <f>IF(W101=0,0,IF(W101&lt;0,IF($J101=12,W101,IF($J101=11,W101,IF($J101=10,W101,0)))))</f>
        <v>0</v>
      </c>
      <c r="W101" s="1791">
        <f>IF(W$5=$H101,-$E101,0)</f>
        <v>0</v>
      </c>
      <c r="X101" s="1808">
        <f>IF(AB101=0,0,IF(AB101&lt;0,IF($J101=3,AB101,IF($J101=2,AB101,IF($J101=1,AB101,0)))))</f>
        <v>0</v>
      </c>
      <c r="Y101" s="1807">
        <f>IF(AB101=0,0,IF(AB101&lt;0,IF($J101=6,AB101,IF($J101=5,AB101,IF($J101=4,AB101,0)))))</f>
        <v>0</v>
      </c>
      <c r="Z101" s="1807">
        <f>IF(AB101=0,0,IF(AB101&lt;0,IF($J101=9,AB101,IF($J101=8,AB101,IF($J101=7,AB101,0)))))</f>
        <v>0</v>
      </c>
      <c r="AA101" s="1806">
        <f>IF(AB101=0,0,IF(AB101&lt;0,IF($J101=12,AB101,IF($J101=11,AB101,IF($J101=10,AB101,0)))))</f>
        <v>0</v>
      </c>
      <c r="AB101" s="1791">
        <f>IF(AB$5=$H101,-$E101,0)</f>
        <v>0</v>
      </c>
      <c r="AC101" s="1808">
        <f>IF(AG101=0,0,IF(AG101&lt;0,IF($J101=3,AG101,IF($J101=2,AG101,IF($J101=1,AG101,0)))))</f>
        <v>0</v>
      </c>
      <c r="AD101" s="1807">
        <f>IF(AG101=0,0,IF(AG101&lt;0,IF($J101=6,AG101,IF($J101=5,AG101,IF($J101=4,AG101,0)))))</f>
        <v>0</v>
      </c>
      <c r="AE101" s="1807">
        <f>IF(AG101=0,0,IF(AG101&lt;0,IF($J101=9,AG101,IF($J101=8,AG101,IF($J101=7,AG101,0)))))</f>
        <v>0</v>
      </c>
      <c r="AF101" s="1806">
        <f>IF(AG101=0,0,IF(AG101&lt;0,IF($J101=12,AG101,IF($J101=11,AG101,IF($J101=10,AG101,0)))))</f>
        <v>0</v>
      </c>
      <c r="AG101" s="1791">
        <f>IF(AG$5=$H101,-$E101,0)</f>
        <v>0</v>
      </c>
      <c r="AH101" s="1808">
        <f>IF(AL101=0,0,IF(AL101&lt;0,IF($J101=3,AL101,IF($J101=2,AL101,IF($J101=1,AL101,0)))))</f>
        <v>0</v>
      </c>
      <c r="AI101" s="1807">
        <f>IF(AL101=0,0,IF(AL101&lt;0,IF($J101=6,AL101,IF($J101=5,AL101,IF($J101=4,AL101,0)))))</f>
        <v>0</v>
      </c>
      <c r="AJ101" s="1807">
        <f>IF(AL101=0,0,IF(AL101&lt;0,IF($J101=9,AL101,IF($J101=8,AL101,IF($J101=7,AL101,0)))))</f>
        <v>0</v>
      </c>
      <c r="AK101" s="1806">
        <f>IF(AL101=0,0,IF(AL101&lt;0,IF($J101=12,AL101,IF($J101=11,AL101,IF($J101=10,AL101,0)))))</f>
        <v>0</v>
      </c>
      <c r="AL101" s="1791">
        <f>IF(AL$5=$H101,-$E101,0)</f>
        <v>0</v>
      </c>
      <c r="AM101" s="1808">
        <f>IF(AQ101=0,0,IF(AQ101&lt;0,IF($J101=3,AQ101,IF($J101=2,AQ101,IF($J101=1,AQ101,0)))))</f>
        <v>0</v>
      </c>
      <c r="AN101" s="1807">
        <f>IF(AQ101=0,0,IF(AQ101&lt;0,IF($J101=6,AQ101,IF($J101=5,AQ101,IF($J101=4,AQ101,0)))))</f>
        <v>0</v>
      </c>
      <c r="AO101" s="1807">
        <f>IF(AQ101=0,0,IF(AQ101&lt;0,IF($J101=9,AQ101,IF($J101=8,AQ101,IF($J101=7,AQ101,0)))))</f>
        <v>0</v>
      </c>
      <c r="AP101" s="1806">
        <f>IF(AQ101=0,0,IF(AQ101&lt;0,IF($J101=12,AQ101,IF($J101=11,AQ101,IF($J101=10,AQ101,0)))))</f>
        <v>0</v>
      </c>
      <c r="AQ101" s="1791">
        <f>IF(AQ$5=$H101,-$E101,0)</f>
        <v>0</v>
      </c>
      <c r="AR101" s="1808">
        <f>IF(AV101=0,0,IF(AV101&lt;0,IF($J101=3,AV101,IF($J101=2,AV101,IF($J101=1,AV101,0)))))</f>
        <v>0</v>
      </c>
      <c r="AS101" s="1807">
        <f>IF(AV101=0,0,IF(AV101&lt;0,IF($J101=6,AV101,IF($J101=5,AV101,IF($J101=4,AV101,0)))))</f>
        <v>0</v>
      </c>
      <c r="AT101" s="1807">
        <f>IF(AV101=0,0,IF(AV101&lt;0,IF($J101=9,AV101,IF($J101=8,AV101,IF($J101=7,AV101,0)))))</f>
        <v>0</v>
      </c>
      <c r="AU101" s="1806">
        <f>IF(AV101=0,0,IF(AV101&lt;0,IF($J101=12,AV101,IF($J101=11,AV101,IF($J101=10,AV101,0)))))</f>
        <v>0</v>
      </c>
      <c r="AV101" s="1791">
        <f>IF(AV$5=$H101,-$E101,0)</f>
        <v>0</v>
      </c>
      <c r="AW101" s="1808">
        <f>IF(BA101=0,0,IF(BA101&lt;0,IF($J101=3,BA101,IF($J101=2,BA101,IF($J101=1,BA101,0)))))</f>
        <v>0</v>
      </c>
      <c r="AX101" s="1807">
        <f>IF(BA101=0,0,IF(BA101&lt;0,IF($J101=6,BA101,IF($J101=5,BA101,IF($J101=4,BA101,0)))))</f>
        <v>0</v>
      </c>
      <c r="AY101" s="1807">
        <f>IF(BA101=0,0,IF(BA101&lt;0,IF($J101=9,BA101,IF($J101=8,BA101,IF($J101=7,BA101,0)))))</f>
        <v>0</v>
      </c>
      <c r="AZ101" s="1806">
        <f>IF(BA101=0,0,IF(BA101&lt;0,IF($J101=12,BA101,IF($J101=11,BA101,IF($J101=10,BA101,0)))))</f>
        <v>0</v>
      </c>
      <c r="BA101" s="1791">
        <f>IF(BA$5=$H101,-$E101,0)</f>
        <v>0</v>
      </c>
      <c r="BB101" s="1808">
        <f>IF(BF101=0,0,IF(BF101&lt;0,IF($J101=3,BF101,IF($J101=2,BF101,IF($J101=1,BF101,0)))))</f>
        <v>0</v>
      </c>
      <c r="BC101" s="1807">
        <f>IF(BF101=0,0,IF(BF101&lt;0,IF($J101=6,BF101,IF($J101=5,BF101,IF($J101=4,BF101,0)))))</f>
        <v>0</v>
      </c>
      <c r="BD101" s="1807">
        <f>IF(BF101=0,0,IF(BF101&lt;0,IF($J101=9,BF101,IF($J101=8,BF101,IF($J101=7,BF101,0)))))</f>
        <v>0</v>
      </c>
      <c r="BE101" s="1806">
        <f>IF(BF101=0,0,IF(BF101&lt;0,IF($J101=12,BF101,IF($J101=11,BF101,IF($J101=10,BF101,0)))))</f>
        <v>0</v>
      </c>
      <c r="BF101" s="1791">
        <f>IF(BF$5=$H101,-$E101,0)</f>
        <v>0</v>
      </c>
      <c r="BG101" s="1808">
        <f>IF(BK101=0,0,IF(BK101&lt;0,IF($J101=3,BK101,IF($J101=2,BK101,IF($J101=1,BK101,0)))))</f>
        <v>0</v>
      </c>
      <c r="BH101" s="1807">
        <f>IF(BK101=0,0,IF(BK101&lt;0,IF($J101=6,BK101,IF($J101=5,BK101,IF($J101=4,BK101,0)))))</f>
        <v>0</v>
      </c>
      <c r="BI101" s="1807">
        <f>IF(BK101=0,0,IF(BK101&lt;0,IF($J101=9,BK101,IF($J101=8,BK101,IF($J101=7,BK101,0)))))</f>
        <v>0</v>
      </c>
      <c r="BJ101" s="1806">
        <f>IF(BK101=0,0,IF(BK101&lt;0,IF($J101=12,BK101,IF($J101=11,BK101,IF($J101=10,BK101,0)))))</f>
        <v>0</v>
      </c>
      <c r="BK101" s="1791">
        <f>IF(BK$5=$H101,-$E101,0)</f>
        <v>0</v>
      </c>
      <c r="BL101" s="1808">
        <f>IF(BP101=0,0,IF(BP101&lt;0,IF($J101=3,BP101,IF($J101=2,BP101,IF($J101=1,BP101,0)))))</f>
        <v>0</v>
      </c>
      <c r="BM101" s="1807">
        <f>IF(BP101=0,0,IF(BP101&lt;0,IF($J101=6,BP101,IF($J101=5,BP101,IF($J101=4,BP101,0)))))</f>
        <v>0</v>
      </c>
      <c r="BN101" s="1807">
        <f>IF(BP101=0,0,IF(BP101&lt;0,IF($J101=9,BP101,IF($J101=8,BP101,IF($J101=7,BP101,0)))))</f>
        <v>0</v>
      </c>
      <c r="BO101" s="1806">
        <f>IF(BP101=0,0,IF(BP101&lt;0,IF($J101=12,BP101,IF($J101=11,BP101,IF($J101=10,BP101,0)))))</f>
        <v>0</v>
      </c>
      <c r="BP101" s="1791">
        <f>IF(BP$5=$H101,-$E101,0)</f>
        <v>0</v>
      </c>
      <c r="BQ101" s="1827"/>
      <c r="BR101" s="1791">
        <f t="shared" si="1296"/>
        <v>0</v>
      </c>
      <c r="BS101" s="1791">
        <f t="shared" si="1296"/>
        <v>0</v>
      </c>
      <c r="BT101" s="1808">
        <f>IF($H101&lt;&gt;BX$5,0,IF(BX101&lt;0,IF($J101=1,-$E101*$I101/12*3,IF($J101=2,-$E101*$I101/12*2,IF($J101=3,-$E101*$I101/12*1,0)))))+IF(BS$5&lt;&gt;$H101,0,IF(BS101&lt;0,IF($J101=1,-$E101*$I101/12*0,IF($J101=2,-$E101*$I101/12*1,IF($J101=3,-$E101*$I101/12*2,IF($J101&gt;=4,-$E101*$I101/12*3,0))))))</f>
        <v>0</v>
      </c>
      <c r="BU101" s="1807">
        <f>IF($H101&lt;&gt;BX$5,0,IF(BX101&lt;0,IF(OR($J101=1,$J101=2,$J101=3,$J101=4),-$E101*$I101/12*3,IF($J101=5,-$E101*$I101/12*2,IF($J101=6,-$E101*$I101/12*1,0)))))+IF(BS$5&lt;&gt;$H101,0,IF(BS101&lt;0,IF($J101=4,-$E101*$I101/12*0,IF($J101=5,-$E101*$I101/12*1,IF($J101=6,-$E101*$I101/12*2,IF($J101&gt;=7,-$E101*$I101/12*3,0))))))</f>
        <v>0</v>
      </c>
      <c r="BV101" s="1807">
        <f>IF($H101&lt;&gt;BX$5,0,IF(BX101&lt;0,IF(OR($J101=1,$J101=2,$J101=3,$J101=4,$J101=5,$J101=6,$J101=7),-$E101*$I101/12*3,IF($J101=8,-$E101*$I101/12*2,IF($J101=9,-$E101*$I101/12*1,0)))))+IF(BS$5&lt;&gt;$H101,0,IF(BS101&lt;0,IF($J101=7,-$E101*$I101/12*0,IF($J101=8,-$E101*$I101/12*1,IF($J101=9,-$E101*$I101/12*2,IF($J101&gt;=10,-$E101*$I101/12*3,0))))))</f>
        <v>0</v>
      </c>
      <c r="BW101" s="1806">
        <f>IF($H101&lt;&gt;BX$5,0,IF(BX101&lt;0,IF(OR($J101=1,$J101=2,$J101=3,$J101=4,$J101=5,$J101=6,$J101=7,$J101=8,$J101=9,$J101=10),-$E101*$I101/12*3,IF($J101=11,-$E101*$I101/12*2,IF($J101=12,-$E101*$I101/12*1,0)))))+IF(BS$5&lt;&gt;$H101,0,IF(BS101&lt;0,IF($J101=10,-$E101*$I101/12*0,IF($J101=11,-$E101*$I101/12*1,IF($J101=12,-$E101*$I101/12*2,0)))))</f>
        <v>0</v>
      </c>
      <c r="BX101" s="1791">
        <f>IF(AND(BS101&lt;&gt;0,BS$5=$H101),-$I101*$E101-BS101,IF(BX$5=$H101,-$I101*$E101*(12-$J101+1)/12,0))</f>
        <v>0</v>
      </c>
      <c r="BY101" s="1808">
        <f>IF($H101&lt;&gt;CC$5,0,IF(CC101&lt;0,IF($J101=1,-$E101*$I101/12*3,IF($J101=2,-$E101*$I101/12*2,IF($J101=3,-$E101*$I101/12*1,0)))))+IF(BX$5&lt;&gt;$H101,0,IF(BX101&lt;0,IF($J101=1,-$E101*$I101/12*0,IF($J101=2,-$E101*$I101/12*1,IF($J101=3,-$E101*$I101/12*2,IF($J101&gt;=4,-$E101*$I101/12*3,0))))))</f>
        <v>0</v>
      </c>
      <c r="BZ101" s="1807">
        <f>IF($H101&lt;&gt;CC$5,0,IF(CC101&lt;0,IF(OR($J101=1,$J101=2,$J101=3,$J101=4),-$E101*$I101/12*3,IF($J101=5,-$E101*$I101/12*2,IF($J101=6,-$E101*$I101/12*1,0)))))+IF(BX$5&lt;&gt;$H101,0,IF(BX101&lt;0,IF($J101=4,-$E101*$I101/12*0,IF($J101=5,-$E101*$I101/12*1,IF($J101=6,-$E101*$I101/12*2,IF($J101&gt;=7,-$E101*$I101/12*3,0))))))</f>
        <v>0</v>
      </c>
      <c r="CA101" s="1807">
        <f>IF($H101&lt;&gt;CC$5,0,IF(CC101&lt;0,IF(OR($J101=1,$J101=2,$J101=3,$J101=4,$J101=5,$J101=6,$J101=7),-$E101*$I101/12*3,IF($J101=8,-$E101*$I101/12*2,IF($J101=9,-$E101*$I101/12*1,0)))))+IF(BX$5&lt;&gt;$H101,0,IF(BX101&lt;0,IF($J101=7,-$E101*$I101/12*0,IF($J101=8,-$E101*$I101/12*1,IF($J101=9,-$E101*$I101/12*2,IF($J101&gt;=10,-$E101*$I101/12*3,0))))))</f>
        <v>0</v>
      </c>
      <c r="CB101" s="1806">
        <f>IF($H101&lt;&gt;CC$5,0,IF(CC101&lt;0,IF(OR($J101=1,$J101=2,$J101=3,$J101=4,$J101=5,$J101=6,$J101=7,$J101=8,$J101=9,$J101=10),-$E101*$I101/12*3,IF($J101=11,-$E101*$I101/12*2,IF($J101=12,-$E101*$I101/12*1,0)))))+IF(BX$5&lt;&gt;$H101,0,IF(BX101&lt;0,IF($J101=10,-$E101*$I101/12*0,IF($J101=11,-$E101*$I101/12*1,IF($J101=12,-$E101*$I101/12*2,0)))))</f>
        <v>0</v>
      </c>
      <c r="CC101" s="1791">
        <f>IF(AND(BX101&lt;&gt;0,BX$5=$H101),-$I101*$E101-BX101,IF(CC$5=$H101,-$I101*$E101*(12-$J101+1)/12,0))</f>
        <v>0</v>
      </c>
      <c r="CD101" s="1808">
        <f>IF($H101&lt;&gt;CH$5,0,IF(CH101&lt;0,IF($J101=1,-$E101*$I101/12*3,IF($J101=2,-$E101*$I101/12*2,IF($J101=3,-$E101*$I101/12*1,0)))))+IF(CC$5&lt;&gt;$H101,0,IF(CC101&lt;0,IF($J101=1,-$E101*$I101/12*0,IF($J101=2,-$E101*$I101/12*1,IF($J101=3,-$E101*$I101/12*2,IF($J101&gt;=4,-$E101*$I101/12*3,0))))))</f>
        <v>0</v>
      </c>
      <c r="CE101" s="1807">
        <f>IF($H101&lt;&gt;CH$5,0,IF(CH101&lt;0,IF(OR($J101=1,$J101=2,$J101=3,$J101=4),-$E101*$I101/12*3,IF($J101=5,-$E101*$I101/12*2,IF($J101=6,-$E101*$I101/12*1,0)))))+IF(CC$5&lt;&gt;$H101,0,IF(CC101&lt;0,IF($J101=4,-$E101*$I101/12*0,IF($J101=5,-$E101*$I101/12*1,IF($J101=6,-$E101*$I101/12*2,IF($J101&gt;=7,-$E101*$I101/12*3,0))))))</f>
        <v>0</v>
      </c>
      <c r="CF101" s="1807">
        <f>IF($H101&lt;&gt;CH$5,0,IF(CH101&lt;0,IF(OR($J101=1,$J101=2,$J101=3,$J101=4,$J101=5,$J101=6,$J101=7),-$E101*$I101/12*3,IF($J101=8,-$E101*$I101/12*2,IF($J101=9,-$E101*$I101/12*1,0)))))+IF(CC$5&lt;&gt;$H101,0,IF(CC101&lt;0,IF($J101=7,-$E101*$I101/12*0,IF($J101=8,-$E101*$I101/12*1,IF($J101=9,-$E101*$I101/12*2,IF($J101&gt;=10,-$E101*$I101/12*3,0))))))</f>
        <v>0</v>
      </c>
      <c r="CG101" s="1806">
        <f>IF($H101&lt;&gt;CH$5,0,IF(CH101&lt;0,IF(OR($J101=1,$J101=2,$J101=3,$J101=4,$J101=5,$J101=6,$J101=7,$J101=8,$J101=9,$J101=10),-$E101*$I101/12*3,IF($J101=11,-$E101*$I101/12*2,IF($J101=12,-$E101*$I101/12*1,0)))))+IF(CC$5&lt;&gt;$H101,0,IF(CC101&lt;0,IF($J101=10,-$E101*$I101/12*0,IF($J101=11,-$E101*$I101/12*1,IF($J101=12,-$E101*$I101/12*2,0)))))</f>
        <v>0</v>
      </c>
      <c r="CH101" s="1791">
        <f>IF(AND(CC101&lt;&gt;0,CC$5=$H101),-$I101*$E101-CC101,IF(CH$5=$H101,-$I101*$E101*(12-$J101+1)/12,0))</f>
        <v>0</v>
      </c>
      <c r="CI101" s="1808">
        <f>IF($H101&lt;&gt;CM$5,0,IF(CM101&lt;0,IF($J101=1,-$E101*$I101/12*3,IF($J101=2,-$E101*$I101/12*2,IF($J101=3,-$E101*$I101/12*1,0)))))+IF(CH$5&lt;&gt;$H101,0,IF(CH101&lt;0,IF($J101=1,-$E101*$I101/12*0,IF($J101=2,-$E101*$I101/12*1,IF($J101=3,-$E101*$I101/12*2,IF($J101&gt;=4,-$E101*$I101/12*3,0))))))</f>
        <v>0</v>
      </c>
      <c r="CJ101" s="1807">
        <f>IF($H101&lt;&gt;CM$5,0,IF(CM101&lt;0,IF(OR($J101=1,$J101=2,$J101=3,$J101=4),-$E101*$I101/12*3,IF($J101=5,-$E101*$I101/12*2,IF($J101=6,-$E101*$I101/12*1,0)))))+IF(CH$5&lt;&gt;$H101,0,IF(CH101&lt;0,IF($J101=4,-$E101*$I101/12*0,IF($J101=5,-$E101*$I101/12*1,IF($J101=6,-$E101*$I101/12*2,IF($J101&gt;=7,-$E101*$I101/12*3,0))))))</f>
        <v>0</v>
      </c>
      <c r="CK101" s="1807">
        <f>IF($H101&lt;&gt;CM$5,0,IF(CM101&lt;0,IF(OR($J101=1,$J101=2,$J101=3,$J101=4,$J101=5,$J101=6,$J101=7),-$E101*$I101/12*3,IF($J101=8,-$E101*$I101/12*2,IF($J101=9,-$E101*$I101/12*1,0)))))+IF(CH$5&lt;&gt;$H101,0,IF(CH101&lt;0,IF($J101=7,-$E101*$I101/12*0,IF($J101=8,-$E101*$I101/12*1,IF($J101=9,-$E101*$I101/12*2,IF($J101&gt;=10,-$E101*$I101/12*3,0))))))</f>
        <v>0</v>
      </c>
      <c r="CL101" s="1806">
        <f>IF($H101&lt;&gt;CM$5,0,IF(CM101&lt;0,IF(OR($J101=1,$J101=2,$J101=3,$J101=4,$J101=5,$J101=6,$J101=7,$J101=8,$J101=9,$J101=10),-$E101*$I101/12*3,IF($J101=11,-$E101*$I101/12*2,IF($J101=12,-$E101*$I101/12*1,0)))))+IF(CH$5&lt;&gt;$H101,0,IF(CH101&lt;0,IF($J101=10,-$E101*$I101/12*0,IF($J101=11,-$E101*$I101/12*1,IF($J101=12,-$E101*$I101/12*2,0)))))</f>
        <v>0</v>
      </c>
      <c r="CM101" s="1791">
        <f>IF(AND(CH101&lt;&gt;0,CH$5=$H101),-$I101*$E101-CH101,IF(CM$5=$H101,-$I101*$E101*(12-$J101+1)/12,0))</f>
        <v>0</v>
      </c>
      <c r="CN101" s="1808">
        <f>IF($H101&lt;&gt;CR$5,0,IF(CR101&lt;0,IF($J101=1,-$E101*$I101/12*3,IF($J101=2,-$E101*$I101/12*2,IF($J101=3,-$E101*$I101/12*1,0)))))+IF(CM$5&lt;&gt;$H101,0,IF(CM101&lt;0,IF($J101=1,-$E101*$I101/12*0,IF($J101=2,-$E101*$I101/12*1,IF($J101=3,-$E101*$I101/12*2,IF($J101&gt;=4,-$E101*$I101/12*3,0))))))</f>
        <v>0</v>
      </c>
      <c r="CO101" s="1807">
        <f>IF($H101&lt;&gt;CR$5,0,IF(CR101&lt;0,IF(OR($J101=1,$J101=2,$J101=3,$J101=4),-$E101*$I101/12*3,IF($J101=5,-$E101*$I101/12*2,IF($J101=6,-$E101*$I101/12*1,0)))))+IF(CM$5&lt;&gt;$H101,0,IF(CM101&lt;0,IF($J101=4,-$E101*$I101/12*0,IF($J101=5,-$E101*$I101/12*1,IF($J101=6,-$E101*$I101/12*2,IF($J101&gt;=7,-$E101*$I101/12*3,0))))))</f>
        <v>0</v>
      </c>
      <c r="CP101" s="1807">
        <f>IF($H101&lt;&gt;CR$5,0,IF(CR101&lt;0,IF(OR($J101=1,$J101=2,$J101=3,$J101=4,$J101=5,$J101=6,$J101=7),-$E101*$I101/12*3,IF($J101=8,-$E101*$I101/12*2,IF($J101=9,-$E101*$I101/12*1,0)))))+IF(CM$5&lt;&gt;$H101,0,IF(CM101&lt;0,IF($J101=7,-$E101*$I101/12*0,IF($J101=8,-$E101*$I101/12*1,IF($J101=9,-$E101*$I101/12*2,IF($J101&gt;=10,-$E101*$I101/12*3,0))))))</f>
        <v>0</v>
      </c>
      <c r="CQ101" s="1806">
        <f>IF($H101&lt;&gt;CR$5,0,IF(CR101&lt;0,IF(OR($J101=1,$J101=2,$J101=3,$J101=4,$J101=5,$J101=6,$J101=7,$J101=8,$J101=9,$J101=10),-$E101*$I101/12*3,IF($J101=11,-$E101*$I101/12*2,IF($J101=12,-$E101*$I101/12*1,0)))))+IF(CM$5&lt;&gt;$H101,0,IF(CM101&lt;0,IF($J101=10,-$E101*$I101/12*0,IF($J101=11,-$E101*$I101/12*1,IF($J101=12,-$E101*$I101/12*2,0)))))</f>
        <v>0</v>
      </c>
      <c r="CR101" s="1791">
        <f>IF(AND(CM101&lt;&gt;0,CM$5=$H101),-$I101*$E101-CM101,IF(CR$5=$H101,-$I101*$E101*(12-$J101+1)/12,0))</f>
        <v>0</v>
      </c>
      <c r="CS101" s="1808">
        <f>IF($H101&lt;&gt;CW$5,0,IF(CW101&lt;0,IF($J101=1,-$E101*$I101/12*3,IF($J101=2,-$E101*$I101/12*2,IF($J101=3,-$E101*$I101/12*1,0)))))+IF(CR$5&lt;&gt;$H101,0,IF(CR101&lt;0,IF($J101=1,-$E101*$I101/12*0,IF($J101=2,-$E101*$I101/12*1,IF($J101=3,-$E101*$I101/12*2,IF($J101&gt;=4,-$E101*$I101/12*3,0))))))</f>
        <v>0</v>
      </c>
      <c r="CT101" s="1807">
        <f>IF($H101&lt;&gt;CW$5,0,IF(CW101&lt;0,IF(OR($J101=1,$J101=2,$J101=3,$J101=4),-$E101*$I101/12*3,IF($J101=5,-$E101*$I101/12*2,IF($J101=6,-$E101*$I101/12*1,0)))))+IF(CR$5&lt;&gt;$H101,0,IF(CR101&lt;0,IF($J101=4,-$E101*$I101/12*0,IF($J101=5,-$E101*$I101/12*1,IF($J101=6,-$E101*$I101/12*2,IF($J101&gt;=7,-$E101*$I101/12*3,0))))))</f>
        <v>0</v>
      </c>
      <c r="CU101" s="1807">
        <f>IF($H101&lt;&gt;CW$5,0,IF(CW101&lt;0,IF(OR($J101=1,$J101=2,$J101=3,$J101=4,$J101=5,$J101=6,$J101=7),-$E101*$I101/12*3,IF($J101=8,-$E101*$I101/12*2,IF($J101=9,-$E101*$I101/12*1,0)))))+IF(CR$5&lt;&gt;$H101,0,IF(CR101&lt;0,IF($J101=7,-$E101*$I101/12*0,IF($J101=8,-$E101*$I101/12*1,IF($J101=9,-$E101*$I101/12*2,IF($J101&gt;=10,-$E101*$I101/12*3,0))))))</f>
        <v>0</v>
      </c>
      <c r="CV101" s="1806">
        <f>IF($H101&lt;&gt;CW$5,0,IF(CW101&lt;0,IF(OR($J101=1,$J101=2,$J101=3,$J101=4,$J101=5,$J101=6,$J101=7,$J101=8,$J101=9,$J101=10),-$E101*$I101/12*3,IF($J101=11,-$E101*$I101/12*2,IF($J101=12,-$E101*$I101/12*1,0)))))+IF(CR$5&lt;&gt;$H101,0,IF(CR101&lt;0,IF($J101=10,-$E101*$I101/12*0,IF($J101=11,-$E101*$I101/12*1,IF($J101=12,-$E101*$I101/12*2,0)))))</f>
        <v>0</v>
      </c>
      <c r="CW101" s="1791">
        <f>IF(AND(CR101&lt;&gt;0,CR$5=$H101),-$I101*$E101-CR101,IF(CW$5=$H101,-$I101*$E101*(12-$J101+1)/12,0))</f>
        <v>0</v>
      </c>
      <c r="CX101" s="1808">
        <f>IF($H101&lt;&gt;DB$5,0,IF(DB101&lt;0,IF($J101=1,-$E101*$I101/12*3,IF($J101=2,-$E101*$I101/12*2,IF($J101=3,-$E101*$I101/12*1,0)))))+IF(CW$5&lt;&gt;$H101,0,IF(CW101&lt;0,IF($J101=1,-$E101*$I101/12*0,IF($J101=2,-$E101*$I101/12*1,IF($J101=3,-$E101*$I101/12*2,IF($J101&gt;=4,-$E101*$I101/12*3,0))))))</f>
        <v>0</v>
      </c>
      <c r="CY101" s="1807">
        <f>IF($H101&lt;&gt;DB$5,0,IF(DB101&lt;0,IF(OR($J101=1,$J101=2,$J101=3,$J101=4),-$E101*$I101/12*3,IF($J101=5,-$E101*$I101/12*2,IF($J101=6,-$E101*$I101/12*1,0)))))+IF(CW$5&lt;&gt;$H101,0,IF(CW101&lt;0,IF($J101=4,-$E101*$I101/12*0,IF($J101=5,-$E101*$I101/12*1,IF($J101=6,-$E101*$I101/12*2,IF($J101&gt;=7,-$E101*$I101/12*3,0))))))</f>
        <v>0</v>
      </c>
      <c r="CZ101" s="1807">
        <f>IF($H101&lt;&gt;DB$5,0,IF(DB101&lt;0,IF(OR($J101=1,$J101=2,$J101=3,$J101=4,$J101=5,$J101=6,$J101=7),-$E101*$I101/12*3,IF($J101=8,-$E101*$I101/12*2,IF($J101=9,-$E101*$I101/12*1,0)))))+IF(CW$5&lt;&gt;$H101,0,IF(CW101&lt;0,IF($J101=7,-$E101*$I101/12*0,IF($J101=8,-$E101*$I101/12*1,IF($J101=9,-$E101*$I101/12*2,IF($J101&gt;=10,-$E101*$I101/12*3,0))))))</f>
        <v>0</v>
      </c>
      <c r="DA101" s="1806">
        <f>IF($H101&lt;&gt;DB$5,0,IF(DB101&lt;0,IF(OR($J101=1,$J101=2,$J101=3,$J101=4,$J101=5,$J101=6,$J101=7,$J101=8,$J101=9,$J101=10),-$E101*$I101/12*3,IF($J101=11,-$E101*$I101/12*2,IF($J101=12,-$E101*$I101/12*1,0)))))+IF(CW$5&lt;&gt;$H101,0,IF(CW101&lt;0,IF($J101=10,-$E101*$I101/12*0,IF($J101=11,-$E101*$I101/12*1,IF($J101=12,-$E101*$I101/12*2,0)))))</f>
        <v>0</v>
      </c>
      <c r="DB101" s="1791">
        <f>IF(AND(CW101&lt;&gt;0,CW$5=$H101),-$I101*$E101-CW101,IF(DB$5=$H101,-$I101*$E101*(12-$J101+1)/12,0))</f>
        <v>0</v>
      </c>
      <c r="DC101" s="1808">
        <f>IF($H101&lt;&gt;DG$5,0,IF(DG101&lt;0,IF($J101=1,-$E101*$I101/12*3,IF($J101=2,-$E101*$I101/12*2,IF($J101=3,-$E101*$I101/12*1,0)))))+IF(DB$5&lt;&gt;$H101,0,IF(DB101&lt;0,IF($J101=1,-$E101*$I101/12*0,IF($J101=2,-$E101*$I101/12*1,IF($J101=3,-$E101*$I101/12*2,IF($J101&gt;=4,-$E101*$I101/12*3,0))))))</f>
        <v>0</v>
      </c>
      <c r="DD101" s="1807">
        <f>IF($H101&lt;&gt;DG$5,0,IF(DG101&lt;0,IF(OR($J101=1,$J101=2,$J101=3,$J101=4),-$E101*$I101/12*3,IF($J101=5,-$E101*$I101/12*2,IF($J101=6,-$E101*$I101/12*1,0)))))+IF(DB$5&lt;&gt;$H101,0,IF(DB101&lt;0,IF($J101=4,-$E101*$I101/12*0,IF($J101=5,-$E101*$I101/12*1,IF($J101=6,-$E101*$I101/12*2,IF($J101&gt;=7,-$E101*$I101/12*3,0))))))</f>
        <v>0</v>
      </c>
      <c r="DE101" s="1807">
        <f>IF($H101&lt;&gt;DG$5,0,IF(DG101&lt;0,IF(OR($J101=1,$J101=2,$J101=3,$J101=4,$J101=5,$J101=6,$J101=7),-$E101*$I101/12*3,IF($J101=8,-$E101*$I101/12*2,IF($J101=9,-$E101*$I101/12*1,0)))))+IF(DB$5&lt;&gt;$H101,0,IF(DB101&lt;0,IF($J101=7,-$E101*$I101/12*0,IF($J101=8,-$E101*$I101/12*1,IF($J101=9,-$E101*$I101/12*2,IF($J101&gt;=10,-$E101*$I101/12*3,0))))))</f>
        <v>0</v>
      </c>
      <c r="DF101" s="1806">
        <f>IF($H101&lt;&gt;DG$5,0,IF(DG101&lt;0,IF(OR($J101=1,$J101=2,$J101=3,$J101=4,$J101=5,$J101=6,$J101=7,$J101=8,$J101=9,$J101=10),-$E101*$I101/12*3,IF($J101=11,-$E101*$I101/12*2,IF($J101=12,-$E101*$I101/12*1,0)))))+IF(DB$5&lt;&gt;$H101,0,IF(DB101&lt;0,IF($J101=10,-$E101*$I101/12*0,IF($J101=11,-$E101*$I101/12*1,IF($J101=12,-$E101*$I101/12*2,0)))))</f>
        <v>0</v>
      </c>
      <c r="DG101" s="1791">
        <f>IF(AND(DB101&lt;&gt;0,DB$5=$H101),-$I101*$E101-DB101,IF(DG$5=$H101,-$I101*$E101*(12-$J101+1)/12,0))</f>
        <v>0</v>
      </c>
      <c r="DH101" s="1808">
        <f>IF($H101&lt;&gt;DL$5,0,IF(DL101&lt;0,IF($J101=1,-$E101*$I101/12*3,IF($J101=2,-$E101*$I101/12*2,IF($J101=3,-$E101*$I101/12*1,0)))))+IF(DG$5&lt;&gt;$H101,0,IF(DG101&lt;0,IF($J101=1,-$E101*$I101/12*0,IF($J101=2,-$E101*$I101/12*1,IF($J101=3,-$E101*$I101/12*2,IF($J101&gt;=4,-$E101*$I101/12*3,0))))))</f>
        <v>0</v>
      </c>
      <c r="DI101" s="1807">
        <f>IF($H101&lt;&gt;DL$5,0,IF(DL101&lt;0,IF(OR($J101=1,$J101=2,$J101=3,$J101=4),-$E101*$I101/12*3,IF($J101=5,-$E101*$I101/12*2,IF($J101=6,-$E101*$I101/12*1,0)))))+IF(DG$5&lt;&gt;$H101,0,IF(DG101&lt;0,IF($J101=4,-$E101*$I101/12*0,IF($J101=5,-$E101*$I101/12*1,IF($J101=6,-$E101*$I101/12*2,IF($J101&gt;=7,-$E101*$I101/12*3,0))))))</f>
        <v>0</v>
      </c>
      <c r="DJ101" s="1807">
        <f>IF($H101&lt;&gt;DL$5,0,IF(DL101&lt;0,IF(OR($J101=1,$J101=2,$J101=3,$J101=4,$J101=5,$J101=6,$J101=7),-$E101*$I101/12*3,IF($J101=8,-$E101*$I101/12*2,IF($J101=9,-$E101*$I101/12*1,0)))))+IF(DG$5&lt;&gt;$H101,0,IF(DG101&lt;0,IF($J101=7,-$E101*$I101/12*0,IF($J101=8,-$E101*$I101/12*1,IF($J101=9,-$E101*$I101/12*2,IF($J101&gt;=10,-$E101*$I101/12*3,0))))))</f>
        <v>0</v>
      </c>
      <c r="DK101" s="1806">
        <f>IF($H101&lt;&gt;DL$5,0,IF(DL101&lt;0,IF(OR($J101=1,$J101=2,$J101=3,$J101=4,$J101=5,$J101=6,$J101=7,$J101=8,$J101=9,$J101=10),-$E101*$I101/12*3,IF($J101=11,-$E101*$I101/12*2,IF($J101=12,-$E101*$I101/12*1,0)))))+IF(DG$5&lt;&gt;$H101,0,IF(DG101&lt;0,IF($J101=10,-$E101*$I101/12*0,IF($J101=11,-$E101*$I101/12*1,IF($J101=12,-$E101*$I101/12*2,0)))))</f>
        <v>0</v>
      </c>
      <c r="DL101" s="1791">
        <f>IF(AND(DG101&lt;&gt;0,DG$5=$H101),-$I101*$E101-DG101,IF(DL$5=$H101,-$I101*$E101*(12-$J101+1)/12,0))</f>
        <v>0</v>
      </c>
      <c r="DM101" s="1808">
        <f>IF($H101&lt;&gt;DQ$5,0,IF(DQ101&lt;0,IF($J101=1,-$E101*$I101/12*3,IF($J101=2,-$E101*$I101/12*2,IF($J101=3,-$E101*$I101/12*1,0)))))+IF(DL$5&lt;&gt;$H101,0,IF(DL101&lt;0,IF($J101=1,-$E101*$I101/12*0,IF($J101=2,-$E101*$I101/12*1,IF($J101=3,-$E101*$I101/12*2,IF($J101&gt;=4,-$E101*$I101/12*3,0))))))</f>
        <v>0</v>
      </c>
      <c r="DN101" s="1807">
        <f>IF($H101&lt;&gt;DQ$5,0,IF(DQ101&lt;0,IF(OR($J101=1,$J101=2,$J101=3,$J101=4),-$E101*$I101/12*3,IF($J101=5,-$E101*$I101/12*2,IF($J101=6,-$E101*$I101/12*1,0)))))+IF(DL$5&lt;&gt;$H101,0,IF(DL101&lt;0,IF($J101=4,-$E101*$I101/12*0,IF($J101=5,-$E101*$I101/12*1,IF($J101=6,-$E101*$I101/12*2,IF($J101&gt;=7,-$E101*$I101/12*3,0))))))</f>
        <v>0</v>
      </c>
      <c r="DO101" s="1807">
        <f>IF($H101&lt;&gt;DQ$5,0,IF(DQ101&lt;0,IF(OR($J101=1,$J101=2,$J101=3,$J101=4,$J101=5,$J101=6,$J101=7),-$E101*$I101/12*3,IF($J101=8,-$E101*$I101/12*2,IF($J101=9,-$E101*$I101/12*1,0)))))+IF(DL$5&lt;&gt;$H101,0,IF(DL101&lt;0,IF($J101=7,-$E101*$I101/12*0,IF($J101=8,-$E101*$I101/12*1,IF($J101=9,-$E101*$I101/12*2,IF($J101&gt;=10,-$E101*$I101/12*3,0))))))</f>
        <v>0</v>
      </c>
      <c r="DP101" s="1806">
        <f>IF($H101&lt;&gt;DQ$5,0,IF(DQ101&lt;0,IF(OR($J101=1,$J101=2,$J101=3,$J101=4,$J101=5,$J101=6,$J101=7,$J101=8,$J101=9,$J101=10),-$E101*$I101/12*3,IF($J101=11,-$E101*$I101/12*2,IF($J101=12,-$E101*$I101/12*1,0)))))+IF(DL$5&lt;&gt;$H101,0,IF(DL101&lt;0,IF($J101=10,-$E101*$I101/12*0,IF($J101=11,-$E101*$I101/12*1,IF($J101=12,-$E101*$I101/12*2,0)))))</f>
        <v>0</v>
      </c>
      <c r="DQ101" s="1791">
        <f>IF(AND(DL101&lt;&gt;0,DL$5=$H101),-$I101*$E101-DL101,IF(DQ$5=$H101,-$I101*$E101*(12-$J101+1)/12,0))</f>
        <v>0</v>
      </c>
      <c r="DR101" s="1808">
        <f>IF($H101&lt;&gt;DV$5,0,IF(DV101&lt;0,IF($J101=1,-$E101*$I101/12*3,IF($J101=2,-$E101*$I101/12*2,IF($J101=3,-$E101*$I101/12*1,0)))))+IF(DQ$5&lt;&gt;$H101,0,IF(DQ101&lt;0,IF($J101=1,-$E101*$I101/12*0,IF($J101=2,-$E101*$I101/12*1,IF($J101=3,-$E101*$I101/12*2,IF($J101&gt;=4,-$E101*$I101/12*3,0))))))</f>
        <v>0</v>
      </c>
      <c r="DS101" s="1807">
        <f>IF($H101&lt;&gt;DV$5,0,IF(DV101&lt;0,IF(OR($J101=1,$J101=2,$J101=3,$J101=4),-$E101*$I101/12*3,IF($J101=5,-$E101*$I101/12*2,IF($J101=6,-$E101*$I101/12*1,0)))))+IF(DQ$5&lt;&gt;$H101,0,IF(DQ101&lt;0,IF($J101=4,-$E101*$I101/12*0,IF($J101=5,-$E101*$I101/12*1,IF($J101=6,-$E101*$I101/12*2,IF($J101&gt;=7,-$E101*$I101/12*3,0))))))</f>
        <v>0</v>
      </c>
      <c r="DT101" s="1807">
        <f>IF($H101&lt;&gt;DV$5,0,IF(DV101&lt;0,IF(OR($J101=1,$J101=2,$J101=3,$J101=4,$J101=5,$J101=6,$J101=7),-$E101*$I101/12*3,IF($J101=8,-$E101*$I101/12*2,IF($J101=9,-$E101*$I101/12*1,0)))))+IF(DQ$5&lt;&gt;$H101,0,IF(DQ101&lt;0,IF($J101=7,-$E101*$I101/12*0,IF($J101=8,-$E101*$I101/12*1,IF($J101=9,-$E101*$I101/12*2,IF($J101&gt;=10,-$E101*$I101/12*3,0))))))</f>
        <v>0</v>
      </c>
      <c r="DU101" s="1806">
        <f>IF($H101&lt;&gt;DV$5,0,IF(DV101&lt;0,IF(OR($J101=1,$J101=2,$J101=3,$J101=4,$J101=5,$J101=6,$J101=7,$J101=8,$J101=9,$J101=10),-$E101*$I101/12*3,IF($J101=11,-$E101*$I101/12*2,IF($J101=12,-$E101*$I101/12*1,0)))))+IF(DQ$5&lt;&gt;$H101,0,IF(DQ101&lt;0,IF($J101=10,-$E101*$I101/12*0,IF($J101=11,-$E101*$I101/12*1,IF($J101=12,-$E101*$I101/12*2,0)))))</f>
        <v>0</v>
      </c>
      <c r="DV101" s="1791">
        <f>IF(AND(DQ101&lt;&gt;0,DQ$5=$H101),-$I101*$E101-DQ101,IF(DV$5=$H101,-$I101*$E101*(12-$J101+1)/12,0))</f>
        <v>0</v>
      </c>
    </row>
    <row r="102" spans="1:126">
      <c r="A102" s="455"/>
      <c r="B102" s="455"/>
      <c r="C102" s="1363"/>
      <c r="D102" s="455"/>
      <c r="E102" s="1817"/>
      <c r="F102" s="1435"/>
      <c r="G102" s="1435"/>
      <c r="H102" s="1350"/>
      <c r="I102" s="1335"/>
      <c r="J102" s="1600"/>
      <c r="K102" s="1792"/>
      <c r="L102" s="1810"/>
      <c r="M102" s="1791"/>
      <c r="N102" s="1808"/>
      <c r="O102" s="1807"/>
      <c r="P102" s="1807"/>
      <c r="Q102" s="1806"/>
      <c r="R102" s="1791"/>
      <c r="S102" s="1808"/>
      <c r="T102" s="1807"/>
      <c r="U102" s="1807"/>
      <c r="V102" s="1806"/>
      <c r="W102" s="1791"/>
      <c r="X102" s="1808"/>
      <c r="Y102" s="1807"/>
      <c r="Z102" s="1807"/>
      <c r="AA102" s="1806"/>
      <c r="AB102" s="1791"/>
      <c r="AC102" s="1808"/>
      <c r="AD102" s="1807"/>
      <c r="AE102" s="1807"/>
      <c r="AF102" s="1806"/>
      <c r="AG102" s="1791"/>
      <c r="AH102" s="1808"/>
      <c r="AI102" s="1807"/>
      <c r="AJ102" s="1807"/>
      <c r="AK102" s="1806"/>
      <c r="AL102" s="1791"/>
      <c r="AM102" s="1808"/>
      <c r="AN102" s="1807"/>
      <c r="AO102" s="1807"/>
      <c r="AP102" s="1806"/>
      <c r="AQ102" s="1791"/>
      <c r="AR102" s="1808"/>
      <c r="AS102" s="1807"/>
      <c r="AT102" s="1807"/>
      <c r="AU102" s="1806"/>
      <c r="AV102" s="1791"/>
      <c r="AW102" s="1808"/>
      <c r="AX102" s="1807"/>
      <c r="AY102" s="1807"/>
      <c r="AZ102" s="1806"/>
      <c r="BA102" s="1791"/>
      <c r="BB102" s="1808"/>
      <c r="BC102" s="1807"/>
      <c r="BD102" s="1807"/>
      <c r="BE102" s="1806"/>
      <c r="BF102" s="1791"/>
      <c r="BG102" s="1808"/>
      <c r="BH102" s="1807"/>
      <c r="BI102" s="1807"/>
      <c r="BJ102" s="1806"/>
      <c r="BK102" s="1791"/>
      <c r="BL102" s="1808"/>
      <c r="BM102" s="1807"/>
      <c r="BN102" s="1807"/>
      <c r="BO102" s="1806"/>
      <c r="BP102" s="1791"/>
      <c r="BQ102" s="1827"/>
      <c r="BR102" s="1791"/>
      <c r="BS102" s="1791"/>
      <c r="BT102" s="1808"/>
      <c r="BU102" s="1807"/>
      <c r="BV102" s="1807"/>
      <c r="BW102" s="1806"/>
      <c r="BX102" s="1791"/>
      <c r="BY102" s="1808"/>
      <c r="BZ102" s="1807"/>
      <c r="CA102" s="1807"/>
      <c r="CB102" s="1806"/>
      <c r="CC102" s="1791"/>
      <c r="CD102" s="1808"/>
      <c r="CE102" s="1807"/>
      <c r="CF102" s="1807"/>
      <c r="CG102" s="1806"/>
      <c r="CH102" s="1791"/>
      <c r="CI102" s="1808"/>
      <c r="CJ102" s="1807"/>
      <c r="CK102" s="1807"/>
      <c r="CL102" s="1806"/>
      <c r="CM102" s="1791"/>
      <c r="CN102" s="1808"/>
      <c r="CO102" s="1807"/>
      <c r="CP102" s="1807"/>
      <c r="CQ102" s="1806"/>
      <c r="CR102" s="1791"/>
      <c r="CS102" s="1808"/>
      <c r="CT102" s="1807"/>
      <c r="CU102" s="1807"/>
      <c r="CV102" s="1806"/>
      <c r="CW102" s="1791"/>
      <c r="CX102" s="1808"/>
      <c r="CY102" s="1807"/>
      <c r="CZ102" s="1807"/>
      <c r="DA102" s="1806"/>
      <c r="DB102" s="1791"/>
      <c r="DC102" s="1808"/>
      <c r="DD102" s="1807"/>
      <c r="DE102" s="1807"/>
      <c r="DF102" s="1806"/>
      <c r="DG102" s="1791"/>
      <c r="DH102" s="1808"/>
      <c r="DI102" s="1807"/>
      <c r="DJ102" s="1807"/>
      <c r="DK102" s="1806"/>
      <c r="DL102" s="1791"/>
      <c r="DM102" s="1808"/>
      <c r="DN102" s="1807"/>
      <c r="DO102" s="1807"/>
      <c r="DP102" s="1806"/>
      <c r="DQ102" s="1791"/>
      <c r="DR102" s="1808"/>
      <c r="DS102" s="1807"/>
      <c r="DT102" s="1807"/>
      <c r="DU102" s="1806"/>
      <c r="DV102" s="1791"/>
    </row>
    <row r="103" spans="1:126">
      <c r="A103" s="455"/>
      <c r="B103" s="455"/>
      <c r="C103" s="1596" t="s">
        <v>747</v>
      </c>
      <c r="D103" s="455"/>
      <c r="E103" s="1817"/>
      <c r="F103" s="1435"/>
      <c r="G103" s="1435"/>
      <c r="H103" s="1597"/>
      <c r="I103" s="1598"/>
      <c r="J103" s="1599"/>
      <c r="K103" s="1792"/>
      <c r="L103" s="1810">
        <f t="shared" ref="L103:M105" si="1298">IF(L$5=$H103,-$E103,0)</f>
        <v>0</v>
      </c>
      <c r="M103" s="1791">
        <f t="shared" si="1298"/>
        <v>0</v>
      </c>
      <c r="N103" s="1808">
        <f>IF(R103=0,0,IF(R103&lt;0,IF($J103=3,R103,IF($J103=2,R103,IF($J103=1,R103,0)))))</f>
        <v>0</v>
      </c>
      <c r="O103" s="1807">
        <f>IF(R103=0,0,IF(R103&lt;0,IF($J103=6,R103,IF($J103=5,R103,IF($J103=4,R103,0)))))</f>
        <v>0</v>
      </c>
      <c r="P103" s="1807">
        <f>IF(R103=0,0,IF(R103&lt;0,IF($J103=9,R103,IF($J103=8,R103,IF($J103=7,R103,0)))))</f>
        <v>0</v>
      </c>
      <c r="Q103" s="1806">
        <f>IF(R103=0,0,IF(R103&lt;0,IF($J103=12,R103,IF($J103=11,R103,IF($J103=10,R103,0)))))</f>
        <v>0</v>
      </c>
      <c r="R103" s="1791">
        <f>IF(R$5=$H103,-$E103,0)</f>
        <v>0</v>
      </c>
      <c r="S103" s="1808">
        <f>IF(W103=0,0,IF(W103&lt;0,IF($J103=3,W103,IF($J103=2,W103,IF($J103=1,W103,0)))))</f>
        <v>0</v>
      </c>
      <c r="T103" s="1807">
        <f>IF(W103=0,0,IF(W103&lt;0,IF($J103=6,W103,IF($J103=5,W103,IF($J103=4,W103,0)))))</f>
        <v>0</v>
      </c>
      <c r="U103" s="1807">
        <f>IF(W103=0,0,IF(W103&lt;0,IF($J103=9,W103,IF($J103=8,W103,IF($J103=7,W103,0)))))</f>
        <v>0</v>
      </c>
      <c r="V103" s="1806">
        <f>IF(W103=0,0,IF(W103&lt;0,IF($J103=12,W103,IF($J103=11,W103,IF($J103=10,W103,0)))))</f>
        <v>0</v>
      </c>
      <c r="W103" s="1791">
        <f>IF(W$5=$H103,-$E103,0)</f>
        <v>0</v>
      </c>
      <c r="X103" s="1808">
        <f>IF(AB103=0,0,IF(AB103&lt;0,IF($J103=3,AB103,IF($J103=2,AB103,IF($J103=1,AB103,0)))))</f>
        <v>0</v>
      </c>
      <c r="Y103" s="1807">
        <f>IF(AB103=0,0,IF(AB103&lt;0,IF($J103=6,AB103,IF($J103=5,AB103,IF($J103=4,AB103,0)))))</f>
        <v>0</v>
      </c>
      <c r="Z103" s="1807">
        <f>IF(AB103=0,0,IF(AB103&lt;0,IF($J103=9,AB103,IF($J103=8,AB103,IF($J103=7,AB103,0)))))</f>
        <v>0</v>
      </c>
      <c r="AA103" s="1806">
        <f>IF(AB103=0,0,IF(AB103&lt;0,IF($J103=12,AB103,IF($J103=11,AB103,IF($J103=10,AB103,0)))))</f>
        <v>0</v>
      </c>
      <c r="AB103" s="1791">
        <f>IF(AB$5=$H103,-$E103,0)</f>
        <v>0</v>
      </c>
      <c r="AC103" s="1808">
        <f>IF(AG103=0,0,IF(AG103&lt;0,IF($J103=3,AG103,IF($J103=2,AG103,IF($J103=1,AG103,0)))))</f>
        <v>0</v>
      </c>
      <c r="AD103" s="1807">
        <f>IF(AG103=0,0,IF(AG103&lt;0,IF($J103=6,AG103,IF($J103=5,AG103,IF($J103=4,AG103,0)))))</f>
        <v>0</v>
      </c>
      <c r="AE103" s="1807">
        <f>IF(AG103=0,0,IF(AG103&lt;0,IF($J103=9,AG103,IF($J103=8,AG103,IF($J103=7,AG103,0)))))</f>
        <v>0</v>
      </c>
      <c r="AF103" s="1806">
        <f>IF(AG103=0,0,IF(AG103&lt;0,IF($J103=12,AG103,IF($J103=11,AG103,IF($J103=10,AG103,0)))))</f>
        <v>0</v>
      </c>
      <c r="AG103" s="1791">
        <f>IF(AG$5=$H103,-$E103,0)</f>
        <v>0</v>
      </c>
      <c r="AH103" s="1808">
        <f>IF(AL103=0,0,IF(AL103&lt;0,IF($J103=3,AL103,IF($J103=2,AL103,IF($J103=1,AL103,0)))))</f>
        <v>0</v>
      </c>
      <c r="AI103" s="1807">
        <f>IF(AL103=0,0,IF(AL103&lt;0,IF($J103=6,AL103,IF($J103=5,AL103,IF($J103=4,AL103,0)))))</f>
        <v>0</v>
      </c>
      <c r="AJ103" s="1807">
        <f>IF(AL103=0,0,IF(AL103&lt;0,IF($J103=9,AL103,IF($J103=8,AL103,IF($J103=7,AL103,0)))))</f>
        <v>0</v>
      </c>
      <c r="AK103" s="1806">
        <f>IF(AL103=0,0,IF(AL103&lt;0,IF($J103=12,AL103,IF($J103=11,AL103,IF($J103=10,AL103,0)))))</f>
        <v>0</v>
      </c>
      <c r="AL103" s="1791">
        <f>IF(AL$5=$H103,-$E103,0)</f>
        <v>0</v>
      </c>
      <c r="AM103" s="1808">
        <f>IF(AQ103=0,0,IF(AQ103&lt;0,IF($J103=3,AQ103,IF($J103=2,AQ103,IF($J103=1,AQ103,0)))))</f>
        <v>0</v>
      </c>
      <c r="AN103" s="1807">
        <f>IF(AQ103=0,0,IF(AQ103&lt;0,IF($J103=6,AQ103,IF($J103=5,AQ103,IF($J103=4,AQ103,0)))))</f>
        <v>0</v>
      </c>
      <c r="AO103" s="1807">
        <f>IF(AQ103=0,0,IF(AQ103&lt;0,IF($J103=9,AQ103,IF($J103=8,AQ103,IF($J103=7,AQ103,0)))))</f>
        <v>0</v>
      </c>
      <c r="AP103" s="1806">
        <f>IF(AQ103=0,0,IF(AQ103&lt;0,IF($J103=12,AQ103,IF($J103=11,AQ103,IF($J103=10,AQ103,0)))))</f>
        <v>0</v>
      </c>
      <c r="AQ103" s="1791">
        <f>IF(AQ$5=$H103,-$E103,0)</f>
        <v>0</v>
      </c>
      <c r="AR103" s="1808">
        <f>IF(AV103=0,0,IF(AV103&lt;0,IF($J103=3,AV103,IF($J103=2,AV103,IF($J103=1,AV103,0)))))</f>
        <v>0</v>
      </c>
      <c r="AS103" s="1807">
        <f>IF(AV103=0,0,IF(AV103&lt;0,IF($J103=6,AV103,IF($J103=5,AV103,IF($J103=4,AV103,0)))))</f>
        <v>0</v>
      </c>
      <c r="AT103" s="1807">
        <f>IF(AV103=0,0,IF(AV103&lt;0,IF($J103=9,AV103,IF($J103=8,AV103,IF($J103=7,AV103,0)))))</f>
        <v>0</v>
      </c>
      <c r="AU103" s="1806">
        <f>IF(AV103=0,0,IF(AV103&lt;0,IF($J103=12,AV103,IF($J103=11,AV103,IF($J103=10,AV103,0)))))</f>
        <v>0</v>
      </c>
      <c r="AV103" s="1791">
        <f>IF(AV$5=$H103,-$E103,0)</f>
        <v>0</v>
      </c>
      <c r="AW103" s="1808">
        <f>IF(BA103=0,0,IF(BA103&lt;0,IF($J103=3,BA103,IF($J103=2,BA103,IF($J103=1,BA103,0)))))</f>
        <v>0</v>
      </c>
      <c r="AX103" s="1807">
        <f>IF(BA103=0,0,IF(BA103&lt;0,IF($J103=6,BA103,IF($J103=5,BA103,IF($J103=4,BA103,0)))))</f>
        <v>0</v>
      </c>
      <c r="AY103" s="1807">
        <f>IF(BA103=0,0,IF(BA103&lt;0,IF($J103=9,BA103,IF($J103=8,BA103,IF($J103=7,BA103,0)))))</f>
        <v>0</v>
      </c>
      <c r="AZ103" s="1806">
        <f>IF(BA103=0,0,IF(BA103&lt;0,IF($J103=12,BA103,IF($J103=11,BA103,IF($J103=10,BA103,0)))))</f>
        <v>0</v>
      </c>
      <c r="BA103" s="1791">
        <f>IF(BA$5=$H103,-$E103,0)</f>
        <v>0</v>
      </c>
      <c r="BB103" s="1808">
        <f>IF(BF103=0,0,IF(BF103&lt;0,IF($J103=3,BF103,IF($J103=2,BF103,IF($J103=1,BF103,0)))))</f>
        <v>0</v>
      </c>
      <c r="BC103" s="1807">
        <f>IF(BF103=0,0,IF(BF103&lt;0,IF($J103=6,BF103,IF($J103=5,BF103,IF($J103=4,BF103,0)))))</f>
        <v>0</v>
      </c>
      <c r="BD103" s="1807">
        <f>IF(BF103=0,0,IF(BF103&lt;0,IF($J103=9,BF103,IF($J103=8,BF103,IF($J103=7,BF103,0)))))</f>
        <v>0</v>
      </c>
      <c r="BE103" s="1806">
        <f>IF(BF103=0,0,IF(BF103&lt;0,IF($J103=12,BF103,IF($J103=11,BF103,IF($J103=10,BF103,0)))))</f>
        <v>0</v>
      </c>
      <c r="BF103" s="1791">
        <f>IF(BF$5=$H103,-$E103,0)</f>
        <v>0</v>
      </c>
      <c r="BG103" s="1808">
        <f>IF(BK103=0,0,IF(BK103&lt;0,IF($J103=3,BK103,IF($J103=2,BK103,IF($J103=1,BK103,0)))))</f>
        <v>0</v>
      </c>
      <c r="BH103" s="1807">
        <f>IF(BK103=0,0,IF(BK103&lt;0,IF($J103=6,BK103,IF($J103=5,BK103,IF($J103=4,BK103,0)))))</f>
        <v>0</v>
      </c>
      <c r="BI103" s="1807">
        <f>IF(BK103=0,0,IF(BK103&lt;0,IF($J103=9,BK103,IF($J103=8,BK103,IF($J103=7,BK103,0)))))</f>
        <v>0</v>
      </c>
      <c r="BJ103" s="1806">
        <f>IF(BK103=0,0,IF(BK103&lt;0,IF($J103=12,BK103,IF($J103=11,BK103,IF($J103=10,BK103,0)))))</f>
        <v>0</v>
      </c>
      <c r="BK103" s="1791">
        <f>IF(BK$5=$H103,-$E103,0)</f>
        <v>0</v>
      </c>
      <c r="BL103" s="1808">
        <f>IF(BP103=0,0,IF(BP103&lt;0,IF($J103=3,BP103,IF($J103=2,BP103,IF($J103=1,BP103,0)))))</f>
        <v>0</v>
      </c>
      <c r="BM103" s="1807">
        <f>IF(BP103=0,0,IF(BP103&lt;0,IF($J103=6,BP103,IF($J103=5,BP103,IF($J103=4,BP103,0)))))</f>
        <v>0</v>
      </c>
      <c r="BN103" s="1807">
        <f>IF(BP103=0,0,IF(BP103&lt;0,IF($J103=9,BP103,IF($J103=8,BP103,IF($J103=7,BP103,0)))))</f>
        <v>0</v>
      </c>
      <c r="BO103" s="1806">
        <f>IF(BP103=0,0,IF(BP103&lt;0,IF($J103=12,BP103,IF($J103=11,BP103,IF($J103=10,BP103,0)))))</f>
        <v>0</v>
      </c>
      <c r="BP103" s="1791">
        <f>IF(BP$5=$H103,-$E103,0)</f>
        <v>0</v>
      </c>
      <c r="BQ103" s="1827"/>
      <c r="BR103" s="1791">
        <f t="shared" ref="BR103:BS104" si="1299">IF(AND(BQ103&lt;&gt;0,BQ$5=$H103),-$I103*$E103-BQ103,IF(BR$5=$H103,-$I103*$E103*(12-$J103+1)/12,0))</f>
        <v>0</v>
      </c>
      <c r="BS103" s="1791">
        <f t="shared" si="1299"/>
        <v>0</v>
      </c>
      <c r="BT103" s="1808">
        <f>IF($H103&lt;&gt;BX$5,0,IF(BX103&lt;0,IF($J103=1,-$E103*$I103/12*3,IF($J103=2,-$E103*$I103/12*2,IF($J103=3,-$E103*$I103/12*1,0)))))+IF(BS$5&lt;&gt;$H103,0,IF(BS103&lt;0,IF($J103=1,-$E103*$I103/12*0,IF($J103=2,-$E103*$I103/12*1,IF($J103=3,-$E103*$I103/12*2,IF($J103&gt;=4,-$E103*$I103/12*3,0))))))</f>
        <v>0</v>
      </c>
      <c r="BU103" s="1807">
        <f>IF($H103&lt;&gt;BX$5,0,IF(BX103&lt;0,IF(OR($J103=1,$J103=2,$J103=3,$J103=4),-$E103*$I103/12*3,IF($J103=5,-$E103*$I103/12*2,IF($J103=6,-$E103*$I103/12*1,0)))))+IF(BS$5&lt;&gt;$H103,0,IF(BS103&lt;0,IF($J103=4,-$E103*$I103/12*0,IF($J103=5,-$E103*$I103/12*1,IF($J103=6,-$E103*$I103/12*2,IF($J103&gt;=7,-$E103*$I103/12*3,0))))))</f>
        <v>0</v>
      </c>
      <c r="BV103" s="1807">
        <f>IF($H103&lt;&gt;BX$5,0,IF(BX103&lt;0,IF(OR($J103=1,$J103=2,$J103=3,$J103=4,$J103=5,$J103=6,$J103=7),-$E103*$I103/12*3,IF($J103=8,-$E103*$I103/12*2,IF($J103=9,-$E103*$I103/12*1,0)))))+IF(BS$5&lt;&gt;$H103,0,IF(BS103&lt;0,IF($J103=7,-$E103*$I103/12*0,IF($J103=8,-$E103*$I103/12*1,IF($J103=9,-$E103*$I103/12*2,IF($J103&gt;=10,-$E103*$I103/12*3,0))))))</f>
        <v>0</v>
      </c>
      <c r="BW103" s="1806">
        <f>IF($H103&lt;&gt;BX$5,0,IF(BX103&lt;0,IF(OR($J103=1,$J103=2,$J103=3,$J103=4,$J103=5,$J103=6,$J103=7,$J103=8,$J103=9,$J103=10),-$E103*$I103/12*3,IF($J103=11,-$E103*$I103/12*2,IF($J103=12,-$E103*$I103/12*1,0)))))+IF(BS$5&lt;&gt;$H103,0,IF(BS103&lt;0,IF($J103=10,-$E103*$I103/12*0,IF($J103=11,-$E103*$I103/12*1,IF($J103=12,-$E103*$I103/12*2,0)))))</f>
        <v>0</v>
      </c>
      <c r="BX103" s="1791">
        <f>IF(AND(BS103&lt;&gt;0,BS$5=$H103),-$I103*$E103-BS103,IF(BX$5=$H103,-$I103*$E103*(12-$J103+1)/12,0))</f>
        <v>0</v>
      </c>
      <c r="BY103" s="1808">
        <f>IF($H103&lt;&gt;CC$5,0,IF(CC103&lt;0,IF($J103=1,-$E103*$I103/12*3,IF($J103=2,-$E103*$I103/12*2,IF($J103=3,-$E103*$I103/12*1,0)))))+IF(BX$5&lt;&gt;$H103,0,IF(BX103&lt;0,IF($J103=1,-$E103*$I103/12*0,IF($J103=2,-$E103*$I103/12*1,IF($J103=3,-$E103*$I103/12*2,IF($J103&gt;=4,-$E103*$I103/12*3,0))))))</f>
        <v>0</v>
      </c>
      <c r="BZ103" s="1807">
        <f>IF($H103&lt;&gt;CC$5,0,IF(CC103&lt;0,IF(OR($J103=1,$J103=2,$J103=3,$J103=4),-$E103*$I103/12*3,IF($J103=5,-$E103*$I103/12*2,IF($J103=6,-$E103*$I103/12*1,0)))))+IF(BX$5&lt;&gt;$H103,0,IF(BX103&lt;0,IF($J103=4,-$E103*$I103/12*0,IF($J103=5,-$E103*$I103/12*1,IF($J103=6,-$E103*$I103/12*2,IF($J103&gt;=7,-$E103*$I103/12*3,0))))))</f>
        <v>0</v>
      </c>
      <c r="CA103" s="1807">
        <f>IF($H103&lt;&gt;CC$5,0,IF(CC103&lt;0,IF(OR($J103=1,$J103=2,$J103=3,$J103=4,$J103=5,$J103=6,$J103=7),-$E103*$I103/12*3,IF($J103=8,-$E103*$I103/12*2,IF($J103=9,-$E103*$I103/12*1,0)))))+IF(BX$5&lt;&gt;$H103,0,IF(BX103&lt;0,IF($J103=7,-$E103*$I103/12*0,IF($J103=8,-$E103*$I103/12*1,IF($J103=9,-$E103*$I103/12*2,IF($J103&gt;=10,-$E103*$I103/12*3,0))))))</f>
        <v>0</v>
      </c>
      <c r="CB103" s="1806">
        <f>IF($H103&lt;&gt;CC$5,0,IF(CC103&lt;0,IF(OR($J103=1,$J103=2,$J103=3,$J103=4,$J103=5,$J103=6,$J103=7,$J103=8,$J103=9,$J103=10),-$E103*$I103/12*3,IF($J103=11,-$E103*$I103/12*2,IF($J103=12,-$E103*$I103/12*1,0)))))+IF(BX$5&lt;&gt;$H103,0,IF(BX103&lt;0,IF($J103=10,-$E103*$I103/12*0,IF($J103=11,-$E103*$I103/12*1,IF($J103=12,-$E103*$I103/12*2,0)))))</f>
        <v>0</v>
      </c>
      <c r="CC103" s="1791">
        <f>IF(AND(BX103&lt;&gt;0,BX$5=$H103),-$I103*$E103-BX103,IF(CC$5=$H103,-$I103*$E103*(12-$J103+1)/12,0))</f>
        <v>0</v>
      </c>
      <c r="CD103" s="1808">
        <f>IF($H103&lt;&gt;CH$5,0,IF(CH103&lt;0,IF($J103=1,-$E103*$I103/12*3,IF($J103=2,-$E103*$I103/12*2,IF($J103=3,-$E103*$I103/12*1,0)))))+IF(CC$5&lt;&gt;$H103,0,IF(CC103&lt;0,IF($J103=1,-$E103*$I103/12*0,IF($J103=2,-$E103*$I103/12*1,IF($J103=3,-$E103*$I103/12*2,IF($J103&gt;=4,-$E103*$I103/12*3,0))))))</f>
        <v>0</v>
      </c>
      <c r="CE103" s="1807">
        <f>IF($H103&lt;&gt;CH$5,0,IF(CH103&lt;0,IF(OR($J103=1,$J103=2,$J103=3,$J103=4),-$E103*$I103/12*3,IF($J103=5,-$E103*$I103/12*2,IF($J103=6,-$E103*$I103/12*1,0)))))+IF(CC$5&lt;&gt;$H103,0,IF(CC103&lt;0,IF($J103=4,-$E103*$I103/12*0,IF($J103=5,-$E103*$I103/12*1,IF($J103=6,-$E103*$I103/12*2,IF($J103&gt;=7,-$E103*$I103/12*3,0))))))</f>
        <v>0</v>
      </c>
      <c r="CF103" s="1807">
        <f>IF($H103&lt;&gt;CH$5,0,IF(CH103&lt;0,IF(OR($J103=1,$J103=2,$J103=3,$J103=4,$J103=5,$J103=6,$J103=7),-$E103*$I103/12*3,IF($J103=8,-$E103*$I103/12*2,IF($J103=9,-$E103*$I103/12*1,0)))))+IF(CC$5&lt;&gt;$H103,0,IF(CC103&lt;0,IF($J103=7,-$E103*$I103/12*0,IF($J103=8,-$E103*$I103/12*1,IF($J103=9,-$E103*$I103/12*2,IF($J103&gt;=10,-$E103*$I103/12*3,0))))))</f>
        <v>0</v>
      </c>
      <c r="CG103" s="1806">
        <f>IF($H103&lt;&gt;CH$5,0,IF(CH103&lt;0,IF(OR($J103=1,$J103=2,$J103=3,$J103=4,$J103=5,$J103=6,$J103=7,$J103=8,$J103=9,$J103=10),-$E103*$I103/12*3,IF($J103=11,-$E103*$I103/12*2,IF($J103=12,-$E103*$I103/12*1,0)))))+IF(CC$5&lt;&gt;$H103,0,IF(CC103&lt;0,IF($J103=10,-$E103*$I103/12*0,IF($J103=11,-$E103*$I103/12*1,IF($J103=12,-$E103*$I103/12*2,0)))))</f>
        <v>0</v>
      </c>
      <c r="CH103" s="1791">
        <f>IF(AND(CC103&lt;&gt;0,CC$5=$H103),-$I103*$E103-CC103,IF(CH$5=$H103,-$I103*$E103*(12-$J103+1)/12,0))</f>
        <v>0</v>
      </c>
      <c r="CI103" s="1808">
        <f>IF($H103&lt;&gt;CM$5,0,IF(CM103&lt;0,IF($J103=1,-$E103*$I103/12*3,IF($J103=2,-$E103*$I103/12*2,IF($J103=3,-$E103*$I103/12*1,0)))))+IF(CH$5&lt;&gt;$H103,0,IF(CH103&lt;0,IF($J103=1,-$E103*$I103/12*0,IF($J103=2,-$E103*$I103/12*1,IF($J103=3,-$E103*$I103/12*2,IF($J103&gt;=4,-$E103*$I103/12*3,0))))))</f>
        <v>0</v>
      </c>
      <c r="CJ103" s="1807">
        <f>IF($H103&lt;&gt;CM$5,0,IF(CM103&lt;0,IF(OR($J103=1,$J103=2,$J103=3,$J103=4),-$E103*$I103/12*3,IF($J103=5,-$E103*$I103/12*2,IF($J103=6,-$E103*$I103/12*1,0)))))+IF(CH$5&lt;&gt;$H103,0,IF(CH103&lt;0,IF($J103=4,-$E103*$I103/12*0,IF($J103=5,-$E103*$I103/12*1,IF($J103=6,-$E103*$I103/12*2,IF($J103&gt;=7,-$E103*$I103/12*3,0))))))</f>
        <v>0</v>
      </c>
      <c r="CK103" s="1807">
        <f>IF($H103&lt;&gt;CM$5,0,IF(CM103&lt;0,IF(OR($J103=1,$J103=2,$J103=3,$J103=4,$J103=5,$J103=6,$J103=7),-$E103*$I103/12*3,IF($J103=8,-$E103*$I103/12*2,IF($J103=9,-$E103*$I103/12*1,0)))))+IF(CH$5&lt;&gt;$H103,0,IF(CH103&lt;0,IF($J103=7,-$E103*$I103/12*0,IF($J103=8,-$E103*$I103/12*1,IF($J103=9,-$E103*$I103/12*2,IF($J103&gt;=10,-$E103*$I103/12*3,0))))))</f>
        <v>0</v>
      </c>
      <c r="CL103" s="1806">
        <f>IF($H103&lt;&gt;CM$5,0,IF(CM103&lt;0,IF(OR($J103=1,$J103=2,$J103=3,$J103=4,$J103=5,$J103=6,$J103=7,$J103=8,$J103=9,$J103=10),-$E103*$I103/12*3,IF($J103=11,-$E103*$I103/12*2,IF($J103=12,-$E103*$I103/12*1,0)))))+IF(CH$5&lt;&gt;$H103,0,IF(CH103&lt;0,IF($J103=10,-$E103*$I103/12*0,IF($J103=11,-$E103*$I103/12*1,IF($J103=12,-$E103*$I103/12*2,0)))))</f>
        <v>0</v>
      </c>
      <c r="CM103" s="1791">
        <f>IF(AND(CH103&lt;&gt;0,CH$5=$H103),-$I103*$E103-CH103,IF(CM$5=$H103,-$I103*$E103*(12-$J103+1)/12,0))</f>
        <v>0</v>
      </c>
      <c r="CN103" s="1808">
        <f>IF($H103&lt;&gt;CR$5,0,IF(CR103&lt;0,IF($J103=1,-$E103*$I103/12*3,IF($J103=2,-$E103*$I103/12*2,IF($J103=3,-$E103*$I103/12*1,0)))))+IF(CM$5&lt;&gt;$H103,0,IF(CM103&lt;0,IF($J103=1,-$E103*$I103/12*0,IF($J103=2,-$E103*$I103/12*1,IF($J103=3,-$E103*$I103/12*2,IF($J103&gt;=4,-$E103*$I103/12*3,0))))))</f>
        <v>0</v>
      </c>
      <c r="CO103" s="1807">
        <f>IF($H103&lt;&gt;CR$5,0,IF(CR103&lt;0,IF(OR($J103=1,$J103=2,$J103=3,$J103=4),-$E103*$I103/12*3,IF($J103=5,-$E103*$I103/12*2,IF($J103=6,-$E103*$I103/12*1,0)))))+IF(CM$5&lt;&gt;$H103,0,IF(CM103&lt;0,IF($J103=4,-$E103*$I103/12*0,IF($J103=5,-$E103*$I103/12*1,IF($J103=6,-$E103*$I103/12*2,IF($J103&gt;=7,-$E103*$I103/12*3,0))))))</f>
        <v>0</v>
      </c>
      <c r="CP103" s="1807">
        <f>IF($H103&lt;&gt;CR$5,0,IF(CR103&lt;0,IF(OR($J103=1,$J103=2,$J103=3,$J103=4,$J103=5,$J103=6,$J103=7),-$E103*$I103/12*3,IF($J103=8,-$E103*$I103/12*2,IF($J103=9,-$E103*$I103/12*1,0)))))+IF(CM$5&lt;&gt;$H103,0,IF(CM103&lt;0,IF($J103=7,-$E103*$I103/12*0,IF($J103=8,-$E103*$I103/12*1,IF($J103=9,-$E103*$I103/12*2,IF($J103&gt;=10,-$E103*$I103/12*3,0))))))</f>
        <v>0</v>
      </c>
      <c r="CQ103" s="1806">
        <f>IF($H103&lt;&gt;CR$5,0,IF(CR103&lt;0,IF(OR($J103=1,$J103=2,$J103=3,$J103=4,$J103=5,$J103=6,$J103=7,$J103=8,$J103=9,$J103=10),-$E103*$I103/12*3,IF($J103=11,-$E103*$I103/12*2,IF($J103=12,-$E103*$I103/12*1,0)))))+IF(CM$5&lt;&gt;$H103,0,IF(CM103&lt;0,IF($J103=10,-$E103*$I103/12*0,IF($J103=11,-$E103*$I103/12*1,IF($J103=12,-$E103*$I103/12*2,0)))))</f>
        <v>0</v>
      </c>
      <c r="CR103" s="1791">
        <f>IF(AND(CM103&lt;&gt;0,CM$5=$H103),-$I103*$E103-CM103,IF(CR$5=$H103,-$I103*$E103*(12-$J103+1)/12,0))</f>
        <v>0</v>
      </c>
      <c r="CS103" s="1808">
        <f>IF($H103&lt;&gt;CW$5,0,IF(CW103&lt;0,IF($J103=1,-$E103*$I103/12*3,IF($J103=2,-$E103*$I103/12*2,IF($J103=3,-$E103*$I103/12*1,0)))))+IF(CR$5&lt;&gt;$H103,0,IF(CR103&lt;0,IF($J103=1,-$E103*$I103/12*0,IF($J103=2,-$E103*$I103/12*1,IF($J103=3,-$E103*$I103/12*2,IF($J103&gt;=4,-$E103*$I103/12*3,0))))))</f>
        <v>0</v>
      </c>
      <c r="CT103" s="1807">
        <f>IF($H103&lt;&gt;CW$5,0,IF(CW103&lt;0,IF(OR($J103=1,$J103=2,$J103=3,$J103=4),-$E103*$I103/12*3,IF($J103=5,-$E103*$I103/12*2,IF($J103=6,-$E103*$I103/12*1,0)))))+IF(CR$5&lt;&gt;$H103,0,IF(CR103&lt;0,IF($J103=4,-$E103*$I103/12*0,IF($J103=5,-$E103*$I103/12*1,IF($J103=6,-$E103*$I103/12*2,IF($J103&gt;=7,-$E103*$I103/12*3,0))))))</f>
        <v>0</v>
      </c>
      <c r="CU103" s="1807">
        <f>IF($H103&lt;&gt;CW$5,0,IF(CW103&lt;0,IF(OR($J103=1,$J103=2,$J103=3,$J103=4,$J103=5,$J103=6,$J103=7),-$E103*$I103/12*3,IF($J103=8,-$E103*$I103/12*2,IF($J103=9,-$E103*$I103/12*1,0)))))+IF(CR$5&lt;&gt;$H103,0,IF(CR103&lt;0,IF($J103=7,-$E103*$I103/12*0,IF($J103=8,-$E103*$I103/12*1,IF($J103=9,-$E103*$I103/12*2,IF($J103&gt;=10,-$E103*$I103/12*3,0))))))</f>
        <v>0</v>
      </c>
      <c r="CV103" s="1806">
        <f>IF($H103&lt;&gt;CW$5,0,IF(CW103&lt;0,IF(OR($J103=1,$J103=2,$J103=3,$J103=4,$J103=5,$J103=6,$J103=7,$J103=8,$J103=9,$J103=10),-$E103*$I103/12*3,IF($J103=11,-$E103*$I103/12*2,IF($J103=12,-$E103*$I103/12*1,0)))))+IF(CR$5&lt;&gt;$H103,0,IF(CR103&lt;0,IF($J103=10,-$E103*$I103/12*0,IF($J103=11,-$E103*$I103/12*1,IF($J103=12,-$E103*$I103/12*2,0)))))</f>
        <v>0</v>
      </c>
      <c r="CW103" s="1791">
        <f>IF(AND(CR103&lt;&gt;0,CR$5=$H103),-$I103*$E103-CR103,IF(CW$5=$H103,-$I103*$E103*(12-$J103+1)/12,0))</f>
        <v>0</v>
      </c>
      <c r="CX103" s="1808">
        <f>IF($H103&lt;&gt;DB$5,0,IF(DB103&lt;0,IF($J103=1,-$E103*$I103/12*3,IF($J103=2,-$E103*$I103/12*2,IF($J103=3,-$E103*$I103/12*1,0)))))+IF(CW$5&lt;&gt;$H103,0,IF(CW103&lt;0,IF($J103=1,-$E103*$I103/12*0,IF($J103=2,-$E103*$I103/12*1,IF($J103=3,-$E103*$I103/12*2,IF($J103&gt;=4,-$E103*$I103/12*3,0))))))</f>
        <v>0</v>
      </c>
      <c r="CY103" s="1807">
        <f>IF($H103&lt;&gt;DB$5,0,IF(DB103&lt;0,IF(OR($J103=1,$J103=2,$J103=3,$J103=4),-$E103*$I103/12*3,IF($J103=5,-$E103*$I103/12*2,IF($J103=6,-$E103*$I103/12*1,0)))))+IF(CW$5&lt;&gt;$H103,0,IF(CW103&lt;0,IF($J103=4,-$E103*$I103/12*0,IF($J103=5,-$E103*$I103/12*1,IF($J103=6,-$E103*$I103/12*2,IF($J103&gt;=7,-$E103*$I103/12*3,0))))))</f>
        <v>0</v>
      </c>
      <c r="CZ103" s="1807">
        <f>IF($H103&lt;&gt;DB$5,0,IF(DB103&lt;0,IF(OR($J103=1,$J103=2,$J103=3,$J103=4,$J103=5,$J103=6,$J103=7),-$E103*$I103/12*3,IF($J103=8,-$E103*$I103/12*2,IF($J103=9,-$E103*$I103/12*1,0)))))+IF(CW$5&lt;&gt;$H103,0,IF(CW103&lt;0,IF($J103=7,-$E103*$I103/12*0,IF($J103=8,-$E103*$I103/12*1,IF($J103=9,-$E103*$I103/12*2,IF($J103&gt;=10,-$E103*$I103/12*3,0))))))</f>
        <v>0</v>
      </c>
      <c r="DA103" s="1806">
        <f>IF($H103&lt;&gt;DB$5,0,IF(DB103&lt;0,IF(OR($J103=1,$J103=2,$J103=3,$J103=4,$J103=5,$J103=6,$J103=7,$J103=8,$J103=9,$J103=10),-$E103*$I103/12*3,IF($J103=11,-$E103*$I103/12*2,IF($J103=12,-$E103*$I103/12*1,0)))))+IF(CW$5&lt;&gt;$H103,0,IF(CW103&lt;0,IF($J103=10,-$E103*$I103/12*0,IF($J103=11,-$E103*$I103/12*1,IF($J103=12,-$E103*$I103/12*2,0)))))</f>
        <v>0</v>
      </c>
      <c r="DB103" s="1791">
        <f>IF(AND(CW103&lt;&gt;0,CW$5=$H103),-$I103*$E103-CW103,IF(DB$5=$H103,-$I103*$E103*(12-$J103+1)/12,0))</f>
        <v>0</v>
      </c>
      <c r="DC103" s="1808">
        <f>IF($H103&lt;&gt;DG$5,0,IF(DG103&lt;0,IF($J103=1,-$E103*$I103/12*3,IF($J103=2,-$E103*$I103/12*2,IF($J103=3,-$E103*$I103/12*1,0)))))+IF(DB$5&lt;&gt;$H103,0,IF(DB103&lt;0,IF($J103=1,-$E103*$I103/12*0,IF($J103=2,-$E103*$I103/12*1,IF($J103=3,-$E103*$I103/12*2,IF($J103&gt;=4,-$E103*$I103/12*3,0))))))</f>
        <v>0</v>
      </c>
      <c r="DD103" s="1807">
        <f>IF($H103&lt;&gt;DG$5,0,IF(DG103&lt;0,IF(OR($J103=1,$J103=2,$J103=3,$J103=4),-$E103*$I103/12*3,IF($J103=5,-$E103*$I103/12*2,IF($J103=6,-$E103*$I103/12*1,0)))))+IF(DB$5&lt;&gt;$H103,0,IF(DB103&lt;0,IF($J103=4,-$E103*$I103/12*0,IF($J103=5,-$E103*$I103/12*1,IF($J103=6,-$E103*$I103/12*2,IF($J103&gt;=7,-$E103*$I103/12*3,0))))))</f>
        <v>0</v>
      </c>
      <c r="DE103" s="1807">
        <f>IF($H103&lt;&gt;DG$5,0,IF(DG103&lt;0,IF(OR($J103=1,$J103=2,$J103=3,$J103=4,$J103=5,$J103=6,$J103=7),-$E103*$I103/12*3,IF($J103=8,-$E103*$I103/12*2,IF($J103=9,-$E103*$I103/12*1,0)))))+IF(DB$5&lt;&gt;$H103,0,IF(DB103&lt;0,IF($J103=7,-$E103*$I103/12*0,IF($J103=8,-$E103*$I103/12*1,IF($J103=9,-$E103*$I103/12*2,IF($J103&gt;=10,-$E103*$I103/12*3,0))))))</f>
        <v>0</v>
      </c>
      <c r="DF103" s="1806">
        <f>IF($H103&lt;&gt;DG$5,0,IF(DG103&lt;0,IF(OR($J103=1,$J103=2,$J103=3,$J103=4,$J103=5,$J103=6,$J103=7,$J103=8,$J103=9,$J103=10),-$E103*$I103/12*3,IF($J103=11,-$E103*$I103/12*2,IF($J103=12,-$E103*$I103/12*1,0)))))+IF(DB$5&lt;&gt;$H103,0,IF(DB103&lt;0,IF($J103=10,-$E103*$I103/12*0,IF($J103=11,-$E103*$I103/12*1,IF($J103=12,-$E103*$I103/12*2,0)))))</f>
        <v>0</v>
      </c>
      <c r="DG103" s="1791">
        <f>IF(AND(DB103&lt;&gt;0,DB$5=$H103),-$I103*$E103-DB103,IF(DG$5=$H103,-$I103*$E103*(12-$J103+1)/12,0))</f>
        <v>0</v>
      </c>
      <c r="DH103" s="1808">
        <f>IF($H103&lt;&gt;DL$5,0,IF(DL103&lt;0,IF($J103=1,-$E103*$I103/12*3,IF($J103=2,-$E103*$I103/12*2,IF($J103=3,-$E103*$I103/12*1,0)))))+IF(DG$5&lt;&gt;$H103,0,IF(DG103&lt;0,IF($J103=1,-$E103*$I103/12*0,IF($J103=2,-$E103*$I103/12*1,IF($J103=3,-$E103*$I103/12*2,IF($J103&gt;=4,-$E103*$I103/12*3,0))))))</f>
        <v>0</v>
      </c>
      <c r="DI103" s="1807">
        <f>IF($H103&lt;&gt;DL$5,0,IF(DL103&lt;0,IF(OR($J103=1,$J103=2,$J103=3,$J103=4),-$E103*$I103/12*3,IF($J103=5,-$E103*$I103/12*2,IF($J103=6,-$E103*$I103/12*1,0)))))+IF(DG$5&lt;&gt;$H103,0,IF(DG103&lt;0,IF($J103=4,-$E103*$I103/12*0,IF($J103=5,-$E103*$I103/12*1,IF($J103=6,-$E103*$I103/12*2,IF($J103&gt;=7,-$E103*$I103/12*3,0))))))</f>
        <v>0</v>
      </c>
      <c r="DJ103" s="1807">
        <f>IF($H103&lt;&gt;DL$5,0,IF(DL103&lt;0,IF(OR($J103=1,$J103=2,$J103=3,$J103=4,$J103=5,$J103=6,$J103=7),-$E103*$I103/12*3,IF($J103=8,-$E103*$I103/12*2,IF($J103=9,-$E103*$I103/12*1,0)))))+IF(DG$5&lt;&gt;$H103,0,IF(DG103&lt;0,IF($J103=7,-$E103*$I103/12*0,IF($J103=8,-$E103*$I103/12*1,IF($J103=9,-$E103*$I103/12*2,IF($J103&gt;=10,-$E103*$I103/12*3,0))))))</f>
        <v>0</v>
      </c>
      <c r="DK103" s="1806">
        <f>IF($H103&lt;&gt;DL$5,0,IF(DL103&lt;0,IF(OR($J103=1,$J103=2,$J103=3,$J103=4,$J103=5,$J103=6,$J103=7,$J103=8,$J103=9,$J103=10),-$E103*$I103/12*3,IF($J103=11,-$E103*$I103/12*2,IF($J103=12,-$E103*$I103/12*1,0)))))+IF(DG$5&lt;&gt;$H103,0,IF(DG103&lt;0,IF($J103=10,-$E103*$I103/12*0,IF($J103=11,-$E103*$I103/12*1,IF($J103=12,-$E103*$I103/12*2,0)))))</f>
        <v>0</v>
      </c>
      <c r="DL103" s="1791">
        <f>IF(AND(DG103&lt;&gt;0,DG$5=$H103),-$I103*$E103-DG103,IF(DL$5=$H103,-$I103*$E103*(12-$J103+1)/12,0))</f>
        <v>0</v>
      </c>
      <c r="DM103" s="1808">
        <f>IF($H103&lt;&gt;DQ$5,0,IF(DQ103&lt;0,IF($J103=1,-$E103*$I103/12*3,IF($J103=2,-$E103*$I103/12*2,IF($J103=3,-$E103*$I103/12*1,0)))))+IF(DL$5&lt;&gt;$H103,0,IF(DL103&lt;0,IF($J103=1,-$E103*$I103/12*0,IF($J103=2,-$E103*$I103/12*1,IF($J103=3,-$E103*$I103/12*2,IF($J103&gt;=4,-$E103*$I103/12*3,0))))))</f>
        <v>0</v>
      </c>
      <c r="DN103" s="1807">
        <f>IF($H103&lt;&gt;DQ$5,0,IF(DQ103&lt;0,IF(OR($J103=1,$J103=2,$J103=3,$J103=4),-$E103*$I103/12*3,IF($J103=5,-$E103*$I103/12*2,IF($J103=6,-$E103*$I103/12*1,0)))))+IF(DL$5&lt;&gt;$H103,0,IF(DL103&lt;0,IF($J103=4,-$E103*$I103/12*0,IF($J103=5,-$E103*$I103/12*1,IF($J103=6,-$E103*$I103/12*2,IF($J103&gt;=7,-$E103*$I103/12*3,0))))))</f>
        <v>0</v>
      </c>
      <c r="DO103" s="1807">
        <f>IF($H103&lt;&gt;DQ$5,0,IF(DQ103&lt;0,IF(OR($J103=1,$J103=2,$J103=3,$J103=4,$J103=5,$J103=6,$J103=7),-$E103*$I103/12*3,IF($J103=8,-$E103*$I103/12*2,IF($J103=9,-$E103*$I103/12*1,0)))))+IF(DL$5&lt;&gt;$H103,0,IF(DL103&lt;0,IF($J103=7,-$E103*$I103/12*0,IF($J103=8,-$E103*$I103/12*1,IF($J103=9,-$E103*$I103/12*2,IF($J103&gt;=10,-$E103*$I103/12*3,0))))))</f>
        <v>0</v>
      </c>
      <c r="DP103" s="1806">
        <f>IF($H103&lt;&gt;DQ$5,0,IF(DQ103&lt;0,IF(OR($J103=1,$J103=2,$J103=3,$J103=4,$J103=5,$J103=6,$J103=7,$J103=8,$J103=9,$J103=10),-$E103*$I103/12*3,IF($J103=11,-$E103*$I103/12*2,IF($J103=12,-$E103*$I103/12*1,0)))))+IF(DL$5&lt;&gt;$H103,0,IF(DL103&lt;0,IF($J103=10,-$E103*$I103/12*0,IF($J103=11,-$E103*$I103/12*1,IF($J103=12,-$E103*$I103/12*2,0)))))</f>
        <v>0</v>
      </c>
      <c r="DQ103" s="1791">
        <f>IF(AND(DL103&lt;&gt;0,DL$5=$H103),-$I103*$E103-DL103,IF(DQ$5=$H103,-$I103*$E103*(12-$J103+1)/12,0))</f>
        <v>0</v>
      </c>
      <c r="DR103" s="1808">
        <f>IF($H103&lt;&gt;DV$5,0,IF(DV103&lt;0,IF($J103=1,-$E103*$I103/12*3,IF($J103=2,-$E103*$I103/12*2,IF($J103=3,-$E103*$I103/12*1,0)))))+IF(DQ$5&lt;&gt;$H103,0,IF(DQ103&lt;0,IF($J103=1,-$E103*$I103/12*0,IF($J103=2,-$E103*$I103/12*1,IF($J103=3,-$E103*$I103/12*2,IF($J103&gt;=4,-$E103*$I103/12*3,0))))))</f>
        <v>0</v>
      </c>
      <c r="DS103" s="1807">
        <f>IF($H103&lt;&gt;DV$5,0,IF(DV103&lt;0,IF(OR($J103=1,$J103=2,$J103=3,$J103=4),-$E103*$I103/12*3,IF($J103=5,-$E103*$I103/12*2,IF($J103=6,-$E103*$I103/12*1,0)))))+IF(DQ$5&lt;&gt;$H103,0,IF(DQ103&lt;0,IF($J103=4,-$E103*$I103/12*0,IF($J103=5,-$E103*$I103/12*1,IF($J103=6,-$E103*$I103/12*2,IF($J103&gt;=7,-$E103*$I103/12*3,0))))))</f>
        <v>0</v>
      </c>
      <c r="DT103" s="1807">
        <f>IF($H103&lt;&gt;DV$5,0,IF(DV103&lt;0,IF(OR($J103=1,$J103=2,$J103=3,$J103=4,$J103=5,$J103=6,$J103=7),-$E103*$I103/12*3,IF($J103=8,-$E103*$I103/12*2,IF($J103=9,-$E103*$I103/12*1,0)))))+IF(DQ$5&lt;&gt;$H103,0,IF(DQ103&lt;0,IF($J103=7,-$E103*$I103/12*0,IF($J103=8,-$E103*$I103/12*1,IF($J103=9,-$E103*$I103/12*2,IF($J103&gt;=10,-$E103*$I103/12*3,0))))))</f>
        <v>0</v>
      </c>
      <c r="DU103" s="1806">
        <f>IF($H103&lt;&gt;DV$5,0,IF(DV103&lt;0,IF(OR($J103=1,$J103=2,$J103=3,$J103=4,$J103=5,$J103=6,$J103=7,$J103=8,$J103=9,$J103=10),-$E103*$I103/12*3,IF($J103=11,-$E103*$I103/12*2,IF($J103=12,-$E103*$I103/12*1,0)))))+IF(DQ$5&lt;&gt;$H103,0,IF(DQ103&lt;0,IF($J103=10,-$E103*$I103/12*0,IF($J103=11,-$E103*$I103/12*1,IF($J103=12,-$E103*$I103/12*2,0)))))</f>
        <v>0</v>
      </c>
      <c r="DV103" s="1791">
        <f>IF(AND(DQ103&lt;&gt;0,DQ$5=$H103),-$I103*$E103-DQ103,IF(DV$5=$H103,-$I103*$E103*(12-$J103+1)/12,0))</f>
        <v>0</v>
      </c>
    </row>
    <row r="104" spans="1:126">
      <c r="A104" s="455"/>
      <c r="B104" s="455"/>
      <c r="C104" s="1363" t="s">
        <v>216</v>
      </c>
      <c r="D104" s="455"/>
      <c r="E104" s="1817">
        <f>IF(F104=0,G104,F104)</f>
        <v>40</v>
      </c>
      <c r="F104" s="1435">
        <v>40</v>
      </c>
      <c r="G104" s="1435">
        <v>40</v>
      </c>
      <c r="H104" s="1350">
        <v>2021</v>
      </c>
      <c r="I104" s="1335">
        <v>3.9199999999999999E-2</v>
      </c>
      <c r="J104" s="1343">
        <v>2</v>
      </c>
      <c r="K104" s="1792"/>
      <c r="L104" s="1810">
        <f t="shared" si="1298"/>
        <v>0</v>
      </c>
      <c r="M104" s="1791">
        <f t="shared" si="1298"/>
        <v>0</v>
      </c>
      <c r="N104" s="1808">
        <f>IF(R104=0,0,IF(R104&lt;0,IF($J104=3,R104,IF($J104=2,R104,IF($J104=1,R104,0)))))</f>
        <v>0</v>
      </c>
      <c r="O104" s="1807">
        <f>IF(R104=0,0,IF(R104&lt;0,IF($J104=6,R104,IF($J104=5,R104,IF($J104=4,R104,0)))))</f>
        <v>0</v>
      </c>
      <c r="P104" s="1807">
        <f>IF(R104=0,0,IF(R104&lt;0,IF($J104=9,R104,IF($J104=8,R104,IF($J104=7,R104,0)))))</f>
        <v>0</v>
      </c>
      <c r="Q104" s="1806">
        <f>IF(R104=0,0,IF(R104&lt;0,IF($J104=12,R104,IF($J104=11,R104,IF($J104=10,R104,0)))))</f>
        <v>0</v>
      </c>
      <c r="R104" s="1791">
        <f>IF(R$5=$H104,-$E104,0)</f>
        <v>0</v>
      </c>
      <c r="S104" s="1808">
        <f>IF(W104=0,0,IF(W104&lt;0,IF($J104=3,W104,IF($J104=2,W104,IF($J104=1,W104,0)))))</f>
        <v>0</v>
      </c>
      <c r="T104" s="1807">
        <f>IF(W104=0,0,IF(W104&lt;0,IF($J104=6,W104,IF($J104=5,W104,IF($J104=4,W104,0)))))</f>
        <v>0</v>
      </c>
      <c r="U104" s="1807">
        <f>IF(W104=0,0,IF(W104&lt;0,IF($J104=9,W104,IF($J104=8,W104,IF($J104=7,W104,0)))))</f>
        <v>0</v>
      </c>
      <c r="V104" s="1806">
        <f>IF(W104=0,0,IF(W104&lt;0,IF($J104=12,W104,IF($J104=11,W104,IF($J104=10,W104,0)))))</f>
        <v>0</v>
      </c>
      <c r="W104" s="1791">
        <f>IF(W$5=$H104,-$E104,0)</f>
        <v>0</v>
      </c>
      <c r="X104" s="1808">
        <f>IF(AB104=0,0,IF(AB104&lt;0,IF($J104=3,AB104,IF($J104=2,AB104,IF($J104=1,AB104,0)))))</f>
        <v>0</v>
      </c>
      <c r="Y104" s="1807">
        <f>IF(AB104=0,0,IF(AB104&lt;0,IF($J104=6,AB104,IF($J104=5,AB104,IF($J104=4,AB104,0)))))</f>
        <v>0</v>
      </c>
      <c r="Z104" s="1807">
        <f>IF(AB104=0,0,IF(AB104&lt;0,IF($J104=9,AB104,IF($J104=8,AB104,IF($J104=7,AB104,0)))))</f>
        <v>0</v>
      </c>
      <c r="AA104" s="1806">
        <f>IF(AB104=0,0,IF(AB104&lt;0,IF($J104=12,AB104,IF($J104=11,AB104,IF($J104=10,AB104,0)))))</f>
        <v>0</v>
      </c>
      <c r="AB104" s="1791">
        <f>IF(AB$5=$H104,-$E104,0)</f>
        <v>0</v>
      </c>
      <c r="AC104" s="1808">
        <f>IF(AG104=0,0,IF(AG104&lt;0,IF($J104=3,AG104,IF($J104=2,AG104,IF($J104=1,AG104,0)))))</f>
        <v>0</v>
      </c>
      <c r="AD104" s="1807">
        <f>IF(AG104=0,0,IF(AG104&lt;0,IF($J104=6,AG104,IF($J104=5,AG104,IF($J104=4,AG104,0)))))</f>
        <v>0</v>
      </c>
      <c r="AE104" s="1807">
        <f>IF(AG104=0,0,IF(AG104&lt;0,IF($J104=9,AG104,IF($J104=8,AG104,IF($J104=7,AG104,0)))))</f>
        <v>0</v>
      </c>
      <c r="AF104" s="1806">
        <f>IF(AG104=0,0,IF(AG104&lt;0,IF($J104=12,AG104,IF($J104=11,AG104,IF($J104=10,AG104,0)))))</f>
        <v>0</v>
      </c>
      <c r="AG104" s="1791">
        <f>IF(AG$5=$H104,-$E104,0)</f>
        <v>0</v>
      </c>
      <c r="AH104" s="1808">
        <f>IF(AL104=0,0,IF(AL104&lt;0,IF($J104=3,AL104,IF($J104=2,AL104,IF($J104=1,AL104,0)))))</f>
        <v>0</v>
      </c>
      <c r="AI104" s="1807">
        <f>IF(AL104=0,0,IF(AL104&lt;0,IF($J104=6,AL104,IF($J104=5,AL104,IF($J104=4,AL104,0)))))</f>
        <v>0</v>
      </c>
      <c r="AJ104" s="1807">
        <f>IF(AL104=0,0,IF(AL104&lt;0,IF($J104=9,AL104,IF($J104=8,AL104,IF($J104=7,AL104,0)))))</f>
        <v>0</v>
      </c>
      <c r="AK104" s="1806">
        <f>IF(AL104=0,0,IF(AL104&lt;0,IF($J104=12,AL104,IF($J104=11,AL104,IF($J104=10,AL104,0)))))</f>
        <v>0</v>
      </c>
      <c r="AL104" s="1791">
        <f>IF(AL$5=$H104,-$E104,0)</f>
        <v>0</v>
      </c>
      <c r="AM104" s="1808">
        <f>IF(AQ104=0,0,IF(AQ104&lt;0,IF($J104=3,AQ104,IF($J104=2,AQ104,IF($J104=1,AQ104,0)))))</f>
        <v>0</v>
      </c>
      <c r="AN104" s="1807">
        <f>IF(AQ104=0,0,IF(AQ104&lt;0,IF($J104=6,AQ104,IF($J104=5,AQ104,IF($J104=4,AQ104,0)))))</f>
        <v>0</v>
      </c>
      <c r="AO104" s="1807">
        <f>IF(AQ104=0,0,IF(AQ104&lt;0,IF($J104=9,AQ104,IF($J104=8,AQ104,IF($J104=7,AQ104,0)))))</f>
        <v>0</v>
      </c>
      <c r="AP104" s="1806">
        <f>IF(AQ104=0,0,IF(AQ104&lt;0,IF($J104=12,AQ104,IF($J104=11,AQ104,IF($J104=10,AQ104,0)))))</f>
        <v>0</v>
      </c>
      <c r="AQ104" s="1791">
        <f>IF(AQ$5=$H104,-$E104,0)</f>
        <v>0</v>
      </c>
      <c r="AR104" s="1808">
        <f>IF(AV104=0,0,IF(AV104&lt;0,IF($J104=3,AV104,IF($J104=2,AV104,IF($J104=1,AV104,0)))))</f>
        <v>0</v>
      </c>
      <c r="AS104" s="1807">
        <f>IF(AV104=0,0,IF(AV104&lt;0,IF($J104=6,AV104,IF($J104=5,AV104,IF($J104=4,AV104,0)))))</f>
        <v>0</v>
      </c>
      <c r="AT104" s="1807">
        <f>IF(AV104=0,0,IF(AV104&lt;0,IF($J104=9,AV104,IF($J104=8,AV104,IF($J104=7,AV104,0)))))</f>
        <v>0</v>
      </c>
      <c r="AU104" s="1806">
        <f>IF(AV104=0,0,IF(AV104&lt;0,IF($J104=12,AV104,IF($J104=11,AV104,IF($J104=10,AV104,0)))))</f>
        <v>0</v>
      </c>
      <c r="AV104" s="1791">
        <f>IF(AV$5=$H104,-$E104,0)</f>
        <v>0</v>
      </c>
      <c r="AW104" s="1808">
        <f>IF(BA104=0,0,IF(BA104&lt;0,IF($J104=3,BA104,IF($J104=2,BA104,IF($J104=1,BA104,0)))))</f>
        <v>0</v>
      </c>
      <c r="AX104" s="1807">
        <f>IF(BA104=0,0,IF(BA104&lt;0,IF($J104=6,BA104,IF($J104=5,BA104,IF($J104=4,BA104,0)))))</f>
        <v>0</v>
      </c>
      <c r="AY104" s="1807">
        <f>IF(BA104=0,0,IF(BA104&lt;0,IF($J104=9,BA104,IF($J104=8,BA104,IF($J104=7,BA104,0)))))</f>
        <v>0</v>
      </c>
      <c r="AZ104" s="1806">
        <f>IF(BA104=0,0,IF(BA104&lt;0,IF($J104=12,BA104,IF($J104=11,BA104,IF($J104=10,BA104,0)))))</f>
        <v>0</v>
      </c>
      <c r="BA104" s="1791">
        <f>IF(BA$5=$H104,-$E104,0)</f>
        <v>0</v>
      </c>
      <c r="BB104" s="1808">
        <f>IF(BF104=0,0,IF(BF104&lt;0,IF($J104=3,BF104,IF($J104=2,BF104,IF($J104=1,BF104,0)))))</f>
        <v>0</v>
      </c>
      <c r="BC104" s="1807">
        <f>IF(BF104=0,0,IF(BF104&lt;0,IF($J104=6,BF104,IF($J104=5,BF104,IF($J104=4,BF104,0)))))</f>
        <v>0</v>
      </c>
      <c r="BD104" s="1807">
        <f>IF(BF104=0,0,IF(BF104&lt;0,IF($J104=9,BF104,IF($J104=8,BF104,IF($J104=7,BF104,0)))))</f>
        <v>0</v>
      </c>
      <c r="BE104" s="1806">
        <f>IF(BF104=0,0,IF(BF104&lt;0,IF($J104=12,BF104,IF($J104=11,BF104,IF($J104=10,BF104,0)))))</f>
        <v>0</v>
      </c>
      <c r="BF104" s="1791">
        <f>IF(BF$5=$H104,-$E104,0)</f>
        <v>0</v>
      </c>
      <c r="BG104" s="1808">
        <f>IF(BK104=0,0,IF(BK104&lt;0,IF($J104=3,BK104,IF($J104=2,BK104,IF($J104=1,BK104,0)))))</f>
        <v>0</v>
      </c>
      <c r="BH104" s="1807">
        <f>IF(BK104=0,0,IF(BK104&lt;0,IF($J104=6,BK104,IF($J104=5,BK104,IF($J104=4,BK104,0)))))</f>
        <v>0</v>
      </c>
      <c r="BI104" s="1807">
        <f>IF(BK104=0,0,IF(BK104&lt;0,IF($J104=9,BK104,IF($J104=8,BK104,IF($J104=7,BK104,0)))))</f>
        <v>0</v>
      </c>
      <c r="BJ104" s="1806">
        <f>IF(BK104=0,0,IF(BK104&lt;0,IF($J104=12,BK104,IF($J104=11,BK104,IF($J104=10,BK104,0)))))</f>
        <v>0</v>
      </c>
      <c r="BK104" s="1791">
        <f>IF(BK$5=$H104,-$E104,0)</f>
        <v>0</v>
      </c>
      <c r="BL104" s="1808">
        <f>IF(BP104=0,0,IF(BP104&lt;0,IF($J104=3,BP104,IF($J104=2,BP104,IF($J104=1,BP104,0)))))</f>
        <v>-40</v>
      </c>
      <c r="BM104" s="1807">
        <f>IF(BP104=0,0,IF(BP104&lt;0,IF($J104=6,BP104,IF($J104=5,BP104,IF($J104=4,BP104,0)))))</f>
        <v>0</v>
      </c>
      <c r="BN104" s="1807">
        <f>IF(BP104=0,0,IF(BP104&lt;0,IF($J104=9,BP104,IF($J104=8,BP104,IF($J104=7,BP104,0)))))</f>
        <v>0</v>
      </c>
      <c r="BO104" s="1806">
        <f>IF(BP104=0,0,IF(BP104&lt;0,IF($J104=12,BP104,IF($J104=11,BP104,IF($J104=10,BP104,0)))))</f>
        <v>0</v>
      </c>
      <c r="BP104" s="1791">
        <f>IF(BP$5=$H104,-$E104,0)</f>
        <v>-40</v>
      </c>
      <c r="BQ104" s="1827"/>
      <c r="BR104" s="1791">
        <f t="shared" si="1299"/>
        <v>0</v>
      </c>
      <c r="BS104" s="1791">
        <f t="shared" si="1299"/>
        <v>0</v>
      </c>
      <c r="BT104" s="1808">
        <f>IF($H104&lt;&gt;BX$5,0,IF(BX104&lt;0,IF($J104=1,-$E104*$I104/12*3,IF($J104=2,-$E104*$I104/12*2,IF($J104=3,-$E104*$I104/12*1,0)))))+IF(BS$5&lt;&gt;$H104,0,IF(BS104&lt;0,IF($J104=1,-$E104*$I104/12*0,IF($J104=2,-$E104*$I104/12*1,IF($J104=3,-$E104*$I104/12*2,IF($J104&gt;=4,-$E104*$I104/12*3,0))))))</f>
        <v>0</v>
      </c>
      <c r="BU104" s="1807">
        <f>IF($H104&lt;&gt;BX$5,0,IF(BX104&lt;0,IF(OR($J104=1,$J104=2,$J104=3,$J104=4),-$E104*$I104/12*3,IF($J104=5,-$E104*$I104/12*2,IF($J104=6,-$E104*$I104/12*1,0)))))+IF(BS$5&lt;&gt;$H104,0,IF(BS104&lt;0,IF($J104=4,-$E104*$I104/12*0,IF($J104=5,-$E104*$I104/12*1,IF($J104=6,-$E104*$I104/12*2,IF($J104&gt;=7,-$E104*$I104/12*3,0))))))</f>
        <v>0</v>
      </c>
      <c r="BV104" s="1807">
        <f>IF($H104&lt;&gt;BX$5,0,IF(BX104&lt;0,IF(OR($J104=1,$J104=2,$J104=3,$J104=4,$J104=5,$J104=6,$J104=7),-$E104*$I104/12*3,IF($J104=8,-$E104*$I104/12*2,IF($J104=9,-$E104*$I104/12*1,0)))))+IF(BS$5&lt;&gt;$H104,0,IF(BS104&lt;0,IF($J104=7,-$E104*$I104/12*0,IF($J104=8,-$E104*$I104/12*1,IF($J104=9,-$E104*$I104/12*2,IF($J104&gt;=10,-$E104*$I104/12*3,0))))))</f>
        <v>0</v>
      </c>
      <c r="BW104" s="1806">
        <f>IF($H104&lt;&gt;BX$5,0,IF(BX104&lt;0,IF(OR($J104=1,$J104=2,$J104=3,$J104=4,$J104=5,$J104=6,$J104=7,$J104=8,$J104=9,$J104=10),-$E104*$I104/12*3,IF($J104=11,-$E104*$I104/12*2,IF($J104=12,-$E104*$I104/12*1,0)))))+IF(BS$5&lt;&gt;$H104,0,IF(BS104&lt;0,IF($J104=10,-$E104*$I104/12*0,IF($J104=11,-$E104*$I104/12*1,IF($J104=12,-$E104*$I104/12*2,0)))))</f>
        <v>0</v>
      </c>
      <c r="BX104" s="1791">
        <f>IF(AND(BS104&lt;&gt;0,BS$5=$H104),-$I104*$E104-BS104,IF(BX$5=$H104,-$I104*$E104*(12-$J104+1)/12,0))</f>
        <v>0</v>
      </c>
      <c r="BY104" s="1808">
        <f>IF($H104&lt;&gt;CC$5,0,IF(CC104&lt;0,IF($J104=1,-$E104*$I104/12*3,IF($J104=2,-$E104*$I104/12*2,IF($J104=3,-$E104*$I104/12*1,0)))))+IF(BX$5&lt;&gt;$H104,0,IF(BX104&lt;0,IF($J104=1,-$E104*$I104/12*0,IF($J104=2,-$E104*$I104/12*1,IF($J104=3,-$E104*$I104/12*2,IF($J104&gt;=4,-$E104*$I104/12*3,0))))))</f>
        <v>0</v>
      </c>
      <c r="BZ104" s="1807">
        <f>IF($H104&lt;&gt;CC$5,0,IF(CC104&lt;0,IF(OR($J104=1,$J104=2,$J104=3,$J104=4),-$E104*$I104/12*3,IF($J104=5,-$E104*$I104/12*2,IF($J104=6,-$E104*$I104/12*1,0)))))+IF(BX$5&lt;&gt;$H104,0,IF(BX104&lt;0,IF($J104=4,-$E104*$I104/12*0,IF($J104=5,-$E104*$I104/12*1,IF($J104=6,-$E104*$I104/12*2,IF($J104&gt;=7,-$E104*$I104/12*3,0))))))</f>
        <v>0</v>
      </c>
      <c r="CA104" s="1807">
        <f>IF($H104&lt;&gt;CC$5,0,IF(CC104&lt;0,IF(OR($J104=1,$J104=2,$J104=3,$J104=4,$J104=5,$J104=6,$J104=7),-$E104*$I104/12*3,IF($J104=8,-$E104*$I104/12*2,IF($J104=9,-$E104*$I104/12*1,0)))))+IF(BX$5&lt;&gt;$H104,0,IF(BX104&lt;0,IF($J104=7,-$E104*$I104/12*0,IF($J104=8,-$E104*$I104/12*1,IF($J104=9,-$E104*$I104/12*2,IF($J104&gt;=10,-$E104*$I104/12*3,0))))))</f>
        <v>0</v>
      </c>
      <c r="CB104" s="1806">
        <f>IF($H104&lt;&gt;CC$5,0,IF(CC104&lt;0,IF(OR($J104=1,$J104=2,$J104=3,$J104=4,$J104=5,$J104=6,$J104=7,$J104=8,$J104=9,$J104=10),-$E104*$I104/12*3,IF($J104=11,-$E104*$I104/12*2,IF($J104=12,-$E104*$I104/12*1,0)))))+IF(BX$5&lt;&gt;$H104,0,IF(BX104&lt;0,IF($J104=10,-$E104*$I104/12*0,IF($J104=11,-$E104*$I104/12*1,IF($J104=12,-$E104*$I104/12*2,0)))))</f>
        <v>0</v>
      </c>
      <c r="CC104" s="1791">
        <f>IF(AND(BX104&lt;&gt;0,BX$5=$H104),-$I104*$E104-BX104,IF(CC$5=$H104,-$I104*$E104*(12-$J104+1)/12,0))</f>
        <v>0</v>
      </c>
      <c r="CD104" s="1808">
        <f>IF($H104&lt;&gt;CH$5,0,IF(CH104&lt;0,IF($J104=1,-$E104*$I104/12*3,IF($J104=2,-$E104*$I104/12*2,IF($J104=3,-$E104*$I104/12*1,0)))))+IF(CC$5&lt;&gt;$H104,0,IF(CC104&lt;0,IF($J104=1,-$E104*$I104/12*0,IF($J104=2,-$E104*$I104/12*1,IF($J104=3,-$E104*$I104/12*2,IF($J104&gt;=4,-$E104*$I104/12*3,0))))))</f>
        <v>0</v>
      </c>
      <c r="CE104" s="1807">
        <f>IF($H104&lt;&gt;CH$5,0,IF(CH104&lt;0,IF(OR($J104=1,$J104=2,$J104=3,$J104=4),-$E104*$I104/12*3,IF($J104=5,-$E104*$I104/12*2,IF($J104=6,-$E104*$I104/12*1,0)))))+IF(CC$5&lt;&gt;$H104,0,IF(CC104&lt;0,IF($J104=4,-$E104*$I104/12*0,IF($J104=5,-$E104*$I104/12*1,IF($J104=6,-$E104*$I104/12*2,IF($J104&gt;=7,-$E104*$I104/12*3,0))))))</f>
        <v>0</v>
      </c>
      <c r="CF104" s="1807">
        <f>IF($H104&lt;&gt;CH$5,0,IF(CH104&lt;0,IF(OR($J104=1,$J104=2,$J104=3,$J104=4,$J104=5,$J104=6,$J104=7),-$E104*$I104/12*3,IF($J104=8,-$E104*$I104/12*2,IF($J104=9,-$E104*$I104/12*1,0)))))+IF(CC$5&lt;&gt;$H104,0,IF(CC104&lt;0,IF($J104=7,-$E104*$I104/12*0,IF($J104=8,-$E104*$I104/12*1,IF($J104=9,-$E104*$I104/12*2,IF($J104&gt;=10,-$E104*$I104/12*3,0))))))</f>
        <v>0</v>
      </c>
      <c r="CG104" s="1806">
        <f>IF($H104&lt;&gt;CH$5,0,IF(CH104&lt;0,IF(OR($J104=1,$J104=2,$J104=3,$J104=4,$J104=5,$J104=6,$J104=7,$J104=8,$J104=9,$J104=10),-$E104*$I104/12*3,IF($J104=11,-$E104*$I104/12*2,IF($J104=12,-$E104*$I104/12*1,0)))))+IF(CC$5&lt;&gt;$H104,0,IF(CC104&lt;0,IF($J104=10,-$E104*$I104/12*0,IF($J104=11,-$E104*$I104/12*1,IF($J104=12,-$E104*$I104/12*2,0)))))</f>
        <v>0</v>
      </c>
      <c r="CH104" s="1791">
        <f>IF(AND(CC104&lt;&gt;0,CC$5=$H104),-$I104*$E104-CC104,IF(CH$5=$H104,-$I104*$E104*(12-$J104+1)/12,0))</f>
        <v>0</v>
      </c>
      <c r="CI104" s="1808">
        <f>IF($H104&lt;&gt;CM$5,0,IF(CM104&lt;0,IF($J104=1,-$E104*$I104/12*3,IF($J104=2,-$E104*$I104/12*2,IF($J104=3,-$E104*$I104/12*1,0)))))+IF(CH$5&lt;&gt;$H104,0,IF(CH104&lt;0,IF($J104=1,-$E104*$I104/12*0,IF($J104=2,-$E104*$I104/12*1,IF($J104=3,-$E104*$I104/12*2,IF($J104&gt;=4,-$E104*$I104/12*3,0))))))</f>
        <v>0</v>
      </c>
      <c r="CJ104" s="1807">
        <f>IF($H104&lt;&gt;CM$5,0,IF(CM104&lt;0,IF(OR($J104=1,$J104=2,$J104=3,$J104=4),-$E104*$I104/12*3,IF($J104=5,-$E104*$I104/12*2,IF($J104=6,-$E104*$I104/12*1,0)))))+IF(CH$5&lt;&gt;$H104,0,IF(CH104&lt;0,IF($J104=4,-$E104*$I104/12*0,IF($J104=5,-$E104*$I104/12*1,IF($J104=6,-$E104*$I104/12*2,IF($J104&gt;=7,-$E104*$I104/12*3,0))))))</f>
        <v>0</v>
      </c>
      <c r="CK104" s="1807">
        <f>IF($H104&lt;&gt;CM$5,0,IF(CM104&lt;0,IF(OR($J104=1,$J104=2,$J104=3,$J104=4,$J104=5,$J104=6,$J104=7),-$E104*$I104/12*3,IF($J104=8,-$E104*$I104/12*2,IF($J104=9,-$E104*$I104/12*1,0)))))+IF(CH$5&lt;&gt;$H104,0,IF(CH104&lt;0,IF($J104=7,-$E104*$I104/12*0,IF($J104=8,-$E104*$I104/12*1,IF($J104=9,-$E104*$I104/12*2,IF($J104&gt;=10,-$E104*$I104/12*3,0))))))</f>
        <v>0</v>
      </c>
      <c r="CL104" s="1806">
        <f>IF($H104&lt;&gt;CM$5,0,IF(CM104&lt;0,IF(OR($J104=1,$J104=2,$J104=3,$J104=4,$J104=5,$J104=6,$J104=7,$J104=8,$J104=9,$J104=10),-$E104*$I104/12*3,IF($J104=11,-$E104*$I104/12*2,IF($J104=12,-$E104*$I104/12*1,0)))))+IF(CH$5&lt;&gt;$H104,0,IF(CH104&lt;0,IF($J104=10,-$E104*$I104/12*0,IF($J104=11,-$E104*$I104/12*1,IF($J104=12,-$E104*$I104/12*2,0)))))</f>
        <v>0</v>
      </c>
      <c r="CM104" s="1791">
        <f>IF(AND(CH104&lt;&gt;0,CH$5=$H104),-$I104*$E104-CH104,IF(CM$5=$H104,-$I104*$E104*(12-$J104+1)/12,0))</f>
        <v>0</v>
      </c>
      <c r="CN104" s="1808">
        <f>IF($H104&lt;&gt;CR$5,0,IF(CR104&lt;0,IF($J104=1,-$E104*$I104/12*3,IF($J104=2,-$E104*$I104/12*2,IF($J104=3,-$E104*$I104/12*1,0)))))+IF(CM$5&lt;&gt;$H104,0,IF(CM104&lt;0,IF($J104=1,-$E104*$I104/12*0,IF($J104=2,-$E104*$I104/12*1,IF($J104=3,-$E104*$I104/12*2,IF($J104&gt;=4,-$E104*$I104/12*3,0))))))</f>
        <v>0</v>
      </c>
      <c r="CO104" s="1807">
        <f>IF($H104&lt;&gt;CR$5,0,IF(CR104&lt;0,IF(OR($J104=1,$J104=2,$J104=3,$J104=4),-$E104*$I104/12*3,IF($J104=5,-$E104*$I104/12*2,IF($J104=6,-$E104*$I104/12*1,0)))))+IF(CM$5&lt;&gt;$H104,0,IF(CM104&lt;0,IF($J104=4,-$E104*$I104/12*0,IF($J104=5,-$E104*$I104/12*1,IF($J104=6,-$E104*$I104/12*2,IF($J104&gt;=7,-$E104*$I104/12*3,0))))))</f>
        <v>0</v>
      </c>
      <c r="CP104" s="1807">
        <f>IF($H104&lt;&gt;CR$5,0,IF(CR104&lt;0,IF(OR($J104=1,$J104=2,$J104=3,$J104=4,$J104=5,$J104=6,$J104=7),-$E104*$I104/12*3,IF($J104=8,-$E104*$I104/12*2,IF($J104=9,-$E104*$I104/12*1,0)))))+IF(CM$5&lt;&gt;$H104,0,IF(CM104&lt;0,IF($J104=7,-$E104*$I104/12*0,IF($J104=8,-$E104*$I104/12*1,IF($J104=9,-$E104*$I104/12*2,IF($J104&gt;=10,-$E104*$I104/12*3,0))))))</f>
        <v>0</v>
      </c>
      <c r="CQ104" s="1806">
        <f>IF($H104&lt;&gt;CR$5,0,IF(CR104&lt;0,IF(OR($J104=1,$J104=2,$J104=3,$J104=4,$J104=5,$J104=6,$J104=7,$J104=8,$J104=9,$J104=10),-$E104*$I104/12*3,IF($J104=11,-$E104*$I104/12*2,IF($J104=12,-$E104*$I104/12*1,0)))))+IF(CM$5&lt;&gt;$H104,0,IF(CM104&lt;0,IF($J104=10,-$E104*$I104/12*0,IF($J104=11,-$E104*$I104/12*1,IF($J104=12,-$E104*$I104/12*2,0)))))</f>
        <v>0</v>
      </c>
      <c r="CR104" s="1791">
        <f>IF(AND(CM104&lt;&gt;0,CM$5=$H104),-$I104*$E104-CM104,IF(CR$5=$H104,-$I104*$E104*(12-$J104+1)/12,0))</f>
        <v>0</v>
      </c>
      <c r="CS104" s="1808">
        <f>IF($H104&lt;&gt;CW$5,0,IF(CW104&lt;0,IF($J104=1,-$E104*$I104/12*3,IF($J104=2,-$E104*$I104/12*2,IF($J104=3,-$E104*$I104/12*1,0)))))+IF(CR$5&lt;&gt;$H104,0,IF(CR104&lt;0,IF($J104=1,-$E104*$I104/12*0,IF($J104=2,-$E104*$I104/12*1,IF($J104=3,-$E104*$I104/12*2,IF($J104&gt;=4,-$E104*$I104/12*3,0))))))</f>
        <v>0</v>
      </c>
      <c r="CT104" s="1807">
        <f>IF($H104&lt;&gt;CW$5,0,IF(CW104&lt;0,IF(OR($J104=1,$J104=2,$J104=3,$J104=4),-$E104*$I104/12*3,IF($J104=5,-$E104*$I104/12*2,IF($J104=6,-$E104*$I104/12*1,0)))))+IF(CR$5&lt;&gt;$H104,0,IF(CR104&lt;0,IF($J104=4,-$E104*$I104/12*0,IF($J104=5,-$E104*$I104/12*1,IF($J104=6,-$E104*$I104/12*2,IF($J104&gt;=7,-$E104*$I104/12*3,0))))))</f>
        <v>0</v>
      </c>
      <c r="CU104" s="1807">
        <f>IF($H104&lt;&gt;CW$5,0,IF(CW104&lt;0,IF(OR($J104=1,$J104=2,$J104=3,$J104=4,$J104=5,$J104=6,$J104=7),-$E104*$I104/12*3,IF($J104=8,-$E104*$I104/12*2,IF($J104=9,-$E104*$I104/12*1,0)))))+IF(CR$5&lt;&gt;$H104,0,IF(CR104&lt;0,IF($J104=7,-$E104*$I104/12*0,IF($J104=8,-$E104*$I104/12*1,IF($J104=9,-$E104*$I104/12*2,IF($J104&gt;=10,-$E104*$I104/12*3,0))))))</f>
        <v>0</v>
      </c>
      <c r="CV104" s="1806">
        <f>IF($H104&lt;&gt;CW$5,0,IF(CW104&lt;0,IF(OR($J104=1,$J104=2,$J104=3,$J104=4,$J104=5,$J104=6,$J104=7,$J104=8,$J104=9,$J104=10),-$E104*$I104/12*3,IF($J104=11,-$E104*$I104/12*2,IF($J104=12,-$E104*$I104/12*1,0)))))+IF(CR$5&lt;&gt;$H104,0,IF(CR104&lt;0,IF($J104=10,-$E104*$I104/12*0,IF($J104=11,-$E104*$I104/12*1,IF($J104=12,-$E104*$I104/12*2,0)))))</f>
        <v>0</v>
      </c>
      <c r="CW104" s="1791">
        <f>IF(AND(CR104&lt;&gt;0,CR$5=$H104),-$I104*$E104-CR104,IF(CW$5=$H104,-$I104*$E104*(12-$J104+1)/12,0))</f>
        <v>0</v>
      </c>
      <c r="CX104" s="1808">
        <f>IF($H104&lt;&gt;DB$5,0,IF(DB104&lt;0,IF($J104=1,-$E104*$I104/12*3,IF($J104=2,-$E104*$I104/12*2,IF($J104=3,-$E104*$I104/12*1,0)))))+IF(CW$5&lt;&gt;$H104,0,IF(CW104&lt;0,IF($J104=1,-$E104*$I104/12*0,IF($J104=2,-$E104*$I104/12*1,IF($J104=3,-$E104*$I104/12*2,IF($J104&gt;=4,-$E104*$I104/12*3,0))))))</f>
        <v>0</v>
      </c>
      <c r="CY104" s="1807">
        <f>IF($H104&lt;&gt;DB$5,0,IF(DB104&lt;0,IF(OR($J104=1,$J104=2,$J104=3,$J104=4),-$E104*$I104/12*3,IF($J104=5,-$E104*$I104/12*2,IF($J104=6,-$E104*$I104/12*1,0)))))+IF(CW$5&lt;&gt;$H104,0,IF(CW104&lt;0,IF($J104=4,-$E104*$I104/12*0,IF($J104=5,-$E104*$I104/12*1,IF($J104=6,-$E104*$I104/12*2,IF($J104&gt;=7,-$E104*$I104/12*3,0))))))</f>
        <v>0</v>
      </c>
      <c r="CZ104" s="1807">
        <f>IF($H104&lt;&gt;DB$5,0,IF(DB104&lt;0,IF(OR($J104=1,$J104=2,$J104=3,$J104=4,$J104=5,$J104=6,$J104=7),-$E104*$I104/12*3,IF($J104=8,-$E104*$I104/12*2,IF($J104=9,-$E104*$I104/12*1,0)))))+IF(CW$5&lt;&gt;$H104,0,IF(CW104&lt;0,IF($J104=7,-$E104*$I104/12*0,IF($J104=8,-$E104*$I104/12*1,IF($J104=9,-$E104*$I104/12*2,IF($J104&gt;=10,-$E104*$I104/12*3,0))))))</f>
        <v>0</v>
      </c>
      <c r="DA104" s="1806">
        <f>IF($H104&lt;&gt;DB$5,0,IF(DB104&lt;0,IF(OR($J104=1,$J104=2,$J104=3,$J104=4,$J104=5,$J104=6,$J104=7,$J104=8,$J104=9,$J104=10),-$E104*$I104/12*3,IF($J104=11,-$E104*$I104/12*2,IF($J104=12,-$E104*$I104/12*1,0)))))+IF(CW$5&lt;&gt;$H104,0,IF(CW104&lt;0,IF($J104=10,-$E104*$I104/12*0,IF($J104=11,-$E104*$I104/12*1,IF($J104=12,-$E104*$I104/12*2,0)))))</f>
        <v>0</v>
      </c>
      <c r="DB104" s="1791">
        <f>IF(AND(CW104&lt;&gt;0,CW$5=$H104),-$I104*$E104-CW104,IF(DB$5=$H104,-$I104*$E104*(12-$J104+1)/12,0))</f>
        <v>0</v>
      </c>
      <c r="DC104" s="1808">
        <f>IF($H104&lt;&gt;DG$5,0,IF(DG104&lt;0,IF($J104=1,-$E104*$I104/12*3,IF($J104=2,-$E104*$I104/12*2,IF($J104=3,-$E104*$I104/12*1,0)))))+IF(DB$5&lt;&gt;$H104,0,IF(DB104&lt;0,IF($J104=1,-$E104*$I104/12*0,IF($J104=2,-$E104*$I104/12*1,IF($J104=3,-$E104*$I104/12*2,IF($J104&gt;=4,-$E104*$I104/12*3,0))))))</f>
        <v>0</v>
      </c>
      <c r="DD104" s="1807">
        <f>IF($H104&lt;&gt;DG$5,0,IF(DG104&lt;0,IF(OR($J104=1,$J104=2,$J104=3,$J104=4),-$E104*$I104/12*3,IF($J104=5,-$E104*$I104/12*2,IF($J104=6,-$E104*$I104/12*1,0)))))+IF(DB$5&lt;&gt;$H104,0,IF(DB104&lt;0,IF($J104=4,-$E104*$I104/12*0,IF($J104=5,-$E104*$I104/12*1,IF($J104=6,-$E104*$I104/12*2,IF($J104&gt;=7,-$E104*$I104/12*3,0))))))</f>
        <v>0</v>
      </c>
      <c r="DE104" s="1807">
        <f>IF($H104&lt;&gt;DG$5,0,IF(DG104&lt;0,IF(OR($J104=1,$J104=2,$J104=3,$J104=4,$J104=5,$J104=6,$J104=7),-$E104*$I104/12*3,IF($J104=8,-$E104*$I104/12*2,IF($J104=9,-$E104*$I104/12*1,0)))))+IF(DB$5&lt;&gt;$H104,0,IF(DB104&lt;0,IF($J104=7,-$E104*$I104/12*0,IF($J104=8,-$E104*$I104/12*1,IF($J104=9,-$E104*$I104/12*2,IF($J104&gt;=10,-$E104*$I104/12*3,0))))))</f>
        <v>0</v>
      </c>
      <c r="DF104" s="1806">
        <f>IF($H104&lt;&gt;DG$5,0,IF(DG104&lt;0,IF(OR($J104=1,$J104=2,$J104=3,$J104=4,$J104=5,$J104=6,$J104=7,$J104=8,$J104=9,$J104=10),-$E104*$I104/12*3,IF($J104=11,-$E104*$I104/12*2,IF($J104=12,-$E104*$I104/12*1,0)))))+IF(DB$5&lt;&gt;$H104,0,IF(DB104&lt;0,IF($J104=10,-$E104*$I104/12*0,IF($J104=11,-$E104*$I104/12*1,IF($J104=12,-$E104*$I104/12*2,0)))))</f>
        <v>0</v>
      </c>
      <c r="DG104" s="1791">
        <f>IF(AND(DB104&lt;&gt;0,DB$5=$H104),-$I104*$E104-DB104,IF(DG$5=$H104,-$I104*$E104*(12-$J104+1)/12,0))</f>
        <v>0</v>
      </c>
      <c r="DH104" s="1808">
        <f>IF($H104&lt;&gt;DL$5,0,IF(DL104&lt;0,IF($J104=1,-$E104*$I104/12*3,IF($J104=2,-$E104*$I104/12*2,IF($J104=3,-$E104*$I104/12*1,0)))))+IF(DG$5&lt;&gt;$H104,0,IF(DG104&lt;0,IF($J104=1,-$E104*$I104/12*0,IF($J104=2,-$E104*$I104/12*1,IF($J104=3,-$E104*$I104/12*2,IF($J104&gt;=4,-$E104*$I104/12*3,0))))))</f>
        <v>0</v>
      </c>
      <c r="DI104" s="1807">
        <f>IF($H104&lt;&gt;DL$5,0,IF(DL104&lt;0,IF(OR($J104=1,$J104=2,$J104=3,$J104=4),-$E104*$I104/12*3,IF($J104=5,-$E104*$I104/12*2,IF($J104=6,-$E104*$I104/12*1,0)))))+IF(DG$5&lt;&gt;$H104,0,IF(DG104&lt;0,IF($J104=4,-$E104*$I104/12*0,IF($J104=5,-$E104*$I104/12*1,IF($J104=6,-$E104*$I104/12*2,IF($J104&gt;=7,-$E104*$I104/12*3,0))))))</f>
        <v>0</v>
      </c>
      <c r="DJ104" s="1807">
        <f>IF($H104&lt;&gt;DL$5,0,IF(DL104&lt;0,IF(OR($J104=1,$J104=2,$J104=3,$J104=4,$J104=5,$J104=6,$J104=7),-$E104*$I104/12*3,IF($J104=8,-$E104*$I104/12*2,IF($J104=9,-$E104*$I104/12*1,0)))))+IF(DG$5&lt;&gt;$H104,0,IF(DG104&lt;0,IF($J104=7,-$E104*$I104/12*0,IF($J104=8,-$E104*$I104/12*1,IF($J104=9,-$E104*$I104/12*2,IF($J104&gt;=10,-$E104*$I104/12*3,0))))))</f>
        <v>0</v>
      </c>
      <c r="DK104" s="1806">
        <f>IF($H104&lt;&gt;DL$5,0,IF(DL104&lt;0,IF(OR($J104=1,$J104=2,$J104=3,$J104=4,$J104=5,$J104=6,$J104=7,$J104=8,$J104=9,$J104=10),-$E104*$I104/12*3,IF($J104=11,-$E104*$I104/12*2,IF($J104=12,-$E104*$I104/12*1,0)))))+IF(DG$5&lt;&gt;$H104,0,IF(DG104&lt;0,IF($J104=10,-$E104*$I104/12*0,IF($J104=11,-$E104*$I104/12*1,IF($J104=12,-$E104*$I104/12*2,0)))))</f>
        <v>0</v>
      </c>
      <c r="DL104" s="1791">
        <f>IF(AND(DG104&lt;&gt;0,DG$5=$H104),-$I104*$E104-DG104,IF(DL$5=$H104,-$I104*$E104*(12-$J104+1)/12,0))</f>
        <v>0</v>
      </c>
      <c r="DM104" s="1808">
        <f>IF($H104&lt;&gt;DQ$5,0,IF(DQ104&lt;0,IF($J104=1,-$E104*$I104/12*3,IF($J104=2,-$E104*$I104/12*2,IF($J104=3,-$E104*$I104/12*1,0)))))+IF(DL$5&lt;&gt;$H104,0,IF(DL104&lt;0,IF($J104=1,-$E104*$I104/12*0,IF($J104=2,-$E104*$I104/12*1,IF($J104=3,-$E104*$I104/12*2,IF($J104&gt;=4,-$E104*$I104/12*3,0))))))</f>
        <v>0</v>
      </c>
      <c r="DN104" s="1807">
        <f>IF($H104&lt;&gt;DQ$5,0,IF(DQ104&lt;0,IF(OR($J104=1,$J104=2,$J104=3,$J104=4),-$E104*$I104/12*3,IF($J104=5,-$E104*$I104/12*2,IF($J104=6,-$E104*$I104/12*1,0)))))+IF(DL$5&lt;&gt;$H104,0,IF(DL104&lt;0,IF($J104=4,-$E104*$I104/12*0,IF($J104=5,-$E104*$I104/12*1,IF($J104=6,-$E104*$I104/12*2,IF($J104&gt;=7,-$E104*$I104/12*3,0))))))</f>
        <v>0</v>
      </c>
      <c r="DO104" s="1807">
        <f>IF($H104&lt;&gt;DQ$5,0,IF(DQ104&lt;0,IF(OR($J104=1,$J104=2,$J104=3,$J104=4,$J104=5,$J104=6,$J104=7),-$E104*$I104/12*3,IF($J104=8,-$E104*$I104/12*2,IF($J104=9,-$E104*$I104/12*1,0)))))+IF(DL$5&lt;&gt;$H104,0,IF(DL104&lt;0,IF($J104=7,-$E104*$I104/12*0,IF($J104=8,-$E104*$I104/12*1,IF($J104=9,-$E104*$I104/12*2,IF($J104&gt;=10,-$E104*$I104/12*3,0))))))</f>
        <v>0</v>
      </c>
      <c r="DP104" s="1806">
        <f>IF($H104&lt;&gt;DQ$5,0,IF(DQ104&lt;0,IF(OR($J104=1,$J104=2,$J104=3,$J104=4,$J104=5,$J104=6,$J104=7,$J104=8,$J104=9,$J104=10),-$E104*$I104/12*3,IF($J104=11,-$E104*$I104/12*2,IF($J104=12,-$E104*$I104/12*1,0)))))+IF(DL$5&lt;&gt;$H104,0,IF(DL104&lt;0,IF($J104=10,-$E104*$I104/12*0,IF($J104=11,-$E104*$I104/12*1,IF($J104=12,-$E104*$I104/12*2,0)))))</f>
        <v>0</v>
      </c>
      <c r="DQ104" s="1791">
        <f>IF(AND(DL104&lt;&gt;0,DL$5=$H104),-$I104*$E104-DL104,IF(DQ$5=$H104,-$I104*$E104*(12-$J104+1)/12,0))</f>
        <v>0</v>
      </c>
      <c r="DR104" s="1808">
        <f>IF($H104&lt;&gt;DV$5,0,IF(DV104&lt;0,IF($J104=1,-$E104*$I104/12*3,IF($J104=2,-$E104*$I104/12*2,IF($J104=3,-$E104*$I104/12*1,0)))))+IF(DQ$5&lt;&gt;$H104,0,IF(DQ104&lt;0,IF($J104=1,-$E104*$I104/12*0,IF($J104=2,-$E104*$I104/12*1,IF($J104=3,-$E104*$I104/12*2,IF($J104&gt;=4,-$E104*$I104/12*3,0))))))</f>
        <v>-0.26133333333333336</v>
      </c>
      <c r="DS104" s="1807">
        <f>IF($H104&lt;&gt;DV$5,0,IF(DV104&lt;0,IF(OR($J104=1,$J104=2,$J104=3,$J104=4),-$E104*$I104/12*3,IF($J104=5,-$E104*$I104/12*2,IF($J104=6,-$E104*$I104/12*1,0)))))+IF(DQ$5&lt;&gt;$H104,0,IF(DQ104&lt;0,IF($J104=4,-$E104*$I104/12*0,IF($J104=5,-$E104*$I104/12*1,IF($J104=6,-$E104*$I104/12*2,IF($J104&gt;=7,-$E104*$I104/12*3,0))))))</f>
        <v>-0.39200000000000002</v>
      </c>
      <c r="DT104" s="1807">
        <f>IF($H104&lt;&gt;DV$5,0,IF(DV104&lt;0,IF(OR($J104=1,$J104=2,$J104=3,$J104=4,$J104=5,$J104=6,$J104=7),-$E104*$I104/12*3,IF($J104=8,-$E104*$I104/12*2,IF($J104=9,-$E104*$I104/12*1,0)))))+IF(DQ$5&lt;&gt;$H104,0,IF(DQ104&lt;0,IF($J104=7,-$E104*$I104/12*0,IF($J104=8,-$E104*$I104/12*1,IF($J104=9,-$E104*$I104/12*2,IF($J104&gt;=10,-$E104*$I104/12*3,0))))))</f>
        <v>-0.39200000000000002</v>
      </c>
      <c r="DU104" s="1806">
        <f>IF($H104&lt;&gt;DV$5,0,IF(DV104&lt;0,IF(OR($J104=1,$J104=2,$J104=3,$J104=4,$J104=5,$J104=6,$J104=7,$J104=8,$J104=9,$J104=10),-$E104*$I104/12*3,IF($J104=11,-$E104*$I104/12*2,IF($J104=12,-$E104*$I104/12*1,0)))))+IF(DQ$5&lt;&gt;$H104,0,IF(DQ104&lt;0,IF($J104=10,-$E104*$I104/12*0,IF($J104=11,-$E104*$I104/12*1,IF($J104=12,-$E104*$I104/12*2,0)))))</f>
        <v>-0.39200000000000002</v>
      </c>
      <c r="DV104" s="1791">
        <f>IF(AND(DQ104&lt;&gt;0,DQ$5=$H104),-$I104*$E104-DQ104,IF(DV$5=$H104,-$I104*$E104*(12-$J104+1)/12,0))</f>
        <v>-1.4373333333333334</v>
      </c>
    </row>
    <row r="105" spans="1:126">
      <c r="A105" s="455"/>
      <c r="B105" s="455"/>
      <c r="C105" s="1723" t="s">
        <v>1042</v>
      </c>
      <c r="D105" s="455"/>
      <c r="E105" s="1817">
        <f>IF(F105=0,G105,F105)</f>
        <v>20</v>
      </c>
      <c r="F105" s="1435">
        <v>20</v>
      </c>
      <c r="G105" s="1435">
        <v>20</v>
      </c>
      <c r="H105" s="1350">
        <v>2023</v>
      </c>
      <c r="I105" s="1335">
        <v>3.2199999999999999E-2</v>
      </c>
      <c r="J105" s="1343">
        <v>12</v>
      </c>
      <c r="K105" s="1792"/>
      <c r="L105" s="1810">
        <f t="shared" si="1298"/>
        <v>0</v>
      </c>
      <c r="M105" s="1791">
        <f t="shared" si="1298"/>
        <v>0</v>
      </c>
      <c r="N105" s="1808">
        <f>IF(R105=0,0,IF(R105&lt;0,IF($J105=3,R105,IF($J105=2,R105,IF($J105=1,R105,0)))))</f>
        <v>0</v>
      </c>
      <c r="O105" s="1807">
        <f>IF(R105=0,0,IF(R105&lt;0,IF($J105=6,R105,IF($J105=5,R105,IF($J105=4,R105,0)))))</f>
        <v>0</v>
      </c>
      <c r="P105" s="1807">
        <f>IF(R105=0,0,IF(R105&lt;0,IF($J105=9,R105,IF($J105=8,R105,IF($J105=7,R105,0)))))</f>
        <v>0</v>
      </c>
      <c r="Q105" s="1806">
        <f>IF(R105=0,0,IF(R105&lt;0,IF($J105=12,R105,IF($J105=11,R105,IF($J105=10,R105,0)))))</f>
        <v>0</v>
      </c>
      <c r="R105" s="1791">
        <f>IF(R$5=$H105,-$E105,0)</f>
        <v>0</v>
      </c>
      <c r="S105" s="1808">
        <f>IF(W105=0,0,IF(W105&lt;0,IF($J105=3,W105,IF($J105=2,W105,IF($J105=1,W105,0)))))</f>
        <v>0</v>
      </c>
      <c r="T105" s="1807">
        <f>IF(W105=0,0,IF(W105&lt;0,IF($J105=6,W105,IF($J105=5,W105,IF($J105=4,W105,0)))))</f>
        <v>0</v>
      </c>
      <c r="U105" s="1807">
        <f>IF(W105=0,0,IF(W105&lt;0,IF($J105=9,W105,IF($J105=8,W105,IF($J105=7,W105,0)))))</f>
        <v>0</v>
      </c>
      <c r="V105" s="1806">
        <f>IF(W105=0,0,IF(W105&lt;0,IF($J105=12,W105,IF($J105=11,W105,IF($J105=10,W105,0)))))</f>
        <v>0</v>
      </c>
      <c r="W105" s="1791">
        <f>IF(W$5=$H105,-$E105,0)</f>
        <v>0</v>
      </c>
      <c r="X105" s="1808">
        <f>IF(AB105=0,0,IF(AB105&lt;0,IF($J105=3,AB105,IF($J105=2,AB105,IF($J105=1,AB105,0)))))</f>
        <v>0</v>
      </c>
      <c r="Y105" s="1807">
        <f>IF(AB105=0,0,IF(AB105&lt;0,IF($J105=6,AB105,IF($J105=5,AB105,IF($J105=4,AB105,0)))))</f>
        <v>0</v>
      </c>
      <c r="Z105" s="1807">
        <f>IF(AB105=0,0,IF(AB105&lt;0,IF($J105=9,AB105,IF($J105=8,AB105,IF($J105=7,AB105,0)))))</f>
        <v>0</v>
      </c>
      <c r="AA105" s="1806">
        <f>IF(AB105=0,0,IF(AB105&lt;0,IF($J105=12,AB105,IF($J105=11,AB105,IF($J105=10,AB105,0)))))</f>
        <v>0</v>
      </c>
      <c r="AB105" s="1791">
        <f>IF(AB$5=$H105,-$E105,0)</f>
        <v>0</v>
      </c>
      <c r="AC105" s="1808">
        <f>IF(AG105=0,0,IF(AG105&lt;0,IF($J105=3,AG105,IF($J105=2,AG105,IF($J105=1,AG105,0)))))</f>
        <v>0</v>
      </c>
      <c r="AD105" s="1807">
        <f>IF(AG105=0,0,IF(AG105&lt;0,IF($J105=6,AG105,IF($J105=5,AG105,IF($J105=4,AG105,0)))))</f>
        <v>0</v>
      </c>
      <c r="AE105" s="1807">
        <f>IF(AG105=0,0,IF(AG105&lt;0,IF($J105=9,AG105,IF($J105=8,AG105,IF($J105=7,AG105,0)))))</f>
        <v>0</v>
      </c>
      <c r="AF105" s="1806">
        <f>IF(AG105=0,0,IF(AG105&lt;0,IF($J105=12,AG105,IF($J105=11,AG105,IF($J105=10,AG105,0)))))</f>
        <v>0</v>
      </c>
      <c r="AG105" s="1791">
        <f>IF(AG$5=$H105,-$E105,0)</f>
        <v>0</v>
      </c>
      <c r="AH105" s="1808">
        <f>IF(AL105=0,0,IF(AL105&lt;0,IF($J105=3,AL105,IF($J105=2,AL105,IF($J105=1,AL105,0)))))</f>
        <v>0</v>
      </c>
      <c r="AI105" s="1807">
        <f>IF(AL105=0,0,IF(AL105&lt;0,IF($J105=6,AL105,IF($J105=5,AL105,IF($J105=4,AL105,0)))))</f>
        <v>0</v>
      </c>
      <c r="AJ105" s="1807">
        <f>IF(AL105=0,0,IF(AL105&lt;0,IF($J105=9,AL105,IF($J105=8,AL105,IF($J105=7,AL105,0)))))</f>
        <v>0</v>
      </c>
      <c r="AK105" s="1806">
        <f>IF(AL105=0,0,IF(AL105&lt;0,IF($J105=12,AL105,IF($J105=11,AL105,IF($J105=10,AL105,0)))))</f>
        <v>0</v>
      </c>
      <c r="AL105" s="1791">
        <f>IF(AL$5=$H105,-$E105,0)</f>
        <v>0</v>
      </c>
      <c r="AM105" s="1808">
        <f>IF(AQ105=0,0,IF(AQ105&lt;0,IF($J105=3,AQ105,IF($J105=2,AQ105,IF($J105=1,AQ105,0)))))</f>
        <v>0</v>
      </c>
      <c r="AN105" s="1807">
        <f>IF(AQ105=0,0,IF(AQ105&lt;0,IF($J105=6,AQ105,IF($J105=5,AQ105,IF($J105=4,AQ105,0)))))</f>
        <v>0</v>
      </c>
      <c r="AO105" s="1807">
        <f>IF(AQ105=0,0,IF(AQ105&lt;0,IF($J105=9,AQ105,IF($J105=8,AQ105,IF($J105=7,AQ105,0)))))</f>
        <v>0</v>
      </c>
      <c r="AP105" s="1806">
        <f>IF(AQ105=0,0,IF(AQ105&lt;0,IF($J105=12,AQ105,IF($J105=11,AQ105,IF($J105=10,AQ105,0)))))</f>
        <v>0</v>
      </c>
      <c r="AQ105" s="1791">
        <f>IF(AQ$5=$H105,-$E105,0)</f>
        <v>0</v>
      </c>
      <c r="AR105" s="1808">
        <f>IF(AV105=0,0,IF(AV105&lt;0,IF($J105=3,AV105,IF($J105=2,AV105,IF($J105=1,AV105,0)))))</f>
        <v>0</v>
      </c>
      <c r="AS105" s="1807">
        <f>IF(AV105=0,0,IF(AV105&lt;0,IF($J105=6,AV105,IF($J105=5,AV105,IF($J105=4,AV105,0)))))</f>
        <v>0</v>
      </c>
      <c r="AT105" s="1807">
        <f>IF(AV105=0,0,IF(AV105&lt;0,IF($J105=9,AV105,IF($J105=8,AV105,IF($J105=7,AV105,0)))))</f>
        <v>0</v>
      </c>
      <c r="AU105" s="1806">
        <f>IF(AV105=0,0,IF(AV105&lt;0,IF($J105=12,AV105,IF($J105=11,AV105,IF($J105=10,AV105,0)))))</f>
        <v>0</v>
      </c>
      <c r="AV105" s="1791">
        <f>IF(AV$5=$H105,-$E105,0)</f>
        <v>0</v>
      </c>
      <c r="AW105" s="1808">
        <f>IF(BA105=0,0,IF(BA105&lt;0,IF($J105=3,BA105,IF($J105=2,BA105,IF($J105=1,BA105,0)))))</f>
        <v>0</v>
      </c>
      <c r="AX105" s="1807">
        <f>IF(BA105=0,0,IF(BA105&lt;0,IF($J105=6,BA105,IF($J105=5,BA105,IF($J105=4,BA105,0)))))</f>
        <v>0</v>
      </c>
      <c r="AY105" s="1807">
        <f>IF(BA105=0,0,IF(BA105&lt;0,IF($J105=9,BA105,IF($J105=8,BA105,IF($J105=7,BA105,0)))))</f>
        <v>0</v>
      </c>
      <c r="AZ105" s="1806">
        <f>IF(BA105=0,0,IF(BA105&lt;0,IF($J105=12,BA105,IF($J105=11,BA105,IF($J105=10,BA105,0)))))</f>
        <v>0</v>
      </c>
      <c r="BA105" s="1791">
        <f>IF(BA$5=$H105,-$E105,0)</f>
        <v>0</v>
      </c>
      <c r="BB105" s="1808">
        <f>IF(BF105=0,0,IF(BF105&lt;0,IF($J105=3,BF105,IF($J105=2,BF105,IF($J105=1,BF105,0)))))</f>
        <v>0</v>
      </c>
      <c r="BC105" s="1807">
        <f>IF(BF105=0,0,IF(BF105&lt;0,IF($J105=6,BF105,IF($J105=5,BF105,IF($J105=4,BF105,0)))))</f>
        <v>0</v>
      </c>
      <c r="BD105" s="1807">
        <f>IF(BF105=0,0,IF(BF105&lt;0,IF($J105=9,BF105,IF($J105=8,BF105,IF($J105=7,BF105,0)))))</f>
        <v>0</v>
      </c>
      <c r="BE105" s="1806">
        <f>IF(BF105=0,0,IF(BF105&lt;0,IF($J105=12,BF105,IF($J105=11,BF105,IF($J105=10,BF105,0)))))</f>
        <v>0</v>
      </c>
      <c r="BF105" s="1791">
        <f>IF(BF$5=$H105,-$E105,0)</f>
        <v>0</v>
      </c>
      <c r="BG105" s="1808">
        <f>IF(BK105=0,0,IF(BK105&lt;0,IF($J105=3,BK105,IF($J105=2,BK105,IF($J105=1,BK105,0)))))</f>
        <v>0</v>
      </c>
      <c r="BH105" s="1807">
        <f>IF(BK105=0,0,IF(BK105&lt;0,IF($J105=6,BK105,IF($J105=5,BK105,IF($J105=4,BK105,0)))))</f>
        <v>0</v>
      </c>
      <c r="BI105" s="1807">
        <f>IF(BK105=0,0,IF(BK105&lt;0,IF($J105=9,BK105,IF($J105=8,BK105,IF($J105=7,BK105,0)))))</f>
        <v>0</v>
      </c>
      <c r="BJ105" s="1806">
        <f>IF(BK105=0,0,IF(BK105&lt;0,IF($J105=12,BK105,IF($J105=11,BK105,IF($J105=10,BK105,0)))))</f>
        <v>0</v>
      </c>
      <c r="BK105" s="1791">
        <f>IF(BK$5=$H105,-$E105,0)</f>
        <v>0</v>
      </c>
      <c r="BL105" s="1808">
        <f>IF(BP105=0,0,IF(BP105&lt;0,IF($J105=3,BP105,IF($J105=2,BP105,IF($J105=1,BP105,0)))))</f>
        <v>0</v>
      </c>
      <c r="BM105" s="1807">
        <f>IF(BP105=0,0,IF(BP105&lt;0,IF($J105=6,BP105,IF($J105=5,BP105,IF($J105=4,BP105,0)))))</f>
        <v>0</v>
      </c>
      <c r="BN105" s="1807">
        <f>IF(BP105=0,0,IF(BP105&lt;0,IF($J105=9,BP105,IF($J105=8,BP105,IF($J105=7,BP105,0)))))</f>
        <v>0</v>
      </c>
      <c r="BO105" s="1806">
        <f>IF(BP105=0,0,IF(BP105&lt;0,IF($J105=12,BP105,IF($J105=11,BP105,IF($J105=10,BP105,0)))))</f>
        <v>0</v>
      </c>
      <c r="BP105" s="1791">
        <f>IF(BP$5=$H105,-$E105,0)</f>
        <v>0</v>
      </c>
      <c r="BQ105" s="1827"/>
      <c r="BR105" s="1791">
        <f t="shared" ref="BR105" si="1300">IF(AND(BQ105&lt;&gt;0,BQ$5=$H105),-$I105*$E105-BQ105,IF(BR$5=$H105,-$I105*$E105*(12-$J105+1)/12,0))</f>
        <v>0</v>
      </c>
      <c r="BS105" s="1791">
        <f t="shared" ref="BS105" si="1301">IF(AND(BR105&lt;&gt;0,BR$5=$H105),-$I105*$E105-BR105,IF(BS$5=$H105,-$I105*$E105*(12-$J105+1)/12,0))</f>
        <v>0</v>
      </c>
      <c r="BT105" s="1808">
        <f>IF($H105&lt;&gt;BX$5,0,IF(BX105&lt;0,IF($J105=1,-$E105*$I105/12*3,IF($J105=2,-$E105*$I105/12*2,IF($J105=3,-$E105*$I105/12*1,0)))))+IF(BS$5&lt;&gt;$H105,0,IF(BS105&lt;0,IF($J105=1,-$E105*$I105/12*0,IF($J105=2,-$E105*$I105/12*1,IF($J105=3,-$E105*$I105/12*2,IF($J105&gt;=4,-$E105*$I105/12*3,0))))))</f>
        <v>0</v>
      </c>
      <c r="BU105" s="1807">
        <f>IF($H105&lt;&gt;BX$5,0,IF(BX105&lt;0,IF(OR($J105=1,$J105=2,$J105=3,$J105=4),-$E105*$I105/12*3,IF($J105=5,-$E105*$I105/12*2,IF($J105=6,-$E105*$I105/12*1,0)))))+IF(BS$5&lt;&gt;$H105,0,IF(BS105&lt;0,IF($J105=4,-$E105*$I105/12*0,IF($J105=5,-$E105*$I105/12*1,IF($J105=6,-$E105*$I105/12*2,IF($J105&gt;=7,-$E105*$I105/12*3,0))))))</f>
        <v>0</v>
      </c>
      <c r="BV105" s="1807">
        <f>IF($H105&lt;&gt;BX$5,0,IF(BX105&lt;0,IF(OR($J105=1,$J105=2,$J105=3,$J105=4,$J105=5,$J105=6,$J105=7),-$E105*$I105/12*3,IF($J105=8,-$E105*$I105/12*2,IF($J105=9,-$E105*$I105/12*1,0)))))+IF(BS$5&lt;&gt;$H105,0,IF(BS105&lt;0,IF($J105=7,-$E105*$I105/12*0,IF($J105=8,-$E105*$I105/12*1,IF($J105=9,-$E105*$I105/12*2,IF($J105&gt;=10,-$E105*$I105/12*3,0))))))</f>
        <v>0</v>
      </c>
      <c r="BW105" s="1806">
        <f>IF($H105&lt;&gt;BX$5,0,IF(BX105&lt;0,IF(OR($J105=1,$J105=2,$J105=3,$J105=4,$J105=5,$J105=6,$J105=7,$J105=8,$J105=9,$J105=10),-$E105*$I105/12*3,IF($J105=11,-$E105*$I105/12*2,IF($J105=12,-$E105*$I105/12*1,0)))))+IF(BS$5&lt;&gt;$H105,0,IF(BS105&lt;0,IF($J105=10,-$E105*$I105/12*0,IF($J105=11,-$E105*$I105/12*1,IF($J105=12,-$E105*$I105/12*2,0)))))</f>
        <v>0</v>
      </c>
      <c r="BX105" s="1791">
        <f>IF(AND(BS105&lt;&gt;0,BS$5=$H105),-$I105*$E105-BS105,IF(BX$5=$H105,-$I105*$E105*(12-$J105+1)/12,0))</f>
        <v>0</v>
      </c>
      <c r="BY105" s="1808">
        <f>IF($H105&lt;&gt;CC$5,0,IF(CC105&lt;0,IF($J105=1,-$E105*$I105/12*3,IF($J105=2,-$E105*$I105/12*2,IF($J105=3,-$E105*$I105/12*1,0)))))+IF(BX$5&lt;&gt;$H105,0,IF(BX105&lt;0,IF($J105=1,-$E105*$I105/12*0,IF($J105=2,-$E105*$I105/12*1,IF($J105=3,-$E105*$I105/12*2,IF($J105&gt;=4,-$E105*$I105/12*3,0))))))</f>
        <v>0</v>
      </c>
      <c r="BZ105" s="1807">
        <f>IF($H105&lt;&gt;CC$5,0,IF(CC105&lt;0,IF(OR($J105=1,$J105=2,$J105=3,$J105=4),-$E105*$I105/12*3,IF($J105=5,-$E105*$I105/12*2,IF($J105=6,-$E105*$I105/12*1,0)))))+IF(BX$5&lt;&gt;$H105,0,IF(BX105&lt;0,IF($J105=4,-$E105*$I105/12*0,IF($J105=5,-$E105*$I105/12*1,IF($J105=6,-$E105*$I105/12*2,IF($J105&gt;=7,-$E105*$I105/12*3,0))))))</f>
        <v>0</v>
      </c>
      <c r="CA105" s="1807">
        <f>IF($H105&lt;&gt;CC$5,0,IF(CC105&lt;0,IF(OR($J105=1,$J105=2,$J105=3,$J105=4,$J105=5,$J105=6,$J105=7),-$E105*$I105/12*3,IF($J105=8,-$E105*$I105/12*2,IF($J105=9,-$E105*$I105/12*1,0)))))+IF(BX$5&lt;&gt;$H105,0,IF(BX105&lt;0,IF($J105=7,-$E105*$I105/12*0,IF($J105=8,-$E105*$I105/12*1,IF($J105=9,-$E105*$I105/12*2,IF($J105&gt;=10,-$E105*$I105/12*3,0))))))</f>
        <v>0</v>
      </c>
      <c r="CB105" s="1806">
        <f>IF($H105&lt;&gt;CC$5,0,IF(CC105&lt;0,IF(OR($J105=1,$J105=2,$J105=3,$J105=4,$J105=5,$J105=6,$J105=7,$J105=8,$J105=9,$J105=10),-$E105*$I105/12*3,IF($J105=11,-$E105*$I105/12*2,IF($J105=12,-$E105*$I105/12*1,0)))))+IF(BX$5&lt;&gt;$H105,0,IF(BX105&lt;0,IF($J105=10,-$E105*$I105/12*0,IF($J105=11,-$E105*$I105/12*1,IF($J105=12,-$E105*$I105/12*2,0)))))</f>
        <v>0</v>
      </c>
      <c r="CC105" s="1791">
        <f>IF(AND(BX105&lt;&gt;0,BX$5=$H105),-$I105*$E105-BX105,IF(CC$5=$H105,-$I105*$E105*(12-$J105+1)/12,0))</f>
        <v>0</v>
      </c>
      <c r="CD105" s="1808">
        <f>IF($H105&lt;&gt;CH$5,0,IF(CH105&lt;0,IF($J105=1,-$E105*$I105/12*3,IF($J105=2,-$E105*$I105/12*2,IF($J105=3,-$E105*$I105/12*1,0)))))+IF(CC$5&lt;&gt;$H105,0,IF(CC105&lt;0,IF($J105=1,-$E105*$I105/12*0,IF($J105=2,-$E105*$I105/12*1,IF($J105=3,-$E105*$I105/12*2,IF($J105&gt;=4,-$E105*$I105/12*3,0))))))</f>
        <v>0</v>
      </c>
      <c r="CE105" s="1807">
        <f>IF($H105&lt;&gt;CH$5,0,IF(CH105&lt;0,IF(OR($J105=1,$J105=2,$J105=3,$J105=4),-$E105*$I105/12*3,IF($J105=5,-$E105*$I105/12*2,IF($J105=6,-$E105*$I105/12*1,0)))))+IF(CC$5&lt;&gt;$H105,0,IF(CC105&lt;0,IF($J105=4,-$E105*$I105/12*0,IF($J105=5,-$E105*$I105/12*1,IF($J105=6,-$E105*$I105/12*2,IF($J105&gt;=7,-$E105*$I105/12*3,0))))))</f>
        <v>0</v>
      </c>
      <c r="CF105" s="1807">
        <f>IF($H105&lt;&gt;CH$5,0,IF(CH105&lt;0,IF(OR($J105=1,$J105=2,$J105=3,$J105=4,$J105=5,$J105=6,$J105=7),-$E105*$I105/12*3,IF($J105=8,-$E105*$I105/12*2,IF($J105=9,-$E105*$I105/12*1,0)))))+IF(CC$5&lt;&gt;$H105,0,IF(CC105&lt;0,IF($J105=7,-$E105*$I105/12*0,IF($J105=8,-$E105*$I105/12*1,IF($J105=9,-$E105*$I105/12*2,IF($J105&gt;=10,-$E105*$I105/12*3,0))))))</f>
        <v>0</v>
      </c>
      <c r="CG105" s="1806">
        <f>IF($H105&lt;&gt;CH$5,0,IF(CH105&lt;0,IF(OR($J105=1,$J105=2,$J105=3,$J105=4,$J105=5,$J105=6,$J105=7,$J105=8,$J105=9,$J105=10),-$E105*$I105/12*3,IF($J105=11,-$E105*$I105/12*2,IF($J105=12,-$E105*$I105/12*1,0)))))+IF(CC$5&lt;&gt;$H105,0,IF(CC105&lt;0,IF($J105=10,-$E105*$I105/12*0,IF($J105=11,-$E105*$I105/12*1,IF($J105=12,-$E105*$I105/12*2,0)))))</f>
        <v>0</v>
      </c>
      <c r="CH105" s="1791">
        <f>IF(AND(CC105&lt;&gt;0,CC$5=$H105),-$I105*$E105-CC105,IF(CH$5=$H105,-$I105*$E105*(12-$J105+1)/12,0))</f>
        <v>0</v>
      </c>
      <c r="CI105" s="1808">
        <f>IF($H105&lt;&gt;CM$5,0,IF(CM105&lt;0,IF($J105=1,-$E105*$I105/12*3,IF($J105=2,-$E105*$I105/12*2,IF($J105=3,-$E105*$I105/12*1,0)))))+IF(CH$5&lt;&gt;$H105,0,IF(CH105&lt;0,IF($J105=1,-$E105*$I105/12*0,IF($J105=2,-$E105*$I105/12*1,IF($J105=3,-$E105*$I105/12*2,IF($J105&gt;=4,-$E105*$I105/12*3,0))))))</f>
        <v>0</v>
      </c>
      <c r="CJ105" s="1807">
        <f>IF($H105&lt;&gt;CM$5,0,IF(CM105&lt;0,IF(OR($J105=1,$J105=2,$J105=3,$J105=4),-$E105*$I105/12*3,IF($J105=5,-$E105*$I105/12*2,IF($J105=6,-$E105*$I105/12*1,0)))))+IF(CH$5&lt;&gt;$H105,0,IF(CH105&lt;0,IF($J105=4,-$E105*$I105/12*0,IF($J105=5,-$E105*$I105/12*1,IF($J105=6,-$E105*$I105/12*2,IF($J105&gt;=7,-$E105*$I105/12*3,0))))))</f>
        <v>0</v>
      </c>
      <c r="CK105" s="1807">
        <f>IF($H105&lt;&gt;CM$5,0,IF(CM105&lt;0,IF(OR($J105=1,$J105=2,$J105=3,$J105=4,$J105=5,$J105=6,$J105=7),-$E105*$I105/12*3,IF($J105=8,-$E105*$I105/12*2,IF($J105=9,-$E105*$I105/12*1,0)))))+IF(CH$5&lt;&gt;$H105,0,IF(CH105&lt;0,IF($J105=7,-$E105*$I105/12*0,IF($J105=8,-$E105*$I105/12*1,IF($J105=9,-$E105*$I105/12*2,IF($J105&gt;=10,-$E105*$I105/12*3,0))))))</f>
        <v>0</v>
      </c>
      <c r="CL105" s="1806">
        <f>IF($H105&lt;&gt;CM$5,0,IF(CM105&lt;0,IF(OR($J105=1,$J105=2,$J105=3,$J105=4,$J105=5,$J105=6,$J105=7,$J105=8,$J105=9,$J105=10),-$E105*$I105/12*3,IF($J105=11,-$E105*$I105/12*2,IF($J105=12,-$E105*$I105/12*1,0)))))+IF(CH$5&lt;&gt;$H105,0,IF(CH105&lt;0,IF($J105=10,-$E105*$I105/12*0,IF($J105=11,-$E105*$I105/12*1,IF($J105=12,-$E105*$I105/12*2,0)))))</f>
        <v>0</v>
      </c>
      <c r="CM105" s="1791">
        <f>IF(AND(CH105&lt;&gt;0,CH$5=$H105),-$I105*$E105-CH105,IF(CM$5=$H105,-$I105*$E105*(12-$J105+1)/12,0))</f>
        <v>0</v>
      </c>
      <c r="CN105" s="1808">
        <f>IF($H105&lt;&gt;CR$5,0,IF(CR105&lt;0,IF($J105=1,-$E105*$I105/12*3,IF($J105=2,-$E105*$I105/12*2,IF($J105=3,-$E105*$I105/12*1,0)))))+IF(CM$5&lt;&gt;$H105,0,IF(CM105&lt;0,IF($J105=1,-$E105*$I105/12*0,IF($J105=2,-$E105*$I105/12*1,IF($J105=3,-$E105*$I105/12*2,IF($J105&gt;=4,-$E105*$I105/12*3,0))))))</f>
        <v>0</v>
      </c>
      <c r="CO105" s="1807">
        <f>IF($H105&lt;&gt;CR$5,0,IF(CR105&lt;0,IF(OR($J105=1,$J105=2,$J105=3,$J105=4),-$E105*$I105/12*3,IF($J105=5,-$E105*$I105/12*2,IF($J105=6,-$E105*$I105/12*1,0)))))+IF(CM$5&lt;&gt;$H105,0,IF(CM105&lt;0,IF($J105=4,-$E105*$I105/12*0,IF($J105=5,-$E105*$I105/12*1,IF($J105=6,-$E105*$I105/12*2,IF($J105&gt;=7,-$E105*$I105/12*3,0))))))</f>
        <v>0</v>
      </c>
      <c r="CP105" s="1807">
        <f>IF($H105&lt;&gt;CR$5,0,IF(CR105&lt;0,IF(OR($J105=1,$J105=2,$J105=3,$J105=4,$J105=5,$J105=6,$J105=7),-$E105*$I105/12*3,IF($J105=8,-$E105*$I105/12*2,IF($J105=9,-$E105*$I105/12*1,0)))))+IF(CM$5&lt;&gt;$H105,0,IF(CM105&lt;0,IF($J105=7,-$E105*$I105/12*0,IF($J105=8,-$E105*$I105/12*1,IF($J105=9,-$E105*$I105/12*2,IF($J105&gt;=10,-$E105*$I105/12*3,0))))))</f>
        <v>0</v>
      </c>
      <c r="CQ105" s="1806">
        <f>IF($H105&lt;&gt;CR$5,0,IF(CR105&lt;0,IF(OR($J105=1,$J105=2,$J105=3,$J105=4,$J105=5,$J105=6,$J105=7,$J105=8,$J105=9,$J105=10),-$E105*$I105/12*3,IF($J105=11,-$E105*$I105/12*2,IF($J105=12,-$E105*$I105/12*1,0)))))+IF(CM$5&lt;&gt;$H105,0,IF(CM105&lt;0,IF($J105=10,-$E105*$I105/12*0,IF($J105=11,-$E105*$I105/12*1,IF($J105=12,-$E105*$I105/12*2,0)))))</f>
        <v>0</v>
      </c>
      <c r="CR105" s="1791">
        <f>IF(AND(CM105&lt;&gt;0,CM$5=$H105),-$I105*$E105-CM105,IF(CR$5=$H105,-$I105*$E105*(12-$J105+1)/12,0))</f>
        <v>0</v>
      </c>
      <c r="CS105" s="1808">
        <f>IF($H105&lt;&gt;CW$5,0,IF(CW105&lt;0,IF($J105=1,-$E105*$I105/12*3,IF($J105=2,-$E105*$I105/12*2,IF($J105=3,-$E105*$I105/12*1,0)))))+IF(CR$5&lt;&gt;$H105,0,IF(CR105&lt;0,IF($J105=1,-$E105*$I105/12*0,IF($J105=2,-$E105*$I105/12*1,IF($J105=3,-$E105*$I105/12*2,IF($J105&gt;=4,-$E105*$I105/12*3,0))))))</f>
        <v>0</v>
      </c>
      <c r="CT105" s="1807">
        <f>IF($H105&lt;&gt;CW$5,0,IF(CW105&lt;0,IF(OR($J105=1,$J105=2,$J105=3,$J105=4),-$E105*$I105/12*3,IF($J105=5,-$E105*$I105/12*2,IF($J105=6,-$E105*$I105/12*1,0)))))+IF(CR$5&lt;&gt;$H105,0,IF(CR105&lt;0,IF($J105=4,-$E105*$I105/12*0,IF($J105=5,-$E105*$I105/12*1,IF($J105=6,-$E105*$I105/12*2,IF($J105&gt;=7,-$E105*$I105/12*3,0))))))</f>
        <v>0</v>
      </c>
      <c r="CU105" s="1807">
        <f>IF($H105&lt;&gt;CW$5,0,IF(CW105&lt;0,IF(OR($J105=1,$J105=2,$J105=3,$J105=4,$J105=5,$J105=6,$J105=7),-$E105*$I105/12*3,IF($J105=8,-$E105*$I105/12*2,IF($J105=9,-$E105*$I105/12*1,0)))))+IF(CR$5&lt;&gt;$H105,0,IF(CR105&lt;0,IF($J105=7,-$E105*$I105/12*0,IF($J105=8,-$E105*$I105/12*1,IF($J105=9,-$E105*$I105/12*2,IF($J105&gt;=10,-$E105*$I105/12*3,0))))))</f>
        <v>0</v>
      </c>
      <c r="CV105" s="1806">
        <f>IF($H105&lt;&gt;CW$5,0,IF(CW105&lt;0,IF(OR($J105=1,$J105=2,$J105=3,$J105=4,$J105=5,$J105=6,$J105=7,$J105=8,$J105=9,$J105=10),-$E105*$I105/12*3,IF($J105=11,-$E105*$I105/12*2,IF($J105=12,-$E105*$I105/12*1,0)))))+IF(CR$5&lt;&gt;$H105,0,IF(CR105&lt;0,IF($J105=10,-$E105*$I105/12*0,IF($J105=11,-$E105*$I105/12*1,IF($J105=12,-$E105*$I105/12*2,0)))))</f>
        <v>0</v>
      </c>
      <c r="CW105" s="1791">
        <f>IF(AND(CR105&lt;&gt;0,CR$5=$H105),-$I105*$E105-CR105,IF(CW$5=$H105,-$I105*$E105*(12-$J105+1)/12,0))</f>
        <v>0</v>
      </c>
      <c r="CX105" s="1808">
        <f>IF($H105&lt;&gt;DB$5,0,IF(DB105&lt;0,IF($J105=1,-$E105*$I105/12*3,IF($J105=2,-$E105*$I105/12*2,IF($J105=3,-$E105*$I105/12*1,0)))))+IF(CW$5&lt;&gt;$H105,0,IF(CW105&lt;0,IF($J105=1,-$E105*$I105/12*0,IF($J105=2,-$E105*$I105/12*1,IF($J105=3,-$E105*$I105/12*2,IF($J105&gt;=4,-$E105*$I105/12*3,0))))))</f>
        <v>0</v>
      </c>
      <c r="CY105" s="1807">
        <f>IF($H105&lt;&gt;DB$5,0,IF(DB105&lt;0,IF(OR($J105=1,$J105=2,$J105=3,$J105=4),-$E105*$I105/12*3,IF($J105=5,-$E105*$I105/12*2,IF($J105=6,-$E105*$I105/12*1,0)))))+IF(CW$5&lt;&gt;$H105,0,IF(CW105&lt;0,IF($J105=4,-$E105*$I105/12*0,IF($J105=5,-$E105*$I105/12*1,IF($J105=6,-$E105*$I105/12*2,IF($J105&gt;=7,-$E105*$I105/12*3,0))))))</f>
        <v>0</v>
      </c>
      <c r="CZ105" s="1807">
        <f>IF($H105&lt;&gt;DB$5,0,IF(DB105&lt;0,IF(OR($J105=1,$J105=2,$J105=3,$J105=4,$J105=5,$J105=6,$J105=7),-$E105*$I105/12*3,IF($J105=8,-$E105*$I105/12*2,IF($J105=9,-$E105*$I105/12*1,0)))))+IF(CW$5&lt;&gt;$H105,0,IF(CW105&lt;0,IF($J105=7,-$E105*$I105/12*0,IF($J105=8,-$E105*$I105/12*1,IF($J105=9,-$E105*$I105/12*2,IF($J105&gt;=10,-$E105*$I105/12*3,0))))))</f>
        <v>0</v>
      </c>
      <c r="DA105" s="1806">
        <f>IF($H105&lt;&gt;DB$5,0,IF(DB105&lt;0,IF(OR($J105=1,$J105=2,$J105=3,$J105=4,$J105=5,$J105=6,$J105=7,$J105=8,$J105=9,$J105=10),-$E105*$I105/12*3,IF($J105=11,-$E105*$I105/12*2,IF($J105=12,-$E105*$I105/12*1,0)))))+IF(CW$5&lt;&gt;$H105,0,IF(CW105&lt;0,IF($J105=10,-$E105*$I105/12*0,IF($J105=11,-$E105*$I105/12*1,IF($J105=12,-$E105*$I105/12*2,0)))))</f>
        <v>0</v>
      </c>
      <c r="DB105" s="1791">
        <f>IF(AND(CW105&lt;&gt;0,CW$5=$H105),-$I105*$E105-CW105,IF(DB$5=$H105,-$I105*$E105*(12-$J105+1)/12,0))</f>
        <v>0</v>
      </c>
      <c r="DC105" s="1808">
        <f>IF($H105&lt;&gt;DG$5,0,IF(DG105&lt;0,IF($J105=1,-$E105*$I105/12*3,IF($J105=2,-$E105*$I105/12*2,IF($J105=3,-$E105*$I105/12*1,0)))))+IF(DB$5&lt;&gt;$H105,0,IF(DB105&lt;0,IF($J105=1,-$E105*$I105/12*0,IF($J105=2,-$E105*$I105/12*1,IF($J105=3,-$E105*$I105/12*2,IF($J105&gt;=4,-$E105*$I105/12*3,0))))))</f>
        <v>0</v>
      </c>
      <c r="DD105" s="1807">
        <f>IF($H105&lt;&gt;DG$5,0,IF(DG105&lt;0,IF(OR($J105=1,$J105=2,$J105=3,$J105=4),-$E105*$I105/12*3,IF($J105=5,-$E105*$I105/12*2,IF($J105=6,-$E105*$I105/12*1,0)))))+IF(DB$5&lt;&gt;$H105,0,IF(DB105&lt;0,IF($J105=4,-$E105*$I105/12*0,IF($J105=5,-$E105*$I105/12*1,IF($J105=6,-$E105*$I105/12*2,IF($J105&gt;=7,-$E105*$I105/12*3,0))))))</f>
        <v>0</v>
      </c>
      <c r="DE105" s="1807">
        <f>IF($H105&lt;&gt;DG$5,0,IF(DG105&lt;0,IF(OR($J105=1,$J105=2,$J105=3,$J105=4,$J105=5,$J105=6,$J105=7),-$E105*$I105/12*3,IF($J105=8,-$E105*$I105/12*2,IF($J105=9,-$E105*$I105/12*1,0)))))+IF(DB$5&lt;&gt;$H105,0,IF(DB105&lt;0,IF($J105=7,-$E105*$I105/12*0,IF($J105=8,-$E105*$I105/12*1,IF($J105=9,-$E105*$I105/12*2,IF($J105&gt;=10,-$E105*$I105/12*3,0))))))</f>
        <v>0</v>
      </c>
      <c r="DF105" s="1806">
        <f>IF($H105&lt;&gt;DG$5,0,IF(DG105&lt;0,IF(OR($J105=1,$J105=2,$J105=3,$J105=4,$J105=5,$J105=6,$J105=7,$J105=8,$J105=9,$J105=10),-$E105*$I105/12*3,IF($J105=11,-$E105*$I105/12*2,IF($J105=12,-$E105*$I105/12*1,0)))))+IF(DB$5&lt;&gt;$H105,0,IF(DB105&lt;0,IF($J105=10,-$E105*$I105/12*0,IF($J105=11,-$E105*$I105/12*1,IF($J105=12,-$E105*$I105/12*2,0)))))</f>
        <v>0</v>
      </c>
      <c r="DG105" s="1791">
        <f>IF(AND(DB105&lt;&gt;0,DB$5=$H105),-$I105*$E105-DB105,IF(DG$5=$H105,-$I105*$E105*(12-$J105+1)/12,0))</f>
        <v>0</v>
      </c>
      <c r="DH105" s="1808">
        <f>IF($H105&lt;&gt;DL$5,0,IF(DL105&lt;0,IF($J105=1,-$E105*$I105/12*3,IF($J105=2,-$E105*$I105/12*2,IF($J105=3,-$E105*$I105/12*1,0)))))+IF(DG$5&lt;&gt;$H105,0,IF(DG105&lt;0,IF($J105=1,-$E105*$I105/12*0,IF($J105=2,-$E105*$I105/12*1,IF($J105=3,-$E105*$I105/12*2,IF($J105&gt;=4,-$E105*$I105/12*3,0))))))</f>
        <v>0</v>
      </c>
      <c r="DI105" s="1807">
        <f>IF($H105&lt;&gt;DL$5,0,IF(DL105&lt;0,IF(OR($J105=1,$J105=2,$J105=3,$J105=4),-$E105*$I105/12*3,IF($J105=5,-$E105*$I105/12*2,IF($J105=6,-$E105*$I105/12*1,0)))))+IF(DG$5&lt;&gt;$H105,0,IF(DG105&lt;0,IF($J105=4,-$E105*$I105/12*0,IF($J105=5,-$E105*$I105/12*1,IF($J105=6,-$E105*$I105/12*2,IF($J105&gt;=7,-$E105*$I105/12*3,0))))))</f>
        <v>0</v>
      </c>
      <c r="DJ105" s="1807">
        <f>IF($H105&lt;&gt;DL$5,0,IF(DL105&lt;0,IF(OR($J105=1,$J105=2,$J105=3,$J105=4,$J105=5,$J105=6,$J105=7),-$E105*$I105/12*3,IF($J105=8,-$E105*$I105/12*2,IF($J105=9,-$E105*$I105/12*1,0)))))+IF(DG$5&lt;&gt;$H105,0,IF(DG105&lt;0,IF($J105=7,-$E105*$I105/12*0,IF($J105=8,-$E105*$I105/12*1,IF($J105=9,-$E105*$I105/12*2,IF($J105&gt;=10,-$E105*$I105/12*3,0))))))</f>
        <v>0</v>
      </c>
      <c r="DK105" s="1806">
        <f>IF($H105&lt;&gt;DL$5,0,IF(DL105&lt;0,IF(OR($J105=1,$J105=2,$J105=3,$J105=4,$J105=5,$J105=6,$J105=7,$J105=8,$J105=9,$J105=10),-$E105*$I105/12*3,IF($J105=11,-$E105*$I105/12*2,IF($J105=12,-$E105*$I105/12*1,0)))))+IF(DG$5&lt;&gt;$H105,0,IF(DG105&lt;0,IF($J105=10,-$E105*$I105/12*0,IF($J105=11,-$E105*$I105/12*1,IF($J105=12,-$E105*$I105/12*2,0)))))</f>
        <v>0</v>
      </c>
      <c r="DL105" s="1791">
        <f>IF(AND(DG105&lt;&gt;0,DG$5=$H105),-$I105*$E105-DG105,IF(DL$5=$H105,-$I105*$E105*(12-$J105+1)/12,0))</f>
        <v>0</v>
      </c>
      <c r="DM105" s="1808">
        <f>IF($H105&lt;&gt;DQ$5,0,IF(DQ105&lt;0,IF($J105=1,-$E105*$I105/12*3,IF($J105=2,-$E105*$I105/12*2,IF($J105=3,-$E105*$I105/12*1,0)))))+IF(DL$5&lt;&gt;$H105,0,IF(DL105&lt;0,IF($J105=1,-$E105*$I105/12*0,IF($J105=2,-$E105*$I105/12*1,IF($J105=3,-$E105*$I105/12*2,IF($J105&gt;=4,-$E105*$I105/12*3,0))))))</f>
        <v>0</v>
      </c>
      <c r="DN105" s="1807">
        <f>IF($H105&lt;&gt;DQ$5,0,IF(DQ105&lt;0,IF(OR($J105=1,$J105=2,$J105=3,$J105=4),-$E105*$I105/12*3,IF($J105=5,-$E105*$I105/12*2,IF($J105=6,-$E105*$I105/12*1,0)))))+IF(DL$5&lt;&gt;$H105,0,IF(DL105&lt;0,IF($J105=4,-$E105*$I105/12*0,IF($J105=5,-$E105*$I105/12*1,IF($J105=6,-$E105*$I105/12*2,IF($J105&gt;=7,-$E105*$I105/12*3,0))))))</f>
        <v>0</v>
      </c>
      <c r="DO105" s="1807">
        <f>IF($H105&lt;&gt;DQ$5,0,IF(DQ105&lt;0,IF(OR($J105=1,$J105=2,$J105=3,$J105=4,$J105=5,$J105=6,$J105=7),-$E105*$I105/12*3,IF($J105=8,-$E105*$I105/12*2,IF($J105=9,-$E105*$I105/12*1,0)))))+IF(DL$5&lt;&gt;$H105,0,IF(DL105&lt;0,IF($J105=7,-$E105*$I105/12*0,IF($J105=8,-$E105*$I105/12*1,IF($J105=9,-$E105*$I105/12*2,IF($J105&gt;=10,-$E105*$I105/12*3,0))))))</f>
        <v>0</v>
      </c>
      <c r="DP105" s="1806">
        <f>IF($H105&lt;&gt;DQ$5,0,IF(DQ105&lt;0,IF(OR($J105=1,$J105=2,$J105=3,$J105=4,$J105=5,$J105=6,$J105=7,$J105=8,$J105=9,$J105=10),-$E105*$I105/12*3,IF($J105=11,-$E105*$I105/12*2,IF($J105=12,-$E105*$I105/12*1,0)))))+IF(DL$5&lt;&gt;$H105,0,IF(DL105&lt;0,IF($J105=10,-$E105*$I105/12*0,IF($J105=11,-$E105*$I105/12*1,IF($J105=12,-$E105*$I105/12*2,0)))))</f>
        <v>0</v>
      </c>
      <c r="DQ105" s="1791">
        <f>IF(AND(DL105&lt;&gt;0,DL$5=$H105),-$I105*$E105-DL105,IF(DQ$5=$H105,-$I105*$E105*(12-$J105+1)/12,0))</f>
        <v>0</v>
      </c>
      <c r="DR105" s="1808">
        <f>IF($H105&lt;&gt;DV$5,0,IF(DV105&lt;0,IF($J105=1,-$E105*$I105/12*3,IF($J105=2,-$E105*$I105/12*2,IF($J105=3,-$E105*$I105/12*1,0)))))+IF(DQ$5&lt;&gt;$H105,0,IF(DQ105&lt;0,IF($J105=1,-$E105*$I105/12*0,IF($J105=2,-$E105*$I105/12*1,IF($J105=3,-$E105*$I105/12*2,IF($J105&gt;=4,-$E105*$I105/12*3,0))))))</f>
        <v>0</v>
      </c>
      <c r="DS105" s="1807">
        <f>IF($H105&lt;&gt;DV$5,0,IF(DV105&lt;0,IF(OR($J105=1,$J105=2,$J105=3,$J105=4),-$E105*$I105/12*3,IF($J105=5,-$E105*$I105/12*2,IF($J105=6,-$E105*$I105/12*1,0)))))+IF(DQ$5&lt;&gt;$H105,0,IF(DQ105&lt;0,IF($J105=4,-$E105*$I105/12*0,IF($J105=5,-$E105*$I105/12*1,IF($J105=6,-$E105*$I105/12*2,IF($J105&gt;=7,-$E105*$I105/12*3,0))))))</f>
        <v>0</v>
      </c>
      <c r="DT105" s="1807">
        <f>IF($H105&lt;&gt;DV$5,0,IF(DV105&lt;0,IF(OR($J105=1,$J105=2,$J105=3,$J105=4,$J105=5,$J105=6,$J105=7),-$E105*$I105/12*3,IF($J105=8,-$E105*$I105/12*2,IF($J105=9,-$E105*$I105/12*1,0)))))+IF(DQ$5&lt;&gt;$H105,0,IF(DQ105&lt;0,IF($J105=7,-$E105*$I105/12*0,IF($J105=8,-$E105*$I105/12*1,IF($J105=9,-$E105*$I105/12*2,IF($J105&gt;=10,-$E105*$I105/12*3,0))))))</f>
        <v>0</v>
      </c>
      <c r="DU105" s="1806">
        <f>IF($H105&lt;&gt;DV$5,0,IF(DV105&lt;0,IF(OR($J105=1,$J105=2,$J105=3,$J105=4,$J105=5,$J105=6,$J105=7,$J105=8,$J105=9,$J105=10),-$E105*$I105/12*3,IF($J105=11,-$E105*$I105/12*2,IF($J105=12,-$E105*$I105/12*1,0)))))+IF(DQ$5&lt;&gt;$H105,0,IF(DQ105&lt;0,IF($J105=10,-$E105*$I105/12*0,IF($J105=11,-$E105*$I105/12*1,IF($J105=12,-$E105*$I105/12*2,0)))))</f>
        <v>0</v>
      </c>
      <c r="DV105" s="1791">
        <f>IF(AND(DQ105&lt;&gt;0,DQ$5=$H105),-$I105*$E105-DQ105,IF(DV$5=$H105,-$I105*$E105*(12-$J105+1)/12,0))</f>
        <v>0</v>
      </c>
    </row>
    <row r="106" spans="1:126">
      <c r="A106" s="455"/>
      <c r="B106" s="455"/>
      <c r="C106" s="1363"/>
      <c r="D106" s="455"/>
      <c r="E106" s="1817"/>
      <c r="F106" s="1435"/>
      <c r="G106" s="1435"/>
      <c r="H106" s="1350"/>
      <c r="I106" s="1335"/>
      <c r="J106" s="1343"/>
      <c r="K106" s="1792"/>
      <c r="L106" s="1810"/>
      <c r="M106" s="1791"/>
      <c r="N106" s="1808"/>
      <c r="O106" s="1807"/>
      <c r="P106" s="1807"/>
      <c r="Q106" s="1806"/>
      <c r="R106" s="1791"/>
      <c r="S106" s="1808"/>
      <c r="T106" s="1807"/>
      <c r="U106" s="1807"/>
      <c r="V106" s="1806"/>
      <c r="W106" s="1791"/>
      <c r="X106" s="1808"/>
      <c r="Y106" s="1807"/>
      <c r="Z106" s="1807"/>
      <c r="AA106" s="1806"/>
      <c r="AB106" s="1791"/>
      <c r="AC106" s="1808"/>
      <c r="AD106" s="1807"/>
      <c r="AE106" s="1807"/>
      <c r="AF106" s="1806"/>
      <c r="AG106" s="1791"/>
      <c r="AH106" s="1808"/>
      <c r="AI106" s="1807"/>
      <c r="AJ106" s="1807"/>
      <c r="AK106" s="1806"/>
      <c r="AL106" s="1791"/>
      <c r="AM106" s="1808"/>
      <c r="AN106" s="1807"/>
      <c r="AO106" s="1807"/>
      <c r="AP106" s="1806"/>
      <c r="AQ106" s="1791"/>
      <c r="AR106" s="1808"/>
      <c r="AS106" s="1807"/>
      <c r="AT106" s="1807"/>
      <c r="AU106" s="1806"/>
      <c r="AV106" s="1791"/>
      <c r="AW106" s="1808"/>
      <c r="AX106" s="1807"/>
      <c r="AY106" s="1807"/>
      <c r="AZ106" s="1806"/>
      <c r="BA106" s="1791"/>
      <c r="BB106" s="1808"/>
      <c r="BC106" s="1807"/>
      <c r="BD106" s="1807"/>
      <c r="BE106" s="1806"/>
      <c r="BF106" s="1791"/>
      <c r="BG106" s="1808"/>
      <c r="BH106" s="1807"/>
      <c r="BI106" s="1807"/>
      <c r="BJ106" s="1806"/>
      <c r="BK106" s="1791"/>
      <c r="BL106" s="1808"/>
      <c r="BM106" s="1807"/>
      <c r="BN106" s="1807"/>
      <c r="BO106" s="1806"/>
      <c r="BP106" s="1791"/>
      <c r="BQ106" s="1827"/>
      <c r="BR106" s="1791"/>
      <c r="BS106" s="1791"/>
      <c r="BT106" s="1808"/>
      <c r="BU106" s="1807"/>
      <c r="BV106" s="1807"/>
      <c r="BW106" s="1806"/>
      <c r="BX106" s="1791"/>
      <c r="BY106" s="1808"/>
      <c r="BZ106" s="1807"/>
      <c r="CA106" s="1807"/>
      <c r="CB106" s="1806"/>
      <c r="CC106" s="1791"/>
      <c r="CD106" s="1808"/>
      <c r="CE106" s="1807"/>
      <c r="CF106" s="1807"/>
      <c r="CG106" s="1806"/>
      <c r="CH106" s="1791"/>
      <c r="CI106" s="1808"/>
      <c r="CJ106" s="1807"/>
      <c r="CK106" s="1807"/>
      <c r="CL106" s="1806"/>
      <c r="CM106" s="1791"/>
      <c r="CN106" s="1808"/>
      <c r="CO106" s="1807"/>
      <c r="CP106" s="1807"/>
      <c r="CQ106" s="1806"/>
      <c r="CR106" s="1791"/>
      <c r="CS106" s="1808"/>
      <c r="CT106" s="1807"/>
      <c r="CU106" s="1807"/>
      <c r="CV106" s="1806"/>
      <c r="CW106" s="1791"/>
      <c r="CX106" s="1808"/>
      <c r="CY106" s="1807"/>
      <c r="CZ106" s="1807"/>
      <c r="DA106" s="1806"/>
      <c r="DB106" s="1791"/>
      <c r="DC106" s="1808"/>
      <c r="DD106" s="1807"/>
      <c r="DE106" s="1807"/>
      <c r="DF106" s="1806"/>
      <c r="DG106" s="1791"/>
      <c r="DH106" s="1808"/>
      <c r="DI106" s="1807"/>
      <c r="DJ106" s="1807"/>
      <c r="DK106" s="1806"/>
      <c r="DL106" s="1791"/>
      <c r="DM106" s="1808"/>
      <c r="DN106" s="1807"/>
      <c r="DO106" s="1807"/>
      <c r="DP106" s="1806"/>
      <c r="DQ106" s="1791"/>
      <c r="DR106" s="1808"/>
      <c r="DS106" s="1807"/>
      <c r="DT106" s="1807"/>
      <c r="DU106" s="1806"/>
      <c r="DV106" s="1791"/>
    </row>
    <row r="107" spans="1:126">
      <c r="A107" s="455"/>
      <c r="B107" s="455"/>
      <c r="C107" s="1596" t="s">
        <v>748</v>
      </c>
      <c r="D107" s="455"/>
      <c r="E107" s="1817"/>
      <c r="F107" s="455"/>
      <c r="G107" s="455"/>
      <c r="H107" s="1597"/>
      <c r="I107" s="1598"/>
      <c r="J107" s="1599"/>
      <c r="K107" s="1792"/>
      <c r="L107" s="1810">
        <f>IF(L$5=$H107,-$E107,0)</f>
        <v>0</v>
      </c>
      <c r="M107" s="1791">
        <f>IF(M$5=$H107,-$E107,0)</f>
        <v>0</v>
      </c>
      <c r="N107" s="1808">
        <f>IF(R107=0,0,IF(R107&lt;0,IF($J107=3,R107,IF($J107=2,R107,IF($J107=1,R107,0)))))</f>
        <v>0</v>
      </c>
      <c r="O107" s="1807">
        <f>IF(R107=0,0,IF(R107&lt;0,IF($J107=6,R107,IF($J107=5,R107,IF($J107=4,R107,0)))))</f>
        <v>0</v>
      </c>
      <c r="P107" s="1807">
        <f>IF(R107=0,0,IF(R107&lt;0,IF($J107=9,R107,IF($J107=8,R107,IF($J107=7,R107,0)))))</f>
        <v>0</v>
      </c>
      <c r="Q107" s="1806">
        <f>IF(R107=0,0,IF(R107&lt;0,IF($J107=12,R107,IF($J107=11,R107,IF($J107=10,R107,0)))))</f>
        <v>0</v>
      </c>
      <c r="R107" s="1791">
        <f>IF(R$5=$H107,-$E107,0)</f>
        <v>0</v>
      </c>
      <c r="S107" s="1808">
        <f>IF(W107=0,0,IF(W107&lt;0,IF($J107=3,W107,IF($J107=2,W107,IF($J107=1,W107,0)))))</f>
        <v>0</v>
      </c>
      <c r="T107" s="1807">
        <f>IF(W107=0,0,IF(W107&lt;0,IF($J107=6,W107,IF($J107=5,W107,IF($J107=4,W107,0)))))</f>
        <v>0</v>
      </c>
      <c r="U107" s="1807">
        <f>IF(W107=0,0,IF(W107&lt;0,IF($J107=9,W107,IF($J107=8,W107,IF($J107=7,W107,0)))))</f>
        <v>0</v>
      </c>
      <c r="V107" s="1806">
        <f>IF(W107=0,0,IF(W107&lt;0,IF($J107=12,W107,IF($J107=11,W107,IF($J107=10,W107,0)))))</f>
        <v>0</v>
      </c>
      <c r="W107" s="1791">
        <f>IF(W$5=$H107,-$E107,0)</f>
        <v>0</v>
      </c>
      <c r="X107" s="1808">
        <f>IF(AB107=0,0,IF(AB107&lt;0,IF($J107=3,AB107,IF($J107=2,AB107,IF($J107=1,AB107,0)))))</f>
        <v>0</v>
      </c>
      <c r="Y107" s="1807">
        <f>IF(AB107=0,0,IF(AB107&lt;0,IF($J107=6,AB107,IF($J107=5,AB107,IF($J107=4,AB107,0)))))</f>
        <v>0</v>
      </c>
      <c r="Z107" s="1807">
        <f>IF(AB107=0,0,IF(AB107&lt;0,IF($J107=9,AB107,IF($J107=8,AB107,IF($J107=7,AB107,0)))))</f>
        <v>0</v>
      </c>
      <c r="AA107" s="1806">
        <f>IF(AB107=0,0,IF(AB107&lt;0,IF($J107=12,AB107,IF($J107=11,AB107,IF($J107=10,AB107,0)))))</f>
        <v>0</v>
      </c>
      <c r="AB107" s="1791">
        <f>IF(AB$5=$H107,-$E107,0)</f>
        <v>0</v>
      </c>
      <c r="AC107" s="1808">
        <f>IF(AG107=0,0,IF(AG107&lt;0,IF($J107=3,AG107,IF($J107=2,AG107,IF($J107=1,AG107,0)))))</f>
        <v>0</v>
      </c>
      <c r="AD107" s="1807">
        <f>IF(AG107=0,0,IF(AG107&lt;0,IF($J107=6,AG107,IF($J107=5,AG107,IF($J107=4,AG107,0)))))</f>
        <v>0</v>
      </c>
      <c r="AE107" s="1807">
        <f>IF(AG107=0,0,IF(AG107&lt;0,IF($J107=9,AG107,IF($J107=8,AG107,IF($J107=7,AG107,0)))))</f>
        <v>0</v>
      </c>
      <c r="AF107" s="1806">
        <f>IF(AG107=0,0,IF(AG107&lt;0,IF($J107=12,AG107,IF($J107=11,AG107,IF($J107=10,AG107,0)))))</f>
        <v>0</v>
      </c>
      <c r="AG107" s="1791">
        <f>IF(AG$5=$H107,-$E107,0)</f>
        <v>0</v>
      </c>
      <c r="AH107" s="1808">
        <f>IF(AL107=0,0,IF(AL107&lt;0,IF($J107=3,AL107,IF($J107=2,AL107,IF($J107=1,AL107,0)))))</f>
        <v>0</v>
      </c>
      <c r="AI107" s="1807">
        <f>IF(AL107=0,0,IF(AL107&lt;0,IF($J107=6,AL107,IF($J107=5,AL107,IF($J107=4,AL107,0)))))</f>
        <v>0</v>
      </c>
      <c r="AJ107" s="1807">
        <f>IF(AL107=0,0,IF(AL107&lt;0,IF($J107=9,AL107,IF($J107=8,AL107,IF($J107=7,AL107,0)))))</f>
        <v>0</v>
      </c>
      <c r="AK107" s="1806">
        <f>IF(AL107=0,0,IF(AL107&lt;0,IF($J107=12,AL107,IF($J107=11,AL107,IF($J107=10,AL107,0)))))</f>
        <v>0</v>
      </c>
      <c r="AL107" s="1791">
        <f>IF(AL$5=$H107,-$E107,0)</f>
        <v>0</v>
      </c>
      <c r="AM107" s="1808">
        <f>IF(AQ107=0,0,IF(AQ107&lt;0,IF($J107=3,AQ107,IF($J107=2,AQ107,IF($J107=1,AQ107,0)))))</f>
        <v>0</v>
      </c>
      <c r="AN107" s="1807">
        <f>IF(AQ107=0,0,IF(AQ107&lt;0,IF($J107=6,AQ107,IF($J107=5,AQ107,IF($J107=4,AQ107,0)))))</f>
        <v>0</v>
      </c>
      <c r="AO107" s="1807">
        <f>IF(AQ107=0,0,IF(AQ107&lt;0,IF($J107=9,AQ107,IF($J107=8,AQ107,IF($J107=7,AQ107,0)))))</f>
        <v>0</v>
      </c>
      <c r="AP107" s="1806">
        <f>IF(AQ107=0,0,IF(AQ107&lt;0,IF($J107=12,AQ107,IF($J107=11,AQ107,IF($J107=10,AQ107,0)))))</f>
        <v>0</v>
      </c>
      <c r="AQ107" s="1791">
        <f>IF(AQ$5=$H107,-$E107,0)</f>
        <v>0</v>
      </c>
      <c r="AR107" s="1808">
        <f>IF(AV107=0,0,IF(AV107&lt;0,IF($J107=3,AV107,IF($J107=2,AV107,IF($J107=1,AV107,0)))))</f>
        <v>0</v>
      </c>
      <c r="AS107" s="1807">
        <f>IF(AV107=0,0,IF(AV107&lt;0,IF($J107=6,AV107,IF($J107=5,AV107,IF($J107=4,AV107,0)))))</f>
        <v>0</v>
      </c>
      <c r="AT107" s="1807">
        <f>IF(AV107=0,0,IF(AV107&lt;0,IF($J107=9,AV107,IF($J107=8,AV107,IF($J107=7,AV107,0)))))</f>
        <v>0</v>
      </c>
      <c r="AU107" s="1806">
        <f>IF(AV107=0,0,IF(AV107&lt;0,IF($J107=12,AV107,IF($J107=11,AV107,IF($J107=10,AV107,0)))))</f>
        <v>0</v>
      </c>
      <c r="AV107" s="1791">
        <f>IF(AV$5=$H107,-$E107,0)</f>
        <v>0</v>
      </c>
      <c r="AW107" s="1808">
        <f>IF(BA107=0,0,IF(BA107&lt;0,IF($J107=3,BA107,IF($J107=2,BA107,IF($J107=1,BA107,0)))))</f>
        <v>0</v>
      </c>
      <c r="AX107" s="1807">
        <f>IF(BA107=0,0,IF(BA107&lt;0,IF($J107=6,BA107,IF($J107=5,BA107,IF($J107=4,BA107,0)))))</f>
        <v>0</v>
      </c>
      <c r="AY107" s="1807">
        <f>IF(BA107=0,0,IF(BA107&lt;0,IF($J107=9,BA107,IF($J107=8,BA107,IF($J107=7,BA107,0)))))</f>
        <v>0</v>
      </c>
      <c r="AZ107" s="1806">
        <f>IF(BA107=0,0,IF(BA107&lt;0,IF($J107=12,BA107,IF($J107=11,BA107,IF($J107=10,BA107,0)))))</f>
        <v>0</v>
      </c>
      <c r="BA107" s="1791">
        <f>IF(BA$5=$H107,-$E107,0)</f>
        <v>0</v>
      </c>
      <c r="BB107" s="1808">
        <f>IF(BF107=0,0,IF(BF107&lt;0,IF($J107=3,BF107,IF($J107=2,BF107,IF($J107=1,BF107,0)))))</f>
        <v>0</v>
      </c>
      <c r="BC107" s="1807">
        <f>IF(BF107=0,0,IF(BF107&lt;0,IF($J107=6,BF107,IF($J107=5,BF107,IF($J107=4,BF107,0)))))</f>
        <v>0</v>
      </c>
      <c r="BD107" s="1807">
        <f>IF(BF107=0,0,IF(BF107&lt;0,IF($J107=9,BF107,IF($J107=8,BF107,IF($J107=7,BF107,0)))))</f>
        <v>0</v>
      </c>
      <c r="BE107" s="1806">
        <f>IF(BF107=0,0,IF(BF107&lt;0,IF($J107=12,BF107,IF($J107=11,BF107,IF($J107=10,BF107,0)))))</f>
        <v>0</v>
      </c>
      <c r="BF107" s="1791">
        <f>IF(BF$5=$H107,-$E107,0)</f>
        <v>0</v>
      </c>
      <c r="BG107" s="1808">
        <f>IF(BK107=0,0,IF(BK107&lt;0,IF($J107=3,BK107,IF($J107=2,BK107,IF($J107=1,BK107,0)))))</f>
        <v>0</v>
      </c>
      <c r="BH107" s="1807">
        <f>IF(BK107=0,0,IF(BK107&lt;0,IF($J107=6,BK107,IF($J107=5,BK107,IF($J107=4,BK107,0)))))</f>
        <v>0</v>
      </c>
      <c r="BI107" s="1807">
        <f>IF(BK107=0,0,IF(BK107&lt;0,IF($J107=9,BK107,IF($J107=8,BK107,IF($J107=7,BK107,0)))))</f>
        <v>0</v>
      </c>
      <c r="BJ107" s="1806">
        <f>IF(BK107=0,0,IF(BK107&lt;0,IF($J107=12,BK107,IF($J107=11,BK107,IF($J107=10,BK107,0)))))</f>
        <v>0</v>
      </c>
      <c r="BK107" s="1791">
        <f>IF(BK$5=$H107,-$E107,0)</f>
        <v>0</v>
      </c>
      <c r="BL107" s="1808">
        <f>IF(BP107=0,0,IF(BP107&lt;0,IF($J107=3,BP107,IF($J107=2,BP107,IF($J107=1,BP107,0)))))</f>
        <v>0</v>
      </c>
      <c r="BM107" s="1807">
        <f>IF(BP107=0,0,IF(BP107&lt;0,IF($J107=6,BP107,IF($J107=5,BP107,IF($J107=4,BP107,0)))))</f>
        <v>0</v>
      </c>
      <c r="BN107" s="1807">
        <f>IF(BP107=0,0,IF(BP107&lt;0,IF($J107=9,BP107,IF($J107=8,BP107,IF($J107=7,BP107,0)))))</f>
        <v>0</v>
      </c>
      <c r="BO107" s="1806">
        <f>IF(BP107=0,0,IF(BP107&lt;0,IF($J107=12,BP107,IF($J107=11,BP107,IF($J107=10,BP107,0)))))</f>
        <v>0</v>
      </c>
      <c r="BP107" s="1791">
        <f>IF(BP$5=$H107,-$E107,0)</f>
        <v>0</v>
      </c>
      <c r="BQ107" s="1827"/>
      <c r="BR107" s="1791">
        <f>IF(AND(BQ107&lt;&gt;0,BQ$5=$H107),-$I107*$E107-BQ107,IF(BR$5=$H107,-$I107*$E107*(12-$J107+1)/12,0))</f>
        <v>0</v>
      </c>
      <c r="BS107" s="1791">
        <f>IF(AND(BR107&lt;&gt;0,BR$5=$H107),-$I107*$E107-BR107,IF(BS$5=$H107,-$I107*$E107*(12-$J107+1)/12,0))</f>
        <v>0</v>
      </c>
      <c r="BT107" s="1808">
        <f>IF($H107&lt;&gt;BX$5,0,IF(BX107&lt;0,IF($J107=1,-$E107*$I107/12*3,IF($J107=2,-$E107*$I107/12*2,IF($J107=3,-$E107*$I107/12*1,0)))))+IF(BS$5&lt;&gt;$H107,0,IF(BS107&lt;0,IF($J107=1,-$E107*$I107/12*0,IF($J107=2,-$E107*$I107/12*1,IF($J107=3,-$E107*$I107/12*2,IF($J107&gt;=4,-$E107*$I107/12*3,0))))))</f>
        <v>0</v>
      </c>
      <c r="BU107" s="1807">
        <f>IF($H107&lt;&gt;BX$5,0,IF(BX107&lt;0,IF(OR($J107=1,$J107=2,$J107=3,$J107=4),-$E107*$I107/12*3,IF($J107=5,-$E107*$I107/12*2,IF($J107=6,-$E107*$I107/12*1,0)))))+IF(BS$5&lt;&gt;$H107,0,IF(BS107&lt;0,IF($J107=4,-$E107*$I107/12*0,IF($J107=5,-$E107*$I107/12*1,IF($J107=6,-$E107*$I107/12*2,IF($J107&gt;=7,-$E107*$I107/12*3,0))))))</f>
        <v>0</v>
      </c>
      <c r="BV107" s="1807">
        <f>IF($H107&lt;&gt;BX$5,0,IF(BX107&lt;0,IF(OR($J107=1,$J107=2,$J107=3,$J107=4,$J107=5,$J107=6,$J107=7),-$E107*$I107/12*3,IF($J107=8,-$E107*$I107/12*2,IF($J107=9,-$E107*$I107/12*1,0)))))+IF(BS$5&lt;&gt;$H107,0,IF(BS107&lt;0,IF($J107=7,-$E107*$I107/12*0,IF($J107=8,-$E107*$I107/12*1,IF($J107=9,-$E107*$I107/12*2,IF($J107&gt;=10,-$E107*$I107/12*3,0))))))</f>
        <v>0</v>
      </c>
      <c r="BW107" s="1806">
        <f>IF($H107&lt;&gt;BX$5,0,IF(BX107&lt;0,IF(OR($J107=1,$J107=2,$J107=3,$J107=4,$J107=5,$J107=6,$J107=7,$J107=8,$J107=9,$J107=10),-$E107*$I107/12*3,IF($J107=11,-$E107*$I107/12*2,IF($J107=12,-$E107*$I107/12*1,0)))))+IF(BS$5&lt;&gt;$H107,0,IF(BS107&lt;0,IF($J107=10,-$E107*$I107/12*0,IF($J107=11,-$E107*$I107/12*1,IF($J107=12,-$E107*$I107/12*2,0)))))</f>
        <v>0</v>
      </c>
      <c r="BX107" s="1791">
        <f>IF(AND(BS107&lt;&gt;0,BS$5=$H107),-$I107*$E107-BS107,IF(BX$5=$H107,-$I107*$E107*(12-$J107+1)/12,0))</f>
        <v>0</v>
      </c>
      <c r="BY107" s="1808">
        <f>IF($H107&lt;&gt;CC$5,0,IF(CC107&lt;0,IF($J107=1,-$E107*$I107/12*3,IF($J107=2,-$E107*$I107/12*2,IF($J107=3,-$E107*$I107/12*1,0)))))+IF(BX$5&lt;&gt;$H107,0,IF(BX107&lt;0,IF($J107=1,-$E107*$I107/12*0,IF($J107=2,-$E107*$I107/12*1,IF($J107=3,-$E107*$I107/12*2,IF($J107&gt;=4,-$E107*$I107/12*3,0))))))</f>
        <v>0</v>
      </c>
      <c r="BZ107" s="1807">
        <f>IF($H107&lt;&gt;CC$5,0,IF(CC107&lt;0,IF(OR($J107=1,$J107=2,$J107=3,$J107=4),-$E107*$I107/12*3,IF($J107=5,-$E107*$I107/12*2,IF($J107=6,-$E107*$I107/12*1,0)))))+IF(BX$5&lt;&gt;$H107,0,IF(BX107&lt;0,IF($J107=4,-$E107*$I107/12*0,IF($J107=5,-$E107*$I107/12*1,IF($J107=6,-$E107*$I107/12*2,IF($J107&gt;=7,-$E107*$I107/12*3,0))))))</f>
        <v>0</v>
      </c>
      <c r="CA107" s="1807">
        <f>IF($H107&lt;&gt;CC$5,0,IF(CC107&lt;0,IF(OR($J107=1,$J107=2,$J107=3,$J107=4,$J107=5,$J107=6,$J107=7),-$E107*$I107/12*3,IF($J107=8,-$E107*$I107/12*2,IF($J107=9,-$E107*$I107/12*1,0)))))+IF(BX$5&lt;&gt;$H107,0,IF(BX107&lt;0,IF($J107=7,-$E107*$I107/12*0,IF($J107=8,-$E107*$I107/12*1,IF($J107=9,-$E107*$I107/12*2,IF($J107&gt;=10,-$E107*$I107/12*3,0))))))</f>
        <v>0</v>
      </c>
      <c r="CB107" s="1806">
        <f>IF($H107&lt;&gt;CC$5,0,IF(CC107&lt;0,IF(OR($J107=1,$J107=2,$J107=3,$J107=4,$J107=5,$J107=6,$J107=7,$J107=8,$J107=9,$J107=10),-$E107*$I107/12*3,IF($J107=11,-$E107*$I107/12*2,IF($J107=12,-$E107*$I107/12*1,0)))))+IF(BX$5&lt;&gt;$H107,0,IF(BX107&lt;0,IF($J107=10,-$E107*$I107/12*0,IF($J107=11,-$E107*$I107/12*1,IF($J107=12,-$E107*$I107/12*2,0)))))</f>
        <v>0</v>
      </c>
      <c r="CC107" s="1791">
        <f>IF(AND(BX107&lt;&gt;0,BX$5=$H107),-$I107*$E107-BX107,IF(CC$5=$H107,-$I107*$E107*(12-$J107+1)/12,0))</f>
        <v>0</v>
      </c>
      <c r="CD107" s="1808">
        <f>IF($H107&lt;&gt;CH$5,0,IF(CH107&lt;0,IF($J107=1,-$E107*$I107/12*3,IF($J107=2,-$E107*$I107/12*2,IF($J107=3,-$E107*$I107/12*1,0)))))+IF(CC$5&lt;&gt;$H107,0,IF(CC107&lt;0,IF($J107=1,-$E107*$I107/12*0,IF($J107=2,-$E107*$I107/12*1,IF($J107=3,-$E107*$I107/12*2,IF($J107&gt;=4,-$E107*$I107/12*3,0))))))</f>
        <v>0</v>
      </c>
      <c r="CE107" s="1807">
        <f>IF($H107&lt;&gt;CH$5,0,IF(CH107&lt;0,IF(OR($J107=1,$J107=2,$J107=3,$J107=4),-$E107*$I107/12*3,IF($J107=5,-$E107*$I107/12*2,IF($J107=6,-$E107*$I107/12*1,0)))))+IF(CC$5&lt;&gt;$H107,0,IF(CC107&lt;0,IF($J107=4,-$E107*$I107/12*0,IF($J107=5,-$E107*$I107/12*1,IF($J107=6,-$E107*$I107/12*2,IF($J107&gt;=7,-$E107*$I107/12*3,0))))))</f>
        <v>0</v>
      </c>
      <c r="CF107" s="1807">
        <f>IF($H107&lt;&gt;CH$5,0,IF(CH107&lt;0,IF(OR($J107=1,$J107=2,$J107=3,$J107=4,$J107=5,$J107=6,$J107=7),-$E107*$I107/12*3,IF($J107=8,-$E107*$I107/12*2,IF($J107=9,-$E107*$I107/12*1,0)))))+IF(CC$5&lt;&gt;$H107,0,IF(CC107&lt;0,IF($J107=7,-$E107*$I107/12*0,IF($J107=8,-$E107*$I107/12*1,IF($J107=9,-$E107*$I107/12*2,IF($J107&gt;=10,-$E107*$I107/12*3,0))))))</f>
        <v>0</v>
      </c>
      <c r="CG107" s="1806">
        <f>IF($H107&lt;&gt;CH$5,0,IF(CH107&lt;0,IF(OR($J107=1,$J107=2,$J107=3,$J107=4,$J107=5,$J107=6,$J107=7,$J107=8,$J107=9,$J107=10),-$E107*$I107/12*3,IF($J107=11,-$E107*$I107/12*2,IF($J107=12,-$E107*$I107/12*1,0)))))+IF(CC$5&lt;&gt;$H107,0,IF(CC107&lt;0,IF($J107=10,-$E107*$I107/12*0,IF($J107=11,-$E107*$I107/12*1,IF($J107=12,-$E107*$I107/12*2,0)))))</f>
        <v>0</v>
      </c>
      <c r="CH107" s="1791">
        <f>IF(AND(CC107&lt;&gt;0,CC$5=$H107),-$I107*$E107-CC107,IF(CH$5=$H107,-$I107*$E107*(12-$J107+1)/12,0))</f>
        <v>0</v>
      </c>
      <c r="CI107" s="1808">
        <f>IF($H107&lt;&gt;CM$5,0,IF(CM107&lt;0,IF($J107=1,-$E107*$I107/12*3,IF($J107=2,-$E107*$I107/12*2,IF($J107=3,-$E107*$I107/12*1,0)))))+IF(CH$5&lt;&gt;$H107,0,IF(CH107&lt;0,IF($J107=1,-$E107*$I107/12*0,IF($J107=2,-$E107*$I107/12*1,IF($J107=3,-$E107*$I107/12*2,IF($J107&gt;=4,-$E107*$I107/12*3,0))))))</f>
        <v>0</v>
      </c>
      <c r="CJ107" s="1807">
        <f>IF($H107&lt;&gt;CM$5,0,IF(CM107&lt;0,IF(OR($J107=1,$J107=2,$J107=3,$J107=4),-$E107*$I107/12*3,IF($J107=5,-$E107*$I107/12*2,IF($J107=6,-$E107*$I107/12*1,0)))))+IF(CH$5&lt;&gt;$H107,0,IF(CH107&lt;0,IF($J107=4,-$E107*$I107/12*0,IF($J107=5,-$E107*$I107/12*1,IF($J107=6,-$E107*$I107/12*2,IF($J107&gt;=7,-$E107*$I107/12*3,0))))))</f>
        <v>0</v>
      </c>
      <c r="CK107" s="1807">
        <f>IF($H107&lt;&gt;CM$5,0,IF(CM107&lt;0,IF(OR($J107=1,$J107=2,$J107=3,$J107=4,$J107=5,$J107=6,$J107=7),-$E107*$I107/12*3,IF($J107=8,-$E107*$I107/12*2,IF($J107=9,-$E107*$I107/12*1,0)))))+IF(CH$5&lt;&gt;$H107,0,IF(CH107&lt;0,IF($J107=7,-$E107*$I107/12*0,IF($J107=8,-$E107*$I107/12*1,IF($J107=9,-$E107*$I107/12*2,IF($J107&gt;=10,-$E107*$I107/12*3,0))))))</f>
        <v>0</v>
      </c>
      <c r="CL107" s="1806">
        <f>IF($H107&lt;&gt;CM$5,0,IF(CM107&lt;0,IF(OR($J107=1,$J107=2,$J107=3,$J107=4,$J107=5,$J107=6,$J107=7,$J107=8,$J107=9,$J107=10),-$E107*$I107/12*3,IF($J107=11,-$E107*$I107/12*2,IF($J107=12,-$E107*$I107/12*1,0)))))+IF(CH$5&lt;&gt;$H107,0,IF(CH107&lt;0,IF($J107=10,-$E107*$I107/12*0,IF($J107=11,-$E107*$I107/12*1,IF($J107=12,-$E107*$I107/12*2,0)))))</f>
        <v>0</v>
      </c>
      <c r="CM107" s="1791">
        <f>IF(AND(CH107&lt;&gt;0,CH$5=$H107),-$I107*$E107-CH107,IF(CM$5=$H107,-$I107*$E107*(12-$J107+1)/12,0))</f>
        <v>0</v>
      </c>
      <c r="CN107" s="1808">
        <f>IF($H107&lt;&gt;CR$5,0,IF(CR107&lt;0,IF($J107=1,-$E107*$I107/12*3,IF($J107=2,-$E107*$I107/12*2,IF($J107=3,-$E107*$I107/12*1,0)))))+IF(CM$5&lt;&gt;$H107,0,IF(CM107&lt;0,IF($J107=1,-$E107*$I107/12*0,IF($J107=2,-$E107*$I107/12*1,IF($J107=3,-$E107*$I107/12*2,IF($J107&gt;=4,-$E107*$I107/12*3,0))))))</f>
        <v>0</v>
      </c>
      <c r="CO107" s="1807">
        <f>IF($H107&lt;&gt;CR$5,0,IF(CR107&lt;0,IF(OR($J107=1,$J107=2,$J107=3,$J107=4),-$E107*$I107/12*3,IF($J107=5,-$E107*$I107/12*2,IF($J107=6,-$E107*$I107/12*1,0)))))+IF(CM$5&lt;&gt;$H107,0,IF(CM107&lt;0,IF($J107=4,-$E107*$I107/12*0,IF($J107=5,-$E107*$I107/12*1,IF($J107=6,-$E107*$I107/12*2,IF($J107&gt;=7,-$E107*$I107/12*3,0))))))</f>
        <v>0</v>
      </c>
      <c r="CP107" s="1807">
        <f>IF($H107&lt;&gt;CR$5,0,IF(CR107&lt;0,IF(OR($J107=1,$J107=2,$J107=3,$J107=4,$J107=5,$J107=6,$J107=7),-$E107*$I107/12*3,IF($J107=8,-$E107*$I107/12*2,IF($J107=9,-$E107*$I107/12*1,0)))))+IF(CM$5&lt;&gt;$H107,0,IF(CM107&lt;0,IF($J107=7,-$E107*$I107/12*0,IF($J107=8,-$E107*$I107/12*1,IF($J107=9,-$E107*$I107/12*2,IF($J107&gt;=10,-$E107*$I107/12*3,0))))))</f>
        <v>0</v>
      </c>
      <c r="CQ107" s="1806">
        <f>IF($H107&lt;&gt;CR$5,0,IF(CR107&lt;0,IF(OR($J107=1,$J107=2,$J107=3,$J107=4,$J107=5,$J107=6,$J107=7,$J107=8,$J107=9,$J107=10),-$E107*$I107/12*3,IF($J107=11,-$E107*$I107/12*2,IF($J107=12,-$E107*$I107/12*1,0)))))+IF(CM$5&lt;&gt;$H107,0,IF(CM107&lt;0,IF($J107=10,-$E107*$I107/12*0,IF($J107=11,-$E107*$I107/12*1,IF($J107=12,-$E107*$I107/12*2,0)))))</f>
        <v>0</v>
      </c>
      <c r="CR107" s="1791">
        <f>IF(AND(CM107&lt;&gt;0,CM$5=$H107),-$I107*$E107-CM107,IF(CR$5=$H107,-$I107*$E107*(12-$J107+1)/12,0))</f>
        <v>0</v>
      </c>
      <c r="CS107" s="1808">
        <f>IF($H107&lt;&gt;CW$5,0,IF(CW107&lt;0,IF($J107=1,-$E107*$I107/12*3,IF($J107=2,-$E107*$I107/12*2,IF($J107=3,-$E107*$I107/12*1,0)))))+IF(CR$5&lt;&gt;$H107,0,IF(CR107&lt;0,IF($J107=1,-$E107*$I107/12*0,IF($J107=2,-$E107*$I107/12*1,IF($J107=3,-$E107*$I107/12*2,IF($J107&gt;=4,-$E107*$I107/12*3,0))))))</f>
        <v>0</v>
      </c>
      <c r="CT107" s="1807">
        <f>IF($H107&lt;&gt;CW$5,0,IF(CW107&lt;0,IF(OR($J107=1,$J107=2,$J107=3,$J107=4),-$E107*$I107/12*3,IF($J107=5,-$E107*$I107/12*2,IF($J107=6,-$E107*$I107/12*1,0)))))+IF(CR$5&lt;&gt;$H107,0,IF(CR107&lt;0,IF($J107=4,-$E107*$I107/12*0,IF($J107=5,-$E107*$I107/12*1,IF($J107=6,-$E107*$I107/12*2,IF($J107&gt;=7,-$E107*$I107/12*3,0))))))</f>
        <v>0</v>
      </c>
      <c r="CU107" s="1807">
        <f>IF($H107&lt;&gt;CW$5,0,IF(CW107&lt;0,IF(OR($J107=1,$J107=2,$J107=3,$J107=4,$J107=5,$J107=6,$J107=7),-$E107*$I107/12*3,IF($J107=8,-$E107*$I107/12*2,IF($J107=9,-$E107*$I107/12*1,0)))))+IF(CR$5&lt;&gt;$H107,0,IF(CR107&lt;0,IF($J107=7,-$E107*$I107/12*0,IF($J107=8,-$E107*$I107/12*1,IF($J107=9,-$E107*$I107/12*2,IF($J107&gt;=10,-$E107*$I107/12*3,0))))))</f>
        <v>0</v>
      </c>
      <c r="CV107" s="1806">
        <f>IF($H107&lt;&gt;CW$5,0,IF(CW107&lt;0,IF(OR($J107=1,$J107=2,$J107=3,$J107=4,$J107=5,$J107=6,$J107=7,$J107=8,$J107=9,$J107=10),-$E107*$I107/12*3,IF($J107=11,-$E107*$I107/12*2,IF($J107=12,-$E107*$I107/12*1,0)))))+IF(CR$5&lt;&gt;$H107,0,IF(CR107&lt;0,IF($J107=10,-$E107*$I107/12*0,IF($J107=11,-$E107*$I107/12*1,IF($J107=12,-$E107*$I107/12*2,0)))))</f>
        <v>0</v>
      </c>
      <c r="CW107" s="1791">
        <f>IF(AND(CR107&lt;&gt;0,CR$5=$H107),-$I107*$E107-CR107,IF(CW$5=$H107,-$I107*$E107*(12-$J107+1)/12,0))</f>
        <v>0</v>
      </c>
      <c r="CX107" s="1808">
        <f>IF($H107&lt;&gt;DB$5,0,IF(DB107&lt;0,IF($J107=1,-$E107*$I107/12*3,IF($J107=2,-$E107*$I107/12*2,IF($J107=3,-$E107*$I107/12*1,0)))))+IF(CW$5&lt;&gt;$H107,0,IF(CW107&lt;0,IF($J107=1,-$E107*$I107/12*0,IF($J107=2,-$E107*$I107/12*1,IF($J107=3,-$E107*$I107/12*2,IF($J107&gt;=4,-$E107*$I107/12*3,0))))))</f>
        <v>0</v>
      </c>
      <c r="CY107" s="1807">
        <f>IF($H107&lt;&gt;DB$5,0,IF(DB107&lt;0,IF(OR($J107=1,$J107=2,$J107=3,$J107=4),-$E107*$I107/12*3,IF($J107=5,-$E107*$I107/12*2,IF($J107=6,-$E107*$I107/12*1,0)))))+IF(CW$5&lt;&gt;$H107,0,IF(CW107&lt;0,IF($J107=4,-$E107*$I107/12*0,IF($J107=5,-$E107*$I107/12*1,IF($J107=6,-$E107*$I107/12*2,IF($J107&gt;=7,-$E107*$I107/12*3,0))))))</f>
        <v>0</v>
      </c>
      <c r="CZ107" s="1807">
        <f>IF($H107&lt;&gt;DB$5,0,IF(DB107&lt;0,IF(OR($J107=1,$J107=2,$J107=3,$J107=4,$J107=5,$J107=6,$J107=7),-$E107*$I107/12*3,IF($J107=8,-$E107*$I107/12*2,IF($J107=9,-$E107*$I107/12*1,0)))))+IF(CW$5&lt;&gt;$H107,0,IF(CW107&lt;0,IF($J107=7,-$E107*$I107/12*0,IF($J107=8,-$E107*$I107/12*1,IF($J107=9,-$E107*$I107/12*2,IF($J107&gt;=10,-$E107*$I107/12*3,0))))))</f>
        <v>0</v>
      </c>
      <c r="DA107" s="1806">
        <f>IF($H107&lt;&gt;DB$5,0,IF(DB107&lt;0,IF(OR($J107=1,$J107=2,$J107=3,$J107=4,$J107=5,$J107=6,$J107=7,$J107=8,$J107=9,$J107=10),-$E107*$I107/12*3,IF($J107=11,-$E107*$I107/12*2,IF($J107=12,-$E107*$I107/12*1,0)))))+IF(CW$5&lt;&gt;$H107,0,IF(CW107&lt;0,IF($J107=10,-$E107*$I107/12*0,IF($J107=11,-$E107*$I107/12*1,IF($J107=12,-$E107*$I107/12*2,0)))))</f>
        <v>0</v>
      </c>
      <c r="DB107" s="1791">
        <f>IF(AND(CW107&lt;&gt;0,CW$5=$H107),-$I107*$E107-CW107,IF(DB$5=$H107,-$I107*$E107*(12-$J107+1)/12,0))</f>
        <v>0</v>
      </c>
      <c r="DC107" s="1808">
        <f>IF($H107&lt;&gt;DG$5,0,IF(DG107&lt;0,IF($J107=1,-$E107*$I107/12*3,IF($J107=2,-$E107*$I107/12*2,IF($J107=3,-$E107*$I107/12*1,0)))))+IF(DB$5&lt;&gt;$H107,0,IF(DB107&lt;0,IF($J107=1,-$E107*$I107/12*0,IF($J107=2,-$E107*$I107/12*1,IF($J107=3,-$E107*$I107/12*2,IF($J107&gt;=4,-$E107*$I107/12*3,0))))))</f>
        <v>0</v>
      </c>
      <c r="DD107" s="1807">
        <f>IF($H107&lt;&gt;DG$5,0,IF(DG107&lt;0,IF(OR($J107=1,$J107=2,$J107=3,$J107=4),-$E107*$I107/12*3,IF($J107=5,-$E107*$I107/12*2,IF($J107=6,-$E107*$I107/12*1,0)))))+IF(DB$5&lt;&gt;$H107,0,IF(DB107&lt;0,IF($J107=4,-$E107*$I107/12*0,IF($J107=5,-$E107*$I107/12*1,IF($J107=6,-$E107*$I107/12*2,IF($J107&gt;=7,-$E107*$I107/12*3,0))))))</f>
        <v>0</v>
      </c>
      <c r="DE107" s="1807">
        <f>IF($H107&lt;&gt;DG$5,0,IF(DG107&lt;0,IF(OR($J107=1,$J107=2,$J107=3,$J107=4,$J107=5,$J107=6,$J107=7),-$E107*$I107/12*3,IF($J107=8,-$E107*$I107/12*2,IF($J107=9,-$E107*$I107/12*1,0)))))+IF(DB$5&lt;&gt;$H107,0,IF(DB107&lt;0,IF($J107=7,-$E107*$I107/12*0,IF($J107=8,-$E107*$I107/12*1,IF($J107=9,-$E107*$I107/12*2,IF($J107&gt;=10,-$E107*$I107/12*3,0))))))</f>
        <v>0</v>
      </c>
      <c r="DF107" s="1806">
        <f>IF($H107&lt;&gt;DG$5,0,IF(DG107&lt;0,IF(OR($J107=1,$J107=2,$J107=3,$J107=4,$J107=5,$J107=6,$J107=7,$J107=8,$J107=9,$J107=10),-$E107*$I107/12*3,IF($J107=11,-$E107*$I107/12*2,IF($J107=12,-$E107*$I107/12*1,0)))))+IF(DB$5&lt;&gt;$H107,0,IF(DB107&lt;0,IF($J107=10,-$E107*$I107/12*0,IF($J107=11,-$E107*$I107/12*1,IF($J107=12,-$E107*$I107/12*2,0)))))</f>
        <v>0</v>
      </c>
      <c r="DG107" s="1791">
        <f>IF(AND(DB107&lt;&gt;0,DB$5=$H107),-$I107*$E107-DB107,IF(DG$5=$H107,-$I107*$E107*(12-$J107+1)/12,0))</f>
        <v>0</v>
      </c>
      <c r="DH107" s="1808">
        <f>IF($H107&lt;&gt;DL$5,0,IF(DL107&lt;0,IF($J107=1,-$E107*$I107/12*3,IF($J107=2,-$E107*$I107/12*2,IF($J107=3,-$E107*$I107/12*1,0)))))+IF(DG$5&lt;&gt;$H107,0,IF(DG107&lt;0,IF($J107=1,-$E107*$I107/12*0,IF($J107=2,-$E107*$I107/12*1,IF($J107=3,-$E107*$I107/12*2,IF($J107&gt;=4,-$E107*$I107/12*3,0))))))</f>
        <v>0</v>
      </c>
      <c r="DI107" s="1807">
        <f>IF($H107&lt;&gt;DL$5,0,IF(DL107&lt;0,IF(OR($J107=1,$J107=2,$J107=3,$J107=4),-$E107*$I107/12*3,IF($J107=5,-$E107*$I107/12*2,IF($J107=6,-$E107*$I107/12*1,0)))))+IF(DG$5&lt;&gt;$H107,0,IF(DG107&lt;0,IF($J107=4,-$E107*$I107/12*0,IF($J107=5,-$E107*$I107/12*1,IF($J107=6,-$E107*$I107/12*2,IF($J107&gt;=7,-$E107*$I107/12*3,0))))))</f>
        <v>0</v>
      </c>
      <c r="DJ107" s="1807">
        <f>IF($H107&lt;&gt;DL$5,0,IF(DL107&lt;0,IF(OR($J107=1,$J107=2,$J107=3,$J107=4,$J107=5,$J107=6,$J107=7),-$E107*$I107/12*3,IF($J107=8,-$E107*$I107/12*2,IF($J107=9,-$E107*$I107/12*1,0)))))+IF(DG$5&lt;&gt;$H107,0,IF(DG107&lt;0,IF($J107=7,-$E107*$I107/12*0,IF($J107=8,-$E107*$I107/12*1,IF($J107=9,-$E107*$I107/12*2,IF($J107&gt;=10,-$E107*$I107/12*3,0))))))</f>
        <v>0</v>
      </c>
      <c r="DK107" s="1806">
        <f>IF($H107&lt;&gt;DL$5,0,IF(DL107&lt;0,IF(OR($J107=1,$J107=2,$J107=3,$J107=4,$J107=5,$J107=6,$J107=7,$J107=8,$J107=9,$J107=10),-$E107*$I107/12*3,IF($J107=11,-$E107*$I107/12*2,IF($J107=12,-$E107*$I107/12*1,0)))))+IF(DG$5&lt;&gt;$H107,0,IF(DG107&lt;0,IF($J107=10,-$E107*$I107/12*0,IF($J107=11,-$E107*$I107/12*1,IF($J107=12,-$E107*$I107/12*2,0)))))</f>
        <v>0</v>
      </c>
      <c r="DL107" s="1791">
        <f>IF(AND(DG107&lt;&gt;0,DG$5=$H107),-$I107*$E107-DG107,IF(DL$5=$H107,-$I107*$E107*(12-$J107+1)/12,0))</f>
        <v>0</v>
      </c>
      <c r="DM107" s="1808">
        <f>IF($H107&lt;&gt;DQ$5,0,IF(DQ107&lt;0,IF($J107=1,-$E107*$I107/12*3,IF($J107=2,-$E107*$I107/12*2,IF($J107=3,-$E107*$I107/12*1,0)))))+IF(DL$5&lt;&gt;$H107,0,IF(DL107&lt;0,IF($J107=1,-$E107*$I107/12*0,IF($J107=2,-$E107*$I107/12*1,IF($J107=3,-$E107*$I107/12*2,IF($J107&gt;=4,-$E107*$I107/12*3,0))))))</f>
        <v>0</v>
      </c>
      <c r="DN107" s="1807">
        <f>IF($H107&lt;&gt;DQ$5,0,IF(DQ107&lt;0,IF(OR($J107=1,$J107=2,$J107=3,$J107=4),-$E107*$I107/12*3,IF($J107=5,-$E107*$I107/12*2,IF($J107=6,-$E107*$I107/12*1,0)))))+IF(DL$5&lt;&gt;$H107,0,IF(DL107&lt;0,IF($J107=4,-$E107*$I107/12*0,IF($J107=5,-$E107*$I107/12*1,IF($J107=6,-$E107*$I107/12*2,IF($J107&gt;=7,-$E107*$I107/12*3,0))))))</f>
        <v>0</v>
      </c>
      <c r="DO107" s="1807">
        <f>IF($H107&lt;&gt;DQ$5,0,IF(DQ107&lt;0,IF(OR($J107=1,$J107=2,$J107=3,$J107=4,$J107=5,$J107=6,$J107=7),-$E107*$I107/12*3,IF($J107=8,-$E107*$I107/12*2,IF($J107=9,-$E107*$I107/12*1,0)))))+IF(DL$5&lt;&gt;$H107,0,IF(DL107&lt;0,IF($J107=7,-$E107*$I107/12*0,IF($J107=8,-$E107*$I107/12*1,IF($J107=9,-$E107*$I107/12*2,IF($J107&gt;=10,-$E107*$I107/12*3,0))))))</f>
        <v>0</v>
      </c>
      <c r="DP107" s="1806">
        <f>IF($H107&lt;&gt;DQ$5,0,IF(DQ107&lt;0,IF(OR($J107=1,$J107=2,$J107=3,$J107=4,$J107=5,$J107=6,$J107=7,$J107=8,$J107=9,$J107=10),-$E107*$I107/12*3,IF($J107=11,-$E107*$I107/12*2,IF($J107=12,-$E107*$I107/12*1,0)))))+IF(DL$5&lt;&gt;$H107,0,IF(DL107&lt;0,IF($J107=10,-$E107*$I107/12*0,IF($J107=11,-$E107*$I107/12*1,IF($J107=12,-$E107*$I107/12*2,0)))))</f>
        <v>0</v>
      </c>
      <c r="DQ107" s="1791">
        <f>IF(AND(DL107&lt;&gt;0,DL$5=$H107),-$I107*$E107-DL107,IF(DQ$5=$H107,-$I107*$E107*(12-$J107+1)/12,0))</f>
        <v>0</v>
      </c>
      <c r="DR107" s="1808">
        <f>IF($H107&lt;&gt;DV$5,0,IF(DV107&lt;0,IF($J107=1,-$E107*$I107/12*3,IF($J107=2,-$E107*$I107/12*2,IF($J107=3,-$E107*$I107/12*1,0)))))+IF(DQ$5&lt;&gt;$H107,0,IF(DQ107&lt;0,IF($J107=1,-$E107*$I107/12*0,IF($J107=2,-$E107*$I107/12*1,IF($J107=3,-$E107*$I107/12*2,IF($J107&gt;=4,-$E107*$I107/12*3,0))))))</f>
        <v>0</v>
      </c>
      <c r="DS107" s="1807">
        <f>IF($H107&lt;&gt;DV$5,0,IF(DV107&lt;0,IF(OR($J107=1,$J107=2,$J107=3,$J107=4),-$E107*$I107/12*3,IF($J107=5,-$E107*$I107/12*2,IF($J107=6,-$E107*$I107/12*1,0)))))+IF(DQ$5&lt;&gt;$H107,0,IF(DQ107&lt;0,IF($J107=4,-$E107*$I107/12*0,IF($J107=5,-$E107*$I107/12*1,IF($J107=6,-$E107*$I107/12*2,IF($J107&gt;=7,-$E107*$I107/12*3,0))))))</f>
        <v>0</v>
      </c>
      <c r="DT107" s="1807">
        <f>IF($H107&lt;&gt;DV$5,0,IF(DV107&lt;0,IF(OR($J107=1,$J107=2,$J107=3,$J107=4,$J107=5,$J107=6,$J107=7),-$E107*$I107/12*3,IF($J107=8,-$E107*$I107/12*2,IF($J107=9,-$E107*$I107/12*1,0)))))+IF(DQ$5&lt;&gt;$H107,0,IF(DQ107&lt;0,IF($J107=7,-$E107*$I107/12*0,IF($J107=8,-$E107*$I107/12*1,IF($J107=9,-$E107*$I107/12*2,IF($J107&gt;=10,-$E107*$I107/12*3,0))))))</f>
        <v>0</v>
      </c>
      <c r="DU107" s="1806">
        <f>IF($H107&lt;&gt;DV$5,0,IF(DV107&lt;0,IF(OR($J107=1,$J107=2,$J107=3,$J107=4,$J107=5,$J107=6,$J107=7,$J107=8,$J107=9,$J107=10),-$E107*$I107/12*3,IF($J107=11,-$E107*$I107/12*2,IF($J107=12,-$E107*$I107/12*1,0)))))+IF(DQ$5&lt;&gt;$H107,0,IF(DQ107&lt;0,IF($J107=10,-$E107*$I107/12*0,IF($J107=11,-$E107*$I107/12*1,IF($J107=12,-$E107*$I107/12*2,0)))))</f>
        <v>0</v>
      </c>
      <c r="DV107" s="1791">
        <f>IF(AND(DQ107&lt;&gt;0,DQ$5=$H107),-$I107*$E107-DQ107,IF(DV$5=$H107,-$I107*$E107*(12-$J107+1)/12,0))</f>
        <v>0</v>
      </c>
    </row>
    <row r="108" spans="1:126">
      <c r="A108" s="455"/>
      <c r="B108" s="455"/>
      <c r="C108" s="1363" t="s">
        <v>757</v>
      </c>
      <c r="D108" s="455"/>
      <c r="E108" s="1817">
        <f>IF(F108=0,G108,F108)</f>
        <v>79.227999999999994</v>
      </c>
      <c r="F108" s="1435">
        <v>79.227999999999994</v>
      </c>
      <c r="G108" s="1435">
        <v>100.97199999999999</v>
      </c>
      <c r="H108" s="1350">
        <v>2021</v>
      </c>
      <c r="I108" s="1335">
        <v>2.0400000000000001E-2</v>
      </c>
      <c r="J108" s="1343">
        <v>6</v>
      </c>
      <c r="K108" s="1792"/>
      <c r="L108" s="1810">
        <f>IF(L$5=$H108,-$E108,0)</f>
        <v>0</v>
      </c>
      <c r="M108" s="1791">
        <f>IF(M$5=$H108,-$E108,0)</f>
        <v>0</v>
      </c>
      <c r="N108" s="1808">
        <f>IF(R108=0,0,IF(R108&lt;0,IF($J108=3,R108,IF($J108=2,R108,IF($J108=1,R108,0)))))</f>
        <v>0</v>
      </c>
      <c r="O108" s="1807">
        <f>IF(R108=0,0,IF(R108&lt;0,IF($J108=6,R108,IF($J108=5,R108,IF($J108=4,R108,0)))))</f>
        <v>0</v>
      </c>
      <c r="P108" s="1807">
        <f>IF(R108=0,0,IF(R108&lt;0,IF($J108=9,R108,IF($J108=8,R108,IF($J108=7,R108,0)))))</f>
        <v>0</v>
      </c>
      <c r="Q108" s="1806">
        <f>IF(R108=0,0,IF(R108&lt;0,IF($J108=12,R108,IF($J108=11,R108,IF($J108=10,R108,0)))))</f>
        <v>0</v>
      </c>
      <c r="R108" s="1791">
        <f>IF(R$5=$H108,-$E108,0)</f>
        <v>0</v>
      </c>
      <c r="S108" s="1808">
        <f>IF(W108=0,0,IF(W108&lt;0,IF($J108=3,W108,IF($J108=2,W108,IF($J108=1,W108,0)))))</f>
        <v>0</v>
      </c>
      <c r="T108" s="1807">
        <f>IF(W108=0,0,IF(W108&lt;0,IF($J108=6,W108,IF($J108=5,W108,IF($J108=4,W108,0)))))</f>
        <v>0</v>
      </c>
      <c r="U108" s="1807">
        <f>IF(W108=0,0,IF(W108&lt;0,IF($J108=9,W108,IF($J108=8,W108,IF($J108=7,W108,0)))))</f>
        <v>0</v>
      </c>
      <c r="V108" s="1806">
        <f>IF(W108=0,0,IF(W108&lt;0,IF($J108=12,W108,IF($J108=11,W108,IF($J108=10,W108,0)))))</f>
        <v>0</v>
      </c>
      <c r="W108" s="1791">
        <f>IF(W$5=$H108,-$E108,0)</f>
        <v>0</v>
      </c>
      <c r="X108" s="1808">
        <f>IF(AB108=0,0,IF(AB108&lt;0,IF($J108=3,AB108,IF($J108=2,AB108,IF($J108=1,AB108,0)))))</f>
        <v>0</v>
      </c>
      <c r="Y108" s="1807">
        <f>IF(AB108=0,0,IF(AB108&lt;0,IF($J108=6,AB108,IF($J108=5,AB108,IF($J108=4,AB108,0)))))</f>
        <v>0</v>
      </c>
      <c r="Z108" s="1807">
        <f>IF(AB108=0,0,IF(AB108&lt;0,IF($J108=9,AB108,IF($J108=8,AB108,IF($J108=7,AB108,0)))))</f>
        <v>0</v>
      </c>
      <c r="AA108" s="1806">
        <f>IF(AB108=0,0,IF(AB108&lt;0,IF($J108=12,AB108,IF($J108=11,AB108,IF($J108=10,AB108,0)))))</f>
        <v>0</v>
      </c>
      <c r="AB108" s="1791">
        <f>IF(AB$5=$H108,-$E108,0)</f>
        <v>0</v>
      </c>
      <c r="AC108" s="1808">
        <f>IF(AG108=0,0,IF(AG108&lt;0,IF($J108=3,AG108,IF($J108=2,AG108,IF($J108=1,AG108,0)))))</f>
        <v>0</v>
      </c>
      <c r="AD108" s="1807">
        <f>IF(AG108=0,0,IF(AG108&lt;0,IF($J108=6,AG108,IF($J108=5,AG108,IF($J108=4,AG108,0)))))</f>
        <v>0</v>
      </c>
      <c r="AE108" s="1807">
        <f>IF(AG108=0,0,IF(AG108&lt;0,IF($J108=9,AG108,IF($J108=8,AG108,IF($J108=7,AG108,0)))))</f>
        <v>0</v>
      </c>
      <c r="AF108" s="1806">
        <f>IF(AG108=0,0,IF(AG108&lt;0,IF($J108=12,AG108,IF($J108=11,AG108,IF($J108=10,AG108,0)))))</f>
        <v>0</v>
      </c>
      <c r="AG108" s="1791">
        <f>IF(AG$5=$H108,-$E108,0)</f>
        <v>0</v>
      </c>
      <c r="AH108" s="1808">
        <f>IF(AL108=0,0,IF(AL108&lt;0,IF($J108=3,AL108,IF($J108=2,AL108,IF($J108=1,AL108,0)))))</f>
        <v>0</v>
      </c>
      <c r="AI108" s="1807">
        <f>IF(AL108=0,0,IF(AL108&lt;0,IF($J108=6,AL108,IF($J108=5,AL108,IF($J108=4,AL108,0)))))</f>
        <v>0</v>
      </c>
      <c r="AJ108" s="1807">
        <f>IF(AL108=0,0,IF(AL108&lt;0,IF($J108=9,AL108,IF($J108=8,AL108,IF($J108=7,AL108,0)))))</f>
        <v>0</v>
      </c>
      <c r="AK108" s="1806">
        <f>IF(AL108=0,0,IF(AL108&lt;0,IF($J108=12,AL108,IF($J108=11,AL108,IF($J108=10,AL108,0)))))</f>
        <v>0</v>
      </c>
      <c r="AL108" s="1791">
        <f>IF(AL$5=$H108,-$E108,0)</f>
        <v>0</v>
      </c>
      <c r="AM108" s="1808">
        <f>IF(AQ108=0,0,IF(AQ108&lt;0,IF($J108=3,AQ108,IF($J108=2,AQ108,IF($J108=1,AQ108,0)))))</f>
        <v>0</v>
      </c>
      <c r="AN108" s="1807">
        <f>IF(AQ108=0,0,IF(AQ108&lt;0,IF($J108=6,AQ108,IF($J108=5,AQ108,IF($J108=4,AQ108,0)))))</f>
        <v>0</v>
      </c>
      <c r="AO108" s="1807">
        <f>IF(AQ108=0,0,IF(AQ108&lt;0,IF($J108=9,AQ108,IF($J108=8,AQ108,IF($J108=7,AQ108,0)))))</f>
        <v>0</v>
      </c>
      <c r="AP108" s="1806">
        <f>IF(AQ108=0,0,IF(AQ108&lt;0,IF($J108=12,AQ108,IF($J108=11,AQ108,IF($J108=10,AQ108,0)))))</f>
        <v>0</v>
      </c>
      <c r="AQ108" s="1791">
        <f>IF(AQ$5=$H108,-$E108,0)</f>
        <v>0</v>
      </c>
      <c r="AR108" s="1808">
        <f>IF(AV108=0,0,IF(AV108&lt;0,IF($J108=3,AV108,IF($J108=2,AV108,IF($J108=1,AV108,0)))))</f>
        <v>0</v>
      </c>
      <c r="AS108" s="1807">
        <f>IF(AV108=0,0,IF(AV108&lt;0,IF($J108=6,AV108,IF($J108=5,AV108,IF($J108=4,AV108,0)))))</f>
        <v>0</v>
      </c>
      <c r="AT108" s="1807">
        <f>IF(AV108=0,0,IF(AV108&lt;0,IF($J108=9,AV108,IF($J108=8,AV108,IF($J108=7,AV108,0)))))</f>
        <v>0</v>
      </c>
      <c r="AU108" s="1806">
        <f>IF(AV108=0,0,IF(AV108&lt;0,IF($J108=12,AV108,IF($J108=11,AV108,IF($J108=10,AV108,0)))))</f>
        <v>0</v>
      </c>
      <c r="AV108" s="1791">
        <f>IF(AV$5=$H108,-$E108,0)</f>
        <v>0</v>
      </c>
      <c r="AW108" s="1808">
        <f>IF(BA108=0,0,IF(BA108&lt;0,IF($J108=3,BA108,IF($J108=2,BA108,IF($J108=1,BA108,0)))))</f>
        <v>0</v>
      </c>
      <c r="AX108" s="1807">
        <f>IF(BA108=0,0,IF(BA108&lt;0,IF($J108=6,BA108,IF($J108=5,BA108,IF($J108=4,BA108,0)))))</f>
        <v>0</v>
      </c>
      <c r="AY108" s="1807">
        <f>IF(BA108=0,0,IF(BA108&lt;0,IF($J108=9,BA108,IF($J108=8,BA108,IF($J108=7,BA108,0)))))</f>
        <v>0</v>
      </c>
      <c r="AZ108" s="1806">
        <f>IF(BA108=0,0,IF(BA108&lt;0,IF($J108=12,BA108,IF($J108=11,BA108,IF($J108=10,BA108,0)))))</f>
        <v>0</v>
      </c>
      <c r="BA108" s="1791">
        <f>IF(BA$5=$H108,-$E108,0)</f>
        <v>0</v>
      </c>
      <c r="BB108" s="1808">
        <f>IF(BF108=0,0,IF(BF108&lt;0,IF($J108=3,BF108,IF($J108=2,BF108,IF($J108=1,BF108,0)))))</f>
        <v>0</v>
      </c>
      <c r="BC108" s="1807">
        <f>IF(BF108=0,0,IF(BF108&lt;0,IF($J108=6,BF108,IF($J108=5,BF108,IF($J108=4,BF108,0)))))</f>
        <v>0</v>
      </c>
      <c r="BD108" s="1807">
        <f>IF(BF108=0,0,IF(BF108&lt;0,IF($J108=9,BF108,IF($J108=8,BF108,IF($J108=7,BF108,0)))))</f>
        <v>0</v>
      </c>
      <c r="BE108" s="1806">
        <f>IF(BF108=0,0,IF(BF108&lt;0,IF($J108=12,BF108,IF($J108=11,BF108,IF($J108=10,BF108,0)))))</f>
        <v>0</v>
      </c>
      <c r="BF108" s="1791">
        <f>IF(BF$5=$H108,-$E108,0)</f>
        <v>0</v>
      </c>
      <c r="BG108" s="1808">
        <f>IF(BK108=0,0,IF(BK108&lt;0,IF($J108=3,BK108,IF($J108=2,BK108,IF($J108=1,BK108,0)))))</f>
        <v>0</v>
      </c>
      <c r="BH108" s="1807">
        <f>IF(BK108=0,0,IF(BK108&lt;0,IF($J108=6,BK108,IF($J108=5,BK108,IF($J108=4,BK108,0)))))</f>
        <v>0</v>
      </c>
      <c r="BI108" s="1807">
        <f>IF(BK108=0,0,IF(BK108&lt;0,IF($J108=9,BK108,IF($J108=8,BK108,IF($J108=7,BK108,0)))))</f>
        <v>0</v>
      </c>
      <c r="BJ108" s="1806">
        <f>IF(BK108=0,0,IF(BK108&lt;0,IF($J108=12,BK108,IF($J108=11,BK108,IF($J108=10,BK108,0)))))</f>
        <v>0</v>
      </c>
      <c r="BK108" s="1791">
        <f>IF(BK$5=$H108,-$E108,0)</f>
        <v>0</v>
      </c>
      <c r="BL108" s="1808">
        <f>IF(BP108=0,0,IF(BP108&lt;0,IF($J108=3,BP108,IF($J108=2,BP108,IF($J108=1,BP108,0)))))</f>
        <v>0</v>
      </c>
      <c r="BM108" s="1807">
        <f>IF(BP108=0,0,IF(BP108&lt;0,IF($J108=6,BP108,IF($J108=5,BP108,IF($J108=4,BP108,0)))))</f>
        <v>-79.227999999999994</v>
      </c>
      <c r="BN108" s="1807">
        <f>IF(BP108=0,0,IF(BP108&lt;0,IF($J108=9,BP108,IF($J108=8,BP108,IF($J108=7,BP108,0)))))</f>
        <v>0</v>
      </c>
      <c r="BO108" s="1806">
        <f>IF(BP108=0,0,IF(BP108&lt;0,IF($J108=12,BP108,IF($J108=11,BP108,IF($J108=10,BP108,0)))))</f>
        <v>0</v>
      </c>
      <c r="BP108" s="1791">
        <f>IF(BP$5=$H108,-$E108,0)</f>
        <v>-79.227999999999994</v>
      </c>
      <c r="BQ108" s="1827"/>
      <c r="BR108" s="1791">
        <f>IF(AND(BQ108&lt;&gt;0,BQ$5=$H108),-$I108*$E108-BQ108,IF(BR$5=$H108,-$I108*$E108*(12-$J108+1)/12,0))</f>
        <v>0</v>
      </c>
      <c r="BS108" s="1791">
        <f>IF(AND(BR108&lt;&gt;0,BR$5=$H108),-$I108*$E108-BR108,IF(BS$5=$H108,-$I108*$E108*(12-$J108+1)/12,0))</f>
        <v>0</v>
      </c>
      <c r="BT108" s="1808">
        <f>IF($H108&lt;&gt;BX$5,0,IF(BX108&lt;0,IF($J108=1,-$E108*$I108/12*3,IF($J108=2,-$E108*$I108/12*2,IF($J108=3,-$E108*$I108/12*1,0)))))+IF(BS$5&lt;&gt;$H108,0,IF(BS108&lt;0,IF($J108=1,-$E108*$I108/12*0,IF($J108=2,-$E108*$I108/12*1,IF($J108=3,-$E108*$I108/12*2,IF($J108&gt;=4,-$E108*$I108/12*3,0))))))</f>
        <v>0</v>
      </c>
      <c r="BU108" s="1807">
        <f>IF($H108&lt;&gt;BX$5,0,IF(BX108&lt;0,IF(OR($J108=1,$J108=2,$J108=3,$J108=4),-$E108*$I108/12*3,IF($J108=5,-$E108*$I108/12*2,IF($J108=6,-$E108*$I108/12*1,0)))))+IF(BS$5&lt;&gt;$H108,0,IF(BS108&lt;0,IF($J108=4,-$E108*$I108/12*0,IF($J108=5,-$E108*$I108/12*1,IF($J108=6,-$E108*$I108/12*2,IF($J108&gt;=7,-$E108*$I108/12*3,0))))))</f>
        <v>0</v>
      </c>
      <c r="BV108" s="1807">
        <f>IF($H108&lt;&gt;BX$5,0,IF(BX108&lt;0,IF(OR($J108=1,$J108=2,$J108=3,$J108=4,$J108=5,$J108=6,$J108=7),-$E108*$I108/12*3,IF($J108=8,-$E108*$I108/12*2,IF($J108=9,-$E108*$I108/12*1,0)))))+IF(BS$5&lt;&gt;$H108,0,IF(BS108&lt;0,IF($J108=7,-$E108*$I108/12*0,IF($J108=8,-$E108*$I108/12*1,IF($J108=9,-$E108*$I108/12*2,IF($J108&gt;=10,-$E108*$I108/12*3,0))))))</f>
        <v>0</v>
      </c>
      <c r="BW108" s="1806">
        <f>IF($H108&lt;&gt;BX$5,0,IF(BX108&lt;0,IF(OR($J108=1,$J108=2,$J108=3,$J108=4,$J108=5,$J108=6,$J108=7,$J108=8,$J108=9,$J108=10),-$E108*$I108/12*3,IF($J108=11,-$E108*$I108/12*2,IF($J108=12,-$E108*$I108/12*1,0)))))+IF(BS$5&lt;&gt;$H108,0,IF(BS108&lt;0,IF($J108=10,-$E108*$I108/12*0,IF($J108=11,-$E108*$I108/12*1,IF($J108=12,-$E108*$I108/12*2,0)))))</f>
        <v>0</v>
      </c>
      <c r="BX108" s="1791">
        <f>IF(AND(BS108&lt;&gt;0,BS$5=$H108),-$I108*$E108-BS108,IF(BX$5=$H108,-$I108*$E108*(12-$J108+1)/12,0))</f>
        <v>0</v>
      </c>
      <c r="BY108" s="1808">
        <f>IF($H108&lt;&gt;CC$5,0,IF(CC108&lt;0,IF($J108=1,-$E108*$I108/12*3,IF($J108=2,-$E108*$I108/12*2,IF($J108=3,-$E108*$I108/12*1,0)))))+IF(BX$5&lt;&gt;$H108,0,IF(BX108&lt;0,IF($J108=1,-$E108*$I108/12*0,IF($J108=2,-$E108*$I108/12*1,IF($J108=3,-$E108*$I108/12*2,IF($J108&gt;=4,-$E108*$I108/12*3,0))))))</f>
        <v>0</v>
      </c>
      <c r="BZ108" s="1807">
        <f>IF($H108&lt;&gt;CC$5,0,IF(CC108&lt;0,IF(OR($J108=1,$J108=2,$J108=3,$J108=4),-$E108*$I108/12*3,IF($J108=5,-$E108*$I108/12*2,IF($J108=6,-$E108*$I108/12*1,0)))))+IF(BX$5&lt;&gt;$H108,0,IF(BX108&lt;0,IF($J108=4,-$E108*$I108/12*0,IF($J108=5,-$E108*$I108/12*1,IF($J108=6,-$E108*$I108/12*2,IF($J108&gt;=7,-$E108*$I108/12*3,0))))))</f>
        <v>0</v>
      </c>
      <c r="CA108" s="1807">
        <f>IF($H108&lt;&gt;CC$5,0,IF(CC108&lt;0,IF(OR($J108=1,$J108=2,$J108=3,$J108=4,$J108=5,$J108=6,$J108=7),-$E108*$I108/12*3,IF($J108=8,-$E108*$I108/12*2,IF($J108=9,-$E108*$I108/12*1,0)))))+IF(BX$5&lt;&gt;$H108,0,IF(BX108&lt;0,IF($J108=7,-$E108*$I108/12*0,IF($J108=8,-$E108*$I108/12*1,IF($J108=9,-$E108*$I108/12*2,IF($J108&gt;=10,-$E108*$I108/12*3,0))))))</f>
        <v>0</v>
      </c>
      <c r="CB108" s="1806">
        <f>IF($H108&lt;&gt;CC$5,0,IF(CC108&lt;0,IF(OR($J108=1,$J108=2,$J108=3,$J108=4,$J108=5,$J108=6,$J108=7,$J108=8,$J108=9,$J108=10),-$E108*$I108/12*3,IF($J108=11,-$E108*$I108/12*2,IF($J108=12,-$E108*$I108/12*1,0)))))+IF(BX$5&lt;&gt;$H108,0,IF(BX108&lt;0,IF($J108=10,-$E108*$I108/12*0,IF($J108=11,-$E108*$I108/12*1,IF($J108=12,-$E108*$I108/12*2,0)))))</f>
        <v>0</v>
      </c>
      <c r="CC108" s="1791">
        <f>IF(AND(BX108&lt;&gt;0,BX$5=$H108),-$I108*$E108-BX108,IF(CC$5=$H108,-$I108*$E108*(12-$J108+1)/12,0))</f>
        <v>0</v>
      </c>
      <c r="CD108" s="1808">
        <f>IF($H108&lt;&gt;CH$5,0,IF(CH108&lt;0,IF($J108=1,-$E108*$I108/12*3,IF($J108=2,-$E108*$I108/12*2,IF($J108=3,-$E108*$I108/12*1,0)))))+IF(CC$5&lt;&gt;$H108,0,IF(CC108&lt;0,IF($J108=1,-$E108*$I108/12*0,IF($J108=2,-$E108*$I108/12*1,IF($J108=3,-$E108*$I108/12*2,IF($J108&gt;=4,-$E108*$I108/12*3,0))))))</f>
        <v>0</v>
      </c>
      <c r="CE108" s="1807">
        <f>IF($H108&lt;&gt;CH$5,0,IF(CH108&lt;0,IF(OR($J108=1,$J108=2,$J108=3,$J108=4),-$E108*$I108/12*3,IF($J108=5,-$E108*$I108/12*2,IF($J108=6,-$E108*$I108/12*1,0)))))+IF(CC$5&lt;&gt;$H108,0,IF(CC108&lt;0,IF($J108=4,-$E108*$I108/12*0,IF($J108=5,-$E108*$I108/12*1,IF($J108=6,-$E108*$I108/12*2,IF($J108&gt;=7,-$E108*$I108/12*3,0))))))</f>
        <v>0</v>
      </c>
      <c r="CF108" s="1807">
        <f>IF($H108&lt;&gt;CH$5,0,IF(CH108&lt;0,IF(OR($J108=1,$J108=2,$J108=3,$J108=4,$J108=5,$J108=6,$J108=7),-$E108*$I108/12*3,IF($J108=8,-$E108*$I108/12*2,IF($J108=9,-$E108*$I108/12*1,0)))))+IF(CC$5&lt;&gt;$H108,0,IF(CC108&lt;0,IF($J108=7,-$E108*$I108/12*0,IF($J108=8,-$E108*$I108/12*1,IF($J108=9,-$E108*$I108/12*2,IF($J108&gt;=10,-$E108*$I108/12*3,0))))))</f>
        <v>0</v>
      </c>
      <c r="CG108" s="1806">
        <f>IF($H108&lt;&gt;CH$5,0,IF(CH108&lt;0,IF(OR($J108=1,$J108=2,$J108=3,$J108=4,$J108=5,$J108=6,$J108=7,$J108=8,$J108=9,$J108=10),-$E108*$I108/12*3,IF($J108=11,-$E108*$I108/12*2,IF($J108=12,-$E108*$I108/12*1,0)))))+IF(CC$5&lt;&gt;$H108,0,IF(CC108&lt;0,IF($J108=10,-$E108*$I108/12*0,IF($J108=11,-$E108*$I108/12*1,IF($J108=12,-$E108*$I108/12*2,0)))))</f>
        <v>0</v>
      </c>
      <c r="CH108" s="1791">
        <f>IF(AND(CC108&lt;&gt;0,CC$5=$H108),-$I108*$E108-CC108,IF(CH$5=$H108,-$I108*$E108*(12-$J108+1)/12,0))</f>
        <v>0</v>
      </c>
      <c r="CI108" s="1808">
        <f>IF($H108&lt;&gt;CM$5,0,IF(CM108&lt;0,IF($J108=1,-$E108*$I108/12*3,IF($J108=2,-$E108*$I108/12*2,IF($J108=3,-$E108*$I108/12*1,0)))))+IF(CH$5&lt;&gt;$H108,0,IF(CH108&lt;0,IF($J108=1,-$E108*$I108/12*0,IF($J108=2,-$E108*$I108/12*1,IF($J108=3,-$E108*$I108/12*2,IF($J108&gt;=4,-$E108*$I108/12*3,0))))))</f>
        <v>0</v>
      </c>
      <c r="CJ108" s="1807">
        <f>IF($H108&lt;&gt;CM$5,0,IF(CM108&lt;0,IF(OR($J108=1,$J108=2,$J108=3,$J108=4),-$E108*$I108/12*3,IF($J108=5,-$E108*$I108/12*2,IF($J108=6,-$E108*$I108/12*1,0)))))+IF(CH$5&lt;&gt;$H108,0,IF(CH108&lt;0,IF($J108=4,-$E108*$I108/12*0,IF($J108=5,-$E108*$I108/12*1,IF($J108=6,-$E108*$I108/12*2,IF($J108&gt;=7,-$E108*$I108/12*3,0))))))</f>
        <v>0</v>
      </c>
      <c r="CK108" s="1807">
        <f>IF($H108&lt;&gt;CM$5,0,IF(CM108&lt;0,IF(OR($J108=1,$J108=2,$J108=3,$J108=4,$J108=5,$J108=6,$J108=7),-$E108*$I108/12*3,IF($J108=8,-$E108*$I108/12*2,IF($J108=9,-$E108*$I108/12*1,0)))))+IF(CH$5&lt;&gt;$H108,0,IF(CH108&lt;0,IF($J108=7,-$E108*$I108/12*0,IF($J108=8,-$E108*$I108/12*1,IF($J108=9,-$E108*$I108/12*2,IF($J108&gt;=10,-$E108*$I108/12*3,0))))))</f>
        <v>0</v>
      </c>
      <c r="CL108" s="1806">
        <f>IF($H108&lt;&gt;CM$5,0,IF(CM108&lt;0,IF(OR($J108=1,$J108=2,$J108=3,$J108=4,$J108=5,$J108=6,$J108=7,$J108=8,$J108=9,$J108=10),-$E108*$I108/12*3,IF($J108=11,-$E108*$I108/12*2,IF($J108=12,-$E108*$I108/12*1,0)))))+IF(CH$5&lt;&gt;$H108,0,IF(CH108&lt;0,IF($J108=10,-$E108*$I108/12*0,IF($J108=11,-$E108*$I108/12*1,IF($J108=12,-$E108*$I108/12*2,0)))))</f>
        <v>0</v>
      </c>
      <c r="CM108" s="1791">
        <f>IF(AND(CH108&lt;&gt;0,CH$5=$H108),-$I108*$E108-CH108,IF(CM$5=$H108,-$I108*$E108*(12-$J108+1)/12,0))</f>
        <v>0</v>
      </c>
      <c r="CN108" s="1808">
        <f>IF($H108&lt;&gt;CR$5,0,IF(CR108&lt;0,IF($J108=1,-$E108*$I108/12*3,IF($J108=2,-$E108*$I108/12*2,IF($J108=3,-$E108*$I108/12*1,0)))))+IF(CM$5&lt;&gt;$H108,0,IF(CM108&lt;0,IF($J108=1,-$E108*$I108/12*0,IF($J108=2,-$E108*$I108/12*1,IF($J108=3,-$E108*$I108/12*2,IF($J108&gt;=4,-$E108*$I108/12*3,0))))))</f>
        <v>0</v>
      </c>
      <c r="CO108" s="1807">
        <f>IF($H108&lt;&gt;CR$5,0,IF(CR108&lt;0,IF(OR($J108=1,$J108=2,$J108=3,$J108=4),-$E108*$I108/12*3,IF($J108=5,-$E108*$I108/12*2,IF($J108=6,-$E108*$I108/12*1,0)))))+IF(CM$5&lt;&gt;$H108,0,IF(CM108&lt;0,IF($J108=4,-$E108*$I108/12*0,IF($J108=5,-$E108*$I108/12*1,IF($J108=6,-$E108*$I108/12*2,IF($J108&gt;=7,-$E108*$I108/12*3,0))))))</f>
        <v>0</v>
      </c>
      <c r="CP108" s="1807">
        <f>IF($H108&lt;&gt;CR$5,0,IF(CR108&lt;0,IF(OR($J108=1,$J108=2,$J108=3,$J108=4,$J108=5,$J108=6,$J108=7),-$E108*$I108/12*3,IF($J108=8,-$E108*$I108/12*2,IF($J108=9,-$E108*$I108/12*1,0)))))+IF(CM$5&lt;&gt;$H108,0,IF(CM108&lt;0,IF($J108=7,-$E108*$I108/12*0,IF($J108=8,-$E108*$I108/12*1,IF($J108=9,-$E108*$I108/12*2,IF($J108&gt;=10,-$E108*$I108/12*3,0))))))</f>
        <v>0</v>
      </c>
      <c r="CQ108" s="1806">
        <f>IF($H108&lt;&gt;CR$5,0,IF(CR108&lt;0,IF(OR($J108=1,$J108=2,$J108=3,$J108=4,$J108=5,$J108=6,$J108=7,$J108=8,$J108=9,$J108=10),-$E108*$I108/12*3,IF($J108=11,-$E108*$I108/12*2,IF($J108=12,-$E108*$I108/12*1,0)))))+IF(CM$5&lt;&gt;$H108,0,IF(CM108&lt;0,IF($J108=10,-$E108*$I108/12*0,IF($J108=11,-$E108*$I108/12*1,IF($J108=12,-$E108*$I108/12*2,0)))))</f>
        <v>0</v>
      </c>
      <c r="CR108" s="1791">
        <f>IF(AND(CM108&lt;&gt;0,CM$5=$H108),-$I108*$E108-CM108,IF(CR$5=$H108,-$I108*$E108*(12-$J108+1)/12,0))</f>
        <v>0</v>
      </c>
      <c r="CS108" s="1808">
        <f>IF($H108&lt;&gt;CW$5,0,IF(CW108&lt;0,IF($J108=1,-$E108*$I108/12*3,IF($J108=2,-$E108*$I108/12*2,IF($J108=3,-$E108*$I108/12*1,0)))))+IF(CR$5&lt;&gt;$H108,0,IF(CR108&lt;0,IF($J108=1,-$E108*$I108/12*0,IF($J108=2,-$E108*$I108/12*1,IF($J108=3,-$E108*$I108/12*2,IF($J108&gt;=4,-$E108*$I108/12*3,0))))))</f>
        <v>0</v>
      </c>
      <c r="CT108" s="1807">
        <f>IF($H108&lt;&gt;CW$5,0,IF(CW108&lt;0,IF(OR($J108=1,$J108=2,$J108=3,$J108=4),-$E108*$I108/12*3,IF($J108=5,-$E108*$I108/12*2,IF($J108=6,-$E108*$I108/12*1,0)))))+IF(CR$5&lt;&gt;$H108,0,IF(CR108&lt;0,IF($J108=4,-$E108*$I108/12*0,IF($J108=5,-$E108*$I108/12*1,IF($J108=6,-$E108*$I108/12*2,IF($J108&gt;=7,-$E108*$I108/12*3,0))))))</f>
        <v>0</v>
      </c>
      <c r="CU108" s="1807">
        <f>IF($H108&lt;&gt;CW$5,0,IF(CW108&lt;0,IF(OR($J108=1,$J108=2,$J108=3,$J108=4,$J108=5,$J108=6,$J108=7),-$E108*$I108/12*3,IF($J108=8,-$E108*$I108/12*2,IF($J108=9,-$E108*$I108/12*1,0)))))+IF(CR$5&lt;&gt;$H108,0,IF(CR108&lt;0,IF($J108=7,-$E108*$I108/12*0,IF($J108=8,-$E108*$I108/12*1,IF($J108=9,-$E108*$I108/12*2,IF($J108&gt;=10,-$E108*$I108/12*3,0))))))</f>
        <v>0</v>
      </c>
      <c r="CV108" s="1806">
        <f>IF($H108&lt;&gt;CW$5,0,IF(CW108&lt;0,IF(OR($J108=1,$J108=2,$J108=3,$J108=4,$J108=5,$J108=6,$J108=7,$J108=8,$J108=9,$J108=10),-$E108*$I108/12*3,IF($J108=11,-$E108*$I108/12*2,IF($J108=12,-$E108*$I108/12*1,0)))))+IF(CR$5&lt;&gt;$H108,0,IF(CR108&lt;0,IF($J108=10,-$E108*$I108/12*0,IF($J108=11,-$E108*$I108/12*1,IF($J108=12,-$E108*$I108/12*2,0)))))</f>
        <v>0</v>
      </c>
      <c r="CW108" s="1791">
        <f>IF(AND(CR108&lt;&gt;0,CR$5=$H108),-$I108*$E108-CR108,IF(CW$5=$H108,-$I108*$E108*(12-$J108+1)/12,0))</f>
        <v>0</v>
      </c>
      <c r="CX108" s="1808">
        <f>IF($H108&lt;&gt;DB$5,0,IF(DB108&lt;0,IF($J108=1,-$E108*$I108/12*3,IF($J108=2,-$E108*$I108/12*2,IF($J108=3,-$E108*$I108/12*1,0)))))+IF(CW$5&lt;&gt;$H108,0,IF(CW108&lt;0,IF($J108=1,-$E108*$I108/12*0,IF($J108=2,-$E108*$I108/12*1,IF($J108=3,-$E108*$I108/12*2,IF($J108&gt;=4,-$E108*$I108/12*3,0))))))</f>
        <v>0</v>
      </c>
      <c r="CY108" s="1807">
        <f>IF($H108&lt;&gt;DB$5,0,IF(DB108&lt;0,IF(OR($J108=1,$J108=2,$J108=3,$J108=4),-$E108*$I108/12*3,IF($J108=5,-$E108*$I108/12*2,IF($J108=6,-$E108*$I108/12*1,0)))))+IF(CW$5&lt;&gt;$H108,0,IF(CW108&lt;0,IF($J108=4,-$E108*$I108/12*0,IF($J108=5,-$E108*$I108/12*1,IF($J108=6,-$E108*$I108/12*2,IF($J108&gt;=7,-$E108*$I108/12*3,0))))))</f>
        <v>0</v>
      </c>
      <c r="CZ108" s="1807">
        <f>IF($H108&lt;&gt;DB$5,0,IF(DB108&lt;0,IF(OR($J108=1,$J108=2,$J108=3,$J108=4,$J108=5,$J108=6,$J108=7),-$E108*$I108/12*3,IF($J108=8,-$E108*$I108/12*2,IF($J108=9,-$E108*$I108/12*1,0)))))+IF(CW$5&lt;&gt;$H108,0,IF(CW108&lt;0,IF($J108=7,-$E108*$I108/12*0,IF($J108=8,-$E108*$I108/12*1,IF($J108=9,-$E108*$I108/12*2,IF($J108&gt;=10,-$E108*$I108/12*3,0))))))</f>
        <v>0</v>
      </c>
      <c r="DA108" s="1806">
        <f>IF($H108&lt;&gt;DB$5,0,IF(DB108&lt;0,IF(OR($J108=1,$J108=2,$J108=3,$J108=4,$J108=5,$J108=6,$J108=7,$J108=8,$J108=9,$J108=10),-$E108*$I108/12*3,IF($J108=11,-$E108*$I108/12*2,IF($J108=12,-$E108*$I108/12*1,0)))))+IF(CW$5&lt;&gt;$H108,0,IF(CW108&lt;0,IF($J108=10,-$E108*$I108/12*0,IF($J108=11,-$E108*$I108/12*1,IF($J108=12,-$E108*$I108/12*2,0)))))</f>
        <v>0</v>
      </c>
      <c r="DB108" s="1791">
        <f>IF(AND(CW108&lt;&gt;0,CW$5=$H108),-$I108*$E108-CW108,IF(DB$5=$H108,-$I108*$E108*(12-$J108+1)/12,0))</f>
        <v>0</v>
      </c>
      <c r="DC108" s="1808">
        <f>IF($H108&lt;&gt;DG$5,0,IF(DG108&lt;0,IF($J108=1,-$E108*$I108/12*3,IF($J108=2,-$E108*$I108/12*2,IF($J108=3,-$E108*$I108/12*1,0)))))+IF(DB$5&lt;&gt;$H108,0,IF(DB108&lt;0,IF($J108=1,-$E108*$I108/12*0,IF($J108=2,-$E108*$I108/12*1,IF($J108=3,-$E108*$I108/12*2,IF($J108&gt;=4,-$E108*$I108/12*3,0))))))</f>
        <v>0</v>
      </c>
      <c r="DD108" s="1807">
        <f>IF($H108&lt;&gt;DG$5,0,IF(DG108&lt;0,IF(OR($J108=1,$J108=2,$J108=3,$J108=4),-$E108*$I108/12*3,IF($J108=5,-$E108*$I108/12*2,IF($J108=6,-$E108*$I108/12*1,0)))))+IF(DB$5&lt;&gt;$H108,0,IF(DB108&lt;0,IF($J108=4,-$E108*$I108/12*0,IF($J108=5,-$E108*$I108/12*1,IF($J108=6,-$E108*$I108/12*2,IF($J108&gt;=7,-$E108*$I108/12*3,0))))))</f>
        <v>0</v>
      </c>
      <c r="DE108" s="1807">
        <f>IF($H108&lt;&gt;DG$5,0,IF(DG108&lt;0,IF(OR($J108=1,$J108=2,$J108=3,$J108=4,$J108=5,$J108=6,$J108=7),-$E108*$I108/12*3,IF($J108=8,-$E108*$I108/12*2,IF($J108=9,-$E108*$I108/12*1,0)))))+IF(DB$5&lt;&gt;$H108,0,IF(DB108&lt;0,IF($J108=7,-$E108*$I108/12*0,IF($J108=8,-$E108*$I108/12*1,IF($J108=9,-$E108*$I108/12*2,IF($J108&gt;=10,-$E108*$I108/12*3,0))))))</f>
        <v>0</v>
      </c>
      <c r="DF108" s="1806">
        <f>IF($H108&lt;&gt;DG$5,0,IF(DG108&lt;0,IF(OR($J108=1,$J108=2,$J108=3,$J108=4,$J108=5,$J108=6,$J108=7,$J108=8,$J108=9,$J108=10),-$E108*$I108/12*3,IF($J108=11,-$E108*$I108/12*2,IF($J108=12,-$E108*$I108/12*1,0)))))+IF(DB$5&lt;&gt;$H108,0,IF(DB108&lt;0,IF($J108=10,-$E108*$I108/12*0,IF($J108=11,-$E108*$I108/12*1,IF($J108=12,-$E108*$I108/12*2,0)))))</f>
        <v>0</v>
      </c>
      <c r="DG108" s="1791">
        <f>IF(AND(DB108&lt;&gt;0,DB$5=$H108),-$I108*$E108-DB108,IF(DG$5=$H108,-$I108*$E108*(12-$J108+1)/12,0))</f>
        <v>0</v>
      </c>
      <c r="DH108" s="1808">
        <f>IF($H108&lt;&gt;DL$5,0,IF(DL108&lt;0,IF($J108=1,-$E108*$I108/12*3,IF($J108=2,-$E108*$I108/12*2,IF($J108=3,-$E108*$I108/12*1,0)))))+IF(DG$5&lt;&gt;$H108,0,IF(DG108&lt;0,IF($J108=1,-$E108*$I108/12*0,IF($J108=2,-$E108*$I108/12*1,IF($J108=3,-$E108*$I108/12*2,IF($J108&gt;=4,-$E108*$I108/12*3,0))))))</f>
        <v>0</v>
      </c>
      <c r="DI108" s="1807">
        <f>IF($H108&lt;&gt;DL$5,0,IF(DL108&lt;0,IF(OR($J108=1,$J108=2,$J108=3,$J108=4),-$E108*$I108/12*3,IF($J108=5,-$E108*$I108/12*2,IF($J108=6,-$E108*$I108/12*1,0)))))+IF(DG$5&lt;&gt;$H108,0,IF(DG108&lt;0,IF($J108=4,-$E108*$I108/12*0,IF($J108=5,-$E108*$I108/12*1,IF($J108=6,-$E108*$I108/12*2,IF($J108&gt;=7,-$E108*$I108/12*3,0))))))</f>
        <v>0</v>
      </c>
      <c r="DJ108" s="1807">
        <f>IF($H108&lt;&gt;DL$5,0,IF(DL108&lt;0,IF(OR($J108=1,$J108=2,$J108=3,$J108=4,$J108=5,$J108=6,$J108=7),-$E108*$I108/12*3,IF($J108=8,-$E108*$I108/12*2,IF($J108=9,-$E108*$I108/12*1,0)))))+IF(DG$5&lt;&gt;$H108,0,IF(DG108&lt;0,IF($J108=7,-$E108*$I108/12*0,IF($J108=8,-$E108*$I108/12*1,IF($J108=9,-$E108*$I108/12*2,IF($J108&gt;=10,-$E108*$I108/12*3,0))))))</f>
        <v>0</v>
      </c>
      <c r="DK108" s="1806">
        <f>IF($H108&lt;&gt;DL$5,0,IF(DL108&lt;0,IF(OR($J108=1,$J108=2,$J108=3,$J108=4,$J108=5,$J108=6,$J108=7,$J108=8,$J108=9,$J108=10),-$E108*$I108/12*3,IF($J108=11,-$E108*$I108/12*2,IF($J108=12,-$E108*$I108/12*1,0)))))+IF(DG$5&lt;&gt;$H108,0,IF(DG108&lt;0,IF($J108=10,-$E108*$I108/12*0,IF($J108=11,-$E108*$I108/12*1,IF($J108=12,-$E108*$I108/12*2,0)))))</f>
        <v>0</v>
      </c>
      <c r="DL108" s="1791">
        <f>IF(AND(DG108&lt;&gt;0,DG$5=$H108),-$I108*$E108-DG108,IF(DL$5=$H108,-$I108*$E108*(12-$J108+1)/12,0))</f>
        <v>0</v>
      </c>
      <c r="DM108" s="1808">
        <f>IF($H108&lt;&gt;DQ$5,0,IF(DQ108&lt;0,IF($J108=1,-$E108*$I108/12*3,IF($J108=2,-$E108*$I108/12*2,IF($J108=3,-$E108*$I108/12*1,0)))))+IF(DL$5&lt;&gt;$H108,0,IF(DL108&lt;0,IF($J108=1,-$E108*$I108/12*0,IF($J108=2,-$E108*$I108/12*1,IF($J108=3,-$E108*$I108/12*2,IF($J108&gt;=4,-$E108*$I108/12*3,0))))))</f>
        <v>0</v>
      </c>
      <c r="DN108" s="1807">
        <f>IF($H108&lt;&gt;DQ$5,0,IF(DQ108&lt;0,IF(OR($J108=1,$J108=2,$J108=3,$J108=4),-$E108*$I108/12*3,IF($J108=5,-$E108*$I108/12*2,IF($J108=6,-$E108*$I108/12*1,0)))))+IF(DL$5&lt;&gt;$H108,0,IF(DL108&lt;0,IF($J108=4,-$E108*$I108/12*0,IF($J108=5,-$E108*$I108/12*1,IF($J108=6,-$E108*$I108/12*2,IF($J108&gt;=7,-$E108*$I108/12*3,0))))))</f>
        <v>0</v>
      </c>
      <c r="DO108" s="1807">
        <f>IF($H108&lt;&gt;DQ$5,0,IF(DQ108&lt;0,IF(OR($J108=1,$J108=2,$J108=3,$J108=4,$J108=5,$J108=6,$J108=7),-$E108*$I108/12*3,IF($J108=8,-$E108*$I108/12*2,IF($J108=9,-$E108*$I108/12*1,0)))))+IF(DL$5&lt;&gt;$H108,0,IF(DL108&lt;0,IF($J108=7,-$E108*$I108/12*0,IF($J108=8,-$E108*$I108/12*1,IF($J108=9,-$E108*$I108/12*2,IF($J108&gt;=10,-$E108*$I108/12*3,0))))))</f>
        <v>0</v>
      </c>
      <c r="DP108" s="1806">
        <f>IF($H108&lt;&gt;DQ$5,0,IF(DQ108&lt;0,IF(OR($J108=1,$J108=2,$J108=3,$J108=4,$J108=5,$J108=6,$J108=7,$J108=8,$J108=9,$J108=10),-$E108*$I108/12*3,IF($J108=11,-$E108*$I108/12*2,IF($J108=12,-$E108*$I108/12*1,0)))))+IF(DL$5&lt;&gt;$H108,0,IF(DL108&lt;0,IF($J108=10,-$E108*$I108/12*0,IF($J108=11,-$E108*$I108/12*1,IF($J108=12,-$E108*$I108/12*2,0)))))</f>
        <v>0</v>
      </c>
      <c r="DQ108" s="1791">
        <f>IF(AND(DL108&lt;&gt;0,DL$5=$H108),-$I108*$E108-DL108,IF(DQ$5=$H108,-$I108*$E108*(12-$J108+1)/12,0))</f>
        <v>0</v>
      </c>
      <c r="DR108" s="1808">
        <f>IF($H108&lt;&gt;DV$5,0,IF(DV108&lt;0,IF($J108=1,-$E108*$I108/12*3,IF($J108=2,-$E108*$I108/12*2,IF($J108=3,-$E108*$I108/12*1,0)))))+IF(DQ$5&lt;&gt;$H108,0,IF(DQ108&lt;0,IF($J108=1,-$E108*$I108/12*0,IF($J108=2,-$E108*$I108/12*1,IF($J108=3,-$E108*$I108/12*2,IF($J108&gt;=4,-$E108*$I108/12*3,0))))))</f>
        <v>0</v>
      </c>
      <c r="DS108" s="1807">
        <f>IF($H108&lt;&gt;DV$5,0,IF(DV108&lt;0,IF(OR($J108=1,$J108=2,$J108=3,$J108=4),-$E108*$I108/12*3,IF($J108=5,-$E108*$I108/12*2,IF($J108=6,-$E108*$I108/12*1,0)))))+IF(DQ$5&lt;&gt;$H108,0,IF(DQ108&lt;0,IF($J108=4,-$E108*$I108/12*0,IF($J108=5,-$E108*$I108/12*1,IF($J108=6,-$E108*$I108/12*2,IF($J108&gt;=7,-$E108*$I108/12*3,0))))))</f>
        <v>-0.13468759999999999</v>
      </c>
      <c r="DT108" s="1807">
        <f>IF($H108&lt;&gt;DV$5,0,IF(DV108&lt;0,IF(OR($J108=1,$J108=2,$J108=3,$J108=4,$J108=5,$J108=6,$J108=7),-$E108*$I108/12*3,IF($J108=8,-$E108*$I108/12*2,IF($J108=9,-$E108*$I108/12*1,0)))))+IF(DQ$5&lt;&gt;$H108,0,IF(DQ108&lt;0,IF($J108=7,-$E108*$I108/12*0,IF($J108=8,-$E108*$I108/12*1,IF($J108=9,-$E108*$I108/12*2,IF($J108&gt;=10,-$E108*$I108/12*3,0))))))</f>
        <v>-0.40406279999999994</v>
      </c>
      <c r="DU108" s="1806">
        <f>IF($H108&lt;&gt;DV$5,0,IF(DV108&lt;0,IF(OR($J108=1,$J108=2,$J108=3,$J108=4,$J108=5,$J108=6,$J108=7,$J108=8,$J108=9,$J108=10),-$E108*$I108/12*3,IF($J108=11,-$E108*$I108/12*2,IF($J108=12,-$E108*$I108/12*1,0)))))+IF(DQ$5&lt;&gt;$H108,0,IF(DQ108&lt;0,IF($J108=10,-$E108*$I108/12*0,IF($J108=11,-$E108*$I108/12*1,IF($J108=12,-$E108*$I108/12*2,0)))))</f>
        <v>-0.40406279999999994</v>
      </c>
      <c r="DV108" s="1791">
        <f>IF(AND(DQ108&lt;&gt;0,DQ$5=$H108),-$I108*$E108-DQ108,IF(DV$5=$H108,-$I108*$E108*(12-$J108+1)/12,0))</f>
        <v>-0.94281319999999991</v>
      </c>
    </row>
    <row r="109" spans="1:126">
      <c r="A109" s="455"/>
      <c r="B109" s="455"/>
      <c r="C109" s="1363"/>
      <c r="D109" s="455"/>
      <c r="E109" s="1817"/>
      <c r="F109" s="1435"/>
      <c r="G109" s="1435"/>
      <c r="H109" s="1597"/>
      <c r="I109" s="1598"/>
      <c r="J109" s="1599"/>
      <c r="K109" s="1792"/>
      <c r="L109" s="1810"/>
      <c r="M109" s="1791"/>
      <c r="N109" s="1808"/>
      <c r="O109" s="1807"/>
      <c r="P109" s="1807"/>
      <c r="Q109" s="1806"/>
      <c r="R109" s="1791"/>
      <c r="S109" s="1808"/>
      <c r="T109" s="1807"/>
      <c r="U109" s="1807"/>
      <c r="V109" s="1806"/>
      <c r="W109" s="1791"/>
      <c r="X109" s="1808"/>
      <c r="Y109" s="1807"/>
      <c r="Z109" s="1807"/>
      <c r="AA109" s="1806"/>
      <c r="AB109" s="1791"/>
      <c r="AC109" s="1808"/>
      <c r="AD109" s="1807"/>
      <c r="AE109" s="1807"/>
      <c r="AF109" s="1806"/>
      <c r="AG109" s="1791"/>
      <c r="AH109" s="1808"/>
      <c r="AI109" s="1807"/>
      <c r="AJ109" s="1807"/>
      <c r="AK109" s="1806"/>
      <c r="AL109" s="1791"/>
      <c r="AM109" s="1808"/>
      <c r="AN109" s="1807"/>
      <c r="AO109" s="1807"/>
      <c r="AP109" s="1806"/>
      <c r="AQ109" s="1791"/>
      <c r="AR109" s="1808"/>
      <c r="AS109" s="1807"/>
      <c r="AT109" s="1807"/>
      <c r="AU109" s="1806"/>
      <c r="AV109" s="1791"/>
      <c r="AW109" s="1808"/>
      <c r="AX109" s="1807"/>
      <c r="AY109" s="1807"/>
      <c r="AZ109" s="1806"/>
      <c r="BA109" s="1791"/>
      <c r="BB109" s="1808"/>
      <c r="BC109" s="1807"/>
      <c r="BD109" s="1807"/>
      <c r="BE109" s="1806"/>
      <c r="BF109" s="1791"/>
      <c r="BG109" s="1808"/>
      <c r="BH109" s="1807"/>
      <c r="BI109" s="1807"/>
      <c r="BJ109" s="1806"/>
      <c r="BK109" s="1791"/>
      <c r="BL109" s="1808"/>
      <c r="BM109" s="1807"/>
      <c r="BN109" s="1807"/>
      <c r="BO109" s="1806"/>
      <c r="BP109" s="1791"/>
      <c r="BQ109" s="1827"/>
      <c r="BR109" s="1791"/>
      <c r="BS109" s="1791"/>
      <c r="BT109" s="1808"/>
      <c r="BU109" s="1807"/>
      <c r="BV109" s="1807"/>
      <c r="BW109" s="1806"/>
      <c r="BX109" s="1791"/>
      <c r="BY109" s="1808"/>
      <c r="BZ109" s="1807"/>
      <c r="CA109" s="1807"/>
      <c r="CB109" s="1806"/>
      <c r="CC109" s="1791"/>
      <c r="CD109" s="1808"/>
      <c r="CE109" s="1807"/>
      <c r="CF109" s="1807"/>
      <c r="CG109" s="1806"/>
      <c r="CH109" s="1791"/>
      <c r="CI109" s="1808"/>
      <c r="CJ109" s="1807"/>
      <c r="CK109" s="1807"/>
      <c r="CL109" s="1806"/>
      <c r="CM109" s="1791"/>
      <c r="CN109" s="1808"/>
      <c r="CO109" s="1807"/>
      <c r="CP109" s="1807"/>
      <c r="CQ109" s="1806"/>
      <c r="CR109" s="1791"/>
      <c r="CS109" s="1808"/>
      <c r="CT109" s="1807"/>
      <c r="CU109" s="1807"/>
      <c r="CV109" s="1806"/>
      <c r="CW109" s="1791"/>
      <c r="CX109" s="1808"/>
      <c r="CY109" s="1807"/>
      <c r="CZ109" s="1807"/>
      <c r="DA109" s="1806"/>
      <c r="DB109" s="1791"/>
      <c r="DC109" s="1808"/>
      <c r="DD109" s="1807"/>
      <c r="DE109" s="1807"/>
      <c r="DF109" s="1806"/>
      <c r="DG109" s="1791"/>
      <c r="DH109" s="1808"/>
      <c r="DI109" s="1807"/>
      <c r="DJ109" s="1807"/>
      <c r="DK109" s="1806"/>
      <c r="DL109" s="1791"/>
      <c r="DM109" s="1808"/>
      <c r="DN109" s="1807"/>
      <c r="DO109" s="1807"/>
      <c r="DP109" s="1806"/>
      <c r="DQ109" s="1791"/>
      <c r="DR109" s="1808"/>
      <c r="DS109" s="1807"/>
      <c r="DT109" s="1807"/>
      <c r="DU109" s="1806"/>
      <c r="DV109" s="1791"/>
    </row>
    <row r="110" spans="1:126">
      <c r="A110" s="455"/>
      <c r="B110" s="455"/>
      <c r="C110" s="1596" t="s">
        <v>313</v>
      </c>
      <c r="D110" s="455"/>
      <c r="E110" s="1817"/>
      <c r="F110" s="1435"/>
      <c r="G110" s="1435"/>
      <c r="H110" s="1597"/>
      <c r="I110" s="1598"/>
      <c r="J110" s="1599"/>
      <c r="K110" s="1792"/>
      <c r="L110" s="1810">
        <f t="shared" ref="L110:M113" si="1302">IF(L$5=$H110,-$E110,0)</f>
        <v>0</v>
      </c>
      <c r="M110" s="1791">
        <f t="shared" si="1302"/>
        <v>0</v>
      </c>
      <c r="N110" s="1808">
        <f>IF(R110=0,0,IF(R110&lt;0,IF($J110=3,R110,IF($J110=2,R110,IF($J110=1,R110,0)))))</f>
        <v>0</v>
      </c>
      <c r="O110" s="1807">
        <f>IF(R110=0,0,IF(R110&lt;0,IF($J110=6,R110,IF($J110=5,R110,IF($J110=4,R110,0)))))</f>
        <v>0</v>
      </c>
      <c r="P110" s="1807">
        <f>IF(R110=0,0,IF(R110&lt;0,IF($J110=9,R110,IF($J110=8,R110,IF($J110=7,R110,0)))))</f>
        <v>0</v>
      </c>
      <c r="Q110" s="1806">
        <f>IF(R110=0,0,IF(R110&lt;0,IF($J110=12,R110,IF($J110=11,R110,IF($J110=10,R110,0)))))</f>
        <v>0</v>
      </c>
      <c r="R110" s="1791">
        <f>IF(R$5=$H110,-$E110,0)</f>
        <v>0</v>
      </c>
      <c r="S110" s="1808">
        <f>IF(W110=0,0,IF(W110&lt;0,IF($J110=3,W110,IF($J110=2,W110,IF($J110=1,W110,0)))))</f>
        <v>0</v>
      </c>
      <c r="T110" s="1807">
        <f>IF(W110=0,0,IF(W110&lt;0,IF($J110=6,W110,IF($J110=5,W110,IF($J110=4,W110,0)))))</f>
        <v>0</v>
      </c>
      <c r="U110" s="1807">
        <f>IF(W110=0,0,IF(W110&lt;0,IF($J110=9,W110,IF($J110=8,W110,IF($J110=7,W110,0)))))</f>
        <v>0</v>
      </c>
      <c r="V110" s="1806">
        <f>IF(W110=0,0,IF(W110&lt;0,IF($J110=12,W110,IF($J110=11,W110,IF($J110=10,W110,0)))))</f>
        <v>0</v>
      </c>
      <c r="W110" s="1791">
        <f>IF(W$5=$H110,-$E110,0)</f>
        <v>0</v>
      </c>
      <c r="X110" s="1808">
        <f>IF(AB110=0,0,IF(AB110&lt;0,IF($J110=3,AB110,IF($J110=2,AB110,IF($J110=1,AB110,0)))))</f>
        <v>0</v>
      </c>
      <c r="Y110" s="1807">
        <f>IF(AB110=0,0,IF(AB110&lt;0,IF($J110=6,AB110,IF($J110=5,AB110,IF($J110=4,AB110,0)))))</f>
        <v>0</v>
      </c>
      <c r="Z110" s="1807">
        <f>IF(AB110=0,0,IF(AB110&lt;0,IF($J110=9,AB110,IF($J110=8,AB110,IF($J110=7,AB110,0)))))</f>
        <v>0</v>
      </c>
      <c r="AA110" s="1806">
        <f>IF(AB110=0,0,IF(AB110&lt;0,IF($J110=12,AB110,IF($J110=11,AB110,IF($J110=10,AB110,0)))))</f>
        <v>0</v>
      </c>
      <c r="AB110" s="1791">
        <f>IF(AB$5=$H110,-$E110,0)</f>
        <v>0</v>
      </c>
      <c r="AC110" s="1808">
        <f>IF(AG110=0,0,IF(AG110&lt;0,IF($J110=3,AG110,IF($J110=2,AG110,IF($J110=1,AG110,0)))))</f>
        <v>0</v>
      </c>
      <c r="AD110" s="1807">
        <f>IF(AG110=0,0,IF(AG110&lt;0,IF($J110=6,AG110,IF($J110=5,AG110,IF($J110=4,AG110,0)))))</f>
        <v>0</v>
      </c>
      <c r="AE110" s="1807">
        <f>IF(AG110=0,0,IF(AG110&lt;0,IF($J110=9,AG110,IF($J110=8,AG110,IF($J110=7,AG110,0)))))</f>
        <v>0</v>
      </c>
      <c r="AF110" s="1806">
        <f>IF(AG110=0,0,IF(AG110&lt;0,IF($J110=12,AG110,IF($J110=11,AG110,IF($J110=10,AG110,0)))))</f>
        <v>0</v>
      </c>
      <c r="AG110" s="1791">
        <f>IF(AG$5=$H110,-$E110,0)</f>
        <v>0</v>
      </c>
      <c r="AH110" s="1808">
        <f>IF(AL110=0,0,IF(AL110&lt;0,IF($J110=3,AL110,IF($J110=2,AL110,IF($J110=1,AL110,0)))))</f>
        <v>0</v>
      </c>
      <c r="AI110" s="1807">
        <f>IF(AL110=0,0,IF(AL110&lt;0,IF($J110=6,AL110,IF($J110=5,AL110,IF($J110=4,AL110,0)))))</f>
        <v>0</v>
      </c>
      <c r="AJ110" s="1807">
        <f>IF(AL110=0,0,IF(AL110&lt;0,IF($J110=9,AL110,IF($J110=8,AL110,IF($J110=7,AL110,0)))))</f>
        <v>0</v>
      </c>
      <c r="AK110" s="1806">
        <f>IF(AL110=0,0,IF(AL110&lt;0,IF($J110=12,AL110,IF($J110=11,AL110,IF($J110=10,AL110,0)))))</f>
        <v>0</v>
      </c>
      <c r="AL110" s="1791">
        <f>IF(AL$5=$H110,-$E110,0)</f>
        <v>0</v>
      </c>
      <c r="AM110" s="1808">
        <f>IF(AQ110=0,0,IF(AQ110&lt;0,IF($J110=3,AQ110,IF($J110=2,AQ110,IF($J110=1,AQ110,0)))))</f>
        <v>0</v>
      </c>
      <c r="AN110" s="1807">
        <f>IF(AQ110=0,0,IF(AQ110&lt;0,IF($J110=6,AQ110,IF($J110=5,AQ110,IF($J110=4,AQ110,0)))))</f>
        <v>0</v>
      </c>
      <c r="AO110" s="1807">
        <f>IF(AQ110=0,0,IF(AQ110&lt;0,IF($J110=9,AQ110,IF($J110=8,AQ110,IF($J110=7,AQ110,0)))))</f>
        <v>0</v>
      </c>
      <c r="AP110" s="1806">
        <f>IF(AQ110=0,0,IF(AQ110&lt;0,IF($J110=12,AQ110,IF($J110=11,AQ110,IF($J110=10,AQ110,0)))))</f>
        <v>0</v>
      </c>
      <c r="AQ110" s="1791">
        <f>IF(AQ$5=$H110,-$E110,0)</f>
        <v>0</v>
      </c>
      <c r="AR110" s="1808">
        <f>IF(AV110=0,0,IF(AV110&lt;0,IF($J110=3,AV110,IF($J110=2,AV110,IF($J110=1,AV110,0)))))</f>
        <v>0</v>
      </c>
      <c r="AS110" s="1807">
        <f>IF(AV110=0,0,IF(AV110&lt;0,IF($J110=6,AV110,IF($J110=5,AV110,IF($J110=4,AV110,0)))))</f>
        <v>0</v>
      </c>
      <c r="AT110" s="1807">
        <f>IF(AV110=0,0,IF(AV110&lt;0,IF($J110=9,AV110,IF($J110=8,AV110,IF($J110=7,AV110,0)))))</f>
        <v>0</v>
      </c>
      <c r="AU110" s="1806">
        <f>IF(AV110=0,0,IF(AV110&lt;0,IF($J110=12,AV110,IF($J110=11,AV110,IF($J110=10,AV110,0)))))</f>
        <v>0</v>
      </c>
      <c r="AV110" s="1791">
        <f>IF(AV$5=$H110,-$E110,0)</f>
        <v>0</v>
      </c>
      <c r="AW110" s="1808">
        <f>IF(BA110=0,0,IF(BA110&lt;0,IF($J110=3,BA110,IF($J110=2,BA110,IF($J110=1,BA110,0)))))</f>
        <v>0</v>
      </c>
      <c r="AX110" s="1807">
        <f>IF(BA110=0,0,IF(BA110&lt;0,IF($J110=6,BA110,IF($J110=5,BA110,IF($J110=4,BA110,0)))))</f>
        <v>0</v>
      </c>
      <c r="AY110" s="1807">
        <f>IF(BA110=0,0,IF(BA110&lt;0,IF($J110=9,BA110,IF($J110=8,BA110,IF($J110=7,BA110,0)))))</f>
        <v>0</v>
      </c>
      <c r="AZ110" s="1806">
        <f>IF(BA110=0,0,IF(BA110&lt;0,IF($J110=12,BA110,IF($J110=11,BA110,IF($J110=10,BA110,0)))))</f>
        <v>0</v>
      </c>
      <c r="BA110" s="1791">
        <f>IF(BA$5=$H110,-$E110,0)</f>
        <v>0</v>
      </c>
      <c r="BB110" s="1808">
        <f>IF(BF110=0,0,IF(BF110&lt;0,IF($J110=3,BF110,IF($J110=2,BF110,IF($J110=1,BF110,0)))))</f>
        <v>0</v>
      </c>
      <c r="BC110" s="1807">
        <f>IF(BF110=0,0,IF(BF110&lt;0,IF($J110=6,BF110,IF($J110=5,BF110,IF($J110=4,BF110,0)))))</f>
        <v>0</v>
      </c>
      <c r="BD110" s="1807">
        <f>IF(BF110=0,0,IF(BF110&lt;0,IF($J110=9,BF110,IF($J110=8,BF110,IF($J110=7,BF110,0)))))</f>
        <v>0</v>
      </c>
      <c r="BE110" s="1806">
        <f>IF(BF110=0,0,IF(BF110&lt;0,IF($J110=12,BF110,IF($J110=11,BF110,IF($J110=10,BF110,0)))))</f>
        <v>0</v>
      </c>
      <c r="BF110" s="1791">
        <f>IF(BF$5=$H110,-$E110,0)</f>
        <v>0</v>
      </c>
      <c r="BG110" s="1808">
        <f>IF(BK110=0,0,IF(BK110&lt;0,IF($J110=3,BK110,IF($J110=2,BK110,IF($J110=1,BK110,0)))))</f>
        <v>0</v>
      </c>
      <c r="BH110" s="1807">
        <f>IF(BK110=0,0,IF(BK110&lt;0,IF($J110=6,BK110,IF($J110=5,BK110,IF($J110=4,BK110,0)))))</f>
        <v>0</v>
      </c>
      <c r="BI110" s="1807">
        <f>IF(BK110=0,0,IF(BK110&lt;0,IF($J110=9,BK110,IF($J110=8,BK110,IF($J110=7,BK110,0)))))</f>
        <v>0</v>
      </c>
      <c r="BJ110" s="1806">
        <f>IF(BK110=0,0,IF(BK110&lt;0,IF($J110=12,BK110,IF($J110=11,BK110,IF($J110=10,BK110,0)))))</f>
        <v>0</v>
      </c>
      <c r="BK110" s="1791">
        <f>IF(BK$5=$H110,-$E110,0)</f>
        <v>0</v>
      </c>
      <c r="BL110" s="1808">
        <f>IF(BP110=0,0,IF(BP110&lt;0,IF($J110=3,BP110,IF($J110=2,BP110,IF($J110=1,BP110,0)))))</f>
        <v>0</v>
      </c>
      <c r="BM110" s="1807">
        <f>IF(BP110=0,0,IF(BP110&lt;0,IF($J110=6,BP110,IF($J110=5,BP110,IF($J110=4,BP110,0)))))</f>
        <v>0</v>
      </c>
      <c r="BN110" s="1807">
        <f>IF(BP110=0,0,IF(BP110&lt;0,IF($J110=9,BP110,IF($J110=8,BP110,IF($J110=7,BP110,0)))))</f>
        <v>0</v>
      </c>
      <c r="BO110" s="1806">
        <f>IF(BP110=0,0,IF(BP110&lt;0,IF($J110=12,BP110,IF($J110=11,BP110,IF($J110=10,BP110,0)))))</f>
        <v>0</v>
      </c>
      <c r="BP110" s="1791">
        <f>IF(BP$5=$H110,-$E110,0)</f>
        <v>0</v>
      </c>
      <c r="BQ110" s="1827"/>
      <c r="BR110" s="1791">
        <f t="shared" ref="BR110:BS112" si="1303">IF(AND(BQ110&lt;&gt;0,BQ$5=$H110),-$I110*$E110-BQ110,IF(BR$5=$H110,-$I110*$E110*(12-$J110+1)/12,0))</f>
        <v>0</v>
      </c>
      <c r="BS110" s="1791">
        <f t="shared" si="1303"/>
        <v>0</v>
      </c>
      <c r="BT110" s="1808">
        <f>IF($H110&lt;&gt;BX$5,0,IF(BX110&lt;0,IF($J110=1,-$E110*$I110/12*3,IF($J110=2,-$E110*$I110/12*2,IF($J110=3,-$E110*$I110/12*1,0)))))+IF(BS$5&lt;&gt;$H110,0,IF(BS110&lt;0,IF($J110=1,-$E110*$I110/12*0,IF($J110=2,-$E110*$I110/12*1,IF($J110=3,-$E110*$I110/12*2,IF($J110&gt;=4,-$E110*$I110/12*3,0))))))</f>
        <v>0</v>
      </c>
      <c r="BU110" s="1807">
        <f>IF($H110&lt;&gt;BX$5,0,IF(BX110&lt;0,IF(OR($J110=1,$J110=2,$J110=3,$J110=4),-$E110*$I110/12*3,IF($J110=5,-$E110*$I110/12*2,IF($J110=6,-$E110*$I110/12*1,0)))))+IF(BS$5&lt;&gt;$H110,0,IF(BS110&lt;0,IF($J110=4,-$E110*$I110/12*0,IF($J110=5,-$E110*$I110/12*1,IF($J110=6,-$E110*$I110/12*2,IF($J110&gt;=7,-$E110*$I110/12*3,0))))))</f>
        <v>0</v>
      </c>
      <c r="BV110" s="1807">
        <f>IF($H110&lt;&gt;BX$5,0,IF(BX110&lt;0,IF(OR($J110=1,$J110=2,$J110=3,$J110=4,$J110=5,$J110=6,$J110=7),-$E110*$I110/12*3,IF($J110=8,-$E110*$I110/12*2,IF($J110=9,-$E110*$I110/12*1,0)))))+IF(BS$5&lt;&gt;$H110,0,IF(BS110&lt;0,IF($J110=7,-$E110*$I110/12*0,IF($J110=8,-$E110*$I110/12*1,IF($J110=9,-$E110*$I110/12*2,IF($J110&gt;=10,-$E110*$I110/12*3,0))))))</f>
        <v>0</v>
      </c>
      <c r="BW110" s="1806">
        <f>IF($H110&lt;&gt;BX$5,0,IF(BX110&lt;0,IF(OR($J110=1,$J110=2,$J110=3,$J110=4,$J110=5,$J110=6,$J110=7,$J110=8,$J110=9,$J110=10),-$E110*$I110/12*3,IF($J110=11,-$E110*$I110/12*2,IF($J110=12,-$E110*$I110/12*1,0)))))+IF(BS$5&lt;&gt;$H110,0,IF(BS110&lt;0,IF($J110=10,-$E110*$I110/12*0,IF($J110=11,-$E110*$I110/12*1,IF($J110=12,-$E110*$I110/12*2,0)))))</f>
        <v>0</v>
      </c>
      <c r="BX110" s="1791">
        <f>IF(AND(BS110&lt;&gt;0,BS$5=$H110),-$I110*$E110-BS110,IF(BX$5=$H110,-$I110*$E110*(12-$J110+1)/12,0))</f>
        <v>0</v>
      </c>
      <c r="BY110" s="1808">
        <f>IF($H110&lt;&gt;CC$5,0,IF(CC110&lt;0,IF($J110=1,-$E110*$I110/12*3,IF($J110=2,-$E110*$I110/12*2,IF($J110=3,-$E110*$I110/12*1,0)))))+IF(BX$5&lt;&gt;$H110,0,IF(BX110&lt;0,IF($J110=1,-$E110*$I110/12*0,IF($J110=2,-$E110*$I110/12*1,IF($J110=3,-$E110*$I110/12*2,IF($J110&gt;=4,-$E110*$I110/12*3,0))))))</f>
        <v>0</v>
      </c>
      <c r="BZ110" s="1807">
        <f>IF($H110&lt;&gt;CC$5,0,IF(CC110&lt;0,IF(OR($J110=1,$J110=2,$J110=3,$J110=4),-$E110*$I110/12*3,IF($J110=5,-$E110*$I110/12*2,IF($J110=6,-$E110*$I110/12*1,0)))))+IF(BX$5&lt;&gt;$H110,0,IF(BX110&lt;0,IF($J110=4,-$E110*$I110/12*0,IF($J110=5,-$E110*$I110/12*1,IF($J110=6,-$E110*$I110/12*2,IF($J110&gt;=7,-$E110*$I110/12*3,0))))))</f>
        <v>0</v>
      </c>
      <c r="CA110" s="1807">
        <f>IF($H110&lt;&gt;CC$5,0,IF(CC110&lt;0,IF(OR($J110=1,$J110=2,$J110=3,$J110=4,$J110=5,$J110=6,$J110=7),-$E110*$I110/12*3,IF($J110=8,-$E110*$I110/12*2,IF($J110=9,-$E110*$I110/12*1,0)))))+IF(BX$5&lt;&gt;$H110,0,IF(BX110&lt;0,IF($J110=7,-$E110*$I110/12*0,IF($J110=8,-$E110*$I110/12*1,IF($J110=9,-$E110*$I110/12*2,IF($J110&gt;=10,-$E110*$I110/12*3,0))))))</f>
        <v>0</v>
      </c>
      <c r="CB110" s="1806">
        <f>IF($H110&lt;&gt;CC$5,0,IF(CC110&lt;0,IF(OR($J110=1,$J110=2,$J110=3,$J110=4,$J110=5,$J110=6,$J110=7,$J110=8,$J110=9,$J110=10),-$E110*$I110/12*3,IF($J110=11,-$E110*$I110/12*2,IF($J110=12,-$E110*$I110/12*1,0)))))+IF(BX$5&lt;&gt;$H110,0,IF(BX110&lt;0,IF($J110=10,-$E110*$I110/12*0,IF($J110=11,-$E110*$I110/12*1,IF($J110=12,-$E110*$I110/12*2,0)))))</f>
        <v>0</v>
      </c>
      <c r="CC110" s="1791">
        <f>IF(AND(BX110&lt;&gt;0,BX$5=$H110),-$I110*$E110-BX110,IF(CC$5=$H110,-$I110*$E110*(12-$J110+1)/12,0))</f>
        <v>0</v>
      </c>
      <c r="CD110" s="1808">
        <f>IF($H110&lt;&gt;CH$5,0,IF(CH110&lt;0,IF($J110=1,-$E110*$I110/12*3,IF($J110=2,-$E110*$I110/12*2,IF($J110=3,-$E110*$I110/12*1,0)))))+IF(CC$5&lt;&gt;$H110,0,IF(CC110&lt;0,IF($J110=1,-$E110*$I110/12*0,IF($J110=2,-$E110*$I110/12*1,IF($J110=3,-$E110*$I110/12*2,IF($J110&gt;=4,-$E110*$I110/12*3,0))))))</f>
        <v>0</v>
      </c>
      <c r="CE110" s="1807">
        <f>IF($H110&lt;&gt;CH$5,0,IF(CH110&lt;0,IF(OR($J110=1,$J110=2,$J110=3,$J110=4),-$E110*$I110/12*3,IF($J110=5,-$E110*$I110/12*2,IF($J110=6,-$E110*$I110/12*1,0)))))+IF(CC$5&lt;&gt;$H110,0,IF(CC110&lt;0,IF($J110=4,-$E110*$I110/12*0,IF($J110=5,-$E110*$I110/12*1,IF($J110=6,-$E110*$I110/12*2,IF($J110&gt;=7,-$E110*$I110/12*3,0))))))</f>
        <v>0</v>
      </c>
      <c r="CF110" s="1807">
        <f>IF($H110&lt;&gt;CH$5,0,IF(CH110&lt;0,IF(OR($J110=1,$J110=2,$J110=3,$J110=4,$J110=5,$J110=6,$J110=7),-$E110*$I110/12*3,IF($J110=8,-$E110*$I110/12*2,IF($J110=9,-$E110*$I110/12*1,0)))))+IF(CC$5&lt;&gt;$H110,0,IF(CC110&lt;0,IF($J110=7,-$E110*$I110/12*0,IF($J110=8,-$E110*$I110/12*1,IF($J110=9,-$E110*$I110/12*2,IF($J110&gt;=10,-$E110*$I110/12*3,0))))))</f>
        <v>0</v>
      </c>
      <c r="CG110" s="1806">
        <f>IF($H110&lt;&gt;CH$5,0,IF(CH110&lt;0,IF(OR($J110=1,$J110=2,$J110=3,$J110=4,$J110=5,$J110=6,$J110=7,$J110=8,$J110=9,$J110=10),-$E110*$I110/12*3,IF($J110=11,-$E110*$I110/12*2,IF($J110=12,-$E110*$I110/12*1,0)))))+IF(CC$5&lt;&gt;$H110,0,IF(CC110&lt;0,IF($J110=10,-$E110*$I110/12*0,IF($J110=11,-$E110*$I110/12*1,IF($J110=12,-$E110*$I110/12*2,0)))))</f>
        <v>0</v>
      </c>
      <c r="CH110" s="1791">
        <f>IF(AND(CC110&lt;&gt;0,CC$5=$H110),-$I110*$E110-CC110,IF(CH$5=$H110,-$I110*$E110*(12-$J110+1)/12,0))</f>
        <v>0</v>
      </c>
      <c r="CI110" s="1808">
        <f>IF($H110&lt;&gt;CM$5,0,IF(CM110&lt;0,IF($J110=1,-$E110*$I110/12*3,IF($J110=2,-$E110*$I110/12*2,IF($J110=3,-$E110*$I110/12*1,0)))))+IF(CH$5&lt;&gt;$H110,0,IF(CH110&lt;0,IF($J110=1,-$E110*$I110/12*0,IF($J110=2,-$E110*$I110/12*1,IF($J110=3,-$E110*$I110/12*2,IF($J110&gt;=4,-$E110*$I110/12*3,0))))))</f>
        <v>0</v>
      </c>
      <c r="CJ110" s="1807">
        <f>IF($H110&lt;&gt;CM$5,0,IF(CM110&lt;0,IF(OR($J110=1,$J110=2,$J110=3,$J110=4),-$E110*$I110/12*3,IF($J110=5,-$E110*$I110/12*2,IF($J110=6,-$E110*$I110/12*1,0)))))+IF(CH$5&lt;&gt;$H110,0,IF(CH110&lt;0,IF($J110=4,-$E110*$I110/12*0,IF($J110=5,-$E110*$I110/12*1,IF($J110=6,-$E110*$I110/12*2,IF($J110&gt;=7,-$E110*$I110/12*3,0))))))</f>
        <v>0</v>
      </c>
      <c r="CK110" s="1807">
        <f>IF($H110&lt;&gt;CM$5,0,IF(CM110&lt;0,IF(OR($J110=1,$J110=2,$J110=3,$J110=4,$J110=5,$J110=6,$J110=7),-$E110*$I110/12*3,IF($J110=8,-$E110*$I110/12*2,IF($J110=9,-$E110*$I110/12*1,0)))))+IF(CH$5&lt;&gt;$H110,0,IF(CH110&lt;0,IF($J110=7,-$E110*$I110/12*0,IF($J110=8,-$E110*$I110/12*1,IF($J110=9,-$E110*$I110/12*2,IF($J110&gt;=10,-$E110*$I110/12*3,0))))))</f>
        <v>0</v>
      </c>
      <c r="CL110" s="1806">
        <f>IF($H110&lt;&gt;CM$5,0,IF(CM110&lt;0,IF(OR($J110=1,$J110=2,$J110=3,$J110=4,$J110=5,$J110=6,$J110=7,$J110=8,$J110=9,$J110=10),-$E110*$I110/12*3,IF($J110=11,-$E110*$I110/12*2,IF($J110=12,-$E110*$I110/12*1,0)))))+IF(CH$5&lt;&gt;$H110,0,IF(CH110&lt;0,IF($J110=10,-$E110*$I110/12*0,IF($J110=11,-$E110*$I110/12*1,IF($J110=12,-$E110*$I110/12*2,0)))))</f>
        <v>0</v>
      </c>
      <c r="CM110" s="1791">
        <f>IF(AND(CH110&lt;&gt;0,CH$5=$H110),-$I110*$E110-CH110,IF(CM$5=$H110,-$I110*$E110*(12-$J110+1)/12,0))</f>
        <v>0</v>
      </c>
      <c r="CN110" s="1808">
        <f>IF($H110&lt;&gt;CR$5,0,IF(CR110&lt;0,IF($J110=1,-$E110*$I110/12*3,IF($J110=2,-$E110*$I110/12*2,IF($J110=3,-$E110*$I110/12*1,0)))))+IF(CM$5&lt;&gt;$H110,0,IF(CM110&lt;0,IF($J110=1,-$E110*$I110/12*0,IF($J110=2,-$E110*$I110/12*1,IF($J110=3,-$E110*$I110/12*2,IF($J110&gt;=4,-$E110*$I110/12*3,0))))))</f>
        <v>0</v>
      </c>
      <c r="CO110" s="1807">
        <f>IF($H110&lt;&gt;CR$5,0,IF(CR110&lt;0,IF(OR($J110=1,$J110=2,$J110=3,$J110=4),-$E110*$I110/12*3,IF($J110=5,-$E110*$I110/12*2,IF($J110=6,-$E110*$I110/12*1,0)))))+IF(CM$5&lt;&gt;$H110,0,IF(CM110&lt;0,IF($J110=4,-$E110*$I110/12*0,IF($J110=5,-$E110*$I110/12*1,IF($J110=6,-$E110*$I110/12*2,IF($J110&gt;=7,-$E110*$I110/12*3,0))))))</f>
        <v>0</v>
      </c>
      <c r="CP110" s="1807">
        <f>IF($H110&lt;&gt;CR$5,0,IF(CR110&lt;0,IF(OR($J110=1,$J110=2,$J110=3,$J110=4,$J110=5,$J110=6,$J110=7),-$E110*$I110/12*3,IF($J110=8,-$E110*$I110/12*2,IF($J110=9,-$E110*$I110/12*1,0)))))+IF(CM$5&lt;&gt;$H110,0,IF(CM110&lt;0,IF($J110=7,-$E110*$I110/12*0,IF($J110=8,-$E110*$I110/12*1,IF($J110=9,-$E110*$I110/12*2,IF($J110&gt;=10,-$E110*$I110/12*3,0))))))</f>
        <v>0</v>
      </c>
      <c r="CQ110" s="1806">
        <f>IF($H110&lt;&gt;CR$5,0,IF(CR110&lt;0,IF(OR($J110=1,$J110=2,$J110=3,$J110=4,$J110=5,$J110=6,$J110=7,$J110=8,$J110=9,$J110=10),-$E110*$I110/12*3,IF($J110=11,-$E110*$I110/12*2,IF($J110=12,-$E110*$I110/12*1,0)))))+IF(CM$5&lt;&gt;$H110,0,IF(CM110&lt;0,IF($J110=10,-$E110*$I110/12*0,IF($J110=11,-$E110*$I110/12*1,IF($J110=12,-$E110*$I110/12*2,0)))))</f>
        <v>0</v>
      </c>
      <c r="CR110" s="1791">
        <f>IF(AND(CM110&lt;&gt;0,CM$5=$H110),-$I110*$E110-CM110,IF(CR$5=$H110,-$I110*$E110*(12-$J110+1)/12,0))</f>
        <v>0</v>
      </c>
      <c r="CS110" s="1808">
        <f>IF($H110&lt;&gt;CW$5,0,IF(CW110&lt;0,IF($J110=1,-$E110*$I110/12*3,IF($J110=2,-$E110*$I110/12*2,IF($J110=3,-$E110*$I110/12*1,0)))))+IF(CR$5&lt;&gt;$H110,0,IF(CR110&lt;0,IF($J110=1,-$E110*$I110/12*0,IF($J110=2,-$E110*$I110/12*1,IF($J110=3,-$E110*$I110/12*2,IF($J110&gt;=4,-$E110*$I110/12*3,0))))))</f>
        <v>0</v>
      </c>
      <c r="CT110" s="1807">
        <f>IF($H110&lt;&gt;CW$5,0,IF(CW110&lt;0,IF(OR($J110=1,$J110=2,$J110=3,$J110=4),-$E110*$I110/12*3,IF($J110=5,-$E110*$I110/12*2,IF($J110=6,-$E110*$I110/12*1,0)))))+IF(CR$5&lt;&gt;$H110,0,IF(CR110&lt;0,IF($J110=4,-$E110*$I110/12*0,IF($J110=5,-$E110*$I110/12*1,IF($J110=6,-$E110*$I110/12*2,IF($J110&gt;=7,-$E110*$I110/12*3,0))))))</f>
        <v>0</v>
      </c>
      <c r="CU110" s="1807">
        <f>IF($H110&lt;&gt;CW$5,0,IF(CW110&lt;0,IF(OR($J110=1,$J110=2,$J110=3,$J110=4,$J110=5,$J110=6,$J110=7),-$E110*$I110/12*3,IF($J110=8,-$E110*$I110/12*2,IF($J110=9,-$E110*$I110/12*1,0)))))+IF(CR$5&lt;&gt;$H110,0,IF(CR110&lt;0,IF($J110=7,-$E110*$I110/12*0,IF($J110=8,-$E110*$I110/12*1,IF($J110=9,-$E110*$I110/12*2,IF($J110&gt;=10,-$E110*$I110/12*3,0))))))</f>
        <v>0</v>
      </c>
      <c r="CV110" s="1806">
        <f>IF($H110&lt;&gt;CW$5,0,IF(CW110&lt;0,IF(OR($J110=1,$J110=2,$J110=3,$J110=4,$J110=5,$J110=6,$J110=7,$J110=8,$J110=9,$J110=10),-$E110*$I110/12*3,IF($J110=11,-$E110*$I110/12*2,IF($J110=12,-$E110*$I110/12*1,0)))))+IF(CR$5&lt;&gt;$H110,0,IF(CR110&lt;0,IF($J110=10,-$E110*$I110/12*0,IF($J110=11,-$E110*$I110/12*1,IF($J110=12,-$E110*$I110/12*2,0)))))</f>
        <v>0</v>
      </c>
      <c r="CW110" s="1791">
        <f>IF(AND(CR110&lt;&gt;0,CR$5=$H110),-$I110*$E110-CR110,IF(CW$5=$H110,-$I110*$E110*(12-$J110+1)/12,0))</f>
        <v>0</v>
      </c>
      <c r="CX110" s="1808">
        <f>IF($H110&lt;&gt;DB$5,0,IF(DB110&lt;0,IF($J110=1,-$E110*$I110/12*3,IF($J110=2,-$E110*$I110/12*2,IF($J110=3,-$E110*$I110/12*1,0)))))+IF(CW$5&lt;&gt;$H110,0,IF(CW110&lt;0,IF($J110=1,-$E110*$I110/12*0,IF($J110=2,-$E110*$I110/12*1,IF($J110=3,-$E110*$I110/12*2,IF($J110&gt;=4,-$E110*$I110/12*3,0))))))</f>
        <v>0</v>
      </c>
      <c r="CY110" s="1807">
        <f>IF($H110&lt;&gt;DB$5,0,IF(DB110&lt;0,IF(OR($J110=1,$J110=2,$J110=3,$J110=4),-$E110*$I110/12*3,IF($J110=5,-$E110*$I110/12*2,IF($J110=6,-$E110*$I110/12*1,0)))))+IF(CW$5&lt;&gt;$H110,0,IF(CW110&lt;0,IF($J110=4,-$E110*$I110/12*0,IF($J110=5,-$E110*$I110/12*1,IF($J110=6,-$E110*$I110/12*2,IF($J110&gt;=7,-$E110*$I110/12*3,0))))))</f>
        <v>0</v>
      </c>
      <c r="CZ110" s="1807">
        <f>IF($H110&lt;&gt;DB$5,0,IF(DB110&lt;0,IF(OR($J110=1,$J110=2,$J110=3,$J110=4,$J110=5,$J110=6,$J110=7),-$E110*$I110/12*3,IF($J110=8,-$E110*$I110/12*2,IF($J110=9,-$E110*$I110/12*1,0)))))+IF(CW$5&lt;&gt;$H110,0,IF(CW110&lt;0,IF($J110=7,-$E110*$I110/12*0,IF($J110=8,-$E110*$I110/12*1,IF($J110=9,-$E110*$I110/12*2,IF($J110&gt;=10,-$E110*$I110/12*3,0))))))</f>
        <v>0</v>
      </c>
      <c r="DA110" s="1806">
        <f>IF($H110&lt;&gt;DB$5,0,IF(DB110&lt;0,IF(OR($J110=1,$J110=2,$J110=3,$J110=4,$J110=5,$J110=6,$J110=7,$J110=8,$J110=9,$J110=10),-$E110*$I110/12*3,IF($J110=11,-$E110*$I110/12*2,IF($J110=12,-$E110*$I110/12*1,0)))))+IF(CW$5&lt;&gt;$H110,0,IF(CW110&lt;0,IF($J110=10,-$E110*$I110/12*0,IF($J110=11,-$E110*$I110/12*1,IF($J110=12,-$E110*$I110/12*2,0)))))</f>
        <v>0</v>
      </c>
      <c r="DB110" s="1791">
        <f>IF(AND(CW110&lt;&gt;0,CW$5=$H110),-$I110*$E110-CW110,IF(DB$5=$H110,-$I110*$E110*(12-$J110+1)/12,0))</f>
        <v>0</v>
      </c>
      <c r="DC110" s="1808">
        <f>IF($H110&lt;&gt;DG$5,0,IF(DG110&lt;0,IF($J110=1,-$E110*$I110/12*3,IF($J110=2,-$E110*$I110/12*2,IF($J110=3,-$E110*$I110/12*1,0)))))+IF(DB$5&lt;&gt;$H110,0,IF(DB110&lt;0,IF($J110=1,-$E110*$I110/12*0,IF($J110=2,-$E110*$I110/12*1,IF($J110=3,-$E110*$I110/12*2,IF($J110&gt;=4,-$E110*$I110/12*3,0))))))</f>
        <v>0</v>
      </c>
      <c r="DD110" s="1807">
        <f>IF($H110&lt;&gt;DG$5,0,IF(DG110&lt;0,IF(OR($J110=1,$J110=2,$J110=3,$J110=4),-$E110*$I110/12*3,IF($J110=5,-$E110*$I110/12*2,IF($J110=6,-$E110*$I110/12*1,0)))))+IF(DB$5&lt;&gt;$H110,0,IF(DB110&lt;0,IF($J110=4,-$E110*$I110/12*0,IF($J110=5,-$E110*$I110/12*1,IF($J110=6,-$E110*$I110/12*2,IF($J110&gt;=7,-$E110*$I110/12*3,0))))))</f>
        <v>0</v>
      </c>
      <c r="DE110" s="1807">
        <f>IF($H110&lt;&gt;DG$5,0,IF(DG110&lt;0,IF(OR($J110=1,$J110=2,$J110=3,$J110=4,$J110=5,$J110=6,$J110=7),-$E110*$I110/12*3,IF($J110=8,-$E110*$I110/12*2,IF($J110=9,-$E110*$I110/12*1,0)))))+IF(DB$5&lt;&gt;$H110,0,IF(DB110&lt;0,IF($J110=7,-$E110*$I110/12*0,IF($J110=8,-$E110*$I110/12*1,IF($J110=9,-$E110*$I110/12*2,IF($J110&gt;=10,-$E110*$I110/12*3,0))))))</f>
        <v>0</v>
      </c>
      <c r="DF110" s="1806">
        <f>IF($H110&lt;&gt;DG$5,0,IF(DG110&lt;0,IF(OR($J110=1,$J110=2,$J110=3,$J110=4,$J110=5,$J110=6,$J110=7,$J110=8,$J110=9,$J110=10),-$E110*$I110/12*3,IF($J110=11,-$E110*$I110/12*2,IF($J110=12,-$E110*$I110/12*1,0)))))+IF(DB$5&lt;&gt;$H110,0,IF(DB110&lt;0,IF($J110=10,-$E110*$I110/12*0,IF($J110=11,-$E110*$I110/12*1,IF($J110=12,-$E110*$I110/12*2,0)))))</f>
        <v>0</v>
      </c>
      <c r="DG110" s="1791">
        <f>IF(AND(DB110&lt;&gt;0,DB$5=$H110),-$I110*$E110-DB110,IF(DG$5=$H110,-$I110*$E110*(12-$J110+1)/12,0))</f>
        <v>0</v>
      </c>
      <c r="DH110" s="1808">
        <f>IF($H110&lt;&gt;DL$5,0,IF(DL110&lt;0,IF($J110=1,-$E110*$I110/12*3,IF($J110=2,-$E110*$I110/12*2,IF($J110=3,-$E110*$I110/12*1,0)))))+IF(DG$5&lt;&gt;$H110,0,IF(DG110&lt;0,IF($J110=1,-$E110*$I110/12*0,IF($J110=2,-$E110*$I110/12*1,IF($J110=3,-$E110*$I110/12*2,IF($J110&gt;=4,-$E110*$I110/12*3,0))))))</f>
        <v>0</v>
      </c>
      <c r="DI110" s="1807">
        <f>IF($H110&lt;&gt;DL$5,0,IF(DL110&lt;0,IF(OR($J110=1,$J110=2,$J110=3,$J110=4),-$E110*$I110/12*3,IF($J110=5,-$E110*$I110/12*2,IF($J110=6,-$E110*$I110/12*1,0)))))+IF(DG$5&lt;&gt;$H110,0,IF(DG110&lt;0,IF($J110=4,-$E110*$I110/12*0,IF($J110=5,-$E110*$I110/12*1,IF($J110=6,-$E110*$I110/12*2,IF($J110&gt;=7,-$E110*$I110/12*3,0))))))</f>
        <v>0</v>
      </c>
      <c r="DJ110" s="1807">
        <f>IF($H110&lt;&gt;DL$5,0,IF(DL110&lt;0,IF(OR($J110=1,$J110=2,$J110=3,$J110=4,$J110=5,$J110=6,$J110=7),-$E110*$I110/12*3,IF($J110=8,-$E110*$I110/12*2,IF($J110=9,-$E110*$I110/12*1,0)))))+IF(DG$5&lt;&gt;$H110,0,IF(DG110&lt;0,IF($J110=7,-$E110*$I110/12*0,IF($J110=8,-$E110*$I110/12*1,IF($J110=9,-$E110*$I110/12*2,IF($J110&gt;=10,-$E110*$I110/12*3,0))))))</f>
        <v>0</v>
      </c>
      <c r="DK110" s="1806">
        <f>IF($H110&lt;&gt;DL$5,0,IF(DL110&lt;0,IF(OR($J110=1,$J110=2,$J110=3,$J110=4,$J110=5,$J110=6,$J110=7,$J110=8,$J110=9,$J110=10),-$E110*$I110/12*3,IF($J110=11,-$E110*$I110/12*2,IF($J110=12,-$E110*$I110/12*1,0)))))+IF(DG$5&lt;&gt;$H110,0,IF(DG110&lt;0,IF($J110=10,-$E110*$I110/12*0,IF($J110=11,-$E110*$I110/12*1,IF($J110=12,-$E110*$I110/12*2,0)))))</f>
        <v>0</v>
      </c>
      <c r="DL110" s="1791">
        <f>IF(AND(DG110&lt;&gt;0,DG$5=$H110),-$I110*$E110-DG110,IF(DL$5=$H110,-$I110*$E110*(12-$J110+1)/12,0))</f>
        <v>0</v>
      </c>
      <c r="DM110" s="1808">
        <f>IF($H110&lt;&gt;DQ$5,0,IF(DQ110&lt;0,IF($J110=1,-$E110*$I110/12*3,IF($J110=2,-$E110*$I110/12*2,IF($J110=3,-$E110*$I110/12*1,0)))))+IF(DL$5&lt;&gt;$H110,0,IF(DL110&lt;0,IF($J110=1,-$E110*$I110/12*0,IF($J110=2,-$E110*$I110/12*1,IF($J110=3,-$E110*$I110/12*2,IF($J110&gt;=4,-$E110*$I110/12*3,0))))))</f>
        <v>0</v>
      </c>
      <c r="DN110" s="1807">
        <f>IF($H110&lt;&gt;DQ$5,0,IF(DQ110&lt;0,IF(OR($J110=1,$J110=2,$J110=3,$J110=4),-$E110*$I110/12*3,IF($J110=5,-$E110*$I110/12*2,IF($J110=6,-$E110*$I110/12*1,0)))))+IF(DL$5&lt;&gt;$H110,0,IF(DL110&lt;0,IF($J110=4,-$E110*$I110/12*0,IF($J110=5,-$E110*$I110/12*1,IF($J110=6,-$E110*$I110/12*2,IF($J110&gt;=7,-$E110*$I110/12*3,0))))))</f>
        <v>0</v>
      </c>
      <c r="DO110" s="1807">
        <f>IF($H110&lt;&gt;DQ$5,0,IF(DQ110&lt;0,IF(OR($J110=1,$J110=2,$J110=3,$J110=4,$J110=5,$J110=6,$J110=7),-$E110*$I110/12*3,IF($J110=8,-$E110*$I110/12*2,IF($J110=9,-$E110*$I110/12*1,0)))))+IF(DL$5&lt;&gt;$H110,0,IF(DL110&lt;0,IF($J110=7,-$E110*$I110/12*0,IF($J110=8,-$E110*$I110/12*1,IF($J110=9,-$E110*$I110/12*2,IF($J110&gt;=10,-$E110*$I110/12*3,0))))))</f>
        <v>0</v>
      </c>
      <c r="DP110" s="1806">
        <f>IF($H110&lt;&gt;DQ$5,0,IF(DQ110&lt;0,IF(OR($J110=1,$J110=2,$J110=3,$J110=4,$J110=5,$J110=6,$J110=7,$J110=8,$J110=9,$J110=10),-$E110*$I110/12*3,IF($J110=11,-$E110*$I110/12*2,IF($J110=12,-$E110*$I110/12*1,0)))))+IF(DL$5&lt;&gt;$H110,0,IF(DL110&lt;0,IF($J110=10,-$E110*$I110/12*0,IF($J110=11,-$E110*$I110/12*1,IF($J110=12,-$E110*$I110/12*2,0)))))</f>
        <v>0</v>
      </c>
      <c r="DQ110" s="1791">
        <f>IF(AND(DL110&lt;&gt;0,DL$5=$H110),-$I110*$E110-DL110,IF(DQ$5=$H110,-$I110*$E110*(12-$J110+1)/12,0))</f>
        <v>0</v>
      </c>
      <c r="DR110" s="1808">
        <f>IF($H110&lt;&gt;DV$5,0,IF(DV110&lt;0,IF($J110=1,-$E110*$I110/12*3,IF($J110=2,-$E110*$I110/12*2,IF($J110=3,-$E110*$I110/12*1,0)))))+IF(DQ$5&lt;&gt;$H110,0,IF(DQ110&lt;0,IF($J110=1,-$E110*$I110/12*0,IF($J110=2,-$E110*$I110/12*1,IF($J110=3,-$E110*$I110/12*2,IF($J110&gt;=4,-$E110*$I110/12*3,0))))))</f>
        <v>0</v>
      </c>
      <c r="DS110" s="1807">
        <f>IF($H110&lt;&gt;DV$5,0,IF(DV110&lt;0,IF(OR($J110=1,$J110=2,$J110=3,$J110=4),-$E110*$I110/12*3,IF($J110=5,-$E110*$I110/12*2,IF($J110=6,-$E110*$I110/12*1,0)))))+IF(DQ$5&lt;&gt;$H110,0,IF(DQ110&lt;0,IF($J110=4,-$E110*$I110/12*0,IF($J110=5,-$E110*$I110/12*1,IF($J110=6,-$E110*$I110/12*2,IF($J110&gt;=7,-$E110*$I110/12*3,0))))))</f>
        <v>0</v>
      </c>
      <c r="DT110" s="1807">
        <f>IF($H110&lt;&gt;DV$5,0,IF(DV110&lt;0,IF(OR($J110=1,$J110=2,$J110=3,$J110=4,$J110=5,$J110=6,$J110=7),-$E110*$I110/12*3,IF($J110=8,-$E110*$I110/12*2,IF($J110=9,-$E110*$I110/12*1,0)))))+IF(DQ$5&lt;&gt;$H110,0,IF(DQ110&lt;0,IF($J110=7,-$E110*$I110/12*0,IF($J110=8,-$E110*$I110/12*1,IF($J110=9,-$E110*$I110/12*2,IF($J110&gt;=10,-$E110*$I110/12*3,0))))))</f>
        <v>0</v>
      </c>
      <c r="DU110" s="1806">
        <f>IF($H110&lt;&gt;DV$5,0,IF(DV110&lt;0,IF(OR($J110=1,$J110=2,$J110=3,$J110=4,$J110=5,$J110=6,$J110=7,$J110=8,$J110=9,$J110=10),-$E110*$I110/12*3,IF($J110=11,-$E110*$I110/12*2,IF($J110=12,-$E110*$I110/12*1,0)))))+IF(DQ$5&lt;&gt;$H110,0,IF(DQ110&lt;0,IF($J110=10,-$E110*$I110/12*0,IF($J110=11,-$E110*$I110/12*1,IF($J110=12,-$E110*$I110/12*2,0)))))</f>
        <v>0</v>
      </c>
      <c r="DV110" s="1791">
        <f>IF(AND(DQ110&lt;&gt;0,DQ$5=$H110),-$I110*$E110-DQ110,IF(DV$5=$H110,-$I110*$E110*(12-$J110+1)/12,0))</f>
        <v>0</v>
      </c>
    </row>
    <row r="111" spans="1:126">
      <c r="A111" s="455"/>
      <c r="B111" s="455"/>
      <c r="C111" s="1363" t="s">
        <v>781</v>
      </c>
      <c r="D111" s="455"/>
      <c r="E111" s="1817">
        <f>IF(F111=0,G111,F111)</f>
        <v>57.491999999999997</v>
      </c>
      <c r="F111" s="1435">
        <v>0</v>
      </c>
      <c r="G111" s="1435">
        <v>57.491999999999997</v>
      </c>
      <c r="H111" s="1601">
        <v>2017</v>
      </c>
      <c r="I111" s="1335">
        <v>7.4499999999999997E-2</v>
      </c>
      <c r="J111" s="1600">
        <v>7</v>
      </c>
      <c r="K111" s="1792"/>
      <c r="L111" s="1810">
        <f t="shared" si="1302"/>
        <v>0</v>
      </c>
      <c r="M111" s="1791">
        <f t="shared" si="1302"/>
        <v>0</v>
      </c>
      <c r="N111" s="1808">
        <f>IF(R111=0,0,IF(R111&lt;0,IF($J111=3,R111,IF($J111=2,R111,IF($J111=1,R111,0)))))</f>
        <v>0</v>
      </c>
      <c r="O111" s="1807">
        <f>IF(R111=0,0,IF(R111&lt;0,IF($J111=6,R111,IF($J111=5,R111,IF($J111=4,R111,0)))))</f>
        <v>0</v>
      </c>
      <c r="P111" s="1807">
        <f>IF(R111=0,0,IF(R111&lt;0,IF($J111=9,R111,IF($J111=8,R111,IF($J111=7,R111,0)))))</f>
        <v>0</v>
      </c>
      <c r="Q111" s="1806">
        <f>IF(R111=0,0,IF(R111&lt;0,IF($J111=12,R111,IF($J111=11,R111,IF($J111=10,R111,0)))))</f>
        <v>0</v>
      </c>
      <c r="R111" s="1791">
        <f>IF(R$5=$H111,-$E111,0)</f>
        <v>0</v>
      </c>
      <c r="S111" s="1808">
        <f>IF(W111=0,0,IF(W111&lt;0,IF($J111=3,W111,IF($J111=2,W111,IF($J111=1,W111,0)))))</f>
        <v>0</v>
      </c>
      <c r="T111" s="1807">
        <f>IF(W111=0,0,IF(W111&lt;0,IF($J111=6,W111,IF($J111=5,W111,IF($J111=4,W111,0)))))</f>
        <v>0</v>
      </c>
      <c r="U111" s="1807">
        <f>IF(W111=0,0,IF(W111&lt;0,IF($J111=9,W111,IF($J111=8,W111,IF($J111=7,W111,0)))))</f>
        <v>0</v>
      </c>
      <c r="V111" s="1806">
        <f>IF(W111=0,0,IF(W111&lt;0,IF($J111=12,W111,IF($J111=11,W111,IF($J111=10,W111,0)))))</f>
        <v>0</v>
      </c>
      <c r="W111" s="1791">
        <f>IF(W$5=$H111,-$E111,0)</f>
        <v>0</v>
      </c>
      <c r="X111" s="1808">
        <f>IF(AB111=0,0,IF(AB111&lt;0,IF($J111=3,AB111,IF($J111=2,AB111,IF($J111=1,AB111,0)))))</f>
        <v>0</v>
      </c>
      <c r="Y111" s="1807">
        <f>IF(AB111=0,0,IF(AB111&lt;0,IF($J111=6,AB111,IF($J111=5,AB111,IF($J111=4,AB111,0)))))</f>
        <v>0</v>
      </c>
      <c r="Z111" s="1807">
        <f>IF(AB111=0,0,IF(AB111&lt;0,IF($J111=9,AB111,IF($J111=8,AB111,IF($J111=7,AB111,0)))))</f>
        <v>0</v>
      </c>
      <c r="AA111" s="1806">
        <f>IF(AB111=0,0,IF(AB111&lt;0,IF($J111=12,AB111,IF($J111=11,AB111,IF($J111=10,AB111,0)))))</f>
        <v>0</v>
      </c>
      <c r="AB111" s="1791">
        <f>IF(AB$5=$H111,-$E111,0)</f>
        <v>0</v>
      </c>
      <c r="AC111" s="1808">
        <f>IF(AG111=0,0,IF(AG111&lt;0,IF($J111=3,AG111,IF($J111=2,AG111,IF($J111=1,AG111,0)))))</f>
        <v>0</v>
      </c>
      <c r="AD111" s="1807">
        <f>IF(AG111=0,0,IF(AG111&lt;0,IF($J111=6,AG111,IF($J111=5,AG111,IF($J111=4,AG111,0)))))</f>
        <v>0</v>
      </c>
      <c r="AE111" s="1807">
        <f>IF(AG111=0,0,IF(AG111&lt;0,IF($J111=9,AG111,IF($J111=8,AG111,IF($J111=7,AG111,0)))))</f>
        <v>0</v>
      </c>
      <c r="AF111" s="1806">
        <f>IF(AG111=0,0,IF(AG111&lt;0,IF($J111=12,AG111,IF($J111=11,AG111,IF($J111=10,AG111,0)))))</f>
        <v>0</v>
      </c>
      <c r="AG111" s="1791">
        <f>IF(AG$5=$H111,-$E111,0)</f>
        <v>0</v>
      </c>
      <c r="AH111" s="1808">
        <f>IF(AL111=0,0,IF(AL111&lt;0,IF($J111=3,AL111,IF($J111=2,AL111,IF($J111=1,AL111,0)))))</f>
        <v>0</v>
      </c>
      <c r="AI111" s="1807">
        <f>IF(AL111=0,0,IF(AL111&lt;0,IF($J111=6,AL111,IF($J111=5,AL111,IF($J111=4,AL111,0)))))</f>
        <v>0</v>
      </c>
      <c r="AJ111" s="1807">
        <f>IF(AL111=0,0,IF(AL111&lt;0,IF($J111=9,AL111,IF($J111=8,AL111,IF($J111=7,AL111,0)))))</f>
        <v>0</v>
      </c>
      <c r="AK111" s="1806">
        <f>IF(AL111=0,0,IF(AL111&lt;0,IF($J111=12,AL111,IF($J111=11,AL111,IF($J111=10,AL111,0)))))</f>
        <v>0</v>
      </c>
      <c r="AL111" s="1791">
        <f>IF(AL$5=$H111,-$E111,0)</f>
        <v>0</v>
      </c>
      <c r="AM111" s="1808">
        <f>IF(AQ111=0,0,IF(AQ111&lt;0,IF($J111=3,AQ111,IF($J111=2,AQ111,IF($J111=1,AQ111,0)))))</f>
        <v>0</v>
      </c>
      <c r="AN111" s="1807">
        <f>IF(AQ111=0,0,IF(AQ111&lt;0,IF($J111=6,AQ111,IF($J111=5,AQ111,IF($J111=4,AQ111,0)))))</f>
        <v>0</v>
      </c>
      <c r="AO111" s="1807">
        <f>IF(AQ111=0,0,IF(AQ111&lt;0,IF($J111=9,AQ111,IF($J111=8,AQ111,IF($J111=7,AQ111,0)))))</f>
        <v>0</v>
      </c>
      <c r="AP111" s="1806">
        <f>IF(AQ111=0,0,IF(AQ111&lt;0,IF($J111=12,AQ111,IF($J111=11,AQ111,IF($J111=10,AQ111,0)))))</f>
        <v>0</v>
      </c>
      <c r="AQ111" s="1791">
        <f>IF(AQ$5=$H111,-$E111,0)</f>
        <v>0</v>
      </c>
      <c r="AR111" s="1808">
        <f>IF(AV111=0,0,IF(AV111&lt;0,IF($J111=3,AV111,IF($J111=2,AV111,IF($J111=1,AV111,0)))))</f>
        <v>0</v>
      </c>
      <c r="AS111" s="1807">
        <f>IF(AV111=0,0,IF(AV111&lt;0,IF($J111=6,AV111,IF($J111=5,AV111,IF($J111=4,AV111,0)))))</f>
        <v>0</v>
      </c>
      <c r="AT111" s="1807">
        <f>IF(AV111=0,0,IF(AV111&lt;0,IF($J111=9,AV111,IF($J111=8,AV111,IF($J111=7,AV111,0)))))</f>
        <v>-57.491999999999997</v>
      </c>
      <c r="AU111" s="1806">
        <f>IF(AV111=0,0,IF(AV111&lt;0,IF($J111=12,AV111,IF($J111=11,AV111,IF($J111=10,AV111,0)))))</f>
        <v>0</v>
      </c>
      <c r="AV111" s="1791">
        <f>IF(AV$5=$H111,-$E111,0)</f>
        <v>-57.491999999999997</v>
      </c>
      <c r="AW111" s="1808">
        <f>IF(BA111=0,0,IF(BA111&lt;0,IF($J111=3,BA111,IF($J111=2,BA111,IF($J111=1,BA111,0)))))</f>
        <v>0</v>
      </c>
      <c r="AX111" s="1807">
        <f>IF(BA111=0,0,IF(BA111&lt;0,IF($J111=6,BA111,IF($J111=5,BA111,IF($J111=4,BA111,0)))))</f>
        <v>0</v>
      </c>
      <c r="AY111" s="1807">
        <f>IF(BA111=0,0,IF(BA111&lt;0,IF($J111=9,BA111,IF($J111=8,BA111,IF($J111=7,BA111,0)))))</f>
        <v>0</v>
      </c>
      <c r="AZ111" s="1806">
        <f>IF(BA111=0,0,IF(BA111&lt;0,IF($J111=12,BA111,IF($J111=11,BA111,IF($J111=10,BA111,0)))))</f>
        <v>0</v>
      </c>
      <c r="BA111" s="1791">
        <f>IF(BA$5=$H111,-$E111,0)</f>
        <v>0</v>
      </c>
      <c r="BB111" s="1808">
        <f>IF(BF111=0,0,IF(BF111&lt;0,IF($J111=3,BF111,IF($J111=2,BF111,IF($J111=1,BF111,0)))))</f>
        <v>0</v>
      </c>
      <c r="BC111" s="1807">
        <f>IF(BF111=0,0,IF(BF111&lt;0,IF($J111=6,BF111,IF($J111=5,BF111,IF($J111=4,BF111,0)))))</f>
        <v>0</v>
      </c>
      <c r="BD111" s="1807">
        <f>IF(BF111=0,0,IF(BF111&lt;0,IF($J111=9,BF111,IF($J111=8,BF111,IF($J111=7,BF111,0)))))</f>
        <v>0</v>
      </c>
      <c r="BE111" s="1806">
        <f>IF(BF111=0,0,IF(BF111&lt;0,IF($J111=12,BF111,IF($J111=11,BF111,IF($J111=10,BF111,0)))))</f>
        <v>0</v>
      </c>
      <c r="BF111" s="1791">
        <f>IF(BF$5=$H111,-$E111,0)</f>
        <v>0</v>
      </c>
      <c r="BG111" s="1808">
        <f>IF(BK111=0,0,IF(BK111&lt;0,IF($J111=3,BK111,IF($J111=2,BK111,IF($J111=1,BK111,0)))))</f>
        <v>0</v>
      </c>
      <c r="BH111" s="1807">
        <f>IF(BK111=0,0,IF(BK111&lt;0,IF($J111=6,BK111,IF($J111=5,BK111,IF($J111=4,BK111,0)))))</f>
        <v>0</v>
      </c>
      <c r="BI111" s="1807">
        <f>IF(BK111=0,0,IF(BK111&lt;0,IF($J111=9,BK111,IF($J111=8,BK111,IF($J111=7,BK111,0)))))</f>
        <v>0</v>
      </c>
      <c r="BJ111" s="1806">
        <f>IF(BK111=0,0,IF(BK111&lt;0,IF($J111=12,BK111,IF($J111=11,BK111,IF($J111=10,BK111,0)))))</f>
        <v>0</v>
      </c>
      <c r="BK111" s="1791">
        <f>IF(BK$5=$H111,-$E111,0)</f>
        <v>0</v>
      </c>
      <c r="BL111" s="1808">
        <f>IF(BP111=0,0,IF(BP111&lt;0,IF($J111=3,BP111,IF($J111=2,BP111,IF($J111=1,BP111,0)))))</f>
        <v>0</v>
      </c>
      <c r="BM111" s="1807">
        <f>IF(BP111=0,0,IF(BP111&lt;0,IF($J111=6,BP111,IF($J111=5,BP111,IF($J111=4,BP111,0)))))</f>
        <v>0</v>
      </c>
      <c r="BN111" s="1807">
        <f>IF(BP111=0,0,IF(BP111&lt;0,IF($J111=9,BP111,IF($J111=8,BP111,IF($J111=7,BP111,0)))))</f>
        <v>0</v>
      </c>
      <c r="BO111" s="1806">
        <f>IF(BP111=0,0,IF(BP111&lt;0,IF($J111=12,BP111,IF($J111=11,BP111,IF($J111=10,BP111,0)))))</f>
        <v>0</v>
      </c>
      <c r="BP111" s="1791">
        <f>IF(BP$5=$H111,-$E111,0)</f>
        <v>0</v>
      </c>
      <c r="BQ111" s="1827"/>
      <c r="BR111" s="1791">
        <f t="shared" si="1303"/>
        <v>0</v>
      </c>
      <c r="BS111" s="1791">
        <f t="shared" si="1303"/>
        <v>0</v>
      </c>
      <c r="BT111" s="1808">
        <f>IF($H111&lt;&gt;BX$5,0,IF(BX111&lt;0,IF($J111=1,-$E111*$I111/12*3,IF($J111=2,-$E111*$I111/12*2,IF($J111=3,-$E111*$I111/12*1,0)))))+IF(BS$5&lt;&gt;$H111,0,IF(BS111&lt;0,IF($J111=1,-$E111*$I111/12*0,IF($J111=2,-$E111*$I111/12*1,IF($J111=3,-$E111*$I111/12*2,IF($J111&gt;=4,-$E111*$I111/12*3,0))))))</f>
        <v>0</v>
      </c>
      <c r="BU111" s="1807">
        <f>IF($H111&lt;&gt;BX$5,0,IF(BX111&lt;0,IF(OR($J111=1,$J111=2,$J111=3,$J111=4),-$E111*$I111/12*3,IF($J111=5,-$E111*$I111/12*2,IF($J111=6,-$E111*$I111/12*1,0)))))+IF(BS$5&lt;&gt;$H111,0,IF(BS111&lt;0,IF($J111=4,-$E111*$I111/12*0,IF($J111=5,-$E111*$I111/12*1,IF($J111=6,-$E111*$I111/12*2,IF($J111&gt;=7,-$E111*$I111/12*3,0))))))</f>
        <v>0</v>
      </c>
      <c r="BV111" s="1807">
        <f>IF($H111&lt;&gt;BX$5,0,IF(BX111&lt;0,IF(OR($J111=1,$J111=2,$J111=3,$J111=4,$J111=5,$J111=6,$J111=7),-$E111*$I111/12*3,IF($J111=8,-$E111*$I111/12*2,IF($J111=9,-$E111*$I111/12*1,0)))))+IF(BS$5&lt;&gt;$H111,0,IF(BS111&lt;0,IF($J111=7,-$E111*$I111/12*0,IF($J111=8,-$E111*$I111/12*1,IF($J111=9,-$E111*$I111/12*2,IF($J111&gt;=10,-$E111*$I111/12*3,0))))))</f>
        <v>0</v>
      </c>
      <c r="BW111" s="1806">
        <f>IF($H111&lt;&gt;BX$5,0,IF(BX111&lt;0,IF(OR($J111=1,$J111=2,$J111=3,$J111=4,$J111=5,$J111=6,$J111=7,$J111=8,$J111=9,$J111=10),-$E111*$I111/12*3,IF($J111=11,-$E111*$I111/12*2,IF($J111=12,-$E111*$I111/12*1,0)))))+IF(BS$5&lt;&gt;$H111,0,IF(BS111&lt;0,IF($J111=10,-$E111*$I111/12*0,IF($J111=11,-$E111*$I111/12*1,IF($J111=12,-$E111*$I111/12*2,0)))))</f>
        <v>0</v>
      </c>
      <c r="BX111" s="1791">
        <f>IF(AND(BS111&lt;&gt;0,BS$5=$H111),-$I111*$E111-BS111,IF(BX$5=$H111,-$I111*$E111*(12-$J111+1)/12,0))</f>
        <v>0</v>
      </c>
      <c r="BY111" s="1808">
        <f>IF($H111&lt;&gt;CC$5,0,IF(CC111&lt;0,IF($J111=1,-$E111*$I111/12*3,IF($J111=2,-$E111*$I111/12*2,IF($J111=3,-$E111*$I111/12*1,0)))))+IF(BX$5&lt;&gt;$H111,0,IF(BX111&lt;0,IF($J111=1,-$E111*$I111/12*0,IF($J111=2,-$E111*$I111/12*1,IF($J111=3,-$E111*$I111/12*2,IF($J111&gt;=4,-$E111*$I111/12*3,0))))))</f>
        <v>0</v>
      </c>
      <c r="BZ111" s="1807">
        <f>IF($H111&lt;&gt;CC$5,0,IF(CC111&lt;0,IF(OR($J111=1,$J111=2,$J111=3,$J111=4),-$E111*$I111/12*3,IF($J111=5,-$E111*$I111/12*2,IF($J111=6,-$E111*$I111/12*1,0)))))+IF(BX$5&lt;&gt;$H111,0,IF(BX111&lt;0,IF($J111=4,-$E111*$I111/12*0,IF($J111=5,-$E111*$I111/12*1,IF($J111=6,-$E111*$I111/12*2,IF($J111&gt;=7,-$E111*$I111/12*3,0))))))</f>
        <v>0</v>
      </c>
      <c r="CA111" s="1807">
        <f>IF($H111&lt;&gt;CC$5,0,IF(CC111&lt;0,IF(OR($J111=1,$J111=2,$J111=3,$J111=4,$J111=5,$J111=6,$J111=7),-$E111*$I111/12*3,IF($J111=8,-$E111*$I111/12*2,IF($J111=9,-$E111*$I111/12*1,0)))))+IF(BX$5&lt;&gt;$H111,0,IF(BX111&lt;0,IF($J111=7,-$E111*$I111/12*0,IF($J111=8,-$E111*$I111/12*1,IF($J111=9,-$E111*$I111/12*2,IF($J111&gt;=10,-$E111*$I111/12*3,0))))))</f>
        <v>0</v>
      </c>
      <c r="CB111" s="1806">
        <f>IF($H111&lt;&gt;CC$5,0,IF(CC111&lt;0,IF(OR($J111=1,$J111=2,$J111=3,$J111=4,$J111=5,$J111=6,$J111=7,$J111=8,$J111=9,$J111=10),-$E111*$I111/12*3,IF($J111=11,-$E111*$I111/12*2,IF($J111=12,-$E111*$I111/12*1,0)))))+IF(BX$5&lt;&gt;$H111,0,IF(BX111&lt;0,IF($J111=10,-$E111*$I111/12*0,IF($J111=11,-$E111*$I111/12*1,IF($J111=12,-$E111*$I111/12*2,0)))))</f>
        <v>0</v>
      </c>
      <c r="CC111" s="1791">
        <f>IF(AND(BX111&lt;&gt;0,BX$5=$H111),-$I111*$E111-BX111,IF(CC$5=$H111,-$I111*$E111*(12-$J111+1)/12,0))</f>
        <v>0</v>
      </c>
      <c r="CD111" s="1808">
        <f>IF($H111&lt;&gt;CH$5,0,IF(CH111&lt;0,IF($J111=1,-$E111*$I111/12*3,IF($J111=2,-$E111*$I111/12*2,IF($J111=3,-$E111*$I111/12*1,0)))))+IF(CC$5&lt;&gt;$H111,0,IF(CC111&lt;0,IF($J111=1,-$E111*$I111/12*0,IF($J111=2,-$E111*$I111/12*1,IF($J111=3,-$E111*$I111/12*2,IF($J111&gt;=4,-$E111*$I111/12*3,0))))))</f>
        <v>0</v>
      </c>
      <c r="CE111" s="1807">
        <f>IF($H111&lt;&gt;CH$5,0,IF(CH111&lt;0,IF(OR($J111=1,$J111=2,$J111=3,$J111=4),-$E111*$I111/12*3,IF($J111=5,-$E111*$I111/12*2,IF($J111=6,-$E111*$I111/12*1,0)))))+IF(CC$5&lt;&gt;$H111,0,IF(CC111&lt;0,IF($J111=4,-$E111*$I111/12*0,IF($J111=5,-$E111*$I111/12*1,IF($J111=6,-$E111*$I111/12*2,IF($J111&gt;=7,-$E111*$I111/12*3,0))))))</f>
        <v>0</v>
      </c>
      <c r="CF111" s="1807">
        <f>IF($H111&lt;&gt;CH$5,0,IF(CH111&lt;0,IF(OR($J111=1,$J111=2,$J111=3,$J111=4,$J111=5,$J111=6,$J111=7),-$E111*$I111/12*3,IF($J111=8,-$E111*$I111/12*2,IF($J111=9,-$E111*$I111/12*1,0)))))+IF(CC$5&lt;&gt;$H111,0,IF(CC111&lt;0,IF($J111=7,-$E111*$I111/12*0,IF($J111=8,-$E111*$I111/12*1,IF($J111=9,-$E111*$I111/12*2,IF($J111&gt;=10,-$E111*$I111/12*3,0))))))</f>
        <v>0</v>
      </c>
      <c r="CG111" s="1806">
        <f>IF($H111&lt;&gt;CH$5,0,IF(CH111&lt;0,IF(OR($J111=1,$J111=2,$J111=3,$J111=4,$J111=5,$J111=6,$J111=7,$J111=8,$J111=9,$J111=10),-$E111*$I111/12*3,IF($J111=11,-$E111*$I111/12*2,IF($J111=12,-$E111*$I111/12*1,0)))))+IF(CC$5&lt;&gt;$H111,0,IF(CC111&lt;0,IF($J111=10,-$E111*$I111/12*0,IF($J111=11,-$E111*$I111/12*1,IF($J111=12,-$E111*$I111/12*2,0)))))</f>
        <v>0</v>
      </c>
      <c r="CH111" s="1791">
        <f>IF(AND(CC111&lt;&gt;0,CC$5=$H111),-$I111*$E111-CC111,IF(CH$5=$H111,-$I111*$E111*(12-$J111+1)/12,0))</f>
        <v>0</v>
      </c>
      <c r="CI111" s="1808">
        <f>IF($H111&lt;&gt;CM$5,0,IF(CM111&lt;0,IF($J111=1,-$E111*$I111/12*3,IF($J111=2,-$E111*$I111/12*2,IF($J111=3,-$E111*$I111/12*1,0)))))+IF(CH$5&lt;&gt;$H111,0,IF(CH111&lt;0,IF($J111=1,-$E111*$I111/12*0,IF($J111=2,-$E111*$I111/12*1,IF($J111=3,-$E111*$I111/12*2,IF($J111&gt;=4,-$E111*$I111/12*3,0))))))</f>
        <v>0</v>
      </c>
      <c r="CJ111" s="1807">
        <f>IF($H111&lt;&gt;CM$5,0,IF(CM111&lt;0,IF(OR($J111=1,$J111=2,$J111=3,$J111=4),-$E111*$I111/12*3,IF($J111=5,-$E111*$I111/12*2,IF($J111=6,-$E111*$I111/12*1,0)))))+IF(CH$5&lt;&gt;$H111,0,IF(CH111&lt;0,IF($J111=4,-$E111*$I111/12*0,IF($J111=5,-$E111*$I111/12*1,IF($J111=6,-$E111*$I111/12*2,IF($J111&gt;=7,-$E111*$I111/12*3,0))))))</f>
        <v>0</v>
      </c>
      <c r="CK111" s="1807">
        <f>IF($H111&lt;&gt;CM$5,0,IF(CM111&lt;0,IF(OR($J111=1,$J111=2,$J111=3,$J111=4,$J111=5,$J111=6,$J111=7),-$E111*$I111/12*3,IF($J111=8,-$E111*$I111/12*2,IF($J111=9,-$E111*$I111/12*1,0)))))+IF(CH$5&lt;&gt;$H111,0,IF(CH111&lt;0,IF($J111=7,-$E111*$I111/12*0,IF($J111=8,-$E111*$I111/12*1,IF($J111=9,-$E111*$I111/12*2,IF($J111&gt;=10,-$E111*$I111/12*3,0))))))</f>
        <v>0</v>
      </c>
      <c r="CL111" s="1806">
        <f>IF($H111&lt;&gt;CM$5,0,IF(CM111&lt;0,IF(OR($J111=1,$J111=2,$J111=3,$J111=4,$J111=5,$J111=6,$J111=7,$J111=8,$J111=9,$J111=10),-$E111*$I111/12*3,IF($J111=11,-$E111*$I111/12*2,IF($J111=12,-$E111*$I111/12*1,0)))))+IF(CH$5&lt;&gt;$H111,0,IF(CH111&lt;0,IF($J111=10,-$E111*$I111/12*0,IF($J111=11,-$E111*$I111/12*1,IF($J111=12,-$E111*$I111/12*2,0)))))</f>
        <v>0</v>
      </c>
      <c r="CM111" s="1791">
        <f>IF(AND(CH111&lt;&gt;0,CH$5=$H111),-$I111*$E111-CH111,IF(CM$5=$H111,-$I111*$E111*(12-$J111+1)/12,0))</f>
        <v>0</v>
      </c>
      <c r="CN111" s="1808">
        <f>IF($H111&lt;&gt;CR$5,0,IF(CR111&lt;0,IF($J111=1,-$E111*$I111/12*3,IF($J111=2,-$E111*$I111/12*2,IF($J111=3,-$E111*$I111/12*1,0)))))+IF(CM$5&lt;&gt;$H111,0,IF(CM111&lt;0,IF($J111=1,-$E111*$I111/12*0,IF($J111=2,-$E111*$I111/12*1,IF($J111=3,-$E111*$I111/12*2,IF($J111&gt;=4,-$E111*$I111/12*3,0))))))</f>
        <v>0</v>
      </c>
      <c r="CO111" s="1807">
        <f>IF($H111&lt;&gt;CR$5,0,IF(CR111&lt;0,IF(OR($J111=1,$J111=2,$J111=3,$J111=4),-$E111*$I111/12*3,IF($J111=5,-$E111*$I111/12*2,IF($J111=6,-$E111*$I111/12*1,0)))))+IF(CM$5&lt;&gt;$H111,0,IF(CM111&lt;0,IF($J111=4,-$E111*$I111/12*0,IF($J111=5,-$E111*$I111/12*1,IF($J111=6,-$E111*$I111/12*2,IF($J111&gt;=7,-$E111*$I111/12*3,0))))))</f>
        <v>0</v>
      </c>
      <c r="CP111" s="1807">
        <f>IF($H111&lt;&gt;CR$5,0,IF(CR111&lt;0,IF(OR($J111=1,$J111=2,$J111=3,$J111=4,$J111=5,$J111=6,$J111=7),-$E111*$I111/12*3,IF($J111=8,-$E111*$I111/12*2,IF($J111=9,-$E111*$I111/12*1,0)))))+IF(CM$5&lt;&gt;$H111,0,IF(CM111&lt;0,IF($J111=7,-$E111*$I111/12*0,IF($J111=8,-$E111*$I111/12*1,IF($J111=9,-$E111*$I111/12*2,IF($J111&gt;=10,-$E111*$I111/12*3,0))))))</f>
        <v>0</v>
      </c>
      <c r="CQ111" s="1806">
        <f>IF($H111&lt;&gt;CR$5,0,IF(CR111&lt;0,IF(OR($J111=1,$J111=2,$J111=3,$J111=4,$J111=5,$J111=6,$J111=7,$J111=8,$J111=9,$J111=10),-$E111*$I111/12*3,IF($J111=11,-$E111*$I111/12*2,IF($J111=12,-$E111*$I111/12*1,0)))))+IF(CM$5&lt;&gt;$H111,0,IF(CM111&lt;0,IF($J111=10,-$E111*$I111/12*0,IF($J111=11,-$E111*$I111/12*1,IF($J111=12,-$E111*$I111/12*2,0)))))</f>
        <v>0</v>
      </c>
      <c r="CR111" s="1791">
        <f>IF(AND(CM111&lt;&gt;0,CM$5=$H111),-$I111*$E111-CM111,IF(CR$5=$H111,-$I111*$E111*(12-$J111+1)/12,0))</f>
        <v>0</v>
      </c>
      <c r="CS111" s="1808">
        <f>IF($H111&lt;&gt;CW$5,0,IF(CW111&lt;0,IF($J111=1,-$E111*$I111/12*3,IF($J111=2,-$E111*$I111/12*2,IF($J111=3,-$E111*$I111/12*1,0)))))+IF(CR$5&lt;&gt;$H111,0,IF(CR111&lt;0,IF($J111=1,-$E111*$I111/12*0,IF($J111=2,-$E111*$I111/12*1,IF($J111=3,-$E111*$I111/12*2,IF($J111&gt;=4,-$E111*$I111/12*3,0))))))</f>
        <v>0</v>
      </c>
      <c r="CT111" s="1807">
        <f>IF($H111&lt;&gt;CW$5,0,IF(CW111&lt;0,IF(OR($J111=1,$J111=2,$J111=3,$J111=4),-$E111*$I111/12*3,IF($J111=5,-$E111*$I111/12*2,IF($J111=6,-$E111*$I111/12*1,0)))))+IF(CR$5&lt;&gt;$H111,0,IF(CR111&lt;0,IF($J111=4,-$E111*$I111/12*0,IF($J111=5,-$E111*$I111/12*1,IF($J111=6,-$E111*$I111/12*2,IF($J111&gt;=7,-$E111*$I111/12*3,0))))))</f>
        <v>0</v>
      </c>
      <c r="CU111" s="1807">
        <f>IF($H111&lt;&gt;CW$5,0,IF(CW111&lt;0,IF(OR($J111=1,$J111=2,$J111=3,$J111=4,$J111=5,$J111=6,$J111=7),-$E111*$I111/12*3,IF($J111=8,-$E111*$I111/12*2,IF($J111=9,-$E111*$I111/12*1,0)))))+IF(CR$5&lt;&gt;$H111,0,IF(CR111&lt;0,IF($J111=7,-$E111*$I111/12*0,IF($J111=8,-$E111*$I111/12*1,IF($J111=9,-$E111*$I111/12*2,IF($J111&gt;=10,-$E111*$I111/12*3,0))))))</f>
        <v>0</v>
      </c>
      <c r="CV111" s="1806">
        <f>IF($H111&lt;&gt;CW$5,0,IF(CW111&lt;0,IF(OR($J111=1,$J111=2,$J111=3,$J111=4,$J111=5,$J111=6,$J111=7,$J111=8,$J111=9,$J111=10),-$E111*$I111/12*3,IF($J111=11,-$E111*$I111/12*2,IF($J111=12,-$E111*$I111/12*1,0)))))+IF(CR$5&lt;&gt;$H111,0,IF(CR111&lt;0,IF($J111=10,-$E111*$I111/12*0,IF($J111=11,-$E111*$I111/12*1,IF($J111=12,-$E111*$I111/12*2,0)))))</f>
        <v>0</v>
      </c>
      <c r="CW111" s="1791">
        <f>IF(AND(CR111&lt;&gt;0,CR$5=$H111),-$I111*$E111-CR111,IF(CW$5=$H111,-$I111*$E111*(12-$J111+1)/12,0))</f>
        <v>0</v>
      </c>
      <c r="CX111" s="1808">
        <f>IF($H111&lt;&gt;DB$5,0,IF(DB111&lt;0,IF($J111=1,-$E111*$I111/12*3,IF($J111=2,-$E111*$I111/12*2,IF($J111=3,-$E111*$I111/12*1,0)))))+IF(CW$5&lt;&gt;$H111,0,IF(CW111&lt;0,IF($J111=1,-$E111*$I111/12*0,IF($J111=2,-$E111*$I111/12*1,IF($J111=3,-$E111*$I111/12*2,IF($J111&gt;=4,-$E111*$I111/12*3,0))))))</f>
        <v>0</v>
      </c>
      <c r="CY111" s="1807">
        <f>IF($H111&lt;&gt;DB$5,0,IF(DB111&lt;0,IF(OR($J111=1,$J111=2,$J111=3,$J111=4),-$E111*$I111/12*3,IF($J111=5,-$E111*$I111/12*2,IF($J111=6,-$E111*$I111/12*1,0)))))+IF(CW$5&lt;&gt;$H111,0,IF(CW111&lt;0,IF($J111=4,-$E111*$I111/12*0,IF($J111=5,-$E111*$I111/12*1,IF($J111=6,-$E111*$I111/12*2,IF($J111&gt;=7,-$E111*$I111/12*3,0))))))</f>
        <v>0</v>
      </c>
      <c r="CZ111" s="1807">
        <f>IF($H111&lt;&gt;DB$5,0,IF(DB111&lt;0,IF(OR($J111=1,$J111=2,$J111=3,$J111=4,$J111=5,$J111=6,$J111=7),-$E111*$I111/12*3,IF($J111=8,-$E111*$I111/12*2,IF($J111=9,-$E111*$I111/12*1,0)))))+IF(CW$5&lt;&gt;$H111,0,IF(CW111&lt;0,IF($J111=7,-$E111*$I111/12*0,IF($J111=8,-$E111*$I111/12*1,IF($J111=9,-$E111*$I111/12*2,IF($J111&gt;=10,-$E111*$I111/12*3,0))))))</f>
        <v>-1.0707884999999999</v>
      </c>
      <c r="DA111" s="1806">
        <f>IF($H111&lt;&gt;DB$5,0,IF(DB111&lt;0,IF(OR($J111=1,$J111=2,$J111=3,$J111=4,$J111=5,$J111=6,$J111=7,$J111=8,$J111=9,$J111=10),-$E111*$I111/12*3,IF($J111=11,-$E111*$I111/12*2,IF($J111=12,-$E111*$I111/12*1,0)))))+IF(CW$5&lt;&gt;$H111,0,IF(CW111&lt;0,IF($J111=10,-$E111*$I111/12*0,IF($J111=11,-$E111*$I111/12*1,IF($J111=12,-$E111*$I111/12*2,0)))))</f>
        <v>-1.0707884999999999</v>
      </c>
      <c r="DB111" s="1791">
        <f>IF(AND(CW111&lt;&gt;0,CW$5=$H111),-$I111*$E111-CW111,IF(DB$5=$H111,-$I111*$E111*(12-$J111+1)/12,0))</f>
        <v>-2.1415769999999998</v>
      </c>
      <c r="DC111" s="1808">
        <f>IF($H111&lt;&gt;DG$5,0,IF(DG111&lt;0,IF($J111=1,-$E111*$I111/12*3,IF($J111=2,-$E111*$I111/12*2,IF($J111=3,-$E111*$I111/12*1,0)))))+IF(DB$5&lt;&gt;$H111,0,IF(DB111&lt;0,IF($J111=1,-$E111*$I111/12*0,IF($J111=2,-$E111*$I111/12*1,IF($J111=3,-$E111*$I111/12*2,IF($J111&gt;=4,-$E111*$I111/12*3,0))))))</f>
        <v>-1.0707884999999999</v>
      </c>
      <c r="DD111" s="1807">
        <f>IF($H111&lt;&gt;DG$5,0,IF(DG111&lt;0,IF(OR($J111=1,$J111=2,$J111=3,$J111=4),-$E111*$I111/12*3,IF($J111=5,-$E111*$I111/12*2,IF($J111=6,-$E111*$I111/12*1,0)))))+IF(DB$5&lt;&gt;$H111,0,IF(DB111&lt;0,IF($J111=4,-$E111*$I111/12*0,IF($J111=5,-$E111*$I111/12*1,IF($J111=6,-$E111*$I111/12*2,IF($J111&gt;=7,-$E111*$I111/12*3,0))))))</f>
        <v>-1.0707884999999999</v>
      </c>
      <c r="DE111" s="1807">
        <f>IF($H111&lt;&gt;DG$5,0,IF(DG111&lt;0,IF(OR($J111=1,$J111=2,$J111=3,$J111=4,$J111=5,$J111=6,$J111=7),-$E111*$I111/12*3,IF($J111=8,-$E111*$I111/12*2,IF($J111=9,-$E111*$I111/12*1,0)))))+IF(DB$5&lt;&gt;$H111,0,IF(DB111&lt;0,IF($J111=7,-$E111*$I111/12*0,IF($J111=8,-$E111*$I111/12*1,IF($J111=9,-$E111*$I111/12*2,IF($J111&gt;=10,-$E111*$I111/12*3,0))))))</f>
        <v>0</v>
      </c>
      <c r="DF111" s="1806">
        <f>IF($H111&lt;&gt;DG$5,0,IF(DG111&lt;0,IF(OR($J111=1,$J111=2,$J111=3,$J111=4,$J111=5,$J111=6,$J111=7,$J111=8,$J111=9,$J111=10),-$E111*$I111/12*3,IF($J111=11,-$E111*$I111/12*2,IF($J111=12,-$E111*$I111/12*1,0)))))+IF(DB$5&lt;&gt;$H111,0,IF(DB111&lt;0,IF($J111=10,-$E111*$I111/12*0,IF($J111=11,-$E111*$I111/12*1,IF($J111=12,-$E111*$I111/12*2,0)))))</f>
        <v>0</v>
      </c>
      <c r="DG111" s="1791">
        <f>IF(AND(DB111&lt;&gt;0,DB$5=$H111),-$I111*$E111-DB111,IF(DG$5=$H111,-$I111*$E111*(12-$J111+1)/12,0))</f>
        <v>-2.1415769999999998</v>
      </c>
      <c r="DH111" s="1808">
        <f>IF($H111&lt;&gt;DL$5,0,IF(DL111&lt;0,IF($J111=1,-$E111*$I111/12*3,IF($J111=2,-$E111*$I111/12*2,IF($J111=3,-$E111*$I111/12*1,0)))))+IF(DG$5&lt;&gt;$H111,0,IF(DG111&lt;0,IF($J111=1,-$E111*$I111/12*0,IF($J111=2,-$E111*$I111/12*1,IF($J111=3,-$E111*$I111/12*2,IF($J111&gt;=4,-$E111*$I111/12*3,0))))))</f>
        <v>0</v>
      </c>
      <c r="DI111" s="1807">
        <f>IF($H111&lt;&gt;DL$5,0,IF(DL111&lt;0,IF(OR($J111=1,$J111=2,$J111=3,$J111=4),-$E111*$I111/12*3,IF($J111=5,-$E111*$I111/12*2,IF($J111=6,-$E111*$I111/12*1,0)))))+IF(DG$5&lt;&gt;$H111,0,IF(DG111&lt;0,IF($J111=4,-$E111*$I111/12*0,IF($J111=5,-$E111*$I111/12*1,IF($J111=6,-$E111*$I111/12*2,IF($J111&gt;=7,-$E111*$I111/12*3,0))))))</f>
        <v>0</v>
      </c>
      <c r="DJ111" s="1807">
        <f>IF($H111&lt;&gt;DL$5,0,IF(DL111&lt;0,IF(OR($J111=1,$J111=2,$J111=3,$J111=4,$J111=5,$J111=6,$J111=7),-$E111*$I111/12*3,IF($J111=8,-$E111*$I111/12*2,IF($J111=9,-$E111*$I111/12*1,0)))))+IF(DG$5&lt;&gt;$H111,0,IF(DG111&lt;0,IF($J111=7,-$E111*$I111/12*0,IF($J111=8,-$E111*$I111/12*1,IF($J111=9,-$E111*$I111/12*2,IF($J111&gt;=10,-$E111*$I111/12*3,0))))))</f>
        <v>0</v>
      </c>
      <c r="DK111" s="1806">
        <f>IF($H111&lt;&gt;DL$5,0,IF(DL111&lt;0,IF(OR($J111=1,$J111=2,$J111=3,$J111=4,$J111=5,$J111=6,$J111=7,$J111=8,$J111=9,$J111=10),-$E111*$I111/12*3,IF($J111=11,-$E111*$I111/12*2,IF($J111=12,-$E111*$I111/12*1,0)))))+IF(DG$5&lt;&gt;$H111,0,IF(DG111&lt;0,IF($J111=10,-$E111*$I111/12*0,IF($J111=11,-$E111*$I111/12*1,IF($J111=12,-$E111*$I111/12*2,0)))))</f>
        <v>0</v>
      </c>
      <c r="DL111" s="1791">
        <f>IF(AND(DG111&lt;&gt;0,DG$5=$H111),-$I111*$E111-DG111,IF(DL$5=$H111,-$I111*$E111*(12-$J111+1)/12,0))</f>
        <v>0</v>
      </c>
      <c r="DM111" s="1808">
        <f>IF($H111&lt;&gt;DQ$5,0,IF(DQ111&lt;0,IF($J111=1,-$E111*$I111/12*3,IF($J111=2,-$E111*$I111/12*2,IF($J111=3,-$E111*$I111/12*1,0)))))+IF(DL$5&lt;&gt;$H111,0,IF(DL111&lt;0,IF($J111=1,-$E111*$I111/12*0,IF($J111=2,-$E111*$I111/12*1,IF($J111=3,-$E111*$I111/12*2,IF($J111&gt;=4,-$E111*$I111/12*3,0))))))</f>
        <v>0</v>
      </c>
      <c r="DN111" s="1807">
        <f>IF($H111&lt;&gt;DQ$5,0,IF(DQ111&lt;0,IF(OR($J111=1,$J111=2,$J111=3,$J111=4),-$E111*$I111/12*3,IF($J111=5,-$E111*$I111/12*2,IF($J111=6,-$E111*$I111/12*1,0)))))+IF(DL$5&lt;&gt;$H111,0,IF(DL111&lt;0,IF($J111=4,-$E111*$I111/12*0,IF($J111=5,-$E111*$I111/12*1,IF($J111=6,-$E111*$I111/12*2,IF($J111&gt;=7,-$E111*$I111/12*3,0))))))</f>
        <v>0</v>
      </c>
      <c r="DO111" s="1807">
        <f>IF($H111&lt;&gt;DQ$5,0,IF(DQ111&lt;0,IF(OR($J111=1,$J111=2,$J111=3,$J111=4,$J111=5,$J111=6,$J111=7),-$E111*$I111/12*3,IF($J111=8,-$E111*$I111/12*2,IF($J111=9,-$E111*$I111/12*1,0)))))+IF(DL$5&lt;&gt;$H111,0,IF(DL111&lt;0,IF($J111=7,-$E111*$I111/12*0,IF($J111=8,-$E111*$I111/12*1,IF($J111=9,-$E111*$I111/12*2,IF($J111&gt;=10,-$E111*$I111/12*3,0))))))</f>
        <v>0</v>
      </c>
      <c r="DP111" s="1806">
        <f>IF($H111&lt;&gt;DQ$5,0,IF(DQ111&lt;0,IF(OR($J111=1,$J111=2,$J111=3,$J111=4,$J111=5,$J111=6,$J111=7,$J111=8,$J111=9,$J111=10),-$E111*$I111/12*3,IF($J111=11,-$E111*$I111/12*2,IF($J111=12,-$E111*$I111/12*1,0)))))+IF(DL$5&lt;&gt;$H111,0,IF(DL111&lt;0,IF($J111=10,-$E111*$I111/12*0,IF($J111=11,-$E111*$I111/12*1,IF($J111=12,-$E111*$I111/12*2,0)))))</f>
        <v>0</v>
      </c>
      <c r="DQ111" s="1791">
        <f>IF(AND(DL111&lt;&gt;0,DL$5=$H111),-$I111*$E111-DL111,IF(DQ$5=$H111,-$I111*$E111*(12-$J111+1)/12,0))</f>
        <v>0</v>
      </c>
      <c r="DR111" s="1808">
        <f>IF($H111&lt;&gt;DV$5,0,IF(DV111&lt;0,IF($J111=1,-$E111*$I111/12*3,IF($J111=2,-$E111*$I111/12*2,IF($J111=3,-$E111*$I111/12*1,0)))))+IF(DQ$5&lt;&gt;$H111,0,IF(DQ111&lt;0,IF($J111=1,-$E111*$I111/12*0,IF($J111=2,-$E111*$I111/12*1,IF($J111=3,-$E111*$I111/12*2,IF($J111&gt;=4,-$E111*$I111/12*3,0))))))</f>
        <v>0</v>
      </c>
      <c r="DS111" s="1807">
        <f>IF($H111&lt;&gt;DV$5,0,IF(DV111&lt;0,IF(OR($J111=1,$J111=2,$J111=3,$J111=4),-$E111*$I111/12*3,IF($J111=5,-$E111*$I111/12*2,IF($J111=6,-$E111*$I111/12*1,0)))))+IF(DQ$5&lt;&gt;$H111,0,IF(DQ111&lt;0,IF($J111=4,-$E111*$I111/12*0,IF($J111=5,-$E111*$I111/12*1,IF($J111=6,-$E111*$I111/12*2,IF($J111&gt;=7,-$E111*$I111/12*3,0))))))</f>
        <v>0</v>
      </c>
      <c r="DT111" s="1807">
        <f>IF($H111&lt;&gt;DV$5,0,IF(DV111&lt;0,IF(OR($J111=1,$J111=2,$J111=3,$J111=4,$J111=5,$J111=6,$J111=7),-$E111*$I111/12*3,IF($J111=8,-$E111*$I111/12*2,IF($J111=9,-$E111*$I111/12*1,0)))))+IF(DQ$5&lt;&gt;$H111,0,IF(DQ111&lt;0,IF($J111=7,-$E111*$I111/12*0,IF($J111=8,-$E111*$I111/12*1,IF($J111=9,-$E111*$I111/12*2,IF($J111&gt;=10,-$E111*$I111/12*3,0))))))</f>
        <v>0</v>
      </c>
      <c r="DU111" s="1806">
        <f>IF($H111&lt;&gt;DV$5,0,IF(DV111&lt;0,IF(OR($J111=1,$J111=2,$J111=3,$J111=4,$J111=5,$J111=6,$J111=7,$J111=8,$J111=9,$J111=10),-$E111*$I111/12*3,IF($J111=11,-$E111*$I111/12*2,IF($J111=12,-$E111*$I111/12*1,0)))))+IF(DQ$5&lt;&gt;$H111,0,IF(DQ111&lt;0,IF($J111=10,-$E111*$I111/12*0,IF($J111=11,-$E111*$I111/12*1,IF($J111=12,-$E111*$I111/12*2,0)))))</f>
        <v>0</v>
      </c>
      <c r="DV111" s="1791">
        <f>IF(AND(DQ111&lt;&gt;0,DQ$5=$H111),-$I111*$E111-DQ111,IF(DV$5=$H111,-$I111*$E111*(12-$J111+1)/12,0))</f>
        <v>0</v>
      </c>
    </row>
    <row r="112" spans="1:126">
      <c r="A112" s="455"/>
      <c r="B112" s="455"/>
      <c r="C112" s="1363" t="s">
        <v>313</v>
      </c>
      <c r="D112" s="455"/>
      <c r="E112" s="1817">
        <f>IF(F112=0,G112,F112)</f>
        <v>2.9660000000000002</v>
      </c>
      <c r="F112" s="1435">
        <f>6.57-F76</f>
        <v>2.9660000000000002</v>
      </c>
      <c r="G112" s="1435">
        <f>6.833-G76</f>
        <v>3.2290000000000001</v>
      </c>
      <c r="H112" s="1601">
        <v>2039</v>
      </c>
      <c r="I112" s="1602">
        <v>0.05</v>
      </c>
      <c r="J112" s="1600">
        <v>6</v>
      </c>
      <c r="K112" s="1792"/>
      <c r="L112" s="1810">
        <f t="shared" si="1302"/>
        <v>0</v>
      </c>
      <c r="M112" s="1791">
        <f t="shared" si="1302"/>
        <v>0</v>
      </c>
      <c r="N112" s="1808">
        <f>IF(R112=0,0,IF(R112&lt;0,IF($J112=3,R112,IF($J112=2,R112,IF($J112=1,R112,0)))))</f>
        <v>0</v>
      </c>
      <c r="O112" s="1807">
        <f>IF(R112=0,0,IF(R112&lt;0,IF($J112=6,R112,IF($J112=5,R112,IF($J112=4,R112,0)))))</f>
        <v>0</v>
      </c>
      <c r="P112" s="1807">
        <f>IF(R112=0,0,IF(R112&lt;0,IF($J112=9,R112,IF($J112=8,R112,IF($J112=7,R112,0)))))</f>
        <v>0</v>
      </c>
      <c r="Q112" s="1806">
        <f>IF(R112=0,0,IF(R112&lt;0,IF($J112=12,R112,IF($J112=11,R112,IF($J112=10,R112,0)))))</f>
        <v>0</v>
      </c>
      <c r="R112" s="1791">
        <f>IF(R$5=$H112,-$E112,0)</f>
        <v>0</v>
      </c>
      <c r="S112" s="1808">
        <f>IF(W112=0,0,IF(W112&lt;0,IF($J112=3,W112,IF($J112=2,W112,IF($J112=1,W112,0)))))</f>
        <v>0</v>
      </c>
      <c r="T112" s="1807">
        <f>IF(W112=0,0,IF(W112&lt;0,IF($J112=6,W112,IF($J112=5,W112,IF($J112=4,W112,0)))))</f>
        <v>0</v>
      </c>
      <c r="U112" s="1807">
        <f>IF(W112=0,0,IF(W112&lt;0,IF($J112=9,W112,IF($J112=8,W112,IF($J112=7,W112,0)))))</f>
        <v>0</v>
      </c>
      <c r="V112" s="1806">
        <f>IF(W112=0,0,IF(W112&lt;0,IF($J112=12,W112,IF($J112=11,W112,IF($J112=10,W112,0)))))</f>
        <v>0</v>
      </c>
      <c r="W112" s="1791">
        <f>IF(W$5=$H112,-$E112,0)</f>
        <v>0</v>
      </c>
      <c r="X112" s="1808">
        <f>IF(AB112=0,0,IF(AB112&lt;0,IF($J112=3,AB112,IF($J112=2,AB112,IF($J112=1,AB112,0)))))</f>
        <v>0</v>
      </c>
      <c r="Y112" s="1807">
        <f>IF(AB112=0,0,IF(AB112&lt;0,IF($J112=6,AB112,IF($J112=5,AB112,IF($J112=4,AB112,0)))))</f>
        <v>0</v>
      </c>
      <c r="Z112" s="1807">
        <f>IF(AB112=0,0,IF(AB112&lt;0,IF($J112=9,AB112,IF($J112=8,AB112,IF($J112=7,AB112,0)))))</f>
        <v>0</v>
      </c>
      <c r="AA112" s="1806">
        <f>IF(AB112=0,0,IF(AB112&lt;0,IF($J112=12,AB112,IF($J112=11,AB112,IF($J112=10,AB112,0)))))</f>
        <v>0</v>
      </c>
      <c r="AB112" s="1791">
        <f>IF(AB$5=$H112,-$E112,0)</f>
        <v>0</v>
      </c>
      <c r="AC112" s="1808">
        <f>IF(AG112=0,0,IF(AG112&lt;0,IF($J112=3,AG112,IF($J112=2,AG112,IF($J112=1,AG112,0)))))</f>
        <v>0</v>
      </c>
      <c r="AD112" s="1807">
        <f>IF(AG112=0,0,IF(AG112&lt;0,IF($J112=6,AG112,IF($J112=5,AG112,IF($J112=4,AG112,0)))))</f>
        <v>0</v>
      </c>
      <c r="AE112" s="1807">
        <f>IF(AG112=0,0,IF(AG112&lt;0,IF($J112=9,AG112,IF($J112=8,AG112,IF($J112=7,AG112,0)))))</f>
        <v>0</v>
      </c>
      <c r="AF112" s="1806">
        <f>IF(AG112=0,0,IF(AG112&lt;0,IF($J112=12,AG112,IF($J112=11,AG112,IF($J112=10,AG112,0)))))</f>
        <v>0</v>
      </c>
      <c r="AG112" s="1791">
        <f>IF(AG$5=$H112,-$E112,0)</f>
        <v>0</v>
      </c>
      <c r="AH112" s="1808">
        <f>IF(AL112=0,0,IF(AL112&lt;0,IF($J112=3,AL112,IF($J112=2,AL112,IF($J112=1,AL112,0)))))</f>
        <v>0</v>
      </c>
      <c r="AI112" s="1807">
        <f>IF(AL112=0,0,IF(AL112&lt;0,IF($J112=6,AL112,IF($J112=5,AL112,IF($J112=4,AL112,0)))))</f>
        <v>0</v>
      </c>
      <c r="AJ112" s="1807">
        <f>IF(AL112=0,0,IF(AL112&lt;0,IF($J112=9,AL112,IF($J112=8,AL112,IF($J112=7,AL112,0)))))</f>
        <v>0</v>
      </c>
      <c r="AK112" s="1806">
        <f>IF(AL112=0,0,IF(AL112&lt;0,IF($J112=12,AL112,IF($J112=11,AL112,IF($J112=10,AL112,0)))))</f>
        <v>0</v>
      </c>
      <c r="AL112" s="1791">
        <f>IF(AL$5=$H112,-$E112,0)</f>
        <v>0</v>
      </c>
      <c r="AM112" s="1808">
        <f>IF(AQ112=0,0,IF(AQ112&lt;0,IF($J112=3,AQ112,IF($J112=2,AQ112,IF($J112=1,AQ112,0)))))</f>
        <v>0</v>
      </c>
      <c r="AN112" s="1807">
        <f>IF(AQ112=0,0,IF(AQ112&lt;0,IF($J112=6,AQ112,IF($J112=5,AQ112,IF($J112=4,AQ112,0)))))</f>
        <v>0</v>
      </c>
      <c r="AO112" s="1807">
        <f>IF(AQ112=0,0,IF(AQ112&lt;0,IF($J112=9,AQ112,IF($J112=8,AQ112,IF($J112=7,AQ112,0)))))</f>
        <v>0</v>
      </c>
      <c r="AP112" s="1806">
        <f>IF(AQ112=0,0,IF(AQ112&lt;0,IF($J112=12,AQ112,IF($J112=11,AQ112,IF($J112=10,AQ112,0)))))</f>
        <v>0</v>
      </c>
      <c r="AQ112" s="1791">
        <f>IF(AQ$5=$H112,-$E112,0)</f>
        <v>0</v>
      </c>
      <c r="AR112" s="1808">
        <f>IF(AV112=0,0,IF(AV112&lt;0,IF($J112=3,AV112,IF($J112=2,AV112,IF($J112=1,AV112,0)))))</f>
        <v>0</v>
      </c>
      <c r="AS112" s="1807">
        <f>IF(AV112=0,0,IF(AV112&lt;0,IF($J112=6,AV112,IF($J112=5,AV112,IF($J112=4,AV112,0)))))</f>
        <v>0</v>
      </c>
      <c r="AT112" s="1807">
        <f>IF(AV112=0,0,IF(AV112&lt;0,IF($J112=9,AV112,IF($J112=8,AV112,IF($J112=7,AV112,0)))))</f>
        <v>0</v>
      </c>
      <c r="AU112" s="1806">
        <f>IF(AV112=0,0,IF(AV112&lt;0,IF($J112=12,AV112,IF($J112=11,AV112,IF($J112=10,AV112,0)))))</f>
        <v>0</v>
      </c>
      <c r="AV112" s="1791">
        <f>IF(AV$5=$H112,-$E112,0)</f>
        <v>0</v>
      </c>
      <c r="AW112" s="1808">
        <f>IF(BA112=0,0,IF(BA112&lt;0,IF($J112=3,BA112,IF($J112=2,BA112,IF($J112=1,BA112,0)))))</f>
        <v>0</v>
      </c>
      <c r="AX112" s="1807">
        <f>IF(BA112=0,0,IF(BA112&lt;0,IF($J112=6,BA112,IF($J112=5,BA112,IF($J112=4,BA112,0)))))</f>
        <v>0</v>
      </c>
      <c r="AY112" s="1807">
        <f>IF(BA112=0,0,IF(BA112&lt;0,IF($J112=9,BA112,IF($J112=8,BA112,IF($J112=7,BA112,0)))))</f>
        <v>0</v>
      </c>
      <c r="AZ112" s="1806">
        <f>IF(BA112=0,0,IF(BA112&lt;0,IF($J112=12,BA112,IF($J112=11,BA112,IF($J112=10,BA112,0)))))</f>
        <v>0</v>
      </c>
      <c r="BA112" s="1791">
        <f>IF(BA$5=$H112,-$E112,0)</f>
        <v>0</v>
      </c>
      <c r="BB112" s="1808">
        <f>IF(BF112=0,0,IF(BF112&lt;0,IF($J112=3,BF112,IF($J112=2,BF112,IF($J112=1,BF112,0)))))</f>
        <v>0</v>
      </c>
      <c r="BC112" s="1807">
        <f>IF(BF112=0,0,IF(BF112&lt;0,IF($J112=6,BF112,IF($J112=5,BF112,IF($J112=4,BF112,0)))))</f>
        <v>0</v>
      </c>
      <c r="BD112" s="1807">
        <f>IF(BF112=0,0,IF(BF112&lt;0,IF($J112=9,BF112,IF($J112=8,BF112,IF($J112=7,BF112,0)))))</f>
        <v>0</v>
      </c>
      <c r="BE112" s="1806">
        <f>IF(BF112=0,0,IF(BF112&lt;0,IF($J112=12,BF112,IF($J112=11,BF112,IF($J112=10,BF112,0)))))</f>
        <v>0</v>
      </c>
      <c r="BF112" s="1791">
        <f>IF(BF$5=$H112,-$E112,0)</f>
        <v>0</v>
      </c>
      <c r="BG112" s="1808">
        <f>IF(BK112=0,0,IF(BK112&lt;0,IF($J112=3,BK112,IF($J112=2,BK112,IF($J112=1,BK112,0)))))</f>
        <v>0</v>
      </c>
      <c r="BH112" s="1807">
        <f>IF(BK112=0,0,IF(BK112&lt;0,IF($J112=6,BK112,IF($J112=5,BK112,IF($J112=4,BK112,0)))))</f>
        <v>0</v>
      </c>
      <c r="BI112" s="1807">
        <f>IF(BK112=0,0,IF(BK112&lt;0,IF($J112=9,BK112,IF($J112=8,BK112,IF($J112=7,BK112,0)))))</f>
        <v>0</v>
      </c>
      <c r="BJ112" s="1806">
        <f>IF(BK112=0,0,IF(BK112&lt;0,IF($J112=12,BK112,IF($J112=11,BK112,IF($J112=10,BK112,0)))))</f>
        <v>0</v>
      </c>
      <c r="BK112" s="1791">
        <f>IF(BK$5=$H112,-$E112,0)</f>
        <v>0</v>
      </c>
      <c r="BL112" s="1808">
        <f>IF(BP112=0,0,IF(BP112&lt;0,IF($J112=3,BP112,IF($J112=2,BP112,IF($J112=1,BP112,0)))))</f>
        <v>0</v>
      </c>
      <c r="BM112" s="1807">
        <f>IF(BP112=0,0,IF(BP112&lt;0,IF($J112=6,BP112,IF($J112=5,BP112,IF($J112=4,BP112,0)))))</f>
        <v>0</v>
      </c>
      <c r="BN112" s="1807">
        <f>IF(BP112=0,0,IF(BP112&lt;0,IF($J112=9,BP112,IF($J112=8,BP112,IF($J112=7,BP112,0)))))</f>
        <v>0</v>
      </c>
      <c r="BO112" s="1806">
        <f>IF(BP112=0,0,IF(BP112&lt;0,IF($J112=12,BP112,IF($J112=11,BP112,IF($J112=10,BP112,0)))))</f>
        <v>0</v>
      </c>
      <c r="BP112" s="1791">
        <f>IF(BP$5=$H112,-$E112,0)</f>
        <v>0</v>
      </c>
      <c r="BQ112" s="1827"/>
      <c r="BR112" s="1791">
        <f t="shared" si="1303"/>
        <v>0</v>
      </c>
      <c r="BS112" s="1791">
        <f t="shared" si="1303"/>
        <v>0</v>
      </c>
      <c r="BT112" s="1808">
        <f>IF($H112&lt;&gt;BX$5,0,IF(BX112&lt;0,IF($J112=1,-$E112*$I112/12*3,IF($J112=2,-$E112*$I112/12*2,IF($J112=3,-$E112*$I112/12*1,0)))))+IF(BS$5&lt;&gt;$H112,0,IF(BS112&lt;0,IF($J112=1,-$E112*$I112/12*0,IF($J112=2,-$E112*$I112/12*1,IF($J112=3,-$E112*$I112/12*2,IF($J112&gt;=4,-$E112*$I112/12*3,0))))))</f>
        <v>0</v>
      </c>
      <c r="BU112" s="1807">
        <f>IF($H112&lt;&gt;BX$5,0,IF(BX112&lt;0,IF(OR($J112=1,$J112=2,$J112=3,$J112=4),-$E112*$I112/12*3,IF($J112=5,-$E112*$I112/12*2,IF($J112=6,-$E112*$I112/12*1,0)))))+IF(BS$5&lt;&gt;$H112,0,IF(BS112&lt;0,IF($J112=4,-$E112*$I112/12*0,IF($J112=5,-$E112*$I112/12*1,IF($J112=6,-$E112*$I112/12*2,IF($J112&gt;=7,-$E112*$I112/12*3,0))))))</f>
        <v>0</v>
      </c>
      <c r="BV112" s="1807">
        <f>IF($H112&lt;&gt;BX$5,0,IF(BX112&lt;0,IF(OR($J112=1,$J112=2,$J112=3,$J112=4,$J112=5,$J112=6,$J112=7),-$E112*$I112/12*3,IF($J112=8,-$E112*$I112/12*2,IF($J112=9,-$E112*$I112/12*1,0)))))+IF(BS$5&lt;&gt;$H112,0,IF(BS112&lt;0,IF($J112=7,-$E112*$I112/12*0,IF($J112=8,-$E112*$I112/12*1,IF($J112=9,-$E112*$I112/12*2,IF($J112&gt;=10,-$E112*$I112/12*3,0))))))</f>
        <v>0</v>
      </c>
      <c r="BW112" s="1806">
        <f>IF($H112&lt;&gt;BX$5,0,IF(BX112&lt;0,IF(OR($J112=1,$J112=2,$J112=3,$J112=4,$J112=5,$J112=6,$J112=7,$J112=8,$J112=9,$J112=10),-$E112*$I112/12*3,IF($J112=11,-$E112*$I112/12*2,IF($J112=12,-$E112*$I112/12*1,0)))))+IF(BS$5&lt;&gt;$H112,0,IF(BS112&lt;0,IF($J112=10,-$E112*$I112/12*0,IF($J112=11,-$E112*$I112/12*1,IF($J112=12,-$E112*$I112/12*2,0)))))</f>
        <v>0</v>
      </c>
      <c r="BX112" s="1791">
        <f>IF(AND(BS112&lt;&gt;0,BS$5=$H112),-$I112*$E112-BS112,IF(BX$5=$H112,-$I112*$E112*(12-$J112+1)/12,0))</f>
        <v>0</v>
      </c>
      <c r="BY112" s="1808">
        <f>IF($H112&lt;&gt;CC$5,0,IF(CC112&lt;0,IF($J112=1,-$E112*$I112/12*3,IF($J112=2,-$E112*$I112/12*2,IF($J112=3,-$E112*$I112/12*1,0)))))+IF(BX$5&lt;&gt;$H112,0,IF(BX112&lt;0,IF($J112=1,-$E112*$I112/12*0,IF($J112=2,-$E112*$I112/12*1,IF($J112=3,-$E112*$I112/12*2,IF($J112&gt;=4,-$E112*$I112/12*3,0))))))</f>
        <v>0</v>
      </c>
      <c r="BZ112" s="1807">
        <f>IF($H112&lt;&gt;CC$5,0,IF(CC112&lt;0,IF(OR($J112=1,$J112=2,$J112=3,$J112=4),-$E112*$I112/12*3,IF($J112=5,-$E112*$I112/12*2,IF($J112=6,-$E112*$I112/12*1,0)))))+IF(BX$5&lt;&gt;$H112,0,IF(BX112&lt;0,IF($J112=4,-$E112*$I112/12*0,IF($J112=5,-$E112*$I112/12*1,IF($J112=6,-$E112*$I112/12*2,IF($J112&gt;=7,-$E112*$I112/12*3,0))))))</f>
        <v>0</v>
      </c>
      <c r="CA112" s="1807">
        <f>IF($H112&lt;&gt;CC$5,0,IF(CC112&lt;0,IF(OR($J112=1,$J112=2,$J112=3,$J112=4,$J112=5,$J112=6,$J112=7),-$E112*$I112/12*3,IF($J112=8,-$E112*$I112/12*2,IF($J112=9,-$E112*$I112/12*1,0)))))+IF(BX$5&lt;&gt;$H112,0,IF(BX112&lt;0,IF($J112=7,-$E112*$I112/12*0,IF($J112=8,-$E112*$I112/12*1,IF($J112=9,-$E112*$I112/12*2,IF($J112&gt;=10,-$E112*$I112/12*3,0))))))</f>
        <v>0</v>
      </c>
      <c r="CB112" s="1806">
        <f>IF($H112&lt;&gt;CC$5,0,IF(CC112&lt;0,IF(OR($J112=1,$J112=2,$J112=3,$J112=4,$J112=5,$J112=6,$J112=7,$J112=8,$J112=9,$J112=10),-$E112*$I112/12*3,IF($J112=11,-$E112*$I112/12*2,IF($J112=12,-$E112*$I112/12*1,0)))))+IF(BX$5&lt;&gt;$H112,0,IF(BX112&lt;0,IF($J112=10,-$E112*$I112/12*0,IF($J112=11,-$E112*$I112/12*1,IF($J112=12,-$E112*$I112/12*2,0)))))</f>
        <v>0</v>
      </c>
      <c r="CC112" s="1791">
        <f>IF(AND(BX112&lt;&gt;0,BX$5=$H112),-$I112*$E112-BX112,IF(CC$5=$H112,-$I112*$E112*(12-$J112+1)/12,0))</f>
        <v>0</v>
      </c>
      <c r="CD112" s="1808">
        <f>IF($H112&lt;&gt;CH$5,0,IF(CH112&lt;0,IF($J112=1,-$E112*$I112/12*3,IF($J112=2,-$E112*$I112/12*2,IF($J112=3,-$E112*$I112/12*1,0)))))+IF(CC$5&lt;&gt;$H112,0,IF(CC112&lt;0,IF($J112=1,-$E112*$I112/12*0,IF($J112=2,-$E112*$I112/12*1,IF($J112=3,-$E112*$I112/12*2,IF($J112&gt;=4,-$E112*$I112/12*3,0))))))</f>
        <v>0</v>
      </c>
      <c r="CE112" s="1807">
        <f>IF($H112&lt;&gt;CH$5,0,IF(CH112&lt;0,IF(OR($J112=1,$J112=2,$J112=3,$J112=4),-$E112*$I112/12*3,IF($J112=5,-$E112*$I112/12*2,IF($J112=6,-$E112*$I112/12*1,0)))))+IF(CC$5&lt;&gt;$H112,0,IF(CC112&lt;0,IF($J112=4,-$E112*$I112/12*0,IF($J112=5,-$E112*$I112/12*1,IF($J112=6,-$E112*$I112/12*2,IF($J112&gt;=7,-$E112*$I112/12*3,0))))))</f>
        <v>0</v>
      </c>
      <c r="CF112" s="1807">
        <f>IF($H112&lt;&gt;CH$5,0,IF(CH112&lt;0,IF(OR($J112=1,$J112=2,$J112=3,$J112=4,$J112=5,$J112=6,$J112=7),-$E112*$I112/12*3,IF($J112=8,-$E112*$I112/12*2,IF($J112=9,-$E112*$I112/12*1,0)))))+IF(CC$5&lt;&gt;$H112,0,IF(CC112&lt;0,IF($J112=7,-$E112*$I112/12*0,IF($J112=8,-$E112*$I112/12*1,IF($J112=9,-$E112*$I112/12*2,IF($J112&gt;=10,-$E112*$I112/12*3,0))))))</f>
        <v>0</v>
      </c>
      <c r="CG112" s="1806">
        <f>IF($H112&lt;&gt;CH$5,0,IF(CH112&lt;0,IF(OR($J112=1,$J112=2,$J112=3,$J112=4,$J112=5,$J112=6,$J112=7,$J112=8,$J112=9,$J112=10),-$E112*$I112/12*3,IF($J112=11,-$E112*$I112/12*2,IF($J112=12,-$E112*$I112/12*1,0)))))+IF(CC$5&lt;&gt;$H112,0,IF(CC112&lt;0,IF($J112=10,-$E112*$I112/12*0,IF($J112=11,-$E112*$I112/12*1,IF($J112=12,-$E112*$I112/12*2,0)))))</f>
        <v>0</v>
      </c>
      <c r="CH112" s="1791">
        <f>IF(AND(CC112&lt;&gt;0,CC$5=$H112),-$I112*$E112-CC112,IF(CH$5=$H112,-$I112*$E112*(12-$J112+1)/12,0))</f>
        <v>0</v>
      </c>
      <c r="CI112" s="1808">
        <f>IF($H112&lt;&gt;CM$5,0,IF(CM112&lt;0,IF($J112=1,-$E112*$I112/12*3,IF($J112=2,-$E112*$I112/12*2,IF($J112=3,-$E112*$I112/12*1,0)))))+IF(CH$5&lt;&gt;$H112,0,IF(CH112&lt;0,IF($J112=1,-$E112*$I112/12*0,IF($J112=2,-$E112*$I112/12*1,IF($J112=3,-$E112*$I112/12*2,IF($J112&gt;=4,-$E112*$I112/12*3,0))))))</f>
        <v>0</v>
      </c>
      <c r="CJ112" s="1807">
        <f>IF($H112&lt;&gt;CM$5,0,IF(CM112&lt;0,IF(OR($J112=1,$J112=2,$J112=3,$J112=4),-$E112*$I112/12*3,IF($J112=5,-$E112*$I112/12*2,IF($J112=6,-$E112*$I112/12*1,0)))))+IF(CH$5&lt;&gt;$H112,0,IF(CH112&lt;0,IF($J112=4,-$E112*$I112/12*0,IF($J112=5,-$E112*$I112/12*1,IF($J112=6,-$E112*$I112/12*2,IF($J112&gt;=7,-$E112*$I112/12*3,0))))))</f>
        <v>0</v>
      </c>
      <c r="CK112" s="1807">
        <f>IF($H112&lt;&gt;CM$5,0,IF(CM112&lt;0,IF(OR($J112=1,$J112=2,$J112=3,$J112=4,$J112=5,$J112=6,$J112=7),-$E112*$I112/12*3,IF($J112=8,-$E112*$I112/12*2,IF($J112=9,-$E112*$I112/12*1,0)))))+IF(CH$5&lt;&gt;$H112,0,IF(CH112&lt;0,IF($J112=7,-$E112*$I112/12*0,IF($J112=8,-$E112*$I112/12*1,IF($J112=9,-$E112*$I112/12*2,IF($J112&gt;=10,-$E112*$I112/12*3,0))))))</f>
        <v>0</v>
      </c>
      <c r="CL112" s="1806">
        <f>IF($H112&lt;&gt;CM$5,0,IF(CM112&lt;0,IF(OR($J112=1,$J112=2,$J112=3,$J112=4,$J112=5,$J112=6,$J112=7,$J112=8,$J112=9,$J112=10),-$E112*$I112/12*3,IF($J112=11,-$E112*$I112/12*2,IF($J112=12,-$E112*$I112/12*1,0)))))+IF(CH$5&lt;&gt;$H112,0,IF(CH112&lt;0,IF($J112=10,-$E112*$I112/12*0,IF($J112=11,-$E112*$I112/12*1,IF($J112=12,-$E112*$I112/12*2,0)))))</f>
        <v>0</v>
      </c>
      <c r="CM112" s="1791">
        <f>IF(AND(CH112&lt;&gt;0,CH$5=$H112),-$I112*$E112-CH112,IF(CM$5=$H112,-$I112*$E112*(12-$J112+1)/12,0))</f>
        <v>0</v>
      </c>
      <c r="CN112" s="1808">
        <f>IF($H112&lt;&gt;CR$5,0,IF(CR112&lt;0,IF($J112=1,-$E112*$I112/12*3,IF($J112=2,-$E112*$I112/12*2,IF($J112=3,-$E112*$I112/12*1,0)))))+IF(CM$5&lt;&gt;$H112,0,IF(CM112&lt;0,IF($J112=1,-$E112*$I112/12*0,IF($J112=2,-$E112*$I112/12*1,IF($J112=3,-$E112*$I112/12*2,IF($J112&gt;=4,-$E112*$I112/12*3,0))))))</f>
        <v>0</v>
      </c>
      <c r="CO112" s="1807">
        <f>IF($H112&lt;&gt;CR$5,0,IF(CR112&lt;0,IF(OR($J112=1,$J112=2,$J112=3,$J112=4),-$E112*$I112/12*3,IF($J112=5,-$E112*$I112/12*2,IF($J112=6,-$E112*$I112/12*1,0)))))+IF(CM$5&lt;&gt;$H112,0,IF(CM112&lt;0,IF($J112=4,-$E112*$I112/12*0,IF($J112=5,-$E112*$I112/12*1,IF($J112=6,-$E112*$I112/12*2,IF($J112&gt;=7,-$E112*$I112/12*3,0))))))</f>
        <v>0</v>
      </c>
      <c r="CP112" s="1807">
        <f>IF($H112&lt;&gt;CR$5,0,IF(CR112&lt;0,IF(OR($J112=1,$J112=2,$J112=3,$J112=4,$J112=5,$J112=6,$J112=7),-$E112*$I112/12*3,IF($J112=8,-$E112*$I112/12*2,IF($J112=9,-$E112*$I112/12*1,0)))))+IF(CM$5&lt;&gt;$H112,0,IF(CM112&lt;0,IF($J112=7,-$E112*$I112/12*0,IF($J112=8,-$E112*$I112/12*1,IF($J112=9,-$E112*$I112/12*2,IF($J112&gt;=10,-$E112*$I112/12*3,0))))))</f>
        <v>0</v>
      </c>
      <c r="CQ112" s="1806">
        <f>IF($H112&lt;&gt;CR$5,0,IF(CR112&lt;0,IF(OR($J112=1,$J112=2,$J112=3,$J112=4,$J112=5,$J112=6,$J112=7,$J112=8,$J112=9,$J112=10),-$E112*$I112/12*3,IF($J112=11,-$E112*$I112/12*2,IF($J112=12,-$E112*$I112/12*1,0)))))+IF(CM$5&lt;&gt;$H112,0,IF(CM112&lt;0,IF($J112=10,-$E112*$I112/12*0,IF($J112=11,-$E112*$I112/12*1,IF($J112=12,-$E112*$I112/12*2,0)))))</f>
        <v>0</v>
      </c>
      <c r="CR112" s="1791">
        <f>IF(AND(CM112&lt;&gt;0,CM$5=$H112),-$I112*$E112-CM112,IF(CR$5=$H112,-$I112*$E112*(12-$J112+1)/12,0))</f>
        <v>0</v>
      </c>
      <c r="CS112" s="1808">
        <f>IF($H112&lt;&gt;CW$5,0,IF(CW112&lt;0,IF($J112=1,-$E112*$I112/12*3,IF($J112=2,-$E112*$I112/12*2,IF($J112=3,-$E112*$I112/12*1,0)))))+IF(CR$5&lt;&gt;$H112,0,IF(CR112&lt;0,IF($J112=1,-$E112*$I112/12*0,IF($J112=2,-$E112*$I112/12*1,IF($J112=3,-$E112*$I112/12*2,IF($J112&gt;=4,-$E112*$I112/12*3,0))))))</f>
        <v>0</v>
      </c>
      <c r="CT112" s="1807">
        <f>IF($H112&lt;&gt;CW$5,0,IF(CW112&lt;0,IF(OR($J112=1,$J112=2,$J112=3,$J112=4),-$E112*$I112/12*3,IF($J112=5,-$E112*$I112/12*2,IF($J112=6,-$E112*$I112/12*1,0)))))+IF(CR$5&lt;&gt;$H112,0,IF(CR112&lt;0,IF($J112=4,-$E112*$I112/12*0,IF($J112=5,-$E112*$I112/12*1,IF($J112=6,-$E112*$I112/12*2,IF($J112&gt;=7,-$E112*$I112/12*3,0))))))</f>
        <v>0</v>
      </c>
      <c r="CU112" s="1807">
        <f>IF($H112&lt;&gt;CW$5,0,IF(CW112&lt;0,IF(OR($J112=1,$J112=2,$J112=3,$J112=4,$J112=5,$J112=6,$J112=7),-$E112*$I112/12*3,IF($J112=8,-$E112*$I112/12*2,IF($J112=9,-$E112*$I112/12*1,0)))))+IF(CR$5&lt;&gt;$H112,0,IF(CR112&lt;0,IF($J112=7,-$E112*$I112/12*0,IF($J112=8,-$E112*$I112/12*1,IF($J112=9,-$E112*$I112/12*2,IF($J112&gt;=10,-$E112*$I112/12*3,0))))))</f>
        <v>0</v>
      </c>
      <c r="CV112" s="1806">
        <f>IF($H112&lt;&gt;CW$5,0,IF(CW112&lt;0,IF(OR($J112=1,$J112=2,$J112=3,$J112=4,$J112=5,$J112=6,$J112=7,$J112=8,$J112=9,$J112=10),-$E112*$I112/12*3,IF($J112=11,-$E112*$I112/12*2,IF($J112=12,-$E112*$I112/12*1,0)))))+IF(CR$5&lt;&gt;$H112,0,IF(CR112&lt;0,IF($J112=10,-$E112*$I112/12*0,IF($J112=11,-$E112*$I112/12*1,IF($J112=12,-$E112*$I112/12*2,0)))))</f>
        <v>0</v>
      </c>
      <c r="CW112" s="1791">
        <f>IF(AND(CR112&lt;&gt;0,CR$5=$H112),-$I112*$E112-CR112,IF(CW$5=$H112,-$I112*$E112*(12-$J112+1)/12,0))</f>
        <v>0</v>
      </c>
      <c r="CX112" s="1808">
        <f>IF($H112&lt;&gt;DB$5,0,IF(DB112&lt;0,IF($J112=1,-$E112*$I112/12*3,IF($J112=2,-$E112*$I112/12*2,IF($J112=3,-$E112*$I112/12*1,0)))))+IF(CW$5&lt;&gt;$H112,0,IF(CW112&lt;0,IF($J112=1,-$E112*$I112/12*0,IF($J112=2,-$E112*$I112/12*1,IF($J112=3,-$E112*$I112/12*2,IF($J112&gt;=4,-$E112*$I112/12*3,0))))))</f>
        <v>0</v>
      </c>
      <c r="CY112" s="1807">
        <f>IF($H112&lt;&gt;DB$5,0,IF(DB112&lt;0,IF(OR($J112=1,$J112=2,$J112=3,$J112=4),-$E112*$I112/12*3,IF($J112=5,-$E112*$I112/12*2,IF($J112=6,-$E112*$I112/12*1,0)))))+IF(CW$5&lt;&gt;$H112,0,IF(CW112&lt;0,IF($J112=4,-$E112*$I112/12*0,IF($J112=5,-$E112*$I112/12*1,IF($J112=6,-$E112*$I112/12*2,IF($J112&gt;=7,-$E112*$I112/12*3,0))))))</f>
        <v>0</v>
      </c>
      <c r="CZ112" s="1807">
        <f>IF($H112&lt;&gt;DB$5,0,IF(DB112&lt;0,IF(OR($J112=1,$J112=2,$J112=3,$J112=4,$J112=5,$J112=6,$J112=7),-$E112*$I112/12*3,IF($J112=8,-$E112*$I112/12*2,IF($J112=9,-$E112*$I112/12*1,0)))))+IF(CW$5&lt;&gt;$H112,0,IF(CW112&lt;0,IF($J112=7,-$E112*$I112/12*0,IF($J112=8,-$E112*$I112/12*1,IF($J112=9,-$E112*$I112/12*2,IF($J112&gt;=10,-$E112*$I112/12*3,0))))))</f>
        <v>0</v>
      </c>
      <c r="DA112" s="1806">
        <f>IF($H112&lt;&gt;DB$5,0,IF(DB112&lt;0,IF(OR($J112=1,$J112=2,$J112=3,$J112=4,$J112=5,$J112=6,$J112=7,$J112=8,$J112=9,$J112=10),-$E112*$I112/12*3,IF($J112=11,-$E112*$I112/12*2,IF($J112=12,-$E112*$I112/12*1,0)))))+IF(CW$5&lt;&gt;$H112,0,IF(CW112&lt;0,IF($J112=10,-$E112*$I112/12*0,IF($J112=11,-$E112*$I112/12*1,IF($J112=12,-$E112*$I112/12*2,0)))))</f>
        <v>0</v>
      </c>
      <c r="DB112" s="1791">
        <f>IF(AND(CW112&lt;&gt;0,CW$5=$H112),-$I112*$E112-CW112,IF(DB$5=$H112,-$I112*$E112*(12-$J112+1)/12,0))</f>
        <v>0</v>
      </c>
      <c r="DC112" s="1808">
        <f>IF($H112&lt;&gt;DG$5,0,IF(DG112&lt;0,IF($J112=1,-$E112*$I112/12*3,IF($J112=2,-$E112*$I112/12*2,IF($J112=3,-$E112*$I112/12*1,0)))))+IF(DB$5&lt;&gt;$H112,0,IF(DB112&lt;0,IF($J112=1,-$E112*$I112/12*0,IF($J112=2,-$E112*$I112/12*1,IF($J112=3,-$E112*$I112/12*2,IF($J112&gt;=4,-$E112*$I112/12*3,0))))))</f>
        <v>0</v>
      </c>
      <c r="DD112" s="1807">
        <f>IF($H112&lt;&gt;DG$5,0,IF(DG112&lt;0,IF(OR($J112=1,$J112=2,$J112=3,$J112=4),-$E112*$I112/12*3,IF($J112=5,-$E112*$I112/12*2,IF($J112=6,-$E112*$I112/12*1,0)))))+IF(DB$5&lt;&gt;$H112,0,IF(DB112&lt;0,IF($J112=4,-$E112*$I112/12*0,IF($J112=5,-$E112*$I112/12*1,IF($J112=6,-$E112*$I112/12*2,IF($J112&gt;=7,-$E112*$I112/12*3,0))))))</f>
        <v>0</v>
      </c>
      <c r="DE112" s="1807">
        <f>IF($H112&lt;&gt;DG$5,0,IF(DG112&lt;0,IF(OR($J112=1,$J112=2,$J112=3,$J112=4,$J112=5,$J112=6,$J112=7),-$E112*$I112/12*3,IF($J112=8,-$E112*$I112/12*2,IF($J112=9,-$E112*$I112/12*1,0)))))+IF(DB$5&lt;&gt;$H112,0,IF(DB112&lt;0,IF($J112=7,-$E112*$I112/12*0,IF($J112=8,-$E112*$I112/12*1,IF($J112=9,-$E112*$I112/12*2,IF($J112&gt;=10,-$E112*$I112/12*3,0))))))</f>
        <v>0</v>
      </c>
      <c r="DF112" s="1806">
        <f>IF($H112&lt;&gt;DG$5,0,IF(DG112&lt;0,IF(OR($J112=1,$J112=2,$J112=3,$J112=4,$J112=5,$J112=6,$J112=7,$J112=8,$J112=9,$J112=10),-$E112*$I112/12*3,IF($J112=11,-$E112*$I112/12*2,IF($J112=12,-$E112*$I112/12*1,0)))))+IF(DB$5&lt;&gt;$H112,0,IF(DB112&lt;0,IF($J112=10,-$E112*$I112/12*0,IF($J112=11,-$E112*$I112/12*1,IF($J112=12,-$E112*$I112/12*2,0)))))</f>
        <v>0</v>
      </c>
      <c r="DG112" s="1791">
        <f>IF(AND(DB112&lt;&gt;0,DB$5=$H112),-$I112*$E112-DB112,IF(DG$5=$H112,-$I112*$E112*(12-$J112+1)/12,0))</f>
        <v>0</v>
      </c>
      <c r="DH112" s="1808">
        <f>IF($H112&lt;&gt;DL$5,0,IF(DL112&lt;0,IF($J112=1,-$E112*$I112/12*3,IF($J112=2,-$E112*$I112/12*2,IF($J112=3,-$E112*$I112/12*1,0)))))+IF(DG$5&lt;&gt;$H112,0,IF(DG112&lt;0,IF($J112=1,-$E112*$I112/12*0,IF($J112=2,-$E112*$I112/12*1,IF($J112=3,-$E112*$I112/12*2,IF($J112&gt;=4,-$E112*$I112/12*3,0))))))</f>
        <v>0</v>
      </c>
      <c r="DI112" s="1807">
        <f>IF($H112&lt;&gt;DL$5,0,IF(DL112&lt;0,IF(OR($J112=1,$J112=2,$J112=3,$J112=4),-$E112*$I112/12*3,IF($J112=5,-$E112*$I112/12*2,IF($J112=6,-$E112*$I112/12*1,0)))))+IF(DG$5&lt;&gt;$H112,0,IF(DG112&lt;0,IF($J112=4,-$E112*$I112/12*0,IF($J112=5,-$E112*$I112/12*1,IF($J112=6,-$E112*$I112/12*2,IF($J112&gt;=7,-$E112*$I112/12*3,0))))))</f>
        <v>0</v>
      </c>
      <c r="DJ112" s="1807">
        <f>IF($H112&lt;&gt;DL$5,0,IF(DL112&lt;0,IF(OR($J112=1,$J112=2,$J112=3,$J112=4,$J112=5,$J112=6,$J112=7),-$E112*$I112/12*3,IF($J112=8,-$E112*$I112/12*2,IF($J112=9,-$E112*$I112/12*1,0)))))+IF(DG$5&lt;&gt;$H112,0,IF(DG112&lt;0,IF($J112=7,-$E112*$I112/12*0,IF($J112=8,-$E112*$I112/12*1,IF($J112=9,-$E112*$I112/12*2,IF($J112&gt;=10,-$E112*$I112/12*3,0))))))</f>
        <v>0</v>
      </c>
      <c r="DK112" s="1806">
        <f>IF($H112&lt;&gt;DL$5,0,IF(DL112&lt;0,IF(OR($J112=1,$J112=2,$J112=3,$J112=4,$J112=5,$J112=6,$J112=7,$J112=8,$J112=9,$J112=10),-$E112*$I112/12*3,IF($J112=11,-$E112*$I112/12*2,IF($J112=12,-$E112*$I112/12*1,0)))))+IF(DG$5&lt;&gt;$H112,0,IF(DG112&lt;0,IF($J112=10,-$E112*$I112/12*0,IF($J112=11,-$E112*$I112/12*1,IF($J112=12,-$E112*$I112/12*2,0)))))</f>
        <v>0</v>
      </c>
      <c r="DL112" s="1791">
        <f>IF(AND(DG112&lt;&gt;0,DG$5=$H112),-$I112*$E112-DG112,IF(DL$5=$H112,-$I112*$E112*(12-$J112+1)/12,0))</f>
        <v>0</v>
      </c>
      <c r="DM112" s="1808">
        <f>IF($H112&lt;&gt;DQ$5,0,IF(DQ112&lt;0,IF($J112=1,-$E112*$I112/12*3,IF($J112=2,-$E112*$I112/12*2,IF($J112=3,-$E112*$I112/12*1,0)))))+IF(DL$5&lt;&gt;$H112,0,IF(DL112&lt;0,IF($J112=1,-$E112*$I112/12*0,IF($J112=2,-$E112*$I112/12*1,IF($J112=3,-$E112*$I112/12*2,IF($J112&gt;=4,-$E112*$I112/12*3,0))))))</f>
        <v>0</v>
      </c>
      <c r="DN112" s="1807">
        <f>IF($H112&lt;&gt;DQ$5,0,IF(DQ112&lt;0,IF(OR($J112=1,$J112=2,$J112=3,$J112=4),-$E112*$I112/12*3,IF($J112=5,-$E112*$I112/12*2,IF($J112=6,-$E112*$I112/12*1,0)))))+IF(DL$5&lt;&gt;$H112,0,IF(DL112&lt;0,IF($J112=4,-$E112*$I112/12*0,IF($J112=5,-$E112*$I112/12*1,IF($J112=6,-$E112*$I112/12*2,IF($J112&gt;=7,-$E112*$I112/12*3,0))))))</f>
        <v>0</v>
      </c>
      <c r="DO112" s="1807">
        <f>IF($H112&lt;&gt;DQ$5,0,IF(DQ112&lt;0,IF(OR($J112=1,$J112=2,$J112=3,$J112=4,$J112=5,$J112=6,$J112=7),-$E112*$I112/12*3,IF($J112=8,-$E112*$I112/12*2,IF($J112=9,-$E112*$I112/12*1,0)))))+IF(DL$5&lt;&gt;$H112,0,IF(DL112&lt;0,IF($J112=7,-$E112*$I112/12*0,IF($J112=8,-$E112*$I112/12*1,IF($J112=9,-$E112*$I112/12*2,IF($J112&gt;=10,-$E112*$I112/12*3,0))))))</f>
        <v>0</v>
      </c>
      <c r="DP112" s="1806">
        <f>IF($H112&lt;&gt;DQ$5,0,IF(DQ112&lt;0,IF(OR($J112=1,$J112=2,$J112=3,$J112=4,$J112=5,$J112=6,$J112=7,$J112=8,$J112=9,$J112=10),-$E112*$I112/12*3,IF($J112=11,-$E112*$I112/12*2,IF($J112=12,-$E112*$I112/12*1,0)))))+IF(DL$5&lt;&gt;$H112,0,IF(DL112&lt;0,IF($J112=10,-$E112*$I112/12*0,IF($J112=11,-$E112*$I112/12*1,IF($J112=12,-$E112*$I112/12*2,0)))))</f>
        <v>0</v>
      </c>
      <c r="DQ112" s="1791">
        <f>IF(AND(DL112&lt;&gt;0,DL$5=$H112),-$I112*$E112-DL112,IF(DQ$5=$H112,-$I112*$E112*(12-$J112+1)/12,0))</f>
        <v>0</v>
      </c>
      <c r="DR112" s="1808">
        <f>IF($H112&lt;&gt;DV$5,0,IF(DV112&lt;0,IF($J112=1,-$E112*$I112/12*3,IF($J112=2,-$E112*$I112/12*2,IF($J112=3,-$E112*$I112/12*1,0)))))+IF(DQ$5&lt;&gt;$H112,0,IF(DQ112&lt;0,IF($J112=1,-$E112*$I112/12*0,IF($J112=2,-$E112*$I112/12*1,IF($J112=3,-$E112*$I112/12*2,IF($J112&gt;=4,-$E112*$I112/12*3,0))))))</f>
        <v>0</v>
      </c>
      <c r="DS112" s="1807">
        <f>IF($H112&lt;&gt;DV$5,0,IF(DV112&lt;0,IF(OR($J112=1,$J112=2,$J112=3,$J112=4),-$E112*$I112/12*3,IF($J112=5,-$E112*$I112/12*2,IF($J112=6,-$E112*$I112/12*1,0)))))+IF(DQ$5&lt;&gt;$H112,0,IF(DQ112&lt;0,IF($J112=4,-$E112*$I112/12*0,IF($J112=5,-$E112*$I112/12*1,IF($J112=6,-$E112*$I112/12*2,IF($J112&gt;=7,-$E112*$I112/12*3,0))))))</f>
        <v>0</v>
      </c>
      <c r="DT112" s="1807">
        <f>IF($H112&lt;&gt;DV$5,0,IF(DV112&lt;0,IF(OR($J112=1,$J112=2,$J112=3,$J112=4,$J112=5,$J112=6,$J112=7),-$E112*$I112/12*3,IF($J112=8,-$E112*$I112/12*2,IF($J112=9,-$E112*$I112/12*1,0)))))+IF(DQ$5&lt;&gt;$H112,0,IF(DQ112&lt;0,IF($J112=7,-$E112*$I112/12*0,IF($J112=8,-$E112*$I112/12*1,IF($J112=9,-$E112*$I112/12*2,IF($J112&gt;=10,-$E112*$I112/12*3,0))))))</f>
        <v>0</v>
      </c>
      <c r="DU112" s="1806">
        <f>IF($H112&lt;&gt;DV$5,0,IF(DV112&lt;0,IF(OR($J112=1,$J112=2,$J112=3,$J112=4,$J112=5,$J112=6,$J112=7,$J112=8,$J112=9,$J112=10),-$E112*$I112/12*3,IF($J112=11,-$E112*$I112/12*2,IF($J112=12,-$E112*$I112/12*1,0)))))+IF(DQ$5&lt;&gt;$H112,0,IF(DQ112&lt;0,IF($J112=10,-$E112*$I112/12*0,IF($J112=11,-$E112*$I112/12*1,IF($J112=12,-$E112*$I112/12*2,0)))))</f>
        <v>0</v>
      </c>
      <c r="DV112" s="1791">
        <f>IF(AND(DQ112&lt;&gt;0,DQ$5=$H112),-$I112*$E112-DQ112,IF(DV$5=$H112,-$I112*$E112*(12-$J112+1)/12,0))</f>
        <v>0</v>
      </c>
    </row>
    <row r="113" spans="1:126">
      <c r="A113" s="455"/>
      <c r="B113" s="455"/>
      <c r="C113" s="1363" t="s">
        <v>959</v>
      </c>
      <c r="D113" s="94"/>
      <c r="E113" s="1817">
        <f>IF(F113=0,G113,F113)</f>
        <v>42.703000000000003</v>
      </c>
      <c r="F113" s="1435">
        <v>0</v>
      </c>
      <c r="G113" s="1435">
        <v>42.703000000000003</v>
      </c>
      <c r="H113" s="1350">
        <v>2017</v>
      </c>
      <c r="I113" s="1812">
        <v>0.05</v>
      </c>
      <c r="J113" s="1343">
        <v>7</v>
      </c>
      <c r="K113" s="1792"/>
      <c r="L113" s="1810">
        <f t="shared" si="1302"/>
        <v>0</v>
      </c>
      <c r="M113" s="1791">
        <f t="shared" si="1302"/>
        <v>0</v>
      </c>
      <c r="N113" s="1808">
        <f>IF(R113=0,0,IF(R113&lt;0,IF($J113=3,R113,IF($J113=2,R113,IF($J113=1,R113,0)))))</f>
        <v>0</v>
      </c>
      <c r="O113" s="1807">
        <f>IF(R113=0,0,IF(R113&lt;0,IF($J113=6,R113,IF($J113=5,R113,IF($J113=4,R113,0)))))</f>
        <v>0</v>
      </c>
      <c r="P113" s="1807">
        <f>IF(R113=0,0,IF(R113&lt;0,IF($J113=9,R113,IF($J113=8,R113,IF($J113=7,R113,0)))))</f>
        <v>0</v>
      </c>
      <c r="Q113" s="1806">
        <f>IF(R113=0,0,IF(R113&lt;0,IF($J113=12,R113,IF($J113=11,R113,IF($J113=10,R113,0)))))</f>
        <v>0</v>
      </c>
      <c r="R113" s="1791">
        <f>IF(R$5=$H113,-$E113,0)</f>
        <v>0</v>
      </c>
      <c r="S113" s="1808">
        <f>IF(W113=0,0,IF(W113&lt;0,IF($J113=3,W113,IF($J113=2,W113,IF($J113=1,W113,0)))))</f>
        <v>0</v>
      </c>
      <c r="T113" s="1807">
        <f>IF(W113=0,0,IF(W113&lt;0,IF($J113=6,W113,IF($J113=5,W113,IF($J113=4,W113,0)))))</f>
        <v>0</v>
      </c>
      <c r="U113" s="1807">
        <f>IF(W113=0,0,IF(W113&lt;0,IF($J113=9,W113,IF($J113=8,W113,IF($J113=7,W113,0)))))</f>
        <v>0</v>
      </c>
      <c r="V113" s="1806">
        <f>IF(W113=0,0,IF(W113&lt;0,IF($J113=12,W113,IF($J113=11,W113,IF($J113=10,W113,0)))))</f>
        <v>0</v>
      </c>
      <c r="W113" s="1791">
        <f>IF(W$5=$H113,-$E113,0)</f>
        <v>0</v>
      </c>
      <c r="X113" s="1808">
        <f>IF(AB113=0,0,IF(AB113&lt;0,IF($J113=3,AB113,IF($J113=2,AB113,IF($J113=1,AB113,0)))))</f>
        <v>0</v>
      </c>
      <c r="Y113" s="1807">
        <f>IF(AB113=0,0,IF(AB113&lt;0,IF($J113=6,AB113,IF($J113=5,AB113,IF($J113=4,AB113,0)))))</f>
        <v>0</v>
      </c>
      <c r="Z113" s="1807">
        <f>IF(AB113=0,0,IF(AB113&lt;0,IF($J113=9,AB113,IF($J113=8,AB113,IF($J113=7,AB113,0)))))</f>
        <v>0</v>
      </c>
      <c r="AA113" s="1806">
        <f>IF(AB113=0,0,IF(AB113&lt;0,IF($J113=12,AB113,IF($J113=11,AB113,IF($J113=10,AB113,0)))))</f>
        <v>0</v>
      </c>
      <c r="AB113" s="1791">
        <f>IF(AB$5=$H113,-$E113,0)</f>
        <v>0</v>
      </c>
      <c r="AC113" s="1808">
        <f>IF(AG113=0,0,IF(AG113&lt;0,IF($J113=3,AG113,IF($J113=2,AG113,IF($J113=1,AG113,0)))))</f>
        <v>0</v>
      </c>
      <c r="AD113" s="1807">
        <f>IF(AG113=0,0,IF(AG113&lt;0,IF($J113=6,AG113,IF($J113=5,AG113,IF($J113=4,AG113,0)))))</f>
        <v>0</v>
      </c>
      <c r="AE113" s="1807">
        <f>IF(AG113=0,0,IF(AG113&lt;0,IF($J113=9,AG113,IF($J113=8,AG113,IF($J113=7,AG113,0)))))</f>
        <v>0</v>
      </c>
      <c r="AF113" s="1806">
        <f>IF(AG113=0,0,IF(AG113&lt;0,IF($J113=12,AG113,IF($J113=11,AG113,IF($J113=10,AG113,0)))))</f>
        <v>0</v>
      </c>
      <c r="AG113" s="1791">
        <f>IF(AG$5=$H113,-$E113,0)</f>
        <v>0</v>
      </c>
      <c r="AH113" s="1808">
        <f>IF(AL113=0,0,IF(AL113&lt;0,IF($J113=3,AL113,IF($J113=2,AL113,IF($J113=1,AL113,0)))))</f>
        <v>0</v>
      </c>
      <c r="AI113" s="1807">
        <f>IF(AL113=0,0,IF(AL113&lt;0,IF($J113=6,AL113,IF($J113=5,AL113,IF($J113=4,AL113,0)))))</f>
        <v>0</v>
      </c>
      <c r="AJ113" s="1807">
        <f>IF(AL113=0,0,IF(AL113&lt;0,IF($J113=9,AL113,IF($J113=8,AL113,IF($J113=7,AL113,0)))))</f>
        <v>0</v>
      </c>
      <c r="AK113" s="1806">
        <f>IF(AL113=0,0,IF(AL113&lt;0,IF($J113=12,AL113,IF($J113=11,AL113,IF($J113=10,AL113,0)))))</f>
        <v>0</v>
      </c>
      <c r="AL113" s="1791">
        <f>IF(AL$5=$H113,-$E113,0)</f>
        <v>0</v>
      </c>
      <c r="AM113" s="1808">
        <f>IF(AQ113=0,0,IF(AQ113&lt;0,IF($J113=3,AQ113,IF($J113=2,AQ113,IF($J113=1,AQ113,0)))))</f>
        <v>0</v>
      </c>
      <c r="AN113" s="1807">
        <f>IF(AQ113=0,0,IF(AQ113&lt;0,IF($J113=6,AQ113,IF($J113=5,AQ113,IF($J113=4,AQ113,0)))))</f>
        <v>0</v>
      </c>
      <c r="AO113" s="1807">
        <f>IF(AQ113=0,0,IF(AQ113&lt;0,IF($J113=9,AQ113,IF($J113=8,AQ113,IF($J113=7,AQ113,0)))))</f>
        <v>0</v>
      </c>
      <c r="AP113" s="1806">
        <f>IF(AQ113=0,0,IF(AQ113&lt;0,IF($J113=12,AQ113,IF($J113=11,AQ113,IF($J113=10,AQ113,0)))))</f>
        <v>0</v>
      </c>
      <c r="AQ113" s="1791">
        <f>IF(AQ$5=$H113,-$E113,0)</f>
        <v>0</v>
      </c>
      <c r="AR113" s="1808">
        <f>IF(AV113=0,0,IF(AV113&lt;0,IF($J113=3,AV113,IF($J113=2,AV113,IF($J113=1,AV113,0)))))</f>
        <v>0</v>
      </c>
      <c r="AS113" s="1807">
        <f>IF(AV113=0,0,IF(AV113&lt;0,IF($J113=6,AV113,IF($J113=5,AV113,IF($J113=4,AV113,0)))))</f>
        <v>0</v>
      </c>
      <c r="AT113" s="1807">
        <f>IF(AV113=0,0,IF(AV113&lt;0,IF($J113=9,AV113,IF($J113=8,AV113,IF($J113=7,AV113,0)))))</f>
        <v>-42.703000000000003</v>
      </c>
      <c r="AU113" s="1806">
        <f>IF(AV113=0,0,IF(AV113&lt;0,IF($J113=12,AV113,IF($J113=11,AV113,IF($J113=10,AV113,0)))))</f>
        <v>0</v>
      </c>
      <c r="AV113" s="1791">
        <f>IF(AV$5=$H113,-$E113,0)</f>
        <v>-42.703000000000003</v>
      </c>
      <c r="AW113" s="1808">
        <f>IF(BA113=0,0,IF(BA113&lt;0,IF($J113=3,BA113,IF($J113=2,BA113,IF($J113=1,BA113,0)))))</f>
        <v>0</v>
      </c>
      <c r="AX113" s="1807">
        <f>IF(BA113=0,0,IF(BA113&lt;0,IF($J113=6,BA113,IF($J113=5,BA113,IF($J113=4,BA113,0)))))</f>
        <v>0</v>
      </c>
      <c r="AY113" s="1807">
        <f>IF(BA113=0,0,IF(BA113&lt;0,IF($J113=9,BA113,IF($J113=8,BA113,IF($J113=7,BA113,0)))))</f>
        <v>0</v>
      </c>
      <c r="AZ113" s="1806">
        <f>IF(BA113=0,0,IF(BA113&lt;0,IF($J113=12,BA113,IF($J113=11,BA113,IF($J113=10,BA113,0)))))</f>
        <v>0</v>
      </c>
      <c r="BA113" s="1791">
        <f>IF(BA$5=$H113,-$E113,0)</f>
        <v>0</v>
      </c>
      <c r="BB113" s="1808">
        <f>IF(BF113=0,0,IF(BF113&lt;0,IF($J113=3,BF113,IF($J113=2,BF113,IF($J113=1,BF113,0)))))</f>
        <v>0</v>
      </c>
      <c r="BC113" s="1807">
        <f>IF(BF113=0,0,IF(BF113&lt;0,IF($J113=6,BF113,IF($J113=5,BF113,IF($J113=4,BF113,0)))))</f>
        <v>0</v>
      </c>
      <c r="BD113" s="1807">
        <f>IF(BF113=0,0,IF(BF113&lt;0,IF($J113=9,BF113,IF($J113=8,BF113,IF($J113=7,BF113,0)))))</f>
        <v>0</v>
      </c>
      <c r="BE113" s="1806">
        <f>IF(BF113=0,0,IF(BF113&lt;0,IF($J113=12,BF113,IF($J113=11,BF113,IF($J113=10,BF113,0)))))</f>
        <v>0</v>
      </c>
      <c r="BF113" s="1791">
        <f>IF(BF$5=$H113,-$E113,0)</f>
        <v>0</v>
      </c>
      <c r="BG113" s="1808">
        <f>IF(BK113=0,0,IF(BK113&lt;0,IF($J113=3,BK113,IF($J113=2,BK113,IF($J113=1,BK113,0)))))</f>
        <v>0</v>
      </c>
      <c r="BH113" s="1807">
        <f>IF(BK113=0,0,IF(BK113&lt;0,IF($J113=6,BK113,IF($J113=5,BK113,IF($J113=4,BK113,0)))))</f>
        <v>0</v>
      </c>
      <c r="BI113" s="1807">
        <f>IF(BK113=0,0,IF(BK113&lt;0,IF($J113=9,BK113,IF($J113=8,BK113,IF($J113=7,BK113,0)))))</f>
        <v>0</v>
      </c>
      <c r="BJ113" s="1806">
        <f>IF(BK113=0,0,IF(BK113&lt;0,IF($J113=12,BK113,IF($J113=11,BK113,IF($J113=10,BK113,0)))))</f>
        <v>0</v>
      </c>
      <c r="BK113" s="1791">
        <f>IF(BK$5=$H113,-$E113,0)</f>
        <v>0</v>
      </c>
      <c r="BL113" s="1808">
        <f>IF(BP113=0,0,IF(BP113&lt;0,IF($J113=3,BP113,IF($J113=2,BP113,IF($J113=1,BP113,0)))))</f>
        <v>0</v>
      </c>
      <c r="BM113" s="1807">
        <f>IF(BP113=0,0,IF(BP113&lt;0,IF($J113=6,BP113,IF($J113=5,BP113,IF($J113=4,BP113,0)))))</f>
        <v>0</v>
      </c>
      <c r="BN113" s="1807">
        <f>IF(BP113=0,0,IF(BP113&lt;0,IF($J113=9,BP113,IF($J113=8,BP113,IF($J113=7,BP113,0)))))</f>
        <v>0</v>
      </c>
      <c r="BO113" s="1806">
        <f>IF(BP113=0,0,IF(BP113&lt;0,IF($J113=12,BP113,IF($J113=11,BP113,IF($J113=10,BP113,0)))))</f>
        <v>0</v>
      </c>
      <c r="BP113" s="1791">
        <f>IF(BP$5=$H113,-$E113,0)</f>
        <v>0</v>
      </c>
      <c r="BQ113" s="1827"/>
      <c r="BR113" s="1791">
        <f t="shared" ref="BR113" si="1304">IF(AND(BQ113&lt;&gt;0,BQ$5=$H113),-$I113*$E113-BQ113,IF(BR$5=$H113,-$I113*$E113*(12-$J113+1)/12,0))</f>
        <v>0</v>
      </c>
      <c r="BS113" s="1791">
        <f t="shared" ref="BS113" si="1305">IF(AND(BR113&lt;&gt;0,BR$5=$H113),-$I113*$E113-BR113,IF(BS$5=$H113,-$I113*$E113*(12-$J113+1)/12,0))</f>
        <v>0</v>
      </c>
      <c r="BT113" s="1808">
        <f>IF($H113&lt;&gt;BX$5,0,IF(BX113&lt;0,IF($J113=1,-$E113*$I113/12*3,IF($J113=2,-$E113*$I113/12*2,IF($J113=3,-$E113*$I113/12*1,0)))))+IF(BS$5&lt;&gt;$H113,0,IF(BS113&lt;0,IF($J113=1,-$E113*$I113/12*0,IF($J113=2,-$E113*$I113/12*1,IF($J113=3,-$E113*$I113/12*2,IF($J113&gt;=4,-$E113*$I113/12*3,0))))))</f>
        <v>0</v>
      </c>
      <c r="BU113" s="1807">
        <f>IF($H113&lt;&gt;BX$5,0,IF(BX113&lt;0,IF(OR($J113=1,$J113=2,$J113=3,$J113=4),-$E113*$I113/12*3,IF($J113=5,-$E113*$I113/12*2,IF($J113=6,-$E113*$I113/12*1,0)))))+IF(BS$5&lt;&gt;$H113,0,IF(BS113&lt;0,IF($J113=4,-$E113*$I113/12*0,IF($J113=5,-$E113*$I113/12*1,IF($J113=6,-$E113*$I113/12*2,IF($J113&gt;=7,-$E113*$I113/12*3,0))))))</f>
        <v>0</v>
      </c>
      <c r="BV113" s="1807">
        <f>IF($H113&lt;&gt;BX$5,0,IF(BX113&lt;0,IF(OR($J113=1,$J113=2,$J113=3,$J113=4,$J113=5,$J113=6,$J113=7),-$E113*$I113/12*3,IF($J113=8,-$E113*$I113/12*2,IF($J113=9,-$E113*$I113/12*1,0)))))+IF(BS$5&lt;&gt;$H113,0,IF(BS113&lt;0,IF($J113=7,-$E113*$I113/12*0,IF($J113=8,-$E113*$I113/12*1,IF($J113=9,-$E113*$I113/12*2,IF($J113&gt;=10,-$E113*$I113/12*3,0))))))</f>
        <v>0</v>
      </c>
      <c r="BW113" s="1806">
        <f>IF($H113&lt;&gt;BX$5,0,IF(BX113&lt;0,IF(OR($J113=1,$J113=2,$J113=3,$J113=4,$J113=5,$J113=6,$J113=7,$J113=8,$J113=9,$J113=10),-$E113*$I113/12*3,IF($J113=11,-$E113*$I113/12*2,IF($J113=12,-$E113*$I113/12*1,0)))))+IF(BS$5&lt;&gt;$H113,0,IF(BS113&lt;0,IF($J113=10,-$E113*$I113/12*0,IF($J113=11,-$E113*$I113/12*1,IF($J113=12,-$E113*$I113/12*2,0)))))</f>
        <v>0</v>
      </c>
      <c r="BX113" s="1791">
        <f>IF(AND(BS113&lt;&gt;0,BS$5=$H113),-$I113*$E113-BS113,IF(BX$5=$H113,-$I113*$E113*(12-$J113+1)/12,0))</f>
        <v>0</v>
      </c>
      <c r="BY113" s="1808">
        <f>IF($H113&lt;&gt;CC$5,0,IF(CC113&lt;0,IF($J113=1,-$E113*$I113/12*3,IF($J113=2,-$E113*$I113/12*2,IF($J113=3,-$E113*$I113/12*1,0)))))+IF(BX$5&lt;&gt;$H113,0,IF(BX113&lt;0,IF($J113=1,-$E113*$I113/12*0,IF($J113=2,-$E113*$I113/12*1,IF($J113=3,-$E113*$I113/12*2,IF($J113&gt;=4,-$E113*$I113/12*3,0))))))</f>
        <v>0</v>
      </c>
      <c r="BZ113" s="1807">
        <f>IF($H113&lt;&gt;CC$5,0,IF(CC113&lt;0,IF(OR($J113=1,$J113=2,$J113=3,$J113=4),-$E113*$I113/12*3,IF($J113=5,-$E113*$I113/12*2,IF($J113=6,-$E113*$I113/12*1,0)))))+IF(BX$5&lt;&gt;$H113,0,IF(BX113&lt;0,IF($J113=4,-$E113*$I113/12*0,IF($J113=5,-$E113*$I113/12*1,IF($J113=6,-$E113*$I113/12*2,IF($J113&gt;=7,-$E113*$I113/12*3,0))))))</f>
        <v>0</v>
      </c>
      <c r="CA113" s="1807">
        <f>IF($H113&lt;&gt;CC$5,0,IF(CC113&lt;0,IF(OR($J113=1,$J113=2,$J113=3,$J113=4,$J113=5,$J113=6,$J113=7),-$E113*$I113/12*3,IF($J113=8,-$E113*$I113/12*2,IF($J113=9,-$E113*$I113/12*1,0)))))+IF(BX$5&lt;&gt;$H113,0,IF(BX113&lt;0,IF($J113=7,-$E113*$I113/12*0,IF($J113=8,-$E113*$I113/12*1,IF($J113=9,-$E113*$I113/12*2,IF($J113&gt;=10,-$E113*$I113/12*3,0))))))</f>
        <v>0</v>
      </c>
      <c r="CB113" s="1806">
        <f>IF($H113&lt;&gt;CC$5,0,IF(CC113&lt;0,IF(OR($J113=1,$J113=2,$J113=3,$J113=4,$J113=5,$J113=6,$J113=7,$J113=8,$J113=9,$J113=10),-$E113*$I113/12*3,IF($J113=11,-$E113*$I113/12*2,IF($J113=12,-$E113*$I113/12*1,0)))))+IF(BX$5&lt;&gt;$H113,0,IF(BX113&lt;0,IF($J113=10,-$E113*$I113/12*0,IF($J113=11,-$E113*$I113/12*1,IF($J113=12,-$E113*$I113/12*2,0)))))</f>
        <v>0</v>
      </c>
      <c r="CC113" s="1791">
        <f>IF(AND(BX113&lt;&gt;0,BX$5=$H113),-$I113*$E113-BX113,IF(CC$5=$H113,-$I113*$E113*(12-$J113+1)/12,0))</f>
        <v>0</v>
      </c>
      <c r="CD113" s="1808">
        <f>IF($H113&lt;&gt;CH$5,0,IF(CH113&lt;0,IF($J113=1,-$E113*$I113/12*3,IF($J113=2,-$E113*$I113/12*2,IF($J113=3,-$E113*$I113/12*1,0)))))+IF(CC$5&lt;&gt;$H113,0,IF(CC113&lt;0,IF($J113=1,-$E113*$I113/12*0,IF($J113=2,-$E113*$I113/12*1,IF($J113=3,-$E113*$I113/12*2,IF($J113&gt;=4,-$E113*$I113/12*3,0))))))</f>
        <v>0</v>
      </c>
      <c r="CE113" s="1807">
        <f>IF($H113&lt;&gt;CH$5,0,IF(CH113&lt;0,IF(OR($J113=1,$J113=2,$J113=3,$J113=4),-$E113*$I113/12*3,IF($J113=5,-$E113*$I113/12*2,IF($J113=6,-$E113*$I113/12*1,0)))))+IF(CC$5&lt;&gt;$H113,0,IF(CC113&lt;0,IF($J113=4,-$E113*$I113/12*0,IF($J113=5,-$E113*$I113/12*1,IF($J113=6,-$E113*$I113/12*2,IF($J113&gt;=7,-$E113*$I113/12*3,0))))))</f>
        <v>0</v>
      </c>
      <c r="CF113" s="1807">
        <f>IF($H113&lt;&gt;CH$5,0,IF(CH113&lt;0,IF(OR($J113=1,$J113=2,$J113=3,$J113=4,$J113=5,$J113=6,$J113=7),-$E113*$I113/12*3,IF($J113=8,-$E113*$I113/12*2,IF($J113=9,-$E113*$I113/12*1,0)))))+IF(CC$5&lt;&gt;$H113,0,IF(CC113&lt;0,IF($J113=7,-$E113*$I113/12*0,IF($J113=8,-$E113*$I113/12*1,IF($J113=9,-$E113*$I113/12*2,IF($J113&gt;=10,-$E113*$I113/12*3,0))))))</f>
        <v>0</v>
      </c>
      <c r="CG113" s="1806">
        <f>IF($H113&lt;&gt;CH$5,0,IF(CH113&lt;0,IF(OR($J113=1,$J113=2,$J113=3,$J113=4,$J113=5,$J113=6,$J113=7,$J113=8,$J113=9,$J113=10),-$E113*$I113/12*3,IF($J113=11,-$E113*$I113/12*2,IF($J113=12,-$E113*$I113/12*1,0)))))+IF(CC$5&lt;&gt;$H113,0,IF(CC113&lt;0,IF($J113=10,-$E113*$I113/12*0,IF($J113=11,-$E113*$I113/12*1,IF($J113=12,-$E113*$I113/12*2,0)))))</f>
        <v>0</v>
      </c>
      <c r="CH113" s="1791">
        <f>IF(AND(CC113&lt;&gt;0,CC$5=$H113),-$I113*$E113-CC113,IF(CH$5=$H113,-$I113*$E113*(12-$J113+1)/12,0))</f>
        <v>0</v>
      </c>
      <c r="CI113" s="1808">
        <f>IF($H113&lt;&gt;CM$5,0,IF(CM113&lt;0,IF($J113=1,-$E113*$I113/12*3,IF($J113=2,-$E113*$I113/12*2,IF($J113=3,-$E113*$I113/12*1,0)))))+IF(CH$5&lt;&gt;$H113,0,IF(CH113&lt;0,IF($J113=1,-$E113*$I113/12*0,IF($J113=2,-$E113*$I113/12*1,IF($J113=3,-$E113*$I113/12*2,IF($J113&gt;=4,-$E113*$I113/12*3,0))))))</f>
        <v>0</v>
      </c>
      <c r="CJ113" s="1807">
        <f>IF($H113&lt;&gt;CM$5,0,IF(CM113&lt;0,IF(OR($J113=1,$J113=2,$J113=3,$J113=4),-$E113*$I113/12*3,IF($J113=5,-$E113*$I113/12*2,IF($J113=6,-$E113*$I113/12*1,0)))))+IF(CH$5&lt;&gt;$H113,0,IF(CH113&lt;0,IF($J113=4,-$E113*$I113/12*0,IF($J113=5,-$E113*$I113/12*1,IF($J113=6,-$E113*$I113/12*2,IF($J113&gt;=7,-$E113*$I113/12*3,0))))))</f>
        <v>0</v>
      </c>
      <c r="CK113" s="1807">
        <f>IF($H113&lt;&gt;CM$5,0,IF(CM113&lt;0,IF(OR($J113=1,$J113=2,$J113=3,$J113=4,$J113=5,$J113=6,$J113=7),-$E113*$I113/12*3,IF($J113=8,-$E113*$I113/12*2,IF($J113=9,-$E113*$I113/12*1,0)))))+IF(CH$5&lt;&gt;$H113,0,IF(CH113&lt;0,IF($J113=7,-$E113*$I113/12*0,IF($J113=8,-$E113*$I113/12*1,IF($J113=9,-$E113*$I113/12*2,IF($J113&gt;=10,-$E113*$I113/12*3,0))))))</f>
        <v>0</v>
      </c>
      <c r="CL113" s="1806">
        <f>IF($H113&lt;&gt;CM$5,0,IF(CM113&lt;0,IF(OR($J113=1,$J113=2,$J113=3,$J113=4,$J113=5,$J113=6,$J113=7,$J113=8,$J113=9,$J113=10),-$E113*$I113/12*3,IF($J113=11,-$E113*$I113/12*2,IF($J113=12,-$E113*$I113/12*1,0)))))+IF(CH$5&lt;&gt;$H113,0,IF(CH113&lt;0,IF($J113=10,-$E113*$I113/12*0,IF($J113=11,-$E113*$I113/12*1,IF($J113=12,-$E113*$I113/12*2,0)))))</f>
        <v>0</v>
      </c>
      <c r="CM113" s="1791">
        <f>IF(AND(CH113&lt;&gt;0,CH$5=$H113),-$I113*$E113-CH113,IF(CM$5=$H113,-$I113*$E113*(12-$J113+1)/12,0))</f>
        <v>0</v>
      </c>
      <c r="CN113" s="1808">
        <f>IF($H113&lt;&gt;CR$5,0,IF(CR113&lt;0,IF($J113=1,-$E113*$I113/12*3,IF($J113=2,-$E113*$I113/12*2,IF($J113=3,-$E113*$I113/12*1,0)))))+IF(CM$5&lt;&gt;$H113,0,IF(CM113&lt;0,IF($J113=1,-$E113*$I113/12*0,IF($J113=2,-$E113*$I113/12*1,IF($J113=3,-$E113*$I113/12*2,IF($J113&gt;=4,-$E113*$I113/12*3,0))))))</f>
        <v>0</v>
      </c>
      <c r="CO113" s="1807">
        <f>IF($H113&lt;&gt;CR$5,0,IF(CR113&lt;0,IF(OR($J113=1,$J113=2,$J113=3,$J113=4),-$E113*$I113/12*3,IF($J113=5,-$E113*$I113/12*2,IF($J113=6,-$E113*$I113/12*1,0)))))+IF(CM$5&lt;&gt;$H113,0,IF(CM113&lt;0,IF($J113=4,-$E113*$I113/12*0,IF($J113=5,-$E113*$I113/12*1,IF($J113=6,-$E113*$I113/12*2,IF($J113&gt;=7,-$E113*$I113/12*3,0))))))</f>
        <v>0</v>
      </c>
      <c r="CP113" s="1807">
        <f>IF($H113&lt;&gt;CR$5,0,IF(CR113&lt;0,IF(OR($J113=1,$J113=2,$J113=3,$J113=4,$J113=5,$J113=6,$J113=7),-$E113*$I113/12*3,IF($J113=8,-$E113*$I113/12*2,IF($J113=9,-$E113*$I113/12*1,0)))))+IF(CM$5&lt;&gt;$H113,0,IF(CM113&lt;0,IF($J113=7,-$E113*$I113/12*0,IF($J113=8,-$E113*$I113/12*1,IF($J113=9,-$E113*$I113/12*2,IF($J113&gt;=10,-$E113*$I113/12*3,0))))))</f>
        <v>0</v>
      </c>
      <c r="CQ113" s="1806">
        <f>IF($H113&lt;&gt;CR$5,0,IF(CR113&lt;0,IF(OR($J113=1,$J113=2,$J113=3,$J113=4,$J113=5,$J113=6,$J113=7,$J113=8,$J113=9,$J113=10),-$E113*$I113/12*3,IF($J113=11,-$E113*$I113/12*2,IF($J113=12,-$E113*$I113/12*1,0)))))+IF(CM$5&lt;&gt;$H113,0,IF(CM113&lt;0,IF($J113=10,-$E113*$I113/12*0,IF($J113=11,-$E113*$I113/12*1,IF($J113=12,-$E113*$I113/12*2,0)))))</f>
        <v>0</v>
      </c>
      <c r="CR113" s="1791">
        <f>IF(AND(CM113&lt;&gt;0,CM$5=$H113),-$I113*$E113-CM113,IF(CR$5=$H113,-$I113*$E113*(12-$J113+1)/12,0))</f>
        <v>0</v>
      </c>
      <c r="CS113" s="1808">
        <f>IF($H113&lt;&gt;CW$5,0,IF(CW113&lt;0,IF($J113=1,-$E113*$I113/12*3,IF($J113=2,-$E113*$I113/12*2,IF($J113=3,-$E113*$I113/12*1,0)))))+IF(CR$5&lt;&gt;$H113,0,IF(CR113&lt;0,IF($J113=1,-$E113*$I113/12*0,IF($J113=2,-$E113*$I113/12*1,IF($J113=3,-$E113*$I113/12*2,IF($J113&gt;=4,-$E113*$I113/12*3,0))))))</f>
        <v>0</v>
      </c>
      <c r="CT113" s="1807">
        <f>IF($H113&lt;&gt;CW$5,0,IF(CW113&lt;0,IF(OR($J113=1,$J113=2,$J113=3,$J113=4),-$E113*$I113/12*3,IF($J113=5,-$E113*$I113/12*2,IF($J113=6,-$E113*$I113/12*1,0)))))+IF(CR$5&lt;&gt;$H113,0,IF(CR113&lt;0,IF($J113=4,-$E113*$I113/12*0,IF($J113=5,-$E113*$I113/12*1,IF($J113=6,-$E113*$I113/12*2,IF($J113&gt;=7,-$E113*$I113/12*3,0))))))</f>
        <v>0</v>
      </c>
      <c r="CU113" s="1807">
        <f>IF($H113&lt;&gt;CW$5,0,IF(CW113&lt;0,IF(OR($J113=1,$J113=2,$J113=3,$J113=4,$J113=5,$J113=6,$J113=7),-$E113*$I113/12*3,IF($J113=8,-$E113*$I113/12*2,IF($J113=9,-$E113*$I113/12*1,0)))))+IF(CR$5&lt;&gt;$H113,0,IF(CR113&lt;0,IF($J113=7,-$E113*$I113/12*0,IF($J113=8,-$E113*$I113/12*1,IF($J113=9,-$E113*$I113/12*2,IF($J113&gt;=10,-$E113*$I113/12*3,0))))))</f>
        <v>0</v>
      </c>
      <c r="CV113" s="1806">
        <f>IF($H113&lt;&gt;CW$5,0,IF(CW113&lt;0,IF(OR($J113=1,$J113=2,$J113=3,$J113=4,$J113=5,$J113=6,$J113=7,$J113=8,$J113=9,$J113=10),-$E113*$I113/12*3,IF($J113=11,-$E113*$I113/12*2,IF($J113=12,-$E113*$I113/12*1,0)))))+IF(CR$5&lt;&gt;$H113,0,IF(CR113&lt;0,IF($J113=10,-$E113*$I113/12*0,IF($J113=11,-$E113*$I113/12*1,IF($J113=12,-$E113*$I113/12*2,0)))))</f>
        <v>0</v>
      </c>
      <c r="CW113" s="1791">
        <f>IF(AND(CR113&lt;&gt;0,CR$5=$H113),-$I113*$E113-CR113,IF(CW$5=$H113,-$I113*$E113*(12-$J113+1)/12,0))</f>
        <v>0</v>
      </c>
      <c r="CX113" s="1808">
        <f>IF($H113&lt;&gt;DB$5,0,IF(DB113&lt;0,IF($J113=1,-$E113*$I113/12*3,IF($J113=2,-$E113*$I113/12*2,IF($J113=3,-$E113*$I113/12*1,0)))))+IF(CW$5&lt;&gt;$H113,0,IF(CW113&lt;0,IF($J113=1,-$E113*$I113/12*0,IF($J113=2,-$E113*$I113/12*1,IF($J113=3,-$E113*$I113/12*2,IF($J113&gt;=4,-$E113*$I113/12*3,0))))))</f>
        <v>0</v>
      </c>
      <c r="CY113" s="1807">
        <f>IF($H113&lt;&gt;DB$5,0,IF(DB113&lt;0,IF(OR($J113=1,$J113=2,$J113=3,$J113=4),-$E113*$I113/12*3,IF($J113=5,-$E113*$I113/12*2,IF($J113=6,-$E113*$I113/12*1,0)))))+IF(CW$5&lt;&gt;$H113,0,IF(CW113&lt;0,IF($J113=4,-$E113*$I113/12*0,IF($J113=5,-$E113*$I113/12*1,IF($J113=6,-$E113*$I113/12*2,IF($J113&gt;=7,-$E113*$I113/12*3,0))))))</f>
        <v>0</v>
      </c>
      <c r="CZ113" s="1807">
        <f>IF($H113&lt;&gt;DB$5,0,IF(DB113&lt;0,IF(OR($J113=1,$J113=2,$J113=3,$J113=4,$J113=5,$J113=6,$J113=7),-$E113*$I113/12*3,IF($J113=8,-$E113*$I113/12*2,IF($J113=9,-$E113*$I113/12*1,0)))))+IF(CW$5&lt;&gt;$H113,0,IF(CW113&lt;0,IF($J113=7,-$E113*$I113/12*0,IF($J113=8,-$E113*$I113/12*1,IF($J113=9,-$E113*$I113/12*2,IF($J113&gt;=10,-$E113*$I113/12*3,0))))))</f>
        <v>-0.53378750000000008</v>
      </c>
      <c r="DA113" s="1806">
        <f>IF($H113&lt;&gt;DB$5,0,IF(DB113&lt;0,IF(OR($J113=1,$J113=2,$J113=3,$J113=4,$J113=5,$J113=6,$J113=7,$J113=8,$J113=9,$J113=10),-$E113*$I113/12*3,IF($J113=11,-$E113*$I113/12*2,IF($J113=12,-$E113*$I113/12*1,0)))))+IF(CW$5&lt;&gt;$H113,0,IF(CW113&lt;0,IF($J113=10,-$E113*$I113/12*0,IF($J113=11,-$E113*$I113/12*1,IF($J113=12,-$E113*$I113/12*2,0)))))</f>
        <v>-0.53378750000000008</v>
      </c>
      <c r="DB113" s="1791">
        <f>IF(AND(CW113&lt;&gt;0,CW$5=$H113),-$I113*$E113-CW113,IF(DB$5=$H113,-$I113*$E113*(12-$J113+1)/12,0))</f>
        <v>-1.0675750000000002</v>
      </c>
      <c r="DC113" s="1808">
        <f>IF($H113&lt;&gt;DG$5,0,IF(DG113&lt;0,IF($J113=1,-$E113*$I113/12*3,IF($J113=2,-$E113*$I113/12*2,IF($J113=3,-$E113*$I113/12*1,0)))))+IF(DB$5&lt;&gt;$H113,0,IF(DB113&lt;0,IF($J113=1,-$E113*$I113/12*0,IF($J113=2,-$E113*$I113/12*1,IF($J113=3,-$E113*$I113/12*2,IF($J113&gt;=4,-$E113*$I113/12*3,0))))))</f>
        <v>-0.53378750000000008</v>
      </c>
      <c r="DD113" s="1807">
        <f>IF($H113&lt;&gt;DG$5,0,IF(DG113&lt;0,IF(OR($J113=1,$J113=2,$J113=3,$J113=4),-$E113*$I113/12*3,IF($J113=5,-$E113*$I113/12*2,IF($J113=6,-$E113*$I113/12*1,0)))))+IF(DB$5&lt;&gt;$H113,0,IF(DB113&lt;0,IF($J113=4,-$E113*$I113/12*0,IF($J113=5,-$E113*$I113/12*1,IF($J113=6,-$E113*$I113/12*2,IF($J113&gt;=7,-$E113*$I113/12*3,0))))))</f>
        <v>-0.53378750000000008</v>
      </c>
      <c r="DE113" s="1807">
        <f>IF($H113&lt;&gt;DG$5,0,IF(DG113&lt;0,IF(OR($J113=1,$J113=2,$J113=3,$J113=4,$J113=5,$J113=6,$J113=7),-$E113*$I113/12*3,IF($J113=8,-$E113*$I113/12*2,IF($J113=9,-$E113*$I113/12*1,0)))))+IF(DB$5&lt;&gt;$H113,0,IF(DB113&lt;0,IF($J113=7,-$E113*$I113/12*0,IF($J113=8,-$E113*$I113/12*1,IF($J113=9,-$E113*$I113/12*2,IF($J113&gt;=10,-$E113*$I113/12*3,0))))))</f>
        <v>0</v>
      </c>
      <c r="DF113" s="1806">
        <f>IF($H113&lt;&gt;DG$5,0,IF(DG113&lt;0,IF(OR($J113=1,$J113=2,$J113=3,$J113=4,$J113=5,$J113=6,$J113=7,$J113=8,$J113=9,$J113=10),-$E113*$I113/12*3,IF($J113=11,-$E113*$I113/12*2,IF($J113=12,-$E113*$I113/12*1,0)))))+IF(DB$5&lt;&gt;$H113,0,IF(DB113&lt;0,IF($J113=10,-$E113*$I113/12*0,IF($J113=11,-$E113*$I113/12*1,IF($J113=12,-$E113*$I113/12*2,0)))))</f>
        <v>0</v>
      </c>
      <c r="DG113" s="1791">
        <f>IF(AND(DB113&lt;&gt;0,DB$5=$H113),-$I113*$E113-DB113,IF(DG$5=$H113,-$I113*$E113*(12-$J113+1)/12,0))</f>
        <v>-1.0675750000000002</v>
      </c>
      <c r="DH113" s="1808">
        <f>IF($H113&lt;&gt;DL$5,0,IF(DL113&lt;0,IF($J113=1,-$E113*$I113/12*3,IF($J113=2,-$E113*$I113/12*2,IF($J113=3,-$E113*$I113/12*1,0)))))+IF(DG$5&lt;&gt;$H113,0,IF(DG113&lt;0,IF($J113=1,-$E113*$I113/12*0,IF($J113=2,-$E113*$I113/12*1,IF($J113=3,-$E113*$I113/12*2,IF($J113&gt;=4,-$E113*$I113/12*3,0))))))</f>
        <v>0</v>
      </c>
      <c r="DI113" s="1807">
        <f>IF($H113&lt;&gt;DL$5,0,IF(DL113&lt;0,IF(OR($J113=1,$J113=2,$J113=3,$J113=4),-$E113*$I113/12*3,IF($J113=5,-$E113*$I113/12*2,IF($J113=6,-$E113*$I113/12*1,0)))))+IF(DG$5&lt;&gt;$H113,0,IF(DG113&lt;0,IF($J113=4,-$E113*$I113/12*0,IF($J113=5,-$E113*$I113/12*1,IF($J113=6,-$E113*$I113/12*2,IF($J113&gt;=7,-$E113*$I113/12*3,0))))))</f>
        <v>0</v>
      </c>
      <c r="DJ113" s="1807">
        <f>IF($H113&lt;&gt;DL$5,0,IF(DL113&lt;0,IF(OR($J113=1,$J113=2,$J113=3,$J113=4,$J113=5,$J113=6,$J113=7),-$E113*$I113/12*3,IF($J113=8,-$E113*$I113/12*2,IF($J113=9,-$E113*$I113/12*1,0)))))+IF(DG$5&lt;&gt;$H113,0,IF(DG113&lt;0,IF($J113=7,-$E113*$I113/12*0,IF($J113=8,-$E113*$I113/12*1,IF($J113=9,-$E113*$I113/12*2,IF($J113&gt;=10,-$E113*$I113/12*3,0))))))</f>
        <v>0</v>
      </c>
      <c r="DK113" s="1806">
        <f>IF($H113&lt;&gt;DL$5,0,IF(DL113&lt;0,IF(OR($J113=1,$J113=2,$J113=3,$J113=4,$J113=5,$J113=6,$J113=7,$J113=8,$J113=9,$J113=10),-$E113*$I113/12*3,IF($J113=11,-$E113*$I113/12*2,IF($J113=12,-$E113*$I113/12*1,0)))))+IF(DG$5&lt;&gt;$H113,0,IF(DG113&lt;0,IF($J113=10,-$E113*$I113/12*0,IF($J113=11,-$E113*$I113/12*1,IF($J113=12,-$E113*$I113/12*2,0)))))</f>
        <v>0</v>
      </c>
      <c r="DL113" s="1791">
        <f>IF(AND(DG113&lt;&gt;0,DG$5=$H113),-$I113*$E113-DG113,IF(DL$5=$H113,-$I113*$E113*(12-$J113+1)/12,0))</f>
        <v>0</v>
      </c>
      <c r="DM113" s="1808">
        <f>IF($H113&lt;&gt;DQ$5,0,IF(DQ113&lt;0,IF($J113=1,-$E113*$I113/12*3,IF($J113=2,-$E113*$I113/12*2,IF($J113=3,-$E113*$I113/12*1,0)))))+IF(DL$5&lt;&gt;$H113,0,IF(DL113&lt;0,IF($J113=1,-$E113*$I113/12*0,IF($J113=2,-$E113*$I113/12*1,IF($J113=3,-$E113*$I113/12*2,IF($J113&gt;=4,-$E113*$I113/12*3,0))))))</f>
        <v>0</v>
      </c>
      <c r="DN113" s="1807">
        <f>IF($H113&lt;&gt;DQ$5,0,IF(DQ113&lt;0,IF(OR($J113=1,$J113=2,$J113=3,$J113=4),-$E113*$I113/12*3,IF($J113=5,-$E113*$I113/12*2,IF($J113=6,-$E113*$I113/12*1,0)))))+IF(DL$5&lt;&gt;$H113,0,IF(DL113&lt;0,IF($J113=4,-$E113*$I113/12*0,IF($J113=5,-$E113*$I113/12*1,IF($J113=6,-$E113*$I113/12*2,IF($J113&gt;=7,-$E113*$I113/12*3,0))))))</f>
        <v>0</v>
      </c>
      <c r="DO113" s="1807">
        <f>IF($H113&lt;&gt;DQ$5,0,IF(DQ113&lt;0,IF(OR($J113=1,$J113=2,$J113=3,$J113=4,$J113=5,$J113=6,$J113=7),-$E113*$I113/12*3,IF($J113=8,-$E113*$I113/12*2,IF($J113=9,-$E113*$I113/12*1,0)))))+IF(DL$5&lt;&gt;$H113,0,IF(DL113&lt;0,IF($J113=7,-$E113*$I113/12*0,IF($J113=8,-$E113*$I113/12*1,IF($J113=9,-$E113*$I113/12*2,IF($J113&gt;=10,-$E113*$I113/12*3,0))))))</f>
        <v>0</v>
      </c>
      <c r="DP113" s="1806">
        <f>IF($H113&lt;&gt;DQ$5,0,IF(DQ113&lt;0,IF(OR($J113=1,$J113=2,$J113=3,$J113=4,$J113=5,$J113=6,$J113=7,$J113=8,$J113=9,$J113=10),-$E113*$I113/12*3,IF($J113=11,-$E113*$I113/12*2,IF($J113=12,-$E113*$I113/12*1,0)))))+IF(DL$5&lt;&gt;$H113,0,IF(DL113&lt;0,IF($J113=10,-$E113*$I113/12*0,IF($J113=11,-$E113*$I113/12*1,IF($J113=12,-$E113*$I113/12*2,0)))))</f>
        <v>0</v>
      </c>
      <c r="DQ113" s="1791">
        <f>IF(AND(DL113&lt;&gt;0,DL$5=$H113),-$I113*$E113-DL113,IF(DQ$5=$H113,-$I113*$E113*(12-$J113+1)/12,0))</f>
        <v>0</v>
      </c>
      <c r="DR113" s="1808">
        <f>IF($H113&lt;&gt;DV$5,0,IF(DV113&lt;0,IF($J113=1,-$E113*$I113/12*3,IF($J113=2,-$E113*$I113/12*2,IF($J113=3,-$E113*$I113/12*1,0)))))+IF(DQ$5&lt;&gt;$H113,0,IF(DQ113&lt;0,IF($J113=1,-$E113*$I113/12*0,IF($J113=2,-$E113*$I113/12*1,IF($J113=3,-$E113*$I113/12*2,IF($J113&gt;=4,-$E113*$I113/12*3,0))))))</f>
        <v>0</v>
      </c>
      <c r="DS113" s="1807">
        <f>IF($H113&lt;&gt;DV$5,0,IF(DV113&lt;0,IF(OR($J113=1,$J113=2,$J113=3,$J113=4),-$E113*$I113/12*3,IF($J113=5,-$E113*$I113/12*2,IF($J113=6,-$E113*$I113/12*1,0)))))+IF(DQ$5&lt;&gt;$H113,0,IF(DQ113&lt;0,IF($J113=4,-$E113*$I113/12*0,IF($J113=5,-$E113*$I113/12*1,IF($J113=6,-$E113*$I113/12*2,IF($J113&gt;=7,-$E113*$I113/12*3,0))))))</f>
        <v>0</v>
      </c>
      <c r="DT113" s="1807">
        <f>IF($H113&lt;&gt;DV$5,0,IF(DV113&lt;0,IF(OR($J113=1,$J113=2,$J113=3,$J113=4,$J113=5,$J113=6,$J113=7),-$E113*$I113/12*3,IF($J113=8,-$E113*$I113/12*2,IF($J113=9,-$E113*$I113/12*1,0)))))+IF(DQ$5&lt;&gt;$H113,0,IF(DQ113&lt;0,IF($J113=7,-$E113*$I113/12*0,IF($J113=8,-$E113*$I113/12*1,IF($J113=9,-$E113*$I113/12*2,IF($J113&gt;=10,-$E113*$I113/12*3,0))))))</f>
        <v>0</v>
      </c>
      <c r="DU113" s="1806">
        <f>IF($H113&lt;&gt;DV$5,0,IF(DV113&lt;0,IF(OR($J113=1,$J113=2,$J113=3,$J113=4,$J113=5,$J113=6,$J113=7,$J113=8,$J113=9,$J113=10),-$E113*$I113/12*3,IF($J113=11,-$E113*$I113/12*2,IF($J113=12,-$E113*$I113/12*1,0)))))+IF(DQ$5&lt;&gt;$H113,0,IF(DQ113&lt;0,IF($J113=10,-$E113*$I113/12*0,IF($J113=11,-$E113*$I113/12*1,IF($J113=12,-$E113*$I113/12*2,0)))))</f>
        <v>0</v>
      </c>
      <c r="DV113" s="1791">
        <f>IF(AND(DQ113&lt;&gt;0,DQ$5=$H113),-$I113*$E113-DQ113,IF(DV$5=$H113,-$I113*$E113*(12-$J113+1)/12,0))</f>
        <v>0</v>
      </c>
    </row>
    <row r="114" spans="1:126">
      <c r="A114" s="455"/>
      <c r="B114" s="455"/>
      <c r="C114" s="1364"/>
      <c r="D114" s="455"/>
      <c r="E114" s="455"/>
      <c r="F114" s="455"/>
      <c r="G114" s="455"/>
      <c r="H114" s="1597"/>
      <c r="I114" s="1598"/>
      <c r="J114" s="1599"/>
      <c r="K114" s="1792"/>
      <c r="L114" s="1810"/>
      <c r="M114" s="1791"/>
      <c r="N114" s="1808"/>
      <c r="O114" s="1807"/>
      <c r="P114" s="1807"/>
      <c r="Q114" s="1806"/>
      <c r="R114" s="1791"/>
      <c r="S114" s="1808"/>
      <c r="T114" s="1807"/>
      <c r="U114" s="1807"/>
      <c r="V114" s="1806"/>
      <c r="W114" s="1791"/>
      <c r="X114" s="1808"/>
      <c r="Y114" s="1807"/>
      <c r="Z114" s="1807"/>
      <c r="AA114" s="1806"/>
      <c r="AB114" s="1791"/>
      <c r="AC114" s="1808"/>
      <c r="AD114" s="1807"/>
      <c r="AE114" s="1807"/>
      <c r="AF114" s="1806"/>
      <c r="AG114" s="1791"/>
      <c r="AH114" s="1808"/>
      <c r="AI114" s="1807"/>
      <c r="AJ114" s="1807"/>
      <c r="AK114" s="1806"/>
      <c r="AL114" s="1791"/>
      <c r="AM114" s="1808"/>
      <c r="AN114" s="1807"/>
      <c r="AO114" s="1807"/>
      <c r="AP114" s="1806"/>
      <c r="AQ114" s="1791"/>
      <c r="AR114" s="1808"/>
      <c r="AS114" s="1807"/>
      <c r="AT114" s="1807"/>
      <c r="AU114" s="1806"/>
      <c r="AV114" s="1791"/>
      <c r="AW114" s="1808"/>
      <c r="AX114" s="1807"/>
      <c r="AY114" s="1807"/>
      <c r="AZ114" s="1806"/>
      <c r="BA114" s="1791"/>
      <c r="BB114" s="1808"/>
      <c r="BC114" s="1807"/>
      <c r="BD114" s="1807"/>
      <c r="BE114" s="1806"/>
      <c r="BF114" s="1791"/>
      <c r="BG114" s="1808"/>
      <c r="BH114" s="1807"/>
      <c r="BI114" s="1807"/>
      <c r="BJ114" s="1806"/>
      <c r="BK114" s="1791"/>
      <c r="BL114" s="1808"/>
      <c r="BM114" s="1807"/>
      <c r="BN114" s="1807"/>
      <c r="BO114" s="1806"/>
      <c r="BP114" s="1791"/>
      <c r="BQ114" s="1827"/>
      <c r="BR114" s="1791"/>
      <c r="BS114" s="1791"/>
      <c r="BT114" s="1808"/>
      <c r="BU114" s="1807"/>
      <c r="BV114" s="1807"/>
      <c r="BW114" s="1806"/>
      <c r="BX114" s="1791"/>
      <c r="BY114" s="1808"/>
      <c r="BZ114" s="1807"/>
      <c r="CA114" s="1807"/>
      <c r="CB114" s="1806"/>
      <c r="CC114" s="1791"/>
      <c r="CD114" s="1808"/>
      <c r="CE114" s="1807"/>
      <c r="CF114" s="1807"/>
      <c r="CG114" s="1806"/>
      <c r="CH114" s="1791"/>
      <c r="CI114" s="1808"/>
      <c r="CJ114" s="1807"/>
      <c r="CK114" s="1807"/>
      <c r="CL114" s="1806"/>
      <c r="CM114" s="1791"/>
      <c r="CN114" s="1808"/>
      <c r="CO114" s="1807"/>
      <c r="CP114" s="1807"/>
      <c r="CQ114" s="1806"/>
      <c r="CR114" s="1791"/>
      <c r="CS114" s="1808"/>
      <c r="CT114" s="1807"/>
      <c r="CU114" s="1807"/>
      <c r="CV114" s="1806"/>
      <c r="CW114" s="1791"/>
      <c r="CX114" s="1808"/>
      <c r="CY114" s="1807"/>
      <c r="CZ114" s="1807"/>
      <c r="DA114" s="1806"/>
      <c r="DB114" s="1791"/>
      <c r="DC114" s="1808"/>
      <c r="DD114" s="1807"/>
      <c r="DE114" s="1807"/>
      <c r="DF114" s="1806"/>
      <c r="DG114" s="1791"/>
      <c r="DH114" s="1808"/>
      <c r="DI114" s="1807"/>
      <c r="DJ114" s="1807"/>
      <c r="DK114" s="1806"/>
      <c r="DL114" s="1791"/>
      <c r="DM114" s="1808"/>
      <c r="DN114" s="1807"/>
      <c r="DO114" s="1807"/>
      <c r="DP114" s="1806"/>
      <c r="DQ114" s="1791"/>
      <c r="DR114" s="1808"/>
      <c r="DS114" s="1807"/>
      <c r="DT114" s="1807"/>
      <c r="DU114" s="1806"/>
      <c r="DV114" s="1791"/>
    </row>
    <row r="115" spans="1:126">
      <c r="A115" s="455"/>
      <c r="B115" s="455"/>
      <c r="C115" s="1365" t="s">
        <v>163</v>
      </c>
      <c r="D115" s="455"/>
      <c r="E115" s="455"/>
      <c r="F115" s="455"/>
      <c r="G115" s="455"/>
      <c r="H115" s="1597"/>
      <c r="I115" s="1598"/>
      <c r="J115" s="1599"/>
      <c r="K115" s="1792"/>
      <c r="L115" s="1810"/>
      <c r="M115" s="1791"/>
      <c r="N115" s="1808"/>
      <c r="O115" s="1807"/>
      <c r="P115" s="1807"/>
      <c r="Q115" s="1806"/>
      <c r="R115" s="1791"/>
      <c r="S115" s="1808"/>
      <c r="T115" s="1807"/>
      <c r="U115" s="1807"/>
      <c r="V115" s="1806"/>
      <c r="W115" s="1791"/>
      <c r="X115" s="1808"/>
      <c r="Y115" s="1807"/>
      <c r="Z115" s="1807"/>
      <c r="AA115" s="1806"/>
      <c r="AB115" s="1791"/>
      <c r="AC115" s="1808"/>
      <c r="AD115" s="1807"/>
      <c r="AE115" s="1807"/>
      <c r="AF115" s="1806"/>
      <c r="AG115" s="1791"/>
      <c r="AH115" s="1808"/>
      <c r="AI115" s="1807"/>
      <c r="AJ115" s="1807"/>
      <c r="AK115" s="1806"/>
      <c r="AL115" s="1791"/>
      <c r="AM115" s="1808"/>
      <c r="AN115" s="1807"/>
      <c r="AO115" s="1807"/>
      <c r="AP115" s="1806"/>
      <c r="AQ115" s="1791"/>
      <c r="AR115" s="1808"/>
      <c r="AS115" s="1807"/>
      <c r="AT115" s="1807"/>
      <c r="AU115" s="1806"/>
      <c r="AV115" s="1791"/>
      <c r="AW115" s="1808"/>
      <c r="AX115" s="1807"/>
      <c r="AY115" s="1807"/>
      <c r="AZ115" s="1806"/>
      <c r="BA115" s="1791"/>
      <c r="BB115" s="1808"/>
      <c r="BC115" s="1807"/>
      <c r="BD115" s="1807"/>
      <c r="BE115" s="1806"/>
      <c r="BF115" s="1791"/>
      <c r="BG115" s="1808"/>
      <c r="BH115" s="1807"/>
      <c r="BI115" s="1807"/>
      <c r="BJ115" s="1806"/>
      <c r="BK115" s="1791"/>
      <c r="BL115" s="1808"/>
      <c r="BM115" s="1807"/>
      <c r="BN115" s="1807"/>
      <c r="BO115" s="1806"/>
      <c r="BP115" s="1791"/>
      <c r="BQ115" s="1827"/>
      <c r="BR115" s="1791"/>
      <c r="BS115" s="1791"/>
      <c r="BT115" s="1808"/>
      <c r="BU115" s="1807"/>
      <c r="BV115" s="1807"/>
      <c r="BW115" s="1806"/>
      <c r="BX115" s="1791"/>
      <c r="BY115" s="1808"/>
      <c r="BZ115" s="1807"/>
      <c r="CA115" s="1807"/>
      <c r="CB115" s="1806"/>
      <c r="CC115" s="1791"/>
      <c r="CD115" s="1808"/>
      <c r="CE115" s="1807"/>
      <c r="CF115" s="1807"/>
      <c r="CG115" s="1806"/>
      <c r="CH115" s="1791"/>
      <c r="CI115" s="1808"/>
      <c r="CJ115" s="1807"/>
      <c r="CK115" s="1807"/>
      <c r="CL115" s="1806"/>
      <c r="CM115" s="1791"/>
      <c r="CN115" s="1808"/>
      <c r="CO115" s="1807"/>
      <c r="CP115" s="1807"/>
      <c r="CQ115" s="1806"/>
      <c r="CR115" s="1791"/>
      <c r="CS115" s="1808"/>
      <c r="CT115" s="1807"/>
      <c r="CU115" s="1807"/>
      <c r="CV115" s="1806"/>
      <c r="CW115" s="1791"/>
      <c r="CX115" s="1808"/>
      <c r="CY115" s="1807"/>
      <c r="CZ115" s="1807"/>
      <c r="DA115" s="1806"/>
      <c r="DB115" s="1791"/>
      <c r="DC115" s="1808"/>
      <c r="DD115" s="1807"/>
      <c r="DE115" s="1807"/>
      <c r="DF115" s="1806"/>
      <c r="DG115" s="1791"/>
      <c r="DH115" s="1808"/>
      <c r="DI115" s="1807"/>
      <c r="DJ115" s="1807"/>
      <c r="DK115" s="1806"/>
      <c r="DL115" s="1791"/>
      <c r="DM115" s="1808"/>
      <c r="DN115" s="1807"/>
      <c r="DO115" s="1807"/>
      <c r="DP115" s="1806"/>
      <c r="DQ115" s="1791"/>
      <c r="DR115" s="1808"/>
      <c r="DS115" s="1807"/>
      <c r="DT115" s="1807"/>
      <c r="DU115" s="1806"/>
      <c r="DV115" s="1791"/>
    </row>
    <row r="116" spans="1:126">
      <c r="A116" s="455"/>
      <c r="B116" s="455"/>
      <c r="C116" s="1596" t="s">
        <v>745</v>
      </c>
      <c r="D116" s="455"/>
      <c r="E116" s="455"/>
      <c r="F116" s="455"/>
      <c r="G116" s="455"/>
      <c r="H116" s="1597"/>
      <c r="I116" s="1598"/>
      <c r="J116" s="1599"/>
      <c r="K116" s="1792"/>
      <c r="L116" s="1810">
        <f t="shared" ref="L116:M125" si="1306">IF(L$5=$H116,-$E116,0)</f>
        <v>0</v>
      </c>
      <c r="M116" s="1791">
        <f t="shared" si="1306"/>
        <v>0</v>
      </c>
      <c r="N116" s="1808">
        <f t="shared" ref="N116:N125" si="1307">IF(R116=0,0,IF(R116&lt;0,IF($J116=3,R116,IF($J116=2,R116,IF($J116=1,R116,0)))))</f>
        <v>0</v>
      </c>
      <c r="O116" s="1807">
        <f t="shared" ref="O116:O125" si="1308">IF(R116=0,0,IF(R116&lt;0,IF($J116=6,R116,IF($J116=5,R116,IF($J116=4,R116,0)))))</f>
        <v>0</v>
      </c>
      <c r="P116" s="1807">
        <f t="shared" ref="P116:P125" si="1309">IF(R116=0,0,IF(R116&lt;0,IF($J116=9,R116,IF($J116=8,R116,IF($J116=7,R116,0)))))</f>
        <v>0</v>
      </c>
      <c r="Q116" s="1806">
        <f t="shared" ref="Q116:Q125" si="1310">IF(R116=0,0,IF(R116&lt;0,IF($J116=12,R116,IF($J116=11,R116,IF($J116=10,R116,0)))))</f>
        <v>0</v>
      </c>
      <c r="R116" s="1791">
        <f t="shared" ref="R116:R125" si="1311">IF(R$5=$H116,-$E116,0)</f>
        <v>0</v>
      </c>
      <c r="S116" s="1808">
        <f t="shared" ref="S116:S125" si="1312">IF(W116=0,0,IF(W116&lt;0,IF($J116=3,W116,IF($J116=2,W116,IF($J116=1,W116,0)))))</f>
        <v>0</v>
      </c>
      <c r="T116" s="1807">
        <f t="shared" ref="T116:T125" si="1313">IF(W116=0,0,IF(W116&lt;0,IF($J116=6,W116,IF($J116=5,W116,IF($J116=4,W116,0)))))</f>
        <v>0</v>
      </c>
      <c r="U116" s="1807">
        <f t="shared" ref="U116:U125" si="1314">IF(W116=0,0,IF(W116&lt;0,IF($J116=9,W116,IF($J116=8,W116,IF($J116=7,W116,0)))))</f>
        <v>0</v>
      </c>
      <c r="V116" s="1806">
        <f t="shared" ref="V116:V125" si="1315">IF(W116=0,0,IF(W116&lt;0,IF($J116=12,W116,IF($J116=11,W116,IF($J116=10,W116,0)))))</f>
        <v>0</v>
      </c>
      <c r="W116" s="1791">
        <f t="shared" ref="W116:W125" si="1316">IF(W$5=$H116,-$E116,0)</f>
        <v>0</v>
      </c>
      <c r="X116" s="1808">
        <f t="shared" ref="X116:X125" si="1317">IF(AB116=0,0,IF(AB116&lt;0,IF($J116=3,AB116,IF($J116=2,AB116,IF($J116=1,AB116,0)))))</f>
        <v>0</v>
      </c>
      <c r="Y116" s="1807">
        <f t="shared" ref="Y116:Y125" si="1318">IF(AB116=0,0,IF(AB116&lt;0,IF($J116=6,AB116,IF($J116=5,AB116,IF($J116=4,AB116,0)))))</f>
        <v>0</v>
      </c>
      <c r="Z116" s="1807">
        <f t="shared" ref="Z116:Z125" si="1319">IF(AB116=0,0,IF(AB116&lt;0,IF($J116=9,AB116,IF($J116=8,AB116,IF($J116=7,AB116,0)))))</f>
        <v>0</v>
      </c>
      <c r="AA116" s="1806">
        <f t="shared" ref="AA116:AA125" si="1320">IF(AB116=0,0,IF(AB116&lt;0,IF($J116=12,AB116,IF($J116=11,AB116,IF($J116=10,AB116,0)))))</f>
        <v>0</v>
      </c>
      <c r="AB116" s="1791">
        <f t="shared" ref="AB116:AB125" si="1321">IF(AB$5=$H116,-$E116,0)</f>
        <v>0</v>
      </c>
      <c r="AC116" s="1808">
        <f t="shared" ref="AC116:AC125" si="1322">IF(AG116=0,0,IF(AG116&lt;0,IF($J116=3,AG116,IF($J116=2,AG116,IF($J116=1,AG116,0)))))</f>
        <v>0</v>
      </c>
      <c r="AD116" s="1807">
        <f t="shared" ref="AD116:AD125" si="1323">IF(AG116=0,0,IF(AG116&lt;0,IF($J116=6,AG116,IF($J116=5,AG116,IF($J116=4,AG116,0)))))</f>
        <v>0</v>
      </c>
      <c r="AE116" s="1807">
        <f t="shared" ref="AE116:AE125" si="1324">IF(AG116=0,0,IF(AG116&lt;0,IF($J116=9,AG116,IF($J116=8,AG116,IF($J116=7,AG116,0)))))</f>
        <v>0</v>
      </c>
      <c r="AF116" s="1806">
        <f t="shared" ref="AF116:AF125" si="1325">IF(AG116=0,0,IF(AG116&lt;0,IF($J116=12,AG116,IF($J116=11,AG116,IF($J116=10,AG116,0)))))</f>
        <v>0</v>
      </c>
      <c r="AG116" s="1791">
        <f t="shared" ref="AG116:AG125" si="1326">IF(AG$5=$H116,-$E116,0)</f>
        <v>0</v>
      </c>
      <c r="AH116" s="1808">
        <f t="shared" ref="AH116:AH125" si="1327">IF(AL116=0,0,IF(AL116&lt;0,IF($J116=3,AL116,IF($J116=2,AL116,IF($J116=1,AL116,0)))))</f>
        <v>0</v>
      </c>
      <c r="AI116" s="1807">
        <f t="shared" ref="AI116:AI125" si="1328">IF(AL116=0,0,IF(AL116&lt;0,IF($J116=6,AL116,IF($J116=5,AL116,IF($J116=4,AL116,0)))))</f>
        <v>0</v>
      </c>
      <c r="AJ116" s="1807">
        <f t="shared" ref="AJ116:AJ125" si="1329">IF(AL116=0,0,IF(AL116&lt;0,IF($J116=9,AL116,IF($J116=8,AL116,IF($J116=7,AL116,0)))))</f>
        <v>0</v>
      </c>
      <c r="AK116" s="1806">
        <f t="shared" ref="AK116:AK125" si="1330">IF(AL116=0,0,IF(AL116&lt;0,IF($J116=12,AL116,IF($J116=11,AL116,IF($J116=10,AL116,0)))))</f>
        <v>0</v>
      </c>
      <c r="AL116" s="1791">
        <f t="shared" ref="AL116:AL125" si="1331">IF(AL$5=$H116,-$E116,0)</f>
        <v>0</v>
      </c>
      <c r="AM116" s="1808">
        <f t="shared" ref="AM116:AM125" si="1332">IF(AQ116=0,0,IF(AQ116&lt;0,IF($J116=3,AQ116,IF($J116=2,AQ116,IF($J116=1,AQ116,0)))))</f>
        <v>0</v>
      </c>
      <c r="AN116" s="1807">
        <f t="shared" ref="AN116:AN125" si="1333">IF(AQ116=0,0,IF(AQ116&lt;0,IF($J116=6,AQ116,IF($J116=5,AQ116,IF($J116=4,AQ116,0)))))</f>
        <v>0</v>
      </c>
      <c r="AO116" s="1807">
        <f t="shared" ref="AO116:AO125" si="1334">IF(AQ116=0,0,IF(AQ116&lt;0,IF($J116=9,AQ116,IF($J116=8,AQ116,IF($J116=7,AQ116,0)))))</f>
        <v>0</v>
      </c>
      <c r="AP116" s="1806">
        <f t="shared" ref="AP116:AP125" si="1335">IF(AQ116=0,0,IF(AQ116&lt;0,IF($J116=12,AQ116,IF($J116=11,AQ116,IF($J116=10,AQ116,0)))))</f>
        <v>0</v>
      </c>
      <c r="AQ116" s="1791">
        <f t="shared" ref="AQ116:AQ125" si="1336">IF(AQ$5=$H116,-$E116,0)</f>
        <v>0</v>
      </c>
      <c r="AR116" s="1808">
        <f t="shared" ref="AR116:AR125" si="1337">IF(AV116=0,0,IF(AV116&lt;0,IF($J116=3,AV116,IF($J116=2,AV116,IF($J116=1,AV116,0)))))</f>
        <v>0</v>
      </c>
      <c r="AS116" s="1807">
        <f t="shared" ref="AS116:AS125" si="1338">IF(AV116=0,0,IF(AV116&lt;0,IF($J116=6,AV116,IF($J116=5,AV116,IF($J116=4,AV116,0)))))</f>
        <v>0</v>
      </c>
      <c r="AT116" s="1807">
        <f t="shared" ref="AT116:AT125" si="1339">IF(AV116=0,0,IF(AV116&lt;0,IF($J116=9,AV116,IF($J116=8,AV116,IF($J116=7,AV116,0)))))</f>
        <v>0</v>
      </c>
      <c r="AU116" s="1806">
        <f t="shared" ref="AU116:AU125" si="1340">IF(AV116=0,0,IF(AV116&lt;0,IF($J116=12,AV116,IF($J116=11,AV116,IF($J116=10,AV116,0)))))</f>
        <v>0</v>
      </c>
      <c r="AV116" s="1791">
        <f t="shared" ref="AV116:AV125" si="1341">IF(AV$5=$H116,-$E116,0)</f>
        <v>0</v>
      </c>
      <c r="AW116" s="1808">
        <f t="shared" ref="AW116:AW125" si="1342">IF(BA116=0,0,IF(BA116&lt;0,IF($J116=3,BA116,IF($J116=2,BA116,IF($J116=1,BA116,0)))))</f>
        <v>0</v>
      </c>
      <c r="AX116" s="1807">
        <f t="shared" ref="AX116:AX125" si="1343">IF(BA116=0,0,IF(BA116&lt;0,IF($J116=6,BA116,IF($J116=5,BA116,IF($J116=4,BA116,0)))))</f>
        <v>0</v>
      </c>
      <c r="AY116" s="1807">
        <f t="shared" ref="AY116:AY125" si="1344">IF(BA116=0,0,IF(BA116&lt;0,IF($J116=9,BA116,IF($J116=8,BA116,IF($J116=7,BA116,0)))))</f>
        <v>0</v>
      </c>
      <c r="AZ116" s="1806">
        <f t="shared" ref="AZ116:AZ125" si="1345">IF(BA116=0,0,IF(BA116&lt;0,IF($J116=12,BA116,IF($J116=11,BA116,IF($J116=10,BA116,0)))))</f>
        <v>0</v>
      </c>
      <c r="BA116" s="1791">
        <f t="shared" ref="BA116:BA125" si="1346">IF(BA$5=$H116,-$E116,0)</f>
        <v>0</v>
      </c>
      <c r="BB116" s="1808">
        <f t="shared" ref="BB116:BB125" si="1347">IF(BF116=0,0,IF(BF116&lt;0,IF($J116=3,BF116,IF($J116=2,BF116,IF($J116=1,BF116,0)))))</f>
        <v>0</v>
      </c>
      <c r="BC116" s="1807">
        <f t="shared" ref="BC116:BC125" si="1348">IF(BF116=0,0,IF(BF116&lt;0,IF($J116=6,BF116,IF($J116=5,BF116,IF($J116=4,BF116,0)))))</f>
        <v>0</v>
      </c>
      <c r="BD116" s="1807">
        <f t="shared" ref="BD116:BD125" si="1349">IF(BF116=0,0,IF(BF116&lt;0,IF($J116=9,BF116,IF($J116=8,BF116,IF($J116=7,BF116,0)))))</f>
        <v>0</v>
      </c>
      <c r="BE116" s="1806">
        <f t="shared" ref="BE116:BE125" si="1350">IF(BF116=0,0,IF(BF116&lt;0,IF($J116=12,BF116,IF($J116=11,BF116,IF($J116=10,BF116,0)))))</f>
        <v>0</v>
      </c>
      <c r="BF116" s="1791">
        <f t="shared" ref="BF116:BF125" si="1351">IF(BF$5=$H116,-$E116,0)</f>
        <v>0</v>
      </c>
      <c r="BG116" s="1808">
        <f t="shared" ref="BG116:BG125" si="1352">IF(BK116=0,0,IF(BK116&lt;0,IF($J116=3,BK116,IF($J116=2,BK116,IF($J116=1,BK116,0)))))</f>
        <v>0</v>
      </c>
      <c r="BH116" s="1807">
        <f t="shared" ref="BH116:BH125" si="1353">IF(BK116=0,0,IF(BK116&lt;0,IF($J116=6,BK116,IF($J116=5,BK116,IF($J116=4,BK116,0)))))</f>
        <v>0</v>
      </c>
      <c r="BI116" s="1807">
        <f t="shared" ref="BI116:BI125" si="1354">IF(BK116=0,0,IF(BK116&lt;0,IF($J116=9,BK116,IF($J116=8,BK116,IF($J116=7,BK116,0)))))</f>
        <v>0</v>
      </c>
      <c r="BJ116" s="1806">
        <f t="shared" ref="BJ116:BJ125" si="1355">IF(BK116=0,0,IF(BK116&lt;0,IF($J116=12,BK116,IF($J116=11,BK116,IF($J116=10,BK116,0)))))</f>
        <v>0</v>
      </c>
      <c r="BK116" s="1791">
        <f t="shared" ref="BK116:BK125" si="1356">IF(BK$5=$H116,-$E116,0)</f>
        <v>0</v>
      </c>
      <c r="BL116" s="1808">
        <f t="shared" ref="BL116:BL125" si="1357">IF(BP116=0,0,IF(BP116&lt;0,IF($J116=3,BP116,IF($J116=2,BP116,IF($J116=1,BP116,0)))))</f>
        <v>0</v>
      </c>
      <c r="BM116" s="1807">
        <f t="shared" ref="BM116:BM125" si="1358">IF(BP116=0,0,IF(BP116&lt;0,IF($J116=6,BP116,IF($J116=5,BP116,IF($J116=4,BP116,0)))))</f>
        <v>0</v>
      </c>
      <c r="BN116" s="1807">
        <f t="shared" ref="BN116:BN125" si="1359">IF(BP116=0,0,IF(BP116&lt;0,IF($J116=9,BP116,IF($J116=8,BP116,IF($J116=7,BP116,0)))))</f>
        <v>0</v>
      </c>
      <c r="BO116" s="1806">
        <f t="shared" ref="BO116:BO125" si="1360">IF(BP116=0,0,IF(BP116&lt;0,IF($J116=12,BP116,IF($J116=11,BP116,IF($J116=10,BP116,0)))))</f>
        <v>0</v>
      </c>
      <c r="BP116" s="1791">
        <f t="shared" ref="BP116:BP125" si="1361">IF(BP$5=$H116,-$E116,0)</f>
        <v>0</v>
      </c>
      <c r="BQ116" s="1827"/>
      <c r="BR116" s="1791">
        <f t="shared" ref="BR116:BS125" si="1362">IF(AND(BQ116&lt;&gt;0,BQ$5=$H116),-$I116*$E116-BQ116,IF(BR$5=$H116,-$I116*$E116*(12-$J116+1)/12,0))</f>
        <v>0</v>
      </c>
      <c r="BS116" s="1791">
        <f t="shared" si="1362"/>
        <v>0</v>
      </c>
      <c r="BT116" s="1808">
        <f t="shared" ref="BT116:BT125" si="1363">IF($H116&lt;&gt;BX$5,0,IF(BX116&lt;0,IF($J116=1,-$E116*$I116/12*3,IF($J116=2,-$E116*$I116/12*2,IF($J116=3,-$E116*$I116/12*1,0)))))+IF(BS$5&lt;&gt;$H116,0,IF(BS116&lt;0,IF($J116=1,-$E116*$I116/12*0,IF($J116=2,-$E116*$I116/12*1,IF($J116=3,-$E116*$I116/12*2,IF($J116&gt;=4,-$E116*$I116/12*3,0))))))</f>
        <v>0</v>
      </c>
      <c r="BU116" s="1807">
        <f t="shared" ref="BU116:BU125" si="1364">IF($H116&lt;&gt;BX$5,0,IF(BX116&lt;0,IF(OR($J116=1,$J116=2,$J116=3,$J116=4),-$E116*$I116/12*3,IF($J116=5,-$E116*$I116/12*2,IF($J116=6,-$E116*$I116/12*1,0)))))+IF(BS$5&lt;&gt;$H116,0,IF(BS116&lt;0,IF($J116=4,-$E116*$I116/12*0,IF($J116=5,-$E116*$I116/12*1,IF($J116=6,-$E116*$I116/12*2,IF($J116&gt;=7,-$E116*$I116/12*3,0))))))</f>
        <v>0</v>
      </c>
      <c r="BV116" s="1807">
        <f t="shared" ref="BV116:BV125" si="1365">IF($H116&lt;&gt;BX$5,0,IF(BX116&lt;0,IF(OR($J116=1,$J116=2,$J116=3,$J116=4,$J116=5,$J116=6,$J116=7),-$E116*$I116/12*3,IF($J116=8,-$E116*$I116/12*2,IF($J116=9,-$E116*$I116/12*1,0)))))+IF(BS$5&lt;&gt;$H116,0,IF(BS116&lt;0,IF($J116=7,-$E116*$I116/12*0,IF($J116=8,-$E116*$I116/12*1,IF($J116=9,-$E116*$I116/12*2,IF($J116&gt;=10,-$E116*$I116/12*3,0))))))</f>
        <v>0</v>
      </c>
      <c r="BW116" s="1806">
        <f t="shared" ref="BW116:BW125" si="1366">IF($H116&lt;&gt;BX$5,0,IF(BX116&lt;0,IF(OR($J116=1,$J116=2,$J116=3,$J116=4,$J116=5,$J116=6,$J116=7,$J116=8,$J116=9,$J116=10),-$E116*$I116/12*3,IF($J116=11,-$E116*$I116/12*2,IF($J116=12,-$E116*$I116/12*1,0)))))+IF(BS$5&lt;&gt;$H116,0,IF(BS116&lt;0,IF($J116=10,-$E116*$I116/12*0,IF($J116=11,-$E116*$I116/12*1,IF($J116=12,-$E116*$I116/12*2,0)))))</f>
        <v>0</v>
      </c>
      <c r="BX116" s="1791">
        <f t="shared" ref="BX116:BX125" si="1367">IF(AND(BS116&lt;&gt;0,BS$5=$H116),-$I116*$E116-BS116,IF(BX$5=$H116,-$I116*$E116*(12-$J116+1)/12,0))</f>
        <v>0</v>
      </c>
      <c r="BY116" s="1808">
        <f t="shared" ref="BY116:BY125" si="1368">IF($H116&lt;&gt;CC$5,0,IF(CC116&lt;0,IF($J116=1,-$E116*$I116/12*3,IF($J116=2,-$E116*$I116/12*2,IF($J116=3,-$E116*$I116/12*1,0)))))+IF(BX$5&lt;&gt;$H116,0,IF(BX116&lt;0,IF($J116=1,-$E116*$I116/12*0,IF($J116=2,-$E116*$I116/12*1,IF($J116=3,-$E116*$I116/12*2,IF($J116&gt;=4,-$E116*$I116/12*3,0))))))</f>
        <v>0</v>
      </c>
      <c r="BZ116" s="1807">
        <f t="shared" ref="BZ116:BZ125" si="1369">IF($H116&lt;&gt;CC$5,0,IF(CC116&lt;0,IF(OR($J116=1,$J116=2,$J116=3,$J116=4),-$E116*$I116/12*3,IF($J116=5,-$E116*$I116/12*2,IF($J116=6,-$E116*$I116/12*1,0)))))+IF(BX$5&lt;&gt;$H116,0,IF(BX116&lt;0,IF($J116=4,-$E116*$I116/12*0,IF($J116=5,-$E116*$I116/12*1,IF($J116=6,-$E116*$I116/12*2,IF($J116&gt;=7,-$E116*$I116/12*3,0))))))</f>
        <v>0</v>
      </c>
      <c r="CA116" s="1807">
        <f t="shared" ref="CA116:CA125" si="1370">IF($H116&lt;&gt;CC$5,0,IF(CC116&lt;0,IF(OR($J116=1,$J116=2,$J116=3,$J116=4,$J116=5,$J116=6,$J116=7),-$E116*$I116/12*3,IF($J116=8,-$E116*$I116/12*2,IF($J116=9,-$E116*$I116/12*1,0)))))+IF(BX$5&lt;&gt;$H116,0,IF(BX116&lt;0,IF($J116=7,-$E116*$I116/12*0,IF($J116=8,-$E116*$I116/12*1,IF($J116=9,-$E116*$I116/12*2,IF($J116&gt;=10,-$E116*$I116/12*3,0))))))</f>
        <v>0</v>
      </c>
      <c r="CB116" s="1806">
        <f t="shared" ref="CB116:CB125" si="1371">IF($H116&lt;&gt;CC$5,0,IF(CC116&lt;0,IF(OR($J116=1,$J116=2,$J116=3,$J116=4,$J116=5,$J116=6,$J116=7,$J116=8,$J116=9,$J116=10),-$E116*$I116/12*3,IF($J116=11,-$E116*$I116/12*2,IF($J116=12,-$E116*$I116/12*1,0)))))+IF(BX$5&lt;&gt;$H116,0,IF(BX116&lt;0,IF($J116=10,-$E116*$I116/12*0,IF($J116=11,-$E116*$I116/12*1,IF($J116=12,-$E116*$I116/12*2,0)))))</f>
        <v>0</v>
      </c>
      <c r="CC116" s="1791">
        <f t="shared" ref="CC116:CC125" si="1372">IF(AND(BX116&lt;&gt;0,BX$5=$H116),-$I116*$E116-BX116,IF(CC$5=$H116,-$I116*$E116*(12-$J116+1)/12,0))</f>
        <v>0</v>
      </c>
      <c r="CD116" s="1808">
        <f t="shared" ref="CD116:CD125" si="1373">IF($H116&lt;&gt;CH$5,0,IF(CH116&lt;0,IF($J116=1,-$E116*$I116/12*3,IF($J116=2,-$E116*$I116/12*2,IF($J116=3,-$E116*$I116/12*1,0)))))+IF(CC$5&lt;&gt;$H116,0,IF(CC116&lt;0,IF($J116=1,-$E116*$I116/12*0,IF($J116=2,-$E116*$I116/12*1,IF($J116=3,-$E116*$I116/12*2,IF($J116&gt;=4,-$E116*$I116/12*3,0))))))</f>
        <v>0</v>
      </c>
      <c r="CE116" s="1807">
        <f t="shared" ref="CE116:CE125" si="1374">IF($H116&lt;&gt;CH$5,0,IF(CH116&lt;0,IF(OR($J116=1,$J116=2,$J116=3,$J116=4),-$E116*$I116/12*3,IF($J116=5,-$E116*$I116/12*2,IF($J116=6,-$E116*$I116/12*1,0)))))+IF(CC$5&lt;&gt;$H116,0,IF(CC116&lt;0,IF($J116=4,-$E116*$I116/12*0,IF($J116=5,-$E116*$I116/12*1,IF($J116=6,-$E116*$I116/12*2,IF($J116&gt;=7,-$E116*$I116/12*3,0))))))</f>
        <v>0</v>
      </c>
      <c r="CF116" s="1807">
        <f t="shared" ref="CF116:CF125" si="1375">IF($H116&lt;&gt;CH$5,0,IF(CH116&lt;0,IF(OR($J116=1,$J116=2,$J116=3,$J116=4,$J116=5,$J116=6,$J116=7),-$E116*$I116/12*3,IF($J116=8,-$E116*$I116/12*2,IF($J116=9,-$E116*$I116/12*1,0)))))+IF(CC$5&lt;&gt;$H116,0,IF(CC116&lt;0,IF($J116=7,-$E116*$I116/12*0,IF($J116=8,-$E116*$I116/12*1,IF($J116=9,-$E116*$I116/12*2,IF($J116&gt;=10,-$E116*$I116/12*3,0))))))</f>
        <v>0</v>
      </c>
      <c r="CG116" s="1806">
        <f t="shared" ref="CG116:CG125" si="1376">IF($H116&lt;&gt;CH$5,0,IF(CH116&lt;0,IF(OR($J116=1,$J116=2,$J116=3,$J116=4,$J116=5,$J116=6,$J116=7,$J116=8,$J116=9,$J116=10),-$E116*$I116/12*3,IF($J116=11,-$E116*$I116/12*2,IF($J116=12,-$E116*$I116/12*1,0)))))+IF(CC$5&lt;&gt;$H116,0,IF(CC116&lt;0,IF($J116=10,-$E116*$I116/12*0,IF($J116=11,-$E116*$I116/12*1,IF($J116=12,-$E116*$I116/12*2,0)))))</f>
        <v>0</v>
      </c>
      <c r="CH116" s="1791">
        <f t="shared" ref="CH116:CH125" si="1377">IF(AND(CC116&lt;&gt;0,CC$5=$H116),-$I116*$E116-CC116,IF(CH$5=$H116,-$I116*$E116*(12-$J116+1)/12,0))</f>
        <v>0</v>
      </c>
      <c r="CI116" s="1808">
        <f t="shared" ref="CI116:CI125" si="1378">IF($H116&lt;&gt;CM$5,0,IF(CM116&lt;0,IF($J116=1,-$E116*$I116/12*3,IF($J116=2,-$E116*$I116/12*2,IF($J116=3,-$E116*$I116/12*1,0)))))+IF(CH$5&lt;&gt;$H116,0,IF(CH116&lt;0,IF($J116=1,-$E116*$I116/12*0,IF($J116=2,-$E116*$I116/12*1,IF($J116=3,-$E116*$I116/12*2,IF($J116&gt;=4,-$E116*$I116/12*3,0))))))</f>
        <v>0</v>
      </c>
      <c r="CJ116" s="1807">
        <f t="shared" ref="CJ116:CJ125" si="1379">IF($H116&lt;&gt;CM$5,0,IF(CM116&lt;0,IF(OR($J116=1,$J116=2,$J116=3,$J116=4),-$E116*$I116/12*3,IF($J116=5,-$E116*$I116/12*2,IF($J116=6,-$E116*$I116/12*1,0)))))+IF(CH$5&lt;&gt;$H116,0,IF(CH116&lt;0,IF($J116=4,-$E116*$I116/12*0,IF($J116=5,-$E116*$I116/12*1,IF($J116=6,-$E116*$I116/12*2,IF($J116&gt;=7,-$E116*$I116/12*3,0))))))</f>
        <v>0</v>
      </c>
      <c r="CK116" s="1807">
        <f t="shared" ref="CK116:CK125" si="1380">IF($H116&lt;&gt;CM$5,0,IF(CM116&lt;0,IF(OR($J116=1,$J116=2,$J116=3,$J116=4,$J116=5,$J116=6,$J116=7),-$E116*$I116/12*3,IF($J116=8,-$E116*$I116/12*2,IF($J116=9,-$E116*$I116/12*1,0)))))+IF(CH$5&lt;&gt;$H116,0,IF(CH116&lt;0,IF($J116=7,-$E116*$I116/12*0,IF($J116=8,-$E116*$I116/12*1,IF($J116=9,-$E116*$I116/12*2,IF($J116&gt;=10,-$E116*$I116/12*3,0))))))</f>
        <v>0</v>
      </c>
      <c r="CL116" s="1806">
        <f t="shared" ref="CL116:CL125" si="1381">IF($H116&lt;&gt;CM$5,0,IF(CM116&lt;0,IF(OR($J116=1,$J116=2,$J116=3,$J116=4,$J116=5,$J116=6,$J116=7,$J116=8,$J116=9,$J116=10),-$E116*$I116/12*3,IF($J116=11,-$E116*$I116/12*2,IF($J116=12,-$E116*$I116/12*1,0)))))+IF(CH$5&lt;&gt;$H116,0,IF(CH116&lt;0,IF($J116=10,-$E116*$I116/12*0,IF($J116=11,-$E116*$I116/12*1,IF($J116=12,-$E116*$I116/12*2,0)))))</f>
        <v>0</v>
      </c>
      <c r="CM116" s="1791">
        <f t="shared" ref="CM116:CM125" si="1382">IF(AND(CH116&lt;&gt;0,CH$5=$H116),-$I116*$E116-CH116,IF(CM$5=$H116,-$I116*$E116*(12-$J116+1)/12,0))</f>
        <v>0</v>
      </c>
      <c r="CN116" s="1808">
        <f t="shared" ref="CN116:CN125" si="1383">IF($H116&lt;&gt;CR$5,0,IF(CR116&lt;0,IF($J116=1,-$E116*$I116/12*3,IF($J116=2,-$E116*$I116/12*2,IF($J116=3,-$E116*$I116/12*1,0)))))+IF(CM$5&lt;&gt;$H116,0,IF(CM116&lt;0,IF($J116=1,-$E116*$I116/12*0,IF($J116=2,-$E116*$I116/12*1,IF($J116=3,-$E116*$I116/12*2,IF($J116&gt;=4,-$E116*$I116/12*3,0))))))</f>
        <v>0</v>
      </c>
      <c r="CO116" s="1807">
        <f t="shared" ref="CO116:CO125" si="1384">IF($H116&lt;&gt;CR$5,0,IF(CR116&lt;0,IF(OR($J116=1,$J116=2,$J116=3,$J116=4),-$E116*$I116/12*3,IF($J116=5,-$E116*$I116/12*2,IF($J116=6,-$E116*$I116/12*1,0)))))+IF(CM$5&lt;&gt;$H116,0,IF(CM116&lt;0,IF($J116=4,-$E116*$I116/12*0,IF($J116=5,-$E116*$I116/12*1,IF($J116=6,-$E116*$I116/12*2,IF($J116&gt;=7,-$E116*$I116/12*3,0))))))</f>
        <v>0</v>
      </c>
      <c r="CP116" s="1807">
        <f t="shared" ref="CP116:CP125" si="1385">IF($H116&lt;&gt;CR$5,0,IF(CR116&lt;0,IF(OR($J116=1,$J116=2,$J116=3,$J116=4,$J116=5,$J116=6,$J116=7),-$E116*$I116/12*3,IF($J116=8,-$E116*$I116/12*2,IF($J116=9,-$E116*$I116/12*1,0)))))+IF(CM$5&lt;&gt;$H116,0,IF(CM116&lt;0,IF($J116=7,-$E116*$I116/12*0,IF($J116=8,-$E116*$I116/12*1,IF($J116=9,-$E116*$I116/12*2,IF($J116&gt;=10,-$E116*$I116/12*3,0))))))</f>
        <v>0</v>
      </c>
      <c r="CQ116" s="1806">
        <f t="shared" ref="CQ116:CQ125" si="1386">IF($H116&lt;&gt;CR$5,0,IF(CR116&lt;0,IF(OR($J116=1,$J116=2,$J116=3,$J116=4,$J116=5,$J116=6,$J116=7,$J116=8,$J116=9,$J116=10),-$E116*$I116/12*3,IF($J116=11,-$E116*$I116/12*2,IF($J116=12,-$E116*$I116/12*1,0)))))+IF(CM$5&lt;&gt;$H116,0,IF(CM116&lt;0,IF($J116=10,-$E116*$I116/12*0,IF($J116=11,-$E116*$I116/12*1,IF($J116=12,-$E116*$I116/12*2,0)))))</f>
        <v>0</v>
      </c>
      <c r="CR116" s="1791">
        <f t="shared" ref="CR116:CR125" si="1387">IF(AND(CM116&lt;&gt;0,CM$5=$H116),-$I116*$E116-CM116,IF(CR$5=$H116,-$I116*$E116*(12-$J116+1)/12,0))</f>
        <v>0</v>
      </c>
      <c r="CS116" s="1808">
        <f t="shared" ref="CS116:CS125" si="1388">IF($H116&lt;&gt;CW$5,0,IF(CW116&lt;0,IF($J116=1,-$E116*$I116/12*3,IF($J116=2,-$E116*$I116/12*2,IF($J116=3,-$E116*$I116/12*1,0)))))+IF(CR$5&lt;&gt;$H116,0,IF(CR116&lt;0,IF($J116=1,-$E116*$I116/12*0,IF($J116=2,-$E116*$I116/12*1,IF($J116=3,-$E116*$I116/12*2,IF($J116&gt;=4,-$E116*$I116/12*3,0))))))</f>
        <v>0</v>
      </c>
      <c r="CT116" s="1807">
        <f t="shared" ref="CT116:CT125" si="1389">IF($H116&lt;&gt;CW$5,0,IF(CW116&lt;0,IF(OR($J116=1,$J116=2,$J116=3,$J116=4),-$E116*$I116/12*3,IF($J116=5,-$E116*$I116/12*2,IF($J116=6,-$E116*$I116/12*1,0)))))+IF(CR$5&lt;&gt;$H116,0,IF(CR116&lt;0,IF($J116=4,-$E116*$I116/12*0,IF($J116=5,-$E116*$I116/12*1,IF($J116=6,-$E116*$I116/12*2,IF($J116&gt;=7,-$E116*$I116/12*3,0))))))</f>
        <v>0</v>
      </c>
      <c r="CU116" s="1807">
        <f t="shared" ref="CU116:CU125" si="1390">IF($H116&lt;&gt;CW$5,0,IF(CW116&lt;0,IF(OR($J116=1,$J116=2,$J116=3,$J116=4,$J116=5,$J116=6,$J116=7),-$E116*$I116/12*3,IF($J116=8,-$E116*$I116/12*2,IF($J116=9,-$E116*$I116/12*1,0)))))+IF(CR$5&lt;&gt;$H116,0,IF(CR116&lt;0,IF($J116=7,-$E116*$I116/12*0,IF($J116=8,-$E116*$I116/12*1,IF($J116=9,-$E116*$I116/12*2,IF($J116&gt;=10,-$E116*$I116/12*3,0))))))</f>
        <v>0</v>
      </c>
      <c r="CV116" s="1806">
        <f t="shared" ref="CV116:CV125" si="1391">IF($H116&lt;&gt;CW$5,0,IF(CW116&lt;0,IF(OR($J116=1,$J116=2,$J116=3,$J116=4,$J116=5,$J116=6,$J116=7,$J116=8,$J116=9,$J116=10),-$E116*$I116/12*3,IF($J116=11,-$E116*$I116/12*2,IF($J116=12,-$E116*$I116/12*1,0)))))+IF(CR$5&lt;&gt;$H116,0,IF(CR116&lt;0,IF($J116=10,-$E116*$I116/12*0,IF($J116=11,-$E116*$I116/12*1,IF($J116=12,-$E116*$I116/12*2,0)))))</f>
        <v>0</v>
      </c>
      <c r="CW116" s="1791">
        <f t="shared" ref="CW116:CW125" si="1392">IF(AND(CR116&lt;&gt;0,CR$5=$H116),-$I116*$E116-CR116,IF(CW$5=$H116,-$I116*$E116*(12-$J116+1)/12,0))</f>
        <v>0</v>
      </c>
      <c r="CX116" s="1808">
        <f t="shared" ref="CX116:CX125" si="1393">IF($H116&lt;&gt;DB$5,0,IF(DB116&lt;0,IF($J116=1,-$E116*$I116/12*3,IF($J116=2,-$E116*$I116/12*2,IF($J116=3,-$E116*$I116/12*1,0)))))+IF(CW$5&lt;&gt;$H116,0,IF(CW116&lt;0,IF($J116=1,-$E116*$I116/12*0,IF($J116=2,-$E116*$I116/12*1,IF($J116=3,-$E116*$I116/12*2,IF($J116&gt;=4,-$E116*$I116/12*3,0))))))</f>
        <v>0</v>
      </c>
      <c r="CY116" s="1807">
        <f t="shared" ref="CY116:CY125" si="1394">IF($H116&lt;&gt;DB$5,0,IF(DB116&lt;0,IF(OR($J116=1,$J116=2,$J116=3,$J116=4),-$E116*$I116/12*3,IF($J116=5,-$E116*$I116/12*2,IF($J116=6,-$E116*$I116/12*1,0)))))+IF(CW$5&lt;&gt;$H116,0,IF(CW116&lt;0,IF($J116=4,-$E116*$I116/12*0,IF($J116=5,-$E116*$I116/12*1,IF($J116=6,-$E116*$I116/12*2,IF($J116&gt;=7,-$E116*$I116/12*3,0))))))</f>
        <v>0</v>
      </c>
      <c r="CZ116" s="1807">
        <f t="shared" ref="CZ116:CZ125" si="1395">IF($H116&lt;&gt;DB$5,0,IF(DB116&lt;0,IF(OR($J116=1,$J116=2,$J116=3,$J116=4,$J116=5,$J116=6,$J116=7),-$E116*$I116/12*3,IF($J116=8,-$E116*$I116/12*2,IF($J116=9,-$E116*$I116/12*1,0)))))+IF(CW$5&lt;&gt;$H116,0,IF(CW116&lt;0,IF($J116=7,-$E116*$I116/12*0,IF($J116=8,-$E116*$I116/12*1,IF($J116=9,-$E116*$I116/12*2,IF($J116&gt;=10,-$E116*$I116/12*3,0))))))</f>
        <v>0</v>
      </c>
      <c r="DA116" s="1806">
        <f t="shared" ref="DA116:DA125" si="1396">IF($H116&lt;&gt;DB$5,0,IF(DB116&lt;0,IF(OR($J116=1,$J116=2,$J116=3,$J116=4,$J116=5,$J116=6,$J116=7,$J116=8,$J116=9,$J116=10),-$E116*$I116/12*3,IF($J116=11,-$E116*$I116/12*2,IF($J116=12,-$E116*$I116/12*1,0)))))+IF(CW$5&lt;&gt;$H116,0,IF(CW116&lt;0,IF($J116=10,-$E116*$I116/12*0,IF($J116=11,-$E116*$I116/12*1,IF($J116=12,-$E116*$I116/12*2,0)))))</f>
        <v>0</v>
      </c>
      <c r="DB116" s="1791">
        <f t="shared" ref="DB116:DB125" si="1397">IF(AND(CW116&lt;&gt;0,CW$5=$H116),-$I116*$E116-CW116,IF(DB$5=$H116,-$I116*$E116*(12-$J116+1)/12,0))</f>
        <v>0</v>
      </c>
      <c r="DC116" s="1808">
        <f t="shared" ref="DC116:DC125" si="1398">IF($H116&lt;&gt;DG$5,0,IF(DG116&lt;0,IF($J116=1,-$E116*$I116/12*3,IF($J116=2,-$E116*$I116/12*2,IF($J116=3,-$E116*$I116/12*1,0)))))+IF(DB$5&lt;&gt;$H116,0,IF(DB116&lt;0,IF($J116=1,-$E116*$I116/12*0,IF($J116=2,-$E116*$I116/12*1,IF($J116=3,-$E116*$I116/12*2,IF($J116&gt;=4,-$E116*$I116/12*3,0))))))</f>
        <v>0</v>
      </c>
      <c r="DD116" s="1807">
        <f t="shared" ref="DD116:DD125" si="1399">IF($H116&lt;&gt;DG$5,0,IF(DG116&lt;0,IF(OR($J116=1,$J116=2,$J116=3,$J116=4),-$E116*$I116/12*3,IF($J116=5,-$E116*$I116/12*2,IF($J116=6,-$E116*$I116/12*1,0)))))+IF(DB$5&lt;&gt;$H116,0,IF(DB116&lt;0,IF($J116=4,-$E116*$I116/12*0,IF($J116=5,-$E116*$I116/12*1,IF($J116=6,-$E116*$I116/12*2,IF($J116&gt;=7,-$E116*$I116/12*3,0))))))</f>
        <v>0</v>
      </c>
      <c r="DE116" s="1807">
        <f t="shared" ref="DE116:DE125" si="1400">IF($H116&lt;&gt;DG$5,0,IF(DG116&lt;0,IF(OR($J116=1,$J116=2,$J116=3,$J116=4,$J116=5,$J116=6,$J116=7),-$E116*$I116/12*3,IF($J116=8,-$E116*$I116/12*2,IF($J116=9,-$E116*$I116/12*1,0)))))+IF(DB$5&lt;&gt;$H116,0,IF(DB116&lt;0,IF($J116=7,-$E116*$I116/12*0,IF($J116=8,-$E116*$I116/12*1,IF($J116=9,-$E116*$I116/12*2,IF($J116&gt;=10,-$E116*$I116/12*3,0))))))</f>
        <v>0</v>
      </c>
      <c r="DF116" s="1806">
        <f t="shared" ref="DF116:DF125" si="1401">IF($H116&lt;&gt;DG$5,0,IF(DG116&lt;0,IF(OR($J116=1,$J116=2,$J116=3,$J116=4,$J116=5,$J116=6,$J116=7,$J116=8,$J116=9,$J116=10),-$E116*$I116/12*3,IF($J116=11,-$E116*$I116/12*2,IF($J116=12,-$E116*$I116/12*1,0)))))+IF(DB$5&lt;&gt;$H116,0,IF(DB116&lt;0,IF($J116=10,-$E116*$I116/12*0,IF($J116=11,-$E116*$I116/12*1,IF($J116=12,-$E116*$I116/12*2,0)))))</f>
        <v>0</v>
      </c>
      <c r="DG116" s="1791">
        <f t="shared" ref="DG116:DG125" si="1402">IF(AND(DB116&lt;&gt;0,DB$5=$H116),-$I116*$E116-DB116,IF(DG$5=$H116,-$I116*$E116*(12-$J116+1)/12,0))</f>
        <v>0</v>
      </c>
      <c r="DH116" s="1808">
        <f t="shared" ref="DH116:DH125" si="1403">IF($H116&lt;&gt;DL$5,0,IF(DL116&lt;0,IF($J116=1,-$E116*$I116/12*3,IF($J116=2,-$E116*$I116/12*2,IF($J116=3,-$E116*$I116/12*1,0)))))+IF(DG$5&lt;&gt;$H116,0,IF(DG116&lt;0,IF($J116=1,-$E116*$I116/12*0,IF($J116=2,-$E116*$I116/12*1,IF($J116=3,-$E116*$I116/12*2,IF($J116&gt;=4,-$E116*$I116/12*3,0))))))</f>
        <v>0</v>
      </c>
      <c r="DI116" s="1807">
        <f t="shared" ref="DI116:DI125" si="1404">IF($H116&lt;&gt;DL$5,0,IF(DL116&lt;0,IF(OR($J116=1,$J116=2,$J116=3,$J116=4),-$E116*$I116/12*3,IF($J116=5,-$E116*$I116/12*2,IF($J116=6,-$E116*$I116/12*1,0)))))+IF(DG$5&lt;&gt;$H116,0,IF(DG116&lt;0,IF($J116=4,-$E116*$I116/12*0,IF($J116=5,-$E116*$I116/12*1,IF($J116=6,-$E116*$I116/12*2,IF($J116&gt;=7,-$E116*$I116/12*3,0))))))</f>
        <v>0</v>
      </c>
      <c r="DJ116" s="1807">
        <f t="shared" ref="DJ116:DJ125" si="1405">IF($H116&lt;&gt;DL$5,0,IF(DL116&lt;0,IF(OR($J116=1,$J116=2,$J116=3,$J116=4,$J116=5,$J116=6,$J116=7),-$E116*$I116/12*3,IF($J116=8,-$E116*$I116/12*2,IF($J116=9,-$E116*$I116/12*1,0)))))+IF(DG$5&lt;&gt;$H116,0,IF(DG116&lt;0,IF($J116=7,-$E116*$I116/12*0,IF($J116=8,-$E116*$I116/12*1,IF($J116=9,-$E116*$I116/12*2,IF($J116&gt;=10,-$E116*$I116/12*3,0))))))</f>
        <v>0</v>
      </c>
      <c r="DK116" s="1806">
        <f t="shared" ref="DK116:DK125" si="1406">IF($H116&lt;&gt;DL$5,0,IF(DL116&lt;0,IF(OR($J116=1,$J116=2,$J116=3,$J116=4,$J116=5,$J116=6,$J116=7,$J116=8,$J116=9,$J116=10),-$E116*$I116/12*3,IF($J116=11,-$E116*$I116/12*2,IF($J116=12,-$E116*$I116/12*1,0)))))+IF(DG$5&lt;&gt;$H116,0,IF(DG116&lt;0,IF($J116=10,-$E116*$I116/12*0,IF($J116=11,-$E116*$I116/12*1,IF($J116=12,-$E116*$I116/12*2,0)))))</f>
        <v>0</v>
      </c>
      <c r="DL116" s="1791">
        <f t="shared" ref="DL116:DL125" si="1407">IF(AND(DG116&lt;&gt;0,DG$5=$H116),-$I116*$E116-DG116,IF(DL$5=$H116,-$I116*$E116*(12-$J116+1)/12,0))</f>
        <v>0</v>
      </c>
      <c r="DM116" s="1808">
        <f t="shared" ref="DM116:DM125" si="1408">IF($H116&lt;&gt;DQ$5,0,IF(DQ116&lt;0,IF($J116=1,-$E116*$I116/12*3,IF($J116=2,-$E116*$I116/12*2,IF($J116=3,-$E116*$I116/12*1,0)))))+IF(DL$5&lt;&gt;$H116,0,IF(DL116&lt;0,IF($J116=1,-$E116*$I116/12*0,IF($J116=2,-$E116*$I116/12*1,IF($J116=3,-$E116*$I116/12*2,IF($J116&gt;=4,-$E116*$I116/12*3,0))))))</f>
        <v>0</v>
      </c>
      <c r="DN116" s="1807">
        <f t="shared" ref="DN116:DN125" si="1409">IF($H116&lt;&gt;DQ$5,0,IF(DQ116&lt;0,IF(OR($J116=1,$J116=2,$J116=3,$J116=4),-$E116*$I116/12*3,IF($J116=5,-$E116*$I116/12*2,IF($J116=6,-$E116*$I116/12*1,0)))))+IF(DL$5&lt;&gt;$H116,0,IF(DL116&lt;0,IF($J116=4,-$E116*$I116/12*0,IF($J116=5,-$E116*$I116/12*1,IF($J116=6,-$E116*$I116/12*2,IF($J116&gt;=7,-$E116*$I116/12*3,0))))))</f>
        <v>0</v>
      </c>
      <c r="DO116" s="1807">
        <f t="shared" ref="DO116:DO125" si="1410">IF($H116&lt;&gt;DQ$5,0,IF(DQ116&lt;0,IF(OR($J116=1,$J116=2,$J116=3,$J116=4,$J116=5,$J116=6,$J116=7),-$E116*$I116/12*3,IF($J116=8,-$E116*$I116/12*2,IF($J116=9,-$E116*$I116/12*1,0)))))+IF(DL$5&lt;&gt;$H116,0,IF(DL116&lt;0,IF($J116=7,-$E116*$I116/12*0,IF($J116=8,-$E116*$I116/12*1,IF($J116=9,-$E116*$I116/12*2,IF($J116&gt;=10,-$E116*$I116/12*3,0))))))</f>
        <v>0</v>
      </c>
      <c r="DP116" s="1806">
        <f t="shared" ref="DP116:DP125" si="1411">IF($H116&lt;&gt;DQ$5,0,IF(DQ116&lt;0,IF(OR($J116=1,$J116=2,$J116=3,$J116=4,$J116=5,$J116=6,$J116=7,$J116=8,$J116=9,$J116=10),-$E116*$I116/12*3,IF($J116=11,-$E116*$I116/12*2,IF($J116=12,-$E116*$I116/12*1,0)))))+IF(DL$5&lt;&gt;$H116,0,IF(DL116&lt;0,IF($J116=10,-$E116*$I116/12*0,IF($J116=11,-$E116*$I116/12*1,IF($J116=12,-$E116*$I116/12*2,0)))))</f>
        <v>0</v>
      </c>
      <c r="DQ116" s="1791">
        <f t="shared" ref="DQ116:DQ125" si="1412">IF(AND(DL116&lt;&gt;0,DL$5=$H116),-$I116*$E116-DL116,IF(DQ$5=$H116,-$I116*$E116*(12-$J116+1)/12,0))</f>
        <v>0</v>
      </c>
      <c r="DR116" s="1808">
        <f t="shared" ref="DR116:DR125" si="1413">IF($H116&lt;&gt;DV$5,0,IF(DV116&lt;0,IF($J116=1,-$E116*$I116/12*3,IF($J116=2,-$E116*$I116/12*2,IF($J116=3,-$E116*$I116/12*1,0)))))+IF(DQ$5&lt;&gt;$H116,0,IF(DQ116&lt;0,IF($J116=1,-$E116*$I116/12*0,IF($J116=2,-$E116*$I116/12*1,IF($J116=3,-$E116*$I116/12*2,IF($J116&gt;=4,-$E116*$I116/12*3,0))))))</f>
        <v>0</v>
      </c>
      <c r="DS116" s="1807">
        <f t="shared" ref="DS116:DS125" si="1414">IF($H116&lt;&gt;DV$5,0,IF(DV116&lt;0,IF(OR($J116=1,$J116=2,$J116=3,$J116=4),-$E116*$I116/12*3,IF($J116=5,-$E116*$I116/12*2,IF($J116=6,-$E116*$I116/12*1,0)))))+IF(DQ$5&lt;&gt;$H116,0,IF(DQ116&lt;0,IF($J116=4,-$E116*$I116/12*0,IF($J116=5,-$E116*$I116/12*1,IF($J116=6,-$E116*$I116/12*2,IF($J116&gt;=7,-$E116*$I116/12*3,0))))))</f>
        <v>0</v>
      </c>
      <c r="DT116" s="1807">
        <f t="shared" ref="DT116:DT125" si="1415">IF($H116&lt;&gt;DV$5,0,IF(DV116&lt;0,IF(OR($J116=1,$J116=2,$J116=3,$J116=4,$J116=5,$J116=6,$J116=7),-$E116*$I116/12*3,IF($J116=8,-$E116*$I116/12*2,IF($J116=9,-$E116*$I116/12*1,0)))))+IF(DQ$5&lt;&gt;$H116,0,IF(DQ116&lt;0,IF($J116=7,-$E116*$I116/12*0,IF($J116=8,-$E116*$I116/12*1,IF($J116=9,-$E116*$I116/12*2,IF($J116&gt;=10,-$E116*$I116/12*3,0))))))</f>
        <v>0</v>
      </c>
      <c r="DU116" s="1806">
        <f t="shared" ref="DU116:DU125" si="1416">IF($H116&lt;&gt;DV$5,0,IF(DV116&lt;0,IF(OR($J116=1,$J116=2,$J116=3,$J116=4,$J116=5,$J116=6,$J116=7,$J116=8,$J116=9,$J116=10),-$E116*$I116/12*3,IF($J116=11,-$E116*$I116/12*2,IF($J116=12,-$E116*$I116/12*1,0)))))+IF(DQ$5&lt;&gt;$H116,0,IF(DQ116&lt;0,IF($J116=10,-$E116*$I116/12*0,IF($J116=11,-$E116*$I116/12*1,IF($J116=12,-$E116*$I116/12*2,0)))))</f>
        <v>0</v>
      </c>
      <c r="DV116" s="1791">
        <f t="shared" ref="DV116:DV125" si="1417">IF(AND(DQ116&lt;&gt;0,DQ$5=$H116),-$I116*$E116-DQ116,IF(DV$5=$H116,-$I116*$E116*(12-$J116+1)/12,0))</f>
        <v>0</v>
      </c>
    </row>
    <row r="117" spans="1:126">
      <c r="A117" s="455"/>
      <c r="B117" s="455"/>
      <c r="C117" s="1363" t="s">
        <v>782</v>
      </c>
      <c r="D117" s="455"/>
      <c r="E117" s="1817">
        <f t="shared" ref="E117:E118" si="1418">IF(F117=0,G117,F117)</f>
        <v>150</v>
      </c>
      <c r="F117" s="1435">
        <v>150</v>
      </c>
      <c r="G117" s="1435">
        <v>150</v>
      </c>
      <c r="H117" s="1350">
        <v>2019</v>
      </c>
      <c r="I117" s="1335">
        <v>6.6400000000000001E-2</v>
      </c>
      <c r="J117" s="1343">
        <v>7</v>
      </c>
      <c r="K117" s="1792"/>
      <c r="L117" s="1810">
        <f t="shared" si="1306"/>
        <v>0</v>
      </c>
      <c r="M117" s="1791">
        <f t="shared" si="1306"/>
        <v>0</v>
      </c>
      <c r="N117" s="1808">
        <f t="shared" si="1307"/>
        <v>0</v>
      </c>
      <c r="O117" s="1807">
        <f t="shared" si="1308"/>
        <v>0</v>
      </c>
      <c r="P117" s="1807">
        <f t="shared" si="1309"/>
        <v>0</v>
      </c>
      <c r="Q117" s="1806">
        <f t="shared" si="1310"/>
        <v>0</v>
      </c>
      <c r="R117" s="1791">
        <f t="shared" si="1311"/>
        <v>0</v>
      </c>
      <c r="S117" s="1808">
        <f t="shared" si="1312"/>
        <v>0</v>
      </c>
      <c r="T117" s="1807">
        <f t="shared" si="1313"/>
        <v>0</v>
      </c>
      <c r="U117" s="1807">
        <f t="shared" si="1314"/>
        <v>0</v>
      </c>
      <c r="V117" s="1806">
        <f t="shared" si="1315"/>
        <v>0</v>
      </c>
      <c r="W117" s="1791">
        <f t="shared" si="1316"/>
        <v>0</v>
      </c>
      <c r="X117" s="1808">
        <f t="shared" si="1317"/>
        <v>0</v>
      </c>
      <c r="Y117" s="1807">
        <f t="shared" si="1318"/>
        <v>0</v>
      </c>
      <c r="Z117" s="1807">
        <f t="shared" si="1319"/>
        <v>0</v>
      </c>
      <c r="AA117" s="1806">
        <f t="shared" si="1320"/>
        <v>0</v>
      </c>
      <c r="AB117" s="1791">
        <f t="shared" si="1321"/>
        <v>0</v>
      </c>
      <c r="AC117" s="1808">
        <f t="shared" si="1322"/>
        <v>0</v>
      </c>
      <c r="AD117" s="1807">
        <f t="shared" si="1323"/>
        <v>0</v>
      </c>
      <c r="AE117" s="1807">
        <f t="shared" si="1324"/>
        <v>0</v>
      </c>
      <c r="AF117" s="1806">
        <f t="shared" si="1325"/>
        <v>0</v>
      </c>
      <c r="AG117" s="1791">
        <f t="shared" si="1326"/>
        <v>0</v>
      </c>
      <c r="AH117" s="1808">
        <f t="shared" si="1327"/>
        <v>0</v>
      </c>
      <c r="AI117" s="1807">
        <f t="shared" si="1328"/>
        <v>0</v>
      </c>
      <c r="AJ117" s="1807">
        <f t="shared" si="1329"/>
        <v>0</v>
      </c>
      <c r="AK117" s="1806">
        <f t="shared" si="1330"/>
        <v>0</v>
      </c>
      <c r="AL117" s="1791">
        <f t="shared" si="1331"/>
        <v>0</v>
      </c>
      <c r="AM117" s="1808">
        <f t="shared" si="1332"/>
        <v>0</v>
      </c>
      <c r="AN117" s="1807">
        <f t="shared" si="1333"/>
        <v>0</v>
      </c>
      <c r="AO117" s="1807">
        <f t="shared" si="1334"/>
        <v>0</v>
      </c>
      <c r="AP117" s="1806">
        <f t="shared" si="1335"/>
        <v>0</v>
      </c>
      <c r="AQ117" s="1791">
        <f t="shared" si="1336"/>
        <v>0</v>
      </c>
      <c r="AR117" s="1808">
        <f t="shared" si="1337"/>
        <v>0</v>
      </c>
      <c r="AS117" s="1807">
        <f t="shared" si="1338"/>
        <v>0</v>
      </c>
      <c r="AT117" s="1807">
        <f t="shared" si="1339"/>
        <v>0</v>
      </c>
      <c r="AU117" s="1806">
        <f t="shared" si="1340"/>
        <v>0</v>
      </c>
      <c r="AV117" s="1791">
        <f t="shared" si="1341"/>
        <v>0</v>
      </c>
      <c r="AW117" s="1808">
        <f t="shared" si="1342"/>
        <v>0</v>
      </c>
      <c r="AX117" s="1807">
        <f t="shared" si="1343"/>
        <v>0</v>
      </c>
      <c r="AY117" s="1807">
        <f t="shared" si="1344"/>
        <v>0</v>
      </c>
      <c r="AZ117" s="1806">
        <f t="shared" si="1345"/>
        <v>0</v>
      </c>
      <c r="BA117" s="1791">
        <f t="shared" si="1346"/>
        <v>0</v>
      </c>
      <c r="BB117" s="1808">
        <f t="shared" si="1347"/>
        <v>0</v>
      </c>
      <c r="BC117" s="1807">
        <f t="shared" si="1348"/>
        <v>0</v>
      </c>
      <c r="BD117" s="1807">
        <f t="shared" si="1349"/>
        <v>-150</v>
      </c>
      <c r="BE117" s="1806">
        <f t="shared" si="1350"/>
        <v>0</v>
      </c>
      <c r="BF117" s="1791">
        <f t="shared" si="1351"/>
        <v>-150</v>
      </c>
      <c r="BG117" s="1808">
        <f t="shared" si="1352"/>
        <v>0</v>
      </c>
      <c r="BH117" s="1807">
        <f t="shared" si="1353"/>
        <v>0</v>
      </c>
      <c r="BI117" s="1807">
        <f t="shared" si="1354"/>
        <v>0</v>
      </c>
      <c r="BJ117" s="1806">
        <f t="shared" si="1355"/>
        <v>0</v>
      </c>
      <c r="BK117" s="1791">
        <f t="shared" si="1356"/>
        <v>0</v>
      </c>
      <c r="BL117" s="1808">
        <f t="shared" si="1357"/>
        <v>0</v>
      </c>
      <c r="BM117" s="1807">
        <f t="shared" si="1358"/>
        <v>0</v>
      </c>
      <c r="BN117" s="1807">
        <f t="shared" si="1359"/>
        <v>0</v>
      </c>
      <c r="BO117" s="1806">
        <f t="shared" si="1360"/>
        <v>0</v>
      </c>
      <c r="BP117" s="1791">
        <f t="shared" si="1361"/>
        <v>0</v>
      </c>
      <c r="BQ117" s="1827"/>
      <c r="BR117" s="1791">
        <f t="shared" si="1362"/>
        <v>0</v>
      </c>
      <c r="BS117" s="1791">
        <f t="shared" si="1362"/>
        <v>0</v>
      </c>
      <c r="BT117" s="1808">
        <f t="shared" si="1363"/>
        <v>0</v>
      </c>
      <c r="BU117" s="1807">
        <f t="shared" si="1364"/>
        <v>0</v>
      </c>
      <c r="BV117" s="1807">
        <f t="shared" si="1365"/>
        <v>0</v>
      </c>
      <c r="BW117" s="1806">
        <f t="shared" si="1366"/>
        <v>0</v>
      </c>
      <c r="BX117" s="1791">
        <f t="shared" si="1367"/>
        <v>0</v>
      </c>
      <c r="BY117" s="1808">
        <f t="shared" si="1368"/>
        <v>0</v>
      </c>
      <c r="BZ117" s="1807">
        <f t="shared" si="1369"/>
        <v>0</v>
      </c>
      <c r="CA117" s="1807">
        <f t="shared" si="1370"/>
        <v>0</v>
      </c>
      <c r="CB117" s="1806">
        <f t="shared" si="1371"/>
        <v>0</v>
      </c>
      <c r="CC117" s="1791">
        <f t="shared" si="1372"/>
        <v>0</v>
      </c>
      <c r="CD117" s="1808">
        <f t="shared" si="1373"/>
        <v>0</v>
      </c>
      <c r="CE117" s="1807">
        <f t="shared" si="1374"/>
        <v>0</v>
      </c>
      <c r="CF117" s="1807">
        <f t="shared" si="1375"/>
        <v>0</v>
      </c>
      <c r="CG117" s="1806">
        <f t="shared" si="1376"/>
        <v>0</v>
      </c>
      <c r="CH117" s="1791">
        <f t="shared" si="1377"/>
        <v>0</v>
      </c>
      <c r="CI117" s="1808">
        <f t="shared" si="1378"/>
        <v>0</v>
      </c>
      <c r="CJ117" s="1807">
        <f t="shared" si="1379"/>
        <v>0</v>
      </c>
      <c r="CK117" s="1807">
        <f t="shared" si="1380"/>
        <v>0</v>
      </c>
      <c r="CL117" s="1806">
        <f t="shared" si="1381"/>
        <v>0</v>
      </c>
      <c r="CM117" s="1791">
        <f t="shared" si="1382"/>
        <v>0</v>
      </c>
      <c r="CN117" s="1808">
        <f t="shared" si="1383"/>
        <v>0</v>
      </c>
      <c r="CO117" s="1807">
        <f t="shared" si="1384"/>
        <v>0</v>
      </c>
      <c r="CP117" s="1807">
        <f t="shared" si="1385"/>
        <v>0</v>
      </c>
      <c r="CQ117" s="1806">
        <f t="shared" si="1386"/>
        <v>0</v>
      </c>
      <c r="CR117" s="1791">
        <f t="shared" si="1387"/>
        <v>0</v>
      </c>
      <c r="CS117" s="1808">
        <f t="shared" si="1388"/>
        <v>0</v>
      </c>
      <c r="CT117" s="1807">
        <f t="shared" si="1389"/>
        <v>0</v>
      </c>
      <c r="CU117" s="1807">
        <f t="shared" si="1390"/>
        <v>0</v>
      </c>
      <c r="CV117" s="1806">
        <f t="shared" si="1391"/>
        <v>0</v>
      </c>
      <c r="CW117" s="1791">
        <f t="shared" si="1392"/>
        <v>0</v>
      </c>
      <c r="CX117" s="1808">
        <f t="shared" si="1393"/>
        <v>0</v>
      </c>
      <c r="CY117" s="1807">
        <f t="shared" si="1394"/>
        <v>0</v>
      </c>
      <c r="CZ117" s="1807">
        <f t="shared" si="1395"/>
        <v>0</v>
      </c>
      <c r="DA117" s="1806">
        <f t="shared" si="1396"/>
        <v>0</v>
      </c>
      <c r="DB117" s="1791">
        <f t="shared" si="1397"/>
        <v>0</v>
      </c>
      <c r="DC117" s="1808">
        <f t="shared" si="1398"/>
        <v>0</v>
      </c>
      <c r="DD117" s="1807">
        <f t="shared" si="1399"/>
        <v>0</v>
      </c>
      <c r="DE117" s="1807">
        <f t="shared" si="1400"/>
        <v>0</v>
      </c>
      <c r="DF117" s="1806">
        <f t="shared" si="1401"/>
        <v>0</v>
      </c>
      <c r="DG117" s="1791">
        <f t="shared" si="1402"/>
        <v>0</v>
      </c>
      <c r="DH117" s="1808">
        <f t="shared" si="1403"/>
        <v>0</v>
      </c>
      <c r="DI117" s="1807">
        <f t="shared" si="1404"/>
        <v>0</v>
      </c>
      <c r="DJ117" s="1807">
        <f t="shared" si="1405"/>
        <v>-2.4900000000000002</v>
      </c>
      <c r="DK117" s="1806">
        <f t="shared" si="1406"/>
        <v>-2.4900000000000002</v>
      </c>
      <c r="DL117" s="1791">
        <f t="shared" si="1407"/>
        <v>-4.9800000000000004</v>
      </c>
      <c r="DM117" s="1808">
        <f t="shared" si="1408"/>
        <v>-2.4900000000000002</v>
      </c>
      <c r="DN117" s="1807">
        <f t="shared" si="1409"/>
        <v>-2.4900000000000002</v>
      </c>
      <c r="DO117" s="1807">
        <f t="shared" si="1410"/>
        <v>0</v>
      </c>
      <c r="DP117" s="1806">
        <f t="shared" si="1411"/>
        <v>0</v>
      </c>
      <c r="DQ117" s="1791">
        <f t="shared" si="1412"/>
        <v>-4.9800000000000004</v>
      </c>
      <c r="DR117" s="1808">
        <f t="shared" si="1413"/>
        <v>0</v>
      </c>
      <c r="DS117" s="1807">
        <f t="shared" si="1414"/>
        <v>0</v>
      </c>
      <c r="DT117" s="1807">
        <f t="shared" si="1415"/>
        <v>0</v>
      </c>
      <c r="DU117" s="1806">
        <f t="shared" si="1416"/>
        <v>0</v>
      </c>
      <c r="DV117" s="1791">
        <f t="shared" si="1417"/>
        <v>0</v>
      </c>
    </row>
    <row r="118" spans="1:126">
      <c r="A118" s="455"/>
      <c r="B118" s="455"/>
      <c r="C118" s="1363" t="s">
        <v>115</v>
      </c>
      <c r="D118" s="455"/>
      <c r="E118" s="1817">
        <f t="shared" si="1418"/>
        <v>250</v>
      </c>
      <c r="F118" s="1435">
        <v>250</v>
      </c>
      <c r="G118" s="1435">
        <v>250</v>
      </c>
      <c r="H118" s="1350">
        <v>2023</v>
      </c>
      <c r="I118" s="1335">
        <v>3.1E-2</v>
      </c>
      <c r="J118" s="1343">
        <v>7</v>
      </c>
      <c r="K118" s="1792"/>
      <c r="L118" s="1810">
        <f t="shared" si="1306"/>
        <v>0</v>
      </c>
      <c r="M118" s="1791">
        <f t="shared" si="1306"/>
        <v>0</v>
      </c>
      <c r="N118" s="1808">
        <f t="shared" si="1307"/>
        <v>0</v>
      </c>
      <c r="O118" s="1807">
        <f t="shared" si="1308"/>
        <v>0</v>
      </c>
      <c r="P118" s="1807">
        <f t="shared" si="1309"/>
        <v>0</v>
      </c>
      <c r="Q118" s="1806">
        <f t="shared" si="1310"/>
        <v>0</v>
      </c>
      <c r="R118" s="1791">
        <f t="shared" si="1311"/>
        <v>0</v>
      </c>
      <c r="S118" s="1808">
        <f t="shared" si="1312"/>
        <v>0</v>
      </c>
      <c r="T118" s="1807">
        <f t="shared" si="1313"/>
        <v>0</v>
      </c>
      <c r="U118" s="1807">
        <f t="shared" si="1314"/>
        <v>0</v>
      </c>
      <c r="V118" s="1806">
        <f t="shared" si="1315"/>
        <v>0</v>
      </c>
      <c r="W118" s="1791">
        <f t="shared" si="1316"/>
        <v>0</v>
      </c>
      <c r="X118" s="1808">
        <f t="shared" si="1317"/>
        <v>0</v>
      </c>
      <c r="Y118" s="1807">
        <f t="shared" si="1318"/>
        <v>0</v>
      </c>
      <c r="Z118" s="1807">
        <f t="shared" si="1319"/>
        <v>0</v>
      </c>
      <c r="AA118" s="1806">
        <f t="shared" si="1320"/>
        <v>0</v>
      </c>
      <c r="AB118" s="1791">
        <f t="shared" si="1321"/>
        <v>0</v>
      </c>
      <c r="AC118" s="1808">
        <f t="shared" si="1322"/>
        <v>0</v>
      </c>
      <c r="AD118" s="1807">
        <f t="shared" si="1323"/>
        <v>0</v>
      </c>
      <c r="AE118" s="1807">
        <f t="shared" si="1324"/>
        <v>0</v>
      </c>
      <c r="AF118" s="1806">
        <f t="shared" si="1325"/>
        <v>0</v>
      </c>
      <c r="AG118" s="1791">
        <f t="shared" si="1326"/>
        <v>0</v>
      </c>
      <c r="AH118" s="1808">
        <f t="shared" si="1327"/>
        <v>0</v>
      </c>
      <c r="AI118" s="1807">
        <f t="shared" si="1328"/>
        <v>0</v>
      </c>
      <c r="AJ118" s="1807">
        <f t="shared" si="1329"/>
        <v>0</v>
      </c>
      <c r="AK118" s="1806">
        <f t="shared" si="1330"/>
        <v>0</v>
      </c>
      <c r="AL118" s="1791">
        <f t="shared" si="1331"/>
        <v>0</v>
      </c>
      <c r="AM118" s="1808">
        <f t="shared" si="1332"/>
        <v>0</v>
      </c>
      <c r="AN118" s="1807">
        <f t="shared" si="1333"/>
        <v>0</v>
      </c>
      <c r="AO118" s="1807">
        <f t="shared" si="1334"/>
        <v>0</v>
      </c>
      <c r="AP118" s="1806">
        <f t="shared" si="1335"/>
        <v>0</v>
      </c>
      <c r="AQ118" s="1791">
        <f t="shared" si="1336"/>
        <v>0</v>
      </c>
      <c r="AR118" s="1808">
        <f t="shared" si="1337"/>
        <v>0</v>
      </c>
      <c r="AS118" s="1807">
        <f t="shared" si="1338"/>
        <v>0</v>
      </c>
      <c r="AT118" s="1807">
        <f t="shared" si="1339"/>
        <v>0</v>
      </c>
      <c r="AU118" s="1806">
        <f t="shared" si="1340"/>
        <v>0</v>
      </c>
      <c r="AV118" s="1791">
        <f t="shared" si="1341"/>
        <v>0</v>
      </c>
      <c r="AW118" s="1808">
        <f t="shared" si="1342"/>
        <v>0</v>
      </c>
      <c r="AX118" s="1807">
        <f t="shared" si="1343"/>
        <v>0</v>
      </c>
      <c r="AY118" s="1807">
        <f t="shared" si="1344"/>
        <v>0</v>
      </c>
      <c r="AZ118" s="1806">
        <f t="shared" si="1345"/>
        <v>0</v>
      </c>
      <c r="BA118" s="1791">
        <f t="shared" si="1346"/>
        <v>0</v>
      </c>
      <c r="BB118" s="1808">
        <f t="shared" si="1347"/>
        <v>0</v>
      </c>
      <c r="BC118" s="1807">
        <f t="shared" si="1348"/>
        <v>0</v>
      </c>
      <c r="BD118" s="1807">
        <f t="shared" si="1349"/>
        <v>0</v>
      </c>
      <c r="BE118" s="1806">
        <f t="shared" si="1350"/>
        <v>0</v>
      </c>
      <c r="BF118" s="1791">
        <f t="shared" si="1351"/>
        <v>0</v>
      </c>
      <c r="BG118" s="1808">
        <f t="shared" si="1352"/>
        <v>0</v>
      </c>
      <c r="BH118" s="1807">
        <f t="shared" si="1353"/>
        <v>0</v>
      </c>
      <c r="BI118" s="1807">
        <f t="shared" si="1354"/>
        <v>0</v>
      </c>
      <c r="BJ118" s="1806">
        <f t="shared" si="1355"/>
        <v>0</v>
      </c>
      <c r="BK118" s="1791">
        <f t="shared" si="1356"/>
        <v>0</v>
      </c>
      <c r="BL118" s="1808">
        <f t="shared" si="1357"/>
        <v>0</v>
      </c>
      <c r="BM118" s="1807">
        <f t="shared" si="1358"/>
        <v>0</v>
      </c>
      <c r="BN118" s="1807">
        <f t="shared" si="1359"/>
        <v>0</v>
      </c>
      <c r="BO118" s="1806">
        <f t="shared" si="1360"/>
        <v>0</v>
      </c>
      <c r="BP118" s="1791">
        <f t="shared" si="1361"/>
        <v>0</v>
      </c>
      <c r="BQ118" s="1827"/>
      <c r="BR118" s="1791">
        <f t="shared" si="1362"/>
        <v>0</v>
      </c>
      <c r="BS118" s="1791">
        <f t="shared" si="1362"/>
        <v>0</v>
      </c>
      <c r="BT118" s="1808">
        <f t="shared" si="1363"/>
        <v>0</v>
      </c>
      <c r="BU118" s="1807">
        <f t="shared" si="1364"/>
        <v>0</v>
      </c>
      <c r="BV118" s="1807">
        <f t="shared" si="1365"/>
        <v>0</v>
      </c>
      <c r="BW118" s="1806">
        <f t="shared" si="1366"/>
        <v>0</v>
      </c>
      <c r="BX118" s="1791">
        <f t="shared" si="1367"/>
        <v>0</v>
      </c>
      <c r="BY118" s="1808">
        <f t="shared" si="1368"/>
        <v>0</v>
      </c>
      <c r="BZ118" s="1807">
        <f t="shared" si="1369"/>
        <v>0</v>
      </c>
      <c r="CA118" s="1807">
        <f t="shared" si="1370"/>
        <v>0</v>
      </c>
      <c r="CB118" s="1806">
        <f t="shared" si="1371"/>
        <v>0</v>
      </c>
      <c r="CC118" s="1791">
        <f t="shared" si="1372"/>
        <v>0</v>
      </c>
      <c r="CD118" s="1808">
        <f t="shared" si="1373"/>
        <v>0</v>
      </c>
      <c r="CE118" s="1807">
        <f t="shared" si="1374"/>
        <v>0</v>
      </c>
      <c r="CF118" s="1807">
        <f t="shared" si="1375"/>
        <v>0</v>
      </c>
      <c r="CG118" s="1806">
        <f t="shared" si="1376"/>
        <v>0</v>
      </c>
      <c r="CH118" s="1791">
        <f t="shared" si="1377"/>
        <v>0</v>
      </c>
      <c r="CI118" s="1808">
        <f t="shared" si="1378"/>
        <v>0</v>
      </c>
      <c r="CJ118" s="1807">
        <f t="shared" si="1379"/>
        <v>0</v>
      </c>
      <c r="CK118" s="1807">
        <f t="shared" si="1380"/>
        <v>0</v>
      </c>
      <c r="CL118" s="1806">
        <f t="shared" si="1381"/>
        <v>0</v>
      </c>
      <c r="CM118" s="1791">
        <f t="shared" si="1382"/>
        <v>0</v>
      </c>
      <c r="CN118" s="1808">
        <f t="shared" si="1383"/>
        <v>0</v>
      </c>
      <c r="CO118" s="1807">
        <f t="shared" si="1384"/>
        <v>0</v>
      </c>
      <c r="CP118" s="1807">
        <f t="shared" si="1385"/>
        <v>0</v>
      </c>
      <c r="CQ118" s="1806">
        <f t="shared" si="1386"/>
        <v>0</v>
      </c>
      <c r="CR118" s="1791">
        <f t="shared" si="1387"/>
        <v>0</v>
      </c>
      <c r="CS118" s="1808">
        <f t="shared" si="1388"/>
        <v>0</v>
      </c>
      <c r="CT118" s="1807">
        <f t="shared" si="1389"/>
        <v>0</v>
      </c>
      <c r="CU118" s="1807">
        <f t="shared" si="1390"/>
        <v>0</v>
      </c>
      <c r="CV118" s="1806">
        <f t="shared" si="1391"/>
        <v>0</v>
      </c>
      <c r="CW118" s="1791">
        <f t="shared" si="1392"/>
        <v>0</v>
      </c>
      <c r="CX118" s="1808">
        <f t="shared" si="1393"/>
        <v>0</v>
      </c>
      <c r="CY118" s="1807">
        <f t="shared" si="1394"/>
        <v>0</v>
      </c>
      <c r="CZ118" s="1807">
        <f t="shared" si="1395"/>
        <v>0</v>
      </c>
      <c r="DA118" s="1806">
        <f t="shared" si="1396"/>
        <v>0</v>
      </c>
      <c r="DB118" s="1791">
        <f t="shared" si="1397"/>
        <v>0</v>
      </c>
      <c r="DC118" s="1808">
        <f t="shared" si="1398"/>
        <v>0</v>
      </c>
      <c r="DD118" s="1807">
        <f t="shared" si="1399"/>
        <v>0</v>
      </c>
      <c r="DE118" s="1807">
        <f t="shared" si="1400"/>
        <v>0</v>
      </c>
      <c r="DF118" s="1806">
        <f t="shared" si="1401"/>
        <v>0</v>
      </c>
      <c r="DG118" s="1791">
        <f t="shared" si="1402"/>
        <v>0</v>
      </c>
      <c r="DH118" s="1808">
        <f t="shared" si="1403"/>
        <v>0</v>
      </c>
      <c r="DI118" s="1807">
        <f t="shared" si="1404"/>
        <v>0</v>
      </c>
      <c r="DJ118" s="1807">
        <f t="shared" si="1405"/>
        <v>0</v>
      </c>
      <c r="DK118" s="1806">
        <f t="shared" si="1406"/>
        <v>0</v>
      </c>
      <c r="DL118" s="1791">
        <f t="shared" si="1407"/>
        <v>0</v>
      </c>
      <c r="DM118" s="1808">
        <f t="shared" si="1408"/>
        <v>0</v>
      </c>
      <c r="DN118" s="1807">
        <f t="shared" si="1409"/>
        <v>0</v>
      </c>
      <c r="DO118" s="1807">
        <f t="shared" si="1410"/>
        <v>0</v>
      </c>
      <c r="DP118" s="1806">
        <f t="shared" si="1411"/>
        <v>0</v>
      </c>
      <c r="DQ118" s="1791">
        <f t="shared" si="1412"/>
        <v>0</v>
      </c>
      <c r="DR118" s="1808">
        <f t="shared" si="1413"/>
        <v>0</v>
      </c>
      <c r="DS118" s="1807">
        <f t="shared" si="1414"/>
        <v>0</v>
      </c>
      <c r="DT118" s="1807">
        <f t="shared" si="1415"/>
        <v>0</v>
      </c>
      <c r="DU118" s="1806">
        <f t="shared" si="1416"/>
        <v>0</v>
      </c>
      <c r="DV118" s="1791">
        <f t="shared" si="1417"/>
        <v>0</v>
      </c>
    </row>
    <row r="119" spans="1:126">
      <c r="A119" s="455"/>
      <c r="B119" s="455"/>
      <c r="C119" s="1363" t="s">
        <v>794</v>
      </c>
      <c r="D119" s="455"/>
      <c r="E119" s="1817">
        <f t="shared" ref="E119:E121" si="1419">IF(F119=0,G119,F119)</f>
        <v>100</v>
      </c>
      <c r="F119" s="1435">
        <v>100</v>
      </c>
      <c r="G119" s="1435">
        <v>100</v>
      </c>
      <c r="H119" s="1350">
        <v>2024</v>
      </c>
      <c r="I119" s="1337">
        <v>3.7499999999999999E-2</v>
      </c>
      <c r="J119" s="1343">
        <v>7</v>
      </c>
      <c r="K119" s="1792"/>
      <c r="L119" s="1810">
        <f t="shared" si="1306"/>
        <v>0</v>
      </c>
      <c r="M119" s="1791">
        <f t="shared" si="1306"/>
        <v>0</v>
      </c>
      <c r="N119" s="1808">
        <f t="shared" ref="N119:N120" si="1420">IF(R119=0,0,IF(R119&lt;0,IF($J119=3,R119,IF($J119=2,R119,IF($J119=1,R119,0)))))</f>
        <v>0</v>
      </c>
      <c r="O119" s="1807">
        <f t="shared" ref="O119:O120" si="1421">IF(R119=0,0,IF(R119&lt;0,IF($J119=6,R119,IF($J119=5,R119,IF($J119=4,R119,0)))))</f>
        <v>0</v>
      </c>
      <c r="P119" s="1807">
        <f t="shared" ref="P119:P120" si="1422">IF(R119=0,0,IF(R119&lt;0,IF($J119=9,R119,IF($J119=8,R119,IF($J119=7,R119,0)))))</f>
        <v>0</v>
      </c>
      <c r="Q119" s="1806">
        <f t="shared" ref="Q119:Q120" si="1423">IF(R119=0,0,IF(R119&lt;0,IF($J119=12,R119,IF($J119=11,R119,IF($J119=10,R119,0)))))</f>
        <v>0</v>
      </c>
      <c r="R119" s="1791">
        <f t="shared" si="1311"/>
        <v>0</v>
      </c>
      <c r="S119" s="1808">
        <f t="shared" ref="S119:S120" si="1424">IF(W119=0,0,IF(W119&lt;0,IF($J119=3,W119,IF($J119=2,W119,IF($J119=1,W119,0)))))</f>
        <v>0</v>
      </c>
      <c r="T119" s="1807">
        <f t="shared" ref="T119:T120" si="1425">IF(W119=0,0,IF(W119&lt;0,IF($J119=6,W119,IF($J119=5,W119,IF($J119=4,W119,0)))))</f>
        <v>0</v>
      </c>
      <c r="U119" s="1807">
        <f t="shared" ref="U119:U120" si="1426">IF(W119=0,0,IF(W119&lt;0,IF($J119=9,W119,IF($J119=8,W119,IF($J119=7,W119,0)))))</f>
        <v>0</v>
      </c>
      <c r="V119" s="1806">
        <f t="shared" ref="V119:V120" si="1427">IF(W119=0,0,IF(W119&lt;0,IF($J119=12,W119,IF($J119=11,W119,IF($J119=10,W119,0)))))</f>
        <v>0</v>
      </c>
      <c r="W119" s="1791">
        <f t="shared" si="1316"/>
        <v>0</v>
      </c>
      <c r="X119" s="1808">
        <f t="shared" ref="X119:X120" si="1428">IF(AB119=0,0,IF(AB119&lt;0,IF($J119=3,AB119,IF($J119=2,AB119,IF($J119=1,AB119,0)))))</f>
        <v>0</v>
      </c>
      <c r="Y119" s="1807">
        <f t="shared" ref="Y119:Y120" si="1429">IF(AB119=0,0,IF(AB119&lt;0,IF($J119=6,AB119,IF($J119=5,AB119,IF($J119=4,AB119,0)))))</f>
        <v>0</v>
      </c>
      <c r="Z119" s="1807">
        <f t="shared" ref="Z119:Z120" si="1430">IF(AB119=0,0,IF(AB119&lt;0,IF($J119=9,AB119,IF($J119=8,AB119,IF($J119=7,AB119,0)))))</f>
        <v>0</v>
      </c>
      <c r="AA119" s="1806">
        <f t="shared" ref="AA119:AA120" si="1431">IF(AB119=0,0,IF(AB119&lt;0,IF($J119=12,AB119,IF($J119=11,AB119,IF($J119=10,AB119,0)))))</f>
        <v>0</v>
      </c>
      <c r="AB119" s="1791">
        <f t="shared" si="1321"/>
        <v>0</v>
      </c>
      <c r="AC119" s="1808">
        <f t="shared" ref="AC119:AC120" si="1432">IF(AG119=0,0,IF(AG119&lt;0,IF($J119=3,AG119,IF($J119=2,AG119,IF($J119=1,AG119,0)))))</f>
        <v>0</v>
      </c>
      <c r="AD119" s="1807">
        <f t="shared" ref="AD119:AD120" si="1433">IF(AG119=0,0,IF(AG119&lt;0,IF($J119=6,AG119,IF($J119=5,AG119,IF($J119=4,AG119,0)))))</f>
        <v>0</v>
      </c>
      <c r="AE119" s="1807">
        <f t="shared" ref="AE119:AE120" si="1434">IF(AG119=0,0,IF(AG119&lt;0,IF($J119=9,AG119,IF($J119=8,AG119,IF($J119=7,AG119,0)))))</f>
        <v>0</v>
      </c>
      <c r="AF119" s="1806">
        <f t="shared" ref="AF119:AF120" si="1435">IF(AG119=0,0,IF(AG119&lt;0,IF($J119=12,AG119,IF($J119=11,AG119,IF($J119=10,AG119,0)))))</f>
        <v>0</v>
      </c>
      <c r="AG119" s="1791">
        <f t="shared" si="1326"/>
        <v>0</v>
      </c>
      <c r="AH119" s="1808">
        <f t="shared" ref="AH119:AH120" si="1436">IF(AL119=0,0,IF(AL119&lt;0,IF($J119=3,AL119,IF($J119=2,AL119,IF($J119=1,AL119,0)))))</f>
        <v>0</v>
      </c>
      <c r="AI119" s="1807">
        <f t="shared" ref="AI119:AI120" si="1437">IF(AL119=0,0,IF(AL119&lt;0,IF($J119=6,AL119,IF($J119=5,AL119,IF($J119=4,AL119,0)))))</f>
        <v>0</v>
      </c>
      <c r="AJ119" s="1807">
        <f t="shared" ref="AJ119:AJ120" si="1438">IF(AL119=0,0,IF(AL119&lt;0,IF($J119=9,AL119,IF($J119=8,AL119,IF($J119=7,AL119,0)))))</f>
        <v>0</v>
      </c>
      <c r="AK119" s="1806">
        <f t="shared" ref="AK119:AK120" si="1439">IF(AL119=0,0,IF(AL119&lt;0,IF($J119=12,AL119,IF($J119=11,AL119,IF($J119=10,AL119,0)))))</f>
        <v>0</v>
      </c>
      <c r="AL119" s="1791">
        <f t="shared" si="1331"/>
        <v>0</v>
      </c>
      <c r="AM119" s="1808">
        <f t="shared" ref="AM119:AM120" si="1440">IF(AQ119=0,0,IF(AQ119&lt;0,IF($J119=3,AQ119,IF($J119=2,AQ119,IF($J119=1,AQ119,0)))))</f>
        <v>0</v>
      </c>
      <c r="AN119" s="1807">
        <f t="shared" ref="AN119:AN120" si="1441">IF(AQ119=0,0,IF(AQ119&lt;0,IF($J119=6,AQ119,IF($J119=5,AQ119,IF($J119=4,AQ119,0)))))</f>
        <v>0</v>
      </c>
      <c r="AO119" s="1807">
        <f t="shared" ref="AO119:AO120" si="1442">IF(AQ119=0,0,IF(AQ119&lt;0,IF($J119=9,AQ119,IF($J119=8,AQ119,IF($J119=7,AQ119,0)))))</f>
        <v>0</v>
      </c>
      <c r="AP119" s="1806">
        <f t="shared" ref="AP119:AP120" si="1443">IF(AQ119=0,0,IF(AQ119&lt;0,IF($J119=12,AQ119,IF($J119=11,AQ119,IF($J119=10,AQ119,0)))))</f>
        <v>0</v>
      </c>
      <c r="AQ119" s="1791">
        <f t="shared" si="1336"/>
        <v>0</v>
      </c>
      <c r="AR119" s="1808">
        <f t="shared" ref="AR119:AR120" si="1444">IF(AV119=0,0,IF(AV119&lt;0,IF($J119=3,AV119,IF($J119=2,AV119,IF($J119=1,AV119,0)))))</f>
        <v>0</v>
      </c>
      <c r="AS119" s="1807">
        <f t="shared" si="1338"/>
        <v>0</v>
      </c>
      <c r="AT119" s="1807">
        <f t="shared" ref="AT119:AT120" si="1445">IF(AV119=0,0,IF(AV119&lt;0,IF($J119=9,AV119,IF($J119=8,AV119,IF($J119=7,AV119,0)))))</f>
        <v>0</v>
      </c>
      <c r="AU119" s="1806">
        <f t="shared" ref="AU119:AU120" si="1446">IF(AV119=0,0,IF(AV119&lt;0,IF($J119=12,AV119,IF($J119=11,AV119,IF($J119=10,AV119,0)))))</f>
        <v>0</v>
      </c>
      <c r="AV119" s="1791">
        <f t="shared" si="1341"/>
        <v>0</v>
      </c>
      <c r="AW119" s="1808">
        <f t="shared" ref="AW119:AW120" si="1447">IF(BA119=0,0,IF(BA119&lt;0,IF($J119=3,BA119,IF($J119=2,BA119,IF($J119=1,BA119,0)))))</f>
        <v>0</v>
      </c>
      <c r="AX119" s="1807">
        <f t="shared" ref="AX119:AX120" si="1448">IF(BA119=0,0,IF(BA119&lt;0,IF($J119=6,BA119,IF($J119=5,BA119,IF($J119=4,BA119,0)))))</f>
        <v>0</v>
      </c>
      <c r="AY119" s="1807">
        <f t="shared" ref="AY119:AY120" si="1449">IF(BA119=0,0,IF(BA119&lt;0,IF($J119=9,BA119,IF($J119=8,BA119,IF($J119=7,BA119,0)))))</f>
        <v>0</v>
      </c>
      <c r="AZ119" s="1806">
        <f t="shared" ref="AZ119:AZ120" si="1450">IF(BA119=0,0,IF(BA119&lt;0,IF($J119=12,BA119,IF($J119=11,BA119,IF($J119=10,BA119,0)))))</f>
        <v>0</v>
      </c>
      <c r="BA119" s="1791">
        <f t="shared" si="1346"/>
        <v>0</v>
      </c>
      <c r="BB119" s="1808">
        <f t="shared" ref="BB119:BB120" si="1451">IF(BF119=0,0,IF(BF119&lt;0,IF($J119=3,BF119,IF($J119=2,BF119,IF($J119=1,BF119,0)))))</f>
        <v>0</v>
      </c>
      <c r="BC119" s="1807">
        <f t="shared" ref="BC119:BC120" si="1452">IF(BF119=0,0,IF(BF119&lt;0,IF($J119=6,BF119,IF($J119=5,BF119,IF($J119=4,BF119,0)))))</f>
        <v>0</v>
      </c>
      <c r="BD119" s="1807">
        <f t="shared" ref="BD119:BD120" si="1453">IF(BF119=0,0,IF(BF119&lt;0,IF($J119=9,BF119,IF($J119=8,BF119,IF($J119=7,BF119,0)))))</f>
        <v>0</v>
      </c>
      <c r="BE119" s="1806">
        <f t="shared" ref="BE119:BE120" si="1454">IF(BF119=0,0,IF(BF119&lt;0,IF($J119=12,BF119,IF($J119=11,BF119,IF($J119=10,BF119,0)))))</f>
        <v>0</v>
      </c>
      <c r="BF119" s="1791">
        <f t="shared" si="1351"/>
        <v>0</v>
      </c>
      <c r="BG119" s="1808">
        <f t="shared" ref="BG119:BG120" si="1455">IF(BK119=0,0,IF(BK119&lt;0,IF($J119=3,BK119,IF($J119=2,BK119,IF($J119=1,BK119,0)))))</f>
        <v>0</v>
      </c>
      <c r="BH119" s="1807">
        <f t="shared" ref="BH119:BH120" si="1456">IF(BK119=0,0,IF(BK119&lt;0,IF($J119=6,BK119,IF($J119=5,BK119,IF($J119=4,BK119,0)))))</f>
        <v>0</v>
      </c>
      <c r="BI119" s="1807">
        <f t="shared" ref="BI119:BI120" si="1457">IF(BK119=0,0,IF(BK119&lt;0,IF($J119=9,BK119,IF($J119=8,BK119,IF($J119=7,BK119,0)))))</f>
        <v>0</v>
      </c>
      <c r="BJ119" s="1806">
        <f t="shared" ref="BJ119:BJ120" si="1458">IF(BK119=0,0,IF(BK119&lt;0,IF($J119=12,BK119,IF($J119=11,BK119,IF($J119=10,BK119,0)))))</f>
        <v>0</v>
      </c>
      <c r="BK119" s="1791">
        <f t="shared" si="1356"/>
        <v>0</v>
      </c>
      <c r="BL119" s="1808">
        <f t="shared" si="1357"/>
        <v>0</v>
      </c>
      <c r="BM119" s="1807">
        <f t="shared" si="1358"/>
        <v>0</v>
      </c>
      <c r="BN119" s="1807">
        <f t="shared" si="1359"/>
        <v>0</v>
      </c>
      <c r="BO119" s="1806">
        <f t="shared" si="1360"/>
        <v>0</v>
      </c>
      <c r="BP119" s="1791">
        <f t="shared" si="1361"/>
        <v>0</v>
      </c>
      <c r="BQ119" s="1827"/>
      <c r="BR119" s="1791">
        <f t="shared" ref="BR119:BR120" si="1459">IF(AND(BQ119&lt;&gt;0,BQ$5=$H119),-$I119*$E119-BQ119,IF(BR$5=$H119,-$I119*$E119*(12-$J119+1)/12,0))</f>
        <v>0</v>
      </c>
      <c r="BS119" s="1791">
        <f t="shared" ref="BS119:BS120" si="1460">IF(AND(BR119&lt;&gt;0,BR$5=$H119),-$I119*$E119-BR119,IF(BS$5=$H119,-$I119*$E119*(12-$J119+1)/12,0))</f>
        <v>0</v>
      </c>
      <c r="BT119" s="1808">
        <f t="shared" ref="BT119:BT120" si="1461">IF($H119&lt;&gt;BX$5,0,IF(BX119&lt;0,IF($J119=1,-$E119*$I119/12*3,IF($J119=2,-$E119*$I119/12*2,IF($J119=3,-$E119*$I119/12*1,0)))))+IF(BS$5&lt;&gt;$H119,0,IF(BS119&lt;0,IF($J119=1,-$E119*$I119/12*0,IF($J119=2,-$E119*$I119/12*1,IF($J119=3,-$E119*$I119/12*2,IF($J119&gt;=4,-$E119*$I119/12*3,0))))))</f>
        <v>0</v>
      </c>
      <c r="BU119" s="1807">
        <f t="shared" ref="BU119:BU120" si="1462">IF($H119&lt;&gt;BX$5,0,IF(BX119&lt;0,IF(OR($J119=1,$J119=2,$J119=3,$J119=4),-$E119*$I119/12*3,IF($J119=5,-$E119*$I119/12*2,IF($J119=6,-$E119*$I119/12*1,0)))))+IF(BS$5&lt;&gt;$H119,0,IF(BS119&lt;0,IF($J119=4,-$E119*$I119/12*0,IF($J119=5,-$E119*$I119/12*1,IF($J119=6,-$E119*$I119/12*2,IF($J119&gt;=7,-$E119*$I119/12*3,0))))))</f>
        <v>0</v>
      </c>
      <c r="BV119" s="1807">
        <f t="shared" ref="BV119:BV120" si="1463">IF($H119&lt;&gt;BX$5,0,IF(BX119&lt;0,IF(OR($J119=1,$J119=2,$J119=3,$J119=4,$J119=5,$J119=6,$J119=7),-$E119*$I119/12*3,IF($J119=8,-$E119*$I119/12*2,IF($J119=9,-$E119*$I119/12*1,0)))))+IF(BS$5&lt;&gt;$H119,0,IF(BS119&lt;0,IF($J119=7,-$E119*$I119/12*0,IF($J119=8,-$E119*$I119/12*1,IF($J119=9,-$E119*$I119/12*2,IF($J119&gt;=10,-$E119*$I119/12*3,0))))))</f>
        <v>0</v>
      </c>
      <c r="BW119" s="1806">
        <f t="shared" ref="BW119:BW120" si="1464">IF($H119&lt;&gt;BX$5,0,IF(BX119&lt;0,IF(OR($J119=1,$J119=2,$J119=3,$J119=4,$J119=5,$J119=6,$J119=7,$J119=8,$J119=9,$J119=10),-$E119*$I119/12*3,IF($J119=11,-$E119*$I119/12*2,IF($J119=12,-$E119*$I119/12*1,0)))))+IF(BS$5&lt;&gt;$H119,0,IF(BS119&lt;0,IF($J119=10,-$E119*$I119/12*0,IF($J119=11,-$E119*$I119/12*1,IF($J119=12,-$E119*$I119/12*2,0)))))</f>
        <v>0</v>
      </c>
      <c r="BX119" s="1791">
        <f t="shared" ref="BX119:BX120" si="1465">IF(AND(BS119&lt;&gt;0,BS$5=$H119),-$I119*$E119-BS119,IF(BX$5=$H119,-$I119*$E119*(12-$J119+1)/12,0))</f>
        <v>0</v>
      </c>
      <c r="BY119" s="1808">
        <f t="shared" ref="BY119:BY120" si="1466">IF($H119&lt;&gt;CC$5,0,IF(CC119&lt;0,IF($J119=1,-$E119*$I119/12*3,IF($J119=2,-$E119*$I119/12*2,IF($J119=3,-$E119*$I119/12*1,0)))))+IF(BX$5&lt;&gt;$H119,0,IF(BX119&lt;0,IF($J119=1,-$E119*$I119/12*0,IF($J119=2,-$E119*$I119/12*1,IF($J119=3,-$E119*$I119/12*2,IF($J119&gt;=4,-$E119*$I119/12*3,0))))))</f>
        <v>0</v>
      </c>
      <c r="BZ119" s="1807">
        <f t="shared" ref="BZ119:BZ120" si="1467">IF($H119&lt;&gt;CC$5,0,IF(CC119&lt;0,IF(OR($J119=1,$J119=2,$J119=3,$J119=4),-$E119*$I119/12*3,IF($J119=5,-$E119*$I119/12*2,IF($J119=6,-$E119*$I119/12*1,0)))))+IF(BX$5&lt;&gt;$H119,0,IF(BX119&lt;0,IF($J119=4,-$E119*$I119/12*0,IF($J119=5,-$E119*$I119/12*1,IF($J119=6,-$E119*$I119/12*2,IF($J119&gt;=7,-$E119*$I119/12*3,0))))))</f>
        <v>0</v>
      </c>
      <c r="CA119" s="1807">
        <f t="shared" ref="CA119:CA120" si="1468">IF($H119&lt;&gt;CC$5,0,IF(CC119&lt;0,IF(OR($J119=1,$J119=2,$J119=3,$J119=4,$J119=5,$J119=6,$J119=7),-$E119*$I119/12*3,IF($J119=8,-$E119*$I119/12*2,IF($J119=9,-$E119*$I119/12*1,0)))))+IF(BX$5&lt;&gt;$H119,0,IF(BX119&lt;0,IF($J119=7,-$E119*$I119/12*0,IF($J119=8,-$E119*$I119/12*1,IF($J119=9,-$E119*$I119/12*2,IF($J119&gt;=10,-$E119*$I119/12*3,0))))))</f>
        <v>0</v>
      </c>
      <c r="CB119" s="1806">
        <f t="shared" ref="CB119:CB120" si="1469">IF($H119&lt;&gt;CC$5,0,IF(CC119&lt;0,IF(OR($J119=1,$J119=2,$J119=3,$J119=4,$J119=5,$J119=6,$J119=7,$J119=8,$J119=9,$J119=10),-$E119*$I119/12*3,IF($J119=11,-$E119*$I119/12*2,IF($J119=12,-$E119*$I119/12*1,0)))))+IF(BX$5&lt;&gt;$H119,0,IF(BX119&lt;0,IF($J119=10,-$E119*$I119/12*0,IF($J119=11,-$E119*$I119/12*1,IF($J119=12,-$E119*$I119/12*2,0)))))</f>
        <v>0</v>
      </c>
      <c r="CC119" s="1791">
        <f t="shared" ref="CC119:CC120" si="1470">IF(AND(BX119&lt;&gt;0,BX$5=$H119),-$I119*$E119-BX119,IF(CC$5=$H119,-$I119*$E119*(12-$J119+1)/12,0))</f>
        <v>0</v>
      </c>
      <c r="CD119" s="1808">
        <f t="shared" ref="CD119:CD120" si="1471">IF($H119&lt;&gt;CH$5,0,IF(CH119&lt;0,IF($J119=1,-$E119*$I119/12*3,IF($J119=2,-$E119*$I119/12*2,IF($J119=3,-$E119*$I119/12*1,0)))))+IF(CC$5&lt;&gt;$H119,0,IF(CC119&lt;0,IF($J119=1,-$E119*$I119/12*0,IF($J119=2,-$E119*$I119/12*1,IF($J119=3,-$E119*$I119/12*2,IF($J119&gt;=4,-$E119*$I119/12*3,0))))))</f>
        <v>0</v>
      </c>
      <c r="CE119" s="1807">
        <f t="shared" ref="CE119:CE120" si="1472">IF($H119&lt;&gt;CH$5,0,IF(CH119&lt;0,IF(OR($J119=1,$J119=2,$J119=3,$J119=4),-$E119*$I119/12*3,IF($J119=5,-$E119*$I119/12*2,IF($J119=6,-$E119*$I119/12*1,0)))))+IF(CC$5&lt;&gt;$H119,0,IF(CC119&lt;0,IF($J119=4,-$E119*$I119/12*0,IF($J119=5,-$E119*$I119/12*1,IF($J119=6,-$E119*$I119/12*2,IF($J119&gt;=7,-$E119*$I119/12*3,0))))))</f>
        <v>0</v>
      </c>
      <c r="CF119" s="1807">
        <f t="shared" ref="CF119:CF120" si="1473">IF($H119&lt;&gt;CH$5,0,IF(CH119&lt;0,IF(OR($J119=1,$J119=2,$J119=3,$J119=4,$J119=5,$J119=6,$J119=7),-$E119*$I119/12*3,IF($J119=8,-$E119*$I119/12*2,IF($J119=9,-$E119*$I119/12*1,0)))))+IF(CC$5&lt;&gt;$H119,0,IF(CC119&lt;0,IF($J119=7,-$E119*$I119/12*0,IF($J119=8,-$E119*$I119/12*1,IF($J119=9,-$E119*$I119/12*2,IF($J119&gt;=10,-$E119*$I119/12*3,0))))))</f>
        <v>0</v>
      </c>
      <c r="CG119" s="1806">
        <f t="shared" ref="CG119:CG120" si="1474">IF($H119&lt;&gt;CH$5,0,IF(CH119&lt;0,IF(OR($J119=1,$J119=2,$J119=3,$J119=4,$J119=5,$J119=6,$J119=7,$J119=8,$J119=9,$J119=10),-$E119*$I119/12*3,IF($J119=11,-$E119*$I119/12*2,IF($J119=12,-$E119*$I119/12*1,0)))))+IF(CC$5&lt;&gt;$H119,0,IF(CC119&lt;0,IF($J119=10,-$E119*$I119/12*0,IF($J119=11,-$E119*$I119/12*1,IF($J119=12,-$E119*$I119/12*2,0)))))</f>
        <v>0</v>
      </c>
      <c r="CH119" s="1791">
        <f t="shared" ref="CH119:CH120" si="1475">IF(AND(CC119&lt;&gt;0,CC$5=$H119),-$I119*$E119-CC119,IF(CH$5=$H119,-$I119*$E119*(12-$J119+1)/12,0))</f>
        <v>0</v>
      </c>
      <c r="CI119" s="1808">
        <f t="shared" ref="CI119:CI120" si="1476">IF($H119&lt;&gt;CM$5,0,IF(CM119&lt;0,IF($J119=1,-$E119*$I119/12*3,IF($J119=2,-$E119*$I119/12*2,IF($J119=3,-$E119*$I119/12*1,0)))))+IF(CH$5&lt;&gt;$H119,0,IF(CH119&lt;0,IF($J119=1,-$E119*$I119/12*0,IF($J119=2,-$E119*$I119/12*1,IF($J119=3,-$E119*$I119/12*2,IF($J119&gt;=4,-$E119*$I119/12*3,0))))))</f>
        <v>0</v>
      </c>
      <c r="CJ119" s="1807">
        <f t="shared" ref="CJ119:CJ120" si="1477">IF($H119&lt;&gt;CM$5,0,IF(CM119&lt;0,IF(OR($J119=1,$J119=2,$J119=3,$J119=4),-$E119*$I119/12*3,IF($J119=5,-$E119*$I119/12*2,IF($J119=6,-$E119*$I119/12*1,0)))))+IF(CH$5&lt;&gt;$H119,0,IF(CH119&lt;0,IF($J119=4,-$E119*$I119/12*0,IF($J119=5,-$E119*$I119/12*1,IF($J119=6,-$E119*$I119/12*2,IF($J119&gt;=7,-$E119*$I119/12*3,0))))))</f>
        <v>0</v>
      </c>
      <c r="CK119" s="1807">
        <f t="shared" ref="CK119:CK120" si="1478">IF($H119&lt;&gt;CM$5,0,IF(CM119&lt;0,IF(OR($J119=1,$J119=2,$J119=3,$J119=4,$J119=5,$J119=6,$J119=7),-$E119*$I119/12*3,IF($J119=8,-$E119*$I119/12*2,IF($J119=9,-$E119*$I119/12*1,0)))))+IF(CH$5&lt;&gt;$H119,0,IF(CH119&lt;0,IF($J119=7,-$E119*$I119/12*0,IF($J119=8,-$E119*$I119/12*1,IF($J119=9,-$E119*$I119/12*2,IF($J119&gt;=10,-$E119*$I119/12*3,0))))))</f>
        <v>0</v>
      </c>
      <c r="CL119" s="1806">
        <f t="shared" ref="CL119:CL120" si="1479">IF($H119&lt;&gt;CM$5,0,IF(CM119&lt;0,IF(OR($J119=1,$J119=2,$J119=3,$J119=4,$J119=5,$J119=6,$J119=7,$J119=8,$J119=9,$J119=10),-$E119*$I119/12*3,IF($J119=11,-$E119*$I119/12*2,IF($J119=12,-$E119*$I119/12*1,0)))))+IF(CH$5&lt;&gt;$H119,0,IF(CH119&lt;0,IF($J119=10,-$E119*$I119/12*0,IF($J119=11,-$E119*$I119/12*1,IF($J119=12,-$E119*$I119/12*2,0)))))</f>
        <v>0</v>
      </c>
      <c r="CM119" s="1791">
        <f t="shared" ref="CM119:CM120" si="1480">IF(AND(CH119&lt;&gt;0,CH$5=$H119),-$I119*$E119-CH119,IF(CM$5=$H119,-$I119*$E119*(12-$J119+1)/12,0))</f>
        <v>0</v>
      </c>
      <c r="CN119" s="1808">
        <f t="shared" ref="CN119:CN120" si="1481">IF($H119&lt;&gt;CR$5,0,IF(CR119&lt;0,IF($J119=1,-$E119*$I119/12*3,IF($J119=2,-$E119*$I119/12*2,IF($J119=3,-$E119*$I119/12*1,0)))))+IF(CM$5&lt;&gt;$H119,0,IF(CM119&lt;0,IF($J119=1,-$E119*$I119/12*0,IF($J119=2,-$E119*$I119/12*1,IF($J119=3,-$E119*$I119/12*2,IF($J119&gt;=4,-$E119*$I119/12*3,0))))))</f>
        <v>0</v>
      </c>
      <c r="CO119" s="1807">
        <f t="shared" ref="CO119:CO120" si="1482">IF($H119&lt;&gt;CR$5,0,IF(CR119&lt;0,IF(OR($J119=1,$J119=2,$J119=3,$J119=4),-$E119*$I119/12*3,IF($J119=5,-$E119*$I119/12*2,IF($J119=6,-$E119*$I119/12*1,0)))))+IF(CM$5&lt;&gt;$H119,0,IF(CM119&lt;0,IF($J119=4,-$E119*$I119/12*0,IF($J119=5,-$E119*$I119/12*1,IF($J119=6,-$E119*$I119/12*2,IF($J119&gt;=7,-$E119*$I119/12*3,0))))))</f>
        <v>0</v>
      </c>
      <c r="CP119" s="1807">
        <f t="shared" ref="CP119:CP120" si="1483">IF($H119&lt;&gt;CR$5,0,IF(CR119&lt;0,IF(OR($J119=1,$J119=2,$J119=3,$J119=4,$J119=5,$J119=6,$J119=7),-$E119*$I119/12*3,IF($J119=8,-$E119*$I119/12*2,IF($J119=9,-$E119*$I119/12*1,0)))))+IF(CM$5&lt;&gt;$H119,0,IF(CM119&lt;0,IF($J119=7,-$E119*$I119/12*0,IF($J119=8,-$E119*$I119/12*1,IF($J119=9,-$E119*$I119/12*2,IF($J119&gt;=10,-$E119*$I119/12*3,0))))))</f>
        <v>0</v>
      </c>
      <c r="CQ119" s="1806">
        <f t="shared" ref="CQ119:CQ120" si="1484">IF($H119&lt;&gt;CR$5,0,IF(CR119&lt;0,IF(OR($J119=1,$J119=2,$J119=3,$J119=4,$J119=5,$J119=6,$J119=7,$J119=8,$J119=9,$J119=10),-$E119*$I119/12*3,IF($J119=11,-$E119*$I119/12*2,IF($J119=12,-$E119*$I119/12*1,0)))))+IF(CM$5&lt;&gt;$H119,0,IF(CM119&lt;0,IF($J119=10,-$E119*$I119/12*0,IF($J119=11,-$E119*$I119/12*1,IF($J119=12,-$E119*$I119/12*2,0)))))</f>
        <v>0</v>
      </c>
      <c r="CR119" s="1791">
        <f t="shared" ref="CR119:CR120" si="1485">IF(AND(CM119&lt;&gt;0,CM$5=$H119),-$I119*$E119-CM119,IF(CR$5=$H119,-$I119*$E119*(12-$J119+1)/12,0))</f>
        <v>0</v>
      </c>
      <c r="CS119" s="1808">
        <f t="shared" ref="CS119:CS120" si="1486">IF($H119&lt;&gt;CW$5,0,IF(CW119&lt;0,IF($J119=1,-$E119*$I119/12*3,IF($J119=2,-$E119*$I119/12*2,IF($J119=3,-$E119*$I119/12*1,0)))))+IF(CR$5&lt;&gt;$H119,0,IF(CR119&lt;0,IF($J119=1,-$E119*$I119/12*0,IF($J119=2,-$E119*$I119/12*1,IF($J119=3,-$E119*$I119/12*2,IF($J119&gt;=4,-$E119*$I119/12*3,0))))))</f>
        <v>0</v>
      </c>
      <c r="CT119" s="1807">
        <f t="shared" ref="CT119:CT120" si="1487">IF($H119&lt;&gt;CW$5,0,IF(CW119&lt;0,IF(OR($J119=1,$J119=2,$J119=3,$J119=4),-$E119*$I119/12*3,IF($J119=5,-$E119*$I119/12*2,IF($J119=6,-$E119*$I119/12*1,0)))))+IF(CR$5&lt;&gt;$H119,0,IF(CR119&lt;0,IF($J119=4,-$E119*$I119/12*0,IF($J119=5,-$E119*$I119/12*1,IF($J119=6,-$E119*$I119/12*2,IF($J119&gt;=7,-$E119*$I119/12*3,0))))))</f>
        <v>0</v>
      </c>
      <c r="CU119" s="1807">
        <f t="shared" ref="CU119:CU120" si="1488">IF($H119&lt;&gt;CW$5,0,IF(CW119&lt;0,IF(OR($J119=1,$J119=2,$J119=3,$J119=4,$J119=5,$J119=6,$J119=7),-$E119*$I119/12*3,IF($J119=8,-$E119*$I119/12*2,IF($J119=9,-$E119*$I119/12*1,0)))))+IF(CR$5&lt;&gt;$H119,0,IF(CR119&lt;0,IF($J119=7,-$E119*$I119/12*0,IF($J119=8,-$E119*$I119/12*1,IF($J119=9,-$E119*$I119/12*2,IF($J119&gt;=10,-$E119*$I119/12*3,0))))))</f>
        <v>0</v>
      </c>
      <c r="CV119" s="1806">
        <f t="shared" ref="CV119:CV120" si="1489">IF($H119&lt;&gt;CW$5,0,IF(CW119&lt;0,IF(OR($J119=1,$J119=2,$J119=3,$J119=4,$J119=5,$J119=6,$J119=7,$J119=8,$J119=9,$J119=10),-$E119*$I119/12*3,IF($J119=11,-$E119*$I119/12*2,IF($J119=12,-$E119*$I119/12*1,0)))))+IF(CR$5&lt;&gt;$H119,0,IF(CR119&lt;0,IF($J119=10,-$E119*$I119/12*0,IF($J119=11,-$E119*$I119/12*1,IF($J119=12,-$E119*$I119/12*2,0)))))</f>
        <v>0</v>
      </c>
      <c r="CW119" s="1791">
        <f t="shared" ref="CW119:CW120" si="1490">IF(AND(CR119&lt;&gt;0,CR$5=$H119),-$I119*$E119-CR119,IF(CW$5=$H119,-$I119*$E119*(12-$J119+1)/12,0))</f>
        <v>0</v>
      </c>
      <c r="CX119" s="1808">
        <f t="shared" ref="CX119:CX120" si="1491">IF($H119&lt;&gt;DB$5,0,IF(DB119&lt;0,IF($J119=1,-$E119*$I119/12*3,IF($J119=2,-$E119*$I119/12*2,IF($J119=3,-$E119*$I119/12*1,0)))))+IF(CW$5&lt;&gt;$H119,0,IF(CW119&lt;0,IF($J119=1,-$E119*$I119/12*0,IF($J119=2,-$E119*$I119/12*1,IF($J119=3,-$E119*$I119/12*2,IF($J119&gt;=4,-$E119*$I119/12*3,0))))))</f>
        <v>0</v>
      </c>
      <c r="CY119" s="1807">
        <f t="shared" ref="CY119:CY120" si="1492">IF($H119&lt;&gt;DB$5,0,IF(DB119&lt;0,IF(OR($J119=1,$J119=2,$J119=3,$J119=4),-$E119*$I119/12*3,IF($J119=5,-$E119*$I119/12*2,IF($J119=6,-$E119*$I119/12*1,0)))))+IF(CW$5&lt;&gt;$H119,0,IF(CW119&lt;0,IF($J119=4,-$E119*$I119/12*0,IF($J119=5,-$E119*$I119/12*1,IF($J119=6,-$E119*$I119/12*2,IF($J119&gt;=7,-$E119*$I119/12*3,0))))))</f>
        <v>0</v>
      </c>
      <c r="CZ119" s="1807">
        <f t="shared" ref="CZ119:CZ120" si="1493">IF($H119&lt;&gt;DB$5,0,IF(DB119&lt;0,IF(OR($J119=1,$J119=2,$J119=3,$J119=4,$J119=5,$J119=6,$J119=7),-$E119*$I119/12*3,IF($J119=8,-$E119*$I119/12*2,IF($J119=9,-$E119*$I119/12*1,0)))))+IF(CW$5&lt;&gt;$H119,0,IF(CW119&lt;0,IF($J119=7,-$E119*$I119/12*0,IF($J119=8,-$E119*$I119/12*1,IF($J119=9,-$E119*$I119/12*2,IF($J119&gt;=10,-$E119*$I119/12*3,0))))))</f>
        <v>0</v>
      </c>
      <c r="DA119" s="1806">
        <f t="shared" ref="DA119:DA120" si="1494">IF($H119&lt;&gt;DB$5,0,IF(DB119&lt;0,IF(OR($J119=1,$J119=2,$J119=3,$J119=4,$J119=5,$J119=6,$J119=7,$J119=8,$J119=9,$J119=10),-$E119*$I119/12*3,IF($J119=11,-$E119*$I119/12*2,IF($J119=12,-$E119*$I119/12*1,0)))))+IF(CW$5&lt;&gt;$H119,0,IF(CW119&lt;0,IF($J119=10,-$E119*$I119/12*0,IF($J119=11,-$E119*$I119/12*1,IF($J119=12,-$E119*$I119/12*2,0)))))</f>
        <v>0</v>
      </c>
      <c r="DB119" s="1791">
        <f t="shared" ref="DB119:DB120" si="1495">IF(AND(CW119&lt;&gt;0,CW$5=$H119),-$I119*$E119-CW119,IF(DB$5=$H119,-$I119*$E119*(12-$J119+1)/12,0))</f>
        <v>0</v>
      </c>
      <c r="DC119" s="1808">
        <f t="shared" ref="DC119:DC120" si="1496">IF($H119&lt;&gt;DG$5,0,IF(DG119&lt;0,IF($J119=1,-$E119*$I119/12*3,IF($J119=2,-$E119*$I119/12*2,IF($J119=3,-$E119*$I119/12*1,0)))))+IF(DB$5&lt;&gt;$H119,0,IF(DB119&lt;0,IF($J119=1,-$E119*$I119/12*0,IF($J119=2,-$E119*$I119/12*1,IF($J119=3,-$E119*$I119/12*2,IF($J119&gt;=4,-$E119*$I119/12*3,0))))))</f>
        <v>0</v>
      </c>
      <c r="DD119" s="1807">
        <f t="shared" ref="DD119:DD120" si="1497">IF($H119&lt;&gt;DG$5,0,IF(DG119&lt;0,IF(OR($J119=1,$J119=2,$J119=3,$J119=4),-$E119*$I119/12*3,IF($J119=5,-$E119*$I119/12*2,IF($J119=6,-$E119*$I119/12*1,0)))))+IF(DB$5&lt;&gt;$H119,0,IF(DB119&lt;0,IF($J119=4,-$E119*$I119/12*0,IF($J119=5,-$E119*$I119/12*1,IF($J119=6,-$E119*$I119/12*2,IF($J119&gt;=7,-$E119*$I119/12*3,0))))))</f>
        <v>0</v>
      </c>
      <c r="DE119" s="1807">
        <f t="shared" ref="DE119:DE120" si="1498">IF($H119&lt;&gt;DG$5,0,IF(DG119&lt;0,IF(OR($J119=1,$J119=2,$J119=3,$J119=4,$J119=5,$J119=6,$J119=7),-$E119*$I119/12*3,IF($J119=8,-$E119*$I119/12*2,IF($J119=9,-$E119*$I119/12*1,0)))))+IF(DB$5&lt;&gt;$H119,0,IF(DB119&lt;0,IF($J119=7,-$E119*$I119/12*0,IF($J119=8,-$E119*$I119/12*1,IF($J119=9,-$E119*$I119/12*2,IF($J119&gt;=10,-$E119*$I119/12*3,0))))))</f>
        <v>0</v>
      </c>
      <c r="DF119" s="1806">
        <f t="shared" ref="DF119:DF120" si="1499">IF($H119&lt;&gt;DG$5,0,IF(DG119&lt;0,IF(OR($J119=1,$J119=2,$J119=3,$J119=4,$J119=5,$J119=6,$J119=7,$J119=8,$J119=9,$J119=10),-$E119*$I119/12*3,IF($J119=11,-$E119*$I119/12*2,IF($J119=12,-$E119*$I119/12*1,0)))))+IF(DB$5&lt;&gt;$H119,0,IF(DB119&lt;0,IF($J119=10,-$E119*$I119/12*0,IF($J119=11,-$E119*$I119/12*1,IF($J119=12,-$E119*$I119/12*2,0)))))</f>
        <v>0</v>
      </c>
      <c r="DG119" s="1791">
        <f t="shared" ref="DG119:DG120" si="1500">IF(AND(DB119&lt;&gt;0,DB$5=$H119),-$I119*$E119-DB119,IF(DG$5=$H119,-$I119*$E119*(12-$J119+1)/12,0))</f>
        <v>0</v>
      </c>
      <c r="DH119" s="1808">
        <f t="shared" ref="DH119:DH120" si="1501">IF($H119&lt;&gt;DL$5,0,IF(DL119&lt;0,IF($J119=1,-$E119*$I119/12*3,IF($J119=2,-$E119*$I119/12*2,IF($J119=3,-$E119*$I119/12*1,0)))))+IF(DG$5&lt;&gt;$H119,0,IF(DG119&lt;0,IF($J119=1,-$E119*$I119/12*0,IF($J119=2,-$E119*$I119/12*1,IF($J119=3,-$E119*$I119/12*2,IF($J119&gt;=4,-$E119*$I119/12*3,0))))))</f>
        <v>0</v>
      </c>
      <c r="DI119" s="1807">
        <f t="shared" ref="DI119:DI120" si="1502">IF($H119&lt;&gt;DL$5,0,IF(DL119&lt;0,IF(OR($J119=1,$J119=2,$J119=3,$J119=4),-$E119*$I119/12*3,IF($J119=5,-$E119*$I119/12*2,IF($J119=6,-$E119*$I119/12*1,0)))))+IF(DG$5&lt;&gt;$H119,0,IF(DG119&lt;0,IF($J119=4,-$E119*$I119/12*0,IF($J119=5,-$E119*$I119/12*1,IF($J119=6,-$E119*$I119/12*2,IF($J119&gt;=7,-$E119*$I119/12*3,0))))))</f>
        <v>0</v>
      </c>
      <c r="DJ119" s="1807">
        <f t="shared" ref="DJ119:DJ120" si="1503">IF($H119&lt;&gt;DL$5,0,IF(DL119&lt;0,IF(OR($J119=1,$J119=2,$J119=3,$J119=4,$J119=5,$J119=6,$J119=7),-$E119*$I119/12*3,IF($J119=8,-$E119*$I119/12*2,IF($J119=9,-$E119*$I119/12*1,0)))))+IF(DG$5&lt;&gt;$H119,0,IF(DG119&lt;0,IF($J119=7,-$E119*$I119/12*0,IF($J119=8,-$E119*$I119/12*1,IF($J119=9,-$E119*$I119/12*2,IF($J119&gt;=10,-$E119*$I119/12*3,0))))))</f>
        <v>0</v>
      </c>
      <c r="DK119" s="1806">
        <f t="shared" ref="DK119:DK120" si="1504">IF($H119&lt;&gt;DL$5,0,IF(DL119&lt;0,IF(OR($J119=1,$J119=2,$J119=3,$J119=4,$J119=5,$J119=6,$J119=7,$J119=8,$J119=9,$J119=10),-$E119*$I119/12*3,IF($J119=11,-$E119*$I119/12*2,IF($J119=12,-$E119*$I119/12*1,0)))))+IF(DG$5&lt;&gt;$H119,0,IF(DG119&lt;0,IF($J119=10,-$E119*$I119/12*0,IF($J119=11,-$E119*$I119/12*1,IF($J119=12,-$E119*$I119/12*2,0)))))</f>
        <v>0</v>
      </c>
      <c r="DL119" s="1791">
        <f t="shared" ref="DL119:DL120" si="1505">IF(AND(DG119&lt;&gt;0,DG$5=$H119),-$I119*$E119-DG119,IF(DL$5=$H119,-$I119*$E119*(12-$J119+1)/12,0))</f>
        <v>0</v>
      </c>
      <c r="DM119" s="1808">
        <f t="shared" ref="DM119:DM120" si="1506">IF($H119&lt;&gt;DQ$5,0,IF(DQ119&lt;0,IF($J119=1,-$E119*$I119/12*3,IF($J119=2,-$E119*$I119/12*2,IF($J119=3,-$E119*$I119/12*1,0)))))+IF(DL$5&lt;&gt;$H119,0,IF(DL119&lt;0,IF($J119=1,-$E119*$I119/12*0,IF($J119=2,-$E119*$I119/12*1,IF($J119=3,-$E119*$I119/12*2,IF($J119&gt;=4,-$E119*$I119/12*3,0))))))</f>
        <v>0</v>
      </c>
      <c r="DN119" s="1807">
        <f t="shared" ref="DN119:DN120" si="1507">IF($H119&lt;&gt;DQ$5,0,IF(DQ119&lt;0,IF(OR($J119=1,$J119=2,$J119=3,$J119=4),-$E119*$I119/12*3,IF($J119=5,-$E119*$I119/12*2,IF($J119=6,-$E119*$I119/12*1,0)))))+IF(DL$5&lt;&gt;$H119,0,IF(DL119&lt;0,IF($J119=4,-$E119*$I119/12*0,IF($J119=5,-$E119*$I119/12*1,IF($J119=6,-$E119*$I119/12*2,IF($J119&gt;=7,-$E119*$I119/12*3,0))))))</f>
        <v>0</v>
      </c>
      <c r="DO119" s="1807">
        <f t="shared" ref="DO119:DO120" si="1508">IF($H119&lt;&gt;DQ$5,0,IF(DQ119&lt;0,IF(OR($J119=1,$J119=2,$J119=3,$J119=4,$J119=5,$J119=6,$J119=7),-$E119*$I119/12*3,IF($J119=8,-$E119*$I119/12*2,IF($J119=9,-$E119*$I119/12*1,0)))))+IF(DL$5&lt;&gt;$H119,0,IF(DL119&lt;0,IF($J119=7,-$E119*$I119/12*0,IF($J119=8,-$E119*$I119/12*1,IF($J119=9,-$E119*$I119/12*2,IF($J119&gt;=10,-$E119*$I119/12*3,0))))))</f>
        <v>0</v>
      </c>
      <c r="DP119" s="1806">
        <f t="shared" ref="DP119:DP120" si="1509">IF($H119&lt;&gt;DQ$5,0,IF(DQ119&lt;0,IF(OR($J119=1,$J119=2,$J119=3,$J119=4,$J119=5,$J119=6,$J119=7,$J119=8,$J119=9,$J119=10),-$E119*$I119/12*3,IF($J119=11,-$E119*$I119/12*2,IF($J119=12,-$E119*$I119/12*1,0)))))+IF(DL$5&lt;&gt;$H119,0,IF(DL119&lt;0,IF($J119=10,-$E119*$I119/12*0,IF($J119=11,-$E119*$I119/12*1,IF($J119=12,-$E119*$I119/12*2,0)))))</f>
        <v>0</v>
      </c>
      <c r="DQ119" s="1791">
        <f t="shared" ref="DQ119:DQ120" si="1510">IF(AND(DL119&lt;&gt;0,DL$5=$H119),-$I119*$E119-DL119,IF(DQ$5=$H119,-$I119*$E119*(12-$J119+1)/12,0))</f>
        <v>0</v>
      </c>
      <c r="DR119" s="1808">
        <f t="shared" si="1413"/>
        <v>0</v>
      </c>
      <c r="DS119" s="1807">
        <f t="shared" si="1414"/>
        <v>0</v>
      </c>
      <c r="DT119" s="1807">
        <f t="shared" si="1415"/>
        <v>0</v>
      </c>
      <c r="DU119" s="1806">
        <f t="shared" si="1416"/>
        <v>0</v>
      </c>
      <c r="DV119" s="1791">
        <f t="shared" si="1417"/>
        <v>0</v>
      </c>
    </row>
    <row r="120" spans="1:126">
      <c r="A120" s="455"/>
      <c r="B120" s="455"/>
      <c r="C120" s="1723" t="s">
        <v>1039</v>
      </c>
      <c r="D120" s="94"/>
      <c r="E120" s="1817">
        <f t="shared" ref="E120" si="1511">IF(F120=0,G120,F120)</f>
        <v>150</v>
      </c>
      <c r="F120" s="1435">
        <v>150</v>
      </c>
      <c r="G120" s="1435">
        <v>0</v>
      </c>
      <c r="H120" s="1350">
        <v>2027</v>
      </c>
      <c r="I120" s="1337">
        <v>3.2500000000000001E-2</v>
      </c>
      <c r="J120" s="1343">
        <v>12</v>
      </c>
      <c r="K120" s="1792"/>
      <c r="L120" s="1810">
        <f t="shared" si="1306"/>
        <v>0</v>
      </c>
      <c r="M120" s="1791">
        <f t="shared" si="1306"/>
        <v>0</v>
      </c>
      <c r="N120" s="1808">
        <f t="shared" si="1420"/>
        <v>0</v>
      </c>
      <c r="O120" s="1807">
        <f t="shared" si="1421"/>
        <v>0</v>
      </c>
      <c r="P120" s="1807">
        <f t="shared" si="1422"/>
        <v>0</v>
      </c>
      <c r="Q120" s="1806">
        <f t="shared" si="1423"/>
        <v>0</v>
      </c>
      <c r="R120" s="1791">
        <f t="shared" si="1311"/>
        <v>0</v>
      </c>
      <c r="S120" s="1808">
        <f t="shared" si="1424"/>
        <v>0</v>
      </c>
      <c r="T120" s="1807">
        <f t="shared" si="1425"/>
        <v>0</v>
      </c>
      <c r="U120" s="1807">
        <f t="shared" si="1426"/>
        <v>0</v>
      </c>
      <c r="V120" s="1806">
        <f t="shared" si="1427"/>
        <v>0</v>
      </c>
      <c r="W120" s="1791">
        <f t="shared" si="1316"/>
        <v>0</v>
      </c>
      <c r="X120" s="1808">
        <f t="shared" si="1428"/>
        <v>0</v>
      </c>
      <c r="Y120" s="1807">
        <f t="shared" si="1429"/>
        <v>0</v>
      </c>
      <c r="Z120" s="1807">
        <f t="shared" si="1430"/>
        <v>0</v>
      </c>
      <c r="AA120" s="1806">
        <f t="shared" si="1431"/>
        <v>0</v>
      </c>
      <c r="AB120" s="1791">
        <f t="shared" si="1321"/>
        <v>0</v>
      </c>
      <c r="AC120" s="1808">
        <f t="shared" si="1432"/>
        <v>0</v>
      </c>
      <c r="AD120" s="1807">
        <f t="shared" si="1433"/>
        <v>0</v>
      </c>
      <c r="AE120" s="1807">
        <f t="shared" si="1434"/>
        <v>0</v>
      </c>
      <c r="AF120" s="1806">
        <f t="shared" si="1435"/>
        <v>0</v>
      </c>
      <c r="AG120" s="1791">
        <f t="shared" si="1326"/>
        <v>0</v>
      </c>
      <c r="AH120" s="1808">
        <f t="shared" si="1436"/>
        <v>0</v>
      </c>
      <c r="AI120" s="1807">
        <f t="shared" si="1437"/>
        <v>0</v>
      </c>
      <c r="AJ120" s="1807">
        <f t="shared" si="1438"/>
        <v>0</v>
      </c>
      <c r="AK120" s="1806">
        <f t="shared" si="1439"/>
        <v>0</v>
      </c>
      <c r="AL120" s="1791">
        <f t="shared" si="1331"/>
        <v>0</v>
      </c>
      <c r="AM120" s="1808">
        <f t="shared" si="1440"/>
        <v>0</v>
      </c>
      <c r="AN120" s="1807">
        <f t="shared" si="1441"/>
        <v>0</v>
      </c>
      <c r="AO120" s="1807">
        <f t="shared" si="1442"/>
        <v>0</v>
      </c>
      <c r="AP120" s="1806">
        <f t="shared" si="1443"/>
        <v>0</v>
      </c>
      <c r="AQ120" s="1791">
        <f t="shared" si="1336"/>
        <v>0</v>
      </c>
      <c r="AR120" s="1808">
        <f t="shared" si="1444"/>
        <v>0</v>
      </c>
      <c r="AS120" s="1807">
        <f t="shared" ref="AS120" si="1512">IF(AV120=0,0,IF(AV120&lt;0,IF($J120=6,AV120,IF($J120=5,AV120,IF($J120=4,AV120,0)))))</f>
        <v>0</v>
      </c>
      <c r="AT120" s="1807">
        <f t="shared" si="1445"/>
        <v>0</v>
      </c>
      <c r="AU120" s="1806">
        <f t="shared" si="1446"/>
        <v>0</v>
      </c>
      <c r="AV120" s="1791">
        <f t="shared" si="1341"/>
        <v>0</v>
      </c>
      <c r="AW120" s="1808">
        <f t="shared" si="1447"/>
        <v>0</v>
      </c>
      <c r="AX120" s="1807">
        <f t="shared" si="1448"/>
        <v>0</v>
      </c>
      <c r="AY120" s="1807">
        <f t="shared" si="1449"/>
        <v>0</v>
      </c>
      <c r="AZ120" s="1806">
        <f t="shared" si="1450"/>
        <v>0</v>
      </c>
      <c r="BA120" s="1791">
        <f t="shared" si="1346"/>
        <v>0</v>
      </c>
      <c r="BB120" s="1808">
        <f t="shared" si="1451"/>
        <v>0</v>
      </c>
      <c r="BC120" s="1807">
        <f t="shared" si="1452"/>
        <v>0</v>
      </c>
      <c r="BD120" s="1807">
        <f t="shared" si="1453"/>
        <v>0</v>
      </c>
      <c r="BE120" s="1806">
        <f t="shared" si="1454"/>
        <v>0</v>
      </c>
      <c r="BF120" s="1791">
        <f t="shared" si="1351"/>
        <v>0</v>
      </c>
      <c r="BG120" s="1808">
        <f t="shared" si="1455"/>
        <v>0</v>
      </c>
      <c r="BH120" s="1807">
        <f t="shared" si="1456"/>
        <v>0</v>
      </c>
      <c r="BI120" s="1807">
        <f t="shared" si="1457"/>
        <v>0</v>
      </c>
      <c r="BJ120" s="1806">
        <f t="shared" si="1458"/>
        <v>0</v>
      </c>
      <c r="BK120" s="1791">
        <f t="shared" si="1356"/>
        <v>0</v>
      </c>
      <c r="BL120" s="1808">
        <f t="shared" ref="BL120" si="1513">IF(BP120=0,0,IF(BP120&lt;0,IF($J120=3,BP120,IF($J120=2,BP120,IF($J120=1,BP120,0)))))</f>
        <v>0</v>
      </c>
      <c r="BM120" s="1807">
        <f t="shared" ref="BM120" si="1514">IF(BP120=0,0,IF(BP120&lt;0,IF($J120=6,BP120,IF($J120=5,BP120,IF($J120=4,BP120,0)))))</f>
        <v>0</v>
      </c>
      <c r="BN120" s="1807">
        <f t="shared" ref="BN120" si="1515">IF(BP120=0,0,IF(BP120&lt;0,IF($J120=9,BP120,IF($J120=8,BP120,IF($J120=7,BP120,0)))))</f>
        <v>0</v>
      </c>
      <c r="BO120" s="1806">
        <f t="shared" ref="BO120" si="1516">IF(BP120=0,0,IF(BP120&lt;0,IF($J120=12,BP120,IF($J120=11,BP120,IF($J120=10,BP120,0)))))</f>
        <v>0</v>
      </c>
      <c r="BP120" s="1791">
        <f t="shared" si="1361"/>
        <v>0</v>
      </c>
      <c r="BQ120" s="1827"/>
      <c r="BR120" s="1791">
        <f t="shared" si="1459"/>
        <v>0</v>
      </c>
      <c r="BS120" s="1791">
        <f t="shared" si="1460"/>
        <v>0</v>
      </c>
      <c r="BT120" s="1808">
        <f t="shared" si="1461"/>
        <v>0</v>
      </c>
      <c r="BU120" s="1807">
        <f t="shared" si="1462"/>
        <v>0</v>
      </c>
      <c r="BV120" s="1807">
        <f t="shared" si="1463"/>
        <v>0</v>
      </c>
      <c r="BW120" s="1806">
        <f t="shared" si="1464"/>
        <v>0</v>
      </c>
      <c r="BX120" s="1791">
        <f t="shared" si="1465"/>
        <v>0</v>
      </c>
      <c r="BY120" s="1808">
        <f t="shared" si="1466"/>
        <v>0</v>
      </c>
      <c r="BZ120" s="1807">
        <f t="shared" si="1467"/>
        <v>0</v>
      </c>
      <c r="CA120" s="1807">
        <f t="shared" si="1468"/>
        <v>0</v>
      </c>
      <c r="CB120" s="1806">
        <f t="shared" si="1469"/>
        <v>0</v>
      </c>
      <c r="CC120" s="1791">
        <f t="shared" si="1470"/>
        <v>0</v>
      </c>
      <c r="CD120" s="1808">
        <f t="shared" si="1471"/>
        <v>0</v>
      </c>
      <c r="CE120" s="1807">
        <f t="shared" si="1472"/>
        <v>0</v>
      </c>
      <c r="CF120" s="1807">
        <f t="shared" si="1473"/>
        <v>0</v>
      </c>
      <c r="CG120" s="1806">
        <f t="shared" si="1474"/>
        <v>0</v>
      </c>
      <c r="CH120" s="1791">
        <f t="shared" si="1475"/>
        <v>0</v>
      </c>
      <c r="CI120" s="1808">
        <f t="shared" si="1476"/>
        <v>0</v>
      </c>
      <c r="CJ120" s="1807">
        <f t="shared" si="1477"/>
        <v>0</v>
      </c>
      <c r="CK120" s="1807">
        <f t="shared" si="1478"/>
        <v>0</v>
      </c>
      <c r="CL120" s="1806">
        <f t="shared" si="1479"/>
        <v>0</v>
      </c>
      <c r="CM120" s="1791">
        <f t="shared" si="1480"/>
        <v>0</v>
      </c>
      <c r="CN120" s="1808">
        <f t="shared" si="1481"/>
        <v>0</v>
      </c>
      <c r="CO120" s="1807">
        <f t="shared" si="1482"/>
        <v>0</v>
      </c>
      <c r="CP120" s="1807">
        <f t="shared" si="1483"/>
        <v>0</v>
      </c>
      <c r="CQ120" s="1806">
        <f t="shared" si="1484"/>
        <v>0</v>
      </c>
      <c r="CR120" s="1791">
        <f t="shared" si="1485"/>
        <v>0</v>
      </c>
      <c r="CS120" s="1808">
        <f t="shared" si="1486"/>
        <v>0</v>
      </c>
      <c r="CT120" s="1807">
        <f t="shared" si="1487"/>
        <v>0</v>
      </c>
      <c r="CU120" s="1807">
        <f t="shared" si="1488"/>
        <v>0</v>
      </c>
      <c r="CV120" s="1806">
        <f t="shared" si="1489"/>
        <v>0</v>
      </c>
      <c r="CW120" s="1791">
        <f t="shared" si="1490"/>
        <v>0</v>
      </c>
      <c r="CX120" s="1808">
        <f t="shared" si="1491"/>
        <v>0</v>
      </c>
      <c r="CY120" s="1807">
        <f t="shared" si="1492"/>
        <v>0</v>
      </c>
      <c r="CZ120" s="1807">
        <f t="shared" si="1493"/>
        <v>0</v>
      </c>
      <c r="DA120" s="1806">
        <f t="shared" si="1494"/>
        <v>0</v>
      </c>
      <c r="DB120" s="1791">
        <f t="shared" si="1495"/>
        <v>0</v>
      </c>
      <c r="DC120" s="1808">
        <f t="shared" si="1496"/>
        <v>0</v>
      </c>
      <c r="DD120" s="1807">
        <f t="shared" si="1497"/>
        <v>0</v>
      </c>
      <c r="DE120" s="1807">
        <f t="shared" si="1498"/>
        <v>0</v>
      </c>
      <c r="DF120" s="1806">
        <f t="shared" si="1499"/>
        <v>0</v>
      </c>
      <c r="DG120" s="1791">
        <f t="shared" si="1500"/>
        <v>0</v>
      </c>
      <c r="DH120" s="1808">
        <f t="shared" si="1501"/>
        <v>0</v>
      </c>
      <c r="DI120" s="1807">
        <f t="shared" si="1502"/>
        <v>0</v>
      </c>
      <c r="DJ120" s="1807">
        <f t="shared" si="1503"/>
        <v>0</v>
      </c>
      <c r="DK120" s="1806">
        <f t="shared" si="1504"/>
        <v>0</v>
      </c>
      <c r="DL120" s="1791">
        <f t="shared" si="1505"/>
        <v>0</v>
      </c>
      <c r="DM120" s="1808">
        <f t="shared" si="1506"/>
        <v>0</v>
      </c>
      <c r="DN120" s="1807">
        <f t="shared" si="1507"/>
        <v>0</v>
      </c>
      <c r="DO120" s="1807">
        <f t="shared" si="1508"/>
        <v>0</v>
      </c>
      <c r="DP120" s="1806">
        <f t="shared" si="1509"/>
        <v>0</v>
      </c>
      <c r="DQ120" s="1791">
        <f t="shared" si="1510"/>
        <v>0</v>
      </c>
      <c r="DR120" s="1808">
        <f t="shared" ref="DR120" si="1517">IF($H120&lt;&gt;DV$5,0,IF(DV120&lt;0,IF($J120=1,-$E120*$I120/12*3,IF($J120=2,-$E120*$I120/12*2,IF($J120=3,-$E120*$I120/12*1,0)))))+IF(DQ$5&lt;&gt;$H120,0,IF(DQ120&lt;0,IF($J120=1,-$E120*$I120/12*0,IF($J120=2,-$E120*$I120/12*1,IF($J120=3,-$E120*$I120/12*2,IF($J120&gt;=4,-$E120*$I120/12*3,0))))))</f>
        <v>0</v>
      </c>
      <c r="DS120" s="1807">
        <f t="shared" ref="DS120" si="1518">IF($H120&lt;&gt;DV$5,0,IF(DV120&lt;0,IF(OR($J120=1,$J120=2,$J120=3,$J120=4),-$E120*$I120/12*3,IF($J120=5,-$E120*$I120/12*2,IF($J120=6,-$E120*$I120/12*1,0)))))+IF(DQ$5&lt;&gt;$H120,0,IF(DQ120&lt;0,IF($J120=4,-$E120*$I120/12*0,IF($J120=5,-$E120*$I120/12*1,IF($J120=6,-$E120*$I120/12*2,IF($J120&gt;=7,-$E120*$I120/12*3,0))))))</f>
        <v>0</v>
      </c>
      <c r="DT120" s="1807">
        <f t="shared" ref="DT120" si="1519">IF($H120&lt;&gt;DV$5,0,IF(DV120&lt;0,IF(OR($J120=1,$J120=2,$J120=3,$J120=4,$J120=5,$J120=6,$J120=7),-$E120*$I120/12*3,IF($J120=8,-$E120*$I120/12*2,IF($J120=9,-$E120*$I120/12*1,0)))))+IF(DQ$5&lt;&gt;$H120,0,IF(DQ120&lt;0,IF($J120=7,-$E120*$I120/12*0,IF($J120=8,-$E120*$I120/12*1,IF($J120=9,-$E120*$I120/12*2,IF($J120&gt;=10,-$E120*$I120/12*3,0))))))</f>
        <v>0</v>
      </c>
      <c r="DU120" s="1806">
        <f t="shared" ref="DU120" si="1520">IF($H120&lt;&gt;DV$5,0,IF(DV120&lt;0,IF(OR($J120=1,$J120=2,$J120=3,$J120=4,$J120=5,$J120=6,$J120=7,$J120=8,$J120=9,$J120=10),-$E120*$I120/12*3,IF($J120=11,-$E120*$I120/12*2,IF($J120=12,-$E120*$I120/12*1,0)))))+IF(DQ$5&lt;&gt;$H120,0,IF(DQ120&lt;0,IF($J120=10,-$E120*$I120/12*0,IF($J120=11,-$E120*$I120/12*1,IF($J120=12,-$E120*$I120/12*2,0)))))</f>
        <v>0</v>
      </c>
      <c r="DV120" s="1791">
        <f t="shared" ref="DV120" si="1521">IF(AND(DQ120&lt;&gt;0,DQ$5=$H120),-$I120*$E120-DQ120,IF(DV$5=$H120,-$I120*$E120*(12-$J120+1)/12,0))</f>
        <v>0</v>
      </c>
    </row>
    <row r="121" spans="1:126">
      <c r="A121" s="455"/>
      <c r="B121" s="455"/>
      <c r="C121" s="1363" t="s">
        <v>964</v>
      </c>
      <c r="D121" s="94"/>
      <c r="E121" s="1817">
        <f t="shared" si="1419"/>
        <v>375</v>
      </c>
      <c r="F121" s="1435">
        <v>375</v>
      </c>
      <c r="G121" s="1435">
        <v>375</v>
      </c>
      <c r="H121" s="1350">
        <v>2028</v>
      </c>
      <c r="I121" s="1337">
        <v>2.8500000000000001E-2</v>
      </c>
      <c r="J121" s="1343">
        <v>6</v>
      </c>
      <c r="K121" s="1792"/>
      <c r="L121" s="1810">
        <f t="shared" si="1306"/>
        <v>0</v>
      </c>
      <c r="M121" s="1791">
        <f t="shared" si="1306"/>
        <v>0</v>
      </c>
      <c r="N121" s="1808">
        <f t="shared" si="1307"/>
        <v>0</v>
      </c>
      <c r="O121" s="1807">
        <f t="shared" si="1308"/>
        <v>0</v>
      </c>
      <c r="P121" s="1807">
        <f t="shared" si="1309"/>
        <v>0</v>
      </c>
      <c r="Q121" s="1806">
        <f t="shared" si="1310"/>
        <v>0</v>
      </c>
      <c r="R121" s="1791">
        <f t="shared" si="1311"/>
        <v>0</v>
      </c>
      <c r="S121" s="1808">
        <f t="shared" si="1312"/>
        <v>0</v>
      </c>
      <c r="T121" s="1807">
        <f t="shared" si="1313"/>
        <v>0</v>
      </c>
      <c r="U121" s="1807">
        <f t="shared" si="1314"/>
        <v>0</v>
      </c>
      <c r="V121" s="1806">
        <f t="shared" si="1315"/>
        <v>0</v>
      </c>
      <c r="W121" s="1791">
        <f t="shared" si="1316"/>
        <v>0</v>
      </c>
      <c r="X121" s="1808">
        <f t="shared" si="1317"/>
        <v>0</v>
      </c>
      <c r="Y121" s="1807">
        <f t="shared" si="1318"/>
        <v>0</v>
      </c>
      <c r="Z121" s="1807">
        <f t="shared" si="1319"/>
        <v>0</v>
      </c>
      <c r="AA121" s="1806">
        <f t="shared" si="1320"/>
        <v>0</v>
      </c>
      <c r="AB121" s="1791">
        <f t="shared" si="1321"/>
        <v>0</v>
      </c>
      <c r="AC121" s="1808">
        <f t="shared" si="1322"/>
        <v>0</v>
      </c>
      <c r="AD121" s="1807">
        <f t="shared" si="1323"/>
        <v>0</v>
      </c>
      <c r="AE121" s="1807">
        <f t="shared" si="1324"/>
        <v>0</v>
      </c>
      <c r="AF121" s="1806">
        <f t="shared" si="1325"/>
        <v>0</v>
      </c>
      <c r="AG121" s="1791">
        <f t="shared" si="1326"/>
        <v>0</v>
      </c>
      <c r="AH121" s="1808">
        <f t="shared" si="1327"/>
        <v>0</v>
      </c>
      <c r="AI121" s="1807">
        <f t="shared" si="1328"/>
        <v>0</v>
      </c>
      <c r="AJ121" s="1807">
        <f t="shared" si="1329"/>
        <v>0</v>
      </c>
      <c r="AK121" s="1806">
        <f t="shared" si="1330"/>
        <v>0</v>
      </c>
      <c r="AL121" s="1791">
        <f t="shared" si="1331"/>
        <v>0</v>
      </c>
      <c r="AM121" s="1808">
        <f t="shared" si="1332"/>
        <v>0</v>
      </c>
      <c r="AN121" s="1807">
        <f t="shared" si="1333"/>
        <v>0</v>
      </c>
      <c r="AO121" s="1807">
        <f t="shared" si="1334"/>
        <v>0</v>
      </c>
      <c r="AP121" s="1806">
        <f t="shared" si="1335"/>
        <v>0</v>
      </c>
      <c r="AQ121" s="1791">
        <f t="shared" si="1336"/>
        <v>0</v>
      </c>
      <c r="AR121" s="1808">
        <f t="shared" si="1337"/>
        <v>0</v>
      </c>
      <c r="AS121" s="1807">
        <f t="shared" si="1338"/>
        <v>0</v>
      </c>
      <c r="AT121" s="1807">
        <f t="shared" si="1339"/>
        <v>0</v>
      </c>
      <c r="AU121" s="1806">
        <f t="shared" si="1340"/>
        <v>0</v>
      </c>
      <c r="AV121" s="1791">
        <f t="shared" si="1341"/>
        <v>0</v>
      </c>
      <c r="AW121" s="1808">
        <f t="shared" si="1342"/>
        <v>0</v>
      </c>
      <c r="AX121" s="1807">
        <f t="shared" si="1343"/>
        <v>0</v>
      </c>
      <c r="AY121" s="1807">
        <f t="shared" si="1344"/>
        <v>0</v>
      </c>
      <c r="AZ121" s="1806">
        <f t="shared" si="1345"/>
        <v>0</v>
      </c>
      <c r="BA121" s="1791">
        <f t="shared" si="1346"/>
        <v>0</v>
      </c>
      <c r="BB121" s="1808">
        <f t="shared" si="1347"/>
        <v>0</v>
      </c>
      <c r="BC121" s="1807">
        <f t="shared" si="1348"/>
        <v>0</v>
      </c>
      <c r="BD121" s="1807">
        <f t="shared" si="1349"/>
        <v>0</v>
      </c>
      <c r="BE121" s="1806">
        <f t="shared" si="1350"/>
        <v>0</v>
      </c>
      <c r="BF121" s="1791">
        <f t="shared" si="1351"/>
        <v>0</v>
      </c>
      <c r="BG121" s="1808">
        <f t="shared" si="1352"/>
        <v>0</v>
      </c>
      <c r="BH121" s="1807">
        <f t="shared" si="1353"/>
        <v>0</v>
      </c>
      <c r="BI121" s="1807">
        <f t="shared" si="1354"/>
        <v>0</v>
      </c>
      <c r="BJ121" s="1806">
        <f t="shared" si="1355"/>
        <v>0</v>
      </c>
      <c r="BK121" s="1791">
        <f t="shared" si="1356"/>
        <v>0</v>
      </c>
      <c r="BL121" s="1808">
        <f t="shared" si="1357"/>
        <v>0</v>
      </c>
      <c r="BM121" s="1807">
        <f t="shared" si="1358"/>
        <v>0</v>
      </c>
      <c r="BN121" s="1807">
        <f t="shared" si="1359"/>
        <v>0</v>
      </c>
      <c r="BO121" s="1806">
        <f t="shared" si="1360"/>
        <v>0</v>
      </c>
      <c r="BP121" s="1791">
        <f t="shared" si="1361"/>
        <v>0</v>
      </c>
      <c r="BQ121" s="1827"/>
      <c r="BR121" s="1791">
        <f t="shared" si="1362"/>
        <v>0</v>
      </c>
      <c r="BS121" s="1791">
        <f t="shared" si="1362"/>
        <v>0</v>
      </c>
      <c r="BT121" s="1808">
        <f t="shared" si="1363"/>
        <v>0</v>
      </c>
      <c r="BU121" s="1807">
        <f t="shared" si="1364"/>
        <v>0</v>
      </c>
      <c r="BV121" s="1807">
        <f t="shared" si="1365"/>
        <v>0</v>
      </c>
      <c r="BW121" s="1806">
        <f t="shared" si="1366"/>
        <v>0</v>
      </c>
      <c r="BX121" s="1791">
        <f t="shared" si="1367"/>
        <v>0</v>
      </c>
      <c r="BY121" s="1808">
        <f t="shared" si="1368"/>
        <v>0</v>
      </c>
      <c r="BZ121" s="1807">
        <f t="shared" si="1369"/>
        <v>0</v>
      </c>
      <c r="CA121" s="1807">
        <f t="shared" si="1370"/>
        <v>0</v>
      </c>
      <c r="CB121" s="1806">
        <f t="shared" si="1371"/>
        <v>0</v>
      </c>
      <c r="CC121" s="1791">
        <f t="shared" si="1372"/>
        <v>0</v>
      </c>
      <c r="CD121" s="1808">
        <f t="shared" si="1373"/>
        <v>0</v>
      </c>
      <c r="CE121" s="1807">
        <f t="shared" si="1374"/>
        <v>0</v>
      </c>
      <c r="CF121" s="1807">
        <f t="shared" si="1375"/>
        <v>0</v>
      </c>
      <c r="CG121" s="1806">
        <f t="shared" si="1376"/>
        <v>0</v>
      </c>
      <c r="CH121" s="1791">
        <f t="shared" si="1377"/>
        <v>0</v>
      </c>
      <c r="CI121" s="1808">
        <f t="shared" si="1378"/>
        <v>0</v>
      </c>
      <c r="CJ121" s="1807">
        <f t="shared" si="1379"/>
        <v>0</v>
      </c>
      <c r="CK121" s="1807">
        <f t="shared" si="1380"/>
        <v>0</v>
      </c>
      <c r="CL121" s="1806">
        <f t="shared" si="1381"/>
        <v>0</v>
      </c>
      <c r="CM121" s="1791">
        <f t="shared" si="1382"/>
        <v>0</v>
      </c>
      <c r="CN121" s="1808">
        <f t="shared" si="1383"/>
        <v>0</v>
      </c>
      <c r="CO121" s="1807">
        <f t="shared" si="1384"/>
        <v>0</v>
      </c>
      <c r="CP121" s="1807">
        <f t="shared" si="1385"/>
        <v>0</v>
      </c>
      <c r="CQ121" s="1806">
        <f t="shared" si="1386"/>
        <v>0</v>
      </c>
      <c r="CR121" s="1791">
        <f t="shared" si="1387"/>
        <v>0</v>
      </c>
      <c r="CS121" s="1808">
        <f t="shared" si="1388"/>
        <v>0</v>
      </c>
      <c r="CT121" s="1807">
        <f t="shared" si="1389"/>
        <v>0</v>
      </c>
      <c r="CU121" s="1807">
        <f t="shared" si="1390"/>
        <v>0</v>
      </c>
      <c r="CV121" s="1806">
        <f t="shared" si="1391"/>
        <v>0</v>
      </c>
      <c r="CW121" s="1791">
        <f t="shared" si="1392"/>
        <v>0</v>
      </c>
      <c r="CX121" s="1808">
        <f t="shared" si="1393"/>
        <v>0</v>
      </c>
      <c r="CY121" s="1807">
        <f t="shared" si="1394"/>
        <v>0</v>
      </c>
      <c r="CZ121" s="1807">
        <f t="shared" si="1395"/>
        <v>0</v>
      </c>
      <c r="DA121" s="1806">
        <f t="shared" si="1396"/>
        <v>0</v>
      </c>
      <c r="DB121" s="1791">
        <f t="shared" si="1397"/>
        <v>0</v>
      </c>
      <c r="DC121" s="1808">
        <f t="shared" si="1398"/>
        <v>0</v>
      </c>
      <c r="DD121" s="1807">
        <f t="shared" si="1399"/>
        <v>0</v>
      </c>
      <c r="DE121" s="1807">
        <f t="shared" si="1400"/>
        <v>0</v>
      </c>
      <c r="DF121" s="1806">
        <f t="shared" si="1401"/>
        <v>0</v>
      </c>
      <c r="DG121" s="1791">
        <f t="shared" si="1402"/>
        <v>0</v>
      </c>
      <c r="DH121" s="1808">
        <f t="shared" si="1403"/>
        <v>0</v>
      </c>
      <c r="DI121" s="1807">
        <f t="shared" si="1404"/>
        <v>0</v>
      </c>
      <c r="DJ121" s="1807">
        <f t="shared" si="1405"/>
        <v>0</v>
      </c>
      <c r="DK121" s="1806">
        <f t="shared" si="1406"/>
        <v>0</v>
      </c>
      <c r="DL121" s="1791">
        <f t="shared" si="1407"/>
        <v>0</v>
      </c>
      <c r="DM121" s="1808">
        <f t="shared" si="1408"/>
        <v>0</v>
      </c>
      <c r="DN121" s="1807">
        <f t="shared" si="1409"/>
        <v>0</v>
      </c>
      <c r="DO121" s="1807">
        <f t="shared" si="1410"/>
        <v>0</v>
      </c>
      <c r="DP121" s="1806">
        <f t="shared" si="1411"/>
        <v>0</v>
      </c>
      <c r="DQ121" s="1791">
        <f t="shared" si="1412"/>
        <v>0</v>
      </c>
      <c r="DR121" s="1808">
        <f t="shared" si="1413"/>
        <v>0</v>
      </c>
      <c r="DS121" s="1807">
        <f t="shared" si="1414"/>
        <v>0</v>
      </c>
      <c r="DT121" s="1807">
        <f t="shared" si="1415"/>
        <v>0</v>
      </c>
      <c r="DU121" s="1806">
        <f t="shared" si="1416"/>
        <v>0</v>
      </c>
      <c r="DV121" s="1791">
        <f t="shared" si="1417"/>
        <v>0</v>
      </c>
    </row>
    <row r="122" spans="1:126">
      <c r="A122" s="455"/>
      <c r="B122" s="455"/>
      <c r="C122" s="1723" t="s">
        <v>1012</v>
      </c>
      <c r="D122" s="94"/>
      <c r="E122" s="1817">
        <f t="shared" ref="E122" si="1522">IF(F122=0,G122,F122)</f>
        <v>260</v>
      </c>
      <c r="F122" s="1435">
        <v>260</v>
      </c>
      <c r="G122" s="1435">
        <v>260</v>
      </c>
      <c r="H122" s="1350">
        <v>2066</v>
      </c>
      <c r="I122" s="1337">
        <v>4.9000000000000002E-2</v>
      </c>
      <c r="J122" s="1343">
        <v>10</v>
      </c>
      <c r="K122" s="1792"/>
      <c r="L122" s="1810">
        <f t="shared" si="1306"/>
        <v>0</v>
      </c>
      <c r="M122" s="1791">
        <f t="shared" si="1306"/>
        <v>0</v>
      </c>
      <c r="N122" s="1808">
        <f t="shared" ref="N122" si="1523">IF(R122=0,0,IF(R122&lt;0,IF($J122=3,R122,IF($J122=2,R122,IF($J122=1,R122,0)))))</f>
        <v>0</v>
      </c>
      <c r="O122" s="1807">
        <f t="shared" ref="O122" si="1524">IF(R122=0,0,IF(R122&lt;0,IF($J122=6,R122,IF($J122=5,R122,IF($J122=4,R122,0)))))</f>
        <v>0</v>
      </c>
      <c r="P122" s="1807">
        <f t="shared" ref="P122" si="1525">IF(R122=0,0,IF(R122&lt;0,IF($J122=9,R122,IF($J122=8,R122,IF($J122=7,R122,0)))))</f>
        <v>0</v>
      </c>
      <c r="Q122" s="1806">
        <f t="shared" ref="Q122" si="1526">IF(R122=0,0,IF(R122&lt;0,IF($J122=12,R122,IF($J122=11,R122,IF($J122=10,R122,0)))))</f>
        <v>0</v>
      </c>
      <c r="R122" s="1791">
        <f t="shared" si="1311"/>
        <v>0</v>
      </c>
      <c r="S122" s="1808">
        <f t="shared" ref="S122" si="1527">IF(W122=0,0,IF(W122&lt;0,IF($J122=3,W122,IF($J122=2,W122,IF($J122=1,W122,0)))))</f>
        <v>0</v>
      </c>
      <c r="T122" s="1807">
        <f t="shared" ref="T122" si="1528">IF(W122=0,0,IF(W122&lt;0,IF($J122=6,W122,IF($J122=5,W122,IF($J122=4,W122,0)))))</f>
        <v>0</v>
      </c>
      <c r="U122" s="1807">
        <f t="shared" ref="U122" si="1529">IF(W122=0,0,IF(W122&lt;0,IF($J122=9,W122,IF($J122=8,W122,IF($J122=7,W122,0)))))</f>
        <v>0</v>
      </c>
      <c r="V122" s="1806">
        <f t="shared" ref="V122" si="1530">IF(W122=0,0,IF(W122&lt;0,IF($J122=12,W122,IF($J122=11,W122,IF($J122=10,W122,0)))))</f>
        <v>0</v>
      </c>
      <c r="W122" s="1791">
        <f t="shared" si="1316"/>
        <v>0</v>
      </c>
      <c r="X122" s="1808">
        <f t="shared" ref="X122" si="1531">IF(AB122=0,0,IF(AB122&lt;0,IF($J122=3,AB122,IF($J122=2,AB122,IF($J122=1,AB122,0)))))</f>
        <v>0</v>
      </c>
      <c r="Y122" s="1807">
        <f t="shared" ref="Y122" si="1532">IF(AB122=0,0,IF(AB122&lt;0,IF($J122=6,AB122,IF($J122=5,AB122,IF($J122=4,AB122,0)))))</f>
        <v>0</v>
      </c>
      <c r="Z122" s="1807">
        <f t="shared" ref="Z122" si="1533">IF(AB122=0,0,IF(AB122&lt;0,IF($J122=9,AB122,IF($J122=8,AB122,IF($J122=7,AB122,0)))))</f>
        <v>0</v>
      </c>
      <c r="AA122" s="1806">
        <f t="shared" ref="AA122" si="1534">IF(AB122=0,0,IF(AB122&lt;0,IF($J122=12,AB122,IF($J122=11,AB122,IF($J122=10,AB122,0)))))</f>
        <v>0</v>
      </c>
      <c r="AB122" s="1791">
        <f t="shared" si="1321"/>
        <v>0</v>
      </c>
      <c r="AC122" s="1808">
        <f t="shared" ref="AC122" si="1535">IF(AG122=0,0,IF(AG122&lt;0,IF($J122=3,AG122,IF($J122=2,AG122,IF($J122=1,AG122,0)))))</f>
        <v>0</v>
      </c>
      <c r="AD122" s="1807">
        <f t="shared" ref="AD122" si="1536">IF(AG122=0,0,IF(AG122&lt;0,IF($J122=6,AG122,IF($J122=5,AG122,IF($J122=4,AG122,0)))))</f>
        <v>0</v>
      </c>
      <c r="AE122" s="1807">
        <f t="shared" ref="AE122" si="1537">IF(AG122=0,0,IF(AG122&lt;0,IF($J122=9,AG122,IF($J122=8,AG122,IF($J122=7,AG122,0)))))</f>
        <v>0</v>
      </c>
      <c r="AF122" s="1806">
        <f t="shared" ref="AF122" si="1538">IF(AG122=0,0,IF(AG122&lt;0,IF($J122=12,AG122,IF($J122=11,AG122,IF($J122=10,AG122,0)))))</f>
        <v>0</v>
      </c>
      <c r="AG122" s="1791">
        <f t="shared" si="1326"/>
        <v>0</v>
      </c>
      <c r="AH122" s="1808">
        <f t="shared" ref="AH122" si="1539">IF(AL122=0,0,IF(AL122&lt;0,IF($J122=3,AL122,IF($J122=2,AL122,IF($J122=1,AL122,0)))))</f>
        <v>0</v>
      </c>
      <c r="AI122" s="1807">
        <f t="shared" ref="AI122" si="1540">IF(AL122=0,0,IF(AL122&lt;0,IF($J122=6,AL122,IF($J122=5,AL122,IF($J122=4,AL122,0)))))</f>
        <v>0</v>
      </c>
      <c r="AJ122" s="1807">
        <f t="shared" ref="AJ122" si="1541">IF(AL122=0,0,IF(AL122&lt;0,IF($J122=9,AL122,IF($J122=8,AL122,IF($J122=7,AL122,0)))))</f>
        <v>0</v>
      </c>
      <c r="AK122" s="1806">
        <f t="shared" ref="AK122" si="1542">IF(AL122=0,0,IF(AL122&lt;0,IF($J122=12,AL122,IF($J122=11,AL122,IF($J122=10,AL122,0)))))</f>
        <v>0</v>
      </c>
      <c r="AL122" s="1791">
        <f t="shared" si="1331"/>
        <v>0</v>
      </c>
      <c r="AM122" s="1808">
        <f t="shared" ref="AM122" si="1543">IF(AQ122=0,0,IF(AQ122&lt;0,IF($J122=3,AQ122,IF($J122=2,AQ122,IF($J122=1,AQ122,0)))))</f>
        <v>0</v>
      </c>
      <c r="AN122" s="1807">
        <f t="shared" ref="AN122" si="1544">IF(AQ122=0,0,IF(AQ122&lt;0,IF($J122=6,AQ122,IF($J122=5,AQ122,IF($J122=4,AQ122,0)))))</f>
        <v>0</v>
      </c>
      <c r="AO122" s="1807">
        <f t="shared" ref="AO122" si="1545">IF(AQ122=0,0,IF(AQ122&lt;0,IF($J122=9,AQ122,IF($J122=8,AQ122,IF($J122=7,AQ122,0)))))</f>
        <v>0</v>
      </c>
      <c r="AP122" s="1806">
        <f t="shared" ref="AP122" si="1546">IF(AQ122=0,0,IF(AQ122&lt;0,IF($J122=12,AQ122,IF($J122=11,AQ122,IF($J122=10,AQ122,0)))))</f>
        <v>0</v>
      </c>
      <c r="AQ122" s="1791">
        <f t="shared" si="1336"/>
        <v>0</v>
      </c>
      <c r="AR122" s="1808">
        <f t="shared" ref="AR122" si="1547">IF(AV122=0,0,IF(AV122&lt;0,IF($J122=3,AV122,IF($J122=2,AV122,IF($J122=1,AV122,0)))))</f>
        <v>0</v>
      </c>
      <c r="AS122" s="1807">
        <f t="shared" si="1338"/>
        <v>0</v>
      </c>
      <c r="AT122" s="1807">
        <f t="shared" ref="AT122" si="1548">IF(AV122=0,0,IF(AV122&lt;0,IF($J122=9,AV122,IF($J122=8,AV122,IF($J122=7,AV122,0)))))</f>
        <v>0</v>
      </c>
      <c r="AU122" s="1806">
        <f t="shared" ref="AU122" si="1549">IF(AV122=0,0,IF(AV122&lt;0,IF($J122=12,AV122,IF($J122=11,AV122,IF($J122=10,AV122,0)))))</f>
        <v>0</v>
      </c>
      <c r="AV122" s="1791">
        <f t="shared" si="1341"/>
        <v>0</v>
      </c>
      <c r="AW122" s="1808">
        <f t="shared" ref="AW122" si="1550">IF(BA122=0,0,IF(BA122&lt;0,IF($J122=3,BA122,IF($J122=2,BA122,IF($J122=1,BA122,0)))))</f>
        <v>0</v>
      </c>
      <c r="AX122" s="1807">
        <f t="shared" ref="AX122" si="1551">IF(BA122=0,0,IF(BA122&lt;0,IF($J122=6,BA122,IF($J122=5,BA122,IF($J122=4,BA122,0)))))</f>
        <v>0</v>
      </c>
      <c r="AY122" s="1807">
        <f t="shared" ref="AY122" si="1552">IF(BA122=0,0,IF(BA122&lt;0,IF($J122=9,BA122,IF($J122=8,BA122,IF($J122=7,BA122,0)))))</f>
        <v>0</v>
      </c>
      <c r="AZ122" s="1806">
        <f t="shared" ref="AZ122" si="1553">IF(BA122=0,0,IF(BA122&lt;0,IF($J122=12,BA122,IF($J122=11,BA122,IF($J122=10,BA122,0)))))</f>
        <v>0</v>
      </c>
      <c r="BA122" s="1791">
        <f t="shared" si="1346"/>
        <v>0</v>
      </c>
      <c r="BB122" s="1808">
        <f t="shared" ref="BB122" si="1554">IF(BF122=0,0,IF(BF122&lt;0,IF($J122=3,BF122,IF($J122=2,BF122,IF($J122=1,BF122,0)))))</f>
        <v>0</v>
      </c>
      <c r="BC122" s="1807">
        <f t="shared" ref="BC122" si="1555">IF(BF122=0,0,IF(BF122&lt;0,IF($J122=6,BF122,IF($J122=5,BF122,IF($J122=4,BF122,0)))))</f>
        <v>0</v>
      </c>
      <c r="BD122" s="1807">
        <f t="shared" ref="BD122" si="1556">IF(BF122=0,0,IF(BF122&lt;0,IF($J122=9,BF122,IF($J122=8,BF122,IF($J122=7,BF122,0)))))</f>
        <v>0</v>
      </c>
      <c r="BE122" s="1806">
        <f t="shared" ref="BE122" si="1557">IF(BF122=0,0,IF(BF122&lt;0,IF($J122=12,BF122,IF($J122=11,BF122,IF($J122=10,BF122,0)))))</f>
        <v>0</v>
      </c>
      <c r="BF122" s="1791">
        <f t="shared" si="1351"/>
        <v>0</v>
      </c>
      <c r="BG122" s="1808">
        <f t="shared" ref="BG122" si="1558">IF(BK122=0,0,IF(BK122&lt;0,IF($J122=3,BK122,IF($J122=2,BK122,IF($J122=1,BK122,0)))))</f>
        <v>0</v>
      </c>
      <c r="BH122" s="1807">
        <f t="shared" ref="BH122" si="1559">IF(BK122=0,0,IF(BK122&lt;0,IF($J122=6,BK122,IF($J122=5,BK122,IF($J122=4,BK122,0)))))</f>
        <v>0</v>
      </c>
      <c r="BI122" s="1807">
        <f t="shared" ref="BI122" si="1560">IF(BK122=0,0,IF(BK122&lt;0,IF($J122=9,BK122,IF($J122=8,BK122,IF($J122=7,BK122,0)))))</f>
        <v>0</v>
      </c>
      <c r="BJ122" s="1806">
        <f t="shared" ref="BJ122" si="1561">IF(BK122=0,0,IF(BK122&lt;0,IF($J122=12,BK122,IF($J122=11,BK122,IF($J122=10,BK122,0)))))</f>
        <v>0</v>
      </c>
      <c r="BK122" s="1791">
        <f t="shared" si="1356"/>
        <v>0</v>
      </c>
      <c r="BL122" s="1808">
        <f t="shared" ref="BL122" si="1562">IF(BP122=0,0,IF(BP122&lt;0,IF($J122=3,BP122,IF($J122=2,BP122,IF($J122=1,BP122,0)))))</f>
        <v>0</v>
      </c>
      <c r="BM122" s="1807">
        <f t="shared" ref="BM122" si="1563">IF(BP122=0,0,IF(BP122&lt;0,IF($J122=6,BP122,IF($J122=5,BP122,IF($J122=4,BP122,0)))))</f>
        <v>0</v>
      </c>
      <c r="BN122" s="1807">
        <f t="shared" ref="BN122" si="1564">IF(BP122=0,0,IF(BP122&lt;0,IF($J122=9,BP122,IF($J122=8,BP122,IF($J122=7,BP122,0)))))</f>
        <v>0</v>
      </c>
      <c r="BO122" s="1806">
        <f t="shared" ref="BO122" si="1565">IF(BP122=0,0,IF(BP122&lt;0,IF($J122=12,BP122,IF($J122=11,BP122,IF($J122=10,BP122,0)))))</f>
        <v>0</v>
      </c>
      <c r="BP122" s="1791">
        <f t="shared" si="1361"/>
        <v>0</v>
      </c>
      <c r="BQ122" s="1827"/>
      <c r="BR122" s="1791">
        <f t="shared" ref="BR122" si="1566">IF(AND(BQ122&lt;&gt;0,BQ$5=$H122),-$I122*$E122-BQ122,IF(BR$5=$H122,-$I122*$E122*(12-$J122+1)/12,0))</f>
        <v>0</v>
      </c>
      <c r="BS122" s="1791">
        <f t="shared" ref="BS122" si="1567">IF(AND(BR122&lt;&gt;0,BR$5=$H122),-$I122*$E122-BR122,IF(BS$5=$H122,-$I122*$E122*(12-$J122+1)/12,0))</f>
        <v>0</v>
      </c>
      <c r="BT122" s="1808">
        <f t="shared" ref="BT122" si="1568">IF($H122&lt;&gt;BX$5,0,IF(BX122&lt;0,IF($J122=1,-$E122*$I122/12*3,IF($J122=2,-$E122*$I122/12*2,IF($J122=3,-$E122*$I122/12*1,0)))))+IF(BS$5&lt;&gt;$H122,0,IF(BS122&lt;0,IF($J122=1,-$E122*$I122/12*0,IF($J122=2,-$E122*$I122/12*1,IF($J122=3,-$E122*$I122/12*2,IF($J122&gt;=4,-$E122*$I122/12*3,0))))))</f>
        <v>0</v>
      </c>
      <c r="BU122" s="1807">
        <f t="shared" ref="BU122" si="1569">IF($H122&lt;&gt;BX$5,0,IF(BX122&lt;0,IF(OR($J122=1,$J122=2,$J122=3,$J122=4),-$E122*$I122/12*3,IF($J122=5,-$E122*$I122/12*2,IF($J122=6,-$E122*$I122/12*1,0)))))+IF(BS$5&lt;&gt;$H122,0,IF(BS122&lt;0,IF($J122=4,-$E122*$I122/12*0,IF($J122=5,-$E122*$I122/12*1,IF($J122=6,-$E122*$I122/12*2,IF($J122&gt;=7,-$E122*$I122/12*3,0))))))</f>
        <v>0</v>
      </c>
      <c r="BV122" s="1807">
        <f t="shared" ref="BV122" si="1570">IF($H122&lt;&gt;BX$5,0,IF(BX122&lt;0,IF(OR($J122=1,$J122=2,$J122=3,$J122=4,$J122=5,$J122=6,$J122=7),-$E122*$I122/12*3,IF($J122=8,-$E122*$I122/12*2,IF($J122=9,-$E122*$I122/12*1,0)))))+IF(BS$5&lt;&gt;$H122,0,IF(BS122&lt;0,IF($J122=7,-$E122*$I122/12*0,IF($J122=8,-$E122*$I122/12*1,IF($J122=9,-$E122*$I122/12*2,IF($J122&gt;=10,-$E122*$I122/12*3,0))))))</f>
        <v>0</v>
      </c>
      <c r="BW122" s="1806">
        <f t="shared" ref="BW122" si="1571">IF($H122&lt;&gt;BX$5,0,IF(BX122&lt;0,IF(OR($J122=1,$J122=2,$J122=3,$J122=4,$J122=5,$J122=6,$J122=7,$J122=8,$J122=9,$J122=10),-$E122*$I122/12*3,IF($J122=11,-$E122*$I122/12*2,IF($J122=12,-$E122*$I122/12*1,0)))))+IF(BS$5&lt;&gt;$H122,0,IF(BS122&lt;0,IF($J122=10,-$E122*$I122/12*0,IF($J122=11,-$E122*$I122/12*1,IF($J122=12,-$E122*$I122/12*2,0)))))</f>
        <v>0</v>
      </c>
      <c r="BX122" s="1791">
        <f t="shared" ref="BX122" si="1572">IF(AND(BS122&lt;&gt;0,BS$5=$H122),-$I122*$E122-BS122,IF(BX$5=$H122,-$I122*$E122*(12-$J122+1)/12,0))</f>
        <v>0</v>
      </c>
      <c r="BY122" s="1808">
        <f t="shared" ref="BY122" si="1573">IF($H122&lt;&gt;CC$5,0,IF(CC122&lt;0,IF($J122=1,-$E122*$I122/12*3,IF($J122=2,-$E122*$I122/12*2,IF($J122=3,-$E122*$I122/12*1,0)))))+IF(BX$5&lt;&gt;$H122,0,IF(BX122&lt;0,IF($J122=1,-$E122*$I122/12*0,IF($J122=2,-$E122*$I122/12*1,IF($J122=3,-$E122*$I122/12*2,IF($J122&gt;=4,-$E122*$I122/12*3,0))))))</f>
        <v>0</v>
      </c>
      <c r="BZ122" s="1807">
        <f t="shared" ref="BZ122" si="1574">IF($H122&lt;&gt;CC$5,0,IF(CC122&lt;0,IF(OR($J122=1,$J122=2,$J122=3,$J122=4),-$E122*$I122/12*3,IF($J122=5,-$E122*$I122/12*2,IF($J122=6,-$E122*$I122/12*1,0)))))+IF(BX$5&lt;&gt;$H122,0,IF(BX122&lt;0,IF($J122=4,-$E122*$I122/12*0,IF($J122=5,-$E122*$I122/12*1,IF($J122=6,-$E122*$I122/12*2,IF($J122&gt;=7,-$E122*$I122/12*3,0))))))</f>
        <v>0</v>
      </c>
      <c r="CA122" s="1807">
        <f t="shared" ref="CA122" si="1575">IF($H122&lt;&gt;CC$5,0,IF(CC122&lt;0,IF(OR($J122=1,$J122=2,$J122=3,$J122=4,$J122=5,$J122=6,$J122=7),-$E122*$I122/12*3,IF($J122=8,-$E122*$I122/12*2,IF($J122=9,-$E122*$I122/12*1,0)))))+IF(BX$5&lt;&gt;$H122,0,IF(BX122&lt;0,IF($J122=7,-$E122*$I122/12*0,IF($J122=8,-$E122*$I122/12*1,IF($J122=9,-$E122*$I122/12*2,IF($J122&gt;=10,-$E122*$I122/12*3,0))))))</f>
        <v>0</v>
      </c>
      <c r="CB122" s="1806">
        <f t="shared" ref="CB122" si="1576">IF($H122&lt;&gt;CC$5,0,IF(CC122&lt;0,IF(OR($J122=1,$J122=2,$J122=3,$J122=4,$J122=5,$J122=6,$J122=7,$J122=8,$J122=9,$J122=10),-$E122*$I122/12*3,IF($J122=11,-$E122*$I122/12*2,IF($J122=12,-$E122*$I122/12*1,0)))))+IF(BX$5&lt;&gt;$H122,0,IF(BX122&lt;0,IF($J122=10,-$E122*$I122/12*0,IF($J122=11,-$E122*$I122/12*1,IF($J122=12,-$E122*$I122/12*2,0)))))</f>
        <v>0</v>
      </c>
      <c r="CC122" s="1791">
        <f t="shared" ref="CC122" si="1577">IF(AND(BX122&lt;&gt;0,BX$5=$H122),-$I122*$E122-BX122,IF(CC$5=$H122,-$I122*$E122*(12-$J122+1)/12,0))</f>
        <v>0</v>
      </c>
      <c r="CD122" s="1808">
        <f t="shared" ref="CD122" si="1578">IF($H122&lt;&gt;CH$5,0,IF(CH122&lt;0,IF($J122=1,-$E122*$I122/12*3,IF($J122=2,-$E122*$I122/12*2,IF($J122=3,-$E122*$I122/12*1,0)))))+IF(CC$5&lt;&gt;$H122,0,IF(CC122&lt;0,IF($J122=1,-$E122*$I122/12*0,IF($J122=2,-$E122*$I122/12*1,IF($J122=3,-$E122*$I122/12*2,IF($J122&gt;=4,-$E122*$I122/12*3,0))))))</f>
        <v>0</v>
      </c>
      <c r="CE122" s="1807">
        <f t="shared" ref="CE122" si="1579">IF($H122&lt;&gt;CH$5,0,IF(CH122&lt;0,IF(OR($J122=1,$J122=2,$J122=3,$J122=4),-$E122*$I122/12*3,IF($J122=5,-$E122*$I122/12*2,IF($J122=6,-$E122*$I122/12*1,0)))))+IF(CC$5&lt;&gt;$H122,0,IF(CC122&lt;0,IF($J122=4,-$E122*$I122/12*0,IF($J122=5,-$E122*$I122/12*1,IF($J122=6,-$E122*$I122/12*2,IF($J122&gt;=7,-$E122*$I122/12*3,0))))))</f>
        <v>0</v>
      </c>
      <c r="CF122" s="1807">
        <f t="shared" ref="CF122" si="1580">IF($H122&lt;&gt;CH$5,0,IF(CH122&lt;0,IF(OR($J122=1,$J122=2,$J122=3,$J122=4,$J122=5,$J122=6,$J122=7),-$E122*$I122/12*3,IF($J122=8,-$E122*$I122/12*2,IF($J122=9,-$E122*$I122/12*1,0)))))+IF(CC$5&lt;&gt;$H122,0,IF(CC122&lt;0,IF($J122=7,-$E122*$I122/12*0,IF($J122=8,-$E122*$I122/12*1,IF($J122=9,-$E122*$I122/12*2,IF($J122&gt;=10,-$E122*$I122/12*3,0))))))</f>
        <v>0</v>
      </c>
      <c r="CG122" s="1806">
        <f t="shared" ref="CG122" si="1581">IF($H122&lt;&gt;CH$5,0,IF(CH122&lt;0,IF(OR($J122=1,$J122=2,$J122=3,$J122=4,$J122=5,$J122=6,$J122=7,$J122=8,$J122=9,$J122=10),-$E122*$I122/12*3,IF($J122=11,-$E122*$I122/12*2,IF($J122=12,-$E122*$I122/12*1,0)))))+IF(CC$5&lt;&gt;$H122,0,IF(CC122&lt;0,IF($J122=10,-$E122*$I122/12*0,IF($J122=11,-$E122*$I122/12*1,IF($J122=12,-$E122*$I122/12*2,0)))))</f>
        <v>0</v>
      </c>
      <c r="CH122" s="1791">
        <f t="shared" ref="CH122" si="1582">IF(AND(CC122&lt;&gt;0,CC$5=$H122),-$I122*$E122-CC122,IF(CH$5=$H122,-$I122*$E122*(12-$J122+1)/12,0))</f>
        <v>0</v>
      </c>
      <c r="CI122" s="1808">
        <f t="shared" ref="CI122" si="1583">IF($H122&lt;&gt;CM$5,0,IF(CM122&lt;0,IF($J122=1,-$E122*$I122/12*3,IF($J122=2,-$E122*$I122/12*2,IF($J122=3,-$E122*$I122/12*1,0)))))+IF(CH$5&lt;&gt;$H122,0,IF(CH122&lt;0,IF($J122=1,-$E122*$I122/12*0,IF($J122=2,-$E122*$I122/12*1,IF($J122=3,-$E122*$I122/12*2,IF($J122&gt;=4,-$E122*$I122/12*3,0))))))</f>
        <v>0</v>
      </c>
      <c r="CJ122" s="1807">
        <f t="shared" ref="CJ122" si="1584">IF($H122&lt;&gt;CM$5,0,IF(CM122&lt;0,IF(OR($J122=1,$J122=2,$J122=3,$J122=4),-$E122*$I122/12*3,IF($J122=5,-$E122*$I122/12*2,IF($J122=6,-$E122*$I122/12*1,0)))))+IF(CH$5&lt;&gt;$H122,0,IF(CH122&lt;0,IF($J122=4,-$E122*$I122/12*0,IF($J122=5,-$E122*$I122/12*1,IF($J122=6,-$E122*$I122/12*2,IF($J122&gt;=7,-$E122*$I122/12*3,0))))))</f>
        <v>0</v>
      </c>
      <c r="CK122" s="1807">
        <f t="shared" ref="CK122" si="1585">IF($H122&lt;&gt;CM$5,0,IF(CM122&lt;0,IF(OR($J122=1,$J122=2,$J122=3,$J122=4,$J122=5,$J122=6,$J122=7),-$E122*$I122/12*3,IF($J122=8,-$E122*$I122/12*2,IF($J122=9,-$E122*$I122/12*1,0)))))+IF(CH$5&lt;&gt;$H122,0,IF(CH122&lt;0,IF($J122=7,-$E122*$I122/12*0,IF($J122=8,-$E122*$I122/12*1,IF($J122=9,-$E122*$I122/12*2,IF($J122&gt;=10,-$E122*$I122/12*3,0))))))</f>
        <v>0</v>
      </c>
      <c r="CL122" s="1806">
        <f t="shared" ref="CL122" si="1586">IF($H122&lt;&gt;CM$5,0,IF(CM122&lt;0,IF(OR($J122=1,$J122=2,$J122=3,$J122=4,$J122=5,$J122=6,$J122=7,$J122=8,$J122=9,$J122=10),-$E122*$I122/12*3,IF($J122=11,-$E122*$I122/12*2,IF($J122=12,-$E122*$I122/12*1,0)))))+IF(CH$5&lt;&gt;$H122,0,IF(CH122&lt;0,IF($J122=10,-$E122*$I122/12*0,IF($J122=11,-$E122*$I122/12*1,IF($J122=12,-$E122*$I122/12*2,0)))))</f>
        <v>0</v>
      </c>
      <c r="CM122" s="1791">
        <f t="shared" ref="CM122" si="1587">IF(AND(CH122&lt;&gt;0,CH$5=$H122),-$I122*$E122-CH122,IF(CM$5=$H122,-$I122*$E122*(12-$J122+1)/12,0))</f>
        <v>0</v>
      </c>
      <c r="CN122" s="1808">
        <f t="shared" ref="CN122" si="1588">IF($H122&lt;&gt;CR$5,0,IF(CR122&lt;0,IF($J122=1,-$E122*$I122/12*3,IF($J122=2,-$E122*$I122/12*2,IF($J122=3,-$E122*$I122/12*1,0)))))+IF(CM$5&lt;&gt;$H122,0,IF(CM122&lt;0,IF($J122=1,-$E122*$I122/12*0,IF($J122=2,-$E122*$I122/12*1,IF($J122=3,-$E122*$I122/12*2,IF($J122&gt;=4,-$E122*$I122/12*3,0))))))</f>
        <v>0</v>
      </c>
      <c r="CO122" s="1807">
        <f t="shared" ref="CO122" si="1589">IF($H122&lt;&gt;CR$5,0,IF(CR122&lt;0,IF(OR($J122=1,$J122=2,$J122=3,$J122=4),-$E122*$I122/12*3,IF($J122=5,-$E122*$I122/12*2,IF($J122=6,-$E122*$I122/12*1,0)))))+IF(CM$5&lt;&gt;$H122,0,IF(CM122&lt;0,IF($J122=4,-$E122*$I122/12*0,IF($J122=5,-$E122*$I122/12*1,IF($J122=6,-$E122*$I122/12*2,IF($J122&gt;=7,-$E122*$I122/12*3,0))))))</f>
        <v>0</v>
      </c>
      <c r="CP122" s="1807">
        <f t="shared" ref="CP122" si="1590">IF($H122&lt;&gt;CR$5,0,IF(CR122&lt;0,IF(OR($J122=1,$J122=2,$J122=3,$J122=4,$J122=5,$J122=6,$J122=7),-$E122*$I122/12*3,IF($J122=8,-$E122*$I122/12*2,IF($J122=9,-$E122*$I122/12*1,0)))))+IF(CM$5&lt;&gt;$H122,0,IF(CM122&lt;0,IF($J122=7,-$E122*$I122/12*0,IF($J122=8,-$E122*$I122/12*1,IF($J122=9,-$E122*$I122/12*2,IF($J122&gt;=10,-$E122*$I122/12*3,0))))))</f>
        <v>0</v>
      </c>
      <c r="CQ122" s="1806">
        <f t="shared" ref="CQ122" si="1591">IF($H122&lt;&gt;CR$5,0,IF(CR122&lt;0,IF(OR($J122=1,$J122=2,$J122=3,$J122=4,$J122=5,$J122=6,$J122=7,$J122=8,$J122=9,$J122=10),-$E122*$I122/12*3,IF($J122=11,-$E122*$I122/12*2,IF($J122=12,-$E122*$I122/12*1,0)))))+IF(CM$5&lt;&gt;$H122,0,IF(CM122&lt;0,IF($J122=10,-$E122*$I122/12*0,IF($J122=11,-$E122*$I122/12*1,IF($J122=12,-$E122*$I122/12*2,0)))))</f>
        <v>0</v>
      </c>
      <c r="CR122" s="1791">
        <f t="shared" ref="CR122" si="1592">IF(AND(CM122&lt;&gt;0,CM$5=$H122),-$I122*$E122-CM122,IF(CR$5=$H122,-$I122*$E122*(12-$J122+1)/12,0))</f>
        <v>0</v>
      </c>
      <c r="CS122" s="1808">
        <f t="shared" ref="CS122" si="1593">IF($H122&lt;&gt;CW$5,0,IF(CW122&lt;0,IF($J122=1,-$E122*$I122/12*3,IF($J122=2,-$E122*$I122/12*2,IF($J122=3,-$E122*$I122/12*1,0)))))+IF(CR$5&lt;&gt;$H122,0,IF(CR122&lt;0,IF($J122=1,-$E122*$I122/12*0,IF($J122=2,-$E122*$I122/12*1,IF($J122=3,-$E122*$I122/12*2,IF($J122&gt;=4,-$E122*$I122/12*3,0))))))</f>
        <v>0</v>
      </c>
      <c r="CT122" s="1807">
        <f t="shared" ref="CT122" si="1594">IF($H122&lt;&gt;CW$5,0,IF(CW122&lt;0,IF(OR($J122=1,$J122=2,$J122=3,$J122=4),-$E122*$I122/12*3,IF($J122=5,-$E122*$I122/12*2,IF($J122=6,-$E122*$I122/12*1,0)))))+IF(CR$5&lt;&gt;$H122,0,IF(CR122&lt;0,IF($J122=4,-$E122*$I122/12*0,IF($J122=5,-$E122*$I122/12*1,IF($J122=6,-$E122*$I122/12*2,IF($J122&gt;=7,-$E122*$I122/12*3,0))))))</f>
        <v>0</v>
      </c>
      <c r="CU122" s="1807">
        <f t="shared" ref="CU122" si="1595">IF($H122&lt;&gt;CW$5,0,IF(CW122&lt;0,IF(OR($J122=1,$J122=2,$J122=3,$J122=4,$J122=5,$J122=6,$J122=7),-$E122*$I122/12*3,IF($J122=8,-$E122*$I122/12*2,IF($J122=9,-$E122*$I122/12*1,0)))))+IF(CR$5&lt;&gt;$H122,0,IF(CR122&lt;0,IF($J122=7,-$E122*$I122/12*0,IF($J122=8,-$E122*$I122/12*1,IF($J122=9,-$E122*$I122/12*2,IF($J122&gt;=10,-$E122*$I122/12*3,0))))))</f>
        <v>0</v>
      </c>
      <c r="CV122" s="1806">
        <f t="shared" ref="CV122" si="1596">IF($H122&lt;&gt;CW$5,0,IF(CW122&lt;0,IF(OR($J122=1,$J122=2,$J122=3,$J122=4,$J122=5,$J122=6,$J122=7,$J122=8,$J122=9,$J122=10),-$E122*$I122/12*3,IF($J122=11,-$E122*$I122/12*2,IF($J122=12,-$E122*$I122/12*1,0)))))+IF(CR$5&lt;&gt;$H122,0,IF(CR122&lt;0,IF($J122=10,-$E122*$I122/12*0,IF($J122=11,-$E122*$I122/12*1,IF($J122=12,-$E122*$I122/12*2,0)))))</f>
        <v>0</v>
      </c>
      <c r="CW122" s="1791">
        <f t="shared" ref="CW122" si="1597">IF(AND(CR122&lt;&gt;0,CR$5=$H122),-$I122*$E122-CR122,IF(CW$5=$H122,-$I122*$E122*(12-$J122+1)/12,0))</f>
        <v>0</v>
      </c>
      <c r="CX122" s="1808">
        <f t="shared" ref="CX122" si="1598">IF($H122&lt;&gt;DB$5,0,IF(DB122&lt;0,IF($J122=1,-$E122*$I122/12*3,IF($J122=2,-$E122*$I122/12*2,IF($J122=3,-$E122*$I122/12*1,0)))))+IF(CW$5&lt;&gt;$H122,0,IF(CW122&lt;0,IF($J122=1,-$E122*$I122/12*0,IF($J122=2,-$E122*$I122/12*1,IF($J122=3,-$E122*$I122/12*2,IF($J122&gt;=4,-$E122*$I122/12*3,0))))))</f>
        <v>0</v>
      </c>
      <c r="CY122" s="1807">
        <f t="shared" ref="CY122" si="1599">IF($H122&lt;&gt;DB$5,0,IF(DB122&lt;0,IF(OR($J122=1,$J122=2,$J122=3,$J122=4),-$E122*$I122/12*3,IF($J122=5,-$E122*$I122/12*2,IF($J122=6,-$E122*$I122/12*1,0)))))+IF(CW$5&lt;&gt;$H122,0,IF(CW122&lt;0,IF($J122=4,-$E122*$I122/12*0,IF($J122=5,-$E122*$I122/12*1,IF($J122=6,-$E122*$I122/12*2,IF($J122&gt;=7,-$E122*$I122/12*3,0))))))</f>
        <v>0</v>
      </c>
      <c r="CZ122" s="1807">
        <f t="shared" ref="CZ122" si="1600">IF($H122&lt;&gt;DB$5,0,IF(DB122&lt;0,IF(OR($J122=1,$J122=2,$J122=3,$J122=4,$J122=5,$J122=6,$J122=7),-$E122*$I122/12*3,IF($J122=8,-$E122*$I122/12*2,IF($J122=9,-$E122*$I122/12*1,0)))))+IF(CW$5&lt;&gt;$H122,0,IF(CW122&lt;0,IF($J122=7,-$E122*$I122/12*0,IF($J122=8,-$E122*$I122/12*1,IF($J122=9,-$E122*$I122/12*2,IF($J122&gt;=10,-$E122*$I122/12*3,0))))))</f>
        <v>0</v>
      </c>
      <c r="DA122" s="1806">
        <f t="shared" ref="DA122" si="1601">IF($H122&lt;&gt;DB$5,0,IF(DB122&lt;0,IF(OR($J122=1,$J122=2,$J122=3,$J122=4,$J122=5,$J122=6,$J122=7,$J122=8,$J122=9,$J122=10),-$E122*$I122/12*3,IF($J122=11,-$E122*$I122/12*2,IF($J122=12,-$E122*$I122/12*1,0)))))+IF(CW$5&lt;&gt;$H122,0,IF(CW122&lt;0,IF($J122=10,-$E122*$I122/12*0,IF($J122=11,-$E122*$I122/12*1,IF($J122=12,-$E122*$I122/12*2,0)))))</f>
        <v>0</v>
      </c>
      <c r="DB122" s="1791">
        <f t="shared" ref="DB122" si="1602">IF(AND(CW122&lt;&gt;0,CW$5=$H122),-$I122*$E122-CW122,IF(DB$5=$H122,-$I122*$E122*(12-$J122+1)/12,0))</f>
        <v>0</v>
      </c>
      <c r="DC122" s="1808">
        <f t="shared" ref="DC122" si="1603">IF($H122&lt;&gt;DG$5,0,IF(DG122&lt;0,IF($J122=1,-$E122*$I122/12*3,IF($J122=2,-$E122*$I122/12*2,IF($J122=3,-$E122*$I122/12*1,0)))))+IF(DB$5&lt;&gt;$H122,0,IF(DB122&lt;0,IF($J122=1,-$E122*$I122/12*0,IF($J122=2,-$E122*$I122/12*1,IF($J122=3,-$E122*$I122/12*2,IF($J122&gt;=4,-$E122*$I122/12*3,0))))))</f>
        <v>0</v>
      </c>
      <c r="DD122" s="1807">
        <f t="shared" ref="DD122" si="1604">IF($H122&lt;&gt;DG$5,0,IF(DG122&lt;0,IF(OR($J122=1,$J122=2,$J122=3,$J122=4),-$E122*$I122/12*3,IF($J122=5,-$E122*$I122/12*2,IF($J122=6,-$E122*$I122/12*1,0)))))+IF(DB$5&lt;&gt;$H122,0,IF(DB122&lt;0,IF($J122=4,-$E122*$I122/12*0,IF($J122=5,-$E122*$I122/12*1,IF($J122=6,-$E122*$I122/12*2,IF($J122&gt;=7,-$E122*$I122/12*3,0))))))</f>
        <v>0</v>
      </c>
      <c r="DE122" s="1807">
        <f t="shared" ref="DE122" si="1605">IF($H122&lt;&gt;DG$5,0,IF(DG122&lt;0,IF(OR($J122=1,$J122=2,$J122=3,$J122=4,$J122=5,$J122=6,$J122=7),-$E122*$I122/12*3,IF($J122=8,-$E122*$I122/12*2,IF($J122=9,-$E122*$I122/12*1,0)))))+IF(DB$5&lt;&gt;$H122,0,IF(DB122&lt;0,IF($J122=7,-$E122*$I122/12*0,IF($J122=8,-$E122*$I122/12*1,IF($J122=9,-$E122*$I122/12*2,IF($J122&gt;=10,-$E122*$I122/12*3,0))))))</f>
        <v>0</v>
      </c>
      <c r="DF122" s="1806">
        <f t="shared" ref="DF122" si="1606">IF($H122&lt;&gt;DG$5,0,IF(DG122&lt;0,IF(OR($J122=1,$J122=2,$J122=3,$J122=4,$J122=5,$J122=6,$J122=7,$J122=8,$J122=9,$J122=10),-$E122*$I122/12*3,IF($J122=11,-$E122*$I122/12*2,IF($J122=12,-$E122*$I122/12*1,0)))))+IF(DB$5&lt;&gt;$H122,0,IF(DB122&lt;0,IF($J122=10,-$E122*$I122/12*0,IF($J122=11,-$E122*$I122/12*1,IF($J122=12,-$E122*$I122/12*2,0)))))</f>
        <v>0</v>
      </c>
      <c r="DG122" s="1791">
        <f t="shared" ref="DG122" si="1607">IF(AND(DB122&lt;&gt;0,DB$5=$H122),-$I122*$E122-DB122,IF(DG$5=$H122,-$I122*$E122*(12-$J122+1)/12,0))</f>
        <v>0</v>
      </c>
      <c r="DH122" s="1808">
        <f t="shared" ref="DH122" si="1608">IF($H122&lt;&gt;DL$5,0,IF(DL122&lt;0,IF($J122=1,-$E122*$I122/12*3,IF($J122=2,-$E122*$I122/12*2,IF($J122=3,-$E122*$I122/12*1,0)))))+IF(DG$5&lt;&gt;$H122,0,IF(DG122&lt;0,IF($J122=1,-$E122*$I122/12*0,IF($J122=2,-$E122*$I122/12*1,IF($J122=3,-$E122*$I122/12*2,IF($J122&gt;=4,-$E122*$I122/12*3,0))))))</f>
        <v>0</v>
      </c>
      <c r="DI122" s="1807">
        <f t="shared" ref="DI122" si="1609">IF($H122&lt;&gt;DL$5,0,IF(DL122&lt;0,IF(OR($J122=1,$J122=2,$J122=3,$J122=4),-$E122*$I122/12*3,IF($J122=5,-$E122*$I122/12*2,IF($J122=6,-$E122*$I122/12*1,0)))))+IF(DG$5&lt;&gt;$H122,0,IF(DG122&lt;0,IF($J122=4,-$E122*$I122/12*0,IF($J122=5,-$E122*$I122/12*1,IF($J122=6,-$E122*$I122/12*2,IF($J122&gt;=7,-$E122*$I122/12*3,0))))))</f>
        <v>0</v>
      </c>
      <c r="DJ122" s="1807">
        <f t="shared" ref="DJ122" si="1610">IF($H122&lt;&gt;DL$5,0,IF(DL122&lt;0,IF(OR($J122=1,$J122=2,$J122=3,$J122=4,$J122=5,$J122=6,$J122=7),-$E122*$I122/12*3,IF($J122=8,-$E122*$I122/12*2,IF($J122=9,-$E122*$I122/12*1,0)))))+IF(DG$5&lt;&gt;$H122,0,IF(DG122&lt;0,IF($J122=7,-$E122*$I122/12*0,IF($J122=8,-$E122*$I122/12*1,IF($J122=9,-$E122*$I122/12*2,IF($J122&gt;=10,-$E122*$I122/12*3,0))))))</f>
        <v>0</v>
      </c>
      <c r="DK122" s="1806">
        <f t="shared" ref="DK122" si="1611">IF($H122&lt;&gt;DL$5,0,IF(DL122&lt;0,IF(OR($J122=1,$J122=2,$J122=3,$J122=4,$J122=5,$J122=6,$J122=7,$J122=8,$J122=9,$J122=10),-$E122*$I122/12*3,IF($J122=11,-$E122*$I122/12*2,IF($J122=12,-$E122*$I122/12*1,0)))))+IF(DG$5&lt;&gt;$H122,0,IF(DG122&lt;0,IF($J122=10,-$E122*$I122/12*0,IF($J122=11,-$E122*$I122/12*1,IF($J122=12,-$E122*$I122/12*2,0)))))</f>
        <v>0</v>
      </c>
      <c r="DL122" s="1791">
        <f t="shared" ref="DL122" si="1612">IF(AND(DG122&lt;&gt;0,DG$5=$H122),-$I122*$E122-DG122,IF(DL$5=$H122,-$I122*$E122*(12-$J122+1)/12,0))</f>
        <v>0</v>
      </c>
      <c r="DM122" s="1808">
        <f t="shared" ref="DM122" si="1613">IF($H122&lt;&gt;DQ$5,0,IF(DQ122&lt;0,IF($J122=1,-$E122*$I122/12*3,IF($J122=2,-$E122*$I122/12*2,IF($J122=3,-$E122*$I122/12*1,0)))))+IF(DL$5&lt;&gt;$H122,0,IF(DL122&lt;0,IF($J122=1,-$E122*$I122/12*0,IF($J122=2,-$E122*$I122/12*1,IF($J122=3,-$E122*$I122/12*2,IF($J122&gt;=4,-$E122*$I122/12*3,0))))))</f>
        <v>0</v>
      </c>
      <c r="DN122" s="1807">
        <f t="shared" ref="DN122" si="1614">IF($H122&lt;&gt;DQ$5,0,IF(DQ122&lt;0,IF(OR($J122=1,$J122=2,$J122=3,$J122=4),-$E122*$I122/12*3,IF($J122=5,-$E122*$I122/12*2,IF($J122=6,-$E122*$I122/12*1,0)))))+IF(DL$5&lt;&gt;$H122,0,IF(DL122&lt;0,IF($J122=4,-$E122*$I122/12*0,IF($J122=5,-$E122*$I122/12*1,IF($J122=6,-$E122*$I122/12*2,IF($J122&gt;=7,-$E122*$I122/12*3,0))))))</f>
        <v>0</v>
      </c>
      <c r="DO122" s="1807">
        <f t="shared" ref="DO122" si="1615">IF($H122&lt;&gt;DQ$5,0,IF(DQ122&lt;0,IF(OR($J122=1,$J122=2,$J122=3,$J122=4,$J122=5,$J122=6,$J122=7),-$E122*$I122/12*3,IF($J122=8,-$E122*$I122/12*2,IF($J122=9,-$E122*$I122/12*1,0)))))+IF(DL$5&lt;&gt;$H122,0,IF(DL122&lt;0,IF($J122=7,-$E122*$I122/12*0,IF($J122=8,-$E122*$I122/12*1,IF($J122=9,-$E122*$I122/12*2,IF($J122&gt;=10,-$E122*$I122/12*3,0))))))</f>
        <v>0</v>
      </c>
      <c r="DP122" s="1806">
        <f t="shared" ref="DP122" si="1616">IF($H122&lt;&gt;DQ$5,0,IF(DQ122&lt;0,IF(OR($J122=1,$J122=2,$J122=3,$J122=4,$J122=5,$J122=6,$J122=7,$J122=8,$J122=9,$J122=10),-$E122*$I122/12*3,IF($J122=11,-$E122*$I122/12*2,IF($J122=12,-$E122*$I122/12*1,0)))))+IF(DL$5&lt;&gt;$H122,0,IF(DL122&lt;0,IF($J122=10,-$E122*$I122/12*0,IF($J122=11,-$E122*$I122/12*1,IF($J122=12,-$E122*$I122/12*2,0)))))</f>
        <v>0</v>
      </c>
      <c r="DQ122" s="1791">
        <f t="shared" ref="DQ122" si="1617">IF(AND(DL122&lt;&gt;0,DL$5=$H122),-$I122*$E122-DL122,IF(DQ$5=$H122,-$I122*$E122*(12-$J122+1)/12,0))</f>
        <v>0</v>
      </c>
      <c r="DR122" s="1808">
        <f t="shared" ref="DR122" si="1618">IF($H122&lt;&gt;DV$5,0,IF(DV122&lt;0,IF($J122=1,-$E122*$I122/12*3,IF($J122=2,-$E122*$I122/12*2,IF($J122=3,-$E122*$I122/12*1,0)))))+IF(DQ$5&lt;&gt;$H122,0,IF(DQ122&lt;0,IF($J122=1,-$E122*$I122/12*0,IF($J122=2,-$E122*$I122/12*1,IF($J122=3,-$E122*$I122/12*2,IF($J122&gt;=4,-$E122*$I122/12*3,0))))))</f>
        <v>0</v>
      </c>
      <c r="DS122" s="1807">
        <f t="shared" ref="DS122" si="1619">IF($H122&lt;&gt;DV$5,0,IF(DV122&lt;0,IF(OR($J122=1,$J122=2,$J122=3,$J122=4),-$E122*$I122/12*3,IF($J122=5,-$E122*$I122/12*2,IF($J122=6,-$E122*$I122/12*1,0)))))+IF(DQ$5&lt;&gt;$H122,0,IF(DQ122&lt;0,IF($J122=4,-$E122*$I122/12*0,IF($J122=5,-$E122*$I122/12*1,IF($J122=6,-$E122*$I122/12*2,IF($J122&gt;=7,-$E122*$I122/12*3,0))))))</f>
        <v>0</v>
      </c>
      <c r="DT122" s="1807">
        <f t="shared" ref="DT122" si="1620">IF($H122&lt;&gt;DV$5,0,IF(DV122&lt;0,IF(OR($J122=1,$J122=2,$J122=3,$J122=4,$J122=5,$J122=6,$J122=7),-$E122*$I122/12*3,IF($J122=8,-$E122*$I122/12*2,IF($J122=9,-$E122*$I122/12*1,0)))))+IF(DQ$5&lt;&gt;$H122,0,IF(DQ122&lt;0,IF($J122=7,-$E122*$I122/12*0,IF($J122=8,-$E122*$I122/12*1,IF($J122=9,-$E122*$I122/12*2,IF($J122&gt;=10,-$E122*$I122/12*3,0))))))</f>
        <v>0</v>
      </c>
      <c r="DU122" s="1806">
        <f t="shared" ref="DU122" si="1621">IF($H122&lt;&gt;DV$5,0,IF(DV122&lt;0,IF(OR($J122=1,$J122=2,$J122=3,$J122=4,$J122=5,$J122=6,$J122=7,$J122=8,$J122=9,$J122=10),-$E122*$I122/12*3,IF($J122=11,-$E122*$I122/12*2,IF($J122=12,-$E122*$I122/12*1,0)))))+IF(DQ$5&lt;&gt;$H122,0,IF(DQ122&lt;0,IF($J122=10,-$E122*$I122/12*0,IF($J122=11,-$E122*$I122/12*1,IF($J122=12,-$E122*$I122/12*2,0)))))</f>
        <v>0</v>
      </c>
      <c r="DV122" s="1791">
        <f t="shared" ref="DV122" si="1622">IF(AND(DQ122&lt;&gt;0,DQ$5=$H122),-$I122*$E122-DQ122,IF(DV$5=$H122,-$I122*$E122*(12-$J122+1)/12,0))</f>
        <v>0</v>
      </c>
    </row>
    <row r="123" spans="1:126">
      <c r="A123" s="455"/>
      <c r="B123" s="455"/>
      <c r="C123" s="1363"/>
      <c r="D123" s="455"/>
      <c r="E123" s="1817"/>
      <c r="F123" s="1435"/>
      <c r="G123" s="1435"/>
      <c r="H123" s="1350"/>
      <c r="I123" s="1335"/>
      <c r="J123" s="1343"/>
      <c r="K123" s="1792"/>
      <c r="L123" s="1810">
        <f t="shared" si="1306"/>
        <v>0</v>
      </c>
      <c r="M123" s="1791">
        <f t="shared" si="1306"/>
        <v>0</v>
      </c>
      <c r="N123" s="1808">
        <f t="shared" si="1307"/>
        <v>0</v>
      </c>
      <c r="O123" s="1807">
        <f t="shared" si="1308"/>
        <v>0</v>
      </c>
      <c r="P123" s="1807">
        <f t="shared" si="1309"/>
        <v>0</v>
      </c>
      <c r="Q123" s="1806">
        <f t="shared" si="1310"/>
        <v>0</v>
      </c>
      <c r="R123" s="1791">
        <f t="shared" si="1311"/>
        <v>0</v>
      </c>
      <c r="S123" s="1808">
        <f t="shared" si="1312"/>
        <v>0</v>
      </c>
      <c r="T123" s="1807">
        <f t="shared" si="1313"/>
        <v>0</v>
      </c>
      <c r="U123" s="1807">
        <f t="shared" si="1314"/>
        <v>0</v>
      </c>
      <c r="V123" s="1806">
        <f t="shared" si="1315"/>
        <v>0</v>
      </c>
      <c r="W123" s="1791">
        <f t="shared" si="1316"/>
        <v>0</v>
      </c>
      <c r="X123" s="1808">
        <f t="shared" si="1317"/>
        <v>0</v>
      </c>
      <c r="Y123" s="1807">
        <f t="shared" si="1318"/>
        <v>0</v>
      </c>
      <c r="Z123" s="1807">
        <f t="shared" si="1319"/>
        <v>0</v>
      </c>
      <c r="AA123" s="1806">
        <f t="shared" si="1320"/>
        <v>0</v>
      </c>
      <c r="AB123" s="1791">
        <f t="shared" si="1321"/>
        <v>0</v>
      </c>
      <c r="AC123" s="1808">
        <f t="shared" si="1322"/>
        <v>0</v>
      </c>
      <c r="AD123" s="1807">
        <f t="shared" si="1323"/>
        <v>0</v>
      </c>
      <c r="AE123" s="1807">
        <f t="shared" si="1324"/>
        <v>0</v>
      </c>
      <c r="AF123" s="1806">
        <f t="shared" si="1325"/>
        <v>0</v>
      </c>
      <c r="AG123" s="1791">
        <f t="shared" si="1326"/>
        <v>0</v>
      </c>
      <c r="AH123" s="1808">
        <f t="shared" si="1327"/>
        <v>0</v>
      </c>
      <c r="AI123" s="1807">
        <f t="shared" si="1328"/>
        <v>0</v>
      </c>
      <c r="AJ123" s="1807">
        <f t="shared" si="1329"/>
        <v>0</v>
      </c>
      <c r="AK123" s="1806">
        <f t="shared" si="1330"/>
        <v>0</v>
      </c>
      <c r="AL123" s="1791">
        <f t="shared" si="1331"/>
        <v>0</v>
      </c>
      <c r="AM123" s="1808">
        <f t="shared" si="1332"/>
        <v>0</v>
      </c>
      <c r="AN123" s="1807">
        <f t="shared" si="1333"/>
        <v>0</v>
      </c>
      <c r="AO123" s="1807">
        <f t="shared" si="1334"/>
        <v>0</v>
      </c>
      <c r="AP123" s="1806">
        <f t="shared" si="1335"/>
        <v>0</v>
      </c>
      <c r="AQ123" s="1791">
        <f t="shared" si="1336"/>
        <v>0</v>
      </c>
      <c r="AR123" s="1808">
        <f t="shared" si="1337"/>
        <v>0</v>
      </c>
      <c r="AS123" s="1807">
        <f t="shared" si="1338"/>
        <v>0</v>
      </c>
      <c r="AT123" s="1807">
        <f t="shared" si="1339"/>
        <v>0</v>
      </c>
      <c r="AU123" s="1806">
        <f t="shared" si="1340"/>
        <v>0</v>
      </c>
      <c r="AV123" s="1791">
        <f t="shared" si="1341"/>
        <v>0</v>
      </c>
      <c r="AW123" s="1808">
        <f t="shared" si="1342"/>
        <v>0</v>
      </c>
      <c r="AX123" s="1807">
        <f t="shared" si="1343"/>
        <v>0</v>
      </c>
      <c r="AY123" s="1807">
        <f t="shared" si="1344"/>
        <v>0</v>
      </c>
      <c r="AZ123" s="1806">
        <f t="shared" si="1345"/>
        <v>0</v>
      </c>
      <c r="BA123" s="1791">
        <f t="shared" si="1346"/>
        <v>0</v>
      </c>
      <c r="BB123" s="1808">
        <f t="shared" si="1347"/>
        <v>0</v>
      </c>
      <c r="BC123" s="1807">
        <f t="shared" si="1348"/>
        <v>0</v>
      </c>
      <c r="BD123" s="1807">
        <f t="shared" si="1349"/>
        <v>0</v>
      </c>
      <c r="BE123" s="1806">
        <f t="shared" si="1350"/>
        <v>0</v>
      </c>
      <c r="BF123" s="1791">
        <f t="shared" si="1351"/>
        <v>0</v>
      </c>
      <c r="BG123" s="1808">
        <f t="shared" si="1352"/>
        <v>0</v>
      </c>
      <c r="BH123" s="1807">
        <f t="shared" si="1353"/>
        <v>0</v>
      </c>
      <c r="BI123" s="1807">
        <f t="shared" si="1354"/>
        <v>0</v>
      </c>
      <c r="BJ123" s="1806">
        <f t="shared" si="1355"/>
        <v>0</v>
      </c>
      <c r="BK123" s="1791">
        <f t="shared" si="1356"/>
        <v>0</v>
      </c>
      <c r="BL123" s="1808">
        <f t="shared" si="1357"/>
        <v>0</v>
      </c>
      <c r="BM123" s="1807">
        <f t="shared" si="1358"/>
        <v>0</v>
      </c>
      <c r="BN123" s="1807">
        <f t="shared" si="1359"/>
        <v>0</v>
      </c>
      <c r="BO123" s="1806">
        <f t="shared" si="1360"/>
        <v>0</v>
      </c>
      <c r="BP123" s="1791">
        <f t="shared" si="1361"/>
        <v>0</v>
      </c>
      <c r="BQ123" s="1827"/>
      <c r="BR123" s="1791">
        <f t="shared" si="1362"/>
        <v>0</v>
      </c>
      <c r="BS123" s="1791">
        <f t="shared" si="1362"/>
        <v>0</v>
      </c>
      <c r="BT123" s="1808">
        <f t="shared" si="1363"/>
        <v>0</v>
      </c>
      <c r="BU123" s="1807">
        <f t="shared" si="1364"/>
        <v>0</v>
      </c>
      <c r="BV123" s="1807">
        <f t="shared" si="1365"/>
        <v>0</v>
      </c>
      <c r="BW123" s="1806">
        <f t="shared" si="1366"/>
        <v>0</v>
      </c>
      <c r="BX123" s="1791">
        <f t="shared" si="1367"/>
        <v>0</v>
      </c>
      <c r="BY123" s="1808">
        <f t="shared" si="1368"/>
        <v>0</v>
      </c>
      <c r="BZ123" s="1807">
        <f t="shared" si="1369"/>
        <v>0</v>
      </c>
      <c r="CA123" s="1807">
        <f t="shared" si="1370"/>
        <v>0</v>
      </c>
      <c r="CB123" s="1806">
        <f t="shared" si="1371"/>
        <v>0</v>
      </c>
      <c r="CC123" s="1791">
        <f t="shared" si="1372"/>
        <v>0</v>
      </c>
      <c r="CD123" s="1808">
        <f t="shared" si="1373"/>
        <v>0</v>
      </c>
      <c r="CE123" s="1807">
        <f t="shared" si="1374"/>
        <v>0</v>
      </c>
      <c r="CF123" s="1807">
        <f t="shared" si="1375"/>
        <v>0</v>
      </c>
      <c r="CG123" s="1806">
        <f t="shared" si="1376"/>
        <v>0</v>
      </c>
      <c r="CH123" s="1791">
        <f t="shared" si="1377"/>
        <v>0</v>
      </c>
      <c r="CI123" s="1808">
        <f t="shared" si="1378"/>
        <v>0</v>
      </c>
      <c r="CJ123" s="1807">
        <f t="shared" si="1379"/>
        <v>0</v>
      </c>
      <c r="CK123" s="1807">
        <f t="shared" si="1380"/>
        <v>0</v>
      </c>
      <c r="CL123" s="1806">
        <f t="shared" si="1381"/>
        <v>0</v>
      </c>
      <c r="CM123" s="1791">
        <f t="shared" si="1382"/>
        <v>0</v>
      </c>
      <c r="CN123" s="1808">
        <f t="shared" si="1383"/>
        <v>0</v>
      </c>
      <c r="CO123" s="1807">
        <f t="shared" si="1384"/>
        <v>0</v>
      </c>
      <c r="CP123" s="1807">
        <f t="shared" si="1385"/>
        <v>0</v>
      </c>
      <c r="CQ123" s="1806">
        <f t="shared" si="1386"/>
        <v>0</v>
      </c>
      <c r="CR123" s="1791">
        <f t="shared" si="1387"/>
        <v>0</v>
      </c>
      <c r="CS123" s="1808">
        <f t="shared" si="1388"/>
        <v>0</v>
      </c>
      <c r="CT123" s="1807">
        <f t="shared" si="1389"/>
        <v>0</v>
      </c>
      <c r="CU123" s="1807">
        <f t="shared" si="1390"/>
        <v>0</v>
      </c>
      <c r="CV123" s="1806">
        <f t="shared" si="1391"/>
        <v>0</v>
      </c>
      <c r="CW123" s="1791">
        <f t="shared" si="1392"/>
        <v>0</v>
      </c>
      <c r="CX123" s="1808">
        <f t="shared" si="1393"/>
        <v>0</v>
      </c>
      <c r="CY123" s="1807">
        <f t="shared" si="1394"/>
        <v>0</v>
      </c>
      <c r="CZ123" s="1807">
        <f t="shared" si="1395"/>
        <v>0</v>
      </c>
      <c r="DA123" s="1806">
        <f t="shared" si="1396"/>
        <v>0</v>
      </c>
      <c r="DB123" s="1791">
        <f t="shared" si="1397"/>
        <v>0</v>
      </c>
      <c r="DC123" s="1808">
        <f t="shared" si="1398"/>
        <v>0</v>
      </c>
      <c r="DD123" s="1807">
        <f t="shared" si="1399"/>
        <v>0</v>
      </c>
      <c r="DE123" s="1807">
        <f t="shared" si="1400"/>
        <v>0</v>
      </c>
      <c r="DF123" s="1806">
        <f t="shared" si="1401"/>
        <v>0</v>
      </c>
      <c r="DG123" s="1791">
        <f t="shared" si="1402"/>
        <v>0</v>
      </c>
      <c r="DH123" s="1808">
        <f t="shared" si="1403"/>
        <v>0</v>
      </c>
      <c r="DI123" s="1807">
        <f t="shared" si="1404"/>
        <v>0</v>
      </c>
      <c r="DJ123" s="1807">
        <f t="shared" si="1405"/>
        <v>0</v>
      </c>
      <c r="DK123" s="1806">
        <f t="shared" si="1406"/>
        <v>0</v>
      </c>
      <c r="DL123" s="1791">
        <f t="shared" si="1407"/>
        <v>0</v>
      </c>
      <c r="DM123" s="1808">
        <f t="shared" si="1408"/>
        <v>0</v>
      </c>
      <c r="DN123" s="1807">
        <f t="shared" si="1409"/>
        <v>0</v>
      </c>
      <c r="DO123" s="1807">
        <f t="shared" si="1410"/>
        <v>0</v>
      </c>
      <c r="DP123" s="1806">
        <f t="shared" si="1411"/>
        <v>0</v>
      </c>
      <c r="DQ123" s="1791">
        <f t="shared" si="1412"/>
        <v>0</v>
      </c>
      <c r="DR123" s="1808">
        <f t="shared" si="1413"/>
        <v>0</v>
      </c>
      <c r="DS123" s="1807">
        <f t="shared" si="1414"/>
        <v>0</v>
      </c>
      <c r="DT123" s="1807">
        <f t="shared" si="1415"/>
        <v>0</v>
      </c>
      <c r="DU123" s="1806">
        <f t="shared" si="1416"/>
        <v>0</v>
      </c>
      <c r="DV123" s="1791">
        <f t="shared" si="1417"/>
        <v>0</v>
      </c>
    </row>
    <row r="124" spans="1:126">
      <c r="A124" s="455"/>
      <c r="B124" s="455"/>
      <c r="C124" s="1596" t="s">
        <v>746</v>
      </c>
      <c r="D124" s="455"/>
      <c r="E124" s="1817"/>
      <c r="F124" s="1435"/>
      <c r="G124" s="1435"/>
      <c r="H124" s="1597"/>
      <c r="I124" s="1598"/>
      <c r="J124" s="1599"/>
      <c r="K124" s="1792"/>
      <c r="L124" s="1810">
        <f t="shared" si="1306"/>
        <v>0</v>
      </c>
      <c r="M124" s="1791">
        <f t="shared" si="1306"/>
        <v>0</v>
      </c>
      <c r="N124" s="1808">
        <f t="shared" si="1307"/>
        <v>0</v>
      </c>
      <c r="O124" s="1807">
        <f t="shared" si="1308"/>
        <v>0</v>
      </c>
      <c r="P124" s="1807">
        <f t="shared" si="1309"/>
        <v>0</v>
      </c>
      <c r="Q124" s="1806">
        <f t="shared" si="1310"/>
        <v>0</v>
      </c>
      <c r="R124" s="1791">
        <f t="shared" si="1311"/>
        <v>0</v>
      </c>
      <c r="S124" s="1808">
        <f t="shared" si="1312"/>
        <v>0</v>
      </c>
      <c r="T124" s="1807">
        <f t="shared" si="1313"/>
        <v>0</v>
      </c>
      <c r="U124" s="1807">
        <f t="shared" si="1314"/>
        <v>0</v>
      </c>
      <c r="V124" s="1806">
        <f t="shared" si="1315"/>
        <v>0</v>
      </c>
      <c r="W124" s="1791">
        <f t="shared" si="1316"/>
        <v>0</v>
      </c>
      <c r="X124" s="1808">
        <f t="shared" si="1317"/>
        <v>0</v>
      </c>
      <c r="Y124" s="1807">
        <f t="shared" si="1318"/>
        <v>0</v>
      </c>
      <c r="Z124" s="1807">
        <f t="shared" si="1319"/>
        <v>0</v>
      </c>
      <c r="AA124" s="1806">
        <f t="shared" si="1320"/>
        <v>0</v>
      </c>
      <c r="AB124" s="1791">
        <f t="shared" si="1321"/>
        <v>0</v>
      </c>
      <c r="AC124" s="1808">
        <f t="shared" si="1322"/>
        <v>0</v>
      </c>
      <c r="AD124" s="1807">
        <f t="shared" si="1323"/>
        <v>0</v>
      </c>
      <c r="AE124" s="1807">
        <f t="shared" si="1324"/>
        <v>0</v>
      </c>
      <c r="AF124" s="1806">
        <f t="shared" si="1325"/>
        <v>0</v>
      </c>
      <c r="AG124" s="1791">
        <f t="shared" si="1326"/>
        <v>0</v>
      </c>
      <c r="AH124" s="1808">
        <f t="shared" si="1327"/>
        <v>0</v>
      </c>
      <c r="AI124" s="1807">
        <f t="shared" si="1328"/>
        <v>0</v>
      </c>
      <c r="AJ124" s="1807">
        <f t="shared" si="1329"/>
        <v>0</v>
      </c>
      <c r="AK124" s="1806">
        <f t="shared" si="1330"/>
        <v>0</v>
      </c>
      <c r="AL124" s="1791">
        <f t="shared" si="1331"/>
        <v>0</v>
      </c>
      <c r="AM124" s="1808">
        <f t="shared" si="1332"/>
        <v>0</v>
      </c>
      <c r="AN124" s="1807">
        <f t="shared" si="1333"/>
        <v>0</v>
      </c>
      <c r="AO124" s="1807">
        <f t="shared" si="1334"/>
        <v>0</v>
      </c>
      <c r="AP124" s="1806">
        <f t="shared" si="1335"/>
        <v>0</v>
      </c>
      <c r="AQ124" s="1791">
        <f t="shared" si="1336"/>
        <v>0</v>
      </c>
      <c r="AR124" s="1808">
        <f t="shared" si="1337"/>
        <v>0</v>
      </c>
      <c r="AS124" s="1807">
        <f t="shared" si="1338"/>
        <v>0</v>
      </c>
      <c r="AT124" s="1807">
        <f t="shared" si="1339"/>
        <v>0</v>
      </c>
      <c r="AU124" s="1806">
        <f t="shared" si="1340"/>
        <v>0</v>
      </c>
      <c r="AV124" s="1791">
        <f t="shared" si="1341"/>
        <v>0</v>
      </c>
      <c r="AW124" s="1808">
        <f t="shared" si="1342"/>
        <v>0</v>
      </c>
      <c r="AX124" s="1807">
        <f t="shared" si="1343"/>
        <v>0</v>
      </c>
      <c r="AY124" s="1807">
        <f t="shared" si="1344"/>
        <v>0</v>
      </c>
      <c r="AZ124" s="1806">
        <f t="shared" si="1345"/>
        <v>0</v>
      </c>
      <c r="BA124" s="1791">
        <f t="shared" si="1346"/>
        <v>0</v>
      </c>
      <c r="BB124" s="1808">
        <f t="shared" si="1347"/>
        <v>0</v>
      </c>
      <c r="BC124" s="1807">
        <f t="shared" si="1348"/>
        <v>0</v>
      </c>
      <c r="BD124" s="1807">
        <f t="shared" si="1349"/>
        <v>0</v>
      </c>
      <c r="BE124" s="1806">
        <f t="shared" si="1350"/>
        <v>0</v>
      </c>
      <c r="BF124" s="1791">
        <f t="shared" si="1351"/>
        <v>0</v>
      </c>
      <c r="BG124" s="1808">
        <f t="shared" si="1352"/>
        <v>0</v>
      </c>
      <c r="BH124" s="1807">
        <f t="shared" si="1353"/>
        <v>0</v>
      </c>
      <c r="BI124" s="1807">
        <f t="shared" si="1354"/>
        <v>0</v>
      </c>
      <c r="BJ124" s="1806">
        <f t="shared" si="1355"/>
        <v>0</v>
      </c>
      <c r="BK124" s="1791">
        <f t="shared" si="1356"/>
        <v>0</v>
      </c>
      <c r="BL124" s="1808">
        <f t="shared" si="1357"/>
        <v>0</v>
      </c>
      <c r="BM124" s="1807">
        <f t="shared" si="1358"/>
        <v>0</v>
      </c>
      <c r="BN124" s="1807">
        <f t="shared" si="1359"/>
        <v>0</v>
      </c>
      <c r="BO124" s="1806">
        <f t="shared" si="1360"/>
        <v>0</v>
      </c>
      <c r="BP124" s="1791">
        <f t="shared" si="1361"/>
        <v>0</v>
      </c>
      <c r="BQ124" s="1827"/>
      <c r="BR124" s="1791">
        <f t="shared" si="1362"/>
        <v>0</v>
      </c>
      <c r="BS124" s="1791">
        <f t="shared" si="1362"/>
        <v>0</v>
      </c>
      <c r="BT124" s="1808">
        <f t="shared" si="1363"/>
        <v>0</v>
      </c>
      <c r="BU124" s="1807">
        <f t="shared" si="1364"/>
        <v>0</v>
      </c>
      <c r="BV124" s="1807">
        <f t="shared" si="1365"/>
        <v>0</v>
      </c>
      <c r="BW124" s="1806">
        <f t="shared" si="1366"/>
        <v>0</v>
      </c>
      <c r="BX124" s="1791">
        <f t="shared" si="1367"/>
        <v>0</v>
      </c>
      <c r="BY124" s="1808">
        <f t="shared" si="1368"/>
        <v>0</v>
      </c>
      <c r="BZ124" s="1807">
        <f t="shared" si="1369"/>
        <v>0</v>
      </c>
      <c r="CA124" s="1807">
        <f t="shared" si="1370"/>
        <v>0</v>
      </c>
      <c r="CB124" s="1806">
        <f t="shared" si="1371"/>
        <v>0</v>
      </c>
      <c r="CC124" s="1791">
        <f t="shared" si="1372"/>
        <v>0</v>
      </c>
      <c r="CD124" s="1808">
        <f t="shared" si="1373"/>
        <v>0</v>
      </c>
      <c r="CE124" s="1807">
        <f t="shared" si="1374"/>
        <v>0</v>
      </c>
      <c r="CF124" s="1807">
        <f t="shared" si="1375"/>
        <v>0</v>
      </c>
      <c r="CG124" s="1806">
        <f t="shared" si="1376"/>
        <v>0</v>
      </c>
      <c r="CH124" s="1791">
        <f t="shared" si="1377"/>
        <v>0</v>
      </c>
      <c r="CI124" s="1808">
        <f t="shared" si="1378"/>
        <v>0</v>
      </c>
      <c r="CJ124" s="1807">
        <f t="shared" si="1379"/>
        <v>0</v>
      </c>
      <c r="CK124" s="1807">
        <f t="shared" si="1380"/>
        <v>0</v>
      </c>
      <c r="CL124" s="1806">
        <f t="shared" si="1381"/>
        <v>0</v>
      </c>
      <c r="CM124" s="1791">
        <f t="shared" si="1382"/>
        <v>0</v>
      </c>
      <c r="CN124" s="1808">
        <f t="shared" si="1383"/>
        <v>0</v>
      </c>
      <c r="CO124" s="1807">
        <f t="shared" si="1384"/>
        <v>0</v>
      </c>
      <c r="CP124" s="1807">
        <f t="shared" si="1385"/>
        <v>0</v>
      </c>
      <c r="CQ124" s="1806">
        <f t="shared" si="1386"/>
        <v>0</v>
      </c>
      <c r="CR124" s="1791">
        <f t="shared" si="1387"/>
        <v>0</v>
      </c>
      <c r="CS124" s="1808">
        <f t="shared" si="1388"/>
        <v>0</v>
      </c>
      <c r="CT124" s="1807">
        <f t="shared" si="1389"/>
        <v>0</v>
      </c>
      <c r="CU124" s="1807">
        <f t="shared" si="1390"/>
        <v>0</v>
      </c>
      <c r="CV124" s="1806">
        <f t="shared" si="1391"/>
        <v>0</v>
      </c>
      <c r="CW124" s="1791">
        <f t="shared" si="1392"/>
        <v>0</v>
      </c>
      <c r="CX124" s="1808">
        <f t="shared" si="1393"/>
        <v>0</v>
      </c>
      <c r="CY124" s="1807">
        <f t="shared" si="1394"/>
        <v>0</v>
      </c>
      <c r="CZ124" s="1807">
        <f t="shared" si="1395"/>
        <v>0</v>
      </c>
      <c r="DA124" s="1806">
        <f t="shared" si="1396"/>
        <v>0</v>
      </c>
      <c r="DB124" s="1791">
        <f t="shared" si="1397"/>
        <v>0</v>
      </c>
      <c r="DC124" s="1808">
        <f t="shared" si="1398"/>
        <v>0</v>
      </c>
      <c r="DD124" s="1807">
        <f t="shared" si="1399"/>
        <v>0</v>
      </c>
      <c r="DE124" s="1807">
        <f t="shared" si="1400"/>
        <v>0</v>
      </c>
      <c r="DF124" s="1806">
        <f t="shared" si="1401"/>
        <v>0</v>
      </c>
      <c r="DG124" s="1791">
        <f t="shared" si="1402"/>
        <v>0</v>
      </c>
      <c r="DH124" s="1808">
        <f t="shared" si="1403"/>
        <v>0</v>
      </c>
      <c r="DI124" s="1807">
        <f t="shared" si="1404"/>
        <v>0</v>
      </c>
      <c r="DJ124" s="1807">
        <f t="shared" si="1405"/>
        <v>0</v>
      </c>
      <c r="DK124" s="1806">
        <f t="shared" si="1406"/>
        <v>0</v>
      </c>
      <c r="DL124" s="1791">
        <f t="shared" si="1407"/>
        <v>0</v>
      </c>
      <c r="DM124" s="1808">
        <f t="shared" si="1408"/>
        <v>0</v>
      </c>
      <c r="DN124" s="1807">
        <f t="shared" si="1409"/>
        <v>0</v>
      </c>
      <c r="DO124" s="1807">
        <f t="shared" si="1410"/>
        <v>0</v>
      </c>
      <c r="DP124" s="1806">
        <f t="shared" si="1411"/>
        <v>0</v>
      </c>
      <c r="DQ124" s="1791">
        <f t="shared" si="1412"/>
        <v>0</v>
      </c>
      <c r="DR124" s="1808">
        <f t="shared" si="1413"/>
        <v>0</v>
      </c>
      <c r="DS124" s="1807">
        <f t="shared" si="1414"/>
        <v>0</v>
      </c>
      <c r="DT124" s="1807">
        <f t="shared" si="1415"/>
        <v>0</v>
      </c>
      <c r="DU124" s="1806">
        <f t="shared" si="1416"/>
        <v>0</v>
      </c>
      <c r="DV124" s="1791">
        <f t="shared" si="1417"/>
        <v>0</v>
      </c>
    </row>
    <row r="125" spans="1:126">
      <c r="A125" s="455"/>
      <c r="B125" s="455"/>
      <c r="C125" s="1363"/>
      <c r="D125" s="455"/>
      <c r="E125" s="1817"/>
      <c r="F125" s="1435"/>
      <c r="G125" s="1435"/>
      <c r="H125" s="1350"/>
      <c r="I125" s="1335"/>
      <c r="J125" s="1600"/>
      <c r="K125" s="1792"/>
      <c r="L125" s="1810">
        <f t="shared" si="1306"/>
        <v>0</v>
      </c>
      <c r="M125" s="1791">
        <f t="shared" si="1306"/>
        <v>0</v>
      </c>
      <c r="N125" s="1808">
        <f t="shared" si="1307"/>
        <v>0</v>
      </c>
      <c r="O125" s="1807">
        <f t="shared" si="1308"/>
        <v>0</v>
      </c>
      <c r="P125" s="1807">
        <f t="shared" si="1309"/>
        <v>0</v>
      </c>
      <c r="Q125" s="1806">
        <f t="shared" si="1310"/>
        <v>0</v>
      </c>
      <c r="R125" s="1791">
        <f t="shared" si="1311"/>
        <v>0</v>
      </c>
      <c r="S125" s="1808">
        <f t="shared" si="1312"/>
        <v>0</v>
      </c>
      <c r="T125" s="1807">
        <f t="shared" si="1313"/>
        <v>0</v>
      </c>
      <c r="U125" s="1807">
        <f t="shared" si="1314"/>
        <v>0</v>
      </c>
      <c r="V125" s="1806">
        <f t="shared" si="1315"/>
        <v>0</v>
      </c>
      <c r="W125" s="1791">
        <f t="shared" si="1316"/>
        <v>0</v>
      </c>
      <c r="X125" s="1808">
        <f t="shared" si="1317"/>
        <v>0</v>
      </c>
      <c r="Y125" s="1807">
        <f t="shared" si="1318"/>
        <v>0</v>
      </c>
      <c r="Z125" s="1807">
        <f t="shared" si="1319"/>
        <v>0</v>
      </c>
      <c r="AA125" s="1806">
        <f t="shared" si="1320"/>
        <v>0</v>
      </c>
      <c r="AB125" s="1791">
        <f t="shared" si="1321"/>
        <v>0</v>
      </c>
      <c r="AC125" s="1808">
        <f t="shared" si="1322"/>
        <v>0</v>
      </c>
      <c r="AD125" s="1807">
        <f t="shared" si="1323"/>
        <v>0</v>
      </c>
      <c r="AE125" s="1807">
        <f t="shared" si="1324"/>
        <v>0</v>
      </c>
      <c r="AF125" s="1806">
        <f t="shared" si="1325"/>
        <v>0</v>
      </c>
      <c r="AG125" s="1791">
        <f t="shared" si="1326"/>
        <v>0</v>
      </c>
      <c r="AH125" s="1808">
        <f t="shared" si="1327"/>
        <v>0</v>
      </c>
      <c r="AI125" s="1807">
        <f t="shared" si="1328"/>
        <v>0</v>
      </c>
      <c r="AJ125" s="1807">
        <f t="shared" si="1329"/>
        <v>0</v>
      </c>
      <c r="AK125" s="1806">
        <f t="shared" si="1330"/>
        <v>0</v>
      </c>
      <c r="AL125" s="1791">
        <f t="shared" si="1331"/>
        <v>0</v>
      </c>
      <c r="AM125" s="1808">
        <f t="shared" si="1332"/>
        <v>0</v>
      </c>
      <c r="AN125" s="1807">
        <f t="shared" si="1333"/>
        <v>0</v>
      </c>
      <c r="AO125" s="1807">
        <f t="shared" si="1334"/>
        <v>0</v>
      </c>
      <c r="AP125" s="1806">
        <f t="shared" si="1335"/>
        <v>0</v>
      </c>
      <c r="AQ125" s="1791">
        <f t="shared" si="1336"/>
        <v>0</v>
      </c>
      <c r="AR125" s="1808">
        <f t="shared" si="1337"/>
        <v>0</v>
      </c>
      <c r="AS125" s="1807">
        <f t="shared" si="1338"/>
        <v>0</v>
      </c>
      <c r="AT125" s="1807">
        <f t="shared" si="1339"/>
        <v>0</v>
      </c>
      <c r="AU125" s="1806">
        <f t="shared" si="1340"/>
        <v>0</v>
      </c>
      <c r="AV125" s="1791">
        <f t="shared" si="1341"/>
        <v>0</v>
      </c>
      <c r="AW125" s="1808">
        <f t="shared" si="1342"/>
        <v>0</v>
      </c>
      <c r="AX125" s="1807">
        <f t="shared" si="1343"/>
        <v>0</v>
      </c>
      <c r="AY125" s="1807">
        <f t="shared" si="1344"/>
        <v>0</v>
      </c>
      <c r="AZ125" s="1806">
        <f t="shared" si="1345"/>
        <v>0</v>
      </c>
      <c r="BA125" s="1791">
        <f t="shared" si="1346"/>
        <v>0</v>
      </c>
      <c r="BB125" s="1808">
        <f t="shared" si="1347"/>
        <v>0</v>
      </c>
      <c r="BC125" s="1807">
        <f t="shared" si="1348"/>
        <v>0</v>
      </c>
      <c r="BD125" s="1807">
        <f t="shared" si="1349"/>
        <v>0</v>
      </c>
      <c r="BE125" s="1806">
        <f t="shared" si="1350"/>
        <v>0</v>
      </c>
      <c r="BF125" s="1791">
        <f t="shared" si="1351"/>
        <v>0</v>
      </c>
      <c r="BG125" s="1808">
        <f t="shared" si="1352"/>
        <v>0</v>
      </c>
      <c r="BH125" s="1807">
        <f t="shared" si="1353"/>
        <v>0</v>
      </c>
      <c r="BI125" s="1807">
        <f t="shared" si="1354"/>
        <v>0</v>
      </c>
      <c r="BJ125" s="1806">
        <f t="shared" si="1355"/>
        <v>0</v>
      </c>
      <c r="BK125" s="1791">
        <f t="shared" si="1356"/>
        <v>0</v>
      </c>
      <c r="BL125" s="1808">
        <f t="shared" si="1357"/>
        <v>0</v>
      </c>
      <c r="BM125" s="1807">
        <f t="shared" si="1358"/>
        <v>0</v>
      </c>
      <c r="BN125" s="1807">
        <f t="shared" si="1359"/>
        <v>0</v>
      </c>
      <c r="BO125" s="1806">
        <f t="shared" si="1360"/>
        <v>0</v>
      </c>
      <c r="BP125" s="1791">
        <f t="shared" si="1361"/>
        <v>0</v>
      </c>
      <c r="BQ125" s="1827"/>
      <c r="BR125" s="1791">
        <f t="shared" si="1362"/>
        <v>0</v>
      </c>
      <c r="BS125" s="1791">
        <f t="shared" si="1362"/>
        <v>0</v>
      </c>
      <c r="BT125" s="1808">
        <f t="shared" si="1363"/>
        <v>0</v>
      </c>
      <c r="BU125" s="1807">
        <f t="shared" si="1364"/>
        <v>0</v>
      </c>
      <c r="BV125" s="1807">
        <f t="shared" si="1365"/>
        <v>0</v>
      </c>
      <c r="BW125" s="1806">
        <f t="shared" si="1366"/>
        <v>0</v>
      </c>
      <c r="BX125" s="1791">
        <f t="shared" si="1367"/>
        <v>0</v>
      </c>
      <c r="BY125" s="1808">
        <f t="shared" si="1368"/>
        <v>0</v>
      </c>
      <c r="BZ125" s="1807">
        <f t="shared" si="1369"/>
        <v>0</v>
      </c>
      <c r="CA125" s="1807">
        <f t="shared" si="1370"/>
        <v>0</v>
      </c>
      <c r="CB125" s="1806">
        <f t="shared" si="1371"/>
        <v>0</v>
      </c>
      <c r="CC125" s="1791">
        <f t="shared" si="1372"/>
        <v>0</v>
      </c>
      <c r="CD125" s="1808">
        <f t="shared" si="1373"/>
        <v>0</v>
      </c>
      <c r="CE125" s="1807">
        <f t="shared" si="1374"/>
        <v>0</v>
      </c>
      <c r="CF125" s="1807">
        <f t="shared" si="1375"/>
        <v>0</v>
      </c>
      <c r="CG125" s="1806">
        <f t="shared" si="1376"/>
        <v>0</v>
      </c>
      <c r="CH125" s="1791">
        <f t="shared" si="1377"/>
        <v>0</v>
      </c>
      <c r="CI125" s="1808">
        <f t="shared" si="1378"/>
        <v>0</v>
      </c>
      <c r="CJ125" s="1807">
        <f t="shared" si="1379"/>
        <v>0</v>
      </c>
      <c r="CK125" s="1807">
        <f t="shared" si="1380"/>
        <v>0</v>
      </c>
      <c r="CL125" s="1806">
        <f t="shared" si="1381"/>
        <v>0</v>
      </c>
      <c r="CM125" s="1791">
        <f t="shared" si="1382"/>
        <v>0</v>
      </c>
      <c r="CN125" s="1808">
        <f t="shared" si="1383"/>
        <v>0</v>
      </c>
      <c r="CO125" s="1807">
        <f t="shared" si="1384"/>
        <v>0</v>
      </c>
      <c r="CP125" s="1807">
        <f t="shared" si="1385"/>
        <v>0</v>
      </c>
      <c r="CQ125" s="1806">
        <f t="shared" si="1386"/>
        <v>0</v>
      </c>
      <c r="CR125" s="1791">
        <f t="shared" si="1387"/>
        <v>0</v>
      </c>
      <c r="CS125" s="1808">
        <f t="shared" si="1388"/>
        <v>0</v>
      </c>
      <c r="CT125" s="1807">
        <f t="shared" si="1389"/>
        <v>0</v>
      </c>
      <c r="CU125" s="1807">
        <f t="shared" si="1390"/>
        <v>0</v>
      </c>
      <c r="CV125" s="1806">
        <f t="shared" si="1391"/>
        <v>0</v>
      </c>
      <c r="CW125" s="1791">
        <f t="shared" si="1392"/>
        <v>0</v>
      </c>
      <c r="CX125" s="1808">
        <f t="shared" si="1393"/>
        <v>0</v>
      </c>
      <c r="CY125" s="1807">
        <f t="shared" si="1394"/>
        <v>0</v>
      </c>
      <c r="CZ125" s="1807">
        <f t="shared" si="1395"/>
        <v>0</v>
      </c>
      <c r="DA125" s="1806">
        <f t="shared" si="1396"/>
        <v>0</v>
      </c>
      <c r="DB125" s="1791">
        <f t="shared" si="1397"/>
        <v>0</v>
      </c>
      <c r="DC125" s="1808">
        <f t="shared" si="1398"/>
        <v>0</v>
      </c>
      <c r="DD125" s="1807">
        <f t="shared" si="1399"/>
        <v>0</v>
      </c>
      <c r="DE125" s="1807">
        <f t="shared" si="1400"/>
        <v>0</v>
      </c>
      <c r="DF125" s="1806">
        <f t="shared" si="1401"/>
        <v>0</v>
      </c>
      <c r="DG125" s="1791">
        <f t="shared" si="1402"/>
        <v>0</v>
      </c>
      <c r="DH125" s="1808">
        <f t="shared" si="1403"/>
        <v>0</v>
      </c>
      <c r="DI125" s="1807">
        <f t="shared" si="1404"/>
        <v>0</v>
      </c>
      <c r="DJ125" s="1807">
        <f t="shared" si="1405"/>
        <v>0</v>
      </c>
      <c r="DK125" s="1806">
        <f t="shared" si="1406"/>
        <v>0</v>
      </c>
      <c r="DL125" s="1791">
        <f t="shared" si="1407"/>
        <v>0</v>
      </c>
      <c r="DM125" s="1808">
        <f t="shared" si="1408"/>
        <v>0</v>
      </c>
      <c r="DN125" s="1807">
        <f t="shared" si="1409"/>
        <v>0</v>
      </c>
      <c r="DO125" s="1807">
        <f t="shared" si="1410"/>
        <v>0</v>
      </c>
      <c r="DP125" s="1806">
        <f t="shared" si="1411"/>
        <v>0</v>
      </c>
      <c r="DQ125" s="1791">
        <f t="shared" si="1412"/>
        <v>0</v>
      </c>
      <c r="DR125" s="1808">
        <f t="shared" si="1413"/>
        <v>0</v>
      </c>
      <c r="DS125" s="1807">
        <f t="shared" si="1414"/>
        <v>0</v>
      </c>
      <c r="DT125" s="1807">
        <f t="shared" si="1415"/>
        <v>0</v>
      </c>
      <c r="DU125" s="1806">
        <f t="shared" si="1416"/>
        <v>0</v>
      </c>
      <c r="DV125" s="1791">
        <f t="shared" si="1417"/>
        <v>0</v>
      </c>
    </row>
    <row r="126" spans="1:126">
      <c r="A126" s="455"/>
      <c r="B126" s="455"/>
      <c r="C126" s="1365" t="s">
        <v>164</v>
      </c>
      <c r="D126" s="455"/>
      <c r="E126" s="455"/>
      <c r="F126" s="1435"/>
      <c r="G126" s="1435"/>
      <c r="H126" s="1597"/>
      <c r="I126" s="1598"/>
      <c r="J126" s="1599"/>
      <c r="K126" s="1792"/>
      <c r="L126" s="1810"/>
      <c r="M126" s="1791"/>
      <c r="N126" s="1808"/>
      <c r="O126" s="1807"/>
      <c r="P126" s="1807"/>
      <c r="Q126" s="1806"/>
      <c r="R126" s="1791"/>
      <c r="S126" s="1808"/>
      <c r="T126" s="1807"/>
      <c r="U126" s="1807"/>
      <c r="V126" s="1806"/>
      <c r="W126" s="1791"/>
      <c r="X126" s="1808"/>
      <c r="Y126" s="1807"/>
      <c r="Z126" s="1807"/>
      <c r="AA126" s="1806"/>
      <c r="AB126" s="1791"/>
      <c r="AC126" s="1808"/>
      <c r="AD126" s="1807"/>
      <c r="AE126" s="1807"/>
      <c r="AF126" s="1806"/>
      <c r="AG126" s="1791"/>
      <c r="AH126" s="1808"/>
      <c r="AI126" s="1807"/>
      <c r="AJ126" s="1807"/>
      <c r="AK126" s="1806"/>
      <c r="AL126" s="1791"/>
      <c r="AM126" s="1808"/>
      <c r="AN126" s="1807"/>
      <c r="AO126" s="1807"/>
      <c r="AP126" s="1806"/>
      <c r="AQ126" s="1791"/>
      <c r="AR126" s="1808"/>
      <c r="AS126" s="1807"/>
      <c r="AT126" s="1807"/>
      <c r="AU126" s="1806"/>
      <c r="AV126" s="1791"/>
      <c r="AW126" s="1808"/>
      <c r="AX126" s="1807"/>
      <c r="AY126" s="1807"/>
      <c r="AZ126" s="1806"/>
      <c r="BA126" s="1791"/>
      <c r="BB126" s="1808"/>
      <c r="BC126" s="1807"/>
      <c r="BD126" s="1807"/>
      <c r="BE126" s="1806"/>
      <c r="BF126" s="1791"/>
      <c r="BG126" s="1808"/>
      <c r="BH126" s="1807"/>
      <c r="BI126" s="1807"/>
      <c r="BJ126" s="1806"/>
      <c r="BK126" s="1791"/>
      <c r="BL126" s="1808"/>
      <c r="BM126" s="1807"/>
      <c r="BN126" s="1807"/>
      <c r="BO126" s="1806"/>
      <c r="BP126" s="1791"/>
      <c r="BQ126" s="1827"/>
      <c r="BR126" s="1791"/>
      <c r="BS126" s="1791"/>
      <c r="BT126" s="1808"/>
      <c r="BU126" s="1807"/>
      <c r="BV126" s="1807"/>
      <c r="BW126" s="1806"/>
      <c r="BX126" s="1791"/>
      <c r="BY126" s="1808"/>
      <c r="BZ126" s="1807"/>
      <c r="CA126" s="1807"/>
      <c r="CB126" s="1806"/>
      <c r="CC126" s="1791"/>
      <c r="CD126" s="1808"/>
      <c r="CE126" s="1807"/>
      <c r="CF126" s="1807"/>
      <c r="CG126" s="1806"/>
      <c r="CH126" s="1791"/>
      <c r="CI126" s="1808"/>
      <c r="CJ126" s="1807"/>
      <c r="CK126" s="1807"/>
      <c r="CL126" s="1806"/>
      <c r="CM126" s="1791"/>
      <c r="CN126" s="1808"/>
      <c r="CO126" s="1807"/>
      <c r="CP126" s="1807"/>
      <c r="CQ126" s="1806"/>
      <c r="CR126" s="1791"/>
      <c r="CS126" s="1808"/>
      <c r="CT126" s="1807"/>
      <c r="CU126" s="1807"/>
      <c r="CV126" s="1806"/>
      <c r="CW126" s="1791"/>
      <c r="CX126" s="1808"/>
      <c r="CY126" s="1807"/>
      <c r="CZ126" s="1807"/>
      <c r="DA126" s="1806"/>
      <c r="DB126" s="1791"/>
      <c r="DC126" s="1808"/>
      <c r="DD126" s="1807"/>
      <c r="DE126" s="1807"/>
      <c r="DF126" s="1806"/>
      <c r="DG126" s="1791"/>
      <c r="DH126" s="1808"/>
      <c r="DI126" s="1807"/>
      <c r="DJ126" s="1807"/>
      <c r="DK126" s="1806"/>
      <c r="DL126" s="1791"/>
      <c r="DM126" s="1808"/>
      <c r="DN126" s="1807"/>
      <c r="DO126" s="1807"/>
      <c r="DP126" s="1806"/>
      <c r="DQ126" s="1791"/>
      <c r="DR126" s="1808"/>
      <c r="DS126" s="1807"/>
      <c r="DT126" s="1807"/>
      <c r="DU126" s="1806"/>
      <c r="DV126" s="1791"/>
    </row>
    <row r="127" spans="1:126">
      <c r="A127" s="455"/>
      <c r="B127" s="455"/>
      <c r="C127" s="1596" t="s">
        <v>745</v>
      </c>
      <c r="D127" s="455"/>
      <c r="E127" s="455"/>
      <c r="F127" s="1435"/>
      <c r="G127" s="1435"/>
      <c r="H127" s="1597"/>
      <c r="I127" s="1598"/>
      <c r="J127" s="1599"/>
      <c r="K127" s="1792"/>
      <c r="L127" s="1810">
        <f t="shared" ref="L127:M132" si="1623">IF(L$5=$H127,-$E127,0)</f>
        <v>0</v>
      </c>
      <c r="M127" s="1791">
        <f t="shared" si="1623"/>
        <v>0</v>
      </c>
      <c r="N127" s="1808">
        <f t="shared" ref="N127:N131" si="1624">IF(R127=0,0,IF(R127&lt;0,IF($J127=3,R127,IF($J127=2,R127,IF($J127=1,R127,0)))))</f>
        <v>0</v>
      </c>
      <c r="O127" s="1807">
        <f t="shared" ref="O127:O131" si="1625">IF(R127=0,0,IF(R127&lt;0,IF($J127=6,R127,IF($J127=5,R127,IF($J127=4,R127,0)))))</f>
        <v>0</v>
      </c>
      <c r="P127" s="1807">
        <f t="shared" ref="P127:P131" si="1626">IF(R127=0,0,IF(R127&lt;0,IF($J127=9,R127,IF($J127=8,R127,IF($J127=7,R127,0)))))</f>
        <v>0</v>
      </c>
      <c r="Q127" s="1806">
        <f t="shared" ref="Q127:Q131" si="1627">IF(R127=0,0,IF(R127&lt;0,IF($J127=12,R127,IF($J127=11,R127,IF($J127=10,R127,0)))))</f>
        <v>0</v>
      </c>
      <c r="R127" s="1791">
        <f t="shared" ref="R127:R132" si="1628">IF(R$5=$H127,-$E127,0)</f>
        <v>0</v>
      </c>
      <c r="S127" s="1808">
        <f t="shared" ref="S127:S131" si="1629">IF(W127=0,0,IF(W127&lt;0,IF($J127=3,W127,IF($J127=2,W127,IF($J127=1,W127,0)))))</f>
        <v>0</v>
      </c>
      <c r="T127" s="1807">
        <f t="shared" ref="T127:T131" si="1630">IF(W127=0,0,IF(W127&lt;0,IF($J127=6,W127,IF($J127=5,W127,IF($J127=4,W127,0)))))</f>
        <v>0</v>
      </c>
      <c r="U127" s="1807">
        <f t="shared" ref="U127:U131" si="1631">IF(W127=0,0,IF(W127&lt;0,IF($J127=9,W127,IF($J127=8,W127,IF($J127=7,W127,0)))))</f>
        <v>0</v>
      </c>
      <c r="V127" s="1806">
        <f t="shared" ref="V127:V131" si="1632">IF(W127=0,0,IF(W127&lt;0,IF($J127=12,W127,IF($J127=11,W127,IF($J127=10,W127,0)))))</f>
        <v>0</v>
      </c>
      <c r="W127" s="1791">
        <f t="shared" ref="W127:W132" si="1633">IF(W$5=$H127,-$E127,0)</f>
        <v>0</v>
      </c>
      <c r="X127" s="1808">
        <f t="shared" ref="X127:X131" si="1634">IF(AB127=0,0,IF(AB127&lt;0,IF($J127=3,AB127,IF($J127=2,AB127,IF($J127=1,AB127,0)))))</f>
        <v>0</v>
      </c>
      <c r="Y127" s="1807">
        <f t="shared" ref="Y127:Y131" si="1635">IF(AB127=0,0,IF(AB127&lt;0,IF($J127=6,AB127,IF($J127=5,AB127,IF($J127=4,AB127,0)))))</f>
        <v>0</v>
      </c>
      <c r="Z127" s="1807">
        <f t="shared" ref="Z127:Z131" si="1636">IF(AB127=0,0,IF(AB127&lt;0,IF($J127=9,AB127,IF($J127=8,AB127,IF($J127=7,AB127,0)))))</f>
        <v>0</v>
      </c>
      <c r="AA127" s="1806">
        <f t="shared" ref="AA127:AA131" si="1637">IF(AB127=0,0,IF(AB127&lt;0,IF($J127=12,AB127,IF($J127=11,AB127,IF($J127=10,AB127,0)))))</f>
        <v>0</v>
      </c>
      <c r="AB127" s="1791">
        <f t="shared" ref="AB127:AB132" si="1638">IF(AB$5=$H127,-$E127,0)</f>
        <v>0</v>
      </c>
      <c r="AC127" s="1808">
        <f t="shared" ref="AC127:AC131" si="1639">IF(AG127=0,0,IF(AG127&lt;0,IF($J127=3,AG127,IF($J127=2,AG127,IF($J127=1,AG127,0)))))</f>
        <v>0</v>
      </c>
      <c r="AD127" s="1807">
        <f t="shared" ref="AD127:AD131" si="1640">IF(AG127=0,0,IF(AG127&lt;0,IF($J127=6,AG127,IF($J127=5,AG127,IF($J127=4,AG127,0)))))</f>
        <v>0</v>
      </c>
      <c r="AE127" s="1807">
        <f t="shared" ref="AE127:AE131" si="1641">IF(AG127=0,0,IF(AG127&lt;0,IF($J127=9,AG127,IF($J127=8,AG127,IF($J127=7,AG127,0)))))</f>
        <v>0</v>
      </c>
      <c r="AF127" s="1806">
        <f t="shared" ref="AF127:AF131" si="1642">IF(AG127=0,0,IF(AG127&lt;0,IF($J127=12,AG127,IF($J127=11,AG127,IF($J127=10,AG127,0)))))</f>
        <v>0</v>
      </c>
      <c r="AG127" s="1791">
        <f t="shared" ref="AG127:AG132" si="1643">IF(AG$5=$H127,-$E127,0)</f>
        <v>0</v>
      </c>
      <c r="AH127" s="1808">
        <f t="shared" ref="AH127:AH131" si="1644">IF(AL127=0,0,IF(AL127&lt;0,IF($J127=3,AL127,IF($J127=2,AL127,IF($J127=1,AL127,0)))))</f>
        <v>0</v>
      </c>
      <c r="AI127" s="1807">
        <f t="shared" ref="AI127:AI131" si="1645">IF(AL127=0,0,IF(AL127&lt;0,IF($J127=6,AL127,IF($J127=5,AL127,IF($J127=4,AL127,0)))))</f>
        <v>0</v>
      </c>
      <c r="AJ127" s="1807">
        <f t="shared" ref="AJ127:AJ131" si="1646">IF(AL127=0,0,IF(AL127&lt;0,IF($J127=9,AL127,IF($J127=8,AL127,IF($J127=7,AL127,0)))))</f>
        <v>0</v>
      </c>
      <c r="AK127" s="1806">
        <f t="shared" ref="AK127:AK131" si="1647">IF(AL127=0,0,IF(AL127&lt;0,IF($J127=12,AL127,IF($J127=11,AL127,IF($J127=10,AL127,0)))))</f>
        <v>0</v>
      </c>
      <c r="AL127" s="1791">
        <f t="shared" ref="AL127:AL132" si="1648">IF(AL$5=$H127,-$E127,0)</f>
        <v>0</v>
      </c>
      <c r="AM127" s="1808">
        <f t="shared" ref="AM127:AM131" si="1649">IF(AQ127=0,0,IF(AQ127&lt;0,IF($J127=3,AQ127,IF($J127=2,AQ127,IF($J127=1,AQ127,0)))))</f>
        <v>0</v>
      </c>
      <c r="AN127" s="1807">
        <f t="shared" ref="AN127:AN131" si="1650">IF(AQ127=0,0,IF(AQ127&lt;0,IF($J127=6,AQ127,IF($J127=5,AQ127,IF($J127=4,AQ127,0)))))</f>
        <v>0</v>
      </c>
      <c r="AO127" s="1807">
        <f t="shared" ref="AO127:AO131" si="1651">IF(AQ127=0,0,IF(AQ127&lt;0,IF($J127=9,AQ127,IF($J127=8,AQ127,IF($J127=7,AQ127,0)))))</f>
        <v>0</v>
      </c>
      <c r="AP127" s="1806">
        <f t="shared" ref="AP127:AP131" si="1652">IF(AQ127=0,0,IF(AQ127&lt;0,IF($J127=12,AQ127,IF($J127=11,AQ127,IF($J127=10,AQ127,0)))))</f>
        <v>0</v>
      </c>
      <c r="AQ127" s="1791">
        <f t="shared" ref="AQ127:AQ132" si="1653">IF(AQ$5=$H127,-$E127,0)</f>
        <v>0</v>
      </c>
      <c r="AR127" s="1808">
        <f t="shared" ref="AR127:AR131" si="1654">IF(AV127=0,0,IF(AV127&lt;0,IF($J127=3,AV127,IF($J127=2,AV127,IF($J127=1,AV127,0)))))</f>
        <v>0</v>
      </c>
      <c r="AS127" s="1807">
        <f t="shared" ref="AS127:AS132" si="1655">IF(AV127=0,0,IF(AV127&lt;0,IF($J127=6,AV127,IF($J127=5,AV127,IF($J127=4,AV127,0)))))</f>
        <v>0</v>
      </c>
      <c r="AT127" s="1807">
        <f t="shared" ref="AT127:AT131" si="1656">IF(AV127=0,0,IF(AV127&lt;0,IF($J127=9,AV127,IF($J127=8,AV127,IF($J127=7,AV127,0)))))</f>
        <v>0</v>
      </c>
      <c r="AU127" s="1806">
        <f t="shared" ref="AU127:AU131" si="1657">IF(AV127=0,0,IF(AV127&lt;0,IF($J127=12,AV127,IF($J127=11,AV127,IF($J127=10,AV127,0)))))</f>
        <v>0</v>
      </c>
      <c r="AV127" s="1791">
        <f t="shared" ref="AV127:AV132" si="1658">IF(AV$5=$H127,-$E127,0)</f>
        <v>0</v>
      </c>
      <c r="AW127" s="1808">
        <f t="shared" ref="AW127:AW131" si="1659">IF(BA127=0,0,IF(BA127&lt;0,IF($J127=3,BA127,IF($J127=2,BA127,IF($J127=1,BA127,0)))))</f>
        <v>0</v>
      </c>
      <c r="AX127" s="1807">
        <f t="shared" ref="AX127:AX131" si="1660">IF(BA127=0,0,IF(BA127&lt;0,IF($J127=6,BA127,IF($J127=5,BA127,IF($J127=4,BA127,0)))))</f>
        <v>0</v>
      </c>
      <c r="AY127" s="1807">
        <f t="shared" ref="AY127:AY131" si="1661">IF(BA127=0,0,IF(BA127&lt;0,IF($J127=9,BA127,IF($J127=8,BA127,IF($J127=7,BA127,0)))))</f>
        <v>0</v>
      </c>
      <c r="AZ127" s="1806">
        <f t="shared" ref="AZ127:AZ131" si="1662">IF(BA127=0,0,IF(BA127&lt;0,IF($J127=12,BA127,IF($J127=11,BA127,IF($J127=10,BA127,0)))))</f>
        <v>0</v>
      </c>
      <c r="BA127" s="1791">
        <f t="shared" ref="BA127:BA132" si="1663">IF(BA$5=$H127,-$E127,0)</f>
        <v>0</v>
      </c>
      <c r="BB127" s="1808">
        <f t="shared" ref="BB127:BB131" si="1664">IF(BF127=0,0,IF(BF127&lt;0,IF($J127=3,BF127,IF($J127=2,BF127,IF($J127=1,BF127,0)))))</f>
        <v>0</v>
      </c>
      <c r="BC127" s="1807">
        <f t="shared" ref="BC127:BC131" si="1665">IF(BF127=0,0,IF(BF127&lt;0,IF($J127=6,BF127,IF($J127=5,BF127,IF($J127=4,BF127,0)))))</f>
        <v>0</v>
      </c>
      <c r="BD127" s="1807">
        <f t="shared" ref="BD127:BD131" si="1666">IF(BF127=0,0,IF(BF127&lt;0,IF($J127=9,BF127,IF($J127=8,BF127,IF($J127=7,BF127,0)))))</f>
        <v>0</v>
      </c>
      <c r="BE127" s="1806">
        <f t="shared" ref="BE127:BE131" si="1667">IF(BF127=0,0,IF(BF127&lt;0,IF($J127=12,BF127,IF($J127=11,BF127,IF($J127=10,BF127,0)))))</f>
        <v>0</v>
      </c>
      <c r="BF127" s="1791">
        <f t="shared" ref="BF127:BF132" si="1668">IF(BF$5=$H127,-$E127,0)</f>
        <v>0</v>
      </c>
      <c r="BG127" s="1808">
        <f t="shared" ref="BG127:BG131" si="1669">IF(BK127=0,0,IF(BK127&lt;0,IF($J127=3,BK127,IF($J127=2,BK127,IF($J127=1,BK127,0)))))</f>
        <v>0</v>
      </c>
      <c r="BH127" s="1807">
        <f t="shared" ref="BH127:BH131" si="1670">IF(BK127=0,0,IF(BK127&lt;0,IF($J127=6,BK127,IF($J127=5,BK127,IF($J127=4,BK127,0)))))</f>
        <v>0</v>
      </c>
      <c r="BI127" s="1807">
        <f t="shared" ref="BI127:BI131" si="1671">IF(BK127=0,0,IF(BK127&lt;0,IF($J127=9,BK127,IF($J127=8,BK127,IF($J127=7,BK127,0)))))</f>
        <v>0</v>
      </c>
      <c r="BJ127" s="1806">
        <f t="shared" ref="BJ127:BJ131" si="1672">IF(BK127=0,0,IF(BK127&lt;0,IF($J127=12,BK127,IF($J127=11,BK127,IF($J127=10,BK127,0)))))</f>
        <v>0</v>
      </c>
      <c r="BK127" s="1791">
        <f t="shared" ref="BK127:BK132" si="1673">IF(BK$5=$H127,-$E127,0)</f>
        <v>0</v>
      </c>
      <c r="BL127" s="1808">
        <f t="shared" ref="BL127:BL132" si="1674">IF(BP127=0,0,IF(BP127&lt;0,IF($J127=3,BP127,IF($J127=2,BP127,IF($J127=1,BP127,0)))))</f>
        <v>0</v>
      </c>
      <c r="BM127" s="1807">
        <f t="shared" ref="BM127:BM132" si="1675">IF(BP127=0,0,IF(BP127&lt;0,IF($J127=6,BP127,IF($J127=5,BP127,IF($J127=4,BP127,0)))))</f>
        <v>0</v>
      </c>
      <c r="BN127" s="1807">
        <f t="shared" ref="BN127:BN132" si="1676">IF(BP127=0,0,IF(BP127&lt;0,IF($J127=9,BP127,IF($J127=8,BP127,IF($J127=7,BP127,0)))))</f>
        <v>0</v>
      </c>
      <c r="BO127" s="1806">
        <f t="shared" ref="BO127:BO132" si="1677">IF(BP127=0,0,IF(BP127&lt;0,IF($J127=12,BP127,IF($J127=11,BP127,IF($J127=10,BP127,0)))))</f>
        <v>0</v>
      </c>
      <c r="BP127" s="1791">
        <f t="shared" ref="BP127:BP132" si="1678">IF(BP$5=$H127,-$E127,0)</f>
        <v>0</v>
      </c>
      <c r="BQ127" s="1827"/>
      <c r="BR127" s="1791">
        <f t="shared" ref="BR127:BS131" si="1679">IF(AND(BQ127&lt;&gt;0,BQ$5=$H127),-$I127*$E127-BQ127,IF(BR$5=$H127,-$I127*$E127*(12-$J127+1)/12,0))</f>
        <v>0</v>
      </c>
      <c r="BS127" s="1791">
        <f t="shared" si="1679"/>
        <v>0</v>
      </c>
      <c r="BT127" s="1808">
        <f t="shared" ref="BT127:BT131" si="1680">IF($H127&lt;&gt;BX$5,0,IF(BX127&lt;0,IF($J127=1,-$E127*$I127/12*3,IF($J127=2,-$E127*$I127/12*2,IF($J127=3,-$E127*$I127/12*1,0)))))+IF(BS$5&lt;&gt;$H127,0,IF(BS127&lt;0,IF($J127=1,-$E127*$I127/12*0,IF($J127=2,-$E127*$I127/12*1,IF($J127=3,-$E127*$I127/12*2,IF($J127&gt;=4,-$E127*$I127/12*3,0))))))</f>
        <v>0</v>
      </c>
      <c r="BU127" s="1807">
        <f t="shared" ref="BU127:BU131" si="1681">IF($H127&lt;&gt;BX$5,0,IF(BX127&lt;0,IF(OR($J127=1,$J127=2,$J127=3,$J127=4),-$E127*$I127/12*3,IF($J127=5,-$E127*$I127/12*2,IF($J127=6,-$E127*$I127/12*1,0)))))+IF(BS$5&lt;&gt;$H127,0,IF(BS127&lt;0,IF($J127=4,-$E127*$I127/12*0,IF($J127=5,-$E127*$I127/12*1,IF($J127=6,-$E127*$I127/12*2,IF($J127&gt;=7,-$E127*$I127/12*3,0))))))</f>
        <v>0</v>
      </c>
      <c r="BV127" s="1807">
        <f t="shared" ref="BV127:BV131" si="1682">IF($H127&lt;&gt;BX$5,0,IF(BX127&lt;0,IF(OR($J127=1,$J127=2,$J127=3,$J127=4,$J127=5,$J127=6,$J127=7),-$E127*$I127/12*3,IF($J127=8,-$E127*$I127/12*2,IF($J127=9,-$E127*$I127/12*1,0)))))+IF(BS$5&lt;&gt;$H127,0,IF(BS127&lt;0,IF($J127=7,-$E127*$I127/12*0,IF($J127=8,-$E127*$I127/12*1,IF($J127=9,-$E127*$I127/12*2,IF($J127&gt;=10,-$E127*$I127/12*3,0))))))</f>
        <v>0</v>
      </c>
      <c r="BW127" s="1806">
        <f t="shared" ref="BW127:BW131" si="1683">IF($H127&lt;&gt;BX$5,0,IF(BX127&lt;0,IF(OR($J127=1,$J127=2,$J127=3,$J127=4,$J127=5,$J127=6,$J127=7,$J127=8,$J127=9,$J127=10),-$E127*$I127/12*3,IF($J127=11,-$E127*$I127/12*2,IF($J127=12,-$E127*$I127/12*1,0)))))+IF(BS$5&lt;&gt;$H127,0,IF(BS127&lt;0,IF($J127=10,-$E127*$I127/12*0,IF($J127=11,-$E127*$I127/12*1,IF($J127=12,-$E127*$I127/12*2,0)))))</f>
        <v>0</v>
      </c>
      <c r="BX127" s="1791">
        <f t="shared" ref="BX127:BX131" si="1684">IF(AND(BS127&lt;&gt;0,BS$5=$H127),-$I127*$E127-BS127,IF(BX$5=$H127,-$I127*$E127*(12-$J127+1)/12,0))</f>
        <v>0</v>
      </c>
      <c r="BY127" s="1808">
        <f t="shared" ref="BY127:BY131" si="1685">IF($H127&lt;&gt;CC$5,0,IF(CC127&lt;0,IF($J127=1,-$E127*$I127/12*3,IF($J127=2,-$E127*$I127/12*2,IF($J127=3,-$E127*$I127/12*1,0)))))+IF(BX$5&lt;&gt;$H127,0,IF(BX127&lt;0,IF($J127=1,-$E127*$I127/12*0,IF($J127=2,-$E127*$I127/12*1,IF($J127=3,-$E127*$I127/12*2,IF($J127&gt;=4,-$E127*$I127/12*3,0))))))</f>
        <v>0</v>
      </c>
      <c r="BZ127" s="1807">
        <f t="shared" ref="BZ127:BZ131" si="1686">IF($H127&lt;&gt;CC$5,0,IF(CC127&lt;0,IF(OR($J127=1,$J127=2,$J127=3,$J127=4),-$E127*$I127/12*3,IF($J127=5,-$E127*$I127/12*2,IF($J127=6,-$E127*$I127/12*1,0)))))+IF(BX$5&lt;&gt;$H127,0,IF(BX127&lt;0,IF($J127=4,-$E127*$I127/12*0,IF($J127=5,-$E127*$I127/12*1,IF($J127=6,-$E127*$I127/12*2,IF($J127&gt;=7,-$E127*$I127/12*3,0))))))</f>
        <v>0</v>
      </c>
      <c r="CA127" s="1807">
        <f t="shared" ref="CA127:CA131" si="1687">IF($H127&lt;&gt;CC$5,0,IF(CC127&lt;0,IF(OR($J127=1,$J127=2,$J127=3,$J127=4,$J127=5,$J127=6,$J127=7),-$E127*$I127/12*3,IF($J127=8,-$E127*$I127/12*2,IF($J127=9,-$E127*$I127/12*1,0)))))+IF(BX$5&lt;&gt;$H127,0,IF(BX127&lt;0,IF($J127=7,-$E127*$I127/12*0,IF($J127=8,-$E127*$I127/12*1,IF($J127=9,-$E127*$I127/12*2,IF($J127&gt;=10,-$E127*$I127/12*3,0))))))</f>
        <v>0</v>
      </c>
      <c r="CB127" s="1806">
        <f t="shared" ref="CB127:CB131" si="1688">IF($H127&lt;&gt;CC$5,0,IF(CC127&lt;0,IF(OR($J127=1,$J127=2,$J127=3,$J127=4,$J127=5,$J127=6,$J127=7,$J127=8,$J127=9,$J127=10),-$E127*$I127/12*3,IF($J127=11,-$E127*$I127/12*2,IF($J127=12,-$E127*$I127/12*1,0)))))+IF(BX$5&lt;&gt;$H127,0,IF(BX127&lt;0,IF($J127=10,-$E127*$I127/12*0,IF($J127=11,-$E127*$I127/12*1,IF($J127=12,-$E127*$I127/12*2,0)))))</f>
        <v>0</v>
      </c>
      <c r="CC127" s="1791">
        <f t="shared" ref="CC127:CC131" si="1689">IF(AND(BX127&lt;&gt;0,BX$5=$H127),-$I127*$E127-BX127,IF(CC$5=$H127,-$I127*$E127*(12-$J127+1)/12,0))</f>
        <v>0</v>
      </c>
      <c r="CD127" s="1808">
        <f t="shared" ref="CD127:CD131" si="1690">IF($H127&lt;&gt;CH$5,0,IF(CH127&lt;0,IF($J127=1,-$E127*$I127/12*3,IF($J127=2,-$E127*$I127/12*2,IF($J127=3,-$E127*$I127/12*1,0)))))+IF(CC$5&lt;&gt;$H127,0,IF(CC127&lt;0,IF($J127=1,-$E127*$I127/12*0,IF($J127=2,-$E127*$I127/12*1,IF($J127=3,-$E127*$I127/12*2,IF($J127&gt;=4,-$E127*$I127/12*3,0))))))</f>
        <v>0</v>
      </c>
      <c r="CE127" s="1807">
        <f t="shared" ref="CE127:CE131" si="1691">IF($H127&lt;&gt;CH$5,0,IF(CH127&lt;0,IF(OR($J127=1,$J127=2,$J127=3,$J127=4),-$E127*$I127/12*3,IF($J127=5,-$E127*$I127/12*2,IF($J127=6,-$E127*$I127/12*1,0)))))+IF(CC$5&lt;&gt;$H127,0,IF(CC127&lt;0,IF($J127=4,-$E127*$I127/12*0,IF($J127=5,-$E127*$I127/12*1,IF($J127=6,-$E127*$I127/12*2,IF($J127&gt;=7,-$E127*$I127/12*3,0))))))</f>
        <v>0</v>
      </c>
      <c r="CF127" s="1807">
        <f t="shared" ref="CF127:CF131" si="1692">IF($H127&lt;&gt;CH$5,0,IF(CH127&lt;0,IF(OR($J127=1,$J127=2,$J127=3,$J127=4,$J127=5,$J127=6,$J127=7),-$E127*$I127/12*3,IF($J127=8,-$E127*$I127/12*2,IF($J127=9,-$E127*$I127/12*1,0)))))+IF(CC$5&lt;&gt;$H127,0,IF(CC127&lt;0,IF($J127=7,-$E127*$I127/12*0,IF($J127=8,-$E127*$I127/12*1,IF($J127=9,-$E127*$I127/12*2,IF($J127&gt;=10,-$E127*$I127/12*3,0))))))</f>
        <v>0</v>
      </c>
      <c r="CG127" s="1806">
        <f t="shared" ref="CG127:CG131" si="1693">IF($H127&lt;&gt;CH$5,0,IF(CH127&lt;0,IF(OR($J127=1,$J127=2,$J127=3,$J127=4,$J127=5,$J127=6,$J127=7,$J127=8,$J127=9,$J127=10),-$E127*$I127/12*3,IF($J127=11,-$E127*$I127/12*2,IF($J127=12,-$E127*$I127/12*1,0)))))+IF(CC$5&lt;&gt;$H127,0,IF(CC127&lt;0,IF($J127=10,-$E127*$I127/12*0,IF($J127=11,-$E127*$I127/12*1,IF($J127=12,-$E127*$I127/12*2,0)))))</f>
        <v>0</v>
      </c>
      <c r="CH127" s="1791">
        <f t="shared" ref="CH127:CH131" si="1694">IF(AND(CC127&lt;&gt;0,CC$5=$H127),-$I127*$E127-CC127,IF(CH$5=$H127,-$I127*$E127*(12-$J127+1)/12,0))</f>
        <v>0</v>
      </c>
      <c r="CI127" s="1808">
        <f t="shared" ref="CI127:CI131" si="1695">IF($H127&lt;&gt;CM$5,0,IF(CM127&lt;0,IF($J127=1,-$E127*$I127/12*3,IF($J127=2,-$E127*$I127/12*2,IF($J127=3,-$E127*$I127/12*1,0)))))+IF(CH$5&lt;&gt;$H127,0,IF(CH127&lt;0,IF($J127=1,-$E127*$I127/12*0,IF($J127=2,-$E127*$I127/12*1,IF($J127=3,-$E127*$I127/12*2,IF($J127&gt;=4,-$E127*$I127/12*3,0))))))</f>
        <v>0</v>
      </c>
      <c r="CJ127" s="1807">
        <f t="shared" ref="CJ127:CJ131" si="1696">IF($H127&lt;&gt;CM$5,0,IF(CM127&lt;0,IF(OR($J127=1,$J127=2,$J127=3,$J127=4),-$E127*$I127/12*3,IF($J127=5,-$E127*$I127/12*2,IF($J127=6,-$E127*$I127/12*1,0)))))+IF(CH$5&lt;&gt;$H127,0,IF(CH127&lt;0,IF($J127=4,-$E127*$I127/12*0,IF($J127=5,-$E127*$I127/12*1,IF($J127=6,-$E127*$I127/12*2,IF($J127&gt;=7,-$E127*$I127/12*3,0))))))</f>
        <v>0</v>
      </c>
      <c r="CK127" s="1807">
        <f t="shared" ref="CK127:CK131" si="1697">IF($H127&lt;&gt;CM$5,0,IF(CM127&lt;0,IF(OR($J127=1,$J127=2,$J127=3,$J127=4,$J127=5,$J127=6,$J127=7),-$E127*$I127/12*3,IF($J127=8,-$E127*$I127/12*2,IF($J127=9,-$E127*$I127/12*1,0)))))+IF(CH$5&lt;&gt;$H127,0,IF(CH127&lt;0,IF($J127=7,-$E127*$I127/12*0,IF($J127=8,-$E127*$I127/12*1,IF($J127=9,-$E127*$I127/12*2,IF($J127&gt;=10,-$E127*$I127/12*3,0))))))</f>
        <v>0</v>
      </c>
      <c r="CL127" s="1806">
        <f t="shared" ref="CL127:CL131" si="1698">IF($H127&lt;&gt;CM$5,0,IF(CM127&lt;0,IF(OR($J127=1,$J127=2,$J127=3,$J127=4,$J127=5,$J127=6,$J127=7,$J127=8,$J127=9,$J127=10),-$E127*$I127/12*3,IF($J127=11,-$E127*$I127/12*2,IF($J127=12,-$E127*$I127/12*1,0)))))+IF(CH$5&lt;&gt;$H127,0,IF(CH127&lt;0,IF($J127=10,-$E127*$I127/12*0,IF($J127=11,-$E127*$I127/12*1,IF($J127=12,-$E127*$I127/12*2,0)))))</f>
        <v>0</v>
      </c>
      <c r="CM127" s="1791">
        <f t="shared" ref="CM127:CM131" si="1699">IF(AND(CH127&lt;&gt;0,CH$5=$H127),-$I127*$E127-CH127,IF(CM$5=$H127,-$I127*$E127*(12-$J127+1)/12,0))</f>
        <v>0</v>
      </c>
      <c r="CN127" s="1808">
        <f t="shared" ref="CN127:CN131" si="1700">IF($H127&lt;&gt;CR$5,0,IF(CR127&lt;0,IF($J127=1,-$E127*$I127/12*3,IF($J127=2,-$E127*$I127/12*2,IF($J127=3,-$E127*$I127/12*1,0)))))+IF(CM$5&lt;&gt;$H127,0,IF(CM127&lt;0,IF($J127=1,-$E127*$I127/12*0,IF($J127=2,-$E127*$I127/12*1,IF($J127=3,-$E127*$I127/12*2,IF($J127&gt;=4,-$E127*$I127/12*3,0))))))</f>
        <v>0</v>
      </c>
      <c r="CO127" s="1807">
        <f t="shared" ref="CO127:CO131" si="1701">IF($H127&lt;&gt;CR$5,0,IF(CR127&lt;0,IF(OR($J127=1,$J127=2,$J127=3,$J127=4),-$E127*$I127/12*3,IF($J127=5,-$E127*$I127/12*2,IF($J127=6,-$E127*$I127/12*1,0)))))+IF(CM$5&lt;&gt;$H127,0,IF(CM127&lt;0,IF($J127=4,-$E127*$I127/12*0,IF($J127=5,-$E127*$I127/12*1,IF($J127=6,-$E127*$I127/12*2,IF($J127&gt;=7,-$E127*$I127/12*3,0))))))</f>
        <v>0</v>
      </c>
      <c r="CP127" s="1807">
        <f t="shared" ref="CP127:CP131" si="1702">IF($H127&lt;&gt;CR$5,0,IF(CR127&lt;0,IF(OR($J127=1,$J127=2,$J127=3,$J127=4,$J127=5,$J127=6,$J127=7),-$E127*$I127/12*3,IF($J127=8,-$E127*$I127/12*2,IF($J127=9,-$E127*$I127/12*1,0)))))+IF(CM$5&lt;&gt;$H127,0,IF(CM127&lt;0,IF($J127=7,-$E127*$I127/12*0,IF($J127=8,-$E127*$I127/12*1,IF($J127=9,-$E127*$I127/12*2,IF($J127&gt;=10,-$E127*$I127/12*3,0))))))</f>
        <v>0</v>
      </c>
      <c r="CQ127" s="1806">
        <f t="shared" ref="CQ127:CQ131" si="1703">IF($H127&lt;&gt;CR$5,0,IF(CR127&lt;0,IF(OR($J127=1,$J127=2,$J127=3,$J127=4,$J127=5,$J127=6,$J127=7,$J127=8,$J127=9,$J127=10),-$E127*$I127/12*3,IF($J127=11,-$E127*$I127/12*2,IF($J127=12,-$E127*$I127/12*1,0)))))+IF(CM$5&lt;&gt;$H127,0,IF(CM127&lt;0,IF($J127=10,-$E127*$I127/12*0,IF($J127=11,-$E127*$I127/12*1,IF($J127=12,-$E127*$I127/12*2,0)))))</f>
        <v>0</v>
      </c>
      <c r="CR127" s="1791">
        <f t="shared" ref="CR127:CR131" si="1704">IF(AND(CM127&lt;&gt;0,CM$5=$H127),-$I127*$E127-CM127,IF(CR$5=$H127,-$I127*$E127*(12-$J127+1)/12,0))</f>
        <v>0</v>
      </c>
      <c r="CS127" s="1808">
        <f t="shared" ref="CS127:CS131" si="1705">IF($H127&lt;&gt;CW$5,0,IF(CW127&lt;0,IF($J127=1,-$E127*$I127/12*3,IF($J127=2,-$E127*$I127/12*2,IF($J127=3,-$E127*$I127/12*1,0)))))+IF(CR$5&lt;&gt;$H127,0,IF(CR127&lt;0,IF($J127=1,-$E127*$I127/12*0,IF($J127=2,-$E127*$I127/12*1,IF($J127=3,-$E127*$I127/12*2,IF($J127&gt;=4,-$E127*$I127/12*3,0))))))</f>
        <v>0</v>
      </c>
      <c r="CT127" s="1807">
        <f t="shared" ref="CT127:CT131" si="1706">IF($H127&lt;&gt;CW$5,0,IF(CW127&lt;0,IF(OR($J127=1,$J127=2,$J127=3,$J127=4),-$E127*$I127/12*3,IF($J127=5,-$E127*$I127/12*2,IF($J127=6,-$E127*$I127/12*1,0)))))+IF(CR$5&lt;&gt;$H127,0,IF(CR127&lt;0,IF($J127=4,-$E127*$I127/12*0,IF($J127=5,-$E127*$I127/12*1,IF($J127=6,-$E127*$I127/12*2,IF($J127&gt;=7,-$E127*$I127/12*3,0))))))</f>
        <v>0</v>
      </c>
      <c r="CU127" s="1807">
        <f t="shared" ref="CU127:CU131" si="1707">IF($H127&lt;&gt;CW$5,0,IF(CW127&lt;0,IF(OR($J127=1,$J127=2,$J127=3,$J127=4,$J127=5,$J127=6,$J127=7),-$E127*$I127/12*3,IF($J127=8,-$E127*$I127/12*2,IF($J127=9,-$E127*$I127/12*1,0)))))+IF(CR$5&lt;&gt;$H127,0,IF(CR127&lt;0,IF($J127=7,-$E127*$I127/12*0,IF($J127=8,-$E127*$I127/12*1,IF($J127=9,-$E127*$I127/12*2,IF($J127&gt;=10,-$E127*$I127/12*3,0))))))</f>
        <v>0</v>
      </c>
      <c r="CV127" s="1806">
        <f t="shared" ref="CV127:CV131" si="1708">IF($H127&lt;&gt;CW$5,0,IF(CW127&lt;0,IF(OR($J127=1,$J127=2,$J127=3,$J127=4,$J127=5,$J127=6,$J127=7,$J127=8,$J127=9,$J127=10),-$E127*$I127/12*3,IF($J127=11,-$E127*$I127/12*2,IF($J127=12,-$E127*$I127/12*1,0)))))+IF(CR$5&lt;&gt;$H127,0,IF(CR127&lt;0,IF($J127=10,-$E127*$I127/12*0,IF($J127=11,-$E127*$I127/12*1,IF($J127=12,-$E127*$I127/12*2,0)))))</f>
        <v>0</v>
      </c>
      <c r="CW127" s="1791">
        <f t="shared" ref="CW127:CW131" si="1709">IF(AND(CR127&lt;&gt;0,CR$5=$H127),-$I127*$E127-CR127,IF(CW$5=$H127,-$I127*$E127*(12-$J127+1)/12,0))</f>
        <v>0</v>
      </c>
      <c r="CX127" s="1808">
        <f t="shared" ref="CX127:CX131" si="1710">IF($H127&lt;&gt;DB$5,0,IF(DB127&lt;0,IF($J127=1,-$E127*$I127/12*3,IF($J127=2,-$E127*$I127/12*2,IF($J127=3,-$E127*$I127/12*1,0)))))+IF(CW$5&lt;&gt;$H127,0,IF(CW127&lt;0,IF($J127=1,-$E127*$I127/12*0,IF($J127=2,-$E127*$I127/12*1,IF($J127=3,-$E127*$I127/12*2,IF($J127&gt;=4,-$E127*$I127/12*3,0))))))</f>
        <v>0</v>
      </c>
      <c r="CY127" s="1807">
        <f t="shared" ref="CY127:CY131" si="1711">IF($H127&lt;&gt;DB$5,0,IF(DB127&lt;0,IF(OR($J127=1,$J127=2,$J127=3,$J127=4),-$E127*$I127/12*3,IF($J127=5,-$E127*$I127/12*2,IF($J127=6,-$E127*$I127/12*1,0)))))+IF(CW$5&lt;&gt;$H127,0,IF(CW127&lt;0,IF($J127=4,-$E127*$I127/12*0,IF($J127=5,-$E127*$I127/12*1,IF($J127=6,-$E127*$I127/12*2,IF($J127&gt;=7,-$E127*$I127/12*3,0))))))</f>
        <v>0</v>
      </c>
      <c r="CZ127" s="1807">
        <f t="shared" ref="CZ127:CZ131" si="1712">IF($H127&lt;&gt;DB$5,0,IF(DB127&lt;0,IF(OR($J127=1,$J127=2,$J127=3,$J127=4,$J127=5,$J127=6,$J127=7),-$E127*$I127/12*3,IF($J127=8,-$E127*$I127/12*2,IF($J127=9,-$E127*$I127/12*1,0)))))+IF(CW$5&lt;&gt;$H127,0,IF(CW127&lt;0,IF($J127=7,-$E127*$I127/12*0,IF($J127=8,-$E127*$I127/12*1,IF($J127=9,-$E127*$I127/12*2,IF($J127&gt;=10,-$E127*$I127/12*3,0))))))</f>
        <v>0</v>
      </c>
      <c r="DA127" s="1806">
        <f t="shared" ref="DA127:DA131" si="1713">IF($H127&lt;&gt;DB$5,0,IF(DB127&lt;0,IF(OR($J127=1,$J127=2,$J127=3,$J127=4,$J127=5,$J127=6,$J127=7,$J127=8,$J127=9,$J127=10),-$E127*$I127/12*3,IF($J127=11,-$E127*$I127/12*2,IF($J127=12,-$E127*$I127/12*1,0)))))+IF(CW$5&lt;&gt;$H127,0,IF(CW127&lt;0,IF($J127=10,-$E127*$I127/12*0,IF($J127=11,-$E127*$I127/12*1,IF($J127=12,-$E127*$I127/12*2,0)))))</f>
        <v>0</v>
      </c>
      <c r="DB127" s="1791">
        <f t="shared" ref="DB127:DB131" si="1714">IF(AND(CW127&lt;&gt;0,CW$5=$H127),-$I127*$E127-CW127,IF(DB$5=$H127,-$I127*$E127*(12-$J127+1)/12,0))</f>
        <v>0</v>
      </c>
      <c r="DC127" s="1808">
        <f t="shared" ref="DC127:DC131" si="1715">IF($H127&lt;&gt;DG$5,0,IF(DG127&lt;0,IF($J127=1,-$E127*$I127/12*3,IF($J127=2,-$E127*$I127/12*2,IF($J127=3,-$E127*$I127/12*1,0)))))+IF(DB$5&lt;&gt;$H127,0,IF(DB127&lt;0,IF($J127=1,-$E127*$I127/12*0,IF($J127=2,-$E127*$I127/12*1,IF($J127=3,-$E127*$I127/12*2,IF($J127&gt;=4,-$E127*$I127/12*3,0))))))</f>
        <v>0</v>
      </c>
      <c r="DD127" s="1807">
        <f t="shared" ref="DD127:DD131" si="1716">IF($H127&lt;&gt;DG$5,0,IF(DG127&lt;0,IF(OR($J127=1,$J127=2,$J127=3,$J127=4),-$E127*$I127/12*3,IF($J127=5,-$E127*$I127/12*2,IF($J127=6,-$E127*$I127/12*1,0)))))+IF(DB$5&lt;&gt;$H127,0,IF(DB127&lt;0,IF($J127=4,-$E127*$I127/12*0,IF($J127=5,-$E127*$I127/12*1,IF($J127=6,-$E127*$I127/12*2,IF($J127&gt;=7,-$E127*$I127/12*3,0))))))</f>
        <v>0</v>
      </c>
      <c r="DE127" s="1807">
        <f t="shared" ref="DE127:DE131" si="1717">IF($H127&lt;&gt;DG$5,0,IF(DG127&lt;0,IF(OR($J127=1,$J127=2,$J127=3,$J127=4,$J127=5,$J127=6,$J127=7),-$E127*$I127/12*3,IF($J127=8,-$E127*$I127/12*2,IF($J127=9,-$E127*$I127/12*1,0)))))+IF(DB$5&lt;&gt;$H127,0,IF(DB127&lt;0,IF($J127=7,-$E127*$I127/12*0,IF($J127=8,-$E127*$I127/12*1,IF($J127=9,-$E127*$I127/12*2,IF($J127&gt;=10,-$E127*$I127/12*3,0))))))</f>
        <v>0</v>
      </c>
      <c r="DF127" s="1806">
        <f t="shared" ref="DF127:DF131" si="1718">IF($H127&lt;&gt;DG$5,0,IF(DG127&lt;0,IF(OR($J127=1,$J127=2,$J127=3,$J127=4,$J127=5,$J127=6,$J127=7,$J127=8,$J127=9,$J127=10),-$E127*$I127/12*3,IF($J127=11,-$E127*$I127/12*2,IF($J127=12,-$E127*$I127/12*1,0)))))+IF(DB$5&lt;&gt;$H127,0,IF(DB127&lt;0,IF($J127=10,-$E127*$I127/12*0,IF($J127=11,-$E127*$I127/12*1,IF($J127=12,-$E127*$I127/12*2,0)))))</f>
        <v>0</v>
      </c>
      <c r="DG127" s="1791">
        <f t="shared" ref="DG127:DG131" si="1719">IF(AND(DB127&lt;&gt;0,DB$5=$H127),-$I127*$E127-DB127,IF(DG$5=$H127,-$I127*$E127*(12-$J127+1)/12,0))</f>
        <v>0</v>
      </c>
      <c r="DH127" s="1808">
        <f t="shared" ref="DH127:DH131" si="1720">IF($H127&lt;&gt;DL$5,0,IF(DL127&lt;0,IF($J127=1,-$E127*$I127/12*3,IF($J127=2,-$E127*$I127/12*2,IF($J127=3,-$E127*$I127/12*1,0)))))+IF(DG$5&lt;&gt;$H127,0,IF(DG127&lt;0,IF($J127=1,-$E127*$I127/12*0,IF($J127=2,-$E127*$I127/12*1,IF($J127=3,-$E127*$I127/12*2,IF($J127&gt;=4,-$E127*$I127/12*3,0))))))</f>
        <v>0</v>
      </c>
      <c r="DI127" s="1807">
        <f t="shared" ref="DI127:DI131" si="1721">IF($H127&lt;&gt;DL$5,0,IF(DL127&lt;0,IF(OR($J127=1,$J127=2,$J127=3,$J127=4),-$E127*$I127/12*3,IF($J127=5,-$E127*$I127/12*2,IF($J127=6,-$E127*$I127/12*1,0)))))+IF(DG$5&lt;&gt;$H127,0,IF(DG127&lt;0,IF($J127=4,-$E127*$I127/12*0,IF($J127=5,-$E127*$I127/12*1,IF($J127=6,-$E127*$I127/12*2,IF($J127&gt;=7,-$E127*$I127/12*3,0))))))</f>
        <v>0</v>
      </c>
      <c r="DJ127" s="1807">
        <f t="shared" ref="DJ127:DJ131" si="1722">IF($H127&lt;&gt;DL$5,0,IF(DL127&lt;0,IF(OR($J127=1,$J127=2,$J127=3,$J127=4,$J127=5,$J127=6,$J127=7),-$E127*$I127/12*3,IF($J127=8,-$E127*$I127/12*2,IF($J127=9,-$E127*$I127/12*1,0)))))+IF(DG$5&lt;&gt;$H127,0,IF(DG127&lt;0,IF($J127=7,-$E127*$I127/12*0,IF($J127=8,-$E127*$I127/12*1,IF($J127=9,-$E127*$I127/12*2,IF($J127&gt;=10,-$E127*$I127/12*3,0))))))</f>
        <v>0</v>
      </c>
      <c r="DK127" s="1806">
        <f t="shared" ref="DK127:DK131" si="1723">IF($H127&lt;&gt;DL$5,0,IF(DL127&lt;0,IF(OR($J127=1,$J127=2,$J127=3,$J127=4,$J127=5,$J127=6,$J127=7,$J127=8,$J127=9,$J127=10),-$E127*$I127/12*3,IF($J127=11,-$E127*$I127/12*2,IF($J127=12,-$E127*$I127/12*1,0)))))+IF(DG$5&lt;&gt;$H127,0,IF(DG127&lt;0,IF($J127=10,-$E127*$I127/12*0,IF($J127=11,-$E127*$I127/12*1,IF($J127=12,-$E127*$I127/12*2,0)))))</f>
        <v>0</v>
      </c>
      <c r="DL127" s="1791">
        <f t="shared" ref="DL127:DL131" si="1724">IF(AND(DG127&lt;&gt;0,DG$5=$H127),-$I127*$E127-DG127,IF(DL$5=$H127,-$I127*$E127*(12-$J127+1)/12,0))</f>
        <v>0</v>
      </c>
      <c r="DM127" s="1808">
        <f t="shared" ref="DM127:DM131" si="1725">IF($H127&lt;&gt;DQ$5,0,IF(DQ127&lt;0,IF($J127=1,-$E127*$I127/12*3,IF($J127=2,-$E127*$I127/12*2,IF($J127=3,-$E127*$I127/12*1,0)))))+IF(DL$5&lt;&gt;$H127,0,IF(DL127&lt;0,IF($J127=1,-$E127*$I127/12*0,IF($J127=2,-$E127*$I127/12*1,IF($J127=3,-$E127*$I127/12*2,IF($J127&gt;=4,-$E127*$I127/12*3,0))))))</f>
        <v>0</v>
      </c>
      <c r="DN127" s="1807">
        <f t="shared" ref="DN127:DN131" si="1726">IF($H127&lt;&gt;DQ$5,0,IF(DQ127&lt;0,IF(OR($J127=1,$J127=2,$J127=3,$J127=4),-$E127*$I127/12*3,IF($J127=5,-$E127*$I127/12*2,IF($J127=6,-$E127*$I127/12*1,0)))))+IF(DL$5&lt;&gt;$H127,0,IF(DL127&lt;0,IF($J127=4,-$E127*$I127/12*0,IF($J127=5,-$E127*$I127/12*1,IF($J127=6,-$E127*$I127/12*2,IF($J127&gt;=7,-$E127*$I127/12*3,0))))))</f>
        <v>0</v>
      </c>
      <c r="DO127" s="1807">
        <f t="shared" ref="DO127:DO131" si="1727">IF($H127&lt;&gt;DQ$5,0,IF(DQ127&lt;0,IF(OR($J127=1,$J127=2,$J127=3,$J127=4,$J127=5,$J127=6,$J127=7),-$E127*$I127/12*3,IF($J127=8,-$E127*$I127/12*2,IF($J127=9,-$E127*$I127/12*1,0)))))+IF(DL$5&lt;&gt;$H127,0,IF(DL127&lt;0,IF($J127=7,-$E127*$I127/12*0,IF($J127=8,-$E127*$I127/12*1,IF($J127=9,-$E127*$I127/12*2,IF($J127&gt;=10,-$E127*$I127/12*3,0))))))</f>
        <v>0</v>
      </c>
      <c r="DP127" s="1806">
        <f t="shared" ref="DP127:DP131" si="1728">IF($H127&lt;&gt;DQ$5,0,IF(DQ127&lt;0,IF(OR($J127=1,$J127=2,$J127=3,$J127=4,$J127=5,$J127=6,$J127=7,$J127=8,$J127=9,$J127=10),-$E127*$I127/12*3,IF($J127=11,-$E127*$I127/12*2,IF($J127=12,-$E127*$I127/12*1,0)))))+IF(DL$5&lt;&gt;$H127,0,IF(DL127&lt;0,IF($J127=10,-$E127*$I127/12*0,IF($J127=11,-$E127*$I127/12*1,IF($J127=12,-$E127*$I127/12*2,0)))))</f>
        <v>0</v>
      </c>
      <c r="DQ127" s="1791">
        <f t="shared" ref="DQ127:DQ131" si="1729">IF(AND(DL127&lt;&gt;0,DL$5=$H127),-$I127*$E127-DL127,IF(DQ$5=$H127,-$I127*$E127*(12-$J127+1)/12,0))</f>
        <v>0</v>
      </c>
      <c r="DR127" s="1808">
        <f t="shared" ref="DR127:DR132" si="1730">IF($H127&lt;&gt;DV$5,0,IF(DV127&lt;0,IF($J127=1,-$E127*$I127/12*3,IF($J127=2,-$E127*$I127/12*2,IF($J127=3,-$E127*$I127/12*1,0)))))+IF(DQ$5&lt;&gt;$H127,0,IF(DQ127&lt;0,IF($J127=1,-$E127*$I127/12*0,IF($J127=2,-$E127*$I127/12*1,IF($J127=3,-$E127*$I127/12*2,IF($J127&gt;=4,-$E127*$I127/12*3,0))))))</f>
        <v>0</v>
      </c>
      <c r="DS127" s="1807">
        <f t="shared" ref="DS127:DS132" si="1731">IF($H127&lt;&gt;DV$5,0,IF(DV127&lt;0,IF(OR($J127=1,$J127=2,$J127=3,$J127=4),-$E127*$I127/12*3,IF($J127=5,-$E127*$I127/12*2,IF($J127=6,-$E127*$I127/12*1,0)))))+IF(DQ$5&lt;&gt;$H127,0,IF(DQ127&lt;0,IF($J127=4,-$E127*$I127/12*0,IF($J127=5,-$E127*$I127/12*1,IF($J127=6,-$E127*$I127/12*2,IF($J127&gt;=7,-$E127*$I127/12*3,0))))))</f>
        <v>0</v>
      </c>
      <c r="DT127" s="1807">
        <f t="shared" ref="DT127:DT132" si="1732">IF($H127&lt;&gt;DV$5,0,IF(DV127&lt;0,IF(OR($J127=1,$J127=2,$J127=3,$J127=4,$J127=5,$J127=6,$J127=7),-$E127*$I127/12*3,IF($J127=8,-$E127*$I127/12*2,IF($J127=9,-$E127*$I127/12*1,0)))))+IF(DQ$5&lt;&gt;$H127,0,IF(DQ127&lt;0,IF($J127=7,-$E127*$I127/12*0,IF($J127=8,-$E127*$I127/12*1,IF($J127=9,-$E127*$I127/12*2,IF($J127&gt;=10,-$E127*$I127/12*3,0))))))</f>
        <v>0</v>
      </c>
      <c r="DU127" s="1806">
        <f t="shared" ref="DU127:DU132" si="1733">IF($H127&lt;&gt;DV$5,0,IF(DV127&lt;0,IF(OR($J127=1,$J127=2,$J127=3,$J127=4,$J127=5,$J127=6,$J127=7,$J127=8,$J127=9,$J127=10),-$E127*$I127/12*3,IF($J127=11,-$E127*$I127/12*2,IF($J127=12,-$E127*$I127/12*1,0)))))+IF(DQ$5&lt;&gt;$H127,0,IF(DQ127&lt;0,IF($J127=10,-$E127*$I127/12*0,IF($J127=11,-$E127*$I127/12*1,IF($J127=12,-$E127*$I127/12*2,0)))))</f>
        <v>0</v>
      </c>
      <c r="DV127" s="1791">
        <f t="shared" ref="DV127:DV132" si="1734">IF(AND(DQ127&lt;&gt;0,DQ$5=$H127),-$I127*$E127-DQ127,IF(DV$5=$H127,-$I127*$E127*(12-$J127+1)/12,0))</f>
        <v>0</v>
      </c>
    </row>
    <row r="128" spans="1:126">
      <c r="A128" s="455"/>
      <c r="B128" s="455"/>
      <c r="C128" s="1363" t="s">
        <v>783</v>
      </c>
      <c r="D128" s="455"/>
      <c r="E128" s="1817">
        <f t="shared" ref="E128:E132" si="1735">IF(F128=0,G128,F128)</f>
        <v>25</v>
      </c>
      <c r="F128" s="1435">
        <v>25</v>
      </c>
      <c r="G128" s="1435">
        <v>25</v>
      </c>
      <c r="H128" s="1350">
        <v>2020</v>
      </c>
      <c r="I128" s="1335">
        <v>5.0999999999999997E-2</v>
      </c>
      <c r="J128" s="1343">
        <v>12</v>
      </c>
      <c r="K128" s="1792"/>
      <c r="L128" s="1810">
        <f t="shared" si="1623"/>
        <v>0</v>
      </c>
      <c r="M128" s="1791">
        <f t="shared" si="1623"/>
        <v>0</v>
      </c>
      <c r="N128" s="1808">
        <f t="shared" si="1624"/>
        <v>0</v>
      </c>
      <c r="O128" s="1807">
        <f t="shared" si="1625"/>
        <v>0</v>
      </c>
      <c r="P128" s="1807">
        <f t="shared" si="1626"/>
        <v>0</v>
      </c>
      <c r="Q128" s="1806">
        <f t="shared" si="1627"/>
        <v>0</v>
      </c>
      <c r="R128" s="1791">
        <f t="shared" si="1628"/>
        <v>0</v>
      </c>
      <c r="S128" s="1808">
        <f t="shared" si="1629"/>
        <v>0</v>
      </c>
      <c r="T128" s="1807">
        <f t="shared" si="1630"/>
        <v>0</v>
      </c>
      <c r="U128" s="1807">
        <f t="shared" si="1631"/>
        <v>0</v>
      </c>
      <c r="V128" s="1806">
        <f t="shared" si="1632"/>
        <v>0</v>
      </c>
      <c r="W128" s="1791">
        <f t="shared" si="1633"/>
        <v>0</v>
      </c>
      <c r="X128" s="1808">
        <f t="shared" si="1634"/>
        <v>0</v>
      </c>
      <c r="Y128" s="1807">
        <f t="shared" si="1635"/>
        <v>0</v>
      </c>
      <c r="Z128" s="1807">
        <f t="shared" si="1636"/>
        <v>0</v>
      </c>
      <c r="AA128" s="1806">
        <f t="shared" si="1637"/>
        <v>0</v>
      </c>
      <c r="AB128" s="1791">
        <f t="shared" si="1638"/>
        <v>0</v>
      </c>
      <c r="AC128" s="1808">
        <f t="shared" si="1639"/>
        <v>0</v>
      </c>
      <c r="AD128" s="1807">
        <f t="shared" si="1640"/>
        <v>0</v>
      </c>
      <c r="AE128" s="1807">
        <f t="shared" si="1641"/>
        <v>0</v>
      </c>
      <c r="AF128" s="1806">
        <f t="shared" si="1642"/>
        <v>0</v>
      </c>
      <c r="AG128" s="1791">
        <f t="shared" si="1643"/>
        <v>0</v>
      </c>
      <c r="AH128" s="1808">
        <f t="shared" si="1644"/>
        <v>0</v>
      </c>
      <c r="AI128" s="1807">
        <f t="shared" si="1645"/>
        <v>0</v>
      </c>
      <c r="AJ128" s="1807">
        <f t="shared" si="1646"/>
        <v>0</v>
      </c>
      <c r="AK128" s="1806">
        <f t="shared" si="1647"/>
        <v>0</v>
      </c>
      <c r="AL128" s="1791">
        <f t="shared" si="1648"/>
        <v>0</v>
      </c>
      <c r="AM128" s="1808">
        <f t="shared" si="1649"/>
        <v>0</v>
      </c>
      <c r="AN128" s="1807">
        <f t="shared" si="1650"/>
        <v>0</v>
      </c>
      <c r="AO128" s="1807">
        <f t="shared" si="1651"/>
        <v>0</v>
      </c>
      <c r="AP128" s="1806">
        <f t="shared" si="1652"/>
        <v>0</v>
      </c>
      <c r="AQ128" s="1791">
        <f t="shared" si="1653"/>
        <v>0</v>
      </c>
      <c r="AR128" s="1808">
        <f t="shared" si="1654"/>
        <v>0</v>
      </c>
      <c r="AS128" s="1807">
        <f t="shared" si="1655"/>
        <v>0</v>
      </c>
      <c r="AT128" s="1807">
        <f t="shared" si="1656"/>
        <v>0</v>
      </c>
      <c r="AU128" s="1806">
        <f t="shared" si="1657"/>
        <v>0</v>
      </c>
      <c r="AV128" s="1791">
        <f t="shared" si="1658"/>
        <v>0</v>
      </c>
      <c r="AW128" s="1808">
        <f t="shared" si="1659"/>
        <v>0</v>
      </c>
      <c r="AX128" s="1807">
        <f t="shared" si="1660"/>
        <v>0</v>
      </c>
      <c r="AY128" s="1807">
        <f t="shared" si="1661"/>
        <v>0</v>
      </c>
      <c r="AZ128" s="1806">
        <f t="shared" si="1662"/>
        <v>0</v>
      </c>
      <c r="BA128" s="1791">
        <f t="shared" si="1663"/>
        <v>0</v>
      </c>
      <c r="BB128" s="1808">
        <f t="shared" si="1664"/>
        <v>0</v>
      </c>
      <c r="BC128" s="1807">
        <f t="shared" si="1665"/>
        <v>0</v>
      </c>
      <c r="BD128" s="1807">
        <f t="shared" si="1666"/>
        <v>0</v>
      </c>
      <c r="BE128" s="1806">
        <f t="shared" si="1667"/>
        <v>0</v>
      </c>
      <c r="BF128" s="1791">
        <f t="shared" si="1668"/>
        <v>0</v>
      </c>
      <c r="BG128" s="1808">
        <f t="shared" si="1669"/>
        <v>0</v>
      </c>
      <c r="BH128" s="1807">
        <f t="shared" si="1670"/>
        <v>0</v>
      </c>
      <c r="BI128" s="1807">
        <f t="shared" si="1671"/>
        <v>0</v>
      </c>
      <c r="BJ128" s="1806">
        <f t="shared" si="1672"/>
        <v>-25</v>
      </c>
      <c r="BK128" s="1791">
        <f t="shared" si="1673"/>
        <v>-25</v>
      </c>
      <c r="BL128" s="1808">
        <f t="shared" si="1674"/>
        <v>0</v>
      </c>
      <c r="BM128" s="1807">
        <f t="shared" si="1675"/>
        <v>0</v>
      </c>
      <c r="BN128" s="1807">
        <f t="shared" si="1676"/>
        <v>0</v>
      </c>
      <c r="BO128" s="1806">
        <f t="shared" si="1677"/>
        <v>0</v>
      </c>
      <c r="BP128" s="1791">
        <f t="shared" si="1678"/>
        <v>0</v>
      </c>
      <c r="BQ128" s="1827"/>
      <c r="BR128" s="1791">
        <f t="shared" si="1679"/>
        <v>0</v>
      </c>
      <c r="BS128" s="1791">
        <f t="shared" si="1679"/>
        <v>0</v>
      </c>
      <c r="BT128" s="1808">
        <f t="shared" si="1680"/>
        <v>0</v>
      </c>
      <c r="BU128" s="1807">
        <f t="shared" si="1681"/>
        <v>0</v>
      </c>
      <c r="BV128" s="1807">
        <f t="shared" si="1682"/>
        <v>0</v>
      </c>
      <c r="BW128" s="1806">
        <f t="shared" si="1683"/>
        <v>0</v>
      </c>
      <c r="BX128" s="1791">
        <f t="shared" si="1684"/>
        <v>0</v>
      </c>
      <c r="BY128" s="1808">
        <f t="shared" si="1685"/>
        <v>0</v>
      </c>
      <c r="BZ128" s="1807">
        <f t="shared" si="1686"/>
        <v>0</v>
      </c>
      <c r="CA128" s="1807">
        <f t="shared" si="1687"/>
        <v>0</v>
      </c>
      <c r="CB128" s="1806">
        <f t="shared" si="1688"/>
        <v>0</v>
      </c>
      <c r="CC128" s="1791">
        <f t="shared" si="1689"/>
        <v>0</v>
      </c>
      <c r="CD128" s="1808">
        <f t="shared" si="1690"/>
        <v>0</v>
      </c>
      <c r="CE128" s="1807">
        <f t="shared" si="1691"/>
        <v>0</v>
      </c>
      <c r="CF128" s="1807">
        <f t="shared" si="1692"/>
        <v>0</v>
      </c>
      <c r="CG128" s="1806">
        <f t="shared" si="1693"/>
        <v>0</v>
      </c>
      <c r="CH128" s="1791">
        <f t="shared" si="1694"/>
        <v>0</v>
      </c>
      <c r="CI128" s="1808">
        <f t="shared" si="1695"/>
        <v>0</v>
      </c>
      <c r="CJ128" s="1807">
        <f t="shared" si="1696"/>
        <v>0</v>
      </c>
      <c r="CK128" s="1807">
        <f t="shared" si="1697"/>
        <v>0</v>
      </c>
      <c r="CL128" s="1806">
        <f t="shared" si="1698"/>
        <v>0</v>
      </c>
      <c r="CM128" s="1791">
        <f t="shared" si="1699"/>
        <v>0</v>
      </c>
      <c r="CN128" s="1808">
        <f t="shared" si="1700"/>
        <v>0</v>
      </c>
      <c r="CO128" s="1807">
        <f t="shared" si="1701"/>
        <v>0</v>
      </c>
      <c r="CP128" s="1807">
        <f t="shared" si="1702"/>
        <v>0</v>
      </c>
      <c r="CQ128" s="1806">
        <f t="shared" si="1703"/>
        <v>0</v>
      </c>
      <c r="CR128" s="1791">
        <f t="shared" si="1704"/>
        <v>0</v>
      </c>
      <c r="CS128" s="1808">
        <f t="shared" si="1705"/>
        <v>0</v>
      </c>
      <c r="CT128" s="1807">
        <f t="shared" si="1706"/>
        <v>0</v>
      </c>
      <c r="CU128" s="1807">
        <f t="shared" si="1707"/>
        <v>0</v>
      </c>
      <c r="CV128" s="1806">
        <f t="shared" si="1708"/>
        <v>0</v>
      </c>
      <c r="CW128" s="1791">
        <f t="shared" si="1709"/>
        <v>0</v>
      </c>
      <c r="CX128" s="1808">
        <f t="shared" si="1710"/>
        <v>0</v>
      </c>
      <c r="CY128" s="1807">
        <f t="shared" si="1711"/>
        <v>0</v>
      </c>
      <c r="CZ128" s="1807">
        <f t="shared" si="1712"/>
        <v>0</v>
      </c>
      <c r="DA128" s="1806">
        <f t="shared" si="1713"/>
        <v>0</v>
      </c>
      <c r="DB128" s="1791">
        <f t="shared" si="1714"/>
        <v>0</v>
      </c>
      <c r="DC128" s="1808">
        <f t="shared" si="1715"/>
        <v>0</v>
      </c>
      <c r="DD128" s="1807">
        <f t="shared" si="1716"/>
        <v>0</v>
      </c>
      <c r="DE128" s="1807">
        <f t="shared" si="1717"/>
        <v>0</v>
      </c>
      <c r="DF128" s="1806">
        <f t="shared" si="1718"/>
        <v>0</v>
      </c>
      <c r="DG128" s="1791">
        <f t="shared" si="1719"/>
        <v>0</v>
      </c>
      <c r="DH128" s="1808">
        <f t="shared" si="1720"/>
        <v>0</v>
      </c>
      <c r="DI128" s="1807">
        <f t="shared" si="1721"/>
        <v>0</v>
      </c>
      <c r="DJ128" s="1807">
        <f t="shared" si="1722"/>
        <v>0</v>
      </c>
      <c r="DK128" s="1806">
        <f t="shared" si="1723"/>
        <v>0</v>
      </c>
      <c r="DL128" s="1791">
        <f t="shared" si="1724"/>
        <v>0</v>
      </c>
      <c r="DM128" s="1808">
        <f t="shared" si="1725"/>
        <v>0</v>
      </c>
      <c r="DN128" s="1807">
        <f t="shared" si="1726"/>
        <v>0</v>
      </c>
      <c r="DO128" s="1807">
        <f t="shared" si="1727"/>
        <v>0</v>
      </c>
      <c r="DP128" s="1806">
        <f t="shared" si="1728"/>
        <v>-0.10625</v>
      </c>
      <c r="DQ128" s="1791">
        <f t="shared" si="1729"/>
        <v>-0.10625</v>
      </c>
      <c r="DR128" s="1808">
        <f t="shared" si="1730"/>
        <v>-0.31874999999999998</v>
      </c>
      <c r="DS128" s="1807">
        <f t="shared" si="1731"/>
        <v>-0.31874999999999998</v>
      </c>
      <c r="DT128" s="1807">
        <f t="shared" si="1732"/>
        <v>-0.31874999999999998</v>
      </c>
      <c r="DU128" s="1806">
        <f t="shared" si="1733"/>
        <v>-0.21249999999999999</v>
      </c>
      <c r="DV128" s="1791">
        <f t="shared" si="1734"/>
        <v>-1.16875</v>
      </c>
    </row>
    <row r="129" spans="1:126">
      <c r="A129" s="455"/>
      <c r="B129" s="455"/>
      <c r="C129" s="1363" t="s">
        <v>116</v>
      </c>
      <c r="D129" s="455"/>
      <c r="E129" s="1817">
        <f t="shared" si="1735"/>
        <v>30</v>
      </c>
      <c r="F129" s="1435">
        <v>30</v>
      </c>
      <c r="G129" s="1435">
        <v>30</v>
      </c>
      <c r="H129" s="1350">
        <v>2052</v>
      </c>
      <c r="I129" s="1335">
        <v>0.05</v>
      </c>
      <c r="J129" s="1343">
        <v>12</v>
      </c>
      <c r="K129" s="1792"/>
      <c r="L129" s="1810">
        <f t="shared" si="1623"/>
        <v>0</v>
      </c>
      <c r="M129" s="1791">
        <f t="shared" si="1623"/>
        <v>0</v>
      </c>
      <c r="N129" s="1808">
        <f t="shared" si="1624"/>
        <v>0</v>
      </c>
      <c r="O129" s="1807">
        <f t="shared" si="1625"/>
        <v>0</v>
      </c>
      <c r="P129" s="1807">
        <f t="shared" si="1626"/>
        <v>0</v>
      </c>
      <c r="Q129" s="1806">
        <f t="shared" si="1627"/>
        <v>0</v>
      </c>
      <c r="R129" s="1791">
        <f t="shared" si="1628"/>
        <v>0</v>
      </c>
      <c r="S129" s="1808">
        <f t="shared" si="1629"/>
        <v>0</v>
      </c>
      <c r="T129" s="1807">
        <f t="shared" si="1630"/>
        <v>0</v>
      </c>
      <c r="U129" s="1807">
        <f t="shared" si="1631"/>
        <v>0</v>
      </c>
      <c r="V129" s="1806">
        <f t="shared" si="1632"/>
        <v>0</v>
      </c>
      <c r="W129" s="1791">
        <f t="shared" si="1633"/>
        <v>0</v>
      </c>
      <c r="X129" s="1808">
        <f t="shared" si="1634"/>
        <v>0</v>
      </c>
      <c r="Y129" s="1807">
        <f t="shared" si="1635"/>
        <v>0</v>
      </c>
      <c r="Z129" s="1807">
        <f t="shared" si="1636"/>
        <v>0</v>
      </c>
      <c r="AA129" s="1806">
        <f t="shared" si="1637"/>
        <v>0</v>
      </c>
      <c r="AB129" s="1791">
        <f t="shared" si="1638"/>
        <v>0</v>
      </c>
      <c r="AC129" s="1808">
        <f t="shared" si="1639"/>
        <v>0</v>
      </c>
      <c r="AD129" s="1807">
        <f t="shared" si="1640"/>
        <v>0</v>
      </c>
      <c r="AE129" s="1807">
        <f t="shared" si="1641"/>
        <v>0</v>
      </c>
      <c r="AF129" s="1806">
        <f t="shared" si="1642"/>
        <v>0</v>
      </c>
      <c r="AG129" s="1791">
        <f t="shared" si="1643"/>
        <v>0</v>
      </c>
      <c r="AH129" s="1808">
        <f t="shared" si="1644"/>
        <v>0</v>
      </c>
      <c r="AI129" s="1807">
        <f t="shared" si="1645"/>
        <v>0</v>
      </c>
      <c r="AJ129" s="1807">
        <f t="shared" si="1646"/>
        <v>0</v>
      </c>
      <c r="AK129" s="1806">
        <f t="shared" si="1647"/>
        <v>0</v>
      </c>
      <c r="AL129" s="1791">
        <f t="shared" si="1648"/>
        <v>0</v>
      </c>
      <c r="AM129" s="1808">
        <f t="shared" si="1649"/>
        <v>0</v>
      </c>
      <c r="AN129" s="1807">
        <f t="shared" si="1650"/>
        <v>0</v>
      </c>
      <c r="AO129" s="1807">
        <f t="shared" si="1651"/>
        <v>0</v>
      </c>
      <c r="AP129" s="1806">
        <f t="shared" si="1652"/>
        <v>0</v>
      </c>
      <c r="AQ129" s="1791">
        <f t="shared" si="1653"/>
        <v>0</v>
      </c>
      <c r="AR129" s="1808">
        <f t="shared" si="1654"/>
        <v>0</v>
      </c>
      <c r="AS129" s="1807">
        <f t="shared" si="1655"/>
        <v>0</v>
      </c>
      <c r="AT129" s="1807">
        <f t="shared" si="1656"/>
        <v>0</v>
      </c>
      <c r="AU129" s="1806">
        <f t="shared" si="1657"/>
        <v>0</v>
      </c>
      <c r="AV129" s="1791">
        <f t="shared" si="1658"/>
        <v>0</v>
      </c>
      <c r="AW129" s="1808">
        <f t="shared" si="1659"/>
        <v>0</v>
      </c>
      <c r="AX129" s="1807">
        <f t="shared" si="1660"/>
        <v>0</v>
      </c>
      <c r="AY129" s="1807">
        <f t="shared" si="1661"/>
        <v>0</v>
      </c>
      <c r="AZ129" s="1806">
        <f t="shared" si="1662"/>
        <v>0</v>
      </c>
      <c r="BA129" s="1791">
        <f t="shared" si="1663"/>
        <v>0</v>
      </c>
      <c r="BB129" s="1808">
        <f t="shared" si="1664"/>
        <v>0</v>
      </c>
      <c r="BC129" s="1807">
        <f t="shared" si="1665"/>
        <v>0</v>
      </c>
      <c r="BD129" s="1807">
        <f t="shared" si="1666"/>
        <v>0</v>
      </c>
      <c r="BE129" s="1806">
        <f t="shared" si="1667"/>
        <v>0</v>
      </c>
      <c r="BF129" s="1791">
        <f t="shared" si="1668"/>
        <v>0</v>
      </c>
      <c r="BG129" s="1808">
        <f t="shared" si="1669"/>
        <v>0</v>
      </c>
      <c r="BH129" s="1807">
        <f t="shared" si="1670"/>
        <v>0</v>
      </c>
      <c r="BI129" s="1807">
        <f t="shared" si="1671"/>
        <v>0</v>
      </c>
      <c r="BJ129" s="1806">
        <f t="shared" si="1672"/>
        <v>0</v>
      </c>
      <c r="BK129" s="1791">
        <f t="shared" si="1673"/>
        <v>0</v>
      </c>
      <c r="BL129" s="1808">
        <f t="shared" si="1674"/>
        <v>0</v>
      </c>
      <c r="BM129" s="1807">
        <f t="shared" si="1675"/>
        <v>0</v>
      </c>
      <c r="BN129" s="1807">
        <f t="shared" si="1676"/>
        <v>0</v>
      </c>
      <c r="BO129" s="1806">
        <f t="shared" si="1677"/>
        <v>0</v>
      </c>
      <c r="BP129" s="1791">
        <f t="shared" si="1678"/>
        <v>0</v>
      </c>
      <c r="BQ129" s="1827"/>
      <c r="BR129" s="1791">
        <f t="shared" si="1679"/>
        <v>0</v>
      </c>
      <c r="BS129" s="1791">
        <f t="shared" si="1679"/>
        <v>0</v>
      </c>
      <c r="BT129" s="1808">
        <f t="shared" si="1680"/>
        <v>0</v>
      </c>
      <c r="BU129" s="1807">
        <f t="shared" si="1681"/>
        <v>0</v>
      </c>
      <c r="BV129" s="1807">
        <f t="shared" si="1682"/>
        <v>0</v>
      </c>
      <c r="BW129" s="1806">
        <f t="shared" si="1683"/>
        <v>0</v>
      </c>
      <c r="BX129" s="1791">
        <f t="shared" si="1684"/>
        <v>0</v>
      </c>
      <c r="BY129" s="1808">
        <f t="shared" si="1685"/>
        <v>0</v>
      </c>
      <c r="BZ129" s="1807">
        <f t="shared" si="1686"/>
        <v>0</v>
      </c>
      <c r="CA129" s="1807">
        <f t="shared" si="1687"/>
        <v>0</v>
      </c>
      <c r="CB129" s="1806">
        <f t="shared" si="1688"/>
        <v>0</v>
      </c>
      <c r="CC129" s="1791">
        <f t="shared" si="1689"/>
        <v>0</v>
      </c>
      <c r="CD129" s="1808">
        <f t="shared" si="1690"/>
        <v>0</v>
      </c>
      <c r="CE129" s="1807">
        <f t="shared" si="1691"/>
        <v>0</v>
      </c>
      <c r="CF129" s="1807">
        <f t="shared" si="1692"/>
        <v>0</v>
      </c>
      <c r="CG129" s="1806">
        <f t="shared" si="1693"/>
        <v>0</v>
      </c>
      <c r="CH129" s="1791">
        <f t="shared" si="1694"/>
        <v>0</v>
      </c>
      <c r="CI129" s="1808">
        <f t="shared" si="1695"/>
        <v>0</v>
      </c>
      <c r="CJ129" s="1807">
        <f t="shared" si="1696"/>
        <v>0</v>
      </c>
      <c r="CK129" s="1807">
        <f t="shared" si="1697"/>
        <v>0</v>
      </c>
      <c r="CL129" s="1806">
        <f t="shared" si="1698"/>
        <v>0</v>
      </c>
      <c r="CM129" s="1791">
        <f t="shared" si="1699"/>
        <v>0</v>
      </c>
      <c r="CN129" s="1808">
        <f t="shared" si="1700"/>
        <v>0</v>
      </c>
      <c r="CO129" s="1807">
        <f t="shared" si="1701"/>
        <v>0</v>
      </c>
      <c r="CP129" s="1807">
        <f t="shared" si="1702"/>
        <v>0</v>
      </c>
      <c r="CQ129" s="1806">
        <f t="shared" si="1703"/>
        <v>0</v>
      </c>
      <c r="CR129" s="1791">
        <f t="shared" si="1704"/>
        <v>0</v>
      </c>
      <c r="CS129" s="1808">
        <f t="shared" si="1705"/>
        <v>0</v>
      </c>
      <c r="CT129" s="1807">
        <f t="shared" si="1706"/>
        <v>0</v>
      </c>
      <c r="CU129" s="1807">
        <f t="shared" si="1707"/>
        <v>0</v>
      </c>
      <c r="CV129" s="1806">
        <f t="shared" si="1708"/>
        <v>0</v>
      </c>
      <c r="CW129" s="1791">
        <f t="shared" si="1709"/>
        <v>0</v>
      </c>
      <c r="CX129" s="1808">
        <f t="shared" si="1710"/>
        <v>0</v>
      </c>
      <c r="CY129" s="1807">
        <f t="shared" si="1711"/>
        <v>0</v>
      </c>
      <c r="CZ129" s="1807">
        <f t="shared" si="1712"/>
        <v>0</v>
      </c>
      <c r="DA129" s="1806">
        <f t="shared" si="1713"/>
        <v>0</v>
      </c>
      <c r="DB129" s="1791">
        <f t="shared" si="1714"/>
        <v>0</v>
      </c>
      <c r="DC129" s="1808">
        <f t="shared" si="1715"/>
        <v>0</v>
      </c>
      <c r="DD129" s="1807">
        <f t="shared" si="1716"/>
        <v>0</v>
      </c>
      <c r="DE129" s="1807">
        <f t="shared" si="1717"/>
        <v>0</v>
      </c>
      <c r="DF129" s="1806">
        <f t="shared" si="1718"/>
        <v>0</v>
      </c>
      <c r="DG129" s="1791">
        <f t="shared" si="1719"/>
        <v>0</v>
      </c>
      <c r="DH129" s="1808">
        <f t="shared" si="1720"/>
        <v>0</v>
      </c>
      <c r="DI129" s="1807">
        <f t="shared" si="1721"/>
        <v>0</v>
      </c>
      <c r="DJ129" s="1807">
        <f t="shared" si="1722"/>
        <v>0</v>
      </c>
      <c r="DK129" s="1806">
        <f t="shared" si="1723"/>
        <v>0</v>
      </c>
      <c r="DL129" s="1791">
        <f t="shared" si="1724"/>
        <v>0</v>
      </c>
      <c r="DM129" s="1808">
        <f t="shared" si="1725"/>
        <v>0</v>
      </c>
      <c r="DN129" s="1807">
        <f t="shared" si="1726"/>
        <v>0</v>
      </c>
      <c r="DO129" s="1807">
        <f t="shared" si="1727"/>
        <v>0</v>
      </c>
      <c r="DP129" s="1806">
        <f t="shared" si="1728"/>
        <v>0</v>
      </c>
      <c r="DQ129" s="1791">
        <f t="shared" si="1729"/>
        <v>0</v>
      </c>
      <c r="DR129" s="1808">
        <f t="shared" si="1730"/>
        <v>0</v>
      </c>
      <c r="DS129" s="1807">
        <f t="shared" si="1731"/>
        <v>0</v>
      </c>
      <c r="DT129" s="1807">
        <f t="shared" si="1732"/>
        <v>0</v>
      </c>
      <c r="DU129" s="1806">
        <f t="shared" si="1733"/>
        <v>0</v>
      </c>
      <c r="DV129" s="1791">
        <f t="shared" si="1734"/>
        <v>0</v>
      </c>
    </row>
    <row r="130" spans="1:126">
      <c r="A130" s="455"/>
      <c r="B130" s="455"/>
      <c r="C130" s="1363" t="s">
        <v>436</v>
      </c>
      <c r="D130" s="455"/>
      <c r="E130" s="1817">
        <f t="shared" si="1735"/>
        <v>100</v>
      </c>
      <c r="F130" s="1435">
        <v>100</v>
      </c>
      <c r="G130" s="1435">
        <v>100</v>
      </c>
      <c r="H130" s="1350">
        <v>2023</v>
      </c>
      <c r="I130" s="1337">
        <v>3.9E-2</v>
      </c>
      <c r="J130" s="1343">
        <v>7</v>
      </c>
      <c r="K130" s="1792"/>
      <c r="L130" s="1810">
        <f t="shared" si="1623"/>
        <v>0</v>
      </c>
      <c r="M130" s="1791">
        <f t="shared" si="1623"/>
        <v>0</v>
      </c>
      <c r="N130" s="1808">
        <f t="shared" si="1624"/>
        <v>0</v>
      </c>
      <c r="O130" s="1807">
        <f t="shared" si="1625"/>
        <v>0</v>
      </c>
      <c r="P130" s="1807">
        <f t="shared" si="1626"/>
        <v>0</v>
      </c>
      <c r="Q130" s="1806">
        <f t="shared" si="1627"/>
        <v>0</v>
      </c>
      <c r="R130" s="1791">
        <f t="shared" si="1628"/>
        <v>0</v>
      </c>
      <c r="S130" s="1808">
        <f t="shared" si="1629"/>
        <v>0</v>
      </c>
      <c r="T130" s="1807">
        <f t="shared" si="1630"/>
        <v>0</v>
      </c>
      <c r="U130" s="1807">
        <f t="shared" si="1631"/>
        <v>0</v>
      </c>
      <c r="V130" s="1806">
        <f t="shared" si="1632"/>
        <v>0</v>
      </c>
      <c r="W130" s="1791">
        <f t="shared" si="1633"/>
        <v>0</v>
      </c>
      <c r="X130" s="1808">
        <f t="shared" si="1634"/>
        <v>0</v>
      </c>
      <c r="Y130" s="1807">
        <f t="shared" si="1635"/>
        <v>0</v>
      </c>
      <c r="Z130" s="1807">
        <f t="shared" si="1636"/>
        <v>0</v>
      </c>
      <c r="AA130" s="1806">
        <f t="shared" si="1637"/>
        <v>0</v>
      </c>
      <c r="AB130" s="1791">
        <f t="shared" si="1638"/>
        <v>0</v>
      </c>
      <c r="AC130" s="1808">
        <f t="shared" si="1639"/>
        <v>0</v>
      </c>
      <c r="AD130" s="1807">
        <f t="shared" si="1640"/>
        <v>0</v>
      </c>
      <c r="AE130" s="1807">
        <f t="shared" si="1641"/>
        <v>0</v>
      </c>
      <c r="AF130" s="1806">
        <f t="shared" si="1642"/>
        <v>0</v>
      </c>
      <c r="AG130" s="1791">
        <f t="shared" si="1643"/>
        <v>0</v>
      </c>
      <c r="AH130" s="1808">
        <f t="shared" si="1644"/>
        <v>0</v>
      </c>
      <c r="AI130" s="1807">
        <f t="shared" si="1645"/>
        <v>0</v>
      </c>
      <c r="AJ130" s="1807">
        <f t="shared" si="1646"/>
        <v>0</v>
      </c>
      <c r="AK130" s="1806">
        <f t="shared" si="1647"/>
        <v>0</v>
      </c>
      <c r="AL130" s="1791">
        <f t="shared" si="1648"/>
        <v>0</v>
      </c>
      <c r="AM130" s="1808">
        <f t="shared" si="1649"/>
        <v>0</v>
      </c>
      <c r="AN130" s="1807">
        <f t="shared" si="1650"/>
        <v>0</v>
      </c>
      <c r="AO130" s="1807">
        <f t="shared" si="1651"/>
        <v>0</v>
      </c>
      <c r="AP130" s="1806">
        <f t="shared" si="1652"/>
        <v>0</v>
      </c>
      <c r="AQ130" s="1791">
        <f t="shared" si="1653"/>
        <v>0</v>
      </c>
      <c r="AR130" s="1808">
        <f t="shared" si="1654"/>
        <v>0</v>
      </c>
      <c r="AS130" s="1807">
        <f t="shared" si="1655"/>
        <v>0</v>
      </c>
      <c r="AT130" s="1807">
        <f t="shared" si="1656"/>
        <v>0</v>
      </c>
      <c r="AU130" s="1806">
        <f t="shared" si="1657"/>
        <v>0</v>
      </c>
      <c r="AV130" s="1791">
        <f t="shared" si="1658"/>
        <v>0</v>
      </c>
      <c r="AW130" s="1808">
        <f t="shared" si="1659"/>
        <v>0</v>
      </c>
      <c r="AX130" s="1807">
        <f t="shared" si="1660"/>
        <v>0</v>
      </c>
      <c r="AY130" s="1807">
        <f t="shared" si="1661"/>
        <v>0</v>
      </c>
      <c r="AZ130" s="1806">
        <f t="shared" si="1662"/>
        <v>0</v>
      </c>
      <c r="BA130" s="1791">
        <f t="shared" si="1663"/>
        <v>0</v>
      </c>
      <c r="BB130" s="1808">
        <f t="shared" si="1664"/>
        <v>0</v>
      </c>
      <c r="BC130" s="1807">
        <f t="shared" si="1665"/>
        <v>0</v>
      </c>
      <c r="BD130" s="1807">
        <f t="shared" si="1666"/>
        <v>0</v>
      </c>
      <c r="BE130" s="1806">
        <f t="shared" si="1667"/>
        <v>0</v>
      </c>
      <c r="BF130" s="1791">
        <f t="shared" si="1668"/>
        <v>0</v>
      </c>
      <c r="BG130" s="1808">
        <f t="shared" si="1669"/>
        <v>0</v>
      </c>
      <c r="BH130" s="1807">
        <f t="shared" si="1670"/>
        <v>0</v>
      </c>
      <c r="BI130" s="1807">
        <f t="shared" si="1671"/>
        <v>0</v>
      </c>
      <c r="BJ130" s="1806">
        <f t="shared" si="1672"/>
        <v>0</v>
      </c>
      <c r="BK130" s="1791">
        <f t="shared" si="1673"/>
        <v>0</v>
      </c>
      <c r="BL130" s="1808">
        <f t="shared" si="1674"/>
        <v>0</v>
      </c>
      <c r="BM130" s="1807">
        <f t="shared" si="1675"/>
        <v>0</v>
      </c>
      <c r="BN130" s="1807">
        <f t="shared" si="1676"/>
        <v>0</v>
      </c>
      <c r="BO130" s="1806">
        <f t="shared" si="1677"/>
        <v>0</v>
      </c>
      <c r="BP130" s="1791">
        <f t="shared" si="1678"/>
        <v>0</v>
      </c>
      <c r="BQ130" s="1827"/>
      <c r="BR130" s="1791">
        <f t="shared" si="1679"/>
        <v>0</v>
      </c>
      <c r="BS130" s="1791">
        <f t="shared" si="1679"/>
        <v>0</v>
      </c>
      <c r="BT130" s="1808">
        <f t="shared" si="1680"/>
        <v>0</v>
      </c>
      <c r="BU130" s="1807">
        <f t="shared" si="1681"/>
        <v>0</v>
      </c>
      <c r="BV130" s="1807">
        <f t="shared" si="1682"/>
        <v>0</v>
      </c>
      <c r="BW130" s="1806">
        <f t="shared" si="1683"/>
        <v>0</v>
      </c>
      <c r="BX130" s="1791">
        <f t="shared" si="1684"/>
        <v>0</v>
      </c>
      <c r="BY130" s="1808">
        <f t="shared" si="1685"/>
        <v>0</v>
      </c>
      <c r="BZ130" s="1807">
        <f t="shared" si="1686"/>
        <v>0</v>
      </c>
      <c r="CA130" s="1807">
        <f t="shared" si="1687"/>
        <v>0</v>
      </c>
      <c r="CB130" s="1806">
        <f t="shared" si="1688"/>
        <v>0</v>
      </c>
      <c r="CC130" s="1791">
        <f t="shared" si="1689"/>
        <v>0</v>
      </c>
      <c r="CD130" s="1808">
        <f t="shared" si="1690"/>
        <v>0</v>
      </c>
      <c r="CE130" s="1807">
        <f t="shared" si="1691"/>
        <v>0</v>
      </c>
      <c r="CF130" s="1807">
        <f t="shared" si="1692"/>
        <v>0</v>
      </c>
      <c r="CG130" s="1806">
        <f t="shared" si="1693"/>
        <v>0</v>
      </c>
      <c r="CH130" s="1791">
        <f t="shared" si="1694"/>
        <v>0</v>
      </c>
      <c r="CI130" s="1808">
        <f t="shared" si="1695"/>
        <v>0</v>
      </c>
      <c r="CJ130" s="1807">
        <f t="shared" si="1696"/>
        <v>0</v>
      </c>
      <c r="CK130" s="1807">
        <f t="shared" si="1697"/>
        <v>0</v>
      </c>
      <c r="CL130" s="1806">
        <f t="shared" si="1698"/>
        <v>0</v>
      </c>
      <c r="CM130" s="1791">
        <f t="shared" si="1699"/>
        <v>0</v>
      </c>
      <c r="CN130" s="1808">
        <f t="shared" si="1700"/>
        <v>0</v>
      </c>
      <c r="CO130" s="1807">
        <f t="shared" si="1701"/>
        <v>0</v>
      </c>
      <c r="CP130" s="1807">
        <f t="shared" si="1702"/>
        <v>0</v>
      </c>
      <c r="CQ130" s="1806">
        <f t="shared" si="1703"/>
        <v>0</v>
      </c>
      <c r="CR130" s="1791">
        <f t="shared" si="1704"/>
        <v>0</v>
      </c>
      <c r="CS130" s="1808">
        <f t="shared" si="1705"/>
        <v>0</v>
      </c>
      <c r="CT130" s="1807">
        <f t="shared" si="1706"/>
        <v>0</v>
      </c>
      <c r="CU130" s="1807">
        <f t="shared" si="1707"/>
        <v>0</v>
      </c>
      <c r="CV130" s="1806">
        <f t="shared" si="1708"/>
        <v>0</v>
      </c>
      <c r="CW130" s="1791">
        <f t="shared" si="1709"/>
        <v>0</v>
      </c>
      <c r="CX130" s="1808">
        <f t="shared" si="1710"/>
        <v>0</v>
      </c>
      <c r="CY130" s="1807">
        <f t="shared" si="1711"/>
        <v>0</v>
      </c>
      <c r="CZ130" s="1807">
        <f t="shared" si="1712"/>
        <v>0</v>
      </c>
      <c r="DA130" s="1806">
        <f t="shared" si="1713"/>
        <v>0</v>
      </c>
      <c r="DB130" s="1791">
        <f t="shared" si="1714"/>
        <v>0</v>
      </c>
      <c r="DC130" s="1808">
        <f t="shared" si="1715"/>
        <v>0</v>
      </c>
      <c r="DD130" s="1807">
        <f t="shared" si="1716"/>
        <v>0</v>
      </c>
      <c r="DE130" s="1807">
        <f t="shared" si="1717"/>
        <v>0</v>
      </c>
      <c r="DF130" s="1806">
        <f t="shared" si="1718"/>
        <v>0</v>
      </c>
      <c r="DG130" s="1791">
        <f t="shared" si="1719"/>
        <v>0</v>
      </c>
      <c r="DH130" s="1808">
        <f t="shared" si="1720"/>
        <v>0</v>
      </c>
      <c r="DI130" s="1807">
        <f t="shared" si="1721"/>
        <v>0</v>
      </c>
      <c r="DJ130" s="1807">
        <f t="shared" si="1722"/>
        <v>0</v>
      </c>
      <c r="DK130" s="1806">
        <f t="shared" si="1723"/>
        <v>0</v>
      </c>
      <c r="DL130" s="1791">
        <f t="shared" si="1724"/>
        <v>0</v>
      </c>
      <c r="DM130" s="1808">
        <f t="shared" si="1725"/>
        <v>0</v>
      </c>
      <c r="DN130" s="1807">
        <f t="shared" si="1726"/>
        <v>0</v>
      </c>
      <c r="DO130" s="1807">
        <f t="shared" si="1727"/>
        <v>0</v>
      </c>
      <c r="DP130" s="1806">
        <f t="shared" si="1728"/>
        <v>0</v>
      </c>
      <c r="DQ130" s="1791">
        <f t="shared" si="1729"/>
        <v>0</v>
      </c>
      <c r="DR130" s="1808">
        <f t="shared" si="1730"/>
        <v>0</v>
      </c>
      <c r="DS130" s="1807">
        <f t="shared" si="1731"/>
        <v>0</v>
      </c>
      <c r="DT130" s="1807">
        <f t="shared" si="1732"/>
        <v>0</v>
      </c>
      <c r="DU130" s="1806">
        <f t="shared" si="1733"/>
        <v>0</v>
      </c>
      <c r="DV130" s="1791">
        <f t="shared" si="1734"/>
        <v>0</v>
      </c>
    </row>
    <row r="131" spans="1:126">
      <c r="A131" s="455"/>
      <c r="B131" s="455"/>
      <c r="C131" s="1363" t="s">
        <v>960</v>
      </c>
      <c r="D131" s="94"/>
      <c r="E131" s="1817">
        <f t="shared" si="1735"/>
        <v>110</v>
      </c>
      <c r="F131" s="1435">
        <v>110</v>
      </c>
      <c r="G131" s="1435">
        <v>110</v>
      </c>
      <c r="H131" s="1350">
        <v>2066</v>
      </c>
      <c r="I131" s="1337">
        <v>5.5E-2</v>
      </c>
      <c r="J131" s="1343">
        <v>4</v>
      </c>
      <c r="K131" s="1792"/>
      <c r="L131" s="1810">
        <f t="shared" si="1623"/>
        <v>0</v>
      </c>
      <c r="M131" s="1791">
        <f t="shared" si="1623"/>
        <v>0</v>
      </c>
      <c r="N131" s="1808">
        <f t="shared" si="1624"/>
        <v>0</v>
      </c>
      <c r="O131" s="1807">
        <f t="shared" si="1625"/>
        <v>0</v>
      </c>
      <c r="P131" s="1807">
        <f t="shared" si="1626"/>
        <v>0</v>
      </c>
      <c r="Q131" s="1806">
        <f t="shared" si="1627"/>
        <v>0</v>
      </c>
      <c r="R131" s="1791">
        <f t="shared" si="1628"/>
        <v>0</v>
      </c>
      <c r="S131" s="1808">
        <f t="shared" si="1629"/>
        <v>0</v>
      </c>
      <c r="T131" s="1807">
        <f t="shared" si="1630"/>
        <v>0</v>
      </c>
      <c r="U131" s="1807">
        <f t="shared" si="1631"/>
        <v>0</v>
      </c>
      <c r="V131" s="1806">
        <f t="shared" si="1632"/>
        <v>0</v>
      </c>
      <c r="W131" s="1791">
        <f t="shared" si="1633"/>
        <v>0</v>
      </c>
      <c r="X131" s="1808">
        <f t="shared" si="1634"/>
        <v>0</v>
      </c>
      <c r="Y131" s="1807">
        <f t="shared" si="1635"/>
        <v>0</v>
      </c>
      <c r="Z131" s="1807">
        <f t="shared" si="1636"/>
        <v>0</v>
      </c>
      <c r="AA131" s="1806">
        <f t="shared" si="1637"/>
        <v>0</v>
      </c>
      <c r="AB131" s="1791">
        <f t="shared" si="1638"/>
        <v>0</v>
      </c>
      <c r="AC131" s="1808">
        <f t="shared" si="1639"/>
        <v>0</v>
      </c>
      <c r="AD131" s="1807">
        <f t="shared" si="1640"/>
        <v>0</v>
      </c>
      <c r="AE131" s="1807">
        <f t="shared" si="1641"/>
        <v>0</v>
      </c>
      <c r="AF131" s="1806">
        <f t="shared" si="1642"/>
        <v>0</v>
      </c>
      <c r="AG131" s="1791">
        <f t="shared" si="1643"/>
        <v>0</v>
      </c>
      <c r="AH131" s="1808">
        <f t="shared" si="1644"/>
        <v>0</v>
      </c>
      <c r="AI131" s="1807">
        <f t="shared" si="1645"/>
        <v>0</v>
      </c>
      <c r="AJ131" s="1807">
        <f t="shared" si="1646"/>
        <v>0</v>
      </c>
      <c r="AK131" s="1806">
        <f t="shared" si="1647"/>
        <v>0</v>
      </c>
      <c r="AL131" s="1791">
        <f t="shared" si="1648"/>
        <v>0</v>
      </c>
      <c r="AM131" s="1808">
        <f t="shared" si="1649"/>
        <v>0</v>
      </c>
      <c r="AN131" s="1807">
        <f t="shared" si="1650"/>
        <v>0</v>
      </c>
      <c r="AO131" s="1807">
        <f t="shared" si="1651"/>
        <v>0</v>
      </c>
      <c r="AP131" s="1806">
        <f t="shared" si="1652"/>
        <v>0</v>
      </c>
      <c r="AQ131" s="1791">
        <f t="shared" si="1653"/>
        <v>0</v>
      </c>
      <c r="AR131" s="1808">
        <f t="shared" si="1654"/>
        <v>0</v>
      </c>
      <c r="AS131" s="1807">
        <f t="shared" si="1655"/>
        <v>0</v>
      </c>
      <c r="AT131" s="1807">
        <f t="shared" si="1656"/>
        <v>0</v>
      </c>
      <c r="AU131" s="1806">
        <f t="shared" si="1657"/>
        <v>0</v>
      </c>
      <c r="AV131" s="1791">
        <f t="shared" si="1658"/>
        <v>0</v>
      </c>
      <c r="AW131" s="1808">
        <f t="shared" si="1659"/>
        <v>0</v>
      </c>
      <c r="AX131" s="1807">
        <f t="shared" si="1660"/>
        <v>0</v>
      </c>
      <c r="AY131" s="1807">
        <f t="shared" si="1661"/>
        <v>0</v>
      </c>
      <c r="AZ131" s="1806">
        <f t="shared" si="1662"/>
        <v>0</v>
      </c>
      <c r="BA131" s="1791">
        <f t="shared" si="1663"/>
        <v>0</v>
      </c>
      <c r="BB131" s="1808">
        <f t="shared" si="1664"/>
        <v>0</v>
      </c>
      <c r="BC131" s="1807">
        <f t="shared" si="1665"/>
        <v>0</v>
      </c>
      <c r="BD131" s="1807">
        <f t="shared" si="1666"/>
        <v>0</v>
      </c>
      <c r="BE131" s="1806">
        <f t="shared" si="1667"/>
        <v>0</v>
      </c>
      <c r="BF131" s="1791">
        <f t="shared" si="1668"/>
        <v>0</v>
      </c>
      <c r="BG131" s="1808">
        <f t="shared" si="1669"/>
        <v>0</v>
      </c>
      <c r="BH131" s="1807">
        <f t="shared" si="1670"/>
        <v>0</v>
      </c>
      <c r="BI131" s="1807">
        <f t="shared" si="1671"/>
        <v>0</v>
      </c>
      <c r="BJ131" s="1806">
        <f t="shared" si="1672"/>
        <v>0</v>
      </c>
      <c r="BK131" s="1791">
        <f t="shared" si="1673"/>
        <v>0</v>
      </c>
      <c r="BL131" s="1808">
        <f t="shared" si="1674"/>
        <v>0</v>
      </c>
      <c r="BM131" s="1807">
        <f t="shared" si="1675"/>
        <v>0</v>
      </c>
      <c r="BN131" s="1807">
        <f t="shared" si="1676"/>
        <v>0</v>
      </c>
      <c r="BO131" s="1806">
        <f t="shared" si="1677"/>
        <v>0</v>
      </c>
      <c r="BP131" s="1791">
        <f t="shared" si="1678"/>
        <v>0</v>
      </c>
      <c r="BQ131" s="1827"/>
      <c r="BR131" s="1791">
        <f t="shared" si="1679"/>
        <v>0</v>
      </c>
      <c r="BS131" s="1791">
        <f t="shared" si="1679"/>
        <v>0</v>
      </c>
      <c r="BT131" s="1808">
        <f t="shared" si="1680"/>
        <v>0</v>
      </c>
      <c r="BU131" s="1807">
        <f t="shared" si="1681"/>
        <v>0</v>
      </c>
      <c r="BV131" s="1807">
        <f t="shared" si="1682"/>
        <v>0</v>
      </c>
      <c r="BW131" s="1806">
        <f t="shared" si="1683"/>
        <v>0</v>
      </c>
      <c r="BX131" s="1791">
        <f t="shared" si="1684"/>
        <v>0</v>
      </c>
      <c r="BY131" s="1808">
        <f t="shared" si="1685"/>
        <v>0</v>
      </c>
      <c r="BZ131" s="1807">
        <f t="shared" si="1686"/>
        <v>0</v>
      </c>
      <c r="CA131" s="1807">
        <f t="shared" si="1687"/>
        <v>0</v>
      </c>
      <c r="CB131" s="1806">
        <f t="shared" si="1688"/>
        <v>0</v>
      </c>
      <c r="CC131" s="1791">
        <f t="shared" si="1689"/>
        <v>0</v>
      </c>
      <c r="CD131" s="1808">
        <f t="shared" si="1690"/>
        <v>0</v>
      </c>
      <c r="CE131" s="1807">
        <f t="shared" si="1691"/>
        <v>0</v>
      </c>
      <c r="CF131" s="1807">
        <f t="shared" si="1692"/>
        <v>0</v>
      </c>
      <c r="CG131" s="1806">
        <f t="shared" si="1693"/>
        <v>0</v>
      </c>
      <c r="CH131" s="1791">
        <f t="shared" si="1694"/>
        <v>0</v>
      </c>
      <c r="CI131" s="1808">
        <f t="shared" si="1695"/>
        <v>0</v>
      </c>
      <c r="CJ131" s="1807">
        <f t="shared" si="1696"/>
        <v>0</v>
      </c>
      <c r="CK131" s="1807">
        <f t="shared" si="1697"/>
        <v>0</v>
      </c>
      <c r="CL131" s="1806">
        <f t="shared" si="1698"/>
        <v>0</v>
      </c>
      <c r="CM131" s="1791">
        <f t="shared" si="1699"/>
        <v>0</v>
      </c>
      <c r="CN131" s="1808">
        <f t="shared" si="1700"/>
        <v>0</v>
      </c>
      <c r="CO131" s="1807">
        <f t="shared" si="1701"/>
        <v>0</v>
      </c>
      <c r="CP131" s="1807">
        <f t="shared" si="1702"/>
        <v>0</v>
      </c>
      <c r="CQ131" s="1806">
        <f t="shared" si="1703"/>
        <v>0</v>
      </c>
      <c r="CR131" s="1791">
        <f t="shared" si="1704"/>
        <v>0</v>
      </c>
      <c r="CS131" s="1808">
        <f t="shared" si="1705"/>
        <v>0</v>
      </c>
      <c r="CT131" s="1807">
        <f t="shared" si="1706"/>
        <v>0</v>
      </c>
      <c r="CU131" s="1807">
        <f t="shared" si="1707"/>
        <v>0</v>
      </c>
      <c r="CV131" s="1806">
        <f t="shared" si="1708"/>
        <v>0</v>
      </c>
      <c r="CW131" s="1791">
        <f t="shared" si="1709"/>
        <v>0</v>
      </c>
      <c r="CX131" s="1808">
        <f t="shared" si="1710"/>
        <v>0</v>
      </c>
      <c r="CY131" s="1807">
        <f t="shared" si="1711"/>
        <v>0</v>
      </c>
      <c r="CZ131" s="1807">
        <f t="shared" si="1712"/>
        <v>0</v>
      </c>
      <c r="DA131" s="1806">
        <f t="shared" si="1713"/>
        <v>0</v>
      </c>
      <c r="DB131" s="1791">
        <f t="shared" si="1714"/>
        <v>0</v>
      </c>
      <c r="DC131" s="1808">
        <f t="shared" si="1715"/>
        <v>0</v>
      </c>
      <c r="DD131" s="1807">
        <f t="shared" si="1716"/>
        <v>0</v>
      </c>
      <c r="DE131" s="1807">
        <f t="shared" si="1717"/>
        <v>0</v>
      </c>
      <c r="DF131" s="1806">
        <f t="shared" si="1718"/>
        <v>0</v>
      </c>
      <c r="DG131" s="1791">
        <f t="shared" si="1719"/>
        <v>0</v>
      </c>
      <c r="DH131" s="1808">
        <f t="shared" si="1720"/>
        <v>0</v>
      </c>
      <c r="DI131" s="1807">
        <f t="shared" si="1721"/>
        <v>0</v>
      </c>
      <c r="DJ131" s="1807">
        <f t="shared" si="1722"/>
        <v>0</v>
      </c>
      <c r="DK131" s="1806">
        <f t="shared" si="1723"/>
        <v>0</v>
      </c>
      <c r="DL131" s="1791">
        <f t="shared" si="1724"/>
        <v>0</v>
      </c>
      <c r="DM131" s="1808">
        <f t="shared" si="1725"/>
        <v>0</v>
      </c>
      <c r="DN131" s="1807">
        <f t="shared" si="1726"/>
        <v>0</v>
      </c>
      <c r="DO131" s="1807">
        <f t="shared" si="1727"/>
        <v>0</v>
      </c>
      <c r="DP131" s="1806">
        <f t="shared" si="1728"/>
        <v>0</v>
      </c>
      <c r="DQ131" s="1791">
        <f t="shared" si="1729"/>
        <v>0</v>
      </c>
      <c r="DR131" s="1808">
        <f t="shared" si="1730"/>
        <v>0</v>
      </c>
      <c r="DS131" s="1807">
        <f t="shared" si="1731"/>
        <v>0</v>
      </c>
      <c r="DT131" s="1807">
        <f t="shared" si="1732"/>
        <v>0</v>
      </c>
      <c r="DU131" s="1806">
        <f t="shared" si="1733"/>
        <v>0</v>
      </c>
      <c r="DV131" s="1791">
        <f t="shared" si="1734"/>
        <v>0</v>
      </c>
    </row>
    <row r="132" spans="1:126">
      <c r="A132" s="455"/>
      <c r="B132" s="455"/>
      <c r="C132" s="1363" t="s">
        <v>965</v>
      </c>
      <c r="D132" s="94"/>
      <c r="E132" s="1817">
        <f t="shared" si="1735"/>
        <v>85</v>
      </c>
      <c r="F132" s="1435">
        <v>85</v>
      </c>
      <c r="G132" s="1435">
        <v>85</v>
      </c>
      <c r="H132" s="1350">
        <v>2026</v>
      </c>
      <c r="I132" s="1337">
        <v>0.04</v>
      </c>
      <c r="J132" s="1343">
        <v>6</v>
      </c>
      <c r="K132" s="1792"/>
      <c r="L132" s="1810">
        <f t="shared" si="1623"/>
        <v>0</v>
      </c>
      <c r="M132" s="1791">
        <f t="shared" si="1623"/>
        <v>0</v>
      </c>
      <c r="N132" s="1808">
        <f t="shared" ref="N132" si="1736">IF(R132=0,0,IF(R132&lt;0,IF($J132=3,R132,IF($J132=2,R132,IF($J132=1,R132,0)))))</f>
        <v>0</v>
      </c>
      <c r="O132" s="1807">
        <f t="shared" ref="O132" si="1737">IF(R132=0,0,IF(R132&lt;0,IF($J132=6,R132,IF($J132=5,R132,IF($J132=4,R132,0)))))</f>
        <v>0</v>
      </c>
      <c r="P132" s="1807">
        <f t="shared" ref="P132" si="1738">IF(R132=0,0,IF(R132&lt;0,IF($J132=9,R132,IF($J132=8,R132,IF($J132=7,R132,0)))))</f>
        <v>0</v>
      </c>
      <c r="Q132" s="1806">
        <f t="shared" ref="Q132" si="1739">IF(R132=0,0,IF(R132&lt;0,IF($J132=12,R132,IF($J132=11,R132,IF($J132=10,R132,0)))))</f>
        <v>0</v>
      </c>
      <c r="R132" s="1791">
        <f t="shared" si="1628"/>
        <v>0</v>
      </c>
      <c r="S132" s="1808">
        <f t="shared" ref="S132" si="1740">IF(W132=0,0,IF(W132&lt;0,IF($J132=3,W132,IF($J132=2,W132,IF($J132=1,W132,0)))))</f>
        <v>0</v>
      </c>
      <c r="T132" s="1807">
        <f t="shared" ref="T132" si="1741">IF(W132=0,0,IF(W132&lt;0,IF($J132=6,W132,IF($J132=5,W132,IF($J132=4,W132,0)))))</f>
        <v>0</v>
      </c>
      <c r="U132" s="1807">
        <f t="shared" ref="U132" si="1742">IF(W132=0,0,IF(W132&lt;0,IF($J132=9,W132,IF($J132=8,W132,IF($J132=7,W132,0)))))</f>
        <v>0</v>
      </c>
      <c r="V132" s="1806">
        <f t="shared" ref="V132" si="1743">IF(W132=0,0,IF(W132&lt;0,IF($J132=12,W132,IF($J132=11,W132,IF($J132=10,W132,0)))))</f>
        <v>0</v>
      </c>
      <c r="W132" s="1791">
        <f t="shared" si="1633"/>
        <v>0</v>
      </c>
      <c r="X132" s="1808">
        <f t="shared" ref="X132" si="1744">IF(AB132=0,0,IF(AB132&lt;0,IF($J132=3,AB132,IF($J132=2,AB132,IF($J132=1,AB132,0)))))</f>
        <v>0</v>
      </c>
      <c r="Y132" s="1807">
        <f t="shared" ref="Y132" si="1745">IF(AB132=0,0,IF(AB132&lt;0,IF($J132=6,AB132,IF($J132=5,AB132,IF($J132=4,AB132,0)))))</f>
        <v>0</v>
      </c>
      <c r="Z132" s="1807">
        <f t="shared" ref="Z132" si="1746">IF(AB132=0,0,IF(AB132&lt;0,IF($J132=9,AB132,IF($J132=8,AB132,IF($J132=7,AB132,0)))))</f>
        <v>0</v>
      </c>
      <c r="AA132" s="1806">
        <f t="shared" ref="AA132" si="1747">IF(AB132=0,0,IF(AB132&lt;0,IF($J132=12,AB132,IF($J132=11,AB132,IF($J132=10,AB132,0)))))</f>
        <v>0</v>
      </c>
      <c r="AB132" s="1791">
        <f t="shared" si="1638"/>
        <v>0</v>
      </c>
      <c r="AC132" s="1808">
        <f t="shared" ref="AC132" si="1748">IF(AG132=0,0,IF(AG132&lt;0,IF($J132=3,AG132,IF($J132=2,AG132,IF($J132=1,AG132,0)))))</f>
        <v>0</v>
      </c>
      <c r="AD132" s="1807">
        <f t="shared" ref="AD132" si="1749">IF(AG132=0,0,IF(AG132&lt;0,IF($J132=6,AG132,IF($J132=5,AG132,IF($J132=4,AG132,0)))))</f>
        <v>0</v>
      </c>
      <c r="AE132" s="1807">
        <f t="shared" ref="AE132" si="1750">IF(AG132=0,0,IF(AG132&lt;0,IF($J132=9,AG132,IF($J132=8,AG132,IF($J132=7,AG132,0)))))</f>
        <v>0</v>
      </c>
      <c r="AF132" s="1806">
        <f t="shared" ref="AF132" si="1751">IF(AG132=0,0,IF(AG132&lt;0,IF($J132=12,AG132,IF($J132=11,AG132,IF($J132=10,AG132,0)))))</f>
        <v>0</v>
      </c>
      <c r="AG132" s="1791">
        <f t="shared" si="1643"/>
        <v>0</v>
      </c>
      <c r="AH132" s="1808">
        <f t="shared" ref="AH132" si="1752">IF(AL132=0,0,IF(AL132&lt;0,IF($J132=3,AL132,IF($J132=2,AL132,IF($J132=1,AL132,0)))))</f>
        <v>0</v>
      </c>
      <c r="AI132" s="1807">
        <f t="shared" ref="AI132" si="1753">IF(AL132=0,0,IF(AL132&lt;0,IF($J132=6,AL132,IF($J132=5,AL132,IF($J132=4,AL132,0)))))</f>
        <v>0</v>
      </c>
      <c r="AJ132" s="1807">
        <f t="shared" ref="AJ132" si="1754">IF(AL132=0,0,IF(AL132&lt;0,IF($J132=9,AL132,IF($J132=8,AL132,IF($J132=7,AL132,0)))))</f>
        <v>0</v>
      </c>
      <c r="AK132" s="1806">
        <f t="shared" ref="AK132" si="1755">IF(AL132=0,0,IF(AL132&lt;0,IF($J132=12,AL132,IF($J132=11,AL132,IF($J132=10,AL132,0)))))</f>
        <v>0</v>
      </c>
      <c r="AL132" s="1791">
        <f t="shared" si="1648"/>
        <v>0</v>
      </c>
      <c r="AM132" s="1808">
        <f t="shared" ref="AM132" si="1756">IF(AQ132=0,0,IF(AQ132&lt;0,IF($J132=3,AQ132,IF($J132=2,AQ132,IF($J132=1,AQ132,0)))))</f>
        <v>0</v>
      </c>
      <c r="AN132" s="1807">
        <f t="shared" ref="AN132" si="1757">IF(AQ132=0,0,IF(AQ132&lt;0,IF($J132=6,AQ132,IF($J132=5,AQ132,IF($J132=4,AQ132,0)))))</f>
        <v>0</v>
      </c>
      <c r="AO132" s="1807">
        <f t="shared" ref="AO132" si="1758">IF(AQ132=0,0,IF(AQ132&lt;0,IF($J132=9,AQ132,IF($J132=8,AQ132,IF($J132=7,AQ132,0)))))</f>
        <v>0</v>
      </c>
      <c r="AP132" s="1806">
        <f t="shared" ref="AP132" si="1759">IF(AQ132=0,0,IF(AQ132&lt;0,IF($J132=12,AQ132,IF($J132=11,AQ132,IF($J132=10,AQ132,0)))))</f>
        <v>0</v>
      </c>
      <c r="AQ132" s="1791">
        <f t="shared" si="1653"/>
        <v>0</v>
      </c>
      <c r="AR132" s="1808">
        <f t="shared" ref="AR132" si="1760">IF(AV132=0,0,IF(AV132&lt;0,IF($J132=3,AV132,IF($J132=2,AV132,IF($J132=1,AV132,0)))))</f>
        <v>0</v>
      </c>
      <c r="AS132" s="1807">
        <f t="shared" si="1655"/>
        <v>0</v>
      </c>
      <c r="AT132" s="1807">
        <f t="shared" ref="AT132" si="1761">IF(AV132=0,0,IF(AV132&lt;0,IF($J132=9,AV132,IF($J132=8,AV132,IF($J132=7,AV132,0)))))</f>
        <v>0</v>
      </c>
      <c r="AU132" s="1806">
        <f t="shared" ref="AU132" si="1762">IF(AV132=0,0,IF(AV132&lt;0,IF($J132=12,AV132,IF($J132=11,AV132,IF($J132=10,AV132,0)))))</f>
        <v>0</v>
      </c>
      <c r="AV132" s="1791">
        <f t="shared" si="1658"/>
        <v>0</v>
      </c>
      <c r="AW132" s="1808">
        <f t="shared" ref="AW132" si="1763">IF(BA132=0,0,IF(BA132&lt;0,IF($J132=3,BA132,IF($J132=2,BA132,IF($J132=1,BA132,0)))))</f>
        <v>0</v>
      </c>
      <c r="AX132" s="1807">
        <f t="shared" ref="AX132" si="1764">IF(BA132=0,0,IF(BA132&lt;0,IF($J132=6,BA132,IF($J132=5,BA132,IF($J132=4,BA132,0)))))</f>
        <v>0</v>
      </c>
      <c r="AY132" s="1807">
        <f t="shared" ref="AY132" si="1765">IF(BA132=0,0,IF(BA132&lt;0,IF($J132=9,BA132,IF($J132=8,BA132,IF($J132=7,BA132,0)))))</f>
        <v>0</v>
      </c>
      <c r="AZ132" s="1806">
        <f t="shared" ref="AZ132" si="1766">IF(BA132=0,0,IF(BA132&lt;0,IF($J132=12,BA132,IF($J132=11,BA132,IF($J132=10,BA132,0)))))</f>
        <v>0</v>
      </c>
      <c r="BA132" s="1791">
        <f t="shared" si="1663"/>
        <v>0</v>
      </c>
      <c r="BB132" s="1808">
        <f t="shared" ref="BB132" si="1767">IF(BF132=0,0,IF(BF132&lt;0,IF($J132=3,BF132,IF($J132=2,BF132,IF($J132=1,BF132,0)))))</f>
        <v>0</v>
      </c>
      <c r="BC132" s="1807">
        <f t="shared" ref="BC132" si="1768">IF(BF132=0,0,IF(BF132&lt;0,IF($J132=6,BF132,IF($J132=5,BF132,IF($J132=4,BF132,0)))))</f>
        <v>0</v>
      </c>
      <c r="BD132" s="1807">
        <f t="shared" ref="BD132" si="1769">IF(BF132=0,0,IF(BF132&lt;0,IF($J132=9,BF132,IF($J132=8,BF132,IF($J132=7,BF132,0)))))</f>
        <v>0</v>
      </c>
      <c r="BE132" s="1806">
        <f t="shared" ref="BE132" si="1770">IF(BF132=0,0,IF(BF132&lt;0,IF($J132=12,BF132,IF($J132=11,BF132,IF($J132=10,BF132,0)))))</f>
        <v>0</v>
      </c>
      <c r="BF132" s="1791">
        <f t="shared" si="1668"/>
        <v>0</v>
      </c>
      <c r="BG132" s="1808">
        <f t="shared" ref="BG132" si="1771">IF(BK132=0,0,IF(BK132&lt;0,IF($J132=3,BK132,IF($J132=2,BK132,IF($J132=1,BK132,0)))))</f>
        <v>0</v>
      </c>
      <c r="BH132" s="1807">
        <f t="shared" ref="BH132" si="1772">IF(BK132=0,0,IF(BK132&lt;0,IF($J132=6,BK132,IF($J132=5,BK132,IF($J132=4,BK132,0)))))</f>
        <v>0</v>
      </c>
      <c r="BI132" s="1807">
        <f t="shared" ref="BI132" si="1773">IF(BK132=0,0,IF(BK132&lt;0,IF($J132=9,BK132,IF($J132=8,BK132,IF($J132=7,BK132,0)))))</f>
        <v>0</v>
      </c>
      <c r="BJ132" s="1806">
        <f t="shared" ref="BJ132" si="1774">IF(BK132=0,0,IF(BK132&lt;0,IF($J132=12,BK132,IF($J132=11,BK132,IF($J132=10,BK132,0)))))</f>
        <v>0</v>
      </c>
      <c r="BK132" s="1791">
        <f t="shared" si="1673"/>
        <v>0</v>
      </c>
      <c r="BL132" s="1808">
        <f t="shared" si="1674"/>
        <v>0</v>
      </c>
      <c r="BM132" s="1807">
        <f t="shared" si="1675"/>
        <v>0</v>
      </c>
      <c r="BN132" s="1807">
        <f t="shared" si="1676"/>
        <v>0</v>
      </c>
      <c r="BO132" s="1806">
        <f t="shared" si="1677"/>
        <v>0</v>
      </c>
      <c r="BP132" s="1791">
        <f t="shared" si="1678"/>
        <v>0</v>
      </c>
      <c r="BQ132" s="1827"/>
      <c r="BR132" s="1791">
        <f t="shared" ref="BR132" si="1775">IF(AND(BQ132&lt;&gt;0,BQ$5=$H132),-$I132*$E132-BQ132,IF(BR$5=$H132,-$I132*$E132*(12-$J132+1)/12,0))</f>
        <v>0</v>
      </c>
      <c r="BS132" s="1791">
        <f t="shared" ref="BS132" si="1776">IF(AND(BR132&lt;&gt;0,BR$5=$H132),-$I132*$E132-BR132,IF(BS$5=$H132,-$I132*$E132*(12-$J132+1)/12,0))</f>
        <v>0</v>
      </c>
      <c r="BT132" s="1808">
        <f t="shared" ref="BT132" si="1777">IF($H132&lt;&gt;BX$5,0,IF(BX132&lt;0,IF($J132=1,-$E132*$I132/12*3,IF($J132=2,-$E132*$I132/12*2,IF($J132=3,-$E132*$I132/12*1,0)))))+IF(BS$5&lt;&gt;$H132,0,IF(BS132&lt;0,IF($J132=1,-$E132*$I132/12*0,IF($J132=2,-$E132*$I132/12*1,IF($J132=3,-$E132*$I132/12*2,IF($J132&gt;=4,-$E132*$I132/12*3,0))))))</f>
        <v>0</v>
      </c>
      <c r="BU132" s="1807">
        <f t="shared" ref="BU132" si="1778">IF($H132&lt;&gt;BX$5,0,IF(BX132&lt;0,IF(OR($J132=1,$J132=2,$J132=3,$J132=4),-$E132*$I132/12*3,IF($J132=5,-$E132*$I132/12*2,IF($J132=6,-$E132*$I132/12*1,0)))))+IF(BS$5&lt;&gt;$H132,0,IF(BS132&lt;0,IF($J132=4,-$E132*$I132/12*0,IF($J132=5,-$E132*$I132/12*1,IF($J132=6,-$E132*$I132/12*2,IF($J132&gt;=7,-$E132*$I132/12*3,0))))))</f>
        <v>0</v>
      </c>
      <c r="BV132" s="1807">
        <f t="shared" ref="BV132" si="1779">IF($H132&lt;&gt;BX$5,0,IF(BX132&lt;0,IF(OR($J132=1,$J132=2,$J132=3,$J132=4,$J132=5,$J132=6,$J132=7),-$E132*$I132/12*3,IF($J132=8,-$E132*$I132/12*2,IF($J132=9,-$E132*$I132/12*1,0)))))+IF(BS$5&lt;&gt;$H132,0,IF(BS132&lt;0,IF($J132=7,-$E132*$I132/12*0,IF($J132=8,-$E132*$I132/12*1,IF($J132=9,-$E132*$I132/12*2,IF($J132&gt;=10,-$E132*$I132/12*3,0))))))</f>
        <v>0</v>
      </c>
      <c r="BW132" s="1806">
        <f t="shared" ref="BW132" si="1780">IF($H132&lt;&gt;BX$5,0,IF(BX132&lt;0,IF(OR($J132=1,$J132=2,$J132=3,$J132=4,$J132=5,$J132=6,$J132=7,$J132=8,$J132=9,$J132=10),-$E132*$I132/12*3,IF($J132=11,-$E132*$I132/12*2,IF($J132=12,-$E132*$I132/12*1,0)))))+IF(BS$5&lt;&gt;$H132,0,IF(BS132&lt;0,IF($J132=10,-$E132*$I132/12*0,IF($J132=11,-$E132*$I132/12*1,IF($J132=12,-$E132*$I132/12*2,0)))))</f>
        <v>0</v>
      </c>
      <c r="BX132" s="1791">
        <f t="shared" ref="BX132" si="1781">IF(AND(BS132&lt;&gt;0,BS$5=$H132),-$I132*$E132-BS132,IF(BX$5=$H132,-$I132*$E132*(12-$J132+1)/12,0))</f>
        <v>0</v>
      </c>
      <c r="BY132" s="1808">
        <f t="shared" ref="BY132" si="1782">IF($H132&lt;&gt;CC$5,0,IF(CC132&lt;0,IF($J132=1,-$E132*$I132/12*3,IF($J132=2,-$E132*$I132/12*2,IF($J132=3,-$E132*$I132/12*1,0)))))+IF(BX$5&lt;&gt;$H132,0,IF(BX132&lt;0,IF($J132=1,-$E132*$I132/12*0,IF($J132=2,-$E132*$I132/12*1,IF($J132=3,-$E132*$I132/12*2,IF($J132&gt;=4,-$E132*$I132/12*3,0))))))</f>
        <v>0</v>
      </c>
      <c r="BZ132" s="1807">
        <f t="shared" ref="BZ132" si="1783">IF($H132&lt;&gt;CC$5,0,IF(CC132&lt;0,IF(OR($J132=1,$J132=2,$J132=3,$J132=4),-$E132*$I132/12*3,IF($J132=5,-$E132*$I132/12*2,IF($J132=6,-$E132*$I132/12*1,0)))))+IF(BX$5&lt;&gt;$H132,0,IF(BX132&lt;0,IF($J132=4,-$E132*$I132/12*0,IF($J132=5,-$E132*$I132/12*1,IF($J132=6,-$E132*$I132/12*2,IF($J132&gt;=7,-$E132*$I132/12*3,0))))))</f>
        <v>0</v>
      </c>
      <c r="CA132" s="1807">
        <f t="shared" ref="CA132" si="1784">IF($H132&lt;&gt;CC$5,0,IF(CC132&lt;0,IF(OR($J132=1,$J132=2,$J132=3,$J132=4,$J132=5,$J132=6,$J132=7),-$E132*$I132/12*3,IF($J132=8,-$E132*$I132/12*2,IF($J132=9,-$E132*$I132/12*1,0)))))+IF(BX$5&lt;&gt;$H132,0,IF(BX132&lt;0,IF($J132=7,-$E132*$I132/12*0,IF($J132=8,-$E132*$I132/12*1,IF($J132=9,-$E132*$I132/12*2,IF($J132&gt;=10,-$E132*$I132/12*3,0))))))</f>
        <v>0</v>
      </c>
      <c r="CB132" s="1806">
        <f t="shared" ref="CB132" si="1785">IF($H132&lt;&gt;CC$5,0,IF(CC132&lt;0,IF(OR($J132=1,$J132=2,$J132=3,$J132=4,$J132=5,$J132=6,$J132=7,$J132=8,$J132=9,$J132=10),-$E132*$I132/12*3,IF($J132=11,-$E132*$I132/12*2,IF($J132=12,-$E132*$I132/12*1,0)))))+IF(BX$5&lt;&gt;$H132,0,IF(BX132&lt;0,IF($J132=10,-$E132*$I132/12*0,IF($J132=11,-$E132*$I132/12*1,IF($J132=12,-$E132*$I132/12*2,0)))))</f>
        <v>0</v>
      </c>
      <c r="CC132" s="1791">
        <f t="shared" ref="CC132" si="1786">IF(AND(BX132&lt;&gt;0,BX$5=$H132),-$I132*$E132-BX132,IF(CC$5=$H132,-$I132*$E132*(12-$J132+1)/12,0))</f>
        <v>0</v>
      </c>
      <c r="CD132" s="1808">
        <f t="shared" ref="CD132" si="1787">IF($H132&lt;&gt;CH$5,0,IF(CH132&lt;0,IF($J132=1,-$E132*$I132/12*3,IF($J132=2,-$E132*$I132/12*2,IF($J132=3,-$E132*$I132/12*1,0)))))+IF(CC$5&lt;&gt;$H132,0,IF(CC132&lt;0,IF($J132=1,-$E132*$I132/12*0,IF($J132=2,-$E132*$I132/12*1,IF($J132=3,-$E132*$I132/12*2,IF($J132&gt;=4,-$E132*$I132/12*3,0))))))</f>
        <v>0</v>
      </c>
      <c r="CE132" s="1807">
        <f t="shared" ref="CE132" si="1788">IF($H132&lt;&gt;CH$5,0,IF(CH132&lt;0,IF(OR($J132=1,$J132=2,$J132=3,$J132=4),-$E132*$I132/12*3,IF($J132=5,-$E132*$I132/12*2,IF($J132=6,-$E132*$I132/12*1,0)))))+IF(CC$5&lt;&gt;$H132,0,IF(CC132&lt;0,IF($J132=4,-$E132*$I132/12*0,IF($J132=5,-$E132*$I132/12*1,IF($J132=6,-$E132*$I132/12*2,IF($J132&gt;=7,-$E132*$I132/12*3,0))))))</f>
        <v>0</v>
      </c>
      <c r="CF132" s="1807">
        <f t="shared" ref="CF132" si="1789">IF($H132&lt;&gt;CH$5,0,IF(CH132&lt;0,IF(OR($J132=1,$J132=2,$J132=3,$J132=4,$J132=5,$J132=6,$J132=7),-$E132*$I132/12*3,IF($J132=8,-$E132*$I132/12*2,IF($J132=9,-$E132*$I132/12*1,0)))))+IF(CC$5&lt;&gt;$H132,0,IF(CC132&lt;0,IF($J132=7,-$E132*$I132/12*0,IF($J132=8,-$E132*$I132/12*1,IF($J132=9,-$E132*$I132/12*2,IF($J132&gt;=10,-$E132*$I132/12*3,0))))))</f>
        <v>0</v>
      </c>
      <c r="CG132" s="1806">
        <f t="shared" ref="CG132" si="1790">IF($H132&lt;&gt;CH$5,0,IF(CH132&lt;0,IF(OR($J132=1,$J132=2,$J132=3,$J132=4,$J132=5,$J132=6,$J132=7,$J132=8,$J132=9,$J132=10),-$E132*$I132/12*3,IF($J132=11,-$E132*$I132/12*2,IF($J132=12,-$E132*$I132/12*1,0)))))+IF(CC$5&lt;&gt;$H132,0,IF(CC132&lt;0,IF($J132=10,-$E132*$I132/12*0,IF($J132=11,-$E132*$I132/12*1,IF($J132=12,-$E132*$I132/12*2,0)))))</f>
        <v>0</v>
      </c>
      <c r="CH132" s="1791">
        <f t="shared" ref="CH132" si="1791">IF(AND(CC132&lt;&gt;0,CC$5=$H132),-$I132*$E132-CC132,IF(CH$5=$H132,-$I132*$E132*(12-$J132+1)/12,0))</f>
        <v>0</v>
      </c>
      <c r="CI132" s="1808">
        <f t="shared" ref="CI132" si="1792">IF($H132&lt;&gt;CM$5,0,IF(CM132&lt;0,IF($J132=1,-$E132*$I132/12*3,IF($J132=2,-$E132*$I132/12*2,IF($J132=3,-$E132*$I132/12*1,0)))))+IF(CH$5&lt;&gt;$H132,0,IF(CH132&lt;0,IF($J132=1,-$E132*$I132/12*0,IF($J132=2,-$E132*$I132/12*1,IF($J132=3,-$E132*$I132/12*2,IF($J132&gt;=4,-$E132*$I132/12*3,0))))))</f>
        <v>0</v>
      </c>
      <c r="CJ132" s="1807">
        <f t="shared" ref="CJ132" si="1793">IF($H132&lt;&gt;CM$5,0,IF(CM132&lt;0,IF(OR($J132=1,$J132=2,$J132=3,$J132=4),-$E132*$I132/12*3,IF($J132=5,-$E132*$I132/12*2,IF($J132=6,-$E132*$I132/12*1,0)))))+IF(CH$5&lt;&gt;$H132,0,IF(CH132&lt;0,IF($J132=4,-$E132*$I132/12*0,IF($J132=5,-$E132*$I132/12*1,IF($J132=6,-$E132*$I132/12*2,IF($J132&gt;=7,-$E132*$I132/12*3,0))))))</f>
        <v>0</v>
      </c>
      <c r="CK132" s="1807">
        <f t="shared" ref="CK132" si="1794">IF($H132&lt;&gt;CM$5,0,IF(CM132&lt;0,IF(OR($J132=1,$J132=2,$J132=3,$J132=4,$J132=5,$J132=6,$J132=7),-$E132*$I132/12*3,IF($J132=8,-$E132*$I132/12*2,IF($J132=9,-$E132*$I132/12*1,0)))))+IF(CH$5&lt;&gt;$H132,0,IF(CH132&lt;0,IF($J132=7,-$E132*$I132/12*0,IF($J132=8,-$E132*$I132/12*1,IF($J132=9,-$E132*$I132/12*2,IF($J132&gt;=10,-$E132*$I132/12*3,0))))))</f>
        <v>0</v>
      </c>
      <c r="CL132" s="1806">
        <f t="shared" ref="CL132" si="1795">IF($H132&lt;&gt;CM$5,0,IF(CM132&lt;0,IF(OR($J132=1,$J132=2,$J132=3,$J132=4,$J132=5,$J132=6,$J132=7,$J132=8,$J132=9,$J132=10),-$E132*$I132/12*3,IF($J132=11,-$E132*$I132/12*2,IF($J132=12,-$E132*$I132/12*1,0)))))+IF(CH$5&lt;&gt;$H132,0,IF(CH132&lt;0,IF($J132=10,-$E132*$I132/12*0,IF($J132=11,-$E132*$I132/12*1,IF($J132=12,-$E132*$I132/12*2,0)))))</f>
        <v>0</v>
      </c>
      <c r="CM132" s="1791">
        <f t="shared" ref="CM132" si="1796">IF(AND(CH132&lt;&gt;0,CH$5=$H132),-$I132*$E132-CH132,IF(CM$5=$H132,-$I132*$E132*(12-$J132+1)/12,0))</f>
        <v>0</v>
      </c>
      <c r="CN132" s="1808">
        <f t="shared" ref="CN132" si="1797">IF($H132&lt;&gt;CR$5,0,IF(CR132&lt;0,IF($J132=1,-$E132*$I132/12*3,IF($J132=2,-$E132*$I132/12*2,IF($J132=3,-$E132*$I132/12*1,0)))))+IF(CM$5&lt;&gt;$H132,0,IF(CM132&lt;0,IF($J132=1,-$E132*$I132/12*0,IF($J132=2,-$E132*$I132/12*1,IF($J132=3,-$E132*$I132/12*2,IF($J132&gt;=4,-$E132*$I132/12*3,0))))))</f>
        <v>0</v>
      </c>
      <c r="CO132" s="1807">
        <f t="shared" ref="CO132" si="1798">IF($H132&lt;&gt;CR$5,0,IF(CR132&lt;0,IF(OR($J132=1,$J132=2,$J132=3,$J132=4),-$E132*$I132/12*3,IF($J132=5,-$E132*$I132/12*2,IF($J132=6,-$E132*$I132/12*1,0)))))+IF(CM$5&lt;&gt;$H132,0,IF(CM132&lt;0,IF($J132=4,-$E132*$I132/12*0,IF($J132=5,-$E132*$I132/12*1,IF($J132=6,-$E132*$I132/12*2,IF($J132&gt;=7,-$E132*$I132/12*3,0))))))</f>
        <v>0</v>
      </c>
      <c r="CP132" s="1807">
        <f t="shared" ref="CP132" si="1799">IF($H132&lt;&gt;CR$5,0,IF(CR132&lt;0,IF(OR($J132=1,$J132=2,$J132=3,$J132=4,$J132=5,$J132=6,$J132=7),-$E132*$I132/12*3,IF($J132=8,-$E132*$I132/12*2,IF($J132=9,-$E132*$I132/12*1,0)))))+IF(CM$5&lt;&gt;$H132,0,IF(CM132&lt;0,IF($J132=7,-$E132*$I132/12*0,IF($J132=8,-$E132*$I132/12*1,IF($J132=9,-$E132*$I132/12*2,IF($J132&gt;=10,-$E132*$I132/12*3,0))))))</f>
        <v>0</v>
      </c>
      <c r="CQ132" s="1806">
        <f t="shared" ref="CQ132" si="1800">IF($H132&lt;&gt;CR$5,0,IF(CR132&lt;0,IF(OR($J132=1,$J132=2,$J132=3,$J132=4,$J132=5,$J132=6,$J132=7,$J132=8,$J132=9,$J132=10),-$E132*$I132/12*3,IF($J132=11,-$E132*$I132/12*2,IF($J132=12,-$E132*$I132/12*1,0)))))+IF(CM$5&lt;&gt;$H132,0,IF(CM132&lt;0,IF($J132=10,-$E132*$I132/12*0,IF($J132=11,-$E132*$I132/12*1,IF($J132=12,-$E132*$I132/12*2,0)))))</f>
        <v>0</v>
      </c>
      <c r="CR132" s="1791">
        <f t="shared" ref="CR132" si="1801">IF(AND(CM132&lt;&gt;0,CM$5=$H132),-$I132*$E132-CM132,IF(CR$5=$H132,-$I132*$E132*(12-$J132+1)/12,0))</f>
        <v>0</v>
      </c>
      <c r="CS132" s="1808">
        <f t="shared" ref="CS132" si="1802">IF($H132&lt;&gt;CW$5,0,IF(CW132&lt;0,IF($J132=1,-$E132*$I132/12*3,IF($J132=2,-$E132*$I132/12*2,IF($J132=3,-$E132*$I132/12*1,0)))))+IF(CR$5&lt;&gt;$H132,0,IF(CR132&lt;0,IF($J132=1,-$E132*$I132/12*0,IF($J132=2,-$E132*$I132/12*1,IF($J132=3,-$E132*$I132/12*2,IF($J132&gt;=4,-$E132*$I132/12*3,0))))))</f>
        <v>0</v>
      </c>
      <c r="CT132" s="1807">
        <f t="shared" ref="CT132" si="1803">IF($H132&lt;&gt;CW$5,0,IF(CW132&lt;0,IF(OR($J132=1,$J132=2,$J132=3,$J132=4),-$E132*$I132/12*3,IF($J132=5,-$E132*$I132/12*2,IF($J132=6,-$E132*$I132/12*1,0)))))+IF(CR$5&lt;&gt;$H132,0,IF(CR132&lt;0,IF($J132=4,-$E132*$I132/12*0,IF($J132=5,-$E132*$I132/12*1,IF($J132=6,-$E132*$I132/12*2,IF($J132&gt;=7,-$E132*$I132/12*3,0))))))</f>
        <v>0</v>
      </c>
      <c r="CU132" s="1807">
        <f t="shared" ref="CU132" si="1804">IF($H132&lt;&gt;CW$5,0,IF(CW132&lt;0,IF(OR($J132=1,$J132=2,$J132=3,$J132=4,$J132=5,$J132=6,$J132=7),-$E132*$I132/12*3,IF($J132=8,-$E132*$I132/12*2,IF($J132=9,-$E132*$I132/12*1,0)))))+IF(CR$5&lt;&gt;$H132,0,IF(CR132&lt;0,IF($J132=7,-$E132*$I132/12*0,IF($J132=8,-$E132*$I132/12*1,IF($J132=9,-$E132*$I132/12*2,IF($J132&gt;=10,-$E132*$I132/12*3,0))))))</f>
        <v>0</v>
      </c>
      <c r="CV132" s="1806">
        <f t="shared" ref="CV132" si="1805">IF($H132&lt;&gt;CW$5,0,IF(CW132&lt;0,IF(OR($J132=1,$J132=2,$J132=3,$J132=4,$J132=5,$J132=6,$J132=7,$J132=8,$J132=9,$J132=10),-$E132*$I132/12*3,IF($J132=11,-$E132*$I132/12*2,IF($J132=12,-$E132*$I132/12*1,0)))))+IF(CR$5&lt;&gt;$H132,0,IF(CR132&lt;0,IF($J132=10,-$E132*$I132/12*0,IF($J132=11,-$E132*$I132/12*1,IF($J132=12,-$E132*$I132/12*2,0)))))</f>
        <v>0</v>
      </c>
      <c r="CW132" s="1791">
        <f t="shared" ref="CW132" si="1806">IF(AND(CR132&lt;&gt;0,CR$5=$H132),-$I132*$E132-CR132,IF(CW$5=$H132,-$I132*$E132*(12-$J132+1)/12,0))</f>
        <v>0</v>
      </c>
      <c r="CX132" s="1808">
        <f t="shared" ref="CX132" si="1807">IF($H132&lt;&gt;DB$5,0,IF(DB132&lt;0,IF($J132=1,-$E132*$I132/12*3,IF($J132=2,-$E132*$I132/12*2,IF($J132=3,-$E132*$I132/12*1,0)))))+IF(CW$5&lt;&gt;$H132,0,IF(CW132&lt;0,IF($J132=1,-$E132*$I132/12*0,IF($J132=2,-$E132*$I132/12*1,IF($J132=3,-$E132*$I132/12*2,IF($J132&gt;=4,-$E132*$I132/12*3,0))))))</f>
        <v>0</v>
      </c>
      <c r="CY132" s="1807">
        <f t="shared" ref="CY132" si="1808">IF($H132&lt;&gt;DB$5,0,IF(DB132&lt;0,IF(OR($J132=1,$J132=2,$J132=3,$J132=4),-$E132*$I132/12*3,IF($J132=5,-$E132*$I132/12*2,IF($J132=6,-$E132*$I132/12*1,0)))))+IF(CW$5&lt;&gt;$H132,0,IF(CW132&lt;0,IF($J132=4,-$E132*$I132/12*0,IF($J132=5,-$E132*$I132/12*1,IF($J132=6,-$E132*$I132/12*2,IF($J132&gt;=7,-$E132*$I132/12*3,0))))))</f>
        <v>0</v>
      </c>
      <c r="CZ132" s="1807">
        <f t="shared" ref="CZ132" si="1809">IF($H132&lt;&gt;DB$5,0,IF(DB132&lt;0,IF(OR($J132=1,$J132=2,$J132=3,$J132=4,$J132=5,$J132=6,$J132=7),-$E132*$I132/12*3,IF($J132=8,-$E132*$I132/12*2,IF($J132=9,-$E132*$I132/12*1,0)))))+IF(CW$5&lt;&gt;$H132,0,IF(CW132&lt;0,IF($J132=7,-$E132*$I132/12*0,IF($J132=8,-$E132*$I132/12*1,IF($J132=9,-$E132*$I132/12*2,IF($J132&gt;=10,-$E132*$I132/12*3,0))))))</f>
        <v>0</v>
      </c>
      <c r="DA132" s="1806">
        <f t="shared" ref="DA132" si="1810">IF($H132&lt;&gt;DB$5,0,IF(DB132&lt;0,IF(OR($J132=1,$J132=2,$J132=3,$J132=4,$J132=5,$J132=6,$J132=7,$J132=8,$J132=9,$J132=10),-$E132*$I132/12*3,IF($J132=11,-$E132*$I132/12*2,IF($J132=12,-$E132*$I132/12*1,0)))))+IF(CW$5&lt;&gt;$H132,0,IF(CW132&lt;0,IF($J132=10,-$E132*$I132/12*0,IF($J132=11,-$E132*$I132/12*1,IF($J132=12,-$E132*$I132/12*2,0)))))</f>
        <v>0</v>
      </c>
      <c r="DB132" s="1791">
        <f t="shared" ref="DB132" si="1811">IF(AND(CW132&lt;&gt;0,CW$5=$H132),-$I132*$E132-CW132,IF(DB$5=$H132,-$I132*$E132*(12-$J132+1)/12,0))</f>
        <v>0</v>
      </c>
      <c r="DC132" s="1808">
        <f t="shared" ref="DC132" si="1812">IF($H132&lt;&gt;DG$5,0,IF(DG132&lt;0,IF($J132=1,-$E132*$I132/12*3,IF($J132=2,-$E132*$I132/12*2,IF($J132=3,-$E132*$I132/12*1,0)))))+IF(DB$5&lt;&gt;$H132,0,IF(DB132&lt;0,IF($J132=1,-$E132*$I132/12*0,IF($J132=2,-$E132*$I132/12*1,IF($J132=3,-$E132*$I132/12*2,IF($J132&gt;=4,-$E132*$I132/12*3,0))))))</f>
        <v>0</v>
      </c>
      <c r="DD132" s="1807">
        <f t="shared" ref="DD132" si="1813">IF($H132&lt;&gt;DG$5,0,IF(DG132&lt;0,IF(OR($J132=1,$J132=2,$J132=3,$J132=4),-$E132*$I132/12*3,IF($J132=5,-$E132*$I132/12*2,IF($J132=6,-$E132*$I132/12*1,0)))))+IF(DB$5&lt;&gt;$H132,0,IF(DB132&lt;0,IF($J132=4,-$E132*$I132/12*0,IF($J132=5,-$E132*$I132/12*1,IF($J132=6,-$E132*$I132/12*2,IF($J132&gt;=7,-$E132*$I132/12*3,0))))))</f>
        <v>0</v>
      </c>
      <c r="DE132" s="1807">
        <f t="shared" ref="DE132" si="1814">IF($H132&lt;&gt;DG$5,0,IF(DG132&lt;0,IF(OR($J132=1,$J132=2,$J132=3,$J132=4,$J132=5,$J132=6,$J132=7),-$E132*$I132/12*3,IF($J132=8,-$E132*$I132/12*2,IF($J132=9,-$E132*$I132/12*1,0)))))+IF(DB$5&lt;&gt;$H132,0,IF(DB132&lt;0,IF($J132=7,-$E132*$I132/12*0,IF($J132=8,-$E132*$I132/12*1,IF($J132=9,-$E132*$I132/12*2,IF($J132&gt;=10,-$E132*$I132/12*3,0))))))</f>
        <v>0</v>
      </c>
      <c r="DF132" s="1806">
        <f t="shared" ref="DF132" si="1815">IF($H132&lt;&gt;DG$5,0,IF(DG132&lt;0,IF(OR($J132=1,$J132=2,$J132=3,$J132=4,$J132=5,$J132=6,$J132=7,$J132=8,$J132=9,$J132=10),-$E132*$I132/12*3,IF($J132=11,-$E132*$I132/12*2,IF($J132=12,-$E132*$I132/12*1,0)))))+IF(DB$5&lt;&gt;$H132,0,IF(DB132&lt;0,IF($J132=10,-$E132*$I132/12*0,IF($J132=11,-$E132*$I132/12*1,IF($J132=12,-$E132*$I132/12*2,0)))))</f>
        <v>0</v>
      </c>
      <c r="DG132" s="1791">
        <f t="shared" ref="DG132" si="1816">IF(AND(DB132&lt;&gt;0,DB$5=$H132),-$I132*$E132-DB132,IF(DG$5=$H132,-$I132*$E132*(12-$J132+1)/12,0))</f>
        <v>0</v>
      </c>
      <c r="DH132" s="1808">
        <f t="shared" ref="DH132" si="1817">IF($H132&lt;&gt;DL$5,0,IF(DL132&lt;0,IF($J132=1,-$E132*$I132/12*3,IF($J132=2,-$E132*$I132/12*2,IF($J132=3,-$E132*$I132/12*1,0)))))+IF(DG$5&lt;&gt;$H132,0,IF(DG132&lt;0,IF($J132=1,-$E132*$I132/12*0,IF($J132=2,-$E132*$I132/12*1,IF($J132=3,-$E132*$I132/12*2,IF($J132&gt;=4,-$E132*$I132/12*3,0))))))</f>
        <v>0</v>
      </c>
      <c r="DI132" s="1807">
        <f t="shared" ref="DI132" si="1818">IF($H132&lt;&gt;DL$5,0,IF(DL132&lt;0,IF(OR($J132=1,$J132=2,$J132=3,$J132=4),-$E132*$I132/12*3,IF($J132=5,-$E132*$I132/12*2,IF($J132=6,-$E132*$I132/12*1,0)))))+IF(DG$5&lt;&gt;$H132,0,IF(DG132&lt;0,IF($J132=4,-$E132*$I132/12*0,IF($J132=5,-$E132*$I132/12*1,IF($J132=6,-$E132*$I132/12*2,IF($J132&gt;=7,-$E132*$I132/12*3,0))))))</f>
        <v>0</v>
      </c>
      <c r="DJ132" s="1807">
        <f t="shared" ref="DJ132" si="1819">IF($H132&lt;&gt;DL$5,0,IF(DL132&lt;0,IF(OR($J132=1,$J132=2,$J132=3,$J132=4,$J132=5,$J132=6,$J132=7),-$E132*$I132/12*3,IF($J132=8,-$E132*$I132/12*2,IF($J132=9,-$E132*$I132/12*1,0)))))+IF(DG$5&lt;&gt;$H132,0,IF(DG132&lt;0,IF($J132=7,-$E132*$I132/12*0,IF($J132=8,-$E132*$I132/12*1,IF($J132=9,-$E132*$I132/12*2,IF($J132&gt;=10,-$E132*$I132/12*3,0))))))</f>
        <v>0</v>
      </c>
      <c r="DK132" s="1806">
        <f t="shared" ref="DK132" si="1820">IF($H132&lt;&gt;DL$5,0,IF(DL132&lt;0,IF(OR($J132=1,$J132=2,$J132=3,$J132=4,$J132=5,$J132=6,$J132=7,$J132=8,$J132=9,$J132=10),-$E132*$I132/12*3,IF($J132=11,-$E132*$I132/12*2,IF($J132=12,-$E132*$I132/12*1,0)))))+IF(DG$5&lt;&gt;$H132,0,IF(DG132&lt;0,IF($J132=10,-$E132*$I132/12*0,IF($J132=11,-$E132*$I132/12*1,IF($J132=12,-$E132*$I132/12*2,0)))))</f>
        <v>0</v>
      </c>
      <c r="DL132" s="1791">
        <f t="shared" ref="DL132" si="1821">IF(AND(DG132&lt;&gt;0,DG$5=$H132),-$I132*$E132-DG132,IF(DL$5=$H132,-$I132*$E132*(12-$J132+1)/12,0))</f>
        <v>0</v>
      </c>
      <c r="DM132" s="1808">
        <f t="shared" ref="DM132" si="1822">IF($H132&lt;&gt;DQ$5,0,IF(DQ132&lt;0,IF($J132=1,-$E132*$I132/12*3,IF($J132=2,-$E132*$I132/12*2,IF($J132=3,-$E132*$I132/12*1,0)))))+IF(DL$5&lt;&gt;$H132,0,IF(DL132&lt;0,IF($J132=1,-$E132*$I132/12*0,IF($J132=2,-$E132*$I132/12*1,IF($J132=3,-$E132*$I132/12*2,IF($J132&gt;=4,-$E132*$I132/12*3,0))))))</f>
        <v>0</v>
      </c>
      <c r="DN132" s="1807">
        <f t="shared" ref="DN132" si="1823">IF($H132&lt;&gt;DQ$5,0,IF(DQ132&lt;0,IF(OR($J132=1,$J132=2,$J132=3,$J132=4),-$E132*$I132/12*3,IF($J132=5,-$E132*$I132/12*2,IF($J132=6,-$E132*$I132/12*1,0)))))+IF(DL$5&lt;&gt;$H132,0,IF(DL132&lt;0,IF($J132=4,-$E132*$I132/12*0,IF($J132=5,-$E132*$I132/12*1,IF($J132=6,-$E132*$I132/12*2,IF($J132&gt;=7,-$E132*$I132/12*3,0))))))</f>
        <v>0</v>
      </c>
      <c r="DO132" s="1807">
        <f t="shared" ref="DO132" si="1824">IF($H132&lt;&gt;DQ$5,0,IF(DQ132&lt;0,IF(OR($J132=1,$J132=2,$J132=3,$J132=4,$J132=5,$J132=6,$J132=7),-$E132*$I132/12*3,IF($J132=8,-$E132*$I132/12*2,IF($J132=9,-$E132*$I132/12*1,0)))))+IF(DL$5&lt;&gt;$H132,0,IF(DL132&lt;0,IF($J132=7,-$E132*$I132/12*0,IF($J132=8,-$E132*$I132/12*1,IF($J132=9,-$E132*$I132/12*2,IF($J132&gt;=10,-$E132*$I132/12*3,0))))))</f>
        <v>0</v>
      </c>
      <c r="DP132" s="1806">
        <f t="shared" ref="DP132" si="1825">IF($H132&lt;&gt;DQ$5,0,IF(DQ132&lt;0,IF(OR($J132=1,$J132=2,$J132=3,$J132=4,$J132=5,$J132=6,$J132=7,$J132=8,$J132=9,$J132=10),-$E132*$I132/12*3,IF($J132=11,-$E132*$I132/12*2,IF($J132=12,-$E132*$I132/12*1,0)))))+IF(DL$5&lt;&gt;$H132,0,IF(DL132&lt;0,IF($J132=10,-$E132*$I132/12*0,IF($J132=11,-$E132*$I132/12*1,IF($J132=12,-$E132*$I132/12*2,0)))))</f>
        <v>0</v>
      </c>
      <c r="DQ132" s="1791">
        <f t="shared" ref="DQ132" si="1826">IF(AND(DL132&lt;&gt;0,DL$5=$H132),-$I132*$E132-DL132,IF(DQ$5=$H132,-$I132*$E132*(12-$J132+1)/12,0))</f>
        <v>0</v>
      </c>
      <c r="DR132" s="1808">
        <f t="shared" si="1730"/>
        <v>0</v>
      </c>
      <c r="DS132" s="1807">
        <f t="shared" si="1731"/>
        <v>0</v>
      </c>
      <c r="DT132" s="1807">
        <f t="shared" si="1732"/>
        <v>0</v>
      </c>
      <c r="DU132" s="1806">
        <f t="shared" si="1733"/>
        <v>0</v>
      </c>
      <c r="DV132" s="1791">
        <f t="shared" si="1734"/>
        <v>0</v>
      </c>
    </row>
    <row r="133" spans="1:126">
      <c r="A133" s="455"/>
      <c r="B133" s="455"/>
      <c r="C133" s="1363"/>
      <c r="D133" s="455"/>
      <c r="E133" s="1817"/>
      <c r="F133" s="1435"/>
      <c r="G133" s="1435"/>
      <c r="H133" s="1350"/>
      <c r="I133" s="1337"/>
      <c r="J133" s="1343"/>
      <c r="K133" s="1792"/>
      <c r="L133" s="1810"/>
      <c r="M133" s="1791"/>
      <c r="N133" s="1808"/>
      <c r="O133" s="1807"/>
      <c r="P133" s="1807"/>
      <c r="Q133" s="1806"/>
      <c r="R133" s="1791"/>
      <c r="S133" s="1808"/>
      <c r="T133" s="1807"/>
      <c r="U133" s="1807"/>
      <c r="V133" s="1806"/>
      <c r="W133" s="1791"/>
      <c r="X133" s="1808"/>
      <c r="Y133" s="1807"/>
      <c r="Z133" s="1807"/>
      <c r="AA133" s="1806"/>
      <c r="AB133" s="1791"/>
      <c r="AC133" s="1808"/>
      <c r="AD133" s="1807"/>
      <c r="AE133" s="1807"/>
      <c r="AF133" s="1806"/>
      <c r="AG133" s="1791"/>
      <c r="AH133" s="1808"/>
      <c r="AI133" s="1807"/>
      <c r="AJ133" s="1807"/>
      <c r="AK133" s="1806"/>
      <c r="AL133" s="1791"/>
      <c r="AM133" s="1808"/>
      <c r="AN133" s="1807"/>
      <c r="AO133" s="1807"/>
      <c r="AP133" s="1806"/>
      <c r="AQ133" s="1791"/>
      <c r="AR133" s="1808"/>
      <c r="AS133" s="1807"/>
      <c r="AT133" s="1807"/>
      <c r="AU133" s="1806"/>
      <c r="AV133" s="1791"/>
      <c r="AW133" s="1808"/>
      <c r="AX133" s="1807"/>
      <c r="AY133" s="1807"/>
      <c r="AZ133" s="1806"/>
      <c r="BA133" s="1791"/>
      <c r="BB133" s="1808"/>
      <c r="BC133" s="1807"/>
      <c r="BD133" s="1807"/>
      <c r="BE133" s="1806"/>
      <c r="BF133" s="1791"/>
      <c r="BG133" s="1808"/>
      <c r="BH133" s="1807"/>
      <c r="BI133" s="1807"/>
      <c r="BJ133" s="1806"/>
      <c r="BK133" s="1791"/>
      <c r="BL133" s="1808"/>
      <c r="BM133" s="1807"/>
      <c r="BN133" s="1807"/>
      <c r="BO133" s="1806"/>
      <c r="BP133" s="1791"/>
      <c r="BQ133" s="1827"/>
      <c r="BR133" s="1791"/>
      <c r="BS133" s="1791"/>
      <c r="BT133" s="1808"/>
      <c r="BU133" s="1807"/>
      <c r="BV133" s="1807"/>
      <c r="BW133" s="1806"/>
      <c r="BX133" s="1791"/>
      <c r="BY133" s="1808"/>
      <c r="BZ133" s="1807"/>
      <c r="CA133" s="1807"/>
      <c r="CB133" s="1806"/>
      <c r="CC133" s="1791"/>
      <c r="CD133" s="1808"/>
      <c r="CE133" s="1807"/>
      <c r="CF133" s="1807"/>
      <c r="CG133" s="1806"/>
      <c r="CH133" s="1791"/>
      <c r="CI133" s="1808"/>
      <c r="CJ133" s="1807"/>
      <c r="CK133" s="1807"/>
      <c r="CL133" s="1806"/>
      <c r="CM133" s="1791"/>
      <c r="CN133" s="1808"/>
      <c r="CO133" s="1807"/>
      <c r="CP133" s="1807"/>
      <c r="CQ133" s="1806"/>
      <c r="CR133" s="1791"/>
      <c r="CS133" s="1808"/>
      <c r="CT133" s="1807"/>
      <c r="CU133" s="1807"/>
      <c r="CV133" s="1806"/>
      <c r="CW133" s="1791"/>
      <c r="CX133" s="1808"/>
      <c r="CY133" s="1807"/>
      <c r="CZ133" s="1807"/>
      <c r="DA133" s="1806"/>
      <c r="DB133" s="1791"/>
      <c r="DC133" s="1808"/>
      <c r="DD133" s="1807"/>
      <c r="DE133" s="1807"/>
      <c r="DF133" s="1806"/>
      <c r="DG133" s="1791"/>
      <c r="DH133" s="1808"/>
      <c r="DI133" s="1807"/>
      <c r="DJ133" s="1807"/>
      <c r="DK133" s="1806"/>
      <c r="DL133" s="1791"/>
      <c r="DM133" s="1808"/>
      <c r="DN133" s="1807"/>
      <c r="DO133" s="1807"/>
      <c r="DP133" s="1806"/>
      <c r="DQ133" s="1791"/>
      <c r="DR133" s="1808"/>
      <c r="DS133" s="1807"/>
      <c r="DT133" s="1807"/>
      <c r="DU133" s="1806"/>
      <c r="DV133" s="1791"/>
    </row>
    <row r="134" spans="1:126">
      <c r="A134" s="455"/>
      <c r="B134" s="455"/>
      <c r="C134" s="1363" t="s">
        <v>933</v>
      </c>
      <c r="D134" s="94"/>
      <c r="E134" s="1817">
        <f>IF(F134=0,G134,F134)</f>
        <v>76.706999999999994</v>
      </c>
      <c r="F134" s="1435">
        <v>76.706999999999994</v>
      </c>
      <c r="G134" s="1435">
        <v>87.307000000000002</v>
      </c>
      <c r="H134" s="1350">
        <v>2024</v>
      </c>
      <c r="I134" s="1337">
        <v>2.6700000000000002E-2</v>
      </c>
      <c r="J134" s="1343">
        <v>6</v>
      </c>
      <c r="K134" s="1792"/>
      <c r="L134" s="1810">
        <f>IF(L$5=$H134,-$E134,0)</f>
        <v>0</v>
      </c>
      <c r="M134" s="1791">
        <f>IF(M$5=$H134,-$E134,0)</f>
        <v>0</v>
      </c>
      <c r="N134" s="1808">
        <f>IF(R134=0,0,IF(R134&lt;0,IF($J134=3,R134,IF($J134=2,R134,IF($J134=1,R134,0)))))</f>
        <v>0</v>
      </c>
      <c r="O134" s="1807">
        <f>IF(R134=0,0,IF(R134&lt;0,IF($J134=6,R134,IF($J134=5,R134,IF($J134=4,R134,0)))))</f>
        <v>0</v>
      </c>
      <c r="P134" s="1807">
        <f>IF(R134=0,0,IF(R134&lt;0,IF($J134=9,R134,IF($J134=8,R134,IF($J134=7,R134,0)))))</f>
        <v>0</v>
      </c>
      <c r="Q134" s="1806">
        <f>IF(R134=0,0,IF(R134&lt;0,IF($J134=12,R134,IF($J134=11,R134,IF($J134=10,R134,0)))))</f>
        <v>0</v>
      </c>
      <c r="R134" s="1791">
        <f>IF(R$5=$H134,-$E134,0)</f>
        <v>0</v>
      </c>
      <c r="S134" s="1808">
        <f>IF(W134=0,0,IF(W134&lt;0,IF($J134=3,W134,IF($J134=2,W134,IF($J134=1,W134,0)))))</f>
        <v>0</v>
      </c>
      <c r="T134" s="1807">
        <f>IF(W134=0,0,IF(W134&lt;0,IF($J134=6,W134,IF($J134=5,W134,IF($J134=4,W134,0)))))</f>
        <v>0</v>
      </c>
      <c r="U134" s="1807">
        <f>IF(W134=0,0,IF(W134&lt;0,IF($J134=9,W134,IF($J134=8,W134,IF($J134=7,W134,0)))))</f>
        <v>0</v>
      </c>
      <c r="V134" s="1806">
        <f>IF(W134=0,0,IF(W134&lt;0,IF($J134=12,W134,IF($J134=11,W134,IF($J134=10,W134,0)))))</f>
        <v>0</v>
      </c>
      <c r="W134" s="1791">
        <f>IF(W$5=$H134,-$E134,0)</f>
        <v>0</v>
      </c>
      <c r="X134" s="1808">
        <f>IF(AB134=0,0,IF(AB134&lt;0,IF($J134=3,AB134,IF($J134=2,AB134,IF($J134=1,AB134,0)))))</f>
        <v>0</v>
      </c>
      <c r="Y134" s="1807">
        <f>IF(AB134=0,0,IF(AB134&lt;0,IF($J134=6,AB134,IF($J134=5,AB134,IF($J134=4,AB134,0)))))</f>
        <v>0</v>
      </c>
      <c r="Z134" s="1807">
        <f>IF(AB134=0,0,IF(AB134&lt;0,IF($J134=9,AB134,IF($J134=8,AB134,IF($J134=7,AB134,0)))))</f>
        <v>0</v>
      </c>
      <c r="AA134" s="1806">
        <f>IF(AB134=0,0,IF(AB134&lt;0,IF($J134=12,AB134,IF($J134=11,AB134,IF($J134=10,AB134,0)))))</f>
        <v>0</v>
      </c>
      <c r="AB134" s="1791">
        <f>IF(AB$5=$H134,-$E134,0)</f>
        <v>0</v>
      </c>
      <c r="AC134" s="1808">
        <f>IF(AG134=0,0,IF(AG134&lt;0,IF($J134=3,AG134,IF($J134=2,AG134,IF($J134=1,AG134,0)))))</f>
        <v>0</v>
      </c>
      <c r="AD134" s="1807">
        <f>IF(AG134=0,0,IF(AG134&lt;0,IF($J134=6,AG134,IF($J134=5,AG134,IF($J134=4,AG134,0)))))</f>
        <v>0</v>
      </c>
      <c r="AE134" s="1807">
        <f>IF(AG134=0,0,IF(AG134&lt;0,IF($J134=9,AG134,IF($J134=8,AG134,IF($J134=7,AG134,0)))))</f>
        <v>0</v>
      </c>
      <c r="AF134" s="1806">
        <f>IF(AG134=0,0,IF(AG134&lt;0,IF($J134=12,AG134,IF($J134=11,AG134,IF($J134=10,AG134,0)))))</f>
        <v>0</v>
      </c>
      <c r="AG134" s="1791">
        <f>IF(AG$5=$H134,-$E134,0)</f>
        <v>0</v>
      </c>
      <c r="AH134" s="1808">
        <f>IF(AL134=0,0,IF(AL134&lt;0,IF($J134=3,AL134,IF($J134=2,AL134,IF($J134=1,AL134,0)))))</f>
        <v>0</v>
      </c>
      <c r="AI134" s="1807">
        <f>IF(AL134=0,0,IF(AL134&lt;0,IF($J134=6,AL134,IF($J134=5,AL134,IF($J134=4,AL134,0)))))</f>
        <v>0</v>
      </c>
      <c r="AJ134" s="1807">
        <f>IF(AL134=0,0,IF(AL134&lt;0,IF($J134=9,AL134,IF($J134=8,AL134,IF($J134=7,AL134,0)))))</f>
        <v>0</v>
      </c>
      <c r="AK134" s="1806">
        <f>IF(AL134=0,0,IF(AL134&lt;0,IF($J134=12,AL134,IF($J134=11,AL134,IF($J134=10,AL134,0)))))</f>
        <v>0</v>
      </c>
      <c r="AL134" s="1791">
        <f>IF(AL$5=$H134,-$E134,0)</f>
        <v>0</v>
      </c>
      <c r="AM134" s="1808">
        <f>IF(AQ134=0,0,IF(AQ134&lt;0,IF($J134=3,AQ134,IF($J134=2,AQ134,IF($J134=1,AQ134,0)))))</f>
        <v>0</v>
      </c>
      <c r="AN134" s="1807">
        <f>IF(AQ134=0,0,IF(AQ134&lt;0,IF($J134=6,AQ134,IF($J134=5,AQ134,IF($J134=4,AQ134,0)))))</f>
        <v>0</v>
      </c>
      <c r="AO134" s="1807">
        <f>IF(AQ134=0,0,IF(AQ134&lt;0,IF($J134=9,AQ134,IF($J134=8,AQ134,IF($J134=7,AQ134,0)))))</f>
        <v>0</v>
      </c>
      <c r="AP134" s="1806">
        <f>IF(AQ134=0,0,IF(AQ134&lt;0,IF($J134=12,AQ134,IF($J134=11,AQ134,IF($J134=10,AQ134,0)))))</f>
        <v>0</v>
      </c>
      <c r="AQ134" s="1791">
        <f>IF(AQ$5=$H134,-$E134,0)</f>
        <v>0</v>
      </c>
      <c r="AR134" s="1808">
        <f>IF(AV134=0,0,IF(AV134&lt;0,IF($J134=3,AV134,IF($J134=2,AV134,IF($J134=1,AV134,0)))))</f>
        <v>0</v>
      </c>
      <c r="AS134" s="1807">
        <f>IF(AV134=0,0,IF(AV134&lt;0,IF($J134=6,AV134,IF($J134=5,AV134,IF($J134=4,AV134,0)))))</f>
        <v>0</v>
      </c>
      <c r="AT134" s="1807">
        <f>IF(AV134=0,0,IF(AV134&lt;0,IF($J134=9,AV134,IF($J134=8,AV134,IF($J134=7,AV134,0)))))</f>
        <v>0</v>
      </c>
      <c r="AU134" s="1806">
        <f>IF(AV134=0,0,IF(AV134&lt;0,IF($J134=12,AV134,IF($J134=11,AV134,IF($J134=10,AV134,0)))))</f>
        <v>0</v>
      </c>
      <c r="AV134" s="1791">
        <f>IF(AV$5=$H134,-$E134,0)</f>
        <v>0</v>
      </c>
      <c r="AW134" s="1808">
        <f>IF(BA134=0,0,IF(BA134&lt;0,IF($J134=3,BA134,IF($J134=2,BA134,IF($J134=1,BA134,0)))))</f>
        <v>0</v>
      </c>
      <c r="AX134" s="1807">
        <f>IF(BA134=0,0,IF(BA134&lt;0,IF($J134=6,BA134,IF($J134=5,BA134,IF($J134=4,BA134,0)))))</f>
        <v>0</v>
      </c>
      <c r="AY134" s="1807">
        <f>IF(BA134=0,0,IF(BA134&lt;0,IF($J134=9,BA134,IF($J134=8,BA134,IF($J134=7,BA134,0)))))</f>
        <v>0</v>
      </c>
      <c r="AZ134" s="1806">
        <f>IF(BA134=0,0,IF(BA134&lt;0,IF($J134=12,BA134,IF($J134=11,BA134,IF($J134=10,BA134,0)))))</f>
        <v>0</v>
      </c>
      <c r="BA134" s="1791">
        <f>IF(BA$5=$H134,-$E134,0)</f>
        <v>0</v>
      </c>
      <c r="BB134" s="1808">
        <f>IF(BF134=0,0,IF(BF134&lt;0,IF($J134=3,BF134,IF($J134=2,BF134,IF($J134=1,BF134,0)))))</f>
        <v>0</v>
      </c>
      <c r="BC134" s="1807">
        <f>IF(BF134=0,0,IF(BF134&lt;0,IF($J134=6,BF134,IF($J134=5,BF134,IF($J134=4,BF134,0)))))</f>
        <v>0</v>
      </c>
      <c r="BD134" s="1807">
        <f>IF(BF134=0,0,IF(BF134&lt;0,IF($J134=9,BF134,IF($J134=8,BF134,IF($J134=7,BF134,0)))))</f>
        <v>0</v>
      </c>
      <c r="BE134" s="1806">
        <f>IF(BF134=0,0,IF(BF134&lt;0,IF($J134=12,BF134,IF($J134=11,BF134,IF($J134=10,BF134,0)))))</f>
        <v>0</v>
      </c>
      <c r="BF134" s="1791">
        <f>IF(BF$5=$H134,-$E134,0)</f>
        <v>0</v>
      </c>
      <c r="BG134" s="1808">
        <f>IF(BK134=0,0,IF(BK134&lt;0,IF($J134=3,BK134,IF($J134=2,BK134,IF($J134=1,BK134,0)))))</f>
        <v>0</v>
      </c>
      <c r="BH134" s="1807">
        <f>IF(BK134=0,0,IF(BK134&lt;0,IF($J134=6,BK134,IF($J134=5,BK134,IF($J134=4,BK134,0)))))</f>
        <v>0</v>
      </c>
      <c r="BI134" s="1807">
        <f>IF(BK134=0,0,IF(BK134&lt;0,IF($J134=9,BK134,IF($J134=8,BK134,IF($J134=7,BK134,0)))))</f>
        <v>0</v>
      </c>
      <c r="BJ134" s="1806">
        <f>IF(BK134=0,0,IF(BK134&lt;0,IF($J134=12,BK134,IF($J134=11,BK134,IF($J134=10,BK134,0)))))</f>
        <v>0</v>
      </c>
      <c r="BK134" s="1791">
        <f>IF(BK$5=$H134,-$E134,0)</f>
        <v>0</v>
      </c>
      <c r="BL134" s="1808">
        <f>IF(BP134=0,0,IF(BP134&lt;0,IF($J134=3,BP134,IF($J134=2,BP134,IF($J134=1,BP134,0)))))</f>
        <v>0</v>
      </c>
      <c r="BM134" s="1807">
        <f>IF(BP134=0,0,IF(BP134&lt;0,IF($J134=6,BP134,IF($J134=5,BP134,IF($J134=4,BP134,0)))))</f>
        <v>0</v>
      </c>
      <c r="BN134" s="1807">
        <f>IF(BP134=0,0,IF(BP134&lt;0,IF($J134=9,BP134,IF($J134=8,BP134,IF($J134=7,BP134,0)))))</f>
        <v>0</v>
      </c>
      <c r="BO134" s="1806">
        <f>IF(BP134=0,0,IF(BP134&lt;0,IF($J134=12,BP134,IF($J134=11,BP134,IF($J134=10,BP134,0)))))</f>
        <v>0</v>
      </c>
      <c r="BP134" s="1791">
        <f>IF(BP$5=$H134,-$E134,0)</f>
        <v>0</v>
      </c>
      <c r="BQ134" s="1827"/>
      <c r="BR134" s="1791">
        <f>IF(AND(BQ134&lt;&gt;0,BQ$5=$H134),-$I134*$E134-BQ134,IF(BR$5=$H134,-$I134*$E134*(12-$J134+1)/12,0))</f>
        <v>0</v>
      </c>
      <c r="BS134" s="1791">
        <f>IF(AND(BR134&lt;&gt;0,BR$5=$H134),-$I134*$E134-BR134,IF(BS$5=$H134,-$I134*$E134*(12-$J134+1)/12,0))</f>
        <v>0</v>
      </c>
      <c r="BT134" s="1808">
        <f>IF($H134&lt;&gt;BX$5,0,IF(BX134&lt;0,IF($J134=1,-$E134*$I134/12*3,IF($J134=2,-$E134*$I134/12*2,IF($J134=3,-$E134*$I134/12*1,0)))))+IF(BS$5&lt;&gt;$H134,0,IF(BS134&lt;0,IF($J134=1,-$E134*$I134/12*0,IF($J134=2,-$E134*$I134/12*1,IF($J134=3,-$E134*$I134/12*2,IF($J134&gt;=4,-$E134*$I134/12*3,0))))))</f>
        <v>0</v>
      </c>
      <c r="BU134" s="1807">
        <f>IF($H134&lt;&gt;BX$5,0,IF(BX134&lt;0,IF(OR($J134=1,$J134=2,$J134=3,$J134=4),-$E134*$I134/12*3,IF($J134=5,-$E134*$I134/12*2,IF($J134=6,-$E134*$I134/12*1,0)))))+IF(BS$5&lt;&gt;$H134,0,IF(BS134&lt;0,IF($J134=4,-$E134*$I134/12*0,IF($J134=5,-$E134*$I134/12*1,IF($J134=6,-$E134*$I134/12*2,IF($J134&gt;=7,-$E134*$I134/12*3,0))))))</f>
        <v>0</v>
      </c>
      <c r="BV134" s="1807">
        <f>IF($H134&lt;&gt;BX$5,0,IF(BX134&lt;0,IF(OR($J134=1,$J134=2,$J134=3,$J134=4,$J134=5,$J134=6,$J134=7),-$E134*$I134/12*3,IF($J134=8,-$E134*$I134/12*2,IF($J134=9,-$E134*$I134/12*1,0)))))+IF(BS$5&lt;&gt;$H134,0,IF(BS134&lt;0,IF($J134=7,-$E134*$I134/12*0,IF($J134=8,-$E134*$I134/12*1,IF($J134=9,-$E134*$I134/12*2,IF($J134&gt;=10,-$E134*$I134/12*3,0))))))</f>
        <v>0</v>
      </c>
      <c r="BW134" s="1806">
        <f>IF($H134&lt;&gt;BX$5,0,IF(BX134&lt;0,IF(OR($J134=1,$J134=2,$J134=3,$J134=4,$J134=5,$J134=6,$J134=7,$J134=8,$J134=9,$J134=10),-$E134*$I134/12*3,IF($J134=11,-$E134*$I134/12*2,IF($J134=12,-$E134*$I134/12*1,0)))))+IF(BS$5&lt;&gt;$H134,0,IF(BS134&lt;0,IF($J134=10,-$E134*$I134/12*0,IF($J134=11,-$E134*$I134/12*1,IF($J134=12,-$E134*$I134/12*2,0)))))</f>
        <v>0</v>
      </c>
      <c r="BX134" s="1791">
        <f>IF(AND(BS134&lt;&gt;0,BS$5=$H134),-$I134*$E134-BS134,IF(BX$5=$H134,-$I134*$E134*(12-$J134+1)/12,0))</f>
        <v>0</v>
      </c>
      <c r="BY134" s="1808">
        <f>IF($H134&lt;&gt;CC$5,0,IF(CC134&lt;0,IF($J134=1,-$E134*$I134/12*3,IF($J134=2,-$E134*$I134/12*2,IF($J134=3,-$E134*$I134/12*1,0)))))+IF(BX$5&lt;&gt;$H134,0,IF(BX134&lt;0,IF($J134=1,-$E134*$I134/12*0,IF($J134=2,-$E134*$I134/12*1,IF($J134=3,-$E134*$I134/12*2,IF($J134&gt;=4,-$E134*$I134/12*3,0))))))</f>
        <v>0</v>
      </c>
      <c r="BZ134" s="1807">
        <f>IF($H134&lt;&gt;CC$5,0,IF(CC134&lt;0,IF(OR($J134=1,$J134=2,$J134=3,$J134=4),-$E134*$I134/12*3,IF($J134=5,-$E134*$I134/12*2,IF($J134=6,-$E134*$I134/12*1,0)))))+IF(BX$5&lt;&gt;$H134,0,IF(BX134&lt;0,IF($J134=4,-$E134*$I134/12*0,IF($J134=5,-$E134*$I134/12*1,IF($J134=6,-$E134*$I134/12*2,IF($J134&gt;=7,-$E134*$I134/12*3,0))))))</f>
        <v>0</v>
      </c>
      <c r="CA134" s="1807">
        <f>IF($H134&lt;&gt;CC$5,0,IF(CC134&lt;0,IF(OR($J134=1,$J134=2,$J134=3,$J134=4,$J134=5,$J134=6,$J134=7),-$E134*$I134/12*3,IF($J134=8,-$E134*$I134/12*2,IF($J134=9,-$E134*$I134/12*1,0)))))+IF(BX$5&lt;&gt;$H134,0,IF(BX134&lt;0,IF($J134=7,-$E134*$I134/12*0,IF($J134=8,-$E134*$I134/12*1,IF($J134=9,-$E134*$I134/12*2,IF($J134&gt;=10,-$E134*$I134/12*3,0))))))</f>
        <v>0</v>
      </c>
      <c r="CB134" s="1806">
        <f>IF($H134&lt;&gt;CC$5,0,IF(CC134&lt;0,IF(OR($J134=1,$J134=2,$J134=3,$J134=4,$J134=5,$J134=6,$J134=7,$J134=8,$J134=9,$J134=10),-$E134*$I134/12*3,IF($J134=11,-$E134*$I134/12*2,IF($J134=12,-$E134*$I134/12*1,0)))))+IF(BX$5&lt;&gt;$H134,0,IF(BX134&lt;0,IF($J134=10,-$E134*$I134/12*0,IF($J134=11,-$E134*$I134/12*1,IF($J134=12,-$E134*$I134/12*2,0)))))</f>
        <v>0</v>
      </c>
      <c r="CC134" s="1791">
        <f>IF(AND(BX134&lt;&gt;0,BX$5=$H134),-$I134*$E134-BX134,IF(CC$5=$H134,-$I134*$E134*(12-$J134+1)/12,0))</f>
        <v>0</v>
      </c>
      <c r="CD134" s="1808">
        <f>IF($H134&lt;&gt;CH$5,0,IF(CH134&lt;0,IF($J134=1,-$E134*$I134/12*3,IF($J134=2,-$E134*$I134/12*2,IF($J134=3,-$E134*$I134/12*1,0)))))+IF(CC$5&lt;&gt;$H134,0,IF(CC134&lt;0,IF($J134=1,-$E134*$I134/12*0,IF($J134=2,-$E134*$I134/12*1,IF($J134=3,-$E134*$I134/12*2,IF($J134&gt;=4,-$E134*$I134/12*3,0))))))</f>
        <v>0</v>
      </c>
      <c r="CE134" s="1807">
        <f>IF($H134&lt;&gt;CH$5,0,IF(CH134&lt;0,IF(OR($J134=1,$J134=2,$J134=3,$J134=4),-$E134*$I134/12*3,IF($J134=5,-$E134*$I134/12*2,IF($J134=6,-$E134*$I134/12*1,0)))))+IF(CC$5&lt;&gt;$H134,0,IF(CC134&lt;0,IF($J134=4,-$E134*$I134/12*0,IF($J134=5,-$E134*$I134/12*1,IF($J134=6,-$E134*$I134/12*2,IF($J134&gt;=7,-$E134*$I134/12*3,0))))))</f>
        <v>0</v>
      </c>
      <c r="CF134" s="1807">
        <f>IF($H134&lt;&gt;CH$5,0,IF(CH134&lt;0,IF(OR($J134=1,$J134=2,$J134=3,$J134=4,$J134=5,$J134=6,$J134=7),-$E134*$I134/12*3,IF($J134=8,-$E134*$I134/12*2,IF($J134=9,-$E134*$I134/12*1,0)))))+IF(CC$5&lt;&gt;$H134,0,IF(CC134&lt;0,IF($J134=7,-$E134*$I134/12*0,IF($J134=8,-$E134*$I134/12*1,IF($J134=9,-$E134*$I134/12*2,IF($J134&gt;=10,-$E134*$I134/12*3,0))))))</f>
        <v>0</v>
      </c>
      <c r="CG134" s="1806">
        <f>IF($H134&lt;&gt;CH$5,0,IF(CH134&lt;0,IF(OR($J134=1,$J134=2,$J134=3,$J134=4,$J134=5,$J134=6,$J134=7,$J134=8,$J134=9,$J134=10),-$E134*$I134/12*3,IF($J134=11,-$E134*$I134/12*2,IF($J134=12,-$E134*$I134/12*1,0)))))+IF(CC$5&lt;&gt;$H134,0,IF(CC134&lt;0,IF($J134=10,-$E134*$I134/12*0,IF($J134=11,-$E134*$I134/12*1,IF($J134=12,-$E134*$I134/12*2,0)))))</f>
        <v>0</v>
      </c>
      <c r="CH134" s="1791">
        <f>IF(AND(CC134&lt;&gt;0,CC$5=$H134),-$I134*$E134-CC134,IF(CH$5=$H134,-$I134*$E134*(12-$J134+1)/12,0))</f>
        <v>0</v>
      </c>
      <c r="CI134" s="1808">
        <f>IF($H134&lt;&gt;CM$5,0,IF(CM134&lt;0,IF($J134=1,-$E134*$I134/12*3,IF($J134=2,-$E134*$I134/12*2,IF($J134=3,-$E134*$I134/12*1,0)))))+IF(CH$5&lt;&gt;$H134,0,IF(CH134&lt;0,IF($J134=1,-$E134*$I134/12*0,IF($J134=2,-$E134*$I134/12*1,IF($J134=3,-$E134*$I134/12*2,IF($J134&gt;=4,-$E134*$I134/12*3,0))))))</f>
        <v>0</v>
      </c>
      <c r="CJ134" s="1807">
        <f>IF($H134&lt;&gt;CM$5,0,IF(CM134&lt;0,IF(OR($J134=1,$J134=2,$J134=3,$J134=4),-$E134*$I134/12*3,IF($J134=5,-$E134*$I134/12*2,IF($J134=6,-$E134*$I134/12*1,0)))))+IF(CH$5&lt;&gt;$H134,0,IF(CH134&lt;0,IF($J134=4,-$E134*$I134/12*0,IF($J134=5,-$E134*$I134/12*1,IF($J134=6,-$E134*$I134/12*2,IF($J134&gt;=7,-$E134*$I134/12*3,0))))))</f>
        <v>0</v>
      </c>
      <c r="CK134" s="1807">
        <f>IF($H134&lt;&gt;CM$5,0,IF(CM134&lt;0,IF(OR($J134=1,$J134=2,$J134=3,$J134=4,$J134=5,$J134=6,$J134=7),-$E134*$I134/12*3,IF($J134=8,-$E134*$I134/12*2,IF($J134=9,-$E134*$I134/12*1,0)))))+IF(CH$5&lt;&gt;$H134,0,IF(CH134&lt;0,IF($J134=7,-$E134*$I134/12*0,IF($J134=8,-$E134*$I134/12*1,IF($J134=9,-$E134*$I134/12*2,IF($J134&gt;=10,-$E134*$I134/12*3,0))))))</f>
        <v>0</v>
      </c>
      <c r="CL134" s="1806">
        <f>IF($H134&lt;&gt;CM$5,0,IF(CM134&lt;0,IF(OR($J134=1,$J134=2,$J134=3,$J134=4,$J134=5,$J134=6,$J134=7,$J134=8,$J134=9,$J134=10),-$E134*$I134/12*3,IF($J134=11,-$E134*$I134/12*2,IF($J134=12,-$E134*$I134/12*1,0)))))+IF(CH$5&lt;&gt;$H134,0,IF(CH134&lt;0,IF($J134=10,-$E134*$I134/12*0,IF($J134=11,-$E134*$I134/12*1,IF($J134=12,-$E134*$I134/12*2,0)))))</f>
        <v>0</v>
      </c>
      <c r="CM134" s="1791">
        <f>IF(AND(CH134&lt;&gt;0,CH$5=$H134),-$I134*$E134-CH134,IF(CM$5=$H134,-$I134*$E134*(12-$J134+1)/12,0))</f>
        <v>0</v>
      </c>
      <c r="CN134" s="1808">
        <f>IF($H134&lt;&gt;CR$5,0,IF(CR134&lt;0,IF($J134=1,-$E134*$I134/12*3,IF($J134=2,-$E134*$I134/12*2,IF($J134=3,-$E134*$I134/12*1,0)))))+IF(CM$5&lt;&gt;$H134,0,IF(CM134&lt;0,IF($J134=1,-$E134*$I134/12*0,IF($J134=2,-$E134*$I134/12*1,IF($J134=3,-$E134*$I134/12*2,IF($J134&gt;=4,-$E134*$I134/12*3,0))))))</f>
        <v>0</v>
      </c>
      <c r="CO134" s="1807">
        <f>IF($H134&lt;&gt;CR$5,0,IF(CR134&lt;0,IF(OR($J134=1,$J134=2,$J134=3,$J134=4),-$E134*$I134/12*3,IF($J134=5,-$E134*$I134/12*2,IF($J134=6,-$E134*$I134/12*1,0)))))+IF(CM$5&lt;&gt;$H134,0,IF(CM134&lt;0,IF($J134=4,-$E134*$I134/12*0,IF($J134=5,-$E134*$I134/12*1,IF($J134=6,-$E134*$I134/12*2,IF($J134&gt;=7,-$E134*$I134/12*3,0))))))</f>
        <v>0</v>
      </c>
      <c r="CP134" s="1807">
        <f>IF($H134&lt;&gt;CR$5,0,IF(CR134&lt;0,IF(OR($J134=1,$J134=2,$J134=3,$J134=4,$J134=5,$J134=6,$J134=7),-$E134*$I134/12*3,IF($J134=8,-$E134*$I134/12*2,IF($J134=9,-$E134*$I134/12*1,0)))))+IF(CM$5&lt;&gt;$H134,0,IF(CM134&lt;0,IF($J134=7,-$E134*$I134/12*0,IF($J134=8,-$E134*$I134/12*1,IF($J134=9,-$E134*$I134/12*2,IF($J134&gt;=10,-$E134*$I134/12*3,0))))))</f>
        <v>0</v>
      </c>
      <c r="CQ134" s="1806">
        <f>IF($H134&lt;&gt;CR$5,0,IF(CR134&lt;0,IF(OR($J134=1,$J134=2,$J134=3,$J134=4,$J134=5,$J134=6,$J134=7,$J134=8,$J134=9,$J134=10),-$E134*$I134/12*3,IF($J134=11,-$E134*$I134/12*2,IF($J134=12,-$E134*$I134/12*1,0)))))+IF(CM$5&lt;&gt;$H134,0,IF(CM134&lt;0,IF($J134=10,-$E134*$I134/12*0,IF($J134=11,-$E134*$I134/12*1,IF($J134=12,-$E134*$I134/12*2,0)))))</f>
        <v>0</v>
      </c>
      <c r="CR134" s="1791">
        <f>IF(AND(CM134&lt;&gt;0,CM$5=$H134),-$I134*$E134-CM134,IF(CR$5=$H134,-$I134*$E134*(12-$J134+1)/12,0))</f>
        <v>0</v>
      </c>
      <c r="CS134" s="1808">
        <f>IF($H134&lt;&gt;CW$5,0,IF(CW134&lt;0,IF($J134=1,-$E134*$I134/12*3,IF($J134=2,-$E134*$I134/12*2,IF($J134=3,-$E134*$I134/12*1,0)))))+IF(CR$5&lt;&gt;$H134,0,IF(CR134&lt;0,IF($J134=1,-$E134*$I134/12*0,IF($J134=2,-$E134*$I134/12*1,IF($J134=3,-$E134*$I134/12*2,IF($J134&gt;=4,-$E134*$I134/12*3,0))))))</f>
        <v>0</v>
      </c>
      <c r="CT134" s="1807">
        <f>IF($H134&lt;&gt;CW$5,0,IF(CW134&lt;0,IF(OR($J134=1,$J134=2,$J134=3,$J134=4),-$E134*$I134/12*3,IF($J134=5,-$E134*$I134/12*2,IF($J134=6,-$E134*$I134/12*1,0)))))+IF(CR$5&lt;&gt;$H134,0,IF(CR134&lt;0,IF($J134=4,-$E134*$I134/12*0,IF($J134=5,-$E134*$I134/12*1,IF($J134=6,-$E134*$I134/12*2,IF($J134&gt;=7,-$E134*$I134/12*3,0))))))</f>
        <v>0</v>
      </c>
      <c r="CU134" s="1807">
        <f>IF($H134&lt;&gt;CW$5,0,IF(CW134&lt;0,IF(OR($J134=1,$J134=2,$J134=3,$J134=4,$J134=5,$J134=6,$J134=7),-$E134*$I134/12*3,IF($J134=8,-$E134*$I134/12*2,IF($J134=9,-$E134*$I134/12*1,0)))))+IF(CR$5&lt;&gt;$H134,0,IF(CR134&lt;0,IF($J134=7,-$E134*$I134/12*0,IF($J134=8,-$E134*$I134/12*1,IF($J134=9,-$E134*$I134/12*2,IF($J134&gt;=10,-$E134*$I134/12*3,0))))))</f>
        <v>0</v>
      </c>
      <c r="CV134" s="1806">
        <f>IF($H134&lt;&gt;CW$5,0,IF(CW134&lt;0,IF(OR($J134=1,$J134=2,$J134=3,$J134=4,$J134=5,$J134=6,$J134=7,$J134=8,$J134=9,$J134=10),-$E134*$I134/12*3,IF($J134=11,-$E134*$I134/12*2,IF($J134=12,-$E134*$I134/12*1,0)))))+IF(CR$5&lt;&gt;$H134,0,IF(CR134&lt;0,IF($J134=10,-$E134*$I134/12*0,IF($J134=11,-$E134*$I134/12*1,IF($J134=12,-$E134*$I134/12*2,0)))))</f>
        <v>0</v>
      </c>
      <c r="CW134" s="1791">
        <f>IF(AND(CR134&lt;&gt;0,CR$5=$H134),-$I134*$E134-CR134,IF(CW$5=$H134,-$I134*$E134*(12-$J134+1)/12,0))</f>
        <v>0</v>
      </c>
      <c r="CX134" s="1808">
        <f>IF($H134&lt;&gt;DB$5,0,IF(DB134&lt;0,IF($J134=1,-$E134*$I134/12*3,IF($J134=2,-$E134*$I134/12*2,IF($J134=3,-$E134*$I134/12*1,0)))))+IF(CW$5&lt;&gt;$H134,0,IF(CW134&lt;0,IF($J134=1,-$E134*$I134/12*0,IF($J134=2,-$E134*$I134/12*1,IF($J134=3,-$E134*$I134/12*2,IF($J134&gt;=4,-$E134*$I134/12*3,0))))))</f>
        <v>0</v>
      </c>
      <c r="CY134" s="1807">
        <f>IF($H134&lt;&gt;DB$5,0,IF(DB134&lt;0,IF(OR($J134=1,$J134=2,$J134=3,$J134=4),-$E134*$I134/12*3,IF($J134=5,-$E134*$I134/12*2,IF($J134=6,-$E134*$I134/12*1,0)))))+IF(CW$5&lt;&gt;$H134,0,IF(CW134&lt;0,IF($J134=4,-$E134*$I134/12*0,IF($J134=5,-$E134*$I134/12*1,IF($J134=6,-$E134*$I134/12*2,IF($J134&gt;=7,-$E134*$I134/12*3,0))))))</f>
        <v>0</v>
      </c>
      <c r="CZ134" s="1807">
        <f>IF($H134&lt;&gt;DB$5,0,IF(DB134&lt;0,IF(OR($J134=1,$J134=2,$J134=3,$J134=4,$J134=5,$J134=6,$J134=7),-$E134*$I134/12*3,IF($J134=8,-$E134*$I134/12*2,IF($J134=9,-$E134*$I134/12*1,0)))))+IF(CW$5&lt;&gt;$H134,0,IF(CW134&lt;0,IF($J134=7,-$E134*$I134/12*0,IF($J134=8,-$E134*$I134/12*1,IF($J134=9,-$E134*$I134/12*2,IF($J134&gt;=10,-$E134*$I134/12*3,0))))))</f>
        <v>0</v>
      </c>
      <c r="DA134" s="1806">
        <f>IF($H134&lt;&gt;DB$5,0,IF(DB134&lt;0,IF(OR($J134=1,$J134=2,$J134=3,$J134=4,$J134=5,$J134=6,$J134=7,$J134=8,$J134=9,$J134=10),-$E134*$I134/12*3,IF($J134=11,-$E134*$I134/12*2,IF($J134=12,-$E134*$I134/12*1,0)))))+IF(CW$5&lt;&gt;$H134,0,IF(CW134&lt;0,IF($J134=10,-$E134*$I134/12*0,IF($J134=11,-$E134*$I134/12*1,IF($J134=12,-$E134*$I134/12*2,0)))))</f>
        <v>0</v>
      </c>
      <c r="DB134" s="1791">
        <f>IF(AND(CW134&lt;&gt;0,CW$5=$H134),-$I134*$E134-CW134,IF(DB$5=$H134,-$I134*$E134*(12-$J134+1)/12,0))</f>
        <v>0</v>
      </c>
      <c r="DC134" s="1808">
        <f>IF($H134&lt;&gt;DG$5,0,IF(DG134&lt;0,IF($J134=1,-$E134*$I134/12*3,IF($J134=2,-$E134*$I134/12*2,IF($J134=3,-$E134*$I134/12*1,0)))))+IF(DB$5&lt;&gt;$H134,0,IF(DB134&lt;0,IF($J134=1,-$E134*$I134/12*0,IF($J134=2,-$E134*$I134/12*1,IF($J134=3,-$E134*$I134/12*2,IF($J134&gt;=4,-$E134*$I134/12*3,0))))))</f>
        <v>0</v>
      </c>
      <c r="DD134" s="1807">
        <f>IF($H134&lt;&gt;DG$5,0,IF(DG134&lt;0,IF(OR($J134=1,$J134=2,$J134=3,$J134=4),-$E134*$I134/12*3,IF($J134=5,-$E134*$I134/12*2,IF($J134=6,-$E134*$I134/12*1,0)))))+IF(DB$5&lt;&gt;$H134,0,IF(DB134&lt;0,IF($J134=4,-$E134*$I134/12*0,IF($J134=5,-$E134*$I134/12*1,IF($J134=6,-$E134*$I134/12*2,IF($J134&gt;=7,-$E134*$I134/12*3,0))))))</f>
        <v>0</v>
      </c>
      <c r="DE134" s="1807">
        <f>IF($H134&lt;&gt;DG$5,0,IF(DG134&lt;0,IF(OR($J134=1,$J134=2,$J134=3,$J134=4,$J134=5,$J134=6,$J134=7),-$E134*$I134/12*3,IF($J134=8,-$E134*$I134/12*2,IF($J134=9,-$E134*$I134/12*1,0)))))+IF(DB$5&lt;&gt;$H134,0,IF(DB134&lt;0,IF($J134=7,-$E134*$I134/12*0,IF($J134=8,-$E134*$I134/12*1,IF($J134=9,-$E134*$I134/12*2,IF($J134&gt;=10,-$E134*$I134/12*3,0))))))</f>
        <v>0</v>
      </c>
      <c r="DF134" s="1806">
        <f>IF($H134&lt;&gt;DG$5,0,IF(DG134&lt;0,IF(OR($J134=1,$J134=2,$J134=3,$J134=4,$J134=5,$J134=6,$J134=7,$J134=8,$J134=9,$J134=10),-$E134*$I134/12*3,IF($J134=11,-$E134*$I134/12*2,IF($J134=12,-$E134*$I134/12*1,0)))))+IF(DB$5&lt;&gt;$H134,0,IF(DB134&lt;0,IF($J134=10,-$E134*$I134/12*0,IF($J134=11,-$E134*$I134/12*1,IF($J134=12,-$E134*$I134/12*2,0)))))</f>
        <v>0</v>
      </c>
      <c r="DG134" s="1791">
        <f>IF(AND(DB134&lt;&gt;0,DB$5=$H134),-$I134*$E134-DB134,IF(DG$5=$H134,-$I134*$E134*(12-$J134+1)/12,0))</f>
        <v>0</v>
      </c>
      <c r="DH134" s="1808">
        <f>IF($H134&lt;&gt;DL$5,0,IF(DL134&lt;0,IF($J134=1,-$E134*$I134/12*3,IF($J134=2,-$E134*$I134/12*2,IF($J134=3,-$E134*$I134/12*1,0)))))+IF(DG$5&lt;&gt;$H134,0,IF(DG134&lt;0,IF($J134=1,-$E134*$I134/12*0,IF($J134=2,-$E134*$I134/12*1,IF($J134=3,-$E134*$I134/12*2,IF($J134&gt;=4,-$E134*$I134/12*3,0))))))</f>
        <v>0</v>
      </c>
      <c r="DI134" s="1807">
        <f>IF($H134&lt;&gt;DL$5,0,IF(DL134&lt;0,IF(OR($J134=1,$J134=2,$J134=3,$J134=4),-$E134*$I134/12*3,IF($J134=5,-$E134*$I134/12*2,IF($J134=6,-$E134*$I134/12*1,0)))))+IF(DG$5&lt;&gt;$H134,0,IF(DG134&lt;0,IF($J134=4,-$E134*$I134/12*0,IF($J134=5,-$E134*$I134/12*1,IF($J134=6,-$E134*$I134/12*2,IF($J134&gt;=7,-$E134*$I134/12*3,0))))))</f>
        <v>0</v>
      </c>
      <c r="DJ134" s="1807">
        <f>IF($H134&lt;&gt;DL$5,0,IF(DL134&lt;0,IF(OR($J134=1,$J134=2,$J134=3,$J134=4,$J134=5,$J134=6,$J134=7),-$E134*$I134/12*3,IF($J134=8,-$E134*$I134/12*2,IF($J134=9,-$E134*$I134/12*1,0)))))+IF(DG$5&lt;&gt;$H134,0,IF(DG134&lt;0,IF($J134=7,-$E134*$I134/12*0,IF($J134=8,-$E134*$I134/12*1,IF($J134=9,-$E134*$I134/12*2,IF($J134&gt;=10,-$E134*$I134/12*3,0))))))</f>
        <v>0</v>
      </c>
      <c r="DK134" s="1806">
        <f>IF($H134&lt;&gt;DL$5,0,IF(DL134&lt;0,IF(OR($J134=1,$J134=2,$J134=3,$J134=4,$J134=5,$J134=6,$J134=7,$J134=8,$J134=9,$J134=10),-$E134*$I134/12*3,IF($J134=11,-$E134*$I134/12*2,IF($J134=12,-$E134*$I134/12*1,0)))))+IF(DG$5&lt;&gt;$H134,0,IF(DG134&lt;0,IF($J134=10,-$E134*$I134/12*0,IF($J134=11,-$E134*$I134/12*1,IF($J134=12,-$E134*$I134/12*2,0)))))</f>
        <v>0</v>
      </c>
      <c r="DL134" s="1791">
        <f>IF(AND(DG134&lt;&gt;0,DG$5=$H134),-$I134*$E134-DG134,IF(DL$5=$H134,-$I134*$E134*(12-$J134+1)/12,0))</f>
        <v>0</v>
      </c>
      <c r="DM134" s="1808">
        <f>IF($H134&lt;&gt;DQ$5,0,IF(DQ134&lt;0,IF($J134=1,-$E134*$I134/12*3,IF($J134=2,-$E134*$I134/12*2,IF($J134=3,-$E134*$I134/12*1,0)))))+IF(DL$5&lt;&gt;$H134,0,IF(DL134&lt;0,IF($J134=1,-$E134*$I134/12*0,IF($J134=2,-$E134*$I134/12*1,IF($J134=3,-$E134*$I134/12*2,IF($J134&gt;=4,-$E134*$I134/12*3,0))))))</f>
        <v>0</v>
      </c>
      <c r="DN134" s="1807">
        <f>IF($H134&lt;&gt;DQ$5,0,IF(DQ134&lt;0,IF(OR($J134=1,$J134=2,$J134=3,$J134=4),-$E134*$I134/12*3,IF($J134=5,-$E134*$I134/12*2,IF($J134=6,-$E134*$I134/12*1,0)))))+IF(DL$5&lt;&gt;$H134,0,IF(DL134&lt;0,IF($J134=4,-$E134*$I134/12*0,IF($J134=5,-$E134*$I134/12*1,IF($J134=6,-$E134*$I134/12*2,IF($J134&gt;=7,-$E134*$I134/12*3,0))))))</f>
        <v>0</v>
      </c>
      <c r="DO134" s="1807">
        <f>IF($H134&lt;&gt;DQ$5,0,IF(DQ134&lt;0,IF(OR($J134=1,$J134=2,$J134=3,$J134=4,$J134=5,$J134=6,$J134=7),-$E134*$I134/12*3,IF($J134=8,-$E134*$I134/12*2,IF($J134=9,-$E134*$I134/12*1,0)))))+IF(DL$5&lt;&gt;$H134,0,IF(DL134&lt;0,IF($J134=7,-$E134*$I134/12*0,IF($J134=8,-$E134*$I134/12*1,IF($J134=9,-$E134*$I134/12*2,IF($J134&gt;=10,-$E134*$I134/12*3,0))))))</f>
        <v>0</v>
      </c>
      <c r="DP134" s="1806">
        <f>IF($H134&lt;&gt;DQ$5,0,IF(DQ134&lt;0,IF(OR($J134=1,$J134=2,$J134=3,$J134=4,$J134=5,$J134=6,$J134=7,$J134=8,$J134=9,$J134=10),-$E134*$I134/12*3,IF($J134=11,-$E134*$I134/12*2,IF($J134=12,-$E134*$I134/12*1,0)))))+IF(DL$5&lt;&gt;$H134,0,IF(DL134&lt;0,IF($J134=10,-$E134*$I134/12*0,IF($J134=11,-$E134*$I134/12*1,IF($J134=12,-$E134*$I134/12*2,0)))))</f>
        <v>0</v>
      </c>
      <c r="DQ134" s="1791">
        <f>IF(AND(DL134&lt;&gt;0,DL$5=$H134),-$I134*$E134-DL134,IF(DQ$5=$H134,-$I134*$E134*(12-$J134+1)/12,0))</f>
        <v>0</v>
      </c>
      <c r="DR134" s="1808">
        <f>IF($H134&lt;&gt;DV$5,0,IF(DV134&lt;0,IF($J134=1,-$E134*$I134/12*3,IF($J134=2,-$E134*$I134/12*2,IF($J134=3,-$E134*$I134/12*1,0)))))+IF(DQ$5&lt;&gt;$H134,0,IF(DQ134&lt;0,IF($J134=1,-$E134*$I134/12*0,IF($J134=2,-$E134*$I134/12*1,IF($J134=3,-$E134*$I134/12*2,IF($J134&gt;=4,-$E134*$I134/12*3,0))))))</f>
        <v>0</v>
      </c>
      <c r="DS134" s="1807">
        <f>IF($H134&lt;&gt;DV$5,0,IF(DV134&lt;0,IF(OR($J134=1,$J134=2,$J134=3,$J134=4),-$E134*$I134/12*3,IF($J134=5,-$E134*$I134/12*2,IF($J134=6,-$E134*$I134/12*1,0)))))+IF(DQ$5&lt;&gt;$H134,0,IF(DQ134&lt;0,IF($J134=4,-$E134*$I134/12*0,IF($J134=5,-$E134*$I134/12*1,IF($J134=6,-$E134*$I134/12*2,IF($J134&gt;=7,-$E134*$I134/12*3,0))))))</f>
        <v>0</v>
      </c>
      <c r="DT134" s="1807">
        <f>IF($H134&lt;&gt;DV$5,0,IF(DV134&lt;0,IF(OR($J134=1,$J134=2,$J134=3,$J134=4,$J134=5,$J134=6,$J134=7),-$E134*$I134/12*3,IF($J134=8,-$E134*$I134/12*2,IF($J134=9,-$E134*$I134/12*1,0)))))+IF(DQ$5&lt;&gt;$H134,0,IF(DQ134&lt;0,IF($J134=7,-$E134*$I134/12*0,IF($J134=8,-$E134*$I134/12*1,IF($J134=9,-$E134*$I134/12*2,IF($J134&gt;=10,-$E134*$I134/12*3,0))))))</f>
        <v>0</v>
      </c>
      <c r="DU134" s="1806">
        <f>IF($H134&lt;&gt;DV$5,0,IF(DV134&lt;0,IF(OR($J134=1,$J134=2,$J134=3,$J134=4,$J134=5,$J134=6,$J134=7,$J134=8,$J134=9,$J134=10),-$E134*$I134/12*3,IF($J134=11,-$E134*$I134/12*2,IF($J134=12,-$E134*$I134/12*1,0)))))+IF(DQ$5&lt;&gt;$H134,0,IF(DQ134&lt;0,IF($J134=10,-$E134*$I134/12*0,IF($J134=11,-$E134*$I134/12*1,IF($J134=12,-$E134*$I134/12*2,0)))))</f>
        <v>0</v>
      </c>
      <c r="DV134" s="1791">
        <f>IF(AND(DQ134&lt;&gt;0,DQ$5=$H134),-$I134*$E134-DQ134,IF(DV$5=$H134,-$I134*$E134*(12-$J134+1)/12,0))</f>
        <v>0</v>
      </c>
    </row>
    <row r="135" spans="1:126">
      <c r="A135" s="455"/>
      <c r="B135" s="455"/>
      <c r="C135" s="1364"/>
      <c r="D135" s="94"/>
      <c r="E135" s="455"/>
      <c r="F135" s="1435"/>
      <c r="G135" s="1435"/>
      <c r="H135" s="1597"/>
      <c r="I135" s="1598"/>
      <c r="J135" s="1599"/>
      <c r="K135" s="1792"/>
      <c r="L135" s="1810"/>
      <c r="M135" s="1791"/>
      <c r="N135" s="1808"/>
      <c r="O135" s="1807"/>
      <c r="P135" s="1807"/>
      <c r="Q135" s="1806"/>
      <c r="R135" s="1791"/>
      <c r="S135" s="1808"/>
      <c r="T135" s="1807"/>
      <c r="U135" s="1807"/>
      <c r="V135" s="1806"/>
      <c r="W135" s="1791"/>
      <c r="X135" s="1808"/>
      <c r="Y135" s="1807"/>
      <c r="Z135" s="1807"/>
      <c r="AA135" s="1806"/>
      <c r="AB135" s="1791"/>
      <c r="AC135" s="1808"/>
      <c r="AD135" s="1807"/>
      <c r="AE135" s="1807"/>
      <c r="AF135" s="1806"/>
      <c r="AG135" s="1791"/>
      <c r="AH135" s="1808"/>
      <c r="AI135" s="1807"/>
      <c r="AJ135" s="1807"/>
      <c r="AK135" s="1806"/>
      <c r="AL135" s="1791"/>
      <c r="AM135" s="1808"/>
      <c r="AN135" s="1807"/>
      <c r="AO135" s="1807"/>
      <c r="AP135" s="1806"/>
      <c r="AQ135" s="1791"/>
      <c r="AR135" s="1808"/>
      <c r="AS135" s="1807"/>
      <c r="AT135" s="1807"/>
      <c r="AU135" s="1806"/>
      <c r="AV135" s="1791"/>
      <c r="AW135" s="1808"/>
      <c r="AX135" s="1807"/>
      <c r="AY135" s="1807"/>
      <c r="AZ135" s="1806"/>
      <c r="BA135" s="1791"/>
      <c r="BB135" s="1808"/>
      <c r="BC135" s="1807"/>
      <c r="BD135" s="1807"/>
      <c r="BE135" s="1806"/>
      <c r="BF135" s="1791"/>
      <c r="BG135" s="1808"/>
      <c r="BH135" s="1807"/>
      <c r="BI135" s="1807"/>
      <c r="BJ135" s="1806"/>
      <c r="BK135" s="1791"/>
      <c r="BL135" s="1808"/>
      <c r="BM135" s="1807"/>
      <c r="BN135" s="1807"/>
      <c r="BO135" s="1806"/>
      <c r="BP135" s="1791"/>
      <c r="BQ135" s="1827"/>
      <c r="BR135" s="1791"/>
      <c r="BS135" s="1791"/>
      <c r="BT135" s="1808"/>
      <c r="BU135" s="1807"/>
      <c r="BV135" s="1807"/>
      <c r="BW135" s="1806"/>
      <c r="BX135" s="1791"/>
      <c r="BY135" s="1808"/>
      <c r="BZ135" s="1807"/>
      <c r="CA135" s="1807"/>
      <c r="CB135" s="1806"/>
      <c r="CC135" s="1791"/>
      <c r="CD135" s="1808"/>
      <c r="CE135" s="1807"/>
      <c r="CF135" s="1807"/>
      <c r="CG135" s="1806"/>
      <c r="CH135" s="1791"/>
      <c r="CI135" s="1808"/>
      <c r="CJ135" s="1807"/>
      <c r="CK135" s="1807"/>
      <c r="CL135" s="1806"/>
      <c r="CM135" s="1791"/>
      <c r="CN135" s="1808"/>
      <c r="CO135" s="1807"/>
      <c r="CP135" s="1807"/>
      <c r="CQ135" s="1806"/>
      <c r="CR135" s="1791"/>
      <c r="CS135" s="1808"/>
      <c r="CT135" s="1807"/>
      <c r="CU135" s="1807"/>
      <c r="CV135" s="1806"/>
      <c r="CW135" s="1791"/>
      <c r="CX135" s="1808"/>
      <c r="CY135" s="1807"/>
      <c r="CZ135" s="1807"/>
      <c r="DA135" s="1806"/>
      <c r="DB135" s="1791"/>
      <c r="DC135" s="1808"/>
      <c r="DD135" s="1807"/>
      <c r="DE135" s="1807"/>
      <c r="DF135" s="1806"/>
      <c r="DG135" s="1791"/>
      <c r="DH135" s="1808"/>
      <c r="DI135" s="1807"/>
      <c r="DJ135" s="1807"/>
      <c r="DK135" s="1806"/>
      <c r="DL135" s="1791"/>
      <c r="DM135" s="1808"/>
      <c r="DN135" s="1807"/>
      <c r="DO135" s="1807"/>
      <c r="DP135" s="1806"/>
      <c r="DQ135" s="1791"/>
      <c r="DR135" s="1808"/>
      <c r="DS135" s="1807"/>
      <c r="DT135" s="1807"/>
      <c r="DU135" s="1806"/>
      <c r="DV135" s="1791"/>
    </row>
    <row r="136" spans="1:126">
      <c r="A136" s="455"/>
      <c r="B136" s="455"/>
      <c r="C136" s="1365" t="s">
        <v>165</v>
      </c>
      <c r="D136" s="94"/>
      <c r="E136" s="455"/>
      <c r="F136" s="1435"/>
      <c r="G136" s="1435"/>
      <c r="H136" s="1597"/>
      <c r="I136" s="1598"/>
      <c r="J136" s="1599"/>
      <c r="K136" s="1792"/>
      <c r="L136" s="1810"/>
      <c r="M136" s="1791"/>
      <c r="N136" s="1808"/>
      <c r="O136" s="1807"/>
      <c r="P136" s="1807"/>
      <c r="Q136" s="1806"/>
      <c r="R136" s="1791"/>
      <c r="S136" s="1808"/>
      <c r="T136" s="1807"/>
      <c r="U136" s="1807"/>
      <c r="V136" s="1806"/>
      <c r="W136" s="1791"/>
      <c r="X136" s="1808"/>
      <c r="Y136" s="1807"/>
      <c r="Z136" s="1807"/>
      <c r="AA136" s="1806"/>
      <c r="AB136" s="1791"/>
      <c r="AC136" s="1808"/>
      <c r="AD136" s="1807"/>
      <c r="AE136" s="1807"/>
      <c r="AF136" s="1806"/>
      <c r="AG136" s="1791"/>
      <c r="AH136" s="1808"/>
      <c r="AI136" s="1807"/>
      <c r="AJ136" s="1807"/>
      <c r="AK136" s="1806"/>
      <c r="AL136" s="1791"/>
      <c r="AM136" s="1808"/>
      <c r="AN136" s="1807"/>
      <c r="AO136" s="1807"/>
      <c r="AP136" s="1806"/>
      <c r="AQ136" s="1791"/>
      <c r="AR136" s="1808"/>
      <c r="AS136" s="1807"/>
      <c r="AT136" s="1807"/>
      <c r="AU136" s="1806"/>
      <c r="AV136" s="1791"/>
      <c r="AW136" s="1808"/>
      <c r="AX136" s="1807"/>
      <c r="AY136" s="1807"/>
      <c r="AZ136" s="1806"/>
      <c r="BA136" s="1791"/>
      <c r="BB136" s="1808"/>
      <c r="BC136" s="1807"/>
      <c r="BD136" s="1807"/>
      <c r="BE136" s="1806"/>
      <c r="BF136" s="1791"/>
      <c r="BG136" s="1808"/>
      <c r="BH136" s="1807"/>
      <c r="BI136" s="1807"/>
      <c r="BJ136" s="1806"/>
      <c r="BK136" s="1791"/>
      <c r="BL136" s="1808"/>
      <c r="BM136" s="1807"/>
      <c r="BN136" s="1807"/>
      <c r="BO136" s="1806"/>
      <c r="BP136" s="1791"/>
      <c r="BQ136" s="1827"/>
      <c r="BR136" s="1791"/>
      <c r="BS136" s="1791"/>
      <c r="BT136" s="1808"/>
      <c r="BU136" s="1807"/>
      <c r="BV136" s="1807"/>
      <c r="BW136" s="1806"/>
      <c r="BX136" s="1791"/>
      <c r="BY136" s="1808"/>
      <c r="BZ136" s="1807"/>
      <c r="CA136" s="1807"/>
      <c r="CB136" s="1806"/>
      <c r="CC136" s="1791"/>
      <c r="CD136" s="1808"/>
      <c r="CE136" s="1807"/>
      <c r="CF136" s="1807"/>
      <c r="CG136" s="1806"/>
      <c r="CH136" s="1791"/>
      <c r="CI136" s="1808"/>
      <c r="CJ136" s="1807"/>
      <c r="CK136" s="1807"/>
      <c r="CL136" s="1806"/>
      <c r="CM136" s="1791"/>
      <c r="CN136" s="1808"/>
      <c r="CO136" s="1807"/>
      <c r="CP136" s="1807"/>
      <c r="CQ136" s="1806"/>
      <c r="CR136" s="1791"/>
      <c r="CS136" s="1808"/>
      <c r="CT136" s="1807"/>
      <c r="CU136" s="1807"/>
      <c r="CV136" s="1806"/>
      <c r="CW136" s="1791"/>
      <c r="CX136" s="1808"/>
      <c r="CY136" s="1807"/>
      <c r="CZ136" s="1807"/>
      <c r="DA136" s="1806"/>
      <c r="DB136" s="1791"/>
      <c r="DC136" s="1808"/>
      <c r="DD136" s="1807"/>
      <c r="DE136" s="1807"/>
      <c r="DF136" s="1806"/>
      <c r="DG136" s="1791"/>
      <c r="DH136" s="1808"/>
      <c r="DI136" s="1807"/>
      <c r="DJ136" s="1807"/>
      <c r="DK136" s="1806"/>
      <c r="DL136" s="1791"/>
      <c r="DM136" s="1808"/>
      <c r="DN136" s="1807"/>
      <c r="DO136" s="1807"/>
      <c r="DP136" s="1806"/>
      <c r="DQ136" s="1791"/>
      <c r="DR136" s="1808"/>
      <c r="DS136" s="1807"/>
      <c r="DT136" s="1807"/>
      <c r="DU136" s="1806"/>
      <c r="DV136" s="1791"/>
    </row>
    <row r="137" spans="1:126">
      <c r="A137" s="455"/>
      <c r="B137" s="455"/>
      <c r="C137" s="1596" t="s">
        <v>745</v>
      </c>
      <c r="D137" s="94"/>
      <c r="E137" s="455"/>
      <c r="F137" s="1435"/>
      <c r="G137" s="1435"/>
      <c r="H137" s="1597"/>
      <c r="I137" s="1598"/>
      <c r="J137" s="1599"/>
      <c r="K137" s="1792"/>
      <c r="L137" s="1810">
        <f t="shared" ref="L137:M152" si="1827">IF(L$5=$H137,-$E137,0)</f>
        <v>0</v>
      </c>
      <c r="M137" s="1791">
        <f t="shared" si="1827"/>
        <v>0</v>
      </c>
      <c r="N137" s="1808">
        <f t="shared" ref="N137:N152" si="1828">IF(R137=0,0,IF(R137&lt;0,IF($J137=3,R137,IF($J137=2,R137,IF($J137=1,R137,0)))))</f>
        <v>0</v>
      </c>
      <c r="O137" s="1807">
        <f t="shared" ref="O137:O152" si="1829">IF(R137=0,0,IF(R137&lt;0,IF($J137=6,R137,IF($J137=5,R137,IF($J137=4,R137,0)))))</f>
        <v>0</v>
      </c>
      <c r="P137" s="1807">
        <f t="shared" ref="P137:P152" si="1830">IF(R137=0,0,IF(R137&lt;0,IF($J137=9,R137,IF($J137=8,R137,IF($J137=7,R137,0)))))</f>
        <v>0</v>
      </c>
      <c r="Q137" s="1806">
        <f t="shared" ref="Q137:Q152" si="1831">IF(R137=0,0,IF(R137&lt;0,IF($J137=12,R137,IF($J137=11,R137,IF($J137=10,R137,0)))))</f>
        <v>0</v>
      </c>
      <c r="R137" s="1791">
        <f t="shared" ref="R137:R152" si="1832">IF(R$5=$H137,-$E137,0)</f>
        <v>0</v>
      </c>
      <c r="S137" s="1808">
        <f t="shared" ref="S137:S152" si="1833">IF(W137=0,0,IF(W137&lt;0,IF($J137=3,W137,IF($J137=2,W137,IF($J137=1,W137,0)))))</f>
        <v>0</v>
      </c>
      <c r="T137" s="1807">
        <f t="shared" ref="T137:T152" si="1834">IF(W137=0,0,IF(W137&lt;0,IF($J137=6,W137,IF($J137=5,W137,IF($J137=4,W137,0)))))</f>
        <v>0</v>
      </c>
      <c r="U137" s="1807">
        <f t="shared" ref="U137:U152" si="1835">IF(W137=0,0,IF(W137&lt;0,IF($J137=9,W137,IF($J137=8,W137,IF($J137=7,W137,0)))))</f>
        <v>0</v>
      </c>
      <c r="V137" s="1806">
        <f t="shared" ref="V137:V152" si="1836">IF(W137=0,0,IF(W137&lt;0,IF($J137=12,W137,IF($J137=11,W137,IF($J137=10,W137,0)))))</f>
        <v>0</v>
      </c>
      <c r="W137" s="1791">
        <f t="shared" ref="W137:W152" si="1837">IF(W$5=$H137,-$E137,0)</f>
        <v>0</v>
      </c>
      <c r="X137" s="1808">
        <f t="shared" ref="X137:X152" si="1838">IF(AB137=0,0,IF(AB137&lt;0,IF($J137=3,AB137,IF($J137=2,AB137,IF($J137=1,AB137,0)))))</f>
        <v>0</v>
      </c>
      <c r="Y137" s="1807">
        <f t="shared" ref="Y137:Y152" si="1839">IF(AB137=0,0,IF(AB137&lt;0,IF($J137=6,AB137,IF($J137=5,AB137,IF($J137=4,AB137,0)))))</f>
        <v>0</v>
      </c>
      <c r="Z137" s="1807">
        <f t="shared" ref="Z137:Z152" si="1840">IF(AB137=0,0,IF(AB137&lt;0,IF($J137=9,AB137,IF($J137=8,AB137,IF($J137=7,AB137,0)))))</f>
        <v>0</v>
      </c>
      <c r="AA137" s="1806">
        <f t="shared" ref="AA137:AA152" si="1841">IF(AB137=0,0,IF(AB137&lt;0,IF($J137=12,AB137,IF($J137=11,AB137,IF($J137=10,AB137,0)))))</f>
        <v>0</v>
      </c>
      <c r="AB137" s="1791">
        <f t="shared" ref="AB137:AB152" si="1842">IF(AB$5=$H137,-$E137,0)</f>
        <v>0</v>
      </c>
      <c r="AC137" s="1808">
        <f t="shared" ref="AC137:AC152" si="1843">IF(AG137=0,0,IF(AG137&lt;0,IF($J137=3,AG137,IF($J137=2,AG137,IF($J137=1,AG137,0)))))</f>
        <v>0</v>
      </c>
      <c r="AD137" s="1807">
        <f t="shared" ref="AD137:AD152" si="1844">IF(AG137=0,0,IF(AG137&lt;0,IF($J137=6,AG137,IF($J137=5,AG137,IF($J137=4,AG137,0)))))</f>
        <v>0</v>
      </c>
      <c r="AE137" s="1807">
        <f t="shared" ref="AE137:AE152" si="1845">IF(AG137=0,0,IF(AG137&lt;0,IF($J137=9,AG137,IF($J137=8,AG137,IF($J137=7,AG137,0)))))</f>
        <v>0</v>
      </c>
      <c r="AF137" s="1806">
        <f t="shared" ref="AF137:AF152" si="1846">IF(AG137=0,0,IF(AG137&lt;0,IF($J137=12,AG137,IF($J137=11,AG137,IF($J137=10,AG137,0)))))</f>
        <v>0</v>
      </c>
      <c r="AG137" s="1791">
        <f t="shared" ref="AG137:AG152" si="1847">IF(AG$5=$H137,-$E137,0)</f>
        <v>0</v>
      </c>
      <c r="AH137" s="1808">
        <f t="shared" ref="AH137:AH152" si="1848">IF(AL137=0,0,IF(AL137&lt;0,IF($J137=3,AL137,IF($J137=2,AL137,IF($J137=1,AL137,0)))))</f>
        <v>0</v>
      </c>
      <c r="AI137" s="1807">
        <f t="shared" ref="AI137:AI152" si="1849">IF(AL137=0,0,IF(AL137&lt;0,IF($J137=6,AL137,IF($J137=5,AL137,IF($J137=4,AL137,0)))))</f>
        <v>0</v>
      </c>
      <c r="AJ137" s="1807">
        <f t="shared" ref="AJ137:AJ152" si="1850">IF(AL137=0,0,IF(AL137&lt;0,IF($J137=9,AL137,IF($J137=8,AL137,IF($J137=7,AL137,0)))))</f>
        <v>0</v>
      </c>
      <c r="AK137" s="1806">
        <f t="shared" ref="AK137:AK152" si="1851">IF(AL137=0,0,IF(AL137&lt;0,IF($J137=12,AL137,IF($J137=11,AL137,IF($J137=10,AL137,0)))))</f>
        <v>0</v>
      </c>
      <c r="AL137" s="1791">
        <f t="shared" ref="AL137:AL152" si="1852">IF(AL$5=$H137,-$E137,0)</f>
        <v>0</v>
      </c>
      <c r="AM137" s="1808">
        <f t="shared" ref="AM137:AM152" si="1853">IF(AQ137=0,0,IF(AQ137&lt;0,IF($J137=3,AQ137,IF($J137=2,AQ137,IF($J137=1,AQ137,0)))))</f>
        <v>0</v>
      </c>
      <c r="AN137" s="1807">
        <f t="shared" ref="AN137:AN152" si="1854">IF(AQ137=0,0,IF(AQ137&lt;0,IF($J137=6,AQ137,IF($J137=5,AQ137,IF($J137=4,AQ137,0)))))</f>
        <v>0</v>
      </c>
      <c r="AO137" s="1807">
        <f t="shared" ref="AO137:AO152" si="1855">IF(AQ137=0,0,IF(AQ137&lt;0,IF($J137=9,AQ137,IF($J137=8,AQ137,IF($J137=7,AQ137,0)))))</f>
        <v>0</v>
      </c>
      <c r="AP137" s="1806">
        <f t="shared" ref="AP137:AP152" si="1856">IF(AQ137=0,0,IF(AQ137&lt;0,IF($J137=12,AQ137,IF($J137=11,AQ137,IF($J137=10,AQ137,0)))))</f>
        <v>0</v>
      </c>
      <c r="AQ137" s="1791">
        <f t="shared" ref="AQ137:AQ152" si="1857">IF(AQ$5=$H137,-$E137,0)</f>
        <v>0</v>
      </c>
      <c r="AR137" s="1808">
        <f t="shared" ref="AR137:AR152" si="1858">IF(AV137=0,0,IF(AV137&lt;0,IF($J137=3,AV137,IF($J137=2,AV137,IF($J137=1,AV137,0)))))</f>
        <v>0</v>
      </c>
      <c r="AS137" s="1807">
        <f t="shared" ref="AS137:AS152" si="1859">IF(AV137=0,0,IF(AV137&lt;0,IF($J137=6,AV137,IF($J137=5,AV137,IF($J137=4,AV137,0)))))</f>
        <v>0</v>
      </c>
      <c r="AT137" s="1807">
        <f t="shared" ref="AT137:AT152" si="1860">IF(AV137=0,0,IF(AV137&lt;0,IF($J137=9,AV137,IF($J137=8,AV137,IF($J137=7,AV137,0)))))</f>
        <v>0</v>
      </c>
      <c r="AU137" s="1806">
        <f t="shared" ref="AU137:AU152" si="1861">IF(AV137=0,0,IF(AV137&lt;0,IF($J137=12,AV137,IF($J137=11,AV137,IF($J137=10,AV137,0)))))</f>
        <v>0</v>
      </c>
      <c r="AV137" s="1791">
        <f t="shared" ref="AV137:AV152" si="1862">IF(AV$5=$H137,-$E137,0)</f>
        <v>0</v>
      </c>
      <c r="AW137" s="1808">
        <f t="shared" ref="AW137:AW152" si="1863">IF(BA137=0,0,IF(BA137&lt;0,IF($J137=3,BA137,IF($J137=2,BA137,IF($J137=1,BA137,0)))))</f>
        <v>0</v>
      </c>
      <c r="AX137" s="1807">
        <f t="shared" ref="AX137:AX152" si="1864">IF(BA137=0,0,IF(BA137&lt;0,IF($J137=6,BA137,IF($J137=5,BA137,IF($J137=4,BA137,0)))))</f>
        <v>0</v>
      </c>
      <c r="AY137" s="1807">
        <f t="shared" ref="AY137:AY152" si="1865">IF(BA137=0,0,IF(BA137&lt;0,IF($J137=9,BA137,IF($J137=8,BA137,IF($J137=7,BA137,0)))))</f>
        <v>0</v>
      </c>
      <c r="AZ137" s="1806">
        <f t="shared" ref="AZ137:AZ152" si="1866">IF(BA137=0,0,IF(BA137&lt;0,IF($J137=12,BA137,IF($J137=11,BA137,IF($J137=10,BA137,0)))))</f>
        <v>0</v>
      </c>
      <c r="BA137" s="1791">
        <f t="shared" ref="BA137:BA152" si="1867">IF(BA$5=$H137,-$E137,0)</f>
        <v>0</v>
      </c>
      <c r="BB137" s="1808">
        <f t="shared" ref="BB137:BB152" si="1868">IF(BF137=0,0,IF(BF137&lt;0,IF($J137=3,BF137,IF($J137=2,BF137,IF($J137=1,BF137,0)))))</f>
        <v>0</v>
      </c>
      <c r="BC137" s="1807">
        <f t="shared" ref="BC137:BC152" si="1869">IF(BF137=0,0,IF(BF137&lt;0,IF($J137=6,BF137,IF($J137=5,BF137,IF($J137=4,BF137,0)))))</f>
        <v>0</v>
      </c>
      <c r="BD137" s="1807">
        <f t="shared" ref="BD137:BD152" si="1870">IF(BF137=0,0,IF(BF137&lt;0,IF($J137=9,BF137,IF($J137=8,BF137,IF($J137=7,BF137,0)))))</f>
        <v>0</v>
      </c>
      <c r="BE137" s="1806">
        <f t="shared" ref="BE137:BE152" si="1871">IF(BF137=0,0,IF(BF137&lt;0,IF($J137=12,BF137,IF($J137=11,BF137,IF($J137=10,BF137,0)))))</f>
        <v>0</v>
      </c>
      <c r="BF137" s="1791">
        <f t="shared" ref="BF137:BF152" si="1872">IF(BF$5=$H137,-$E137,0)</f>
        <v>0</v>
      </c>
      <c r="BG137" s="1808">
        <f t="shared" ref="BG137:BG152" si="1873">IF(BK137=0,0,IF(BK137&lt;0,IF($J137=3,BK137,IF($J137=2,BK137,IF($J137=1,BK137,0)))))</f>
        <v>0</v>
      </c>
      <c r="BH137" s="1807">
        <f t="shared" ref="BH137:BH152" si="1874">IF(BK137=0,0,IF(BK137&lt;0,IF($J137=6,BK137,IF($J137=5,BK137,IF($J137=4,BK137,0)))))</f>
        <v>0</v>
      </c>
      <c r="BI137" s="1807">
        <f t="shared" ref="BI137:BI152" si="1875">IF(BK137=0,0,IF(BK137&lt;0,IF($J137=9,BK137,IF($J137=8,BK137,IF($J137=7,BK137,0)))))</f>
        <v>0</v>
      </c>
      <c r="BJ137" s="1806">
        <f t="shared" ref="BJ137:BJ152" si="1876">IF(BK137=0,0,IF(BK137&lt;0,IF($J137=12,BK137,IF($J137=11,BK137,IF($J137=10,BK137,0)))))</f>
        <v>0</v>
      </c>
      <c r="BK137" s="1791">
        <f t="shared" ref="BK137:BK152" si="1877">IF(BK$5=$H137,-$E137,0)</f>
        <v>0</v>
      </c>
      <c r="BL137" s="1808">
        <f t="shared" ref="BL137:BL152" si="1878">IF(BP137=0,0,IF(BP137&lt;0,IF($J137=3,BP137,IF($J137=2,BP137,IF($J137=1,BP137,0)))))</f>
        <v>0</v>
      </c>
      <c r="BM137" s="1807">
        <f t="shared" ref="BM137:BM152" si="1879">IF(BP137=0,0,IF(BP137&lt;0,IF($J137=6,BP137,IF($J137=5,BP137,IF($J137=4,BP137,0)))))</f>
        <v>0</v>
      </c>
      <c r="BN137" s="1807">
        <f t="shared" ref="BN137:BN152" si="1880">IF(BP137=0,0,IF(BP137&lt;0,IF($J137=9,BP137,IF($J137=8,BP137,IF($J137=7,BP137,0)))))</f>
        <v>0</v>
      </c>
      <c r="BO137" s="1806">
        <f t="shared" ref="BO137:BO152" si="1881">IF(BP137=0,0,IF(BP137&lt;0,IF($J137=12,BP137,IF($J137=11,BP137,IF($J137=10,BP137,0)))))</f>
        <v>0</v>
      </c>
      <c r="BP137" s="1791">
        <f t="shared" ref="BP137:BP152" si="1882">IF(BP$5=$H137,-$E137,0)</f>
        <v>0</v>
      </c>
      <c r="BQ137" s="1827"/>
      <c r="BR137" s="1791">
        <f t="shared" ref="BR137:BS152" si="1883">IF(AND(BQ137&lt;&gt;0,BQ$5=$H137),-$I137*$E137-BQ137,IF(BR$5=$H137,-$I137*$E137*(12-$J137+1)/12,0))</f>
        <v>0</v>
      </c>
      <c r="BS137" s="1791">
        <f t="shared" si="1883"/>
        <v>0</v>
      </c>
      <c r="BT137" s="1808">
        <f t="shared" ref="BT137:BT152" si="1884">IF($H137&lt;&gt;BX$5,0,IF(BX137&lt;0,IF($J137=1,-$E137*$I137/12*3,IF($J137=2,-$E137*$I137/12*2,IF($J137=3,-$E137*$I137/12*1,0)))))+IF(BS$5&lt;&gt;$H137,0,IF(BS137&lt;0,IF($J137=1,-$E137*$I137/12*0,IF($J137=2,-$E137*$I137/12*1,IF($J137=3,-$E137*$I137/12*2,IF($J137&gt;=4,-$E137*$I137/12*3,0))))))</f>
        <v>0</v>
      </c>
      <c r="BU137" s="1807">
        <f t="shared" ref="BU137:BU152" si="1885">IF($H137&lt;&gt;BX$5,0,IF(BX137&lt;0,IF(OR($J137=1,$J137=2,$J137=3,$J137=4),-$E137*$I137/12*3,IF($J137=5,-$E137*$I137/12*2,IF($J137=6,-$E137*$I137/12*1,0)))))+IF(BS$5&lt;&gt;$H137,0,IF(BS137&lt;0,IF($J137=4,-$E137*$I137/12*0,IF($J137=5,-$E137*$I137/12*1,IF($J137=6,-$E137*$I137/12*2,IF($J137&gt;=7,-$E137*$I137/12*3,0))))))</f>
        <v>0</v>
      </c>
      <c r="BV137" s="1807">
        <f t="shared" ref="BV137:BV152" si="1886">IF($H137&lt;&gt;BX$5,0,IF(BX137&lt;0,IF(OR($J137=1,$J137=2,$J137=3,$J137=4,$J137=5,$J137=6,$J137=7),-$E137*$I137/12*3,IF($J137=8,-$E137*$I137/12*2,IF($J137=9,-$E137*$I137/12*1,0)))))+IF(BS$5&lt;&gt;$H137,0,IF(BS137&lt;0,IF($J137=7,-$E137*$I137/12*0,IF($J137=8,-$E137*$I137/12*1,IF($J137=9,-$E137*$I137/12*2,IF($J137&gt;=10,-$E137*$I137/12*3,0))))))</f>
        <v>0</v>
      </c>
      <c r="BW137" s="1806">
        <f t="shared" ref="BW137:BW152" si="1887">IF($H137&lt;&gt;BX$5,0,IF(BX137&lt;0,IF(OR($J137=1,$J137=2,$J137=3,$J137=4,$J137=5,$J137=6,$J137=7,$J137=8,$J137=9,$J137=10),-$E137*$I137/12*3,IF($J137=11,-$E137*$I137/12*2,IF($J137=12,-$E137*$I137/12*1,0)))))+IF(BS$5&lt;&gt;$H137,0,IF(BS137&lt;0,IF($J137=10,-$E137*$I137/12*0,IF($J137=11,-$E137*$I137/12*1,IF($J137=12,-$E137*$I137/12*2,0)))))</f>
        <v>0</v>
      </c>
      <c r="BX137" s="1791">
        <f t="shared" ref="BX137:BX152" si="1888">IF(AND(BS137&lt;&gt;0,BS$5=$H137),-$I137*$E137-BS137,IF(BX$5=$H137,-$I137*$E137*(12-$J137+1)/12,0))</f>
        <v>0</v>
      </c>
      <c r="BY137" s="1808">
        <f t="shared" ref="BY137:BY152" si="1889">IF($H137&lt;&gt;CC$5,0,IF(CC137&lt;0,IF($J137=1,-$E137*$I137/12*3,IF($J137=2,-$E137*$I137/12*2,IF($J137=3,-$E137*$I137/12*1,0)))))+IF(BX$5&lt;&gt;$H137,0,IF(BX137&lt;0,IF($J137=1,-$E137*$I137/12*0,IF($J137=2,-$E137*$I137/12*1,IF($J137=3,-$E137*$I137/12*2,IF($J137&gt;=4,-$E137*$I137/12*3,0))))))</f>
        <v>0</v>
      </c>
      <c r="BZ137" s="1807">
        <f t="shared" ref="BZ137:BZ152" si="1890">IF($H137&lt;&gt;CC$5,0,IF(CC137&lt;0,IF(OR($J137=1,$J137=2,$J137=3,$J137=4),-$E137*$I137/12*3,IF($J137=5,-$E137*$I137/12*2,IF($J137=6,-$E137*$I137/12*1,0)))))+IF(BX$5&lt;&gt;$H137,0,IF(BX137&lt;0,IF($J137=4,-$E137*$I137/12*0,IF($J137=5,-$E137*$I137/12*1,IF($J137=6,-$E137*$I137/12*2,IF($J137&gt;=7,-$E137*$I137/12*3,0))))))</f>
        <v>0</v>
      </c>
      <c r="CA137" s="1807">
        <f t="shared" ref="CA137:CA152" si="1891">IF($H137&lt;&gt;CC$5,0,IF(CC137&lt;0,IF(OR($J137=1,$J137=2,$J137=3,$J137=4,$J137=5,$J137=6,$J137=7),-$E137*$I137/12*3,IF($J137=8,-$E137*$I137/12*2,IF($J137=9,-$E137*$I137/12*1,0)))))+IF(BX$5&lt;&gt;$H137,0,IF(BX137&lt;0,IF($J137=7,-$E137*$I137/12*0,IF($J137=8,-$E137*$I137/12*1,IF($J137=9,-$E137*$I137/12*2,IF($J137&gt;=10,-$E137*$I137/12*3,0))))))</f>
        <v>0</v>
      </c>
      <c r="CB137" s="1806">
        <f t="shared" ref="CB137:CB152" si="1892">IF($H137&lt;&gt;CC$5,0,IF(CC137&lt;0,IF(OR($J137=1,$J137=2,$J137=3,$J137=4,$J137=5,$J137=6,$J137=7,$J137=8,$J137=9,$J137=10),-$E137*$I137/12*3,IF($J137=11,-$E137*$I137/12*2,IF($J137=12,-$E137*$I137/12*1,0)))))+IF(BX$5&lt;&gt;$H137,0,IF(BX137&lt;0,IF($J137=10,-$E137*$I137/12*0,IF($J137=11,-$E137*$I137/12*1,IF($J137=12,-$E137*$I137/12*2,0)))))</f>
        <v>0</v>
      </c>
      <c r="CC137" s="1791">
        <f t="shared" ref="CC137:CC152" si="1893">IF(AND(BX137&lt;&gt;0,BX$5=$H137),-$I137*$E137-BX137,IF(CC$5=$H137,-$I137*$E137*(12-$J137+1)/12,0))</f>
        <v>0</v>
      </c>
      <c r="CD137" s="1808">
        <f t="shared" ref="CD137:CD152" si="1894">IF($H137&lt;&gt;CH$5,0,IF(CH137&lt;0,IF($J137=1,-$E137*$I137/12*3,IF($J137=2,-$E137*$I137/12*2,IF($J137=3,-$E137*$I137/12*1,0)))))+IF(CC$5&lt;&gt;$H137,0,IF(CC137&lt;0,IF($J137=1,-$E137*$I137/12*0,IF($J137=2,-$E137*$I137/12*1,IF($J137=3,-$E137*$I137/12*2,IF($J137&gt;=4,-$E137*$I137/12*3,0))))))</f>
        <v>0</v>
      </c>
      <c r="CE137" s="1807">
        <f t="shared" ref="CE137:CE152" si="1895">IF($H137&lt;&gt;CH$5,0,IF(CH137&lt;0,IF(OR($J137=1,$J137=2,$J137=3,$J137=4),-$E137*$I137/12*3,IF($J137=5,-$E137*$I137/12*2,IF($J137=6,-$E137*$I137/12*1,0)))))+IF(CC$5&lt;&gt;$H137,0,IF(CC137&lt;0,IF($J137=4,-$E137*$I137/12*0,IF($J137=5,-$E137*$I137/12*1,IF($J137=6,-$E137*$I137/12*2,IF($J137&gt;=7,-$E137*$I137/12*3,0))))))</f>
        <v>0</v>
      </c>
      <c r="CF137" s="1807">
        <f t="shared" ref="CF137:CF152" si="1896">IF($H137&lt;&gt;CH$5,0,IF(CH137&lt;0,IF(OR($J137=1,$J137=2,$J137=3,$J137=4,$J137=5,$J137=6,$J137=7),-$E137*$I137/12*3,IF($J137=8,-$E137*$I137/12*2,IF($J137=9,-$E137*$I137/12*1,0)))))+IF(CC$5&lt;&gt;$H137,0,IF(CC137&lt;0,IF($J137=7,-$E137*$I137/12*0,IF($J137=8,-$E137*$I137/12*1,IF($J137=9,-$E137*$I137/12*2,IF($J137&gt;=10,-$E137*$I137/12*3,0))))))</f>
        <v>0</v>
      </c>
      <c r="CG137" s="1806">
        <f t="shared" ref="CG137:CG152" si="1897">IF($H137&lt;&gt;CH$5,0,IF(CH137&lt;0,IF(OR($J137=1,$J137=2,$J137=3,$J137=4,$J137=5,$J137=6,$J137=7,$J137=8,$J137=9,$J137=10),-$E137*$I137/12*3,IF($J137=11,-$E137*$I137/12*2,IF($J137=12,-$E137*$I137/12*1,0)))))+IF(CC$5&lt;&gt;$H137,0,IF(CC137&lt;0,IF($J137=10,-$E137*$I137/12*0,IF($J137=11,-$E137*$I137/12*1,IF($J137=12,-$E137*$I137/12*2,0)))))</f>
        <v>0</v>
      </c>
      <c r="CH137" s="1791">
        <f t="shared" ref="CH137:CH152" si="1898">IF(AND(CC137&lt;&gt;0,CC$5=$H137),-$I137*$E137-CC137,IF(CH$5=$H137,-$I137*$E137*(12-$J137+1)/12,0))</f>
        <v>0</v>
      </c>
      <c r="CI137" s="1808">
        <f t="shared" ref="CI137:CI152" si="1899">IF($H137&lt;&gt;CM$5,0,IF(CM137&lt;0,IF($J137=1,-$E137*$I137/12*3,IF($J137=2,-$E137*$I137/12*2,IF($J137=3,-$E137*$I137/12*1,0)))))+IF(CH$5&lt;&gt;$H137,0,IF(CH137&lt;0,IF($J137=1,-$E137*$I137/12*0,IF($J137=2,-$E137*$I137/12*1,IF($J137=3,-$E137*$I137/12*2,IF($J137&gt;=4,-$E137*$I137/12*3,0))))))</f>
        <v>0</v>
      </c>
      <c r="CJ137" s="1807">
        <f t="shared" ref="CJ137:CJ152" si="1900">IF($H137&lt;&gt;CM$5,0,IF(CM137&lt;0,IF(OR($J137=1,$J137=2,$J137=3,$J137=4),-$E137*$I137/12*3,IF($J137=5,-$E137*$I137/12*2,IF($J137=6,-$E137*$I137/12*1,0)))))+IF(CH$5&lt;&gt;$H137,0,IF(CH137&lt;0,IF($J137=4,-$E137*$I137/12*0,IF($J137=5,-$E137*$I137/12*1,IF($J137=6,-$E137*$I137/12*2,IF($J137&gt;=7,-$E137*$I137/12*3,0))))))</f>
        <v>0</v>
      </c>
      <c r="CK137" s="1807">
        <f t="shared" ref="CK137:CK152" si="1901">IF($H137&lt;&gt;CM$5,0,IF(CM137&lt;0,IF(OR($J137=1,$J137=2,$J137=3,$J137=4,$J137=5,$J137=6,$J137=7),-$E137*$I137/12*3,IF($J137=8,-$E137*$I137/12*2,IF($J137=9,-$E137*$I137/12*1,0)))))+IF(CH$5&lt;&gt;$H137,0,IF(CH137&lt;0,IF($J137=7,-$E137*$I137/12*0,IF($J137=8,-$E137*$I137/12*1,IF($J137=9,-$E137*$I137/12*2,IF($J137&gt;=10,-$E137*$I137/12*3,0))))))</f>
        <v>0</v>
      </c>
      <c r="CL137" s="1806">
        <f t="shared" ref="CL137:CL152" si="1902">IF($H137&lt;&gt;CM$5,0,IF(CM137&lt;0,IF(OR($J137=1,$J137=2,$J137=3,$J137=4,$J137=5,$J137=6,$J137=7,$J137=8,$J137=9,$J137=10),-$E137*$I137/12*3,IF($J137=11,-$E137*$I137/12*2,IF($J137=12,-$E137*$I137/12*1,0)))))+IF(CH$5&lt;&gt;$H137,0,IF(CH137&lt;0,IF($J137=10,-$E137*$I137/12*0,IF($J137=11,-$E137*$I137/12*1,IF($J137=12,-$E137*$I137/12*2,0)))))</f>
        <v>0</v>
      </c>
      <c r="CM137" s="1791">
        <f t="shared" ref="CM137:CM152" si="1903">IF(AND(CH137&lt;&gt;0,CH$5=$H137),-$I137*$E137-CH137,IF(CM$5=$H137,-$I137*$E137*(12-$J137+1)/12,0))</f>
        <v>0</v>
      </c>
      <c r="CN137" s="1808">
        <f t="shared" ref="CN137:CN152" si="1904">IF($H137&lt;&gt;CR$5,0,IF(CR137&lt;0,IF($J137=1,-$E137*$I137/12*3,IF($J137=2,-$E137*$I137/12*2,IF($J137=3,-$E137*$I137/12*1,0)))))+IF(CM$5&lt;&gt;$H137,0,IF(CM137&lt;0,IF($J137=1,-$E137*$I137/12*0,IF($J137=2,-$E137*$I137/12*1,IF($J137=3,-$E137*$I137/12*2,IF($J137&gt;=4,-$E137*$I137/12*3,0))))))</f>
        <v>0</v>
      </c>
      <c r="CO137" s="1807">
        <f t="shared" ref="CO137:CO152" si="1905">IF($H137&lt;&gt;CR$5,0,IF(CR137&lt;0,IF(OR($J137=1,$J137=2,$J137=3,$J137=4),-$E137*$I137/12*3,IF($J137=5,-$E137*$I137/12*2,IF($J137=6,-$E137*$I137/12*1,0)))))+IF(CM$5&lt;&gt;$H137,0,IF(CM137&lt;0,IF($J137=4,-$E137*$I137/12*0,IF($J137=5,-$E137*$I137/12*1,IF($J137=6,-$E137*$I137/12*2,IF($J137&gt;=7,-$E137*$I137/12*3,0))))))</f>
        <v>0</v>
      </c>
      <c r="CP137" s="1807">
        <f t="shared" ref="CP137:CP152" si="1906">IF($H137&lt;&gt;CR$5,0,IF(CR137&lt;0,IF(OR($J137=1,$J137=2,$J137=3,$J137=4,$J137=5,$J137=6,$J137=7),-$E137*$I137/12*3,IF($J137=8,-$E137*$I137/12*2,IF($J137=9,-$E137*$I137/12*1,0)))))+IF(CM$5&lt;&gt;$H137,0,IF(CM137&lt;0,IF($J137=7,-$E137*$I137/12*0,IF($J137=8,-$E137*$I137/12*1,IF($J137=9,-$E137*$I137/12*2,IF($J137&gt;=10,-$E137*$I137/12*3,0))))))</f>
        <v>0</v>
      </c>
      <c r="CQ137" s="1806">
        <f t="shared" ref="CQ137:CQ152" si="1907">IF($H137&lt;&gt;CR$5,0,IF(CR137&lt;0,IF(OR($J137=1,$J137=2,$J137=3,$J137=4,$J137=5,$J137=6,$J137=7,$J137=8,$J137=9,$J137=10),-$E137*$I137/12*3,IF($J137=11,-$E137*$I137/12*2,IF($J137=12,-$E137*$I137/12*1,0)))))+IF(CM$5&lt;&gt;$H137,0,IF(CM137&lt;0,IF($J137=10,-$E137*$I137/12*0,IF($J137=11,-$E137*$I137/12*1,IF($J137=12,-$E137*$I137/12*2,0)))))</f>
        <v>0</v>
      </c>
      <c r="CR137" s="1791">
        <f t="shared" ref="CR137:CR152" si="1908">IF(AND(CM137&lt;&gt;0,CM$5=$H137),-$I137*$E137-CM137,IF(CR$5=$H137,-$I137*$E137*(12-$J137+1)/12,0))</f>
        <v>0</v>
      </c>
      <c r="CS137" s="1808">
        <f t="shared" ref="CS137:CS152" si="1909">IF($H137&lt;&gt;CW$5,0,IF(CW137&lt;0,IF($J137=1,-$E137*$I137/12*3,IF($J137=2,-$E137*$I137/12*2,IF($J137=3,-$E137*$I137/12*1,0)))))+IF(CR$5&lt;&gt;$H137,0,IF(CR137&lt;0,IF($J137=1,-$E137*$I137/12*0,IF($J137=2,-$E137*$I137/12*1,IF($J137=3,-$E137*$I137/12*2,IF($J137&gt;=4,-$E137*$I137/12*3,0))))))</f>
        <v>0</v>
      </c>
      <c r="CT137" s="1807">
        <f t="shared" ref="CT137:CT152" si="1910">IF($H137&lt;&gt;CW$5,0,IF(CW137&lt;0,IF(OR($J137=1,$J137=2,$J137=3,$J137=4),-$E137*$I137/12*3,IF($J137=5,-$E137*$I137/12*2,IF($J137=6,-$E137*$I137/12*1,0)))))+IF(CR$5&lt;&gt;$H137,0,IF(CR137&lt;0,IF($J137=4,-$E137*$I137/12*0,IF($J137=5,-$E137*$I137/12*1,IF($J137=6,-$E137*$I137/12*2,IF($J137&gt;=7,-$E137*$I137/12*3,0))))))</f>
        <v>0</v>
      </c>
      <c r="CU137" s="1807">
        <f t="shared" ref="CU137:CU152" si="1911">IF($H137&lt;&gt;CW$5,0,IF(CW137&lt;0,IF(OR($J137=1,$J137=2,$J137=3,$J137=4,$J137=5,$J137=6,$J137=7),-$E137*$I137/12*3,IF($J137=8,-$E137*$I137/12*2,IF($J137=9,-$E137*$I137/12*1,0)))))+IF(CR$5&lt;&gt;$H137,0,IF(CR137&lt;0,IF($J137=7,-$E137*$I137/12*0,IF($J137=8,-$E137*$I137/12*1,IF($J137=9,-$E137*$I137/12*2,IF($J137&gt;=10,-$E137*$I137/12*3,0))))))</f>
        <v>0</v>
      </c>
      <c r="CV137" s="1806">
        <f t="shared" ref="CV137:CV152" si="1912">IF($H137&lt;&gt;CW$5,0,IF(CW137&lt;0,IF(OR($J137=1,$J137=2,$J137=3,$J137=4,$J137=5,$J137=6,$J137=7,$J137=8,$J137=9,$J137=10),-$E137*$I137/12*3,IF($J137=11,-$E137*$I137/12*2,IF($J137=12,-$E137*$I137/12*1,0)))))+IF(CR$5&lt;&gt;$H137,0,IF(CR137&lt;0,IF($J137=10,-$E137*$I137/12*0,IF($J137=11,-$E137*$I137/12*1,IF($J137=12,-$E137*$I137/12*2,0)))))</f>
        <v>0</v>
      </c>
      <c r="CW137" s="1791">
        <f t="shared" ref="CW137:CW152" si="1913">IF(AND(CR137&lt;&gt;0,CR$5=$H137),-$I137*$E137-CR137,IF(CW$5=$H137,-$I137*$E137*(12-$J137+1)/12,0))</f>
        <v>0</v>
      </c>
      <c r="CX137" s="1808">
        <f t="shared" ref="CX137:CX152" si="1914">IF($H137&lt;&gt;DB$5,0,IF(DB137&lt;0,IF($J137=1,-$E137*$I137/12*3,IF($J137=2,-$E137*$I137/12*2,IF($J137=3,-$E137*$I137/12*1,0)))))+IF(CW$5&lt;&gt;$H137,0,IF(CW137&lt;0,IF($J137=1,-$E137*$I137/12*0,IF($J137=2,-$E137*$I137/12*1,IF($J137=3,-$E137*$I137/12*2,IF($J137&gt;=4,-$E137*$I137/12*3,0))))))</f>
        <v>0</v>
      </c>
      <c r="CY137" s="1807">
        <f t="shared" ref="CY137:CY152" si="1915">IF($H137&lt;&gt;DB$5,0,IF(DB137&lt;0,IF(OR($J137=1,$J137=2,$J137=3,$J137=4),-$E137*$I137/12*3,IF($J137=5,-$E137*$I137/12*2,IF($J137=6,-$E137*$I137/12*1,0)))))+IF(CW$5&lt;&gt;$H137,0,IF(CW137&lt;0,IF($J137=4,-$E137*$I137/12*0,IF($J137=5,-$E137*$I137/12*1,IF($J137=6,-$E137*$I137/12*2,IF($J137&gt;=7,-$E137*$I137/12*3,0))))))</f>
        <v>0</v>
      </c>
      <c r="CZ137" s="1807">
        <f t="shared" ref="CZ137:CZ152" si="1916">IF($H137&lt;&gt;DB$5,0,IF(DB137&lt;0,IF(OR($J137=1,$J137=2,$J137=3,$J137=4,$J137=5,$J137=6,$J137=7),-$E137*$I137/12*3,IF($J137=8,-$E137*$I137/12*2,IF($J137=9,-$E137*$I137/12*1,0)))))+IF(CW$5&lt;&gt;$H137,0,IF(CW137&lt;0,IF($J137=7,-$E137*$I137/12*0,IF($J137=8,-$E137*$I137/12*1,IF($J137=9,-$E137*$I137/12*2,IF($J137&gt;=10,-$E137*$I137/12*3,0))))))</f>
        <v>0</v>
      </c>
      <c r="DA137" s="1806">
        <f t="shared" ref="DA137:DA152" si="1917">IF($H137&lt;&gt;DB$5,0,IF(DB137&lt;0,IF(OR($J137=1,$J137=2,$J137=3,$J137=4,$J137=5,$J137=6,$J137=7,$J137=8,$J137=9,$J137=10),-$E137*$I137/12*3,IF($J137=11,-$E137*$I137/12*2,IF($J137=12,-$E137*$I137/12*1,0)))))+IF(CW$5&lt;&gt;$H137,0,IF(CW137&lt;0,IF($J137=10,-$E137*$I137/12*0,IF($J137=11,-$E137*$I137/12*1,IF($J137=12,-$E137*$I137/12*2,0)))))</f>
        <v>0</v>
      </c>
      <c r="DB137" s="1791">
        <f t="shared" ref="DB137:DB152" si="1918">IF(AND(CW137&lt;&gt;0,CW$5=$H137),-$I137*$E137-CW137,IF(DB$5=$H137,-$I137*$E137*(12-$J137+1)/12,0))</f>
        <v>0</v>
      </c>
      <c r="DC137" s="1808">
        <f t="shared" ref="DC137:DC152" si="1919">IF($H137&lt;&gt;DG$5,0,IF(DG137&lt;0,IF($J137=1,-$E137*$I137/12*3,IF($J137=2,-$E137*$I137/12*2,IF($J137=3,-$E137*$I137/12*1,0)))))+IF(DB$5&lt;&gt;$H137,0,IF(DB137&lt;0,IF($J137=1,-$E137*$I137/12*0,IF($J137=2,-$E137*$I137/12*1,IF($J137=3,-$E137*$I137/12*2,IF($J137&gt;=4,-$E137*$I137/12*3,0))))))</f>
        <v>0</v>
      </c>
      <c r="DD137" s="1807">
        <f t="shared" ref="DD137:DD152" si="1920">IF($H137&lt;&gt;DG$5,0,IF(DG137&lt;0,IF(OR($J137=1,$J137=2,$J137=3,$J137=4),-$E137*$I137/12*3,IF($J137=5,-$E137*$I137/12*2,IF($J137=6,-$E137*$I137/12*1,0)))))+IF(DB$5&lt;&gt;$H137,0,IF(DB137&lt;0,IF($J137=4,-$E137*$I137/12*0,IF($J137=5,-$E137*$I137/12*1,IF($J137=6,-$E137*$I137/12*2,IF($J137&gt;=7,-$E137*$I137/12*3,0))))))</f>
        <v>0</v>
      </c>
      <c r="DE137" s="1807">
        <f t="shared" ref="DE137:DE152" si="1921">IF($H137&lt;&gt;DG$5,0,IF(DG137&lt;0,IF(OR($J137=1,$J137=2,$J137=3,$J137=4,$J137=5,$J137=6,$J137=7),-$E137*$I137/12*3,IF($J137=8,-$E137*$I137/12*2,IF($J137=9,-$E137*$I137/12*1,0)))))+IF(DB$5&lt;&gt;$H137,0,IF(DB137&lt;0,IF($J137=7,-$E137*$I137/12*0,IF($J137=8,-$E137*$I137/12*1,IF($J137=9,-$E137*$I137/12*2,IF($J137&gt;=10,-$E137*$I137/12*3,0))))))</f>
        <v>0</v>
      </c>
      <c r="DF137" s="1806">
        <f t="shared" ref="DF137:DF152" si="1922">IF($H137&lt;&gt;DG$5,0,IF(DG137&lt;0,IF(OR($J137=1,$J137=2,$J137=3,$J137=4,$J137=5,$J137=6,$J137=7,$J137=8,$J137=9,$J137=10),-$E137*$I137/12*3,IF($J137=11,-$E137*$I137/12*2,IF($J137=12,-$E137*$I137/12*1,0)))))+IF(DB$5&lt;&gt;$H137,0,IF(DB137&lt;0,IF($J137=10,-$E137*$I137/12*0,IF($J137=11,-$E137*$I137/12*1,IF($J137=12,-$E137*$I137/12*2,0)))))</f>
        <v>0</v>
      </c>
      <c r="DG137" s="1791">
        <f t="shared" ref="DG137:DG152" si="1923">IF(AND(DB137&lt;&gt;0,DB$5=$H137),-$I137*$E137-DB137,IF(DG$5=$H137,-$I137*$E137*(12-$J137+1)/12,0))</f>
        <v>0</v>
      </c>
      <c r="DH137" s="1808">
        <f t="shared" ref="DH137:DH152" si="1924">IF($H137&lt;&gt;DL$5,0,IF(DL137&lt;0,IF($J137=1,-$E137*$I137/12*3,IF($J137=2,-$E137*$I137/12*2,IF($J137=3,-$E137*$I137/12*1,0)))))+IF(DG$5&lt;&gt;$H137,0,IF(DG137&lt;0,IF($J137=1,-$E137*$I137/12*0,IF($J137=2,-$E137*$I137/12*1,IF($J137=3,-$E137*$I137/12*2,IF($J137&gt;=4,-$E137*$I137/12*3,0))))))</f>
        <v>0</v>
      </c>
      <c r="DI137" s="1807">
        <f t="shared" ref="DI137:DI152" si="1925">IF($H137&lt;&gt;DL$5,0,IF(DL137&lt;0,IF(OR($J137=1,$J137=2,$J137=3,$J137=4),-$E137*$I137/12*3,IF($J137=5,-$E137*$I137/12*2,IF($J137=6,-$E137*$I137/12*1,0)))))+IF(DG$5&lt;&gt;$H137,0,IF(DG137&lt;0,IF($J137=4,-$E137*$I137/12*0,IF($J137=5,-$E137*$I137/12*1,IF($J137=6,-$E137*$I137/12*2,IF($J137&gt;=7,-$E137*$I137/12*3,0))))))</f>
        <v>0</v>
      </c>
      <c r="DJ137" s="1807">
        <f t="shared" ref="DJ137:DJ152" si="1926">IF($H137&lt;&gt;DL$5,0,IF(DL137&lt;0,IF(OR($J137=1,$J137=2,$J137=3,$J137=4,$J137=5,$J137=6,$J137=7),-$E137*$I137/12*3,IF($J137=8,-$E137*$I137/12*2,IF($J137=9,-$E137*$I137/12*1,0)))))+IF(DG$5&lt;&gt;$H137,0,IF(DG137&lt;0,IF($J137=7,-$E137*$I137/12*0,IF($J137=8,-$E137*$I137/12*1,IF($J137=9,-$E137*$I137/12*2,IF($J137&gt;=10,-$E137*$I137/12*3,0))))))</f>
        <v>0</v>
      </c>
      <c r="DK137" s="1806">
        <f t="shared" ref="DK137:DK152" si="1927">IF($H137&lt;&gt;DL$5,0,IF(DL137&lt;0,IF(OR($J137=1,$J137=2,$J137=3,$J137=4,$J137=5,$J137=6,$J137=7,$J137=8,$J137=9,$J137=10),-$E137*$I137/12*3,IF($J137=11,-$E137*$I137/12*2,IF($J137=12,-$E137*$I137/12*1,0)))))+IF(DG$5&lt;&gt;$H137,0,IF(DG137&lt;0,IF($J137=10,-$E137*$I137/12*0,IF($J137=11,-$E137*$I137/12*1,IF($J137=12,-$E137*$I137/12*2,0)))))</f>
        <v>0</v>
      </c>
      <c r="DL137" s="1791">
        <f t="shared" ref="DL137:DL152" si="1928">IF(AND(DG137&lt;&gt;0,DG$5=$H137),-$I137*$E137-DG137,IF(DL$5=$H137,-$I137*$E137*(12-$J137+1)/12,0))</f>
        <v>0</v>
      </c>
      <c r="DM137" s="1808">
        <f t="shared" ref="DM137:DM152" si="1929">IF($H137&lt;&gt;DQ$5,0,IF(DQ137&lt;0,IF($J137=1,-$E137*$I137/12*3,IF($J137=2,-$E137*$I137/12*2,IF($J137=3,-$E137*$I137/12*1,0)))))+IF(DL$5&lt;&gt;$H137,0,IF(DL137&lt;0,IF($J137=1,-$E137*$I137/12*0,IF($J137=2,-$E137*$I137/12*1,IF($J137=3,-$E137*$I137/12*2,IF($J137&gt;=4,-$E137*$I137/12*3,0))))))</f>
        <v>0</v>
      </c>
      <c r="DN137" s="1807">
        <f t="shared" ref="DN137:DN152" si="1930">IF($H137&lt;&gt;DQ$5,0,IF(DQ137&lt;0,IF(OR($J137=1,$J137=2,$J137=3,$J137=4),-$E137*$I137/12*3,IF($J137=5,-$E137*$I137/12*2,IF($J137=6,-$E137*$I137/12*1,0)))))+IF(DL$5&lt;&gt;$H137,0,IF(DL137&lt;0,IF($J137=4,-$E137*$I137/12*0,IF($J137=5,-$E137*$I137/12*1,IF($J137=6,-$E137*$I137/12*2,IF($J137&gt;=7,-$E137*$I137/12*3,0))))))</f>
        <v>0</v>
      </c>
      <c r="DO137" s="1807">
        <f t="shared" ref="DO137:DO152" si="1931">IF($H137&lt;&gt;DQ$5,0,IF(DQ137&lt;0,IF(OR($J137=1,$J137=2,$J137=3,$J137=4,$J137=5,$J137=6,$J137=7),-$E137*$I137/12*3,IF($J137=8,-$E137*$I137/12*2,IF($J137=9,-$E137*$I137/12*1,0)))))+IF(DL$5&lt;&gt;$H137,0,IF(DL137&lt;0,IF($J137=7,-$E137*$I137/12*0,IF($J137=8,-$E137*$I137/12*1,IF($J137=9,-$E137*$I137/12*2,IF($J137&gt;=10,-$E137*$I137/12*3,0))))))</f>
        <v>0</v>
      </c>
      <c r="DP137" s="1806">
        <f t="shared" ref="DP137:DP152" si="1932">IF($H137&lt;&gt;DQ$5,0,IF(DQ137&lt;0,IF(OR($J137=1,$J137=2,$J137=3,$J137=4,$J137=5,$J137=6,$J137=7,$J137=8,$J137=9,$J137=10),-$E137*$I137/12*3,IF($J137=11,-$E137*$I137/12*2,IF($J137=12,-$E137*$I137/12*1,0)))))+IF(DL$5&lt;&gt;$H137,0,IF(DL137&lt;0,IF($J137=10,-$E137*$I137/12*0,IF($J137=11,-$E137*$I137/12*1,IF($J137=12,-$E137*$I137/12*2,0)))))</f>
        <v>0</v>
      </c>
      <c r="DQ137" s="1791">
        <f t="shared" ref="DQ137:DQ152" si="1933">IF(AND(DL137&lt;&gt;0,DL$5=$H137),-$I137*$E137-DL137,IF(DQ$5=$H137,-$I137*$E137*(12-$J137+1)/12,0))</f>
        <v>0</v>
      </c>
      <c r="DR137" s="1808">
        <f t="shared" ref="DR137:DR152" si="1934">IF($H137&lt;&gt;DV$5,0,IF(DV137&lt;0,IF($J137=1,-$E137*$I137/12*3,IF($J137=2,-$E137*$I137/12*2,IF($J137=3,-$E137*$I137/12*1,0)))))+IF(DQ$5&lt;&gt;$H137,0,IF(DQ137&lt;0,IF($J137=1,-$E137*$I137/12*0,IF($J137=2,-$E137*$I137/12*1,IF($J137=3,-$E137*$I137/12*2,IF($J137&gt;=4,-$E137*$I137/12*3,0))))))</f>
        <v>0</v>
      </c>
      <c r="DS137" s="1807">
        <f t="shared" ref="DS137:DS152" si="1935">IF($H137&lt;&gt;DV$5,0,IF(DV137&lt;0,IF(OR($J137=1,$J137=2,$J137=3,$J137=4),-$E137*$I137/12*3,IF($J137=5,-$E137*$I137/12*2,IF($J137=6,-$E137*$I137/12*1,0)))))+IF(DQ$5&lt;&gt;$H137,0,IF(DQ137&lt;0,IF($J137=4,-$E137*$I137/12*0,IF($J137=5,-$E137*$I137/12*1,IF($J137=6,-$E137*$I137/12*2,IF($J137&gt;=7,-$E137*$I137/12*3,0))))))</f>
        <v>0</v>
      </c>
      <c r="DT137" s="1807">
        <f t="shared" ref="DT137:DT152" si="1936">IF($H137&lt;&gt;DV$5,0,IF(DV137&lt;0,IF(OR($J137=1,$J137=2,$J137=3,$J137=4,$J137=5,$J137=6,$J137=7),-$E137*$I137/12*3,IF($J137=8,-$E137*$I137/12*2,IF($J137=9,-$E137*$I137/12*1,0)))))+IF(DQ$5&lt;&gt;$H137,0,IF(DQ137&lt;0,IF($J137=7,-$E137*$I137/12*0,IF($J137=8,-$E137*$I137/12*1,IF($J137=9,-$E137*$I137/12*2,IF($J137&gt;=10,-$E137*$I137/12*3,0))))))</f>
        <v>0</v>
      </c>
      <c r="DU137" s="1806">
        <f t="shared" ref="DU137:DU152" si="1937">IF($H137&lt;&gt;DV$5,0,IF(DV137&lt;0,IF(OR($J137=1,$J137=2,$J137=3,$J137=4,$J137=5,$J137=6,$J137=7,$J137=8,$J137=9,$J137=10),-$E137*$I137/12*3,IF($J137=11,-$E137*$I137/12*2,IF($J137=12,-$E137*$I137/12*1,0)))))+IF(DQ$5&lt;&gt;$H137,0,IF(DQ137&lt;0,IF($J137=10,-$E137*$I137/12*0,IF($J137=11,-$E137*$I137/12*1,IF($J137=12,-$E137*$I137/12*2,0)))))</f>
        <v>0</v>
      </c>
      <c r="DV137" s="1791">
        <f t="shared" ref="DV137:DV152" si="1938">IF(AND(DQ137&lt;&gt;0,DQ$5=$H137),-$I137*$E137-DQ137,IF(DV$5=$H137,-$I137*$E137*(12-$J137+1)/12,0))</f>
        <v>0</v>
      </c>
    </row>
    <row r="138" spans="1:126">
      <c r="A138" s="455"/>
      <c r="B138" s="455"/>
      <c r="C138" s="1363" t="s">
        <v>784</v>
      </c>
      <c r="D138" s="94"/>
      <c r="E138" s="1817">
        <f t="shared" ref="E138:E143" si="1939">IF(F138=0,G138,F138)</f>
        <v>500</v>
      </c>
      <c r="F138" s="1435">
        <v>500</v>
      </c>
      <c r="G138" s="1435">
        <v>500</v>
      </c>
      <c r="H138" s="1350">
        <v>2019</v>
      </c>
      <c r="I138" s="1335">
        <v>7.1249999999999994E-2</v>
      </c>
      <c r="J138" s="1343">
        <v>2</v>
      </c>
      <c r="K138" s="1792"/>
      <c r="L138" s="1810">
        <f t="shared" si="1827"/>
        <v>0</v>
      </c>
      <c r="M138" s="1791">
        <f t="shared" si="1827"/>
        <v>0</v>
      </c>
      <c r="N138" s="1808">
        <f t="shared" si="1828"/>
        <v>0</v>
      </c>
      <c r="O138" s="1807">
        <f t="shared" si="1829"/>
        <v>0</v>
      </c>
      <c r="P138" s="1807">
        <f t="shared" si="1830"/>
        <v>0</v>
      </c>
      <c r="Q138" s="1806">
        <f t="shared" si="1831"/>
        <v>0</v>
      </c>
      <c r="R138" s="1791">
        <f t="shared" si="1832"/>
        <v>0</v>
      </c>
      <c r="S138" s="1808">
        <f t="shared" si="1833"/>
        <v>0</v>
      </c>
      <c r="T138" s="1807">
        <f t="shared" si="1834"/>
        <v>0</v>
      </c>
      <c r="U138" s="1807">
        <f t="shared" si="1835"/>
        <v>0</v>
      </c>
      <c r="V138" s="1806">
        <f t="shared" si="1836"/>
        <v>0</v>
      </c>
      <c r="W138" s="1791">
        <f t="shared" si="1837"/>
        <v>0</v>
      </c>
      <c r="X138" s="1808">
        <f t="shared" si="1838"/>
        <v>0</v>
      </c>
      <c r="Y138" s="1807">
        <f t="shared" si="1839"/>
        <v>0</v>
      </c>
      <c r="Z138" s="1807">
        <f t="shared" si="1840"/>
        <v>0</v>
      </c>
      <c r="AA138" s="1806">
        <f t="shared" si="1841"/>
        <v>0</v>
      </c>
      <c r="AB138" s="1791">
        <f t="shared" si="1842"/>
        <v>0</v>
      </c>
      <c r="AC138" s="1808">
        <f t="shared" si="1843"/>
        <v>0</v>
      </c>
      <c r="AD138" s="1807">
        <f t="shared" si="1844"/>
        <v>0</v>
      </c>
      <c r="AE138" s="1807">
        <f t="shared" si="1845"/>
        <v>0</v>
      </c>
      <c r="AF138" s="1806">
        <f t="shared" si="1846"/>
        <v>0</v>
      </c>
      <c r="AG138" s="1791">
        <f t="shared" si="1847"/>
        <v>0</v>
      </c>
      <c r="AH138" s="1808">
        <f t="shared" si="1848"/>
        <v>0</v>
      </c>
      <c r="AI138" s="1807">
        <f t="shared" si="1849"/>
        <v>0</v>
      </c>
      <c r="AJ138" s="1807">
        <f t="shared" si="1850"/>
        <v>0</v>
      </c>
      <c r="AK138" s="1806">
        <f t="shared" si="1851"/>
        <v>0</v>
      </c>
      <c r="AL138" s="1791">
        <f t="shared" si="1852"/>
        <v>0</v>
      </c>
      <c r="AM138" s="1808">
        <f t="shared" si="1853"/>
        <v>0</v>
      </c>
      <c r="AN138" s="1807">
        <f t="shared" si="1854"/>
        <v>0</v>
      </c>
      <c r="AO138" s="1807">
        <f t="shared" si="1855"/>
        <v>0</v>
      </c>
      <c r="AP138" s="1806">
        <f t="shared" si="1856"/>
        <v>0</v>
      </c>
      <c r="AQ138" s="1791">
        <f t="shared" si="1857"/>
        <v>0</v>
      </c>
      <c r="AR138" s="1808">
        <f t="shared" si="1858"/>
        <v>0</v>
      </c>
      <c r="AS138" s="1807">
        <f t="shared" si="1859"/>
        <v>0</v>
      </c>
      <c r="AT138" s="1807">
        <f t="shared" si="1860"/>
        <v>0</v>
      </c>
      <c r="AU138" s="1806">
        <f t="shared" si="1861"/>
        <v>0</v>
      </c>
      <c r="AV138" s="1791">
        <f t="shared" si="1862"/>
        <v>0</v>
      </c>
      <c r="AW138" s="1808">
        <f t="shared" si="1863"/>
        <v>0</v>
      </c>
      <c r="AX138" s="1807">
        <f t="shared" si="1864"/>
        <v>0</v>
      </c>
      <c r="AY138" s="1807">
        <f t="shared" si="1865"/>
        <v>0</v>
      </c>
      <c r="AZ138" s="1806">
        <f t="shared" si="1866"/>
        <v>0</v>
      </c>
      <c r="BA138" s="1791">
        <f t="shared" si="1867"/>
        <v>0</v>
      </c>
      <c r="BB138" s="1808">
        <f t="shared" si="1868"/>
        <v>-500</v>
      </c>
      <c r="BC138" s="1807">
        <f t="shared" si="1869"/>
        <v>0</v>
      </c>
      <c r="BD138" s="1807">
        <f t="shared" si="1870"/>
        <v>0</v>
      </c>
      <c r="BE138" s="1806">
        <f t="shared" si="1871"/>
        <v>0</v>
      </c>
      <c r="BF138" s="1791">
        <f t="shared" si="1872"/>
        <v>-500</v>
      </c>
      <c r="BG138" s="1808">
        <f t="shared" si="1873"/>
        <v>0</v>
      </c>
      <c r="BH138" s="1807">
        <f t="shared" si="1874"/>
        <v>0</v>
      </c>
      <c r="BI138" s="1807">
        <f t="shared" si="1875"/>
        <v>0</v>
      </c>
      <c r="BJ138" s="1806">
        <f t="shared" si="1876"/>
        <v>0</v>
      </c>
      <c r="BK138" s="1791">
        <f t="shared" si="1877"/>
        <v>0</v>
      </c>
      <c r="BL138" s="1808">
        <f t="shared" si="1878"/>
        <v>0</v>
      </c>
      <c r="BM138" s="1807">
        <f t="shared" si="1879"/>
        <v>0</v>
      </c>
      <c r="BN138" s="1807">
        <f t="shared" si="1880"/>
        <v>0</v>
      </c>
      <c r="BO138" s="1806">
        <f t="shared" si="1881"/>
        <v>0</v>
      </c>
      <c r="BP138" s="1791">
        <f t="shared" si="1882"/>
        <v>0</v>
      </c>
      <c r="BQ138" s="1827"/>
      <c r="BR138" s="1791">
        <f t="shared" si="1883"/>
        <v>0</v>
      </c>
      <c r="BS138" s="1791">
        <f t="shared" si="1883"/>
        <v>0</v>
      </c>
      <c r="BT138" s="1808">
        <f t="shared" si="1884"/>
        <v>0</v>
      </c>
      <c r="BU138" s="1807">
        <f t="shared" si="1885"/>
        <v>0</v>
      </c>
      <c r="BV138" s="1807">
        <f t="shared" si="1886"/>
        <v>0</v>
      </c>
      <c r="BW138" s="1806">
        <f t="shared" si="1887"/>
        <v>0</v>
      </c>
      <c r="BX138" s="1791">
        <f t="shared" si="1888"/>
        <v>0</v>
      </c>
      <c r="BY138" s="1808">
        <f t="shared" si="1889"/>
        <v>0</v>
      </c>
      <c r="BZ138" s="1807">
        <f t="shared" si="1890"/>
        <v>0</v>
      </c>
      <c r="CA138" s="1807">
        <f t="shared" si="1891"/>
        <v>0</v>
      </c>
      <c r="CB138" s="1806">
        <f t="shared" si="1892"/>
        <v>0</v>
      </c>
      <c r="CC138" s="1791">
        <f t="shared" si="1893"/>
        <v>0</v>
      </c>
      <c r="CD138" s="1808">
        <f t="shared" si="1894"/>
        <v>0</v>
      </c>
      <c r="CE138" s="1807">
        <f t="shared" si="1895"/>
        <v>0</v>
      </c>
      <c r="CF138" s="1807">
        <f t="shared" si="1896"/>
        <v>0</v>
      </c>
      <c r="CG138" s="1806">
        <f t="shared" si="1897"/>
        <v>0</v>
      </c>
      <c r="CH138" s="1791">
        <f t="shared" si="1898"/>
        <v>0</v>
      </c>
      <c r="CI138" s="1808">
        <f t="shared" si="1899"/>
        <v>0</v>
      </c>
      <c r="CJ138" s="1807">
        <f t="shared" si="1900"/>
        <v>0</v>
      </c>
      <c r="CK138" s="1807">
        <f t="shared" si="1901"/>
        <v>0</v>
      </c>
      <c r="CL138" s="1806">
        <f t="shared" si="1902"/>
        <v>0</v>
      </c>
      <c r="CM138" s="1791">
        <f t="shared" si="1903"/>
        <v>0</v>
      </c>
      <c r="CN138" s="1808">
        <f t="shared" si="1904"/>
        <v>0</v>
      </c>
      <c r="CO138" s="1807">
        <f t="shared" si="1905"/>
        <v>0</v>
      </c>
      <c r="CP138" s="1807">
        <f t="shared" si="1906"/>
        <v>0</v>
      </c>
      <c r="CQ138" s="1806">
        <f t="shared" si="1907"/>
        <v>0</v>
      </c>
      <c r="CR138" s="1791">
        <f t="shared" si="1908"/>
        <v>0</v>
      </c>
      <c r="CS138" s="1808">
        <f t="shared" si="1909"/>
        <v>0</v>
      </c>
      <c r="CT138" s="1807">
        <f t="shared" si="1910"/>
        <v>0</v>
      </c>
      <c r="CU138" s="1807">
        <f t="shared" si="1911"/>
        <v>0</v>
      </c>
      <c r="CV138" s="1806">
        <f t="shared" si="1912"/>
        <v>0</v>
      </c>
      <c r="CW138" s="1791">
        <f t="shared" si="1913"/>
        <v>0</v>
      </c>
      <c r="CX138" s="1808">
        <f t="shared" si="1914"/>
        <v>0</v>
      </c>
      <c r="CY138" s="1807">
        <f t="shared" si="1915"/>
        <v>0</v>
      </c>
      <c r="CZ138" s="1807">
        <f t="shared" si="1916"/>
        <v>0</v>
      </c>
      <c r="DA138" s="1806">
        <f t="shared" si="1917"/>
        <v>0</v>
      </c>
      <c r="DB138" s="1791">
        <f t="shared" si="1918"/>
        <v>0</v>
      </c>
      <c r="DC138" s="1808">
        <f t="shared" si="1919"/>
        <v>0</v>
      </c>
      <c r="DD138" s="1807">
        <f t="shared" si="1920"/>
        <v>0</v>
      </c>
      <c r="DE138" s="1807">
        <f t="shared" si="1921"/>
        <v>0</v>
      </c>
      <c r="DF138" s="1806">
        <f t="shared" si="1922"/>
        <v>0</v>
      </c>
      <c r="DG138" s="1791">
        <f t="shared" si="1923"/>
        <v>0</v>
      </c>
      <c r="DH138" s="1808">
        <f t="shared" si="1924"/>
        <v>-5.9375</v>
      </c>
      <c r="DI138" s="1807">
        <f t="shared" si="1925"/>
        <v>-8.90625</v>
      </c>
      <c r="DJ138" s="1807">
        <f t="shared" si="1926"/>
        <v>-8.90625</v>
      </c>
      <c r="DK138" s="1806">
        <f t="shared" si="1927"/>
        <v>-8.90625</v>
      </c>
      <c r="DL138" s="1791">
        <f t="shared" si="1928"/>
        <v>-32.65625</v>
      </c>
      <c r="DM138" s="1808">
        <f t="shared" si="1929"/>
        <v>-2.96875</v>
      </c>
      <c r="DN138" s="1807">
        <f t="shared" si="1930"/>
        <v>0</v>
      </c>
      <c r="DO138" s="1807">
        <f t="shared" si="1931"/>
        <v>0</v>
      </c>
      <c r="DP138" s="1806">
        <f t="shared" si="1932"/>
        <v>0</v>
      </c>
      <c r="DQ138" s="1791">
        <f t="shared" si="1933"/>
        <v>-2.96875</v>
      </c>
      <c r="DR138" s="1808">
        <f t="shared" si="1934"/>
        <v>0</v>
      </c>
      <c r="DS138" s="1807">
        <f t="shared" si="1935"/>
        <v>0</v>
      </c>
      <c r="DT138" s="1807">
        <f t="shared" si="1936"/>
        <v>0</v>
      </c>
      <c r="DU138" s="1806">
        <f t="shared" si="1937"/>
        <v>0</v>
      </c>
      <c r="DV138" s="1791">
        <f t="shared" si="1938"/>
        <v>0</v>
      </c>
    </row>
    <row r="139" spans="1:126">
      <c r="A139" s="455"/>
      <c r="B139" s="455"/>
      <c r="C139" s="1363" t="s">
        <v>785</v>
      </c>
      <c r="D139" s="94"/>
      <c r="E139" s="1817">
        <f t="shared" si="1939"/>
        <v>75</v>
      </c>
      <c r="F139" s="1435">
        <v>75</v>
      </c>
      <c r="G139" s="1435">
        <v>75</v>
      </c>
      <c r="H139" s="1350">
        <v>2021</v>
      </c>
      <c r="I139" s="1335">
        <v>4.1000000000000002E-2</v>
      </c>
      <c r="J139" s="1343">
        <v>9</v>
      </c>
      <c r="K139" s="1792"/>
      <c r="L139" s="1810">
        <f t="shared" si="1827"/>
        <v>0</v>
      </c>
      <c r="M139" s="1791">
        <f t="shared" si="1827"/>
        <v>0</v>
      </c>
      <c r="N139" s="1808">
        <f t="shared" si="1828"/>
        <v>0</v>
      </c>
      <c r="O139" s="1807">
        <f t="shared" si="1829"/>
        <v>0</v>
      </c>
      <c r="P139" s="1807">
        <f t="shared" si="1830"/>
        <v>0</v>
      </c>
      <c r="Q139" s="1806">
        <f t="shared" si="1831"/>
        <v>0</v>
      </c>
      <c r="R139" s="1791">
        <f t="shared" si="1832"/>
        <v>0</v>
      </c>
      <c r="S139" s="1808">
        <f t="shared" si="1833"/>
        <v>0</v>
      </c>
      <c r="T139" s="1807">
        <f t="shared" si="1834"/>
        <v>0</v>
      </c>
      <c r="U139" s="1807">
        <f t="shared" si="1835"/>
        <v>0</v>
      </c>
      <c r="V139" s="1806">
        <f t="shared" si="1836"/>
        <v>0</v>
      </c>
      <c r="W139" s="1791">
        <f t="shared" si="1837"/>
        <v>0</v>
      </c>
      <c r="X139" s="1808">
        <f t="shared" si="1838"/>
        <v>0</v>
      </c>
      <c r="Y139" s="1807">
        <f t="shared" si="1839"/>
        <v>0</v>
      </c>
      <c r="Z139" s="1807">
        <f t="shared" si="1840"/>
        <v>0</v>
      </c>
      <c r="AA139" s="1806">
        <f t="shared" si="1841"/>
        <v>0</v>
      </c>
      <c r="AB139" s="1791">
        <f t="shared" si="1842"/>
        <v>0</v>
      </c>
      <c r="AC139" s="1808">
        <f t="shared" si="1843"/>
        <v>0</v>
      </c>
      <c r="AD139" s="1807">
        <f t="shared" si="1844"/>
        <v>0</v>
      </c>
      <c r="AE139" s="1807">
        <f t="shared" si="1845"/>
        <v>0</v>
      </c>
      <c r="AF139" s="1806">
        <f t="shared" si="1846"/>
        <v>0</v>
      </c>
      <c r="AG139" s="1791">
        <f t="shared" si="1847"/>
        <v>0</v>
      </c>
      <c r="AH139" s="1808">
        <f t="shared" si="1848"/>
        <v>0</v>
      </c>
      <c r="AI139" s="1807">
        <f t="shared" si="1849"/>
        <v>0</v>
      </c>
      <c r="AJ139" s="1807">
        <f t="shared" si="1850"/>
        <v>0</v>
      </c>
      <c r="AK139" s="1806">
        <f t="shared" si="1851"/>
        <v>0</v>
      </c>
      <c r="AL139" s="1791">
        <f t="shared" si="1852"/>
        <v>0</v>
      </c>
      <c r="AM139" s="1808">
        <f t="shared" si="1853"/>
        <v>0</v>
      </c>
      <c r="AN139" s="1807">
        <f t="shared" si="1854"/>
        <v>0</v>
      </c>
      <c r="AO139" s="1807">
        <f t="shared" si="1855"/>
        <v>0</v>
      </c>
      <c r="AP139" s="1806">
        <f t="shared" si="1856"/>
        <v>0</v>
      </c>
      <c r="AQ139" s="1791">
        <f t="shared" si="1857"/>
        <v>0</v>
      </c>
      <c r="AR139" s="1808">
        <f t="shared" si="1858"/>
        <v>0</v>
      </c>
      <c r="AS139" s="1807">
        <f t="shared" si="1859"/>
        <v>0</v>
      </c>
      <c r="AT139" s="1807">
        <f t="shared" si="1860"/>
        <v>0</v>
      </c>
      <c r="AU139" s="1806">
        <f t="shared" si="1861"/>
        <v>0</v>
      </c>
      <c r="AV139" s="1791">
        <f t="shared" si="1862"/>
        <v>0</v>
      </c>
      <c r="AW139" s="1808">
        <f t="shared" si="1863"/>
        <v>0</v>
      </c>
      <c r="AX139" s="1807">
        <f t="shared" si="1864"/>
        <v>0</v>
      </c>
      <c r="AY139" s="1807">
        <f t="shared" si="1865"/>
        <v>0</v>
      </c>
      <c r="AZ139" s="1806">
        <f t="shared" si="1866"/>
        <v>0</v>
      </c>
      <c r="BA139" s="1791">
        <f t="shared" si="1867"/>
        <v>0</v>
      </c>
      <c r="BB139" s="1808">
        <f t="shared" si="1868"/>
        <v>0</v>
      </c>
      <c r="BC139" s="1807">
        <f t="shared" si="1869"/>
        <v>0</v>
      </c>
      <c r="BD139" s="1807">
        <f t="shared" si="1870"/>
        <v>0</v>
      </c>
      <c r="BE139" s="1806">
        <f t="shared" si="1871"/>
        <v>0</v>
      </c>
      <c r="BF139" s="1791">
        <f t="shared" si="1872"/>
        <v>0</v>
      </c>
      <c r="BG139" s="1808">
        <f t="shared" si="1873"/>
        <v>0</v>
      </c>
      <c r="BH139" s="1807">
        <f t="shared" si="1874"/>
        <v>0</v>
      </c>
      <c r="BI139" s="1807">
        <f t="shared" si="1875"/>
        <v>0</v>
      </c>
      <c r="BJ139" s="1806">
        <f t="shared" si="1876"/>
        <v>0</v>
      </c>
      <c r="BK139" s="1791">
        <f t="shared" si="1877"/>
        <v>0</v>
      </c>
      <c r="BL139" s="1808">
        <f t="shared" si="1878"/>
        <v>0</v>
      </c>
      <c r="BM139" s="1807">
        <f t="shared" si="1879"/>
        <v>0</v>
      </c>
      <c r="BN139" s="1807">
        <f t="shared" si="1880"/>
        <v>-75</v>
      </c>
      <c r="BO139" s="1806">
        <f t="shared" si="1881"/>
        <v>0</v>
      </c>
      <c r="BP139" s="1791">
        <f t="shared" si="1882"/>
        <v>-75</v>
      </c>
      <c r="BQ139" s="1827"/>
      <c r="BR139" s="1791">
        <f t="shared" si="1883"/>
        <v>0</v>
      </c>
      <c r="BS139" s="1791">
        <f t="shared" si="1883"/>
        <v>0</v>
      </c>
      <c r="BT139" s="1808">
        <f t="shared" si="1884"/>
        <v>0</v>
      </c>
      <c r="BU139" s="1807">
        <f t="shared" si="1885"/>
        <v>0</v>
      </c>
      <c r="BV139" s="1807">
        <f t="shared" si="1886"/>
        <v>0</v>
      </c>
      <c r="BW139" s="1806">
        <f t="shared" si="1887"/>
        <v>0</v>
      </c>
      <c r="BX139" s="1791">
        <f t="shared" si="1888"/>
        <v>0</v>
      </c>
      <c r="BY139" s="1808">
        <f t="shared" si="1889"/>
        <v>0</v>
      </c>
      <c r="BZ139" s="1807">
        <f t="shared" si="1890"/>
        <v>0</v>
      </c>
      <c r="CA139" s="1807">
        <f t="shared" si="1891"/>
        <v>0</v>
      </c>
      <c r="CB139" s="1806">
        <f t="shared" si="1892"/>
        <v>0</v>
      </c>
      <c r="CC139" s="1791">
        <f t="shared" si="1893"/>
        <v>0</v>
      </c>
      <c r="CD139" s="1808">
        <f t="shared" si="1894"/>
        <v>0</v>
      </c>
      <c r="CE139" s="1807">
        <f t="shared" si="1895"/>
        <v>0</v>
      </c>
      <c r="CF139" s="1807">
        <f t="shared" si="1896"/>
        <v>0</v>
      </c>
      <c r="CG139" s="1806">
        <f t="shared" si="1897"/>
        <v>0</v>
      </c>
      <c r="CH139" s="1791">
        <f t="shared" si="1898"/>
        <v>0</v>
      </c>
      <c r="CI139" s="1808">
        <f t="shared" si="1899"/>
        <v>0</v>
      </c>
      <c r="CJ139" s="1807">
        <f t="shared" si="1900"/>
        <v>0</v>
      </c>
      <c r="CK139" s="1807">
        <f t="shared" si="1901"/>
        <v>0</v>
      </c>
      <c r="CL139" s="1806">
        <f t="shared" si="1902"/>
        <v>0</v>
      </c>
      <c r="CM139" s="1791">
        <f t="shared" si="1903"/>
        <v>0</v>
      </c>
      <c r="CN139" s="1808">
        <f t="shared" si="1904"/>
        <v>0</v>
      </c>
      <c r="CO139" s="1807">
        <f t="shared" si="1905"/>
        <v>0</v>
      </c>
      <c r="CP139" s="1807">
        <f t="shared" si="1906"/>
        <v>0</v>
      </c>
      <c r="CQ139" s="1806">
        <f t="shared" si="1907"/>
        <v>0</v>
      </c>
      <c r="CR139" s="1791">
        <f t="shared" si="1908"/>
        <v>0</v>
      </c>
      <c r="CS139" s="1808">
        <f t="shared" si="1909"/>
        <v>0</v>
      </c>
      <c r="CT139" s="1807">
        <f t="shared" si="1910"/>
        <v>0</v>
      </c>
      <c r="CU139" s="1807">
        <f t="shared" si="1911"/>
        <v>0</v>
      </c>
      <c r="CV139" s="1806">
        <f t="shared" si="1912"/>
        <v>0</v>
      </c>
      <c r="CW139" s="1791">
        <f t="shared" si="1913"/>
        <v>0</v>
      </c>
      <c r="CX139" s="1808">
        <f t="shared" si="1914"/>
        <v>0</v>
      </c>
      <c r="CY139" s="1807">
        <f t="shared" si="1915"/>
        <v>0</v>
      </c>
      <c r="CZ139" s="1807">
        <f t="shared" si="1916"/>
        <v>0</v>
      </c>
      <c r="DA139" s="1806">
        <f t="shared" si="1917"/>
        <v>0</v>
      </c>
      <c r="DB139" s="1791">
        <f t="shared" si="1918"/>
        <v>0</v>
      </c>
      <c r="DC139" s="1808">
        <f t="shared" si="1919"/>
        <v>0</v>
      </c>
      <c r="DD139" s="1807">
        <f t="shared" si="1920"/>
        <v>0</v>
      </c>
      <c r="DE139" s="1807">
        <f t="shared" si="1921"/>
        <v>0</v>
      </c>
      <c r="DF139" s="1806">
        <f t="shared" si="1922"/>
        <v>0</v>
      </c>
      <c r="DG139" s="1791">
        <f t="shared" si="1923"/>
        <v>0</v>
      </c>
      <c r="DH139" s="1808">
        <f t="shared" si="1924"/>
        <v>0</v>
      </c>
      <c r="DI139" s="1807">
        <f t="shared" si="1925"/>
        <v>0</v>
      </c>
      <c r="DJ139" s="1807">
        <f t="shared" si="1926"/>
        <v>0</v>
      </c>
      <c r="DK139" s="1806">
        <f t="shared" si="1927"/>
        <v>0</v>
      </c>
      <c r="DL139" s="1791">
        <f t="shared" si="1928"/>
        <v>0</v>
      </c>
      <c r="DM139" s="1808">
        <f t="shared" si="1929"/>
        <v>0</v>
      </c>
      <c r="DN139" s="1807">
        <f t="shared" si="1930"/>
        <v>0</v>
      </c>
      <c r="DO139" s="1807">
        <f t="shared" si="1931"/>
        <v>0</v>
      </c>
      <c r="DP139" s="1806">
        <f t="shared" si="1932"/>
        <v>0</v>
      </c>
      <c r="DQ139" s="1791">
        <f t="shared" si="1933"/>
        <v>0</v>
      </c>
      <c r="DR139" s="1808">
        <f t="shared" si="1934"/>
        <v>0</v>
      </c>
      <c r="DS139" s="1807">
        <f t="shared" si="1935"/>
        <v>0</v>
      </c>
      <c r="DT139" s="1807">
        <f t="shared" si="1936"/>
        <v>-0.25625000000000003</v>
      </c>
      <c r="DU139" s="1806">
        <f t="shared" si="1937"/>
        <v>-0.76875000000000004</v>
      </c>
      <c r="DV139" s="1791">
        <f t="shared" si="1938"/>
        <v>-1.0250000000000001</v>
      </c>
    </row>
    <row r="140" spans="1:126">
      <c r="A140" s="455"/>
      <c r="B140" s="455"/>
      <c r="C140" s="1363" t="s">
        <v>218</v>
      </c>
      <c r="D140" s="455"/>
      <c r="E140" s="1817">
        <f t="shared" si="1939"/>
        <v>135</v>
      </c>
      <c r="F140" s="1435">
        <v>135</v>
      </c>
      <c r="G140" s="1435">
        <v>135</v>
      </c>
      <c r="H140" s="1350">
        <v>2064</v>
      </c>
      <c r="I140" s="1335">
        <v>5.6250000000000001E-2</v>
      </c>
      <c r="J140" s="1343">
        <v>6</v>
      </c>
      <c r="K140" s="1792"/>
      <c r="L140" s="1810">
        <f t="shared" si="1827"/>
        <v>0</v>
      </c>
      <c r="M140" s="1791">
        <f t="shared" si="1827"/>
        <v>0</v>
      </c>
      <c r="N140" s="1808">
        <f t="shared" si="1828"/>
        <v>0</v>
      </c>
      <c r="O140" s="1807">
        <f t="shared" si="1829"/>
        <v>0</v>
      </c>
      <c r="P140" s="1807">
        <f t="shared" si="1830"/>
        <v>0</v>
      </c>
      <c r="Q140" s="1806">
        <f t="shared" si="1831"/>
        <v>0</v>
      </c>
      <c r="R140" s="1791">
        <f t="shared" si="1832"/>
        <v>0</v>
      </c>
      <c r="S140" s="1808">
        <f t="shared" si="1833"/>
        <v>0</v>
      </c>
      <c r="T140" s="1807">
        <f t="shared" si="1834"/>
        <v>0</v>
      </c>
      <c r="U140" s="1807">
        <f t="shared" si="1835"/>
        <v>0</v>
      </c>
      <c r="V140" s="1806">
        <f t="shared" si="1836"/>
        <v>0</v>
      </c>
      <c r="W140" s="1791">
        <f t="shared" si="1837"/>
        <v>0</v>
      </c>
      <c r="X140" s="1808">
        <f t="shared" si="1838"/>
        <v>0</v>
      </c>
      <c r="Y140" s="1807">
        <f t="shared" si="1839"/>
        <v>0</v>
      </c>
      <c r="Z140" s="1807">
        <f t="shared" si="1840"/>
        <v>0</v>
      </c>
      <c r="AA140" s="1806">
        <f t="shared" si="1841"/>
        <v>0</v>
      </c>
      <c r="AB140" s="1791">
        <f t="shared" si="1842"/>
        <v>0</v>
      </c>
      <c r="AC140" s="1808">
        <f t="shared" si="1843"/>
        <v>0</v>
      </c>
      <c r="AD140" s="1807">
        <f t="shared" si="1844"/>
        <v>0</v>
      </c>
      <c r="AE140" s="1807">
        <f t="shared" si="1845"/>
        <v>0</v>
      </c>
      <c r="AF140" s="1806">
        <f t="shared" si="1846"/>
        <v>0</v>
      </c>
      <c r="AG140" s="1791">
        <f t="shared" si="1847"/>
        <v>0</v>
      </c>
      <c r="AH140" s="1808">
        <f t="shared" si="1848"/>
        <v>0</v>
      </c>
      <c r="AI140" s="1807">
        <f t="shared" si="1849"/>
        <v>0</v>
      </c>
      <c r="AJ140" s="1807">
        <f t="shared" si="1850"/>
        <v>0</v>
      </c>
      <c r="AK140" s="1806">
        <f t="shared" si="1851"/>
        <v>0</v>
      </c>
      <c r="AL140" s="1791">
        <f t="shared" si="1852"/>
        <v>0</v>
      </c>
      <c r="AM140" s="1808">
        <f t="shared" si="1853"/>
        <v>0</v>
      </c>
      <c r="AN140" s="1807">
        <f t="shared" si="1854"/>
        <v>0</v>
      </c>
      <c r="AO140" s="1807">
        <f t="shared" si="1855"/>
        <v>0</v>
      </c>
      <c r="AP140" s="1806">
        <f t="shared" si="1856"/>
        <v>0</v>
      </c>
      <c r="AQ140" s="1791">
        <f t="shared" si="1857"/>
        <v>0</v>
      </c>
      <c r="AR140" s="1808">
        <f t="shared" si="1858"/>
        <v>0</v>
      </c>
      <c r="AS140" s="1807">
        <f t="shared" si="1859"/>
        <v>0</v>
      </c>
      <c r="AT140" s="1807">
        <f t="shared" si="1860"/>
        <v>0</v>
      </c>
      <c r="AU140" s="1806">
        <f t="shared" si="1861"/>
        <v>0</v>
      </c>
      <c r="AV140" s="1791">
        <f t="shared" si="1862"/>
        <v>0</v>
      </c>
      <c r="AW140" s="1808">
        <f t="shared" si="1863"/>
        <v>0</v>
      </c>
      <c r="AX140" s="1807">
        <f t="shared" si="1864"/>
        <v>0</v>
      </c>
      <c r="AY140" s="1807">
        <f t="shared" si="1865"/>
        <v>0</v>
      </c>
      <c r="AZ140" s="1806">
        <f t="shared" si="1866"/>
        <v>0</v>
      </c>
      <c r="BA140" s="1791">
        <f t="shared" si="1867"/>
        <v>0</v>
      </c>
      <c r="BB140" s="1808">
        <f t="shared" si="1868"/>
        <v>0</v>
      </c>
      <c r="BC140" s="1807">
        <f t="shared" si="1869"/>
        <v>0</v>
      </c>
      <c r="BD140" s="1807">
        <f t="shared" si="1870"/>
        <v>0</v>
      </c>
      <c r="BE140" s="1806">
        <f t="shared" si="1871"/>
        <v>0</v>
      </c>
      <c r="BF140" s="1791">
        <f t="shared" si="1872"/>
        <v>0</v>
      </c>
      <c r="BG140" s="1808">
        <f t="shared" si="1873"/>
        <v>0</v>
      </c>
      <c r="BH140" s="1807">
        <f t="shared" si="1874"/>
        <v>0</v>
      </c>
      <c r="BI140" s="1807">
        <f t="shared" si="1875"/>
        <v>0</v>
      </c>
      <c r="BJ140" s="1806">
        <f t="shared" si="1876"/>
        <v>0</v>
      </c>
      <c r="BK140" s="1791">
        <f t="shared" si="1877"/>
        <v>0</v>
      </c>
      <c r="BL140" s="1808">
        <f t="shared" si="1878"/>
        <v>0</v>
      </c>
      <c r="BM140" s="1807">
        <f t="shared" si="1879"/>
        <v>0</v>
      </c>
      <c r="BN140" s="1807">
        <f t="shared" si="1880"/>
        <v>0</v>
      </c>
      <c r="BO140" s="1806">
        <f t="shared" si="1881"/>
        <v>0</v>
      </c>
      <c r="BP140" s="1791">
        <f t="shared" si="1882"/>
        <v>0</v>
      </c>
      <c r="BQ140" s="1827"/>
      <c r="BR140" s="1791">
        <f t="shared" si="1883"/>
        <v>0</v>
      </c>
      <c r="BS140" s="1791">
        <f t="shared" si="1883"/>
        <v>0</v>
      </c>
      <c r="BT140" s="1808">
        <f t="shared" si="1884"/>
        <v>0</v>
      </c>
      <c r="BU140" s="1807">
        <f t="shared" si="1885"/>
        <v>0</v>
      </c>
      <c r="BV140" s="1807">
        <f t="shared" si="1886"/>
        <v>0</v>
      </c>
      <c r="BW140" s="1806">
        <f t="shared" si="1887"/>
        <v>0</v>
      </c>
      <c r="BX140" s="1791">
        <f t="shared" si="1888"/>
        <v>0</v>
      </c>
      <c r="BY140" s="1808">
        <f t="shared" si="1889"/>
        <v>0</v>
      </c>
      <c r="BZ140" s="1807">
        <f t="shared" si="1890"/>
        <v>0</v>
      </c>
      <c r="CA140" s="1807">
        <f t="shared" si="1891"/>
        <v>0</v>
      </c>
      <c r="CB140" s="1806">
        <f t="shared" si="1892"/>
        <v>0</v>
      </c>
      <c r="CC140" s="1791">
        <f t="shared" si="1893"/>
        <v>0</v>
      </c>
      <c r="CD140" s="1808">
        <f t="shared" si="1894"/>
        <v>0</v>
      </c>
      <c r="CE140" s="1807">
        <f t="shared" si="1895"/>
        <v>0</v>
      </c>
      <c r="CF140" s="1807">
        <f t="shared" si="1896"/>
        <v>0</v>
      </c>
      <c r="CG140" s="1806">
        <f t="shared" si="1897"/>
        <v>0</v>
      </c>
      <c r="CH140" s="1791">
        <f t="shared" si="1898"/>
        <v>0</v>
      </c>
      <c r="CI140" s="1808">
        <f t="shared" si="1899"/>
        <v>0</v>
      </c>
      <c r="CJ140" s="1807">
        <f t="shared" si="1900"/>
        <v>0</v>
      </c>
      <c r="CK140" s="1807">
        <f t="shared" si="1901"/>
        <v>0</v>
      </c>
      <c r="CL140" s="1806">
        <f t="shared" si="1902"/>
        <v>0</v>
      </c>
      <c r="CM140" s="1791">
        <f t="shared" si="1903"/>
        <v>0</v>
      </c>
      <c r="CN140" s="1808">
        <f t="shared" si="1904"/>
        <v>0</v>
      </c>
      <c r="CO140" s="1807">
        <f t="shared" si="1905"/>
        <v>0</v>
      </c>
      <c r="CP140" s="1807">
        <f t="shared" si="1906"/>
        <v>0</v>
      </c>
      <c r="CQ140" s="1806">
        <f t="shared" si="1907"/>
        <v>0</v>
      </c>
      <c r="CR140" s="1791">
        <f t="shared" si="1908"/>
        <v>0</v>
      </c>
      <c r="CS140" s="1808">
        <f t="shared" si="1909"/>
        <v>0</v>
      </c>
      <c r="CT140" s="1807">
        <f t="shared" si="1910"/>
        <v>0</v>
      </c>
      <c r="CU140" s="1807">
        <f t="shared" si="1911"/>
        <v>0</v>
      </c>
      <c r="CV140" s="1806">
        <f t="shared" si="1912"/>
        <v>0</v>
      </c>
      <c r="CW140" s="1791">
        <f t="shared" si="1913"/>
        <v>0</v>
      </c>
      <c r="CX140" s="1808">
        <f t="shared" si="1914"/>
        <v>0</v>
      </c>
      <c r="CY140" s="1807">
        <f t="shared" si="1915"/>
        <v>0</v>
      </c>
      <c r="CZ140" s="1807">
        <f t="shared" si="1916"/>
        <v>0</v>
      </c>
      <c r="DA140" s="1806">
        <f t="shared" si="1917"/>
        <v>0</v>
      </c>
      <c r="DB140" s="1791">
        <f t="shared" si="1918"/>
        <v>0</v>
      </c>
      <c r="DC140" s="1808">
        <f t="shared" si="1919"/>
        <v>0</v>
      </c>
      <c r="DD140" s="1807">
        <f t="shared" si="1920"/>
        <v>0</v>
      </c>
      <c r="DE140" s="1807">
        <f t="shared" si="1921"/>
        <v>0</v>
      </c>
      <c r="DF140" s="1806">
        <f t="shared" si="1922"/>
        <v>0</v>
      </c>
      <c r="DG140" s="1791">
        <f t="shared" si="1923"/>
        <v>0</v>
      </c>
      <c r="DH140" s="1808">
        <f t="shared" si="1924"/>
        <v>0</v>
      </c>
      <c r="DI140" s="1807">
        <f t="shared" si="1925"/>
        <v>0</v>
      </c>
      <c r="DJ140" s="1807">
        <f t="shared" si="1926"/>
        <v>0</v>
      </c>
      <c r="DK140" s="1806">
        <f t="shared" si="1927"/>
        <v>0</v>
      </c>
      <c r="DL140" s="1791">
        <f t="shared" si="1928"/>
        <v>0</v>
      </c>
      <c r="DM140" s="1808">
        <f t="shared" si="1929"/>
        <v>0</v>
      </c>
      <c r="DN140" s="1807">
        <f t="shared" si="1930"/>
        <v>0</v>
      </c>
      <c r="DO140" s="1807">
        <f t="shared" si="1931"/>
        <v>0</v>
      </c>
      <c r="DP140" s="1806">
        <f t="shared" si="1932"/>
        <v>0</v>
      </c>
      <c r="DQ140" s="1791">
        <f t="shared" si="1933"/>
        <v>0</v>
      </c>
      <c r="DR140" s="1808">
        <f t="shared" si="1934"/>
        <v>0</v>
      </c>
      <c r="DS140" s="1807">
        <f t="shared" si="1935"/>
        <v>0</v>
      </c>
      <c r="DT140" s="1807">
        <f t="shared" si="1936"/>
        <v>0</v>
      </c>
      <c r="DU140" s="1806">
        <f t="shared" si="1937"/>
        <v>0</v>
      </c>
      <c r="DV140" s="1791">
        <f t="shared" si="1938"/>
        <v>0</v>
      </c>
    </row>
    <row r="141" spans="1:126">
      <c r="A141" s="455"/>
      <c r="B141" s="455"/>
      <c r="C141" s="1723" t="s">
        <v>1040</v>
      </c>
      <c r="D141" s="94"/>
      <c r="E141" s="1817">
        <f t="shared" si="1939"/>
        <v>150</v>
      </c>
      <c r="F141" s="1435">
        <v>150</v>
      </c>
      <c r="G141" s="1435">
        <v>0</v>
      </c>
      <c r="H141" s="1350">
        <v>2027</v>
      </c>
      <c r="I141" s="1337">
        <v>3.4500000000000003E-2</v>
      </c>
      <c r="J141" s="1343">
        <v>12</v>
      </c>
      <c r="K141" s="1792"/>
      <c r="L141" s="1810">
        <f t="shared" si="1827"/>
        <v>0</v>
      </c>
      <c r="M141" s="1791">
        <f t="shared" si="1827"/>
        <v>0</v>
      </c>
      <c r="N141" s="1808">
        <f t="shared" ref="N141" si="1940">IF(R141=0,0,IF(R141&lt;0,IF($J141=3,R141,IF($J141=2,R141,IF($J141=1,R141,0)))))</f>
        <v>0</v>
      </c>
      <c r="O141" s="1807">
        <f t="shared" ref="O141" si="1941">IF(R141=0,0,IF(R141&lt;0,IF($J141=6,R141,IF($J141=5,R141,IF($J141=4,R141,0)))))</f>
        <v>0</v>
      </c>
      <c r="P141" s="1807">
        <f t="shared" ref="P141" si="1942">IF(R141=0,0,IF(R141&lt;0,IF($J141=9,R141,IF($J141=8,R141,IF($J141=7,R141,0)))))</f>
        <v>0</v>
      </c>
      <c r="Q141" s="1806">
        <f t="shared" ref="Q141" si="1943">IF(R141=0,0,IF(R141&lt;0,IF($J141=12,R141,IF($J141=11,R141,IF($J141=10,R141,0)))))</f>
        <v>0</v>
      </c>
      <c r="R141" s="1791">
        <f t="shared" si="1832"/>
        <v>0</v>
      </c>
      <c r="S141" s="1808">
        <f t="shared" ref="S141" si="1944">IF(W141=0,0,IF(W141&lt;0,IF($J141=3,W141,IF($J141=2,W141,IF($J141=1,W141,0)))))</f>
        <v>0</v>
      </c>
      <c r="T141" s="1807">
        <f t="shared" ref="T141" si="1945">IF(W141=0,0,IF(W141&lt;0,IF($J141=6,W141,IF($J141=5,W141,IF($J141=4,W141,0)))))</f>
        <v>0</v>
      </c>
      <c r="U141" s="1807">
        <f t="shared" ref="U141" si="1946">IF(W141=0,0,IF(W141&lt;0,IF($J141=9,W141,IF($J141=8,W141,IF($J141=7,W141,0)))))</f>
        <v>0</v>
      </c>
      <c r="V141" s="1806">
        <f t="shared" ref="V141" si="1947">IF(W141=0,0,IF(W141&lt;0,IF($J141=12,W141,IF($J141=11,W141,IF($J141=10,W141,0)))))</f>
        <v>0</v>
      </c>
      <c r="W141" s="1791">
        <f t="shared" si="1837"/>
        <v>0</v>
      </c>
      <c r="X141" s="1808">
        <f t="shared" ref="X141" si="1948">IF(AB141=0,0,IF(AB141&lt;0,IF($J141=3,AB141,IF($J141=2,AB141,IF($J141=1,AB141,0)))))</f>
        <v>0</v>
      </c>
      <c r="Y141" s="1807">
        <f t="shared" ref="Y141" si="1949">IF(AB141=0,0,IF(AB141&lt;0,IF($J141=6,AB141,IF($J141=5,AB141,IF($J141=4,AB141,0)))))</f>
        <v>0</v>
      </c>
      <c r="Z141" s="1807">
        <f t="shared" ref="Z141" si="1950">IF(AB141=0,0,IF(AB141&lt;0,IF($J141=9,AB141,IF($J141=8,AB141,IF($J141=7,AB141,0)))))</f>
        <v>0</v>
      </c>
      <c r="AA141" s="1806">
        <f t="shared" ref="AA141" si="1951">IF(AB141=0,0,IF(AB141&lt;0,IF($J141=12,AB141,IF($J141=11,AB141,IF($J141=10,AB141,0)))))</f>
        <v>0</v>
      </c>
      <c r="AB141" s="1791">
        <f t="shared" si="1842"/>
        <v>0</v>
      </c>
      <c r="AC141" s="1808">
        <f t="shared" ref="AC141" si="1952">IF(AG141=0,0,IF(AG141&lt;0,IF($J141=3,AG141,IF($J141=2,AG141,IF($J141=1,AG141,0)))))</f>
        <v>0</v>
      </c>
      <c r="AD141" s="1807">
        <f t="shared" ref="AD141" si="1953">IF(AG141=0,0,IF(AG141&lt;0,IF($J141=6,AG141,IF($J141=5,AG141,IF($J141=4,AG141,0)))))</f>
        <v>0</v>
      </c>
      <c r="AE141" s="1807">
        <f t="shared" ref="AE141" si="1954">IF(AG141=0,0,IF(AG141&lt;0,IF($J141=9,AG141,IF($J141=8,AG141,IF($J141=7,AG141,0)))))</f>
        <v>0</v>
      </c>
      <c r="AF141" s="1806">
        <f t="shared" ref="AF141" si="1955">IF(AG141=0,0,IF(AG141&lt;0,IF($J141=12,AG141,IF($J141=11,AG141,IF($J141=10,AG141,0)))))</f>
        <v>0</v>
      </c>
      <c r="AG141" s="1791">
        <f t="shared" si="1847"/>
        <v>0</v>
      </c>
      <c r="AH141" s="1808">
        <f t="shared" ref="AH141" si="1956">IF(AL141=0,0,IF(AL141&lt;0,IF($J141=3,AL141,IF($J141=2,AL141,IF($J141=1,AL141,0)))))</f>
        <v>0</v>
      </c>
      <c r="AI141" s="1807">
        <f t="shared" ref="AI141" si="1957">IF(AL141=0,0,IF(AL141&lt;0,IF($J141=6,AL141,IF($J141=5,AL141,IF($J141=4,AL141,0)))))</f>
        <v>0</v>
      </c>
      <c r="AJ141" s="1807">
        <f t="shared" ref="AJ141" si="1958">IF(AL141=0,0,IF(AL141&lt;0,IF($J141=9,AL141,IF($J141=8,AL141,IF($J141=7,AL141,0)))))</f>
        <v>0</v>
      </c>
      <c r="AK141" s="1806">
        <f t="shared" ref="AK141" si="1959">IF(AL141=0,0,IF(AL141&lt;0,IF($J141=12,AL141,IF($J141=11,AL141,IF($J141=10,AL141,0)))))</f>
        <v>0</v>
      </c>
      <c r="AL141" s="1791">
        <f t="shared" si="1852"/>
        <v>0</v>
      </c>
      <c r="AM141" s="1808">
        <f t="shared" ref="AM141" si="1960">IF(AQ141=0,0,IF(AQ141&lt;0,IF($J141=3,AQ141,IF($J141=2,AQ141,IF($J141=1,AQ141,0)))))</f>
        <v>0</v>
      </c>
      <c r="AN141" s="1807">
        <f t="shared" ref="AN141" si="1961">IF(AQ141=0,0,IF(AQ141&lt;0,IF($J141=6,AQ141,IF($J141=5,AQ141,IF($J141=4,AQ141,0)))))</f>
        <v>0</v>
      </c>
      <c r="AO141" s="1807">
        <f t="shared" ref="AO141" si="1962">IF(AQ141=0,0,IF(AQ141&lt;0,IF($J141=9,AQ141,IF($J141=8,AQ141,IF($J141=7,AQ141,0)))))</f>
        <v>0</v>
      </c>
      <c r="AP141" s="1806">
        <f t="shared" ref="AP141" si="1963">IF(AQ141=0,0,IF(AQ141&lt;0,IF($J141=12,AQ141,IF($J141=11,AQ141,IF($J141=10,AQ141,0)))))</f>
        <v>0</v>
      </c>
      <c r="AQ141" s="1791">
        <f t="shared" si="1857"/>
        <v>0</v>
      </c>
      <c r="AR141" s="1808">
        <f t="shared" ref="AR141" si="1964">IF(AV141=0,0,IF(AV141&lt;0,IF($J141=3,AV141,IF($J141=2,AV141,IF($J141=1,AV141,0)))))</f>
        <v>0</v>
      </c>
      <c r="AS141" s="1807">
        <f t="shared" ref="AS141" si="1965">IF(AV141=0,0,IF(AV141&lt;0,IF($J141=6,AV141,IF($J141=5,AV141,IF($J141=4,AV141,0)))))</f>
        <v>0</v>
      </c>
      <c r="AT141" s="1807">
        <f t="shared" ref="AT141" si="1966">IF(AV141=0,0,IF(AV141&lt;0,IF($J141=9,AV141,IF($J141=8,AV141,IF($J141=7,AV141,0)))))</f>
        <v>0</v>
      </c>
      <c r="AU141" s="1806">
        <f t="shared" ref="AU141" si="1967">IF(AV141=0,0,IF(AV141&lt;0,IF($J141=12,AV141,IF($J141=11,AV141,IF($J141=10,AV141,0)))))</f>
        <v>0</v>
      </c>
      <c r="AV141" s="1791">
        <f t="shared" si="1862"/>
        <v>0</v>
      </c>
      <c r="AW141" s="1808">
        <f t="shared" ref="AW141" si="1968">IF(BA141=0,0,IF(BA141&lt;0,IF($J141=3,BA141,IF($J141=2,BA141,IF($J141=1,BA141,0)))))</f>
        <v>0</v>
      </c>
      <c r="AX141" s="1807">
        <f t="shared" ref="AX141" si="1969">IF(BA141=0,0,IF(BA141&lt;0,IF($J141=6,BA141,IF($J141=5,BA141,IF($J141=4,BA141,0)))))</f>
        <v>0</v>
      </c>
      <c r="AY141" s="1807">
        <f t="shared" ref="AY141" si="1970">IF(BA141=0,0,IF(BA141&lt;0,IF($J141=9,BA141,IF($J141=8,BA141,IF($J141=7,BA141,0)))))</f>
        <v>0</v>
      </c>
      <c r="AZ141" s="1806">
        <f t="shared" ref="AZ141" si="1971">IF(BA141=0,0,IF(BA141&lt;0,IF($J141=12,BA141,IF($J141=11,BA141,IF($J141=10,BA141,0)))))</f>
        <v>0</v>
      </c>
      <c r="BA141" s="1791">
        <f t="shared" si="1867"/>
        <v>0</v>
      </c>
      <c r="BB141" s="1808">
        <f t="shared" ref="BB141" si="1972">IF(BF141=0,0,IF(BF141&lt;0,IF($J141=3,BF141,IF($J141=2,BF141,IF($J141=1,BF141,0)))))</f>
        <v>0</v>
      </c>
      <c r="BC141" s="1807">
        <f t="shared" ref="BC141" si="1973">IF(BF141=0,0,IF(BF141&lt;0,IF($J141=6,BF141,IF($J141=5,BF141,IF($J141=4,BF141,0)))))</f>
        <v>0</v>
      </c>
      <c r="BD141" s="1807">
        <f t="shared" ref="BD141" si="1974">IF(BF141=0,0,IF(BF141&lt;0,IF($J141=9,BF141,IF($J141=8,BF141,IF($J141=7,BF141,0)))))</f>
        <v>0</v>
      </c>
      <c r="BE141" s="1806">
        <f t="shared" ref="BE141" si="1975">IF(BF141=0,0,IF(BF141&lt;0,IF($J141=12,BF141,IF($J141=11,BF141,IF($J141=10,BF141,0)))))</f>
        <v>0</v>
      </c>
      <c r="BF141" s="1791">
        <f t="shared" si="1872"/>
        <v>0</v>
      </c>
      <c r="BG141" s="1808">
        <f t="shared" ref="BG141" si="1976">IF(BK141=0,0,IF(BK141&lt;0,IF($J141=3,BK141,IF($J141=2,BK141,IF($J141=1,BK141,0)))))</f>
        <v>0</v>
      </c>
      <c r="BH141" s="1807">
        <f t="shared" ref="BH141" si="1977">IF(BK141=0,0,IF(BK141&lt;0,IF($J141=6,BK141,IF($J141=5,BK141,IF($J141=4,BK141,0)))))</f>
        <v>0</v>
      </c>
      <c r="BI141" s="1807">
        <f t="shared" ref="BI141" si="1978">IF(BK141=0,0,IF(BK141&lt;0,IF($J141=9,BK141,IF($J141=8,BK141,IF($J141=7,BK141,0)))))</f>
        <v>0</v>
      </c>
      <c r="BJ141" s="1806">
        <f t="shared" ref="BJ141" si="1979">IF(BK141=0,0,IF(BK141&lt;0,IF($J141=12,BK141,IF($J141=11,BK141,IF($J141=10,BK141,0)))))</f>
        <v>0</v>
      </c>
      <c r="BK141" s="1791">
        <f t="shared" si="1877"/>
        <v>0</v>
      </c>
      <c r="BL141" s="1808">
        <f t="shared" ref="BL141" si="1980">IF(BP141=0,0,IF(BP141&lt;0,IF($J141=3,BP141,IF($J141=2,BP141,IF($J141=1,BP141,0)))))</f>
        <v>0</v>
      </c>
      <c r="BM141" s="1807">
        <f t="shared" ref="BM141" si="1981">IF(BP141=0,0,IF(BP141&lt;0,IF($J141=6,BP141,IF($J141=5,BP141,IF($J141=4,BP141,0)))))</f>
        <v>0</v>
      </c>
      <c r="BN141" s="1807">
        <f t="shared" ref="BN141" si="1982">IF(BP141=0,0,IF(BP141&lt;0,IF($J141=9,BP141,IF($J141=8,BP141,IF($J141=7,BP141,0)))))</f>
        <v>0</v>
      </c>
      <c r="BO141" s="1806">
        <f t="shared" ref="BO141" si="1983">IF(BP141=0,0,IF(BP141&lt;0,IF($J141=12,BP141,IF($J141=11,BP141,IF($J141=10,BP141,0)))))</f>
        <v>0</v>
      </c>
      <c r="BP141" s="1791">
        <f t="shared" si="1882"/>
        <v>0</v>
      </c>
      <c r="BQ141" s="1827"/>
      <c r="BR141" s="1791">
        <f t="shared" ref="BR141" si="1984">IF(AND(BQ141&lt;&gt;0,BQ$5=$H141),-$I141*$E141-BQ141,IF(BR$5=$H141,-$I141*$E141*(12-$J141+1)/12,0))</f>
        <v>0</v>
      </c>
      <c r="BS141" s="1791">
        <f t="shared" ref="BS141" si="1985">IF(AND(BR141&lt;&gt;0,BR$5=$H141),-$I141*$E141-BR141,IF(BS$5=$H141,-$I141*$E141*(12-$J141+1)/12,0))</f>
        <v>0</v>
      </c>
      <c r="BT141" s="1808">
        <f t="shared" ref="BT141" si="1986">IF($H141&lt;&gt;BX$5,0,IF(BX141&lt;0,IF($J141=1,-$E141*$I141/12*3,IF($J141=2,-$E141*$I141/12*2,IF($J141=3,-$E141*$I141/12*1,0)))))+IF(BS$5&lt;&gt;$H141,0,IF(BS141&lt;0,IF($J141=1,-$E141*$I141/12*0,IF($J141=2,-$E141*$I141/12*1,IF($J141=3,-$E141*$I141/12*2,IF($J141&gt;=4,-$E141*$I141/12*3,0))))))</f>
        <v>0</v>
      </c>
      <c r="BU141" s="1807">
        <f t="shared" ref="BU141" si="1987">IF($H141&lt;&gt;BX$5,0,IF(BX141&lt;0,IF(OR($J141=1,$J141=2,$J141=3,$J141=4),-$E141*$I141/12*3,IF($J141=5,-$E141*$I141/12*2,IF($J141=6,-$E141*$I141/12*1,0)))))+IF(BS$5&lt;&gt;$H141,0,IF(BS141&lt;0,IF($J141=4,-$E141*$I141/12*0,IF($J141=5,-$E141*$I141/12*1,IF($J141=6,-$E141*$I141/12*2,IF($J141&gt;=7,-$E141*$I141/12*3,0))))))</f>
        <v>0</v>
      </c>
      <c r="BV141" s="1807">
        <f t="shared" ref="BV141" si="1988">IF($H141&lt;&gt;BX$5,0,IF(BX141&lt;0,IF(OR($J141=1,$J141=2,$J141=3,$J141=4,$J141=5,$J141=6,$J141=7),-$E141*$I141/12*3,IF($J141=8,-$E141*$I141/12*2,IF($J141=9,-$E141*$I141/12*1,0)))))+IF(BS$5&lt;&gt;$H141,0,IF(BS141&lt;0,IF($J141=7,-$E141*$I141/12*0,IF($J141=8,-$E141*$I141/12*1,IF($J141=9,-$E141*$I141/12*2,IF($J141&gt;=10,-$E141*$I141/12*3,0))))))</f>
        <v>0</v>
      </c>
      <c r="BW141" s="1806">
        <f t="shared" ref="BW141" si="1989">IF($H141&lt;&gt;BX$5,0,IF(BX141&lt;0,IF(OR($J141=1,$J141=2,$J141=3,$J141=4,$J141=5,$J141=6,$J141=7,$J141=8,$J141=9,$J141=10),-$E141*$I141/12*3,IF($J141=11,-$E141*$I141/12*2,IF($J141=12,-$E141*$I141/12*1,0)))))+IF(BS$5&lt;&gt;$H141,0,IF(BS141&lt;0,IF($J141=10,-$E141*$I141/12*0,IF($J141=11,-$E141*$I141/12*1,IF($J141=12,-$E141*$I141/12*2,0)))))</f>
        <v>0</v>
      </c>
      <c r="BX141" s="1791">
        <f t="shared" ref="BX141" si="1990">IF(AND(BS141&lt;&gt;0,BS$5=$H141),-$I141*$E141-BS141,IF(BX$5=$H141,-$I141*$E141*(12-$J141+1)/12,0))</f>
        <v>0</v>
      </c>
      <c r="BY141" s="1808">
        <f t="shared" ref="BY141" si="1991">IF($H141&lt;&gt;CC$5,0,IF(CC141&lt;0,IF($J141=1,-$E141*$I141/12*3,IF($J141=2,-$E141*$I141/12*2,IF($J141=3,-$E141*$I141/12*1,0)))))+IF(BX$5&lt;&gt;$H141,0,IF(BX141&lt;0,IF($J141=1,-$E141*$I141/12*0,IF($J141=2,-$E141*$I141/12*1,IF($J141=3,-$E141*$I141/12*2,IF($J141&gt;=4,-$E141*$I141/12*3,0))))))</f>
        <v>0</v>
      </c>
      <c r="BZ141" s="1807">
        <f t="shared" ref="BZ141" si="1992">IF($H141&lt;&gt;CC$5,0,IF(CC141&lt;0,IF(OR($J141=1,$J141=2,$J141=3,$J141=4),-$E141*$I141/12*3,IF($J141=5,-$E141*$I141/12*2,IF($J141=6,-$E141*$I141/12*1,0)))))+IF(BX$5&lt;&gt;$H141,0,IF(BX141&lt;0,IF($J141=4,-$E141*$I141/12*0,IF($J141=5,-$E141*$I141/12*1,IF($J141=6,-$E141*$I141/12*2,IF($J141&gt;=7,-$E141*$I141/12*3,0))))))</f>
        <v>0</v>
      </c>
      <c r="CA141" s="1807">
        <f t="shared" ref="CA141" si="1993">IF($H141&lt;&gt;CC$5,0,IF(CC141&lt;0,IF(OR($J141=1,$J141=2,$J141=3,$J141=4,$J141=5,$J141=6,$J141=7),-$E141*$I141/12*3,IF($J141=8,-$E141*$I141/12*2,IF($J141=9,-$E141*$I141/12*1,0)))))+IF(BX$5&lt;&gt;$H141,0,IF(BX141&lt;0,IF($J141=7,-$E141*$I141/12*0,IF($J141=8,-$E141*$I141/12*1,IF($J141=9,-$E141*$I141/12*2,IF($J141&gt;=10,-$E141*$I141/12*3,0))))))</f>
        <v>0</v>
      </c>
      <c r="CB141" s="1806">
        <f t="shared" ref="CB141" si="1994">IF($H141&lt;&gt;CC$5,0,IF(CC141&lt;0,IF(OR($J141=1,$J141=2,$J141=3,$J141=4,$J141=5,$J141=6,$J141=7,$J141=8,$J141=9,$J141=10),-$E141*$I141/12*3,IF($J141=11,-$E141*$I141/12*2,IF($J141=12,-$E141*$I141/12*1,0)))))+IF(BX$5&lt;&gt;$H141,0,IF(BX141&lt;0,IF($J141=10,-$E141*$I141/12*0,IF($J141=11,-$E141*$I141/12*1,IF($J141=12,-$E141*$I141/12*2,0)))))</f>
        <v>0</v>
      </c>
      <c r="CC141" s="1791">
        <f t="shared" ref="CC141" si="1995">IF(AND(BX141&lt;&gt;0,BX$5=$H141),-$I141*$E141-BX141,IF(CC$5=$H141,-$I141*$E141*(12-$J141+1)/12,0))</f>
        <v>0</v>
      </c>
      <c r="CD141" s="1808">
        <f t="shared" ref="CD141" si="1996">IF($H141&lt;&gt;CH$5,0,IF(CH141&lt;0,IF($J141=1,-$E141*$I141/12*3,IF($J141=2,-$E141*$I141/12*2,IF($J141=3,-$E141*$I141/12*1,0)))))+IF(CC$5&lt;&gt;$H141,0,IF(CC141&lt;0,IF($J141=1,-$E141*$I141/12*0,IF($J141=2,-$E141*$I141/12*1,IF($J141=3,-$E141*$I141/12*2,IF($J141&gt;=4,-$E141*$I141/12*3,0))))))</f>
        <v>0</v>
      </c>
      <c r="CE141" s="1807">
        <f t="shared" ref="CE141" si="1997">IF($H141&lt;&gt;CH$5,0,IF(CH141&lt;0,IF(OR($J141=1,$J141=2,$J141=3,$J141=4),-$E141*$I141/12*3,IF($J141=5,-$E141*$I141/12*2,IF($J141=6,-$E141*$I141/12*1,0)))))+IF(CC$5&lt;&gt;$H141,0,IF(CC141&lt;0,IF($J141=4,-$E141*$I141/12*0,IF($J141=5,-$E141*$I141/12*1,IF($J141=6,-$E141*$I141/12*2,IF($J141&gt;=7,-$E141*$I141/12*3,0))))))</f>
        <v>0</v>
      </c>
      <c r="CF141" s="1807">
        <f t="shared" ref="CF141" si="1998">IF($H141&lt;&gt;CH$5,0,IF(CH141&lt;0,IF(OR($J141=1,$J141=2,$J141=3,$J141=4,$J141=5,$J141=6,$J141=7),-$E141*$I141/12*3,IF($J141=8,-$E141*$I141/12*2,IF($J141=9,-$E141*$I141/12*1,0)))))+IF(CC$5&lt;&gt;$H141,0,IF(CC141&lt;0,IF($J141=7,-$E141*$I141/12*0,IF($J141=8,-$E141*$I141/12*1,IF($J141=9,-$E141*$I141/12*2,IF($J141&gt;=10,-$E141*$I141/12*3,0))))))</f>
        <v>0</v>
      </c>
      <c r="CG141" s="1806">
        <f t="shared" ref="CG141" si="1999">IF($H141&lt;&gt;CH$5,0,IF(CH141&lt;0,IF(OR($J141=1,$J141=2,$J141=3,$J141=4,$J141=5,$J141=6,$J141=7,$J141=8,$J141=9,$J141=10),-$E141*$I141/12*3,IF($J141=11,-$E141*$I141/12*2,IF($J141=12,-$E141*$I141/12*1,0)))))+IF(CC$5&lt;&gt;$H141,0,IF(CC141&lt;0,IF($J141=10,-$E141*$I141/12*0,IF($J141=11,-$E141*$I141/12*1,IF($J141=12,-$E141*$I141/12*2,0)))))</f>
        <v>0</v>
      </c>
      <c r="CH141" s="1791">
        <f t="shared" ref="CH141" si="2000">IF(AND(CC141&lt;&gt;0,CC$5=$H141),-$I141*$E141-CC141,IF(CH$5=$H141,-$I141*$E141*(12-$J141+1)/12,0))</f>
        <v>0</v>
      </c>
      <c r="CI141" s="1808">
        <f t="shared" ref="CI141" si="2001">IF($H141&lt;&gt;CM$5,0,IF(CM141&lt;0,IF($J141=1,-$E141*$I141/12*3,IF($J141=2,-$E141*$I141/12*2,IF($J141=3,-$E141*$I141/12*1,0)))))+IF(CH$5&lt;&gt;$H141,0,IF(CH141&lt;0,IF($J141=1,-$E141*$I141/12*0,IF($J141=2,-$E141*$I141/12*1,IF($J141=3,-$E141*$I141/12*2,IF($J141&gt;=4,-$E141*$I141/12*3,0))))))</f>
        <v>0</v>
      </c>
      <c r="CJ141" s="1807">
        <f t="shared" ref="CJ141" si="2002">IF($H141&lt;&gt;CM$5,0,IF(CM141&lt;0,IF(OR($J141=1,$J141=2,$J141=3,$J141=4),-$E141*$I141/12*3,IF($J141=5,-$E141*$I141/12*2,IF($J141=6,-$E141*$I141/12*1,0)))))+IF(CH$5&lt;&gt;$H141,0,IF(CH141&lt;0,IF($J141=4,-$E141*$I141/12*0,IF($J141=5,-$E141*$I141/12*1,IF($J141=6,-$E141*$I141/12*2,IF($J141&gt;=7,-$E141*$I141/12*3,0))))))</f>
        <v>0</v>
      </c>
      <c r="CK141" s="1807">
        <f t="shared" ref="CK141" si="2003">IF($H141&lt;&gt;CM$5,0,IF(CM141&lt;0,IF(OR($J141=1,$J141=2,$J141=3,$J141=4,$J141=5,$J141=6,$J141=7),-$E141*$I141/12*3,IF($J141=8,-$E141*$I141/12*2,IF($J141=9,-$E141*$I141/12*1,0)))))+IF(CH$5&lt;&gt;$H141,0,IF(CH141&lt;0,IF($J141=7,-$E141*$I141/12*0,IF($J141=8,-$E141*$I141/12*1,IF($J141=9,-$E141*$I141/12*2,IF($J141&gt;=10,-$E141*$I141/12*3,0))))))</f>
        <v>0</v>
      </c>
      <c r="CL141" s="1806">
        <f t="shared" ref="CL141" si="2004">IF($H141&lt;&gt;CM$5,0,IF(CM141&lt;0,IF(OR($J141=1,$J141=2,$J141=3,$J141=4,$J141=5,$J141=6,$J141=7,$J141=8,$J141=9,$J141=10),-$E141*$I141/12*3,IF($J141=11,-$E141*$I141/12*2,IF($J141=12,-$E141*$I141/12*1,0)))))+IF(CH$5&lt;&gt;$H141,0,IF(CH141&lt;0,IF($J141=10,-$E141*$I141/12*0,IF($J141=11,-$E141*$I141/12*1,IF($J141=12,-$E141*$I141/12*2,0)))))</f>
        <v>0</v>
      </c>
      <c r="CM141" s="1791">
        <f t="shared" ref="CM141" si="2005">IF(AND(CH141&lt;&gt;0,CH$5=$H141),-$I141*$E141-CH141,IF(CM$5=$H141,-$I141*$E141*(12-$J141+1)/12,0))</f>
        <v>0</v>
      </c>
      <c r="CN141" s="1808">
        <f t="shared" ref="CN141" si="2006">IF($H141&lt;&gt;CR$5,0,IF(CR141&lt;0,IF($J141=1,-$E141*$I141/12*3,IF($J141=2,-$E141*$I141/12*2,IF($J141=3,-$E141*$I141/12*1,0)))))+IF(CM$5&lt;&gt;$H141,0,IF(CM141&lt;0,IF($J141=1,-$E141*$I141/12*0,IF($J141=2,-$E141*$I141/12*1,IF($J141=3,-$E141*$I141/12*2,IF($J141&gt;=4,-$E141*$I141/12*3,0))))))</f>
        <v>0</v>
      </c>
      <c r="CO141" s="1807">
        <f t="shared" ref="CO141" si="2007">IF($H141&lt;&gt;CR$5,0,IF(CR141&lt;0,IF(OR($J141=1,$J141=2,$J141=3,$J141=4),-$E141*$I141/12*3,IF($J141=5,-$E141*$I141/12*2,IF($J141=6,-$E141*$I141/12*1,0)))))+IF(CM$5&lt;&gt;$H141,0,IF(CM141&lt;0,IF($J141=4,-$E141*$I141/12*0,IF($J141=5,-$E141*$I141/12*1,IF($J141=6,-$E141*$I141/12*2,IF($J141&gt;=7,-$E141*$I141/12*3,0))))))</f>
        <v>0</v>
      </c>
      <c r="CP141" s="1807">
        <f t="shared" ref="CP141" si="2008">IF($H141&lt;&gt;CR$5,0,IF(CR141&lt;0,IF(OR($J141=1,$J141=2,$J141=3,$J141=4,$J141=5,$J141=6,$J141=7),-$E141*$I141/12*3,IF($J141=8,-$E141*$I141/12*2,IF($J141=9,-$E141*$I141/12*1,0)))))+IF(CM$5&lt;&gt;$H141,0,IF(CM141&lt;0,IF($J141=7,-$E141*$I141/12*0,IF($J141=8,-$E141*$I141/12*1,IF($J141=9,-$E141*$I141/12*2,IF($J141&gt;=10,-$E141*$I141/12*3,0))))))</f>
        <v>0</v>
      </c>
      <c r="CQ141" s="1806">
        <f t="shared" ref="CQ141" si="2009">IF($H141&lt;&gt;CR$5,0,IF(CR141&lt;0,IF(OR($J141=1,$J141=2,$J141=3,$J141=4,$J141=5,$J141=6,$J141=7,$J141=8,$J141=9,$J141=10),-$E141*$I141/12*3,IF($J141=11,-$E141*$I141/12*2,IF($J141=12,-$E141*$I141/12*1,0)))))+IF(CM$5&lt;&gt;$H141,0,IF(CM141&lt;0,IF($J141=10,-$E141*$I141/12*0,IF($J141=11,-$E141*$I141/12*1,IF($J141=12,-$E141*$I141/12*2,0)))))</f>
        <v>0</v>
      </c>
      <c r="CR141" s="1791">
        <f t="shared" ref="CR141" si="2010">IF(AND(CM141&lt;&gt;0,CM$5=$H141),-$I141*$E141-CM141,IF(CR$5=$H141,-$I141*$E141*(12-$J141+1)/12,0))</f>
        <v>0</v>
      </c>
      <c r="CS141" s="1808">
        <f t="shared" ref="CS141" si="2011">IF($H141&lt;&gt;CW$5,0,IF(CW141&lt;0,IF($J141=1,-$E141*$I141/12*3,IF($J141=2,-$E141*$I141/12*2,IF($J141=3,-$E141*$I141/12*1,0)))))+IF(CR$5&lt;&gt;$H141,0,IF(CR141&lt;0,IF($J141=1,-$E141*$I141/12*0,IF($J141=2,-$E141*$I141/12*1,IF($J141=3,-$E141*$I141/12*2,IF($J141&gt;=4,-$E141*$I141/12*3,0))))))</f>
        <v>0</v>
      </c>
      <c r="CT141" s="1807">
        <f t="shared" ref="CT141" si="2012">IF($H141&lt;&gt;CW$5,0,IF(CW141&lt;0,IF(OR($J141=1,$J141=2,$J141=3,$J141=4),-$E141*$I141/12*3,IF($J141=5,-$E141*$I141/12*2,IF($J141=6,-$E141*$I141/12*1,0)))))+IF(CR$5&lt;&gt;$H141,0,IF(CR141&lt;0,IF($J141=4,-$E141*$I141/12*0,IF($J141=5,-$E141*$I141/12*1,IF($J141=6,-$E141*$I141/12*2,IF($J141&gt;=7,-$E141*$I141/12*3,0))))))</f>
        <v>0</v>
      </c>
      <c r="CU141" s="1807">
        <f t="shared" ref="CU141" si="2013">IF($H141&lt;&gt;CW$5,0,IF(CW141&lt;0,IF(OR($J141=1,$J141=2,$J141=3,$J141=4,$J141=5,$J141=6,$J141=7),-$E141*$I141/12*3,IF($J141=8,-$E141*$I141/12*2,IF($J141=9,-$E141*$I141/12*1,0)))))+IF(CR$5&lt;&gt;$H141,0,IF(CR141&lt;0,IF($J141=7,-$E141*$I141/12*0,IF($J141=8,-$E141*$I141/12*1,IF($J141=9,-$E141*$I141/12*2,IF($J141&gt;=10,-$E141*$I141/12*3,0))))))</f>
        <v>0</v>
      </c>
      <c r="CV141" s="1806">
        <f t="shared" ref="CV141" si="2014">IF($H141&lt;&gt;CW$5,0,IF(CW141&lt;0,IF(OR($J141=1,$J141=2,$J141=3,$J141=4,$J141=5,$J141=6,$J141=7,$J141=8,$J141=9,$J141=10),-$E141*$I141/12*3,IF($J141=11,-$E141*$I141/12*2,IF($J141=12,-$E141*$I141/12*1,0)))))+IF(CR$5&lt;&gt;$H141,0,IF(CR141&lt;0,IF($J141=10,-$E141*$I141/12*0,IF($J141=11,-$E141*$I141/12*1,IF($J141=12,-$E141*$I141/12*2,0)))))</f>
        <v>0</v>
      </c>
      <c r="CW141" s="1791">
        <f t="shared" ref="CW141" si="2015">IF(AND(CR141&lt;&gt;0,CR$5=$H141),-$I141*$E141-CR141,IF(CW$5=$H141,-$I141*$E141*(12-$J141+1)/12,0))</f>
        <v>0</v>
      </c>
      <c r="CX141" s="1808">
        <f t="shared" ref="CX141" si="2016">IF($H141&lt;&gt;DB$5,0,IF(DB141&lt;0,IF($J141=1,-$E141*$I141/12*3,IF($J141=2,-$E141*$I141/12*2,IF($J141=3,-$E141*$I141/12*1,0)))))+IF(CW$5&lt;&gt;$H141,0,IF(CW141&lt;0,IF($J141=1,-$E141*$I141/12*0,IF($J141=2,-$E141*$I141/12*1,IF($J141=3,-$E141*$I141/12*2,IF($J141&gt;=4,-$E141*$I141/12*3,0))))))</f>
        <v>0</v>
      </c>
      <c r="CY141" s="1807">
        <f t="shared" ref="CY141" si="2017">IF($H141&lt;&gt;DB$5,0,IF(DB141&lt;0,IF(OR($J141=1,$J141=2,$J141=3,$J141=4),-$E141*$I141/12*3,IF($J141=5,-$E141*$I141/12*2,IF($J141=6,-$E141*$I141/12*1,0)))))+IF(CW$5&lt;&gt;$H141,0,IF(CW141&lt;0,IF($J141=4,-$E141*$I141/12*0,IF($J141=5,-$E141*$I141/12*1,IF($J141=6,-$E141*$I141/12*2,IF($J141&gt;=7,-$E141*$I141/12*3,0))))))</f>
        <v>0</v>
      </c>
      <c r="CZ141" s="1807">
        <f t="shared" ref="CZ141" si="2018">IF($H141&lt;&gt;DB$5,0,IF(DB141&lt;0,IF(OR($J141=1,$J141=2,$J141=3,$J141=4,$J141=5,$J141=6,$J141=7),-$E141*$I141/12*3,IF($J141=8,-$E141*$I141/12*2,IF($J141=9,-$E141*$I141/12*1,0)))))+IF(CW$5&lt;&gt;$H141,0,IF(CW141&lt;0,IF($J141=7,-$E141*$I141/12*0,IF($J141=8,-$E141*$I141/12*1,IF($J141=9,-$E141*$I141/12*2,IF($J141&gt;=10,-$E141*$I141/12*3,0))))))</f>
        <v>0</v>
      </c>
      <c r="DA141" s="1806">
        <f t="shared" ref="DA141" si="2019">IF($H141&lt;&gt;DB$5,0,IF(DB141&lt;0,IF(OR($J141=1,$J141=2,$J141=3,$J141=4,$J141=5,$J141=6,$J141=7,$J141=8,$J141=9,$J141=10),-$E141*$I141/12*3,IF($J141=11,-$E141*$I141/12*2,IF($J141=12,-$E141*$I141/12*1,0)))))+IF(CW$5&lt;&gt;$H141,0,IF(CW141&lt;0,IF($J141=10,-$E141*$I141/12*0,IF($J141=11,-$E141*$I141/12*1,IF($J141=12,-$E141*$I141/12*2,0)))))</f>
        <v>0</v>
      </c>
      <c r="DB141" s="1791">
        <f t="shared" ref="DB141" si="2020">IF(AND(CW141&lt;&gt;0,CW$5=$H141),-$I141*$E141-CW141,IF(DB$5=$H141,-$I141*$E141*(12-$J141+1)/12,0))</f>
        <v>0</v>
      </c>
      <c r="DC141" s="1808">
        <f t="shared" ref="DC141" si="2021">IF($H141&lt;&gt;DG$5,0,IF(DG141&lt;0,IF($J141=1,-$E141*$I141/12*3,IF($J141=2,-$E141*$I141/12*2,IF($J141=3,-$E141*$I141/12*1,0)))))+IF(DB$5&lt;&gt;$H141,0,IF(DB141&lt;0,IF($J141=1,-$E141*$I141/12*0,IF($J141=2,-$E141*$I141/12*1,IF($J141=3,-$E141*$I141/12*2,IF($J141&gt;=4,-$E141*$I141/12*3,0))))))</f>
        <v>0</v>
      </c>
      <c r="DD141" s="1807">
        <f t="shared" ref="DD141" si="2022">IF($H141&lt;&gt;DG$5,0,IF(DG141&lt;0,IF(OR($J141=1,$J141=2,$J141=3,$J141=4),-$E141*$I141/12*3,IF($J141=5,-$E141*$I141/12*2,IF($J141=6,-$E141*$I141/12*1,0)))))+IF(DB$5&lt;&gt;$H141,0,IF(DB141&lt;0,IF($J141=4,-$E141*$I141/12*0,IF($J141=5,-$E141*$I141/12*1,IF($J141=6,-$E141*$I141/12*2,IF($J141&gt;=7,-$E141*$I141/12*3,0))))))</f>
        <v>0</v>
      </c>
      <c r="DE141" s="1807">
        <f t="shared" ref="DE141" si="2023">IF($H141&lt;&gt;DG$5,0,IF(DG141&lt;0,IF(OR($J141=1,$J141=2,$J141=3,$J141=4,$J141=5,$J141=6,$J141=7),-$E141*$I141/12*3,IF($J141=8,-$E141*$I141/12*2,IF($J141=9,-$E141*$I141/12*1,0)))))+IF(DB$5&lt;&gt;$H141,0,IF(DB141&lt;0,IF($J141=7,-$E141*$I141/12*0,IF($J141=8,-$E141*$I141/12*1,IF($J141=9,-$E141*$I141/12*2,IF($J141&gt;=10,-$E141*$I141/12*3,0))))))</f>
        <v>0</v>
      </c>
      <c r="DF141" s="1806">
        <f t="shared" ref="DF141" si="2024">IF($H141&lt;&gt;DG$5,0,IF(DG141&lt;0,IF(OR($J141=1,$J141=2,$J141=3,$J141=4,$J141=5,$J141=6,$J141=7,$J141=8,$J141=9,$J141=10),-$E141*$I141/12*3,IF($J141=11,-$E141*$I141/12*2,IF($J141=12,-$E141*$I141/12*1,0)))))+IF(DB$5&lt;&gt;$H141,0,IF(DB141&lt;0,IF($J141=10,-$E141*$I141/12*0,IF($J141=11,-$E141*$I141/12*1,IF($J141=12,-$E141*$I141/12*2,0)))))</f>
        <v>0</v>
      </c>
      <c r="DG141" s="1791">
        <f t="shared" ref="DG141" si="2025">IF(AND(DB141&lt;&gt;0,DB$5=$H141),-$I141*$E141-DB141,IF(DG$5=$H141,-$I141*$E141*(12-$J141+1)/12,0))</f>
        <v>0</v>
      </c>
      <c r="DH141" s="1808">
        <f t="shared" ref="DH141" si="2026">IF($H141&lt;&gt;DL$5,0,IF(DL141&lt;0,IF($J141=1,-$E141*$I141/12*3,IF($J141=2,-$E141*$I141/12*2,IF($J141=3,-$E141*$I141/12*1,0)))))+IF(DG$5&lt;&gt;$H141,0,IF(DG141&lt;0,IF($J141=1,-$E141*$I141/12*0,IF($J141=2,-$E141*$I141/12*1,IF($J141=3,-$E141*$I141/12*2,IF($J141&gt;=4,-$E141*$I141/12*3,0))))))</f>
        <v>0</v>
      </c>
      <c r="DI141" s="1807">
        <f t="shared" ref="DI141" si="2027">IF($H141&lt;&gt;DL$5,0,IF(DL141&lt;0,IF(OR($J141=1,$J141=2,$J141=3,$J141=4),-$E141*$I141/12*3,IF($J141=5,-$E141*$I141/12*2,IF($J141=6,-$E141*$I141/12*1,0)))))+IF(DG$5&lt;&gt;$H141,0,IF(DG141&lt;0,IF($J141=4,-$E141*$I141/12*0,IF($J141=5,-$E141*$I141/12*1,IF($J141=6,-$E141*$I141/12*2,IF($J141&gt;=7,-$E141*$I141/12*3,0))))))</f>
        <v>0</v>
      </c>
      <c r="DJ141" s="1807">
        <f t="shared" ref="DJ141" si="2028">IF($H141&lt;&gt;DL$5,0,IF(DL141&lt;0,IF(OR($J141=1,$J141=2,$J141=3,$J141=4,$J141=5,$J141=6,$J141=7),-$E141*$I141/12*3,IF($J141=8,-$E141*$I141/12*2,IF($J141=9,-$E141*$I141/12*1,0)))))+IF(DG$5&lt;&gt;$H141,0,IF(DG141&lt;0,IF($J141=7,-$E141*$I141/12*0,IF($J141=8,-$E141*$I141/12*1,IF($J141=9,-$E141*$I141/12*2,IF($J141&gt;=10,-$E141*$I141/12*3,0))))))</f>
        <v>0</v>
      </c>
      <c r="DK141" s="1806">
        <f t="shared" ref="DK141" si="2029">IF($H141&lt;&gt;DL$5,0,IF(DL141&lt;0,IF(OR($J141=1,$J141=2,$J141=3,$J141=4,$J141=5,$J141=6,$J141=7,$J141=8,$J141=9,$J141=10),-$E141*$I141/12*3,IF($J141=11,-$E141*$I141/12*2,IF($J141=12,-$E141*$I141/12*1,0)))))+IF(DG$5&lt;&gt;$H141,0,IF(DG141&lt;0,IF($J141=10,-$E141*$I141/12*0,IF($J141=11,-$E141*$I141/12*1,IF($J141=12,-$E141*$I141/12*2,0)))))</f>
        <v>0</v>
      </c>
      <c r="DL141" s="1791">
        <f t="shared" ref="DL141" si="2030">IF(AND(DG141&lt;&gt;0,DG$5=$H141),-$I141*$E141-DG141,IF(DL$5=$H141,-$I141*$E141*(12-$J141+1)/12,0))</f>
        <v>0</v>
      </c>
      <c r="DM141" s="1808">
        <f t="shared" ref="DM141" si="2031">IF($H141&lt;&gt;DQ$5,0,IF(DQ141&lt;0,IF($J141=1,-$E141*$I141/12*3,IF($J141=2,-$E141*$I141/12*2,IF($J141=3,-$E141*$I141/12*1,0)))))+IF(DL$5&lt;&gt;$H141,0,IF(DL141&lt;0,IF($J141=1,-$E141*$I141/12*0,IF($J141=2,-$E141*$I141/12*1,IF($J141=3,-$E141*$I141/12*2,IF($J141&gt;=4,-$E141*$I141/12*3,0))))))</f>
        <v>0</v>
      </c>
      <c r="DN141" s="1807">
        <f t="shared" ref="DN141" si="2032">IF($H141&lt;&gt;DQ$5,0,IF(DQ141&lt;0,IF(OR($J141=1,$J141=2,$J141=3,$J141=4),-$E141*$I141/12*3,IF($J141=5,-$E141*$I141/12*2,IF($J141=6,-$E141*$I141/12*1,0)))))+IF(DL$5&lt;&gt;$H141,0,IF(DL141&lt;0,IF($J141=4,-$E141*$I141/12*0,IF($J141=5,-$E141*$I141/12*1,IF($J141=6,-$E141*$I141/12*2,IF($J141&gt;=7,-$E141*$I141/12*3,0))))))</f>
        <v>0</v>
      </c>
      <c r="DO141" s="1807">
        <f t="shared" ref="DO141" si="2033">IF($H141&lt;&gt;DQ$5,0,IF(DQ141&lt;0,IF(OR($J141=1,$J141=2,$J141=3,$J141=4,$J141=5,$J141=6,$J141=7),-$E141*$I141/12*3,IF($J141=8,-$E141*$I141/12*2,IF($J141=9,-$E141*$I141/12*1,0)))))+IF(DL$5&lt;&gt;$H141,0,IF(DL141&lt;0,IF($J141=7,-$E141*$I141/12*0,IF($J141=8,-$E141*$I141/12*1,IF($J141=9,-$E141*$I141/12*2,IF($J141&gt;=10,-$E141*$I141/12*3,0))))))</f>
        <v>0</v>
      </c>
      <c r="DP141" s="1806">
        <f t="shared" ref="DP141" si="2034">IF($H141&lt;&gt;DQ$5,0,IF(DQ141&lt;0,IF(OR($J141=1,$J141=2,$J141=3,$J141=4,$J141=5,$J141=6,$J141=7,$J141=8,$J141=9,$J141=10),-$E141*$I141/12*3,IF($J141=11,-$E141*$I141/12*2,IF($J141=12,-$E141*$I141/12*1,0)))))+IF(DL$5&lt;&gt;$H141,0,IF(DL141&lt;0,IF($J141=10,-$E141*$I141/12*0,IF($J141=11,-$E141*$I141/12*1,IF($J141=12,-$E141*$I141/12*2,0)))))</f>
        <v>0</v>
      </c>
      <c r="DQ141" s="1791">
        <f t="shared" ref="DQ141" si="2035">IF(AND(DL141&lt;&gt;0,DL$5=$H141),-$I141*$E141-DL141,IF(DQ$5=$H141,-$I141*$E141*(12-$J141+1)/12,0))</f>
        <v>0</v>
      </c>
      <c r="DR141" s="1808">
        <f t="shared" ref="DR141" si="2036">IF($H141&lt;&gt;DV$5,0,IF(DV141&lt;0,IF($J141=1,-$E141*$I141/12*3,IF($J141=2,-$E141*$I141/12*2,IF($J141=3,-$E141*$I141/12*1,0)))))+IF(DQ$5&lt;&gt;$H141,0,IF(DQ141&lt;0,IF($J141=1,-$E141*$I141/12*0,IF($J141=2,-$E141*$I141/12*1,IF($J141=3,-$E141*$I141/12*2,IF($J141&gt;=4,-$E141*$I141/12*3,0))))))</f>
        <v>0</v>
      </c>
      <c r="DS141" s="1807">
        <f t="shared" ref="DS141" si="2037">IF($H141&lt;&gt;DV$5,0,IF(DV141&lt;0,IF(OR($J141=1,$J141=2,$J141=3,$J141=4),-$E141*$I141/12*3,IF($J141=5,-$E141*$I141/12*2,IF($J141=6,-$E141*$I141/12*1,0)))))+IF(DQ$5&lt;&gt;$H141,0,IF(DQ141&lt;0,IF($J141=4,-$E141*$I141/12*0,IF($J141=5,-$E141*$I141/12*1,IF($J141=6,-$E141*$I141/12*2,IF($J141&gt;=7,-$E141*$I141/12*3,0))))))</f>
        <v>0</v>
      </c>
      <c r="DT141" s="1807">
        <f t="shared" ref="DT141" si="2038">IF($H141&lt;&gt;DV$5,0,IF(DV141&lt;0,IF(OR($J141=1,$J141=2,$J141=3,$J141=4,$J141=5,$J141=6,$J141=7),-$E141*$I141/12*3,IF($J141=8,-$E141*$I141/12*2,IF($J141=9,-$E141*$I141/12*1,0)))))+IF(DQ$5&lt;&gt;$H141,0,IF(DQ141&lt;0,IF($J141=7,-$E141*$I141/12*0,IF($J141=8,-$E141*$I141/12*1,IF($J141=9,-$E141*$I141/12*2,IF($J141&gt;=10,-$E141*$I141/12*3,0))))))</f>
        <v>0</v>
      </c>
      <c r="DU141" s="1806">
        <f t="shared" ref="DU141" si="2039">IF($H141&lt;&gt;DV$5,0,IF(DV141&lt;0,IF(OR($J141=1,$J141=2,$J141=3,$J141=4,$J141=5,$J141=6,$J141=7,$J141=8,$J141=9,$J141=10),-$E141*$I141/12*3,IF($J141=11,-$E141*$I141/12*2,IF($J141=12,-$E141*$I141/12*1,0)))))+IF(DQ$5&lt;&gt;$H141,0,IF(DQ141&lt;0,IF($J141=10,-$E141*$I141/12*0,IF($J141=11,-$E141*$I141/12*1,IF($J141=12,-$E141*$I141/12*2,0)))))</f>
        <v>0</v>
      </c>
      <c r="DV141" s="1791">
        <f t="shared" ref="DV141" si="2040">IF(AND(DQ141&lt;&gt;0,DQ$5=$H141),-$I141*$E141-DQ141,IF(DV$5=$H141,-$I141*$E141*(12-$J141+1)/12,0))</f>
        <v>0</v>
      </c>
    </row>
    <row r="142" spans="1:126">
      <c r="A142" s="455"/>
      <c r="B142" s="455"/>
      <c r="C142" s="1363" t="s">
        <v>932</v>
      </c>
      <c r="D142" s="94"/>
      <c r="E142" s="1817">
        <f t="shared" si="1939"/>
        <v>250</v>
      </c>
      <c r="F142" s="1435">
        <v>250</v>
      </c>
      <c r="G142" s="1435">
        <v>250</v>
      </c>
      <c r="H142" s="1350">
        <v>2045</v>
      </c>
      <c r="I142" s="1337">
        <v>5.1499999999999997E-2</v>
      </c>
      <c r="J142" s="1343">
        <v>6</v>
      </c>
      <c r="K142" s="1792"/>
      <c r="L142" s="1810">
        <f t="shared" si="1827"/>
        <v>0</v>
      </c>
      <c r="M142" s="1791">
        <f t="shared" si="1827"/>
        <v>0</v>
      </c>
      <c r="N142" s="1808">
        <f t="shared" si="1828"/>
        <v>0</v>
      </c>
      <c r="O142" s="1807">
        <f t="shared" si="1829"/>
        <v>0</v>
      </c>
      <c r="P142" s="1807">
        <f t="shared" si="1830"/>
        <v>0</v>
      </c>
      <c r="Q142" s="1806">
        <f t="shared" si="1831"/>
        <v>0</v>
      </c>
      <c r="R142" s="1791">
        <f t="shared" si="1832"/>
        <v>0</v>
      </c>
      <c r="S142" s="1808">
        <f t="shared" si="1833"/>
        <v>0</v>
      </c>
      <c r="T142" s="1807">
        <f t="shared" si="1834"/>
        <v>0</v>
      </c>
      <c r="U142" s="1807">
        <f t="shared" si="1835"/>
        <v>0</v>
      </c>
      <c r="V142" s="1806">
        <f t="shared" si="1836"/>
        <v>0</v>
      </c>
      <c r="W142" s="1791">
        <f t="shared" si="1837"/>
        <v>0</v>
      </c>
      <c r="X142" s="1808">
        <f t="shared" si="1838"/>
        <v>0</v>
      </c>
      <c r="Y142" s="1807">
        <f t="shared" si="1839"/>
        <v>0</v>
      </c>
      <c r="Z142" s="1807">
        <f t="shared" si="1840"/>
        <v>0</v>
      </c>
      <c r="AA142" s="1806">
        <f t="shared" si="1841"/>
        <v>0</v>
      </c>
      <c r="AB142" s="1791">
        <f t="shared" si="1842"/>
        <v>0</v>
      </c>
      <c r="AC142" s="1808">
        <f t="shared" si="1843"/>
        <v>0</v>
      </c>
      <c r="AD142" s="1807">
        <f t="shared" si="1844"/>
        <v>0</v>
      </c>
      <c r="AE142" s="1807">
        <f t="shared" si="1845"/>
        <v>0</v>
      </c>
      <c r="AF142" s="1806">
        <f t="shared" si="1846"/>
        <v>0</v>
      </c>
      <c r="AG142" s="1791">
        <f t="shared" si="1847"/>
        <v>0</v>
      </c>
      <c r="AH142" s="1808">
        <f t="shared" si="1848"/>
        <v>0</v>
      </c>
      <c r="AI142" s="1807">
        <f t="shared" si="1849"/>
        <v>0</v>
      </c>
      <c r="AJ142" s="1807">
        <f t="shared" si="1850"/>
        <v>0</v>
      </c>
      <c r="AK142" s="1806">
        <f t="shared" si="1851"/>
        <v>0</v>
      </c>
      <c r="AL142" s="1791">
        <f t="shared" si="1852"/>
        <v>0</v>
      </c>
      <c r="AM142" s="1808">
        <f t="shared" si="1853"/>
        <v>0</v>
      </c>
      <c r="AN142" s="1807">
        <f t="shared" si="1854"/>
        <v>0</v>
      </c>
      <c r="AO142" s="1807">
        <f t="shared" si="1855"/>
        <v>0</v>
      </c>
      <c r="AP142" s="1806">
        <f t="shared" si="1856"/>
        <v>0</v>
      </c>
      <c r="AQ142" s="1791">
        <f t="shared" si="1857"/>
        <v>0</v>
      </c>
      <c r="AR142" s="1808">
        <f t="shared" si="1858"/>
        <v>0</v>
      </c>
      <c r="AS142" s="1807">
        <f t="shared" si="1859"/>
        <v>0</v>
      </c>
      <c r="AT142" s="1807">
        <f t="shared" si="1860"/>
        <v>0</v>
      </c>
      <c r="AU142" s="1806">
        <f t="shared" si="1861"/>
        <v>0</v>
      </c>
      <c r="AV142" s="1791">
        <f t="shared" si="1862"/>
        <v>0</v>
      </c>
      <c r="AW142" s="1808">
        <f t="shared" si="1863"/>
        <v>0</v>
      </c>
      <c r="AX142" s="1807">
        <f t="shared" si="1864"/>
        <v>0</v>
      </c>
      <c r="AY142" s="1807">
        <f t="shared" si="1865"/>
        <v>0</v>
      </c>
      <c r="AZ142" s="1806">
        <f t="shared" si="1866"/>
        <v>0</v>
      </c>
      <c r="BA142" s="1791">
        <f t="shared" si="1867"/>
        <v>0</v>
      </c>
      <c r="BB142" s="1808">
        <f t="shared" si="1868"/>
        <v>0</v>
      </c>
      <c r="BC142" s="1807">
        <f t="shared" si="1869"/>
        <v>0</v>
      </c>
      <c r="BD142" s="1807">
        <f t="shared" si="1870"/>
        <v>0</v>
      </c>
      <c r="BE142" s="1806">
        <f t="shared" si="1871"/>
        <v>0</v>
      </c>
      <c r="BF142" s="1791">
        <f t="shared" si="1872"/>
        <v>0</v>
      </c>
      <c r="BG142" s="1808">
        <f t="shared" si="1873"/>
        <v>0</v>
      </c>
      <c r="BH142" s="1807">
        <f t="shared" si="1874"/>
        <v>0</v>
      </c>
      <c r="BI142" s="1807">
        <f t="shared" si="1875"/>
        <v>0</v>
      </c>
      <c r="BJ142" s="1806">
        <f t="shared" si="1876"/>
        <v>0</v>
      </c>
      <c r="BK142" s="1791">
        <f t="shared" si="1877"/>
        <v>0</v>
      </c>
      <c r="BL142" s="1808">
        <f t="shared" si="1878"/>
        <v>0</v>
      </c>
      <c r="BM142" s="1807">
        <f t="shared" si="1879"/>
        <v>0</v>
      </c>
      <c r="BN142" s="1807">
        <f t="shared" si="1880"/>
        <v>0</v>
      </c>
      <c r="BO142" s="1806">
        <f t="shared" si="1881"/>
        <v>0</v>
      </c>
      <c r="BP142" s="1791">
        <f t="shared" si="1882"/>
        <v>0</v>
      </c>
      <c r="BQ142" s="1827"/>
      <c r="BR142" s="1791">
        <f t="shared" si="1883"/>
        <v>0</v>
      </c>
      <c r="BS142" s="1791">
        <f t="shared" si="1883"/>
        <v>0</v>
      </c>
      <c r="BT142" s="1808">
        <f t="shared" si="1884"/>
        <v>0</v>
      </c>
      <c r="BU142" s="1807">
        <f t="shared" si="1885"/>
        <v>0</v>
      </c>
      <c r="BV142" s="1807">
        <f t="shared" si="1886"/>
        <v>0</v>
      </c>
      <c r="BW142" s="1806">
        <f t="shared" si="1887"/>
        <v>0</v>
      </c>
      <c r="BX142" s="1791">
        <f t="shared" si="1888"/>
        <v>0</v>
      </c>
      <c r="BY142" s="1808">
        <f t="shared" si="1889"/>
        <v>0</v>
      </c>
      <c r="BZ142" s="1807">
        <f t="shared" si="1890"/>
        <v>0</v>
      </c>
      <c r="CA142" s="1807">
        <f t="shared" si="1891"/>
        <v>0</v>
      </c>
      <c r="CB142" s="1806">
        <f t="shared" si="1892"/>
        <v>0</v>
      </c>
      <c r="CC142" s="1791">
        <f t="shared" si="1893"/>
        <v>0</v>
      </c>
      <c r="CD142" s="1808">
        <f t="shared" si="1894"/>
        <v>0</v>
      </c>
      <c r="CE142" s="1807">
        <f t="shared" si="1895"/>
        <v>0</v>
      </c>
      <c r="CF142" s="1807">
        <f t="shared" si="1896"/>
        <v>0</v>
      </c>
      <c r="CG142" s="1806">
        <f t="shared" si="1897"/>
        <v>0</v>
      </c>
      <c r="CH142" s="1791">
        <f t="shared" si="1898"/>
        <v>0</v>
      </c>
      <c r="CI142" s="1808">
        <f t="shared" si="1899"/>
        <v>0</v>
      </c>
      <c r="CJ142" s="1807">
        <f t="shared" si="1900"/>
        <v>0</v>
      </c>
      <c r="CK142" s="1807">
        <f t="shared" si="1901"/>
        <v>0</v>
      </c>
      <c r="CL142" s="1806">
        <f t="shared" si="1902"/>
        <v>0</v>
      </c>
      <c r="CM142" s="1791">
        <f t="shared" si="1903"/>
        <v>0</v>
      </c>
      <c r="CN142" s="1808">
        <f t="shared" si="1904"/>
        <v>0</v>
      </c>
      <c r="CO142" s="1807">
        <f t="shared" si="1905"/>
        <v>0</v>
      </c>
      <c r="CP142" s="1807">
        <f t="shared" si="1906"/>
        <v>0</v>
      </c>
      <c r="CQ142" s="1806">
        <f t="shared" si="1907"/>
        <v>0</v>
      </c>
      <c r="CR142" s="1791">
        <f t="shared" si="1908"/>
        <v>0</v>
      </c>
      <c r="CS142" s="1808">
        <f t="shared" si="1909"/>
        <v>0</v>
      </c>
      <c r="CT142" s="1807">
        <f t="shared" si="1910"/>
        <v>0</v>
      </c>
      <c r="CU142" s="1807">
        <f t="shared" si="1911"/>
        <v>0</v>
      </c>
      <c r="CV142" s="1806">
        <f t="shared" si="1912"/>
        <v>0</v>
      </c>
      <c r="CW142" s="1791">
        <f t="shared" si="1913"/>
        <v>0</v>
      </c>
      <c r="CX142" s="1808">
        <f t="shared" si="1914"/>
        <v>0</v>
      </c>
      <c r="CY142" s="1807">
        <f t="shared" si="1915"/>
        <v>0</v>
      </c>
      <c r="CZ142" s="1807">
        <f t="shared" si="1916"/>
        <v>0</v>
      </c>
      <c r="DA142" s="1806">
        <f t="shared" si="1917"/>
        <v>0</v>
      </c>
      <c r="DB142" s="1791">
        <f t="shared" si="1918"/>
        <v>0</v>
      </c>
      <c r="DC142" s="1808">
        <f t="shared" si="1919"/>
        <v>0</v>
      </c>
      <c r="DD142" s="1807">
        <f t="shared" si="1920"/>
        <v>0</v>
      </c>
      <c r="DE142" s="1807">
        <f t="shared" si="1921"/>
        <v>0</v>
      </c>
      <c r="DF142" s="1806">
        <f t="shared" si="1922"/>
        <v>0</v>
      </c>
      <c r="DG142" s="1791">
        <f t="shared" si="1923"/>
        <v>0</v>
      </c>
      <c r="DH142" s="1808">
        <f t="shared" si="1924"/>
        <v>0</v>
      </c>
      <c r="DI142" s="1807">
        <f t="shared" si="1925"/>
        <v>0</v>
      </c>
      <c r="DJ142" s="1807">
        <f t="shared" si="1926"/>
        <v>0</v>
      </c>
      <c r="DK142" s="1806">
        <f t="shared" si="1927"/>
        <v>0</v>
      </c>
      <c r="DL142" s="1791">
        <f t="shared" si="1928"/>
        <v>0</v>
      </c>
      <c r="DM142" s="1808">
        <f t="shared" si="1929"/>
        <v>0</v>
      </c>
      <c r="DN142" s="1807">
        <f t="shared" si="1930"/>
        <v>0</v>
      </c>
      <c r="DO142" s="1807">
        <f t="shared" si="1931"/>
        <v>0</v>
      </c>
      <c r="DP142" s="1806">
        <f t="shared" si="1932"/>
        <v>0</v>
      </c>
      <c r="DQ142" s="1791">
        <f t="shared" si="1933"/>
        <v>0</v>
      </c>
      <c r="DR142" s="1808">
        <f t="shared" si="1934"/>
        <v>0</v>
      </c>
      <c r="DS142" s="1807">
        <f t="shared" si="1935"/>
        <v>0</v>
      </c>
      <c r="DT142" s="1807">
        <f t="shared" si="1936"/>
        <v>0</v>
      </c>
      <c r="DU142" s="1806">
        <f t="shared" si="1937"/>
        <v>0</v>
      </c>
      <c r="DV142" s="1791">
        <f t="shared" si="1938"/>
        <v>0</v>
      </c>
    </row>
    <row r="143" spans="1:126">
      <c r="A143" s="455"/>
      <c r="B143" s="455"/>
      <c r="C143" s="1363" t="s">
        <v>961</v>
      </c>
      <c r="D143" s="94"/>
      <c r="E143" s="1817">
        <f t="shared" si="1939"/>
        <v>125</v>
      </c>
      <c r="F143" s="1435">
        <v>125</v>
      </c>
      <c r="G143" s="1435">
        <v>125</v>
      </c>
      <c r="H143" s="1350">
        <v>2021</v>
      </c>
      <c r="I143" s="1337">
        <v>2.5499999999999998E-2</v>
      </c>
      <c r="J143" s="1343">
        <v>6</v>
      </c>
      <c r="K143" s="1792"/>
      <c r="L143" s="1810">
        <f t="shared" si="1827"/>
        <v>0</v>
      </c>
      <c r="M143" s="1791">
        <f t="shared" si="1827"/>
        <v>0</v>
      </c>
      <c r="N143" s="1808">
        <f t="shared" ref="N143" si="2041">IF(R143=0,0,IF(R143&lt;0,IF($J143=3,R143,IF($J143=2,R143,IF($J143=1,R143,0)))))</f>
        <v>0</v>
      </c>
      <c r="O143" s="1807">
        <f t="shared" ref="O143" si="2042">IF(R143=0,0,IF(R143&lt;0,IF($J143=6,R143,IF($J143=5,R143,IF($J143=4,R143,0)))))</f>
        <v>0</v>
      </c>
      <c r="P143" s="1807">
        <f t="shared" ref="P143" si="2043">IF(R143=0,0,IF(R143&lt;0,IF($J143=9,R143,IF($J143=8,R143,IF($J143=7,R143,0)))))</f>
        <v>0</v>
      </c>
      <c r="Q143" s="1806">
        <f t="shared" ref="Q143" si="2044">IF(R143=0,0,IF(R143&lt;0,IF($J143=12,R143,IF($J143=11,R143,IF($J143=10,R143,0)))))</f>
        <v>0</v>
      </c>
      <c r="R143" s="1791">
        <f t="shared" si="1832"/>
        <v>0</v>
      </c>
      <c r="S143" s="1808">
        <f t="shared" ref="S143" si="2045">IF(W143=0,0,IF(W143&lt;0,IF($J143=3,W143,IF($J143=2,W143,IF($J143=1,W143,0)))))</f>
        <v>0</v>
      </c>
      <c r="T143" s="1807">
        <f t="shared" ref="T143" si="2046">IF(W143=0,0,IF(W143&lt;0,IF($J143=6,W143,IF($J143=5,W143,IF($J143=4,W143,0)))))</f>
        <v>0</v>
      </c>
      <c r="U143" s="1807">
        <f t="shared" ref="U143" si="2047">IF(W143=0,0,IF(W143&lt;0,IF($J143=9,W143,IF($J143=8,W143,IF($J143=7,W143,0)))))</f>
        <v>0</v>
      </c>
      <c r="V143" s="1806">
        <f t="shared" ref="V143" si="2048">IF(W143=0,0,IF(W143&lt;0,IF($J143=12,W143,IF($J143=11,W143,IF($J143=10,W143,0)))))</f>
        <v>0</v>
      </c>
      <c r="W143" s="1791">
        <f t="shared" si="1837"/>
        <v>0</v>
      </c>
      <c r="X143" s="1808">
        <f t="shared" ref="X143" si="2049">IF(AB143=0,0,IF(AB143&lt;0,IF($J143=3,AB143,IF($J143=2,AB143,IF($J143=1,AB143,0)))))</f>
        <v>0</v>
      </c>
      <c r="Y143" s="1807">
        <f t="shared" ref="Y143" si="2050">IF(AB143=0,0,IF(AB143&lt;0,IF($J143=6,AB143,IF($J143=5,AB143,IF($J143=4,AB143,0)))))</f>
        <v>0</v>
      </c>
      <c r="Z143" s="1807">
        <f t="shared" ref="Z143" si="2051">IF(AB143=0,0,IF(AB143&lt;0,IF($J143=9,AB143,IF($J143=8,AB143,IF($J143=7,AB143,0)))))</f>
        <v>0</v>
      </c>
      <c r="AA143" s="1806">
        <f t="shared" ref="AA143" si="2052">IF(AB143=0,0,IF(AB143&lt;0,IF($J143=12,AB143,IF($J143=11,AB143,IF($J143=10,AB143,0)))))</f>
        <v>0</v>
      </c>
      <c r="AB143" s="1791">
        <f t="shared" si="1842"/>
        <v>0</v>
      </c>
      <c r="AC143" s="1808">
        <f t="shared" ref="AC143" si="2053">IF(AG143=0,0,IF(AG143&lt;0,IF($J143=3,AG143,IF($J143=2,AG143,IF($J143=1,AG143,0)))))</f>
        <v>0</v>
      </c>
      <c r="AD143" s="1807">
        <f t="shared" ref="AD143" si="2054">IF(AG143=0,0,IF(AG143&lt;0,IF($J143=6,AG143,IF($J143=5,AG143,IF($J143=4,AG143,0)))))</f>
        <v>0</v>
      </c>
      <c r="AE143" s="1807">
        <f t="shared" ref="AE143" si="2055">IF(AG143=0,0,IF(AG143&lt;0,IF($J143=9,AG143,IF($J143=8,AG143,IF($J143=7,AG143,0)))))</f>
        <v>0</v>
      </c>
      <c r="AF143" s="1806">
        <f t="shared" ref="AF143" si="2056">IF(AG143=0,0,IF(AG143&lt;0,IF($J143=12,AG143,IF($J143=11,AG143,IF($J143=10,AG143,0)))))</f>
        <v>0</v>
      </c>
      <c r="AG143" s="1791">
        <f t="shared" si="1847"/>
        <v>0</v>
      </c>
      <c r="AH143" s="1808">
        <f t="shared" ref="AH143" si="2057">IF(AL143=0,0,IF(AL143&lt;0,IF($J143=3,AL143,IF($J143=2,AL143,IF($J143=1,AL143,0)))))</f>
        <v>0</v>
      </c>
      <c r="AI143" s="1807">
        <f t="shared" ref="AI143" si="2058">IF(AL143=0,0,IF(AL143&lt;0,IF($J143=6,AL143,IF($J143=5,AL143,IF($J143=4,AL143,0)))))</f>
        <v>0</v>
      </c>
      <c r="AJ143" s="1807">
        <f t="shared" ref="AJ143" si="2059">IF(AL143=0,0,IF(AL143&lt;0,IF($J143=9,AL143,IF($J143=8,AL143,IF($J143=7,AL143,0)))))</f>
        <v>0</v>
      </c>
      <c r="AK143" s="1806">
        <f t="shared" ref="AK143" si="2060">IF(AL143=0,0,IF(AL143&lt;0,IF($J143=12,AL143,IF($J143=11,AL143,IF($J143=10,AL143,0)))))</f>
        <v>0</v>
      </c>
      <c r="AL143" s="1791">
        <f t="shared" si="1852"/>
        <v>0</v>
      </c>
      <c r="AM143" s="1808">
        <f t="shared" ref="AM143" si="2061">IF(AQ143=0,0,IF(AQ143&lt;0,IF($J143=3,AQ143,IF($J143=2,AQ143,IF($J143=1,AQ143,0)))))</f>
        <v>0</v>
      </c>
      <c r="AN143" s="1807">
        <f t="shared" ref="AN143" si="2062">IF(AQ143=0,0,IF(AQ143&lt;0,IF($J143=6,AQ143,IF($J143=5,AQ143,IF($J143=4,AQ143,0)))))</f>
        <v>0</v>
      </c>
      <c r="AO143" s="1807">
        <f t="shared" ref="AO143" si="2063">IF(AQ143=0,0,IF(AQ143&lt;0,IF($J143=9,AQ143,IF($J143=8,AQ143,IF($J143=7,AQ143,0)))))</f>
        <v>0</v>
      </c>
      <c r="AP143" s="1806">
        <f t="shared" ref="AP143" si="2064">IF(AQ143=0,0,IF(AQ143&lt;0,IF($J143=12,AQ143,IF($J143=11,AQ143,IF($J143=10,AQ143,0)))))</f>
        <v>0</v>
      </c>
      <c r="AQ143" s="1791">
        <f t="shared" si="1857"/>
        <v>0</v>
      </c>
      <c r="AR143" s="1808">
        <f t="shared" ref="AR143" si="2065">IF(AV143=0,0,IF(AV143&lt;0,IF($J143=3,AV143,IF($J143=2,AV143,IF($J143=1,AV143,0)))))</f>
        <v>0</v>
      </c>
      <c r="AS143" s="1807">
        <f t="shared" si="1859"/>
        <v>0</v>
      </c>
      <c r="AT143" s="1807">
        <f t="shared" ref="AT143" si="2066">IF(AV143=0,0,IF(AV143&lt;0,IF($J143=9,AV143,IF($J143=8,AV143,IF($J143=7,AV143,0)))))</f>
        <v>0</v>
      </c>
      <c r="AU143" s="1806">
        <f t="shared" ref="AU143" si="2067">IF(AV143=0,0,IF(AV143&lt;0,IF($J143=12,AV143,IF($J143=11,AV143,IF($J143=10,AV143,0)))))</f>
        <v>0</v>
      </c>
      <c r="AV143" s="1791">
        <f t="shared" si="1862"/>
        <v>0</v>
      </c>
      <c r="AW143" s="1808">
        <f t="shared" ref="AW143" si="2068">IF(BA143=0,0,IF(BA143&lt;0,IF($J143=3,BA143,IF($J143=2,BA143,IF($J143=1,BA143,0)))))</f>
        <v>0</v>
      </c>
      <c r="AX143" s="1807">
        <f t="shared" ref="AX143" si="2069">IF(BA143=0,0,IF(BA143&lt;0,IF($J143=6,BA143,IF($J143=5,BA143,IF($J143=4,BA143,0)))))</f>
        <v>0</v>
      </c>
      <c r="AY143" s="1807">
        <f t="shared" ref="AY143" si="2070">IF(BA143=0,0,IF(BA143&lt;0,IF($J143=9,BA143,IF($J143=8,BA143,IF($J143=7,BA143,0)))))</f>
        <v>0</v>
      </c>
      <c r="AZ143" s="1806">
        <f t="shared" ref="AZ143" si="2071">IF(BA143=0,0,IF(BA143&lt;0,IF($J143=12,BA143,IF($J143=11,BA143,IF($J143=10,BA143,0)))))</f>
        <v>0</v>
      </c>
      <c r="BA143" s="1791">
        <f t="shared" si="1867"/>
        <v>0</v>
      </c>
      <c r="BB143" s="1808">
        <f t="shared" ref="BB143" si="2072">IF(BF143=0,0,IF(BF143&lt;0,IF($J143=3,BF143,IF($J143=2,BF143,IF($J143=1,BF143,0)))))</f>
        <v>0</v>
      </c>
      <c r="BC143" s="1807">
        <f t="shared" ref="BC143" si="2073">IF(BF143=0,0,IF(BF143&lt;0,IF($J143=6,BF143,IF($J143=5,BF143,IF($J143=4,BF143,0)))))</f>
        <v>0</v>
      </c>
      <c r="BD143" s="1807">
        <f t="shared" ref="BD143" si="2074">IF(BF143=0,0,IF(BF143&lt;0,IF($J143=9,BF143,IF($J143=8,BF143,IF($J143=7,BF143,0)))))</f>
        <v>0</v>
      </c>
      <c r="BE143" s="1806">
        <f t="shared" ref="BE143" si="2075">IF(BF143=0,0,IF(BF143&lt;0,IF($J143=12,BF143,IF($J143=11,BF143,IF($J143=10,BF143,0)))))</f>
        <v>0</v>
      </c>
      <c r="BF143" s="1791">
        <f t="shared" si="1872"/>
        <v>0</v>
      </c>
      <c r="BG143" s="1808">
        <f t="shared" ref="BG143" si="2076">IF(BK143=0,0,IF(BK143&lt;0,IF($J143=3,BK143,IF($J143=2,BK143,IF($J143=1,BK143,0)))))</f>
        <v>0</v>
      </c>
      <c r="BH143" s="1807">
        <f t="shared" ref="BH143" si="2077">IF(BK143=0,0,IF(BK143&lt;0,IF($J143=6,BK143,IF($J143=5,BK143,IF($J143=4,BK143,0)))))</f>
        <v>0</v>
      </c>
      <c r="BI143" s="1807">
        <f t="shared" ref="BI143" si="2078">IF(BK143=0,0,IF(BK143&lt;0,IF($J143=9,BK143,IF($J143=8,BK143,IF($J143=7,BK143,0)))))</f>
        <v>0</v>
      </c>
      <c r="BJ143" s="1806">
        <f t="shared" ref="BJ143" si="2079">IF(BK143=0,0,IF(BK143&lt;0,IF($J143=12,BK143,IF($J143=11,BK143,IF($J143=10,BK143,0)))))</f>
        <v>0</v>
      </c>
      <c r="BK143" s="1791">
        <f t="shared" si="1877"/>
        <v>0</v>
      </c>
      <c r="BL143" s="1808">
        <f t="shared" si="1878"/>
        <v>0</v>
      </c>
      <c r="BM143" s="1807">
        <f t="shared" si="1879"/>
        <v>-125</v>
      </c>
      <c r="BN143" s="1807">
        <f t="shared" si="1880"/>
        <v>0</v>
      </c>
      <c r="BO143" s="1806">
        <f t="shared" si="1881"/>
        <v>0</v>
      </c>
      <c r="BP143" s="1791">
        <f t="shared" si="1882"/>
        <v>-125</v>
      </c>
      <c r="BQ143" s="1827"/>
      <c r="BR143" s="1791">
        <f t="shared" ref="BR143" si="2080">IF(AND(BQ143&lt;&gt;0,BQ$5=$H143),-$I143*$E143-BQ143,IF(BR$5=$H143,-$I143*$E143*(12-$J143+1)/12,0))</f>
        <v>0</v>
      </c>
      <c r="BS143" s="1791">
        <f t="shared" ref="BS143" si="2081">IF(AND(BR143&lt;&gt;0,BR$5=$H143),-$I143*$E143-BR143,IF(BS$5=$H143,-$I143*$E143*(12-$J143+1)/12,0))</f>
        <v>0</v>
      </c>
      <c r="BT143" s="1808">
        <f t="shared" ref="BT143" si="2082">IF($H143&lt;&gt;BX$5,0,IF(BX143&lt;0,IF($J143=1,-$E143*$I143/12*3,IF($J143=2,-$E143*$I143/12*2,IF($J143=3,-$E143*$I143/12*1,0)))))+IF(BS$5&lt;&gt;$H143,0,IF(BS143&lt;0,IF($J143=1,-$E143*$I143/12*0,IF($J143=2,-$E143*$I143/12*1,IF($J143=3,-$E143*$I143/12*2,IF($J143&gt;=4,-$E143*$I143/12*3,0))))))</f>
        <v>0</v>
      </c>
      <c r="BU143" s="1807">
        <f t="shared" ref="BU143" si="2083">IF($H143&lt;&gt;BX$5,0,IF(BX143&lt;0,IF(OR($J143=1,$J143=2,$J143=3,$J143=4),-$E143*$I143/12*3,IF($J143=5,-$E143*$I143/12*2,IF($J143=6,-$E143*$I143/12*1,0)))))+IF(BS$5&lt;&gt;$H143,0,IF(BS143&lt;0,IF($J143=4,-$E143*$I143/12*0,IF($J143=5,-$E143*$I143/12*1,IF($J143=6,-$E143*$I143/12*2,IF($J143&gt;=7,-$E143*$I143/12*3,0))))))</f>
        <v>0</v>
      </c>
      <c r="BV143" s="1807">
        <f t="shared" ref="BV143" si="2084">IF($H143&lt;&gt;BX$5,0,IF(BX143&lt;0,IF(OR($J143=1,$J143=2,$J143=3,$J143=4,$J143=5,$J143=6,$J143=7),-$E143*$I143/12*3,IF($J143=8,-$E143*$I143/12*2,IF($J143=9,-$E143*$I143/12*1,0)))))+IF(BS$5&lt;&gt;$H143,0,IF(BS143&lt;0,IF($J143=7,-$E143*$I143/12*0,IF($J143=8,-$E143*$I143/12*1,IF($J143=9,-$E143*$I143/12*2,IF($J143&gt;=10,-$E143*$I143/12*3,0))))))</f>
        <v>0</v>
      </c>
      <c r="BW143" s="1806">
        <f t="shared" ref="BW143" si="2085">IF($H143&lt;&gt;BX$5,0,IF(BX143&lt;0,IF(OR($J143=1,$J143=2,$J143=3,$J143=4,$J143=5,$J143=6,$J143=7,$J143=8,$J143=9,$J143=10),-$E143*$I143/12*3,IF($J143=11,-$E143*$I143/12*2,IF($J143=12,-$E143*$I143/12*1,0)))))+IF(BS$5&lt;&gt;$H143,0,IF(BS143&lt;0,IF($J143=10,-$E143*$I143/12*0,IF($J143=11,-$E143*$I143/12*1,IF($J143=12,-$E143*$I143/12*2,0)))))</f>
        <v>0</v>
      </c>
      <c r="BX143" s="1791">
        <f t="shared" ref="BX143" si="2086">IF(AND(BS143&lt;&gt;0,BS$5=$H143),-$I143*$E143-BS143,IF(BX$5=$H143,-$I143*$E143*(12-$J143+1)/12,0))</f>
        <v>0</v>
      </c>
      <c r="BY143" s="1808">
        <f t="shared" ref="BY143" si="2087">IF($H143&lt;&gt;CC$5,0,IF(CC143&lt;0,IF($J143=1,-$E143*$I143/12*3,IF($J143=2,-$E143*$I143/12*2,IF($J143=3,-$E143*$I143/12*1,0)))))+IF(BX$5&lt;&gt;$H143,0,IF(BX143&lt;0,IF($J143=1,-$E143*$I143/12*0,IF($J143=2,-$E143*$I143/12*1,IF($J143=3,-$E143*$I143/12*2,IF($J143&gt;=4,-$E143*$I143/12*3,0))))))</f>
        <v>0</v>
      </c>
      <c r="BZ143" s="1807">
        <f t="shared" ref="BZ143" si="2088">IF($H143&lt;&gt;CC$5,0,IF(CC143&lt;0,IF(OR($J143=1,$J143=2,$J143=3,$J143=4),-$E143*$I143/12*3,IF($J143=5,-$E143*$I143/12*2,IF($J143=6,-$E143*$I143/12*1,0)))))+IF(BX$5&lt;&gt;$H143,0,IF(BX143&lt;0,IF($J143=4,-$E143*$I143/12*0,IF($J143=5,-$E143*$I143/12*1,IF($J143=6,-$E143*$I143/12*2,IF($J143&gt;=7,-$E143*$I143/12*3,0))))))</f>
        <v>0</v>
      </c>
      <c r="CA143" s="1807">
        <f t="shared" ref="CA143" si="2089">IF($H143&lt;&gt;CC$5,0,IF(CC143&lt;0,IF(OR($J143=1,$J143=2,$J143=3,$J143=4,$J143=5,$J143=6,$J143=7),-$E143*$I143/12*3,IF($J143=8,-$E143*$I143/12*2,IF($J143=9,-$E143*$I143/12*1,0)))))+IF(BX$5&lt;&gt;$H143,0,IF(BX143&lt;0,IF($J143=7,-$E143*$I143/12*0,IF($J143=8,-$E143*$I143/12*1,IF($J143=9,-$E143*$I143/12*2,IF($J143&gt;=10,-$E143*$I143/12*3,0))))))</f>
        <v>0</v>
      </c>
      <c r="CB143" s="1806">
        <f t="shared" ref="CB143" si="2090">IF($H143&lt;&gt;CC$5,0,IF(CC143&lt;0,IF(OR($J143=1,$J143=2,$J143=3,$J143=4,$J143=5,$J143=6,$J143=7,$J143=8,$J143=9,$J143=10),-$E143*$I143/12*3,IF($J143=11,-$E143*$I143/12*2,IF($J143=12,-$E143*$I143/12*1,0)))))+IF(BX$5&lt;&gt;$H143,0,IF(BX143&lt;0,IF($J143=10,-$E143*$I143/12*0,IF($J143=11,-$E143*$I143/12*1,IF($J143=12,-$E143*$I143/12*2,0)))))</f>
        <v>0</v>
      </c>
      <c r="CC143" s="1791">
        <f t="shared" ref="CC143" si="2091">IF(AND(BX143&lt;&gt;0,BX$5=$H143),-$I143*$E143-BX143,IF(CC$5=$H143,-$I143*$E143*(12-$J143+1)/12,0))</f>
        <v>0</v>
      </c>
      <c r="CD143" s="1808">
        <f t="shared" ref="CD143" si="2092">IF($H143&lt;&gt;CH$5,0,IF(CH143&lt;0,IF($J143=1,-$E143*$I143/12*3,IF($J143=2,-$E143*$I143/12*2,IF($J143=3,-$E143*$I143/12*1,0)))))+IF(CC$5&lt;&gt;$H143,0,IF(CC143&lt;0,IF($J143=1,-$E143*$I143/12*0,IF($J143=2,-$E143*$I143/12*1,IF($J143=3,-$E143*$I143/12*2,IF($J143&gt;=4,-$E143*$I143/12*3,0))))))</f>
        <v>0</v>
      </c>
      <c r="CE143" s="1807">
        <f t="shared" ref="CE143" si="2093">IF($H143&lt;&gt;CH$5,0,IF(CH143&lt;0,IF(OR($J143=1,$J143=2,$J143=3,$J143=4),-$E143*$I143/12*3,IF($J143=5,-$E143*$I143/12*2,IF($J143=6,-$E143*$I143/12*1,0)))))+IF(CC$5&lt;&gt;$H143,0,IF(CC143&lt;0,IF($J143=4,-$E143*$I143/12*0,IF($J143=5,-$E143*$I143/12*1,IF($J143=6,-$E143*$I143/12*2,IF($J143&gt;=7,-$E143*$I143/12*3,0))))))</f>
        <v>0</v>
      </c>
      <c r="CF143" s="1807">
        <f t="shared" ref="CF143" si="2094">IF($H143&lt;&gt;CH$5,0,IF(CH143&lt;0,IF(OR($J143=1,$J143=2,$J143=3,$J143=4,$J143=5,$J143=6,$J143=7),-$E143*$I143/12*3,IF($J143=8,-$E143*$I143/12*2,IF($J143=9,-$E143*$I143/12*1,0)))))+IF(CC$5&lt;&gt;$H143,0,IF(CC143&lt;0,IF($J143=7,-$E143*$I143/12*0,IF($J143=8,-$E143*$I143/12*1,IF($J143=9,-$E143*$I143/12*2,IF($J143&gt;=10,-$E143*$I143/12*3,0))))))</f>
        <v>0</v>
      </c>
      <c r="CG143" s="1806">
        <f t="shared" ref="CG143" si="2095">IF($H143&lt;&gt;CH$5,0,IF(CH143&lt;0,IF(OR($J143=1,$J143=2,$J143=3,$J143=4,$J143=5,$J143=6,$J143=7,$J143=8,$J143=9,$J143=10),-$E143*$I143/12*3,IF($J143=11,-$E143*$I143/12*2,IF($J143=12,-$E143*$I143/12*1,0)))))+IF(CC$5&lt;&gt;$H143,0,IF(CC143&lt;0,IF($J143=10,-$E143*$I143/12*0,IF($J143=11,-$E143*$I143/12*1,IF($J143=12,-$E143*$I143/12*2,0)))))</f>
        <v>0</v>
      </c>
      <c r="CH143" s="1791">
        <f t="shared" ref="CH143" si="2096">IF(AND(CC143&lt;&gt;0,CC$5=$H143),-$I143*$E143-CC143,IF(CH$5=$H143,-$I143*$E143*(12-$J143+1)/12,0))</f>
        <v>0</v>
      </c>
      <c r="CI143" s="1808">
        <f t="shared" ref="CI143" si="2097">IF($H143&lt;&gt;CM$5,0,IF(CM143&lt;0,IF($J143=1,-$E143*$I143/12*3,IF($J143=2,-$E143*$I143/12*2,IF($J143=3,-$E143*$I143/12*1,0)))))+IF(CH$5&lt;&gt;$H143,0,IF(CH143&lt;0,IF($J143=1,-$E143*$I143/12*0,IF($J143=2,-$E143*$I143/12*1,IF($J143=3,-$E143*$I143/12*2,IF($J143&gt;=4,-$E143*$I143/12*3,0))))))</f>
        <v>0</v>
      </c>
      <c r="CJ143" s="1807">
        <f t="shared" ref="CJ143" si="2098">IF($H143&lt;&gt;CM$5,0,IF(CM143&lt;0,IF(OR($J143=1,$J143=2,$J143=3,$J143=4),-$E143*$I143/12*3,IF($J143=5,-$E143*$I143/12*2,IF($J143=6,-$E143*$I143/12*1,0)))))+IF(CH$5&lt;&gt;$H143,0,IF(CH143&lt;0,IF($J143=4,-$E143*$I143/12*0,IF($J143=5,-$E143*$I143/12*1,IF($J143=6,-$E143*$I143/12*2,IF($J143&gt;=7,-$E143*$I143/12*3,0))))))</f>
        <v>0</v>
      </c>
      <c r="CK143" s="1807">
        <f t="shared" ref="CK143" si="2099">IF($H143&lt;&gt;CM$5,0,IF(CM143&lt;0,IF(OR($J143=1,$J143=2,$J143=3,$J143=4,$J143=5,$J143=6,$J143=7),-$E143*$I143/12*3,IF($J143=8,-$E143*$I143/12*2,IF($J143=9,-$E143*$I143/12*1,0)))))+IF(CH$5&lt;&gt;$H143,0,IF(CH143&lt;0,IF($J143=7,-$E143*$I143/12*0,IF($J143=8,-$E143*$I143/12*1,IF($J143=9,-$E143*$I143/12*2,IF($J143&gt;=10,-$E143*$I143/12*3,0))))))</f>
        <v>0</v>
      </c>
      <c r="CL143" s="1806">
        <f t="shared" ref="CL143" si="2100">IF($H143&lt;&gt;CM$5,0,IF(CM143&lt;0,IF(OR($J143=1,$J143=2,$J143=3,$J143=4,$J143=5,$J143=6,$J143=7,$J143=8,$J143=9,$J143=10),-$E143*$I143/12*3,IF($J143=11,-$E143*$I143/12*2,IF($J143=12,-$E143*$I143/12*1,0)))))+IF(CH$5&lt;&gt;$H143,0,IF(CH143&lt;0,IF($J143=10,-$E143*$I143/12*0,IF($J143=11,-$E143*$I143/12*1,IF($J143=12,-$E143*$I143/12*2,0)))))</f>
        <v>0</v>
      </c>
      <c r="CM143" s="1791">
        <f t="shared" ref="CM143" si="2101">IF(AND(CH143&lt;&gt;0,CH$5=$H143),-$I143*$E143-CH143,IF(CM$5=$H143,-$I143*$E143*(12-$J143+1)/12,0))</f>
        <v>0</v>
      </c>
      <c r="CN143" s="1808">
        <f t="shared" ref="CN143" si="2102">IF($H143&lt;&gt;CR$5,0,IF(CR143&lt;0,IF($J143=1,-$E143*$I143/12*3,IF($J143=2,-$E143*$I143/12*2,IF($J143=3,-$E143*$I143/12*1,0)))))+IF(CM$5&lt;&gt;$H143,0,IF(CM143&lt;0,IF($J143=1,-$E143*$I143/12*0,IF($J143=2,-$E143*$I143/12*1,IF($J143=3,-$E143*$I143/12*2,IF($J143&gt;=4,-$E143*$I143/12*3,0))))))</f>
        <v>0</v>
      </c>
      <c r="CO143" s="1807">
        <f t="shared" ref="CO143" si="2103">IF($H143&lt;&gt;CR$5,0,IF(CR143&lt;0,IF(OR($J143=1,$J143=2,$J143=3,$J143=4),-$E143*$I143/12*3,IF($J143=5,-$E143*$I143/12*2,IF($J143=6,-$E143*$I143/12*1,0)))))+IF(CM$5&lt;&gt;$H143,0,IF(CM143&lt;0,IF($J143=4,-$E143*$I143/12*0,IF($J143=5,-$E143*$I143/12*1,IF($J143=6,-$E143*$I143/12*2,IF($J143&gt;=7,-$E143*$I143/12*3,0))))))</f>
        <v>0</v>
      </c>
      <c r="CP143" s="1807">
        <f t="shared" ref="CP143" si="2104">IF($H143&lt;&gt;CR$5,0,IF(CR143&lt;0,IF(OR($J143=1,$J143=2,$J143=3,$J143=4,$J143=5,$J143=6,$J143=7),-$E143*$I143/12*3,IF($J143=8,-$E143*$I143/12*2,IF($J143=9,-$E143*$I143/12*1,0)))))+IF(CM$5&lt;&gt;$H143,0,IF(CM143&lt;0,IF($J143=7,-$E143*$I143/12*0,IF($J143=8,-$E143*$I143/12*1,IF($J143=9,-$E143*$I143/12*2,IF($J143&gt;=10,-$E143*$I143/12*3,0))))))</f>
        <v>0</v>
      </c>
      <c r="CQ143" s="1806">
        <f t="shared" ref="CQ143" si="2105">IF($H143&lt;&gt;CR$5,0,IF(CR143&lt;0,IF(OR($J143=1,$J143=2,$J143=3,$J143=4,$J143=5,$J143=6,$J143=7,$J143=8,$J143=9,$J143=10),-$E143*$I143/12*3,IF($J143=11,-$E143*$I143/12*2,IF($J143=12,-$E143*$I143/12*1,0)))))+IF(CM$5&lt;&gt;$H143,0,IF(CM143&lt;0,IF($J143=10,-$E143*$I143/12*0,IF($J143=11,-$E143*$I143/12*1,IF($J143=12,-$E143*$I143/12*2,0)))))</f>
        <v>0</v>
      </c>
      <c r="CR143" s="1791">
        <f t="shared" ref="CR143" si="2106">IF(AND(CM143&lt;&gt;0,CM$5=$H143),-$I143*$E143-CM143,IF(CR$5=$H143,-$I143*$E143*(12-$J143+1)/12,0))</f>
        <v>0</v>
      </c>
      <c r="CS143" s="1808">
        <f t="shared" ref="CS143" si="2107">IF($H143&lt;&gt;CW$5,0,IF(CW143&lt;0,IF($J143=1,-$E143*$I143/12*3,IF($J143=2,-$E143*$I143/12*2,IF($J143=3,-$E143*$I143/12*1,0)))))+IF(CR$5&lt;&gt;$H143,0,IF(CR143&lt;0,IF($J143=1,-$E143*$I143/12*0,IF($J143=2,-$E143*$I143/12*1,IF($J143=3,-$E143*$I143/12*2,IF($J143&gt;=4,-$E143*$I143/12*3,0))))))</f>
        <v>0</v>
      </c>
      <c r="CT143" s="1807">
        <f t="shared" ref="CT143" si="2108">IF($H143&lt;&gt;CW$5,0,IF(CW143&lt;0,IF(OR($J143=1,$J143=2,$J143=3,$J143=4),-$E143*$I143/12*3,IF($J143=5,-$E143*$I143/12*2,IF($J143=6,-$E143*$I143/12*1,0)))))+IF(CR$5&lt;&gt;$H143,0,IF(CR143&lt;0,IF($J143=4,-$E143*$I143/12*0,IF($J143=5,-$E143*$I143/12*1,IF($J143=6,-$E143*$I143/12*2,IF($J143&gt;=7,-$E143*$I143/12*3,0))))))</f>
        <v>0</v>
      </c>
      <c r="CU143" s="1807">
        <f t="shared" ref="CU143" si="2109">IF($H143&lt;&gt;CW$5,0,IF(CW143&lt;0,IF(OR($J143=1,$J143=2,$J143=3,$J143=4,$J143=5,$J143=6,$J143=7),-$E143*$I143/12*3,IF($J143=8,-$E143*$I143/12*2,IF($J143=9,-$E143*$I143/12*1,0)))))+IF(CR$5&lt;&gt;$H143,0,IF(CR143&lt;0,IF($J143=7,-$E143*$I143/12*0,IF($J143=8,-$E143*$I143/12*1,IF($J143=9,-$E143*$I143/12*2,IF($J143&gt;=10,-$E143*$I143/12*3,0))))))</f>
        <v>0</v>
      </c>
      <c r="CV143" s="1806">
        <f t="shared" ref="CV143" si="2110">IF($H143&lt;&gt;CW$5,0,IF(CW143&lt;0,IF(OR($J143=1,$J143=2,$J143=3,$J143=4,$J143=5,$J143=6,$J143=7,$J143=8,$J143=9,$J143=10),-$E143*$I143/12*3,IF($J143=11,-$E143*$I143/12*2,IF($J143=12,-$E143*$I143/12*1,0)))))+IF(CR$5&lt;&gt;$H143,0,IF(CR143&lt;0,IF($J143=10,-$E143*$I143/12*0,IF($J143=11,-$E143*$I143/12*1,IF($J143=12,-$E143*$I143/12*2,0)))))</f>
        <v>0</v>
      </c>
      <c r="CW143" s="1791">
        <f t="shared" ref="CW143" si="2111">IF(AND(CR143&lt;&gt;0,CR$5=$H143),-$I143*$E143-CR143,IF(CW$5=$H143,-$I143*$E143*(12-$J143+1)/12,0))</f>
        <v>0</v>
      </c>
      <c r="CX143" s="1808">
        <f t="shared" ref="CX143" si="2112">IF($H143&lt;&gt;DB$5,0,IF(DB143&lt;0,IF($J143=1,-$E143*$I143/12*3,IF($J143=2,-$E143*$I143/12*2,IF($J143=3,-$E143*$I143/12*1,0)))))+IF(CW$5&lt;&gt;$H143,0,IF(CW143&lt;0,IF($J143=1,-$E143*$I143/12*0,IF($J143=2,-$E143*$I143/12*1,IF($J143=3,-$E143*$I143/12*2,IF($J143&gt;=4,-$E143*$I143/12*3,0))))))</f>
        <v>0</v>
      </c>
      <c r="CY143" s="1807">
        <f t="shared" ref="CY143" si="2113">IF($H143&lt;&gt;DB$5,0,IF(DB143&lt;0,IF(OR($J143=1,$J143=2,$J143=3,$J143=4),-$E143*$I143/12*3,IF($J143=5,-$E143*$I143/12*2,IF($J143=6,-$E143*$I143/12*1,0)))))+IF(CW$5&lt;&gt;$H143,0,IF(CW143&lt;0,IF($J143=4,-$E143*$I143/12*0,IF($J143=5,-$E143*$I143/12*1,IF($J143=6,-$E143*$I143/12*2,IF($J143&gt;=7,-$E143*$I143/12*3,0))))))</f>
        <v>0</v>
      </c>
      <c r="CZ143" s="1807">
        <f t="shared" ref="CZ143" si="2114">IF($H143&lt;&gt;DB$5,0,IF(DB143&lt;0,IF(OR($J143=1,$J143=2,$J143=3,$J143=4,$J143=5,$J143=6,$J143=7),-$E143*$I143/12*3,IF($J143=8,-$E143*$I143/12*2,IF($J143=9,-$E143*$I143/12*1,0)))))+IF(CW$5&lt;&gt;$H143,0,IF(CW143&lt;0,IF($J143=7,-$E143*$I143/12*0,IF($J143=8,-$E143*$I143/12*1,IF($J143=9,-$E143*$I143/12*2,IF($J143&gt;=10,-$E143*$I143/12*3,0))))))</f>
        <v>0</v>
      </c>
      <c r="DA143" s="1806">
        <f t="shared" ref="DA143" si="2115">IF($H143&lt;&gt;DB$5,0,IF(DB143&lt;0,IF(OR($J143=1,$J143=2,$J143=3,$J143=4,$J143=5,$J143=6,$J143=7,$J143=8,$J143=9,$J143=10),-$E143*$I143/12*3,IF($J143=11,-$E143*$I143/12*2,IF($J143=12,-$E143*$I143/12*1,0)))))+IF(CW$5&lt;&gt;$H143,0,IF(CW143&lt;0,IF($J143=10,-$E143*$I143/12*0,IF($J143=11,-$E143*$I143/12*1,IF($J143=12,-$E143*$I143/12*2,0)))))</f>
        <v>0</v>
      </c>
      <c r="DB143" s="1791">
        <f t="shared" ref="DB143" si="2116">IF(AND(CW143&lt;&gt;0,CW$5=$H143),-$I143*$E143-CW143,IF(DB$5=$H143,-$I143*$E143*(12-$J143+1)/12,0))</f>
        <v>0</v>
      </c>
      <c r="DC143" s="1808">
        <f t="shared" ref="DC143" si="2117">IF($H143&lt;&gt;DG$5,0,IF(DG143&lt;0,IF($J143=1,-$E143*$I143/12*3,IF($J143=2,-$E143*$I143/12*2,IF($J143=3,-$E143*$I143/12*1,0)))))+IF(DB$5&lt;&gt;$H143,0,IF(DB143&lt;0,IF($J143=1,-$E143*$I143/12*0,IF($J143=2,-$E143*$I143/12*1,IF($J143=3,-$E143*$I143/12*2,IF($J143&gt;=4,-$E143*$I143/12*3,0))))))</f>
        <v>0</v>
      </c>
      <c r="DD143" s="1807">
        <f t="shared" ref="DD143" si="2118">IF($H143&lt;&gt;DG$5,0,IF(DG143&lt;0,IF(OR($J143=1,$J143=2,$J143=3,$J143=4),-$E143*$I143/12*3,IF($J143=5,-$E143*$I143/12*2,IF($J143=6,-$E143*$I143/12*1,0)))))+IF(DB$5&lt;&gt;$H143,0,IF(DB143&lt;0,IF($J143=4,-$E143*$I143/12*0,IF($J143=5,-$E143*$I143/12*1,IF($J143=6,-$E143*$I143/12*2,IF($J143&gt;=7,-$E143*$I143/12*3,0))))))</f>
        <v>0</v>
      </c>
      <c r="DE143" s="1807">
        <f t="shared" ref="DE143" si="2119">IF($H143&lt;&gt;DG$5,0,IF(DG143&lt;0,IF(OR($J143=1,$J143=2,$J143=3,$J143=4,$J143=5,$J143=6,$J143=7),-$E143*$I143/12*3,IF($J143=8,-$E143*$I143/12*2,IF($J143=9,-$E143*$I143/12*1,0)))))+IF(DB$5&lt;&gt;$H143,0,IF(DB143&lt;0,IF($J143=7,-$E143*$I143/12*0,IF($J143=8,-$E143*$I143/12*1,IF($J143=9,-$E143*$I143/12*2,IF($J143&gt;=10,-$E143*$I143/12*3,0))))))</f>
        <v>0</v>
      </c>
      <c r="DF143" s="1806">
        <f t="shared" ref="DF143" si="2120">IF($H143&lt;&gt;DG$5,0,IF(DG143&lt;0,IF(OR($J143=1,$J143=2,$J143=3,$J143=4,$J143=5,$J143=6,$J143=7,$J143=8,$J143=9,$J143=10),-$E143*$I143/12*3,IF($J143=11,-$E143*$I143/12*2,IF($J143=12,-$E143*$I143/12*1,0)))))+IF(DB$5&lt;&gt;$H143,0,IF(DB143&lt;0,IF($J143=10,-$E143*$I143/12*0,IF($J143=11,-$E143*$I143/12*1,IF($J143=12,-$E143*$I143/12*2,0)))))</f>
        <v>0</v>
      </c>
      <c r="DG143" s="1791">
        <f t="shared" ref="DG143" si="2121">IF(AND(DB143&lt;&gt;0,DB$5=$H143),-$I143*$E143-DB143,IF(DG$5=$H143,-$I143*$E143*(12-$J143+1)/12,0))</f>
        <v>0</v>
      </c>
      <c r="DH143" s="1808">
        <f t="shared" ref="DH143" si="2122">IF($H143&lt;&gt;DL$5,0,IF(DL143&lt;0,IF($J143=1,-$E143*$I143/12*3,IF($J143=2,-$E143*$I143/12*2,IF($J143=3,-$E143*$I143/12*1,0)))))+IF(DG$5&lt;&gt;$H143,0,IF(DG143&lt;0,IF($J143=1,-$E143*$I143/12*0,IF($J143=2,-$E143*$I143/12*1,IF($J143=3,-$E143*$I143/12*2,IF($J143&gt;=4,-$E143*$I143/12*3,0))))))</f>
        <v>0</v>
      </c>
      <c r="DI143" s="1807">
        <f t="shared" ref="DI143" si="2123">IF($H143&lt;&gt;DL$5,0,IF(DL143&lt;0,IF(OR($J143=1,$J143=2,$J143=3,$J143=4),-$E143*$I143/12*3,IF($J143=5,-$E143*$I143/12*2,IF($J143=6,-$E143*$I143/12*1,0)))))+IF(DG$5&lt;&gt;$H143,0,IF(DG143&lt;0,IF($J143=4,-$E143*$I143/12*0,IF($J143=5,-$E143*$I143/12*1,IF($J143=6,-$E143*$I143/12*2,IF($J143&gt;=7,-$E143*$I143/12*3,0))))))</f>
        <v>0</v>
      </c>
      <c r="DJ143" s="1807">
        <f t="shared" ref="DJ143" si="2124">IF($H143&lt;&gt;DL$5,0,IF(DL143&lt;0,IF(OR($J143=1,$J143=2,$J143=3,$J143=4,$J143=5,$J143=6,$J143=7),-$E143*$I143/12*3,IF($J143=8,-$E143*$I143/12*2,IF($J143=9,-$E143*$I143/12*1,0)))))+IF(DG$5&lt;&gt;$H143,0,IF(DG143&lt;0,IF($J143=7,-$E143*$I143/12*0,IF($J143=8,-$E143*$I143/12*1,IF($J143=9,-$E143*$I143/12*2,IF($J143&gt;=10,-$E143*$I143/12*3,0))))))</f>
        <v>0</v>
      </c>
      <c r="DK143" s="1806">
        <f t="shared" ref="DK143" si="2125">IF($H143&lt;&gt;DL$5,0,IF(DL143&lt;0,IF(OR($J143=1,$J143=2,$J143=3,$J143=4,$J143=5,$J143=6,$J143=7,$J143=8,$J143=9,$J143=10),-$E143*$I143/12*3,IF($J143=11,-$E143*$I143/12*2,IF($J143=12,-$E143*$I143/12*1,0)))))+IF(DG$5&lt;&gt;$H143,0,IF(DG143&lt;0,IF($J143=10,-$E143*$I143/12*0,IF($J143=11,-$E143*$I143/12*1,IF($J143=12,-$E143*$I143/12*2,0)))))</f>
        <v>0</v>
      </c>
      <c r="DL143" s="1791">
        <f t="shared" ref="DL143" si="2126">IF(AND(DG143&lt;&gt;0,DG$5=$H143),-$I143*$E143-DG143,IF(DL$5=$H143,-$I143*$E143*(12-$J143+1)/12,0))</f>
        <v>0</v>
      </c>
      <c r="DM143" s="1808">
        <f t="shared" ref="DM143" si="2127">IF($H143&lt;&gt;DQ$5,0,IF(DQ143&lt;0,IF($J143=1,-$E143*$I143/12*3,IF($J143=2,-$E143*$I143/12*2,IF($J143=3,-$E143*$I143/12*1,0)))))+IF(DL$5&lt;&gt;$H143,0,IF(DL143&lt;0,IF($J143=1,-$E143*$I143/12*0,IF($J143=2,-$E143*$I143/12*1,IF($J143=3,-$E143*$I143/12*2,IF($J143&gt;=4,-$E143*$I143/12*3,0))))))</f>
        <v>0</v>
      </c>
      <c r="DN143" s="1807">
        <f t="shared" ref="DN143" si="2128">IF($H143&lt;&gt;DQ$5,0,IF(DQ143&lt;0,IF(OR($J143=1,$J143=2,$J143=3,$J143=4),-$E143*$I143/12*3,IF($J143=5,-$E143*$I143/12*2,IF($J143=6,-$E143*$I143/12*1,0)))))+IF(DL$5&lt;&gt;$H143,0,IF(DL143&lt;0,IF($J143=4,-$E143*$I143/12*0,IF($J143=5,-$E143*$I143/12*1,IF($J143=6,-$E143*$I143/12*2,IF($J143&gt;=7,-$E143*$I143/12*3,0))))))</f>
        <v>0</v>
      </c>
      <c r="DO143" s="1807">
        <f t="shared" ref="DO143" si="2129">IF($H143&lt;&gt;DQ$5,0,IF(DQ143&lt;0,IF(OR($J143=1,$J143=2,$J143=3,$J143=4,$J143=5,$J143=6,$J143=7),-$E143*$I143/12*3,IF($J143=8,-$E143*$I143/12*2,IF($J143=9,-$E143*$I143/12*1,0)))))+IF(DL$5&lt;&gt;$H143,0,IF(DL143&lt;0,IF($J143=7,-$E143*$I143/12*0,IF($J143=8,-$E143*$I143/12*1,IF($J143=9,-$E143*$I143/12*2,IF($J143&gt;=10,-$E143*$I143/12*3,0))))))</f>
        <v>0</v>
      </c>
      <c r="DP143" s="1806">
        <f t="shared" ref="DP143" si="2130">IF($H143&lt;&gt;DQ$5,0,IF(DQ143&lt;0,IF(OR($J143=1,$J143=2,$J143=3,$J143=4,$J143=5,$J143=6,$J143=7,$J143=8,$J143=9,$J143=10),-$E143*$I143/12*3,IF($J143=11,-$E143*$I143/12*2,IF($J143=12,-$E143*$I143/12*1,0)))))+IF(DL$5&lt;&gt;$H143,0,IF(DL143&lt;0,IF($J143=10,-$E143*$I143/12*0,IF($J143=11,-$E143*$I143/12*1,IF($J143=12,-$E143*$I143/12*2,0)))))</f>
        <v>0</v>
      </c>
      <c r="DQ143" s="1791">
        <f t="shared" ref="DQ143" si="2131">IF(AND(DL143&lt;&gt;0,DL$5=$H143),-$I143*$E143-DL143,IF(DQ$5=$H143,-$I143*$E143*(12-$J143+1)/12,0))</f>
        <v>0</v>
      </c>
      <c r="DR143" s="1808">
        <f t="shared" si="1934"/>
        <v>0</v>
      </c>
      <c r="DS143" s="1807">
        <f t="shared" si="1935"/>
        <v>-0.265625</v>
      </c>
      <c r="DT143" s="1807">
        <f t="shared" si="1936"/>
        <v>-0.796875</v>
      </c>
      <c r="DU143" s="1806">
        <f t="shared" si="1937"/>
        <v>-0.796875</v>
      </c>
      <c r="DV143" s="1791">
        <f t="shared" si="1938"/>
        <v>-1.859375</v>
      </c>
    </row>
    <row r="144" spans="1:126">
      <c r="A144" s="455"/>
      <c r="B144" s="455"/>
      <c r="C144" s="1363"/>
      <c r="D144" s="94"/>
      <c r="E144" s="1817"/>
      <c r="F144" s="1435"/>
      <c r="G144" s="1435"/>
      <c r="H144" s="1350"/>
      <c r="I144" s="1335"/>
      <c r="J144" s="1343"/>
      <c r="K144" s="1792"/>
      <c r="L144" s="1810">
        <f t="shared" si="1827"/>
        <v>0</v>
      </c>
      <c r="M144" s="1791">
        <f t="shared" si="1827"/>
        <v>0</v>
      </c>
      <c r="N144" s="1808">
        <f t="shared" si="1828"/>
        <v>0</v>
      </c>
      <c r="O144" s="1807">
        <f t="shared" si="1829"/>
        <v>0</v>
      </c>
      <c r="P144" s="1807">
        <f t="shared" si="1830"/>
        <v>0</v>
      </c>
      <c r="Q144" s="1806">
        <f t="shared" si="1831"/>
        <v>0</v>
      </c>
      <c r="R144" s="1791">
        <f t="shared" si="1832"/>
        <v>0</v>
      </c>
      <c r="S144" s="1808">
        <f t="shared" si="1833"/>
        <v>0</v>
      </c>
      <c r="T144" s="1807">
        <f t="shared" si="1834"/>
        <v>0</v>
      </c>
      <c r="U144" s="1807">
        <f t="shared" si="1835"/>
        <v>0</v>
      </c>
      <c r="V144" s="1806">
        <f t="shared" si="1836"/>
        <v>0</v>
      </c>
      <c r="W144" s="1791">
        <f t="shared" si="1837"/>
        <v>0</v>
      </c>
      <c r="X144" s="1808">
        <f t="shared" si="1838"/>
        <v>0</v>
      </c>
      <c r="Y144" s="1807">
        <f t="shared" si="1839"/>
        <v>0</v>
      </c>
      <c r="Z144" s="1807">
        <f t="shared" si="1840"/>
        <v>0</v>
      </c>
      <c r="AA144" s="1806">
        <f t="shared" si="1841"/>
        <v>0</v>
      </c>
      <c r="AB144" s="1791">
        <f t="shared" si="1842"/>
        <v>0</v>
      </c>
      <c r="AC144" s="1808">
        <f t="shared" si="1843"/>
        <v>0</v>
      </c>
      <c r="AD144" s="1807">
        <f t="shared" si="1844"/>
        <v>0</v>
      </c>
      <c r="AE144" s="1807">
        <f t="shared" si="1845"/>
        <v>0</v>
      </c>
      <c r="AF144" s="1806">
        <f t="shared" si="1846"/>
        <v>0</v>
      </c>
      <c r="AG144" s="1791">
        <f t="shared" si="1847"/>
        <v>0</v>
      </c>
      <c r="AH144" s="1808">
        <f t="shared" si="1848"/>
        <v>0</v>
      </c>
      <c r="AI144" s="1807">
        <f t="shared" si="1849"/>
        <v>0</v>
      </c>
      <c r="AJ144" s="1807">
        <f t="shared" si="1850"/>
        <v>0</v>
      </c>
      <c r="AK144" s="1806">
        <f t="shared" si="1851"/>
        <v>0</v>
      </c>
      <c r="AL144" s="1791">
        <f t="shared" si="1852"/>
        <v>0</v>
      </c>
      <c r="AM144" s="1808">
        <f t="shared" si="1853"/>
        <v>0</v>
      </c>
      <c r="AN144" s="1807">
        <f t="shared" si="1854"/>
        <v>0</v>
      </c>
      <c r="AO144" s="1807">
        <f t="shared" si="1855"/>
        <v>0</v>
      </c>
      <c r="AP144" s="1806">
        <f t="shared" si="1856"/>
        <v>0</v>
      </c>
      <c r="AQ144" s="1791">
        <f t="shared" si="1857"/>
        <v>0</v>
      </c>
      <c r="AR144" s="1808">
        <f t="shared" si="1858"/>
        <v>0</v>
      </c>
      <c r="AS144" s="1807">
        <f t="shared" si="1859"/>
        <v>0</v>
      </c>
      <c r="AT144" s="1807">
        <f t="shared" si="1860"/>
        <v>0</v>
      </c>
      <c r="AU144" s="1806">
        <f t="shared" si="1861"/>
        <v>0</v>
      </c>
      <c r="AV144" s="1791">
        <f t="shared" si="1862"/>
        <v>0</v>
      </c>
      <c r="AW144" s="1808">
        <f t="shared" si="1863"/>
        <v>0</v>
      </c>
      <c r="AX144" s="1807">
        <f t="shared" si="1864"/>
        <v>0</v>
      </c>
      <c r="AY144" s="1807">
        <f t="shared" si="1865"/>
        <v>0</v>
      </c>
      <c r="AZ144" s="1806">
        <f t="shared" si="1866"/>
        <v>0</v>
      </c>
      <c r="BA144" s="1791">
        <f t="shared" si="1867"/>
        <v>0</v>
      </c>
      <c r="BB144" s="1808">
        <f t="shared" si="1868"/>
        <v>0</v>
      </c>
      <c r="BC144" s="1807">
        <f t="shared" si="1869"/>
        <v>0</v>
      </c>
      <c r="BD144" s="1807">
        <f t="shared" si="1870"/>
        <v>0</v>
      </c>
      <c r="BE144" s="1806">
        <f t="shared" si="1871"/>
        <v>0</v>
      </c>
      <c r="BF144" s="1791">
        <f t="shared" si="1872"/>
        <v>0</v>
      </c>
      <c r="BG144" s="1808">
        <f t="shared" si="1873"/>
        <v>0</v>
      </c>
      <c r="BH144" s="1807">
        <f t="shared" si="1874"/>
        <v>0</v>
      </c>
      <c r="BI144" s="1807">
        <f t="shared" si="1875"/>
        <v>0</v>
      </c>
      <c r="BJ144" s="1806">
        <f t="shared" si="1876"/>
        <v>0</v>
      </c>
      <c r="BK144" s="1791">
        <f t="shared" si="1877"/>
        <v>0</v>
      </c>
      <c r="BL144" s="1808">
        <f t="shared" si="1878"/>
        <v>0</v>
      </c>
      <c r="BM144" s="1807">
        <f t="shared" si="1879"/>
        <v>0</v>
      </c>
      <c r="BN144" s="1807">
        <f t="shared" si="1880"/>
        <v>0</v>
      </c>
      <c r="BO144" s="1806">
        <f t="shared" si="1881"/>
        <v>0</v>
      </c>
      <c r="BP144" s="1791">
        <f t="shared" si="1882"/>
        <v>0</v>
      </c>
      <c r="BQ144" s="1827"/>
      <c r="BR144" s="1791">
        <f t="shared" si="1883"/>
        <v>0</v>
      </c>
      <c r="BS144" s="1791">
        <f t="shared" si="1883"/>
        <v>0</v>
      </c>
      <c r="BT144" s="1808">
        <f t="shared" si="1884"/>
        <v>0</v>
      </c>
      <c r="BU144" s="1807">
        <f t="shared" si="1885"/>
        <v>0</v>
      </c>
      <c r="BV144" s="1807">
        <f t="shared" si="1886"/>
        <v>0</v>
      </c>
      <c r="BW144" s="1806">
        <f t="shared" si="1887"/>
        <v>0</v>
      </c>
      <c r="BX144" s="1791">
        <f t="shared" si="1888"/>
        <v>0</v>
      </c>
      <c r="BY144" s="1808">
        <f t="shared" si="1889"/>
        <v>0</v>
      </c>
      <c r="BZ144" s="1807">
        <f t="shared" si="1890"/>
        <v>0</v>
      </c>
      <c r="CA144" s="1807">
        <f t="shared" si="1891"/>
        <v>0</v>
      </c>
      <c r="CB144" s="1806">
        <f t="shared" si="1892"/>
        <v>0</v>
      </c>
      <c r="CC144" s="1791">
        <f t="shared" si="1893"/>
        <v>0</v>
      </c>
      <c r="CD144" s="1808">
        <f t="shared" si="1894"/>
        <v>0</v>
      </c>
      <c r="CE144" s="1807">
        <f t="shared" si="1895"/>
        <v>0</v>
      </c>
      <c r="CF144" s="1807">
        <f t="shared" si="1896"/>
        <v>0</v>
      </c>
      <c r="CG144" s="1806">
        <f t="shared" si="1897"/>
        <v>0</v>
      </c>
      <c r="CH144" s="1791">
        <f t="shared" si="1898"/>
        <v>0</v>
      </c>
      <c r="CI144" s="1808">
        <f t="shared" si="1899"/>
        <v>0</v>
      </c>
      <c r="CJ144" s="1807">
        <f t="shared" si="1900"/>
        <v>0</v>
      </c>
      <c r="CK144" s="1807">
        <f t="shared" si="1901"/>
        <v>0</v>
      </c>
      <c r="CL144" s="1806">
        <f t="shared" si="1902"/>
        <v>0</v>
      </c>
      <c r="CM144" s="1791">
        <f t="shared" si="1903"/>
        <v>0</v>
      </c>
      <c r="CN144" s="1808">
        <f t="shared" si="1904"/>
        <v>0</v>
      </c>
      <c r="CO144" s="1807">
        <f t="shared" si="1905"/>
        <v>0</v>
      </c>
      <c r="CP144" s="1807">
        <f t="shared" si="1906"/>
        <v>0</v>
      </c>
      <c r="CQ144" s="1806">
        <f t="shared" si="1907"/>
        <v>0</v>
      </c>
      <c r="CR144" s="1791">
        <f t="shared" si="1908"/>
        <v>0</v>
      </c>
      <c r="CS144" s="1808">
        <f t="shared" si="1909"/>
        <v>0</v>
      </c>
      <c r="CT144" s="1807">
        <f t="shared" si="1910"/>
        <v>0</v>
      </c>
      <c r="CU144" s="1807">
        <f t="shared" si="1911"/>
        <v>0</v>
      </c>
      <c r="CV144" s="1806">
        <f t="shared" si="1912"/>
        <v>0</v>
      </c>
      <c r="CW144" s="1791">
        <f t="shared" si="1913"/>
        <v>0</v>
      </c>
      <c r="CX144" s="1808">
        <f t="shared" si="1914"/>
        <v>0</v>
      </c>
      <c r="CY144" s="1807">
        <f t="shared" si="1915"/>
        <v>0</v>
      </c>
      <c r="CZ144" s="1807">
        <f t="shared" si="1916"/>
        <v>0</v>
      </c>
      <c r="DA144" s="1806">
        <f t="shared" si="1917"/>
        <v>0</v>
      </c>
      <c r="DB144" s="1791">
        <f t="shared" si="1918"/>
        <v>0</v>
      </c>
      <c r="DC144" s="1808">
        <f t="shared" si="1919"/>
        <v>0</v>
      </c>
      <c r="DD144" s="1807">
        <f t="shared" si="1920"/>
        <v>0</v>
      </c>
      <c r="DE144" s="1807">
        <f t="shared" si="1921"/>
        <v>0</v>
      </c>
      <c r="DF144" s="1806">
        <f t="shared" si="1922"/>
        <v>0</v>
      </c>
      <c r="DG144" s="1791">
        <f t="shared" si="1923"/>
        <v>0</v>
      </c>
      <c r="DH144" s="1808">
        <f t="shared" si="1924"/>
        <v>0</v>
      </c>
      <c r="DI144" s="1807">
        <f t="shared" si="1925"/>
        <v>0</v>
      </c>
      <c r="DJ144" s="1807">
        <f t="shared" si="1926"/>
        <v>0</v>
      </c>
      <c r="DK144" s="1806">
        <f t="shared" si="1927"/>
        <v>0</v>
      </c>
      <c r="DL144" s="1791">
        <f t="shared" si="1928"/>
        <v>0</v>
      </c>
      <c r="DM144" s="1808">
        <f t="shared" si="1929"/>
        <v>0</v>
      </c>
      <c r="DN144" s="1807">
        <f t="shared" si="1930"/>
        <v>0</v>
      </c>
      <c r="DO144" s="1807">
        <f t="shared" si="1931"/>
        <v>0</v>
      </c>
      <c r="DP144" s="1806">
        <f t="shared" si="1932"/>
        <v>0</v>
      </c>
      <c r="DQ144" s="1791">
        <f t="shared" si="1933"/>
        <v>0</v>
      </c>
      <c r="DR144" s="1808">
        <f t="shared" si="1934"/>
        <v>0</v>
      </c>
      <c r="DS144" s="1807">
        <f t="shared" si="1935"/>
        <v>0</v>
      </c>
      <c r="DT144" s="1807">
        <f t="shared" si="1936"/>
        <v>0</v>
      </c>
      <c r="DU144" s="1806">
        <f t="shared" si="1937"/>
        <v>0</v>
      </c>
      <c r="DV144" s="1791">
        <f t="shared" si="1938"/>
        <v>0</v>
      </c>
    </row>
    <row r="145" spans="1:126">
      <c r="A145" s="455"/>
      <c r="B145" s="455"/>
      <c r="C145" s="1596" t="s">
        <v>748</v>
      </c>
      <c r="D145" s="94"/>
      <c r="E145" s="1817"/>
      <c r="F145" s="1435"/>
      <c r="G145" s="1435"/>
      <c r="H145" s="1597"/>
      <c r="I145" s="1598"/>
      <c r="J145" s="1599"/>
      <c r="K145" s="1792"/>
      <c r="L145" s="1810">
        <f t="shared" si="1827"/>
        <v>0</v>
      </c>
      <c r="M145" s="1791">
        <f t="shared" si="1827"/>
        <v>0</v>
      </c>
      <c r="N145" s="1808">
        <f t="shared" si="1828"/>
        <v>0</v>
      </c>
      <c r="O145" s="1807">
        <f t="shared" si="1829"/>
        <v>0</v>
      </c>
      <c r="P145" s="1807">
        <f t="shared" si="1830"/>
        <v>0</v>
      </c>
      <c r="Q145" s="1806">
        <f t="shared" si="1831"/>
        <v>0</v>
      </c>
      <c r="R145" s="1791">
        <f t="shared" si="1832"/>
        <v>0</v>
      </c>
      <c r="S145" s="1808">
        <f t="shared" si="1833"/>
        <v>0</v>
      </c>
      <c r="T145" s="1807">
        <f t="shared" si="1834"/>
        <v>0</v>
      </c>
      <c r="U145" s="1807">
        <f t="shared" si="1835"/>
        <v>0</v>
      </c>
      <c r="V145" s="1806">
        <f t="shared" si="1836"/>
        <v>0</v>
      </c>
      <c r="W145" s="1791">
        <f t="shared" si="1837"/>
        <v>0</v>
      </c>
      <c r="X145" s="1808">
        <f t="shared" si="1838"/>
        <v>0</v>
      </c>
      <c r="Y145" s="1807">
        <f t="shared" si="1839"/>
        <v>0</v>
      </c>
      <c r="Z145" s="1807">
        <f t="shared" si="1840"/>
        <v>0</v>
      </c>
      <c r="AA145" s="1806">
        <f t="shared" si="1841"/>
        <v>0</v>
      </c>
      <c r="AB145" s="1791">
        <f t="shared" si="1842"/>
        <v>0</v>
      </c>
      <c r="AC145" s="1808">
        <f t="shared" si="1843"/>
        <v>0</v>
      </c>
      <c r="AD145" s="1807">
        <f t="shared" si="1844"/>
        <v>0</v>
      </c>
      <c r="AE145" s="1807">
        <f t="shared" si="1845"/>
        <v>0</v>
      </c>
      <c r="AF145" s="1806">
        <f t="shared" si="1846"/>
        <v>0</v>
      </c>
      <c r="AG145" s="1791">
        <f t="shared" si="1847"/>
        <v>0</v>
      </c>
      <c r="AH145" s="1808">
        <f t="shared" si="1848"/>
        <v>0</v>
      </c>
      <c r="AI145" s="1807">
        <f t="shared" si="1849"/>
        <v>0</v>
      </c>
      <c r="AJ145" s="1807">
        <f t="shared" si="1850"/>
        <v>0</v>
      </c>
      <c r="AK145" s="1806">
        <f t="shared" si="1851"/>
        <v>0</v>
      </c>
      <c r="AL145" s="1791">
        <f t="shared" si="1852"/>
        <v>0</v>
      </c>
      <c r="AM145" s="1808">
        <f t="shared" si="1853"/>
        <v>0</v>
      </c>
      <c r="AN145" s="1807">
        <f t="shared" si="1854"/>
        <v>0</v>
      </c>
      <c r="AO145" s="1807">
        <f t="shared" si="1855"/>
        <v>0</v>
      </c>
      <c r="AP145" s="1806">
        <f t="shared" si="1856"/>
        <v>0</v>
      </c>
      <c r="AQ145" s="1791">
        <f t="shared" si="1857"/>
        <v>0</v>
      </c>
      <c r="AR145" s="1808">
        <f t="shared" si="1858"/>
        <v>0</v>
      </c>
      <c r="AS145" s="1807">
        <f t="shared" si="1859"/>
        <v>0</v>
      </c>
      <c r="AT145" s="1807">
        <f t="shared" si="1860"/>
        <v>0</v>
      </c>
      <c r="AU145" s="1806">
        <f t="shared" si="1861"/>
        <v>0</v>
      </c>
      <c r="AV145" s="1791">
        <f t="shared" si="1862"/>
        <v>0</v>
      </c>
      <c r="AW145" s="1808">
        <f t="shared" si="1863"/>
        <v>0</v>
      </c>
      <c r="AX145" s="1807">
        <f t="shared" si="1864"/>
        <v>0</v>
      </c>
      <c r="AY145" s="1807">
        <f t="shared" si="1865"/>
        <v>0</v>
      </c>
      <c r="AZ145" s="1806">
        <f t="shared" si="1866"/>
        <v>0</v>
      </c>
      <c r="BA145" s="1791">
        <f t="shared" si="1867"/>
        <v>0</v>
      </c>
      <c r="BB145" s="1808">
        <f t="shared" si="1868"/>
        <v>0</v>
      </c>
      <c r="BC145" s="1807">
        <f t="shared" si="1869"/>
        <v>0</v>
      </c>
      <c r="BD145" s="1807">
        <f t="shared" si="1870"/>
        <v>0</v>
      </c>
      <c r="BE145" s="1806">
        <f t="shared" si="1871"/>
        <v>0</v>
      </c>
      <c r="BF145" s="1791">
        <f t="shared" si="1872"/>
        <v>0</v>
      </c>
      <c r="BG145" s="1808">
        <f t="shared" si="1873"/>
        <v>0</v>
      </c>
      <c r="BH145" s="1807">
        <f t="shared" si="1874"/>
        <v>0</v>
      </c>
      <c r="BI145" s="1807">
        <f t="shared" si="1875"/>
        <v>0</v>
      </c>
      <c r="BJ145" s="1806">
        <f t="shared" si="1876"/>
        <v>0</v>
      </c>
      <c r="BK145" s="1791">
        <f t="shared" si="1877"/>
        <v>0</v>
      </c>
      <c r="BL145" s="1808">
        <f t="shared" si="1878"/>
        <v>0</v>
      </c>
      <c r="BM145" s="1807">
        <f t="shared" si="1879"/>
        <v>0</v>
      </c>
      <c r="BN145" s="1807">
        <f t="shared" si="1880"/>
        <v>0</v>
      </c>
      <c r="BO145" s="1806">
        <f t="shared" si="1881"/>
        <v>0</v>
      </c>
      <c r="BP145" s="1791">
        <f t="shared" si="1882"/>
        <v>0</v>
      </c>
      <c r="BQ145" s="1827"/>
      <c r="BR145" s="1791">
        <f t="shared" si="1883"/>
        <v>0</v>
      </c>
      <c r="BS145" s="1791">
        <f t="shared" si="1883"/>
        <v>0</v>
      </c>
      <c r="BT145" s="1808">
        <f t="shared" si="1884"/>
        <v>0</v>
      </c>
      <c r="BU145" s="1807">
        <f t="shared" si="1885"/>
        <v>0</v>
      </c>
      <c r="BV145" s="1807">
        <f t="shared" si="1886"/>
        <v>0</v>
      </c>
      <c r="BW145" s="1806">
        <f t="shared" si="1887"/>
        <v>0</v>
      </c>
      <c r="BX145" s="1791">
        <f t="shared" si="1888"/>
        <v>0</v>
      </c>
      <c r="BY145" s="1808">
        <f t="shared" si="1889"/>
        <v>0</v>
      </c>
      <c r="BZ145" s="1807">
        <f t="shared" si="1890"/>
        <v>0</v>
      </c>
      <c r="CA145" s="1807">
        <f t="shared" si="1891"/>
        <v>0</v>
      </c>
      <c r="CB145" s="1806">
        <f t="shared" si="1892"/>
        <v>0</v>
      </c>
      <c r="CC145" s="1791">
        <f t="shared" si="1893"/>
        <v>0</v>
      </c>
      <c r="CD145" s="1808">
        <f t="shared" si="1894"/>
        <v>0</v>
      </c>
      <c r="CE145" s="1807">
        <f t="shared" si="1895"/>
        <v>0</v>
      </c>
      <c r="CF145" s="1807">
        <f t="shared" si="1896"/>
        <v>0</v>
      </c>
      <c r="CG145" s="1806">
        <f t="shared" si="1897"/>
        <v>0</v>
      </c>
      <c r="CH145" s="1791">
        <f t="shared" si="1898"/>
        <v>0</v>
      </c>
      <c r="CI145" s="1808">
        <f t="shared" si="1899"/>
        <v>0</v>
      </c>
      <c r="CJ145" s="1807">
        <f t="shared" si="1900"/>
        <v>0</v>
      </c>
      <c r="CK145" s="1807">
        <f t="shared" si="1901"/>
        <v>0</v>
      </c>
      <c r="CL145" s="1806">
        <f t="shared" si="1902"/>
        <v>0</v>
      </c>
      <c r="CM145" s="1791">
        <f t="shared" si="1903"/>
        <v>0</v>
      </c>
      <c r="CN145" s="1808">
        <f t="shared" si="1904"/>
        <v>0</v>
      </c>
      <c r="CO145" s="1807">
        <f t="shared" si="1905"/>
        <v>0</v>
      </c>
      <c r="CP145" s="1807">
        <f t="shared" si="1906"/>
        <v>0</v>
      </c>
      <c r="CQ145" s="1806">
        <f t="shared" si="1907"/>
        <v>0</v>
      </c>
      <c r="CR145" s="1791">
        <f t="shared" si="1908"/>
        <v>0</v>
      </c>
      <c r="CS145" s="1808">
        <f t="shared" si="1909"/>
        <v>0</v>
      </c>
      <c r="CT145" s="1807">
        <f t="shared" si="1910"/>
        <v>0</v>
      </c>
      <c r="CU145" s="1807">
        <f t="shared" si="1911"/>
        <v>0</v>
      </c>
      <c r="CV145" s="1806">
        <f t="shared" si="1912"/>
        <v>0</v>
      </c>
      <c r="CW145" s="1791">
        <f t="shared" si="1913"/>
        <v>0</v>
      </c>
      <c r="CX145" s="1808">
        <f t="shared" si="1914"/>
        <v>0</v>
      </c>
      <c r="CY145" s="1807">
        <f t="shared" si="1915"/>
        <v>0</v>
      </c>
      <c r="CZ145" s="1807">
        <f t="shared" si="1916"/>
        <v>0</v>
      </c>
      <c r="DA145" s="1806">
        <f t="shared" si="1917"/>
        <v>0</v>
      </c>
      <c r="DB145" s="1791">
        <f t="shared" si="1918"/>
        <v>0</v>
      </c>
      <c r="DC145" s="1808">
        <f t="shared" si="1919"/>
        <v>0</v>
      </c>
      <c r="DD145" s="1807">
        <f t="shared" si="1920"/>
        <v>0</v>
      </c>
      <c r="DE145" s="1807">
        <f t="shared" si="1921"/>
        <v>0</v>
      </c>
      <c r="DF145" s="1806">
        <f t="shared" si="1922"/>
        <v>0</v>
      </c>
      <c r="DG145" s="1791">
        <f t="shared" si="1923"/>
        <v>0</v>
      </c>
      <c r="DH145" s="1808">
        <f t="shared" si="1924"/>
        <v>0</v>
      </c>
      <c r="DI145" s="1807">
        <f t="shared" si="1925"/>
        <v>0</v>
      </c>
      <c r="DJ145" s="1807">
        <f t="shared" si="1926"/>
        <v>0</v>
      </c>
      <c r="DK145" s="1806">
        <f t="shared" si="1927"/>
        <v>0</v>
      </c>
      <c r="DL145" s="1791">
        <f t="shared" si="1928"/>
        <v>0</v>
      </c>
      <c r="DM145" s="1808">
        <f t="shared" si="1929"/>
        <v>0</v>
      </c>
      <c r="DN145" s="1807">
        <f t="shared" si="1930"/>
        <v>0</v>
      </c>
      <c r="DO145" s="1807">
        <f t="shared" si="1931"/>
        <v>0</v>
      </c>
      <c r="DP145" s="1806">
        <f t="shared" si="1932"/>
        <v>0</v>
      </c>
      <c r="DQ145" s="1791">
        <f t="shared" si="1933"/>
        <v>0</v>
      </c>
      <c r="DR145" s="1808">
        <f t="shared" si="1934"/>
        <v>0</v>
      </c>
      <c r="DS145" s="1807">
        <f t="shared" si="1935"/>
        <v>0</v>
      </c>
      <c r="DT145" s="1807">
        <f t="shared" si="1936"/>
        <v>0</v>
      </c>
      <c r="DU145" s="1806">
        <f t="shared" si="1937"/>
        <v>0</v>
      </c>
      <c r="DV145" s="1791">
        <f t="shared" si="1938"/>
        <v>0</v>
      </c>
    </row>
    <row r="146" spans="1:126">
      <c r="A146" s="455"/>
      <c r="B146" s="455"/>
      <c r="C146" s="1363" t="s">
        <v>786</v>
      </c>
      <c r="D146" s="94"/>
      <c r="E146" s="1817">
        <f>IF(F146=0,G146,F146)</f>
        <v>23.584</v>
      </c>
      <c r="F146" s="1435">
        <v>0</v>
      </c>
      <c r="G146" s="1435">
        <v>23.584</v>
      </c>
      <c r="H146" s="1350">
        <v>2017</v>
      </c>
      <c r="I146" s="1335">
        <v>5.79E-2</v>
      </c>
      <c r="J146" s="1343">
        <v>10</v>
      </c>
      <c r="K146" s="1792"/>
      <c r="L146" s="1810">
        <f t="shared" si="1827"/>
        <v>0</v>
      </c>
      <c r="M146" s="1791">
        <f t="shared" si="1827"/>
        <v>0</v>
      </c>
      <c r="N146" s="1808">
        <f t="shared" si="1828"/>
        <v>0</v>
      </c>
      <c r="O146" s="1807">
        <f t="shared" si="1829"/>
        <v>0</v>
      </c>
      <c r="P146" s="1807">
        <f t="shared" si="1830"/>
        <v>0</v>
      </c>
      <c r="Q146" s="1806">
        <f t="shared" si="1831"/>
        <v>0</v>
      </c>
      <c r="R146" s="1791">
        <f t="shared" si="1832"/>
        <v>0</v>
      </c>
      <c r="S146" s="1808">
        <f t="shared" si="1833"/>
        <v>0</v>
      </c>
      <c r="T146" s="1807">
        <f t="shared" si="1834"/>
        <v>0</v>
      </c>
      <c r="U146" s="1807">
        <f t="shared" si="1835"/>
        <v>0</v>
      </c>
      <c r="V146" s="1806">
        <f t="shared" si="1836"/>
        <v>0</v>
      </c>
      <c r="W146" s="1791">
        <f t="shared" si="1837"/>
        <v>0</v>
      </c>
      <c r="X146" s="1808">
        <f t="shared" si="1838"/>
        <v>0</v>
      </c>
      <c r="Y146" s="1807">
        <f t="shared" si="1839"/>
        <v>0</v>
      </c>
      <c r="Z146" s="1807">
        <f t="shared" si="1840"/>
        <v>0</v>
      </c>
      <c r="AA146" s="1806">
        <f t="shared" si="1841"/>
        <v>0</v>
      </c>
      <c r="AB146" s="1791">
        <f t="shared" si="1842"/>
        <v>0</v>
      </c>
      <c r="AC146" s="1808">
        <f t="shared" si="1843"/>
        <v>0</v>
      </c>
      <c r="AD146" s="1807">
        <f t="shared" si="1844"/>
        <v>0</v>
      </c>
      <c r="AE146" s="1807">
        <f t="shared" si="1845"/>
        <v>0</v>
      </c>
      <c r="AF146" s="1806">
        <f t="shared" si="1846"/>
        <v>0</v>
      </c>
      <c r="AG146" s="1791">
        <f t="shared" si="1847"/>
        <v>0</v>
      </c>
      <c r="AH146" s="1808">
        <f t="shared" si="1848"/>
        <v>0</v>
      </c>
      <c r="AI146" s="1807">
        <f t="shared" si="1849"/>
        <v>0</v>
      </c>
      <c r="AJ146" s="1807">
        <f t="shared" si="1850"/>
        <v>0</v>
      </c>
      <c r="AK146" s="1806">
        <f t="shared" si="1851"/>
        <v>0</v>
      </c>
      <c r="AL146" s="1791">
        <f t="shared" si="1852"/>
        <v>0</v>
      </c>
      <c r="AM146" s="1808">
        <f t="shared" si="1853"/>
        <v>0</v>
      </c>
      <c r="AN146" s="1807">
        <f t="shared" si="1854"/>
        <v>0</v>
      </c>
      <c r="AO146" s="1807">
        <f t="shared" si="1855"/>
        <v>0</v>
      </c>
      <c r="AP146" s="1806">
        <f t="shared" si="1856"/>
        <v>0</v>
      </c>
      <c r="AQ146" s="1791">
        <f t="shared" si="1857"/>
        <v>0</v>
      </c>
      <c r="AR146" s="1808">
        <f t="shared" si="1858"/>
        <v>0</v>
      </c>
      <c r="AS146" s="1807">
        <f t="shared" si="1859"/>
        <v>0</v>
      </c>
      <c r="AT146" s="1807">
        <f t="shared" si="1860"/>
        <v>0</v>
      </c>
      <c r="AU146" s="1806">
        <f t="shared" si="1861"/>
        <v>-23.584</v>
      </c>
      <c r="AV146" s="1791">
        <f t="shared" si="1862"/>
        <v>-23.584</v>
      </c>
      <c r="AW146" s="1808">
        <f t="shared" si="1863"/>
        <v>0</v>
      </c>
      <c r="AX146" s="1807">
        <f t="shared" si="1864"/>
        <v>0</v>
      </c>
      <c r="AY146" s="1807">
        <f t="shared" si="1865"/>
        <v>0</v>
      </c>
      <c r="AZ146" s="1806">
        <f t="shared" si="1866"/>
        <v>0</v>
      </c>
      <c r="BA146" s="1791">
        <f t="shared" si="1867"/>
        <v>0</v>
      </c>
      <c r="BB146" s="1808">
        <f t="shared" si="1868"/>
        <v>0</v>
      </c>
      <c r="BC146" s="1807">
        <f t="shared" si="1869"/>
        <v>0</v>
      </c>
      <c r="BD146" s="1807">
        <f t="shared" si="1870"/>
        <v>0</v>
      </c>
      <c r="BE146" s="1806">
        <f t="shared" si="1871"/>
        <v>0</v>
      </c>
      <c r="BF146" s="1791">
        <f t="shared" si="1872"/>
        <v>0</v>
      </c>
      <c r="BG146" s="1808">
        <f t="shared" si="1873"/>
        <v>0</v>
      </c>
      <c r="BH146" s="1807">
        <f t="shared" si="1874"/>
        <v>0</v>
      </c>
      <c r="BI146" s="1807">
        <f t="shared" si="1875"/>
        <v>0</v>
      </c>
      <c r="BJ146" s="1806">
        <f t="shared" si="1876"/>
        <v>0</v>
      </c>
      <c r="BK146" s="1791">
        <f t="shared" si="1877"/>
        <v>0</v>
      </c>
      <c r="BL146" s="1808">
        <f t="shared" si="1878"/>
        <v>0</v>
      </c>
      <c r="BM146" s="1807">
        <f t="shared" si="1879"/>
        <v>0</v>
      </c>
      <c r="BN146" s="1807">
        <f t="shared" si="1880"/>
        <v>0</v>
      </c>
      <c r="BO146" s="1806">
        <f t="shared" si="1881"/>
        <v>0</v>
      </c>
      <c r="BP146" s="1791">
        <f t="shared" si="1882"/>
        <v>0</v>
      </c>
      <c r="BQ146" s="1827"/>
      <c r="BR146" s="1791">
        <f t="shared" si="1883"/>
        <v>0</v>
      </c>
      <c r="BS146" s="1791">
        <f t="shared" si="1883"/>
        <v>0</v>
      </c>
      <c r="BT146" s="1808">
        <f t="shared" si="1884"/>
        <v>0</v>
      </c>
      <c r="BU146" s="1807">
        <f t="shared" si="1885"/>
        <v>0</v>
      </c>
      <c r="BV146" s="1807">
        <f t="shared" si="1886"/>
        <v>0</v>
      </c>
      <c r="BW146" s="1806">
        <f t="shared" si="1887"/>
        <v>0</v>
      </c>
      <c r="BX146" s="1791">
        <f t="shared" si="1888"/>
        <v>0</v>
      </c>
      <c r="BY146" s="1808">
        <f t="shared" si="1889"/>
        <v>0</v>
      </c>
      <c r="BZ146" s="1807">
        <f t="shared" si="1890"/>
        <v>0</v>
      </c>
      <c r="CA146" s="1807">
        <f t="shared" si="1891"/>
        <v>0</v>
      </c>
      <c r="CB146" s="1806">
        <f t="shared" si="1892"/>
        <v>0</v>
      </c>
      <c r="CC146" s="1791">
        <f t="shared" si="1893"/>
        <v>0</v>
      </c>
      <c r="CD146" s="1808">
        <f t="shared" si="1894"/>
        <v>0</v>
      </c>
      <c r="CE146" s="1807">
        <f t="shared" si="1895"/>
        <v>0</v>
      </c>
      <c r="CF146" s="1807">
        <f t="shared" si="1896"/>
        <v>0</v>
      </c>
      <c r="CG146" s="1806">
        <f t="shared" si="1897"/>
        <v>0</v>
      </c>
      <c r="CH146" s="1791">
        <f t="shared" si="1898"/>
        <v>0</v>
      </c>
      <c r="CI146" s="1808">
        <f t="shared" si="1899"/>
        <v>0</v>
      </c>
      <c r="CJ146" s="1807">
        <f t="shared" si="1900"/>
        <v>0</v>
      </c>
      <c r="CK146" s="1807">
        <f t="shared" si="1901"/>
        <v>0</v>
      </c>
      <c r="CL146" s="1806">
        <f t="shared" si="1902"/>
        <v>0</v>
      </c>
      <c r="CM146" s="1791">
        <f t="shared" si="1903"/>
        <v>0</v>
      </c>
      <c r="CN146" s="1808">
        <f t="shared" si="1904"/>
        <v>0</v>
      </c>
      <c r="CO146" s="1807">
        <f t="shared" si="1905"/>
        <v>0</v>
      </c>
      <c r="CP146" s="1807">
        <f t="shared" si="1906"/>
        <v>0</v>
      </c>
      <c r="CQ146" s="1806">
        <f t="shared" si="1907"/>
        <v>0</v>
      </c>
      <c r="CR146" s="1791">
        <f t="shared" si="1908"/>
        <v>0</v>
      </c>
      <c r="CS146" s="1808">
        <f t="shared" si="1909"/>
        <v>0</v>
      </c>
      <c r="CT146" s="1807">
        <f t="shared" si="1910"/>
        <v>0</v>
      </c>
      <c r="CU146" s="1807">
        <f t="shared" si="1911"/>
        <v>0</v>
      </c>
      <c r="CV146" s="1806">
        <f t="shared" si="1912"/>
        <v>0</v>
      </c>
      <c r="CW146" s="1791">
        <f t="shared" si="1913"/>
        <v>0</v>
      </c>
      <c r="CX146" s="1808">
        <f t="shared" si="1914"/>
        <v>0</v>
      </c>
      <c r="CY146" s="1807">
        <f t="shared" si="1915"/>
        <v>0</v>
      </c>
      <c r="CZ146" s="1807">
        <f t="shared" si="1916"/>
        <v>0</v>
      </c>
      <c r="DA146" s="1806">
        <f t="shared" si="1917"/>
        <v>-0.34137839999999997</v>
      </c>
      <c r="DB146" s="1791">
        <f t="shared" si="1918"/>
        <v>-0.34137839999999997</v>
      </c>
      <c r="DC146" s="1808">
        <f t="shared" si="1919"/>
        <v>-0.34137839999999997</v>
      </c>
      <c r="DD146" s="1807">
        <f t="shared" si="1920"/>
        <v>-0.34137839999999997</v>
      </c>
      <c r="DE146" s="1807">
        <f t="shared" si="1921"/>
        <v>-0.34137839999999997</v>
      </c>
      <c r="DF146" s="1806">
        <f t="shared" si="1922"/>
        <v>0</v>
      </c>
      <c r="DG146" s="1791">
        <f t="shared" si="1923"/>
        <v>-1.0241351999999999</v>
      </c>
      <c r="DH146" s="1808">
        <f t="shared" si="1924"/>
        <v>0</v>
      </c>
      <c r="DI146" s="1807">
        <f t="shared" si="1925"/>
        <v>0</v>
      </c>
      <c r="DJ146" s="1807">
        <f t="shared" si="1926"/>
        <v>0</v>
      </c>
      <c r="DK146" s="1806">
        <f t="shared" si="1927"/>
        <v>0</v>
      </c>
      <c r="DL146" s="1791">
        <f t="shared" si="1928"/>
        <v>0</v>
      </c>
      <c r="DM146" s="1808">
        <f t="shared" si="1929"/>
        <v>0</v>
      </c>
      <c r="DN146" s="1807">
        <f t="shared" si="1930"/>
        <v>0</v>
      </c>
      <c r="DO146" s="1807">
        <f t="shared" si="1931"/>
        <v>0</v>
      </c>
      <c r="DP146" s="1806">
        <f t="shared" si="1932"/>
        <v>0</v>
      </c>
      <c r="DQ146" s="1791">
        <f t="shared" si="1933"/>
        <v>0</v>
      </c>
      <c r="DR146" s="1808">
        <f t="shared" si="1934"/>
        <v>0</v>
      </c>
      <c r="DS146" s="1807">
        <f t="shared" si="1935"/>
        <v>0</v>
      </c>
      <c r="DT146" s="1807">
        <f t="shared" si="1936"/>
        <v>0</v>
      </c>
      <c r="DU146" s="1806">
        <f t="shared" si="1937"/>
        <v>0</v>
      </c>
      <c r="DV146" s="1791">
        <f t="shared" si="1938"/>
        <v>0</v>
      </c>
    </row>
    <row r="147" spans="1:126">
      <c r="A147" s="455"/>
      <c r="B147" s="455"/>
      <c r="C147" s="1363" t="s">
        <v>787</v>
      </c>
      <c r="D147" s="94"/>
      <c r="E147" s="1817">
        <f>IF(F147=0,G147,F147)</f>
        <v>110.431</v>
      </c>
      <c r="F147" s="1435">
        <v>110.431</v>
      </c>
      <c r="G147" s="1435">
        <v>114.4</v>
      </c>
      <c r="H147" s="1350">
        <v>2022</v>
      </c>
      <c r="I147" s="1335">
        <v>5.9299999999999999E-2</v>
      </c>
      <c r="J147" s="1343">
        <v>6</v>
      </c>
      <c r="K147" s="1792"/>
      <c r="L147" s="1810">
        <f t="shared" si="1827"/>
        <v>0</v>
      </c>
      <c r="M147" s="1791">
        <f t="shared" si="1827"/>
        <v>0</v>
      </c>
      <c r="N147" s="1808">
        <f t="shared" si="1828"/>
        <v>0</v>
      </c>
      <c r="O147" s="1807">
        <f t="shared" si="1829"/>
        <v>0</v>
      </c>
      <c r="P147" s="1807">
        <f t="shared" si="1830"/>
        <v>0</v>
      </c>
      <c r="Q147" s="1806">
        <f t="shared" si="1831"/>
        <v>0</v>
      </c>
      <c r="R147" s="1791">
        <f t="shared" si="1832"/>
        <v>0</v>
      </c>
      <c r="S147" s="1808">
        <f t="shared" si="1833"/>
        <v>0</v>
      </c>
      <c r="T147" s="1807">
        <f t="shared" si="1834"/>
        <v>0</v>
      </c>
      <c r="U147" s="1807">
        <f t="shared" si="1835"/>
        <v>0</v>
      </c>
      <c r="V147" s="1806">
        <f t="shared" si="1836"/>
        <v>0</v>
      </c>
      <c r="W147" s="1791">
        <f t="shared" si="1837"/>
        <v>0</v>
      </c>
      <c r="X147" s="1808">
        <f t="shared" si="1838"/>
        <v>0</v>
      </c>
      <c r="Y147" s="1807">
        <f t="shared" si="1839"/>
        <v>0</v>
      </c>
      <c r="Z147" s="1807">
        <f t="shared" si="1840"/>
        <v>0</v>
      </c>
      <c r="AA147" s="1806">
        <f t="shared" si="1841"/>
        <v>0</v>
      </c>
      <c r="AB147" s="1791">
        <f t="shared" si="1842"/>
        <v>0</v>
      </c>
      <c r="AC147" s="1808">
        <f t="shared" si="1843"/>
        <v>0</v>
      </c>
      <c r="AD147" s="1807">
        <f t="shared" si="1844"/>
        <v>0</v>
      </c>
      <c r="AE147" s="1807">
        <f t="shared" si="1845"/>
        <v>0</v>
      </c>
      <c r="AF147" s="1806">
        <f t="shared" si="1846"/>
        <v>0</v>
      </c>
      <c r="AG147" s="1791">
        <f t="shared" si="1847"/>
        <v>0</v>
      </c>
      <c r="AH147" s="1808">
        <f t="shared" si="1848"/>
        <v>0</v>
      </c>
      <c r="AI147" s="1807">
        <f t="shared" si="1849"/>
        <v>0</v>
      </c>
      <c r="AJ147" s="1807">
        <f t="shared" si="1850"/>
        <v>0</v>
      </c>
      <c r="AK147" s="1806">
        <f t="shared" si="1851"/>
        <v>0</v>
      </c>
      <c r="AL147" s="1791">
        <f t="shared" si="1852"/>
        <v>0</v>
      </c>
      <c r="AM147" s="1808">
        <f t="shared" si="1853"/>
        <v>0</v>
      </c>
      <c r="AN147" s="1807">
        <f t="shared" si="1854"/>
        <v>0</v>
      </c>
      <c r="AO147" s="1807">
        <f t="shared" si="1855"/>
        <v>0</v>
      </c>
      <c r="AP147" s="1806">
        <f t="shared" si="1856"/>
        <v>0</v>
      </c>
      <c r="AQ147" s="1791">
        <f t="shared" si="1857"/>
        <v>0</v>
      </c>
      <c r="AR147" s="1808">
        <f t="shared" si="1858"/>
        <v>0</v>
      </c>
      <c r="AS147" s="1807">
        <f t="shared" si="1859"/>
        <v>0</v>
      </c>
      <c r="AT147" s="1807">
        <f t="shared" si="1860"/>
        <v>0</v>
      </c>
      <c r="AU147" s="1806">
        <f t="shared" si="1861"/>
        <v>0</v>
      </c>
      <c r="AV147" s="1791">
        <f t="shared" si="1862"/>
        <v>0</v>
      </c>
      <c r="AW147" s="1808">
        <f t="shared" si="1863"/>
        <v>0</v>
      </c>
      <c r="AX147" s="1807">
        <f t="shared" si="1864"/>
        <v>0</v>
      </c>
      <c r="AY147" s="1807">
        <f t="shared" si="1865"/>
        <v>0</v>
      </c>
      <c r="AZ147" s="1806">
        <f t="shared" si="1866"/>
        <v>0</v>
      </c>
      <c r="BA147" s="1791">
        <f t="shared" si="1867"/>
        <v>0</v>
      </c>
      <c r="BB147" s="1808">
        <f t="shared" si="1868"/>
        <v>0</v>
      </c>
      <c r="BC147" s="1807">
        <f t="shared" si="1869"/>
        <v>0</v>
      </c>
      <c r="BD147" s="1807">
        <f t="shared" si="1870"/>
        <v>0</v>
      </c>
      <c r="BE147" s="1806">
        <f t="shared" si="1871"/>
        <v>0</v>
      </c>
      <c r="BF147" s="1791">
        <f t="shared" si="1872"/>
        <v>0</v>
      </c>
      <c r="BG147" s="1808">
        <f t="shared" si="1873"/>
        <v>0</v>
      </c>
      <c r="BH147" s="1807">
        <f t="shared" si="1874"/>
        <v>0</v>
      </c>
      <c r="BI147" s="1807">
        <f t="shared" si="1875"/>
        <v>0</v>
      </c>
      <c r="BJ147" s="1806">
        <f t="shared" si="1876"/>
        <v>0</v>
      </c>
      <c r="BK147" s="1791">
        <f t="shared" si="1877"/>
        <v>0</v>
      </c>
      <c r="BL147" s="1808">
        <f t="shared" si="1878"/>
        <v>0</v>
      </c>
      <c r="BM147" s="1807">
        <f t="shared" si="1879"/>
        <v>0</v>
      </c>
      <c r="BN147" s="1807">
        <f t="shared" si="1880"/>
        <v>0</v>
      </c>
      <c r="BO147" s="1806">
        <f t="shared" si="1881"/>
        <v>0</v>
      </c>
      <c r="BP147" s="1791">
        <f t="shared" si="1882"/>
        <v>0</v>
      </c>
      <c r="BQ147" s="1827"/>
      <c r="BR147" s="1791">
        <f t="shared" si="1883"/>
        <v>0</v>
      </c>
      <c r="BS147" s="1791">
        <f t="shared" si="1883"/>
        <v>0</v>
      </c>
      <c r="BT147" s="1808">
        <f t="shared" si="1884"/>
        <v>0</v>
      </c>
      <c r="BU147" s="1807">
        <f t="shared" si="1885"/>
        <v>0</v>
      </c>
      <c r="BV147" s="1807">
        <f t="shared" si="1886"/>
        <v>0</v>
      </c>
      <c r="BW147" s="1806">
        <f t="shared" si="1887"/>
        <v>0</v>
      </c>
      <c r="BX147" s="1791">
        <f t="shared" si="1888"/>
        <v>0</v>
      </c>
      <c r="BY147" s="1808">
        <f t="shared" si="1889"/>
        <v>0</v>
      </c>
      <c r="BZ147" s="1807">
        <f t="shared" si="1890"/>
        <v>0</v>
      </c>
      <c r="CA147" s="1807">
        <f t="shared" si="1891"/>
        <v>0</v>
      </c>
      <c r="CB147" s="1806">
        <f t="shared" si="1892"/>
        <v>0</v>
      </c>
      <c r="CC147" s="1791">
        <f t="shared" si="1893"/>
        <v>0</v>
      </c>
      <c r="CD147" s="1808">
        <f t="shared" si="1894"/>
        <v>0</v>
      </c>
      <c r="CE147" s="1807">
        <f t="shared" si="1895"/>
        <v>0</v>
      </c>
      <c r="CF147" s="1807">
        <f t="shared" si="1896"/>
        <v>0</v>
      </c>
      <c r="CG147" s="1806">
        <f t="shared" si="1897"/>
        <v>0</v>
      </c>
      <c r="CH147" s="1791">
        <f t="shared" si="1898"/>
        <v>0</v>
      </c>
      <c r="CI147" s="1808">
        <f t="shared" si="1899"/>
        <v>0</v>
      </c>
      <c r="CJ147" s="1807">
        <f t="shared" si="1900"/>
        <v>0</v>
      </c>
      <c r="CK147" s="1807">
        <f t="shared" si="1901"/>
        <v>0</v>
      </c>
      <c r="CL147" s="1806">
        <f t="shared" si="1902"/>
        <v>0</v>
      </c>
      <c r="CM147" s="1791">
        <f t="shared" si="1903"/>
        <v>0</v>
      </c>
      <c r="CN147" s="1808">
        <f t="shared" si="1904"/>
        <v>0</v>
      </c>
      <c r="CO147" s="1807">
        <f t="shared" si="1905"/>
        <v>0</v>
      </c>
      <c r="CP147" s="1807">
        <f t="shared" si="1906"/>
        <v>0</v>
      </c>
      <c r="CQ147" s="1806">
        <f t="shared" si="1907"/>
        <v>0</v>
      </c>
      <c r="CR147" s="1791">
        <f t="shared" si="1908"/>
        <v>0</v>
      </c>
      <c r="CS147" s="1808">
        <f t="shared" si="1909"/>
        <v>0</v>
      </c>
      <c r="CT147" s="1807">
        <f t="shared" si="1910"/>
        <v>0</v>
      </c>
      <c r="CU147" s="1807">
        <f t="shared" si="1911"/>
        <v>0</v>
      </c>
      <c r="CV147" s="1806">
        <f t="shared" si="1912"/>
        <v>0</v>
      </c>
      <c r="CW147" s="1791">
        <f t="shared" si="1913"/>
        <v>0</v>
      </c>
      <c r="CX147" s="1808">
        <f t="shared" si="1914"/>
        <v>0</v>
      </c>
      <c r="CY147" s="1807">
        <f t="shared" si="1915"/>
        <v>0</v>
      </c>
      <c r="CZ147" s="1807">
        <f t="shared" si="1916"/>
        <v>0</v>
      </c>
      <c r="DA147" s="1806">
        <f t="shared" si="1917"/>
        <v>0</v>
      </c>
      <c r="DB147" s="1791">
        <f t="shared" si="1918"/>
        <v>0</v>
      </c>
      <c r="DC147" s="1808">
        <f t="shared" si="1919"/>
        <v>0</v>
      </c>
      <c r="DD147" s="1807">
        <f t="shared" si="1920"/>
        <v>0</v>
      </c>
      <c r="DE147" s="1807">
        <f t="shared" si="1921"/>
        <v>0</v>
      </c>
      <c r="DF147" s="1806">
        <f t="shared" si="1922"/>
        <v>0</v>
      </c>
      <c r="DG147" s="1791">
        <f t="shared" si="1923"/>
        <v>0</v>
      </c>
      <c r="DH147" s="1808">
        <f t="shared" si="1924"/>
        <v>0</v>
      </c>
      <c r="DI147" s="1807">
        <f t="shared" si="1925"/>
        <v>0</v>
      </c>
      <c r="DJ147" s="1807">
        <f t="shared" si="1926"/>
        <v>0</v>
      </c>
      <c r="DK147" s="1806">
        <f t="shared" si="1927"/>
        <v>0</v>
      </c>
      <c r="DL147" s="1791">
        <f t="shared" si="1928"/>
        <v>0</v>
      </c>
      <c r="DM147" s="1808">
        <f t="shared" si="1929"/>
        <v>0</v>
      </c>
      <c r="DN147" s="1807">
        <f t="shared" si="1930"/>
        <v>0</v>
      </c>
      <c r="DO147" s="1807">
        <f t="shared" si="1931"/>
        <v>0</v>
      </c>
      <c r="DP147" s="1806">
        <f t="shared" si="1932"/>
        <v>0</v>
      </c>
      <c r="DQ147" s="1791">
        <f t="shared" si="1933"/>
        <v>0</v>
      </c>
      <c r="DR147" s="1808">
        <f t="shared" si="1934"/>
        <v>0</v>
      </c>
      <c r="DS147" s="1807">
        <f t="shared" si="1935"/>
        <v>0</v>
      </c>
      <c r="DT147" s="1807">
        <f t="shared" si="1936"/>
        <v>0</v>
      </c>
      <c r="DU147" s="1806">
        <f t="shared" si="1937"/>
        <v>0</v>
      </c>
      <c r="DV147" s="1791">
        <f t="shared" si="1938"/>
        <v>0</v>
      </c>
    </row>
    <row r="148" spans="1:126">
      <c r="A148" s="455"/>
      <c r="B148" s="455"/>
      <c r="C148" s="1363" t="s">
        <v>790</v>
      </c>
      <c r="D148" s="94"/>
      <c r="E148" s="1817">
        <f>IF(F148=0,G148,F148)</f>
        <v>30.768999999999998</v>
      </c>
      <c r="F148" s="1435">
        <v>30.768999999999998</v>
      </c>
      <c r="G148" s="1435">
        <v>74.899000000000001</v>
      </c>
      <c r="H148" s="1350">
        <v>2019</v>
      </c>
      <c r="I148" s="1335">
        <v>3.6499999999999998E-2</v>
      </c>
      <c r="J148" s="1343">
        <v>8</v>
      </c>
      <c r="K148" s="1792"/>
      <c r="L148" s="1810">
        <f t="shared" si="1827"/>
        <v>0</v>
      </c>
      <c r="M148" s="1791">
        <f t="shared" si="1827"/>
        <v>0</v>
      </c>
      <c r="N148" s="1808">
        <f t="shared" si="1828"/>
        <v>0</v>
      </c>
      <c r="O148" s="1807">
        <f t="shared" si="1829"/>
        <v>0</v>
      </c>
      <c r="P148" s="1807">
        <f t="shared" si="1830"/>
        <v>0</v>
      </c>
      <c r="Q148" s="1806">
        <f t="shared" si="1831"/>
        <v>0</v>
      </c>
      <c r="R148" s="1791">
        <f t="shared" si="1832"/>
        <v>0</v>
      </c>
      <c r="S148" s="1808">
        <f t="shared" si="1833"/>
        <v>0</v>
      </c>
      <c r="T148" s="1807">
        <f t="shared" si="1834"/>
        <v>0</v>
      </c>
      <c r="U148" s="1807">
        <f t="shared" si="1835"/>
        <v>0</v>
      </c>
      <c r="V148" s="1806">
        <f t="shared" si="1836"/>
        <v>0</v>
      </c>
      <c r="W148" s="1791">
        <f t="shared" si="1837"/>
        <v>0</v>
      </c>
      <c r="X148" s="1808">
        <f t="shared" si="1838"/>
        <v>0</v>
      </c>
      <c r="Y148" s="1807">
        <f t="shared" si="1839"/>
        <v>0</v>
      </c>
      <c r="Z148" s="1807">
        <f t="shared" si="1840"/>
        <v>0</v>
      </c>
      <c r="AA148" s="1806">
        <f t="shared" si="1841"/>
        <v>0</v>
      </c>
      <c r="AB148" s="1791">
        <f t="shared" si="1842"/>
        <v>0</v>
      </c>
      <c r="AC148" s="1808">
        <f t="shared" si="1843"/>
        <v>0</v>
      </c>
      <c r="AD148" s="1807">
        <f t="shared" si="1844"/>
        <v>0</v>
      </c>
      <c r="AE148" s="1807">
        <f t="shared" si="1845"/>
        <v>0</v>
      </c>
      <c r="AF148" s="1806">
        <f t="shared" si="1846"/>
        <v>0</v>
      </c>
      <c r="AG148" s="1791">
        <f t="shared" si="1847"/>
        <v>0</v>
      </c>
      <c r="AH148" s="1808">
        <f t="shared" si="1848"/>
        <v>0</v>
      </c>
      <c r="AI148" s="1807">
        <f t="shared" si="1849"/>
        <v>0</v>
      </c>
      <c r="AJ148" s="1807">
        <f t="shared" si="1850"/>
        <v>0</v>
      </c>
      <c r="AK148" s="1806">
        <f t="shared" si="1851"/>
        <v>0</v>
      </c>
      <c r="AL148" s="1791">
        <f t="shared" si="1852"/>
        <v>0</v>
      </c>
      <c r="AM148" s="1808">
        <f t="shared" si="1853"/>
        <v>0</v>
      </c>
      <c r="AN148" s="1807">
        <f t="shared" si="1854"/>
        <v>0</v>
      </c>
      <c r="AO148" s="1807">
        <f t="shared" si="1855"/>
        <v>0</v>
      </c>
      <c r="AP148" s="1806">
        <f t="shared" si="1856"/>
        <v>0</v>
      </c>
      <c r="AQ148" s="1791">
        <f t="shared" si="1857"/>
        <v>0</v>
      </c>
      <c r="AR148" s="1808">
        <f t="shared" si="1858"/>
        <v>0</v>
      </c>
      <c r="AS148" s="1807">
        <f t="shared" si="1859"/>
        <v>0</v>
      </c>
      <c r="AT148" s="1807">
        <f t="shared" si="1860"/>
        <v>0</v>
      </c>
      <c r="AU148" s="1806">
        <f t="shared" si="1861"/>
        <v>0</v>
      </c>
      <c r="AV148" s="1791">
        <f t="shared" si="1862"/>
        <v>0</v>
      </c>
      <c r="AW148" s="1808">
        <f t="shared" si="1863"/>
        <v>0</v>
      </c>
      <c r="AX148" s="1807">
        <f t="shared" si="1864"/>
        <v>0</v>
      </c>
      <c r="AY148" s="1807">
        <f t="shared" si="1865"/>
        <v>0</v>
      </c>
      <c r="AZ148" s="1806">
        <f t="shared" si="1866"/>
        <v>0</v>
      </c>
      <c r="BA148" s="1791">
        <f t="shared" si="1867"/>
        <v>0</v>
      </c>
      <c r="BB148" s="1808">
        <f t="shared" si="1868"/>
        <v>0</v>
      </c>
      <c r="BC148" s="1807">
        <f t="shared" si="1869"/>
        <v>0</v>
      </c>
      <c r="BD148" s="1807">
        <f t="shared" si="1870"/>
        <v>-30.768999999999998</v>
      </c>
      <c r="BE148" s="1806">
        <f t="shared" si="1871"/>
        <v>0</v>
      </c>
      <c r="BF148" s="1791">
        <f t="shared" si="1872"/>
        <v>-30.768999999999998</v>
      </c>
      <c r="BG148" s="1808">
        <f t="shared" si="1873"/>
        <v>0</v>
      </c>
      <c r="BH148" s="1807">
        <f t="shared" si="1874"/>
        <v>0</v>
      </c>
      <c r="BI148" s="1807">
        <f t="shared" si="1875"/>
        <v>0</v>
      </c>
      <c r="BJ148" s="1806">
        <f t="shared" si="1876"/>
        <v>0</v>
      </c>
      <c r="BK148" s="1791">
        <f t="shared" si="1877"/>
        <v>0</v>
      </c>
      <c r="BL148" s="1808">
        <f t="shared" si="1878"/>
        <v>0</v>
      </c>
      <c r="BM148" s="1807">
        <f t="shared" si="1879"/>
        <v>0</v>
      </c>
      <c r="BN148" s="1807">
        <f t="shared" si="1880"/>
        <v>0</v>
      </c>
      <c r="BO148" s="1806">
        <f t="shared" si="1881"/>
        <v>0</v>
      </c>
      <c r="BP148" s="1791">
        <f t="shared" si="1882"/>
        <v>0</v>
      </c>
      <c r="BQ148" s="1827"/>
      <c r="BR148" s="1791">
        <f t="shared" si="1883"/>
        <v>0</v>
      </c>
      <c r="BS148" s="1791">
        <f t="shared" si="1883"/>
        <v>0</v>
      </c>
      <c r="BT148" s="1808">
        <f t="shared" si="1884"/>
        <v>0</v>
      </c>
      <c r="BU148" s="1807">
        <f t="shared" si="1885"/>
        <v>0</v>
      </c>
      <c r="BV148" s="1807">
        <f t="shared" si="1886"/>
        <v>0</v>
      </c>
      <c r="BW148" s="1806">
        <f t="shared" si="1887"/>
        <v>0</v>
      </c>
      <c r="BX148" s="1791">
        <f t="shared" si="1888"/>
        <v>0</v>
      </c>
      <c r="BY148" s="1808">
        <f t="shared" si="1889"/>
        <v>0</v>
      </c>
      <c r="BZ148" s="1807">
        <f t="shared" si="1890"/>
        <v>0</v>
      </c>
      <c r="CA148" s="1807">
        <f t="shared" si="1891"/>
        <v>0</v>
      </c>
      <c r="CB148" s="1806">
        <f t="shared" si="1892"/>
        <v>0</v>
      </c>
      <c r="CC148" s="1791">
        <f t="shared" si="1893"/>
        <v>0</v>
      </c>
      <c r="CD148" s="1808">
        <f t="shared" si="1894"/>
        <v>0</v>
      </c>
      <c r="CE148" s="1807">
        <f t="shared" si="1895"/>
        <v>0</v>
      </c>
      <c r="CF148" s="1807">
        <f t="shared" si="1896"/>
        <v>0</v>
      </c>
      <c r="CG148" s="1806">
        <f t="shared" si="1897"/>
        <v>0</v>
      </c>
      <c r="CH148" s="1791">
        <f t="shared" si="1898"/>
        <v>0</v>
      </c>
      <c r="CI148" s="1808">
        <f t="shared" si="1899"/>
        <v>0</v>
      </c>
      <c r="CJ148" s="1807">
        <f t="shared" si="1900"/>
        <v>0</v>
      </c>
      <c r="CK148" s="1807">
        <f t="shared" si="1901"/>
        <v>0</v>
      </c>
      <c r="CL148" s="1806">
        <f t="shared" si="1902"/>
        <v>0</v>
      </c>
      <c r="CM148" s="1791">
        <f t="shared" si="1903"/>
        <v>0</v>
      </c>
      <c r="CN148" s="1808">
        <f t="shared" si="1904"/>
        <v>0</v>
      </c>
      <c r="CO148" s="1807">
        <f t="shared" si="1905"/>
        <v>0</v>
      </c>
      <c r="CP148" s="1807">
        <f t="shared" si="1906"/>
        <v>0</v>
      </c>
      <c r="CQ148" s="1806">
        <f t="shared" si="1907"/>
        <v>0</v>
      </c>
      <c r="CR148" s="1791">
        <f t="shared" si="1908"/>
        <v>0</v>
      </c>
      <c r="CS148" s="1808">
        <f t="shared" si="1909"/>
        <v>0</v>
      </c>
      <c r="CT148" s="1807">
        <f t="shared" si="1910"/>
        <v>0</v>
      </c>
      <c r="CU148" s="1807">
        <f t="shared" si="1911"/>
        <v>0</v>
      </c>
      <c r="CV148" s="1806">
        <f t="shared" si="1912"/>
        <v>0</v>
      </c>
      <c r="CW148" s="1791">
        <f t="shared" si="1913"/>
        <v>0</v>
      </c>
      <c r="CX148" s="1808">
        <f t="shared" si="1914"/>
        <v>0</v>
      </c>
      <c r="CY148" s="1807">
        <f t="shared" si="1915"/>
        <v>0</v>
      </c>
      <c r="CZ148" s="1807">
        <f t="shared" si="1916"/>
        <v>0</v>
      </c>
      <c r="DA148" s="1806">
        <f t="shared" si="1917"/>
        <v>0</v>
      </c>
      <c r="DB148" s="1791">
        <f t="shared" si="1918"/>
        <v>0</v>
      </c>
      <c r="DC148" s="1808">
        <f t="shared" si="1919"/>
        <v>0</v>
      </c>
      <c r="DD148" s="1807">
        <f t="shared" si="1920"/>
        <v>0</v>
      </c>
      <c r="DE148" s="1807">
        <f t="shared" si="1921"/>
        <v>0</v>
      </c>
      <c r="DF148" s="1806">
        <f t="shared" si="1922"/>
        <v>0</v>
      </c>
      <c r="DG148" s="1791">
        <f t="shared" si="1923"/>
        <v>0</v>
      </c>
      <c r="DH148" s="1808">
        <f t="shared" si="1924"/>
        <v>0</v>
      </c>
      <c r="DI148" s="1807">
        <f t="shared" si="1925"/>
        <v>0</v>
      </c>
      <c r="DJ148" s="1807">
        <f t="shared" si="1926"/>
        <v>-0.1871780833333333</v>
      </c>
      <c r="DK148" s="1806">
        <f t="shared" si="1927"/>
        <v>-0.28076712499999995</v>
      </c>
      <c r="DL148" s="1791">
        <f t="shared" si="1928"/>
        <v>-0.46794520833333325</v>
      </c>
      <c r="DM148" s="1808">
        <f t="shared" si="1929"/>
        <v>-0.28076712499999995</v>
      </c>
      <c r="DN148" s="1807">
        <f t="shared" si="1930"/>
        <v>-0.28076712499999995</v>
      </c>
      <c r="DO148" s="1807">
        <f t="shared" si="1931"/>
        <v>-9.358904166666665E-2</v>
      </c>
      <c r="DP148" s="1806">
        <f t="shared" si="1932"/>
        <v>0</v>
      </c>
      <c r="DQ148" s="1791">
        <f t="shared" si="1933"/>
        <v>-0.6551232916666665</v>
      </c>
      <c r="DR148" s="1808">
        <f t="shared" si="1934"/>
        <v>0</v>
      </c>
      <c r="DS148" s="1807">
        <f t="shared" si="1935"/>
        <v>0</v>
      </c>
      <c r="DT148" s="1807">
        <f t="shared" si="1936"/>
        <v>0</v>
      </c>
      <c r="DU148" s="1806">
        <f t="shared" si="1937"/>
        <v>0</v>
      </c>
      <c r="DV148" s="1791">
        <f t="shared" si="1938"/>
        <v>0</v>
      </c>
    </row>
    <row r="149" spans="1:126">
      <c r="A149" s="455"/>
      <c r="B149" s="455"/>
      <c r="C149" s="1363" t="s">
        <v>791</v>
      </c>
      <c r="D149" s="94"/>
      <c r="E149" s="1817">
        <f>IF(F149=0,G149,F149)</f>
        <v>218.6</v>
      </c>
      <c r="F149" s="1435">
        <v>218.6</v>
      </c>
      <c r="G149" s="1435">
        <v>218.6</v>
      </c>
      <c r="H149" s="1350">
        <v>2023</v>
      </c>
      <c r="I149" s="1335">
        <v>4.3799999999999999E-2</v>
      </c>
      <c r="J149" s="1343">
        <v>11</v>
      </c>
      <c r="K149" s="1792"/>
      <c r="L149" s="1810">
        <f t="shared" si="1827"/>
        <v>0</v>
      </c>
      <c r="M149" s="1791">
        <f t="shared" si="1827"/>
        <v>0</v>
      </c>
      <c r="N149" s="1808">
        <f t="shared" si="1828"/>
        <v>0</v>
      </c>
      <c r="O149" s="1807">
        <f t="shared" si="1829"/>
        <v>0</v>
      </c>
      <c r="P149" s="1807">
        <f t="shared" si="1830"/>
        <v>0</v>
      </c>
      <c r="Q149" s="1806">
        <f t="shared" si="1831"/>
        <v>0</v>
      </c>
      <c r="R149" s="1791">
        <f t="shared" si="1832"/>
        <v>0</v>
      </c>
      <c r="S149" s="1808">
        <f t="shared" si="1833"/>
        <v>0</v>
      </c>
      <c r="T149" s="1807">
        <f t="shared" si="1834"/>
        <v>0</v>
      </c>
      <c r="U149" s="1807">
        <f t="shared" si="1835"/>
        <v>0</v>
      </c>
      <c r="V149" s="1806">
        <f t="shared" si="1836"/>
        <v>0</v>
      </c>
      <c r="W149" s="1791">
        <f t="shared" si="1837"/>
        <v>0</v>
      </c>
      <c r="X149" s="1808">
        <f t="shared" si="1838"/>
        <v>0</v>
      </c>
      <c r="Y149" s="1807">
        <f t="shared" si="1839"/>
        <v>0</v>
      </c>
      <c r="Z149" s="1807">
        <f t="shared" si="1840"/>
        <v>0</v>
      </c>
      <c r="AA149" s="1806">
        <f t="shared" si="1841"/>
        <v>0</v>
      </c>
      <c r="AB149" s="1791">
        <f t="shared" si="1842"/>
        <v>0</v>
      </c>
      <c r="AC149" s="1808">
        <f t="shared" si="1843"/>
        <v>0</v>
      </c>
      <c r="AD149" s="1807">
        <f t="shared" si="1844"/>
        <v>0</v>
      </c>
      <c r="AE149" s="1807">
        <f t="shared" si="1845"/>
        <v>0</v>
      </c>
      <c r="AF149" s="1806">
        <f t="shared" si="1846"/>
        <v>0</v>
      </c>
      <c r="AG149" s="1791">
        <f t="shared" si="1847"/>
        <v>0</v>
      </c>
      <c r="AH149" s="1808">
        <f t="shared" si="1848"/>
        <v>0</v>
      </c>
      <c r="AI149" s="1807">
        <f t="shared" si="1849"/>
        <v>0</v>
      </c>
      <c r="AJ149" s="1807">
        <f t="shared" si="1850"/>
        <v>0</v>
      </c>
      <c r="AK149" s="1806">
        <f t="shared" si="1851"/>
        <v>0</v>
      </c>
      <c r="AL149" s="1791">
        <f t="shared" si="1852"/>
        <v>0</v>
      </c>
      <c r="AM149" s="1808">
        <f t="shared" si="1853"/>
        <v>0</v>
      </c>
      <c r="AN149" s="1807">
        <f t="shared" si="1854"/>
        <v>0</v>
      </c>
      <c r="AO149" s="1807">
        <f t="shared" si="1855"/>
        <v>0</v>
      </c>
      <c r="AP149" s="1806">
        <f t="shared" si="1856"/>
        <v>0</v>
      </c>
      <c r="AQ149" s="1791">
        <f t="shared" si="1857"/>
        <v>0</v>
      </c>
      <c r="AR149" s="1808">
        <f t="shared" si="1858"/>
        <v>0</v>
      </c>
      <c r="AS149" s="1807">
        <f t="shared" si="1859"/>
        <v>0</v>
      </c>
      <c r="AT149" s="1807">
        <f t="shared" si="1860"/>
        <v>0</v>
      </c>
      <c r="AU149" s="1806">
        <f t="shared" si="1861"/>
        <v>0</v>
      </c>
      <c r="AV149" s="1791">
        <f t="shared" si="1862"/>
        <v>0</v>
      </c>
      <c r="AW149" s="1808">
        <f t="shared" si="1863"/>
        <v>0</v>
      </c>
      <c r="AX149" s="1807">
        <f t="shared" si="1864"/>
        <v>0</v>
      </c>
      <c r="AY149" s="1807">
        <f t="shared" si="1865"/>
        <v>0</v>
      </c>
      <c r="AZ149" s="1806">
        <f t="shared" si="1866"/>
        <v>0</v>
      </c>
      <c r="BA149" s="1791">
        <f t="shared" si="1867"/>
        <v>0</v>
      </c>
      <c r="BB149" s="1808">
        <f t="shared" si="1868"/>
        <v>0</v>
      </c>
      <c r="BC149" s="1807">
        <f t="shared" si="1869"/>
        <v>0</v>
      </c>
      <c r="BD149" s="1807">
        <f t="shared" si="1870"/>
        <v>0</v>
      </c>
      <c r="BE149" s="1806">
        <f t="shared" si="1871"/>
        <v>0</v>
      </c>
      <c r="BF149" s="1791">
        <f t="shared" si="1872"/>
        <v>0</v>
      </c>
      <c r="BG149" s="1808">
        <f t="shared" si="1873"/>
        <v>0</v>
      </c>
      <c r="BH149" s="1807">
        <f t="shared" si="1874"/>
        <v>0</v>
      </c>
      <c r="BI149" s="1807">
        <f t="shared" si="1875"/>
        <v>0</v>
      </c>
      <c r="BJ149" s="1806">
        <f t="shared" si="1876"/>
        <v>0</v>
      </c>
      <c r="BK149" s="1791">
        <f t="shared" si="1877"/>
        <v>0</v>
      </c>
      <c r="BL149" s="1808">
        <f t="shared" si="1878"/>
        <v>0</v>
      </c>
      <c r="BM149" s="1807">
        <f t="shared" si="1879"/>
        <v>0</v>
      </c>
      <c r="BN149" s="1807">
        <f t="shared" si="1880"/>
        <v>0</v>
      </c>
      <c r="BO149" s="1806">
        <f t="shared" si="1881"/>
        <v>0</v>
      </c>
      <c r="BP149" s="1791">
        <f t="shared" si="1882"/>
        <v>0</v>
      </c>
      <c r="BQ149" s="1827"/>
      <c r="BR149" s="1791">
        <f t="shared" si="1883"/>
        <v>0</v>
      </c>
      <c r="BS149" s="1791">
        <f t="shared" si="1883"/>
        <v>0</v>
      </c>
      <c r="BT149" s="1808">
        <f t="shared" si="1884"/>
        <v>0</v>
      </c>
      <c r="BU149" s="1807">
        <f t="shared" si="1885"/>
        <v>0</v>
      </c>
      <c r="BV149" s="1807">
        <f t="shared" si="1886"/>
        <v>0</v>
      </c>
      <c r="BW149" s="1806">
        <f t="shared" si="1887"/>
        <v>0</v>
      </c>
      <c r="BX149" s="1791">
        <f t="shared" si="1888"/>
        <v>0</v>
      </c>
      <c r="BY149" s="1808">
        <f t="shared" si="1889"/>
        <v>0</v>
      </c>
      <c r="BZ149" s="1807">
        <f t="shared" si="1890"/>
        <v>0</v>
      </c>
      <c r="CA149" s="1807">
        <f t="shared" si="1891"/>
        <v>0</v>
      </c>
      <c r="CB149" s="1806">
        <f t="shared" si="1892"/>
        <v>0</v>
      </c>
      <c r="CC149" s="1791">
        <f t="shared" si="1893"/>
        <v>0</v>
      </c>
      <c r="CD149" s="1808">
        <f t="shared" si="1894"/>
        <v>0</v>
      </c>
      <c r="CE149" s="1807">
        <f t="shared" si="1895"/>
        <v>0</v>
      </c>
      <c r="CF149" s="1807">
        <f t="shared" si="1896"/>
        <v>0</v>
      </c>
      <c r="CG149" s="1806">
        <f t="shared" si="1897"/>
        <v>0</v>
      </c>
      <c r="CH149" s="1791">
        <f t="shared" si="1898"/>
        <v>0</v>
      </c>
      <c r="CI149" s="1808">
        <f t="shared" si="1899"/>
        <v>0</v>
      </c>
      <c r="CJ149" s="1807">
        <f t="shared" si="1900"/>
        <v>0</v>
      </c>
      <c r="CK149" s="1807">
        <f t="shared" si="1901"/>
        <v>0</v>
      </c>
      <c r="CL149" s="1806">
        <f t="shared" si="1902"/>
        <v>0</v>
      </c>
      <c r="CM149" s="1791">
        <f t="shared" si="1903"/>
        <v>0</v>
      </c>
      <c r="CN149" s="1808">
        <f t="shared" si="1904"/>
        <v>0</v>
      </c>
      <c r="CO149" s="1807">
        <f t="shared" si="1905"/>
        <v>0</v>
      </c>
      <c r="CP149" s="1807">
        <f t="shared" si="1906"/>
        <v>0</v>
      </c>
      <c r="CQ149" s="1806">
        <f t="shared" si="1907"/>
        <v>0</v>
      </c>
      <c r="CR149" s="1791">
        <f t="shared" si="1908"/>
        <v>0</v>
      </c>
      <c r="CS149" s="1808">
        <f t="shared" si="1909"/>
        <v>0</v>
      </c>
      <c r="CT149" s="1807">
        <f t="shared" si="1910"/>
        <v>0</v>
      </c>
      <c r="CU149" s="1807">
        <f t="shared" si="1911"/>
        <v>0</v>
      </c>
      <c r="CV149" s="1806">
        <f t="shared" si="1912"/>
        <v>0</v>
      </c>
      <c r="CW149" s="1791">
        <f t="shared" si="1913"/>
        <v>0</v>
      </c>
      <c r="CX149" s="1808">
        <f t="shared" si="1914"/>
        <v>0</v>
      </c>
      <c r="CY149" s="1807">
        <f t="shared" si="1915"/>
        <v>0</v>
      </c>
      <c r="CZ149" s="1807">
        <f t="shared" si="1916"/>
        <v>0</v>
      </c>
      <c r="DA149" s="1806">
        <f t="shared" si="1917"/>
        <v>0</v>
      </c>
      <c r="DB149" s="1791">
        <f t="shared" si="1918"/>
        <v>0</v>
      </c>
      <c r="DC149" s="1808">
        <f t="shared" si="1919"/>
        <v>0</v>
      </c>
      <c r="DD149" s="1807">
        <f t="shared" si="1920"/>
        <v>0</v>
      </c>
      <c r="DE149" s="1807">
        <f t="shared" si="1921"/>
        <v>0</v>
      </c>
      <c r="DF149" s="1806">
        <f t="shared" si="1922"/>
        <v>0</v>
      </c>
      <c r="DG149" s="1791">
        <f t="shared" si="1923"/>
        <v>0</v>
      </c>
      <c r="DH149" s="1808">
        <f t="shared" si="1924"/>
        <v>0</v>
      </c>
      <c r="DI149" s="1807">
        <f t="shared" si="1925"/>
        <v>0</v>
      </c>
      <c r="DJ149" s="1807">
        <f t="shared" si="1926"/>
        <v>0</v>
      </c>
      <c r="DK149" s="1806">
        <f t="shared" si="1927"/>
        <v>0</v>
      </c>
      <c r="DL149" s="1791">
        <f t="shared" si="1928"/>
        <v>0</v>
      </c>
      <c r="DM149" s="1808">
        <f t="shared" si="1929"/>
        <v>0</v>
      </c>
      <c r="DN149" s="1807">
        <f t="shared" si="1930"/>
        <v>0</v>
      </c>
      <c r="DO149" s="1807">
        <f t="shared" si="1931"/>
        <v>0</v>
      </c>
      <c r="DP149" s="1806">
        <f t="shared" si="1932"/>
        <v>0</v>
      </c>
      <c r="DQ149" s="1791">
        <f t="shared" si="1933"/>
        <v>0</v>
      </c>
      <c r="DR149" s="1808">
        <f t="shared" si="1934"/>
        <v>0</v>
      </c>
      <c r="DS149" s="1807">
        <f t="shared" si="1935"/>
        <v>0</v>
      </c>
      <c r="DT149" s="1807">
        <f t="shared" si="1936"/>
        <v>0</v>
      </c>
      <c r="DU149" s="1806">
        <f t="shared" si="1937"/>
        <v>0</v>
      </c>
      <c r="DV149" s="1791">
        <f t="shared" si="1938"/>
        <v>0</v>
      </c>
    </row>
    <row r="150" spans="1:126">
      <c r="A150" s="455"/>
      <c r="B150" s="455"/>
      <c r="C150" s="1363"/>
      <c r="D150" s="94"/>
      <c r="E150" s="1817"/>
      <c r="F150" s="1435"/>
      <c r="G150" s="1435"/>
      <c r="H150" s="1597"/>
      <c r="I150" s="1598"/>
      <c r="J150" s="1599"/>
      <c r="K150" s="1792"/>
      <c r="L150" s="1810">
        <f t="shared" si="1827"/>
        <v>0</v>
      </c>
      <c r="M150" s="1791">
        <f t="shared" si="1827"/>
        <v>0</v>
      </c>
      <c r="N150" s="1808">
        <f t="shared" si="1828"/>
        <v>0</v>
      </c>
      <c r="O150" s="1807">
        <f t="shared" si="1829"/>
        <v>0</v>
      </c>
      <c r="P150" s="1807">
        <f t="shared" si="1830"/>
        <v>0</v>
      </c>
      <c r="Q150" s="1806">
        <f t="shared" si="1831"/>
        <v>0</v>
      </c>
      <c r="R150" s="1791">
        <f t="shared" si="1832"/>
        <v>0</v>
      </c>
      <c r="S150" s="1808">
        <f t="shared" si="1833"/>
        <v>0</v>
      </c>
      <c r="T150" s="1807">
        <f t="shared" si="1834"/>
        <v>0</v>
      </c>
      <c r="U150" s="1807">
        <f t="shared" si="1835"/>
        <v>0</v>
      </c>
      <c r="V150" s="1806">
        <f t="shared" si="1836"/>
        <v>0</v>
      </c>
      <c r="W150" s="1791">
        <f t="shared" si="1837"/>
        <v>0</v>
      </c>
      <c r="X150" s="1808">
        <f t="shared" si="1838"/>
        <v>0</v>
      </c>
      <c r="Y150" s="1807">
        <f t="shared" si="1839"/>
        <v>0</v>
      </c>
      <c r="Z150" s="1807">
        <f t="shared" si="1840"/>
        <v>0</v>
      </c>
      <c r="AA150" s="1806">
        <f t="shared" si="1841"/>
        <v>0</v>
      </c>
      <c r="AB150" s="1791">
        <f t="shared" si="1842"/>
        <v>0</v>
      </c>
      <c r="AC150" s="1808">
        <f t="shared" si="1843"/>
        <v>0</v>
      </c>
      <c r="AD150" s="1807">
        <f t="shared" si="1844"/>
        <v>0</v>
      </c>
      <c r="AE150" s="1807">
        <f t="shared" si="1845"/>
        <v>0</v>
      </c>
      <c r="AF150" s="1806">
        <f t="shared" si="1846"/>
        <v>0</v>
      </c>
      <c r="AG150" s="1791">
        <f t="shared" si="1847"/>
        <v>0</v>
      </c>
      <c r="AH150" s="1808">
        <f t="shared" si="1848"/>
        <v>0</v>
      </c>
      <c r="AI150" s="1807">
        <f t="shared" si="1849"/>
        <v>0</v>
      </c>
      <c r="AJ150" s="1807">
        <f t="shared" si="1850"/>
        <v>0</v>
      </c>
      <c r="AK150" s="1806">
        <f t="shared" si="1851"/>
        <v>0</v>
      </c>
      <c r="AL150" s="1791">
        <f t="shared" si="1852"/>
        <v>0</v>
      </c>
      <c r="AM150" s="1808">
        <f t="shared" si="1853"/>
        <v>0</v>
      </c>
      <c r="AN150" s="1807">
        <f t="shared" si="1854"/>
        <v>0</v>
      </c>
      <c r="AO150" s="1807">
        <f t="shared" si="1855"/>
        <v>0</v>
      </c>
      <c r="AP150" s="1806">
        <f t="shared" si="1856"/>
        <v>0</v>
      </c>
      <c r="AQ150" s="1791">
        <f t="shared" si="1857"/>
        <v>0</v>
      </c>
      <c r="AR150" s="1808">
        <f t="shared" si="1858"/>
        <v>0</v>
      </c>
      <c r="AS150" s="1807">
        <f t="shared" si="1859"/>
        <v>0</v>
      </c>
      <c r="AT150" s="1807">
        <f t="shared" si="1860"/>
        <v>0</v>
      </c>
      <c r="AU150" s="1806">
        <f t="shared" si="1861"/>
        <v>0</v>
      </c>
      <c r="AV150" s="1791">
        <f t="shared" si="1862"/>
        <v>0</v>
      </c>
      <c r="AW150" s="1808">
        <f t="shared" si="1863"/>
        <v>0</v>
      </c>
      <c r="AX150" s="1807">
        <f t="shared" si="1864"/>
        <v>0</v>
      </c>
      <c r="AY150" s="1807">
        <f t="shared" si="1865"/>
        <v>0</v>
      </c>
      <c r="AZ150" s="1806">
        <f t="shared" si="1866"/>
        <v>0</v>
      </c>
      <c r="BA150" s="1791">
        <f t="shared" si="1867"/>
        <v>0</v>
      </c>
      <c r="BB150" s="1808">
        <f t="shared" si="1868"/>
        <v>0</v>
      </c>
      <c r="BC150" s="1807">
        <f t="shared" si="1869"/>
        <v>0</v>
      </c>
      <c r="BD150" s="1807">
        <f t="shared" si="1870"/>
        <v>0</v>
      </c>
      <c r="BE150" s="1806">
        <f t="shared" si="1871"/>
        <v>0</v>
      </c>
      <c r="BF150" s="1791">
        <f t="shared" si="1872"/>
        <v>0</v>
      </c>
      <c r="BG150" s="1808">
        <f t="shared" si="1873"/>
        <v>0</v>
      </c>
      <c r="BH150" s="1807">
        <f t="shared" si="1874"/>
        <v>0</v>
      </c>
      <c r="BI150" s="1807">
        <f t="shared" si="1875"/>
        <v>0</v>
      </c>
      <c r="BJ150" s="1806">
        <f t="shared" si="1876"/>
        <v>0</v>
      </c>
      <c r="BK150" s="1791">
        <f t="shared" si="1877"/>
        <v>0</v>
      </c>
      <c r="BL150" s="1808">
        <f t="shared" si="1878"/>
        <v>0</v>
      </c>
      <c r="BM150" s="1807">
        <f t="shared" si="1879"/>
        <v>0</v>
      </c>
      <c r="BN150" s="1807">
        <f t="shared" si="1880"/>
        <v>0</v>
      </c>
      <c r="BO150" s="1806">
        <f t="shared" si="1881"/>
        <v>0</v>
      </c>
      <c r="BP150" s="1791">
        <f t="shared" si="1882"/>
        <v>0</v>
      </c>
      <c r="BQ150" s="1827"/>
      <c r="BR150" s="1791">
        <f t="shared" si="1883"/>
        <v>0</v>
      </c>
      <c r="BS150" s="1791">
        <f t="shared" si="1883"/>
        <v>0</v>
      </c>
      <c r="BT150" s="1808">
        <f t="shared" si="1884"/>
        <v>0</v>
      </c>
      <c r="BU150" s="1807">
        <f t="shared" si="1885"/>
        <v>0</v>
      </c>
      <c r="BV150" s="1807">
        <f t="shared" si="1886"/>
        <v>0</v>
      </c>
      <c r="BW150" s="1806">
        <f t="shared" si="1887"/>
        <v>0</v>
      </c>
      <c r="BX150" s="1791">
        <f t="shared" si="1888"/>
        <v>0</v>
      </c>
      <c r="BY150" s="1808">
        <f t="shared" si="1889"/>
        <v>0</v>
      </c>
      <c r="BZ150" s="1807">
        <f t="shared" si="1890"/>
        <v>0</v>
      </c>
      <c r="CA150" s="1807">
        <f t="shared" si="1891"/>
        <v>0</v>
      </c>
      <c r="CB150" s="1806">
        <f t="shared" si="1892"/>
        <v>0</v>
      </c>
      <c r="CC150" s="1791">
        <f t="shared" si="1893"/>
        <v>0</v>
      </c>
      <c r="CD150" s="1808">
        <f t="shared" si="1894"/>
        <v>0</v>
      </c>
      <c r="CE150" s="1807">
        <f t="shared" si="1895"/>
        <v>0</v>
      </c>
      <c r="CF150" s="1807">
        <f t="shared" si="1896"/>
        <v>0</v>
      </c>
      <c r="CG150" s="1806">
        <f t="shared" si="1897"/>
        <v>0</v>
      </c>
      <c r="CH150" s="1791">
        <f t="shared" si="1898"/>
        <v>0</v>
      </c>
      <c r="CI150" s="1808">
        <f t="shared" si="1899"/>
        <v>0</v>
      </c>
      <c r="CJ150" s="1807">
        <f t="shared" si="1900"/>
        <v>0</v>
      </c>
      <c r="CK150" s="1807">
        <f t="shared" si="1901"/>
        <v>0</v>
      </c>
      <c r="CL150" s="1806">
        <f t="shared" si="1902"/>
        <v>0</v>
      </c>
      <c r="CM150" s="1791">
        <f t="shared" si="1903"/>
        <v>0</v>
      </c>
      <c r="CN150" s="1808">
        <f t="shared" si="1904"/>
        <v>0</v>
      </c>
      <c r="CO150" s="1807">
        <f t="shared" si="1905"/>
        <v>0</v>
      </c>
      <c r="CP150" s="1807">
        <f t="shared" si="1906"/>
        <v>0</v>
      </c>
      <c r="CQ150" s="1806">
        <f t="shared" si="1907"/>
        <v>0</v>
      </c>
      <c r="CR150" s="1791">
        <f t="shared" si="1908"/>
        <v>0</v>
      </c>
      <c r="CS150" s="1808">
        <f t="shared" si="1909"/>
        <v>0</v>
      </c>
      <c r="CT150" s="1807">
        <f t="shared" si="1910"/>
        <v>0</v>
      </c>
      <c r="CU150" s="1807">
        <f t="shared" si="1911"/>
        <v>0</v>
      </c>
      <c r="CV150" s="1806">
        <f t="shared" si="1912"/>
        <v>0</v>
      </c>
      <c r="CW150" s="1791">
        <f t="shared" si="1913"/>
        <v>0</v>
      </c>
      <c r="CX150" s="1808">
        <f t="shared" si="1914"/>
        <v>0</v>
      </c>
      <c r="CY150" s="1807">
        <f t="shared" si="1915"/>
        <v>0</v>
      </c>
      <c r="CZ150" s="1807">
        <f t="shared" si="1916"/>
        <v>0</v>
      </c>
      <c r="DA150" s="1806">
        <f t="shared" si="1917"/>
        <v>0</v>
      </c>
      <c r="DB150" s="1791">
        <f t="shared" si="1918"/>
        <v>0</v>
      </c>
      <c r="DC150" s="1808">
        <f t="shared" si="1919"/>
        <v>0</v>
      </c>
      <c r="DD150" s="1807">
        <f t="shared" si="1920"/>
        <v>0</v>
      </c>
      <c r="DE150" s="1807">
        <f t="shared" si="1921"/>
        <v>0</v>
      </c>
      <c r="DF150" s="1806">
        <f t="shared" si="1922"/>
        <v>0</v>
      </c>
      <c r="DG150" s="1791">
        <f t="shared" si="1923"/>
        <v>0</v>
      </c>
      <c r="DH150" s="1808">
        <f t="shared" si="1924"/>
        <v>0</v>
      </c>
      <c r="DI150" s="1807">
        <f t="shared" si="1925"/>
        <v>0</v>
      </c>
      <c r="DJ150" s="1807">
        <f t="shared" si="1926"/>
        <v>0</v>
      </c>
      <c r="DK150" s="1806">
        <f t="shared" si="1927"/>
        <v>0</v>
      </c>
      <c r="DL150" s="1791">
        <f t="shared" si="1928"/>
        <v>0</v>
      </c>
      <c r="DM150" s="1808">
        <f t="shared" si="1929"/>
        <v>0</v>
      </c>
      <c r="DN150" s="1807">
        <f t="shared" si="1930"/>
        <v>0</v>
      </c>
      <c r="DO150" s="1807">
        <f t="shared" si="1931"/>
        <v>0</v>
      </c>
      <c r="DP150" s="1806">
        <f t="shared" si="1932"/>
        <v>0</v>
      </c>
      <c r="DQ150" s="1791">
        <f t="shared" si="1933"/>
        <v>0</v>
      </c>
      <c r="DR150" s="1808">
        <f t="shared" si="1934"/>
        <v>0</v>
      </c>
      <c r="DS150" s="1807">
        <f t="shared" si="1935"/>
        <v>0</v>
      </c>
      <c r="DT150" s="1807">
        <f t="shared" si="1936"/>
        <v>0</v>
      </c>
      <c r="DU150" s="1806">
        <f t="shared" si="1937"/>
        <v>0</v>
      </c>
      <c r="DV150" s="1791">
        <f t="shared" si="1938"/>
        <v>0</v>
      </c>
    </row>
    <row r="151" spans="1:126">
      <c r="A151" s="455"/>
      <c r="B151" s="455"/>
      <c r="C151" s="1596" t="s">
        <v>313</v>
      </c>
      <c r="D151" s="94"/>
      <c r="E151" s="1817"/>
      <c r="F151" s="1435"/>
      <c r="G151" s="1435"/>
      <c r="H151" s="1597"/>
      <c r="I151" s="1598"/>
      <c r="J151" s="1599"/>
      <c r="K151" s="1792"/>
      <c r="L151" s="1810">
        <f t="shared" si="1827"/>
        <v>0</v>
      </c>
      <c r="M151" s="1791">
        <f t="shared" si="1827"/>
        <v>0</v>
      </c>
      <c r="N151" s="1808">
        <f t="shared" si="1828"/>
        <v>0</v>
      </c>
      <c r="O151" s="1807">
        <f t="shared" si="1829"/>
        <v>0</v>
      </c>
      <c r="P151" s="1807">
        <f t="shared" si="1830"/>
        <v>0</v>
      </c>
      <c r="Q151" s="1806">
        <f t="shared" si="1831"/>
        <v>0</v>
      </c>
      <c r="R151" s="1791">
        <f t="shared" si="1832"/>
        <v>0</v>
      </c>
      <c r="S151" s="1808">
        <f t="shared" si="1833"/>
        <v>0</v>
      </c>
      <c r="T151" s="1807">
        <f t="shared" si="1834"/>
        <v>0</v>
      </c>
      <c r="U151" s="1807">
        <f t="shared" si="1835"/>
        <v>0</v>
      </c>
      <c r="V151" s="1806">
        <f t="shared" si="1836"/>
        <v>0</v>
      </c>
      <c r="W151" s="1791">
        <f t="shared" si="1837"/>
        <v>0</v>
      </c>
      <c r="X151" s="1808">
        <f t="shared" si="1838"/>
        <v>0</v>
      </c>
      <c r="Y151" s="1807">
        <f t="shared" si="1839"/>
        <v>0</v>
      </c>
      <c r="Z151" s="1807">
        <f t="shared" si="1840"/>
        <v>0</v>
      </c>
      <c r="AA151" s="1806">
        <f t="shared" si="1841"/>
        <v>0</v>
      </c>
      <c r="AB151" s="1791">
        <f t="shared" si="1842"/>
        <v>0</v>
      </c>
      <c r="AC151" s="1808">
        <f t="shared" si="1843"/>
        <v>0</v>
      </c>
      <c r="AD151" s="1807">
        <f t="shared" si="1844"/>
        <v>0</v>
      </c>
      <c r="AE151" s="1807">
        <f t="shared" si="1845"/>
        <v>0</v>
      </c>
      <c r="AF151" s="1806">
        <f t="shared" si="1846"/>
        <v>0</v>
      </c>
      <c r="AG151" s="1791">
        <f t="shared" si="1847"/>
        <v>0</v>
      </c>
      <c r="AH151" s="1808">
        <f t="shared" si="1848"/>
        <v>0</v>
      </c>
      <c r="AI151" s="1807">
        <f t="shared" si="1849"/>
        <v>0</v>
      </c>
      <c r="AJ151" s="1807">
        <f t="shared" si="1850"/>
        <v>0</v>
      </c>
      <c r="AK151" s="1806">
        <f t="shared" si="1851"/>
        <v>0</v>
      </c>
      <c r="AL151" s="1791">
        <f t="shared" si="1852"/>
        <v>0</v>
      </c>
      <c r="AM151" s="1808">
        <f t="shared" si="1853"/>
        <v>0</v>
      </c>
      <c r="AN151" s="1807">
        <f t="shared" si="1854"/>
        <v>0</v>
      </c>
      <c r="AO151" s="1807">
        <f t="shared" si="1855"/>
        <v>0</v>
      </c>
      <c r="AP151" s="1806">
        <f t="shared" si="1856"/>
        <v>0</v>
      </c>
      <c r="AQ151" s="1791">
        <f t="shared" si="1857"/>
        <v>0</v>
      </c>
      <c r="AR151" s="1808">
        <f t="shared" si="1858"/>
        <v>0</v>
      </c>
      <c r="AS151" s="1807">
        <f t="shared" si="1859"/>
        <v>0</v>
      </c>
      <c r="AT151" s="1807">
        <f t="shared" si="1860"/>
        <v>0</v>
      </c>
      <c r="AU151" s="1806">
        <f t="shared" si="1861"/>
        <v>0</v>
      </c>
      <c r="AV151" s="1791">
        <f t="shared" si="1862"/>
        <v>0</v>
      </c>
      <c r="AW151" s="1808">
        <f t="shared" si="1863"/>
        <v>0</v>
      </c>
      <c r="AX151" s="1807">
        <f t="shared" si="1864"/>
        <v>0</v>
      </c>
      <c r="AY151" s="1807">
        <f t="shared" si="1865"/>
        <v>0</v>
      </c>
      <c r="AZ151" s="1806">
        <f t="shared" si="1866"/>
        <v>0</v>
      </c>
      <c r="BA151" s="1791">
        <f t="shared" si="1867"/>
        <v>0</v>
      </c>
      <c r="BB151" s="1808">
        <f t="shared" si="1868"/>
        <v>0</v>
      </c>
      <c r="BC151" s="1807">
        <f t="shared" si="1869"/>
        <v>0</v>
      </c>
      <c r="BD151" s="1807">
        <f t="shared" si="1870"/>
        <v>0</v>
      </c>
      <c r="BE151" s="1806">
        <f t="shared" si="1871"/>
        <v>0</v>
      </c>
      <c r="BF151" s="1791">
        <f t="shared" si="1872"/>
        <v>0</v>
      </c>
      <c r="BG151" s="1808">
        <f t="shared" si="1873"/>
        <v>0</v>
      </c>
      <c r="BH151" s="1807">
        <f t="shared" si="1874"/>
        <v>0</v>
      </c>
      <c r="BI151" s="1807">
        <f t="shared" si="1875"/>
        <v>0</v>
      </c>
      <c r="BJ151" s="1806">
        <f t="shared" si="1876"/>
        <v>0</v>
      </c>
      <c r="BK151" s="1791">
        <f t="shared" si="1877"/>
        <v>0</v>
      </c>
      <c r="BL151" s="1808">
        <f t="shared" si="1878"/>
        <v>0</v>
      </c>
      <c r="BM151" s="1807">
        <f t="shared" si="1879"/>
        <v>0</v>
      </c>
      <c r="BN151" s="1807">
        <f t="shared" si="1880"/>
        <v>0</v>
      </c>
      <c r="BO151" s="1806">
        <f t="shared" si="1881"/>
        <v>0</v>
      </c>
      <c r="BP151" s="1791">
        <f t="shared" si="1882"/>
        <v>0</v>
      </c>
      <c r="BQ151" s="1827"/>
      <c r="BR151" s="1791">
        <f t="shared" si="1883"/>
        <v>0</v>
      </c>
      <c r="BS151" s="1791">
        <f t="shared" si="1883"/>
        <v>0</v>
      </c>
      <c r="BT151" s="1808">
        <f t="shared" si="1884"/>
        <v>0</v>
      </c>
      <c r="BU151" s="1807">
        <f t="shared" si="1885"/>
        <v>0</v>
      </c>
      <c r="BV151" s="1807">
        <f t="shared" si="1886"/>
        <v>0</v>
      </c>
      <c r="BW151" s="1806">
        <f t="shared" si="1887"/>
        <v>0</v>
      </c>
      <c r="BX151" s="1791">
        <f t="shared" si="1888"/>
        <v>0</v>
      </c>
      <c r="BY151" s="1808">
        <f t="shared" si="1889"/>
        <v>0</v>
      </c>
      <c r="BZ151" s="1807">
        <f t="shared" si="1890"/>
        <v>0</v>
      </c>
      <c r="CA151" s="1807">
        <f t="shared" si="1891"/>
        <v>0</v>
      </c>
      <c r="CB151" s="1806">
        <f t="shared" si="1892"/>
        <v>0</v>
      </c>
      <c r="CC151" s="1791">
        <f t="shared" si="1893"/>
        <v>0</v>
      </c>
      <c r="CD151" s="1808">
        <f t="shared" si="1894"/>
        <v>0</v>
      </c>
      <c r="CE151" s="1807">
        <f t="shared" si="1895"/>
        <v>0</v>
      </c>
      <c r="CF151" s="1807">
        <f t="shared" si="1896"/>
        <v>0</v>
      </c>
      <c r="CG151" s="1806">
        <f t="shared" si="1897"/>
        <v>0</v>
      </c>
      <c r="CH151" s="1791">
        <f t="shared" si="1898"/>
        <v>0</v>
      </c>
      <c r="CI151" s="1808">
        <f t="shared" si="1899"/>
        <v>0</v>
      </c>
      <c r="CJ151" s="1807">
        <f t="shared" si="1900"/>
        <v>0</v>
      </c>
      <c r="CK151" s="1807">
        <f t="shared" si="1901"/>
        <v>0</v>
      </c>
      <c r="CL151" s="1806">
        <f t="shared" si="1902"/>
        <v>0</v>
      </c>
      <c r="CM151" s="1791">
        <f t="shared" si="1903"/>
        <v>0</v>
      </c>
      <c r="CN151" s="1808">
        <f t="shared" si="1904"/>
        <v>0</v>
      </c>
      <c r="CO151" s="1807">
        <f t="shared" si="1905"/>
        <v>0</v>
      </c>
      <c r="CP151" s="1807">
        <f t="shared" si="1906"/>
        <v>0</v>
      </c>
      <c r="CQ151" s="1806">
        <f t="shared" si="1907"/>
        <v>0</v>
      </c>
      <c r="CR151" s="1791">
        <f t="shared" si="1908"/>
        <v>0</v>
      </c>
      <c r="CS151" s="1808">
        <f t="shared" si="1909"/>
        <v>0</v>
      </c>
      <c r="CT151" s="1807">
        <f t="shared" si="1910"/>
        <v>0</v>
      </c>
      <c r="CU151" s="1807">
        <f t="shared" si="1911"/>
        <v>0</v>
      </c>
      <c r="CV151" s="1806">
        <f t="shared" si="1912"/>
        <v>0</v>
      </c>
      <c r="CW151" s="1791">
        <f t="shared" si="1913"/>
        <v>0</v>
      </c>
      <c r="CX151" s="1808">
        <f t="shared" si="1914"/>
        <v>0</v>
      </c>
      <c r="CY151" s="1807">
        <f t="shared" si="1915"/>
        <v>0</v>
      </c>
      <c r="CZ151" s="1807">
        <f t="shared" si="1916"/>
        <v>0</v>
      </c>
      <c r="DA151" s="1806">
        <f t="shared" si="1917"/>
        <v>0</v>
      </c>
      <c r="DB151" s="1791">
        <f t="shared" si="1918"/>
        <v>0</v>
      </c>
      <c r="DC151" s="1808">
        <f t="shared" si="1919"/>
        <v>0</v>
      </c>
      <c r="DD151" s="1807">
        <f t="shared" si="1920"/>
        <v>0</v>
      </c>
      <c r="DE151" s="1807">
        <f t="shared" si="1921"/>
        <v>0</v>
      </c>
      <c r="DF151" s="1806">
        <f t="shared" si="1922"/>
        <v>0</v>
      </c>
      <c r="DG151" s="1791">
        <f t="shared" si="1923"/>
        <v>0</v>
      </c>
      <c r="DH151" s="1808">
        <f t="shared" si="1924"/>
        <v>0</v>
      </c>
      <c r="DI151" s="1807">
        <f t="shared" si="1925"/>
        <v>0</v>
      </c>
      <c r="DJ151" s="1807">
        <f t="shared" si="1926"/>
        <v>0</v>
      </c>
      <c r="DK151" s="1806">
        <f t="shared" si="1927"/>
        <v>0</v>
      </c>
      <c r="DL151" s="1791">
        <f t="shared" si="1928"/>
        <v>0</v>
      </c>
      <c r="DM151" s="1808">
        <f t="shared" si="1929"/>
        <v>0</v>
      </c>
      <c r="DN151" s="1807">
        <f t="shared" si="1930"/>
        <v>0</v>
      </c>
      <c r="DO151" s="1807">
        <f t="shared" si="1931"/>
        <v>0</v>
      </c>
      <c r="DP151" s="1806">
        <f t="shared" si="1932"/>
        <v>0</v>
      </c>
      <c r="DQ151" s="1791">
        <f t="shared" si="1933"/>
        <v>0</v>
      </c>
      <c r="DR151" s="1808">
        <f t="shared" si="1934"/>
        <v>0</v>
      </c>
      <c r="DS151" s="1807">
        <f t="shared" si="1935"/>
        <v>0</v>
      </c>
      <c r="DT151" s="1807">
        <f t="shared" si="1936"/>
        <v>0</v>
      </c>
      <c r="DU151" s="1806">
        <f t="shared" si="1937"/>
        <v>0</v>
      </c>
      <c r="DV151" s="1791">
        <f t="shared" si="1938"/>
        <v>0</v>
      </c>
    </row>
    <row r="152" spans="1:126">
      <c r="A152" s="455"/>
      <c r="B152" s="455"/>
      <c r="C152" s="1363" t="s">
        <v>313</v>
      </c>
      <c r="D152" s="94"/>
      <c r="E152" s="1817">
        <f>IF(F152=0,G152,F152)</f>
        <v>4.2140000000000004</v>
      </c>
      <c r="F152" s="1435">
        <v>4.2140000000000004</v>
      </c>
      <c r="G152" s="1435">
        <v>4.3120000000000003</v>
      </c>
      <c r="H152" s="1601">
        <v>2039</v>
      </c>
      <c r="I152" s="1602">
        <v>0.05</v>
      </c>
      <c r="J152" s="1600">
        <v>6</v>
      </c>
      <c r="K152" s="1792"/>
      <c r="L152" s="1810">
        <f t="shared" si="1827"/>
        <v>0</v>
      </c>
      <c r="M152" s="1791">
        <f t="shared" si="1827"/>
        <v>0</v>
      </c>
      <c r="N152" s="1808">
        <f t="shared" si="1828"/>
        <v>0</v>
      </c>
      <c r="O152" s="1807">
        <f t="shared" si="1829"/>
        <v>0</v>
      </c>
      <c r="P152" s="1807">
        <f t="shared" si="1830"/>
        <v>0</v>
      </c>
      <c r="Q152" s="1806">
        <f t="shared" si="1831"/>
        <v>0</v>
      </c>
      <c r="R152" s="1791">
        <f t="shared" si="1832"/>
        <v>0</v>
      </c>
      <c r="S152" s="1808">
        <f t="shared" si="1833"/>
        <v>0</v>
      </c>
      <c r="T152" s="1807">
        <f t="shared" si="1834"/>
        <v>0</v>
      </c>
      <c r="U152" s="1807">
        <f t="shared" si="1835"/>
        <v>0</v>
      </c>
      <c r="V152" s="1806">
        <f t="shared" si="1836"/>
        <v>0</v>
      </c>
      <c r="W152" s="1791">
        <f t="shared" si="1837"/>
        <v>0</v>
      </c>
      <c r="X152" s="1808">
        <f t="shared" si="1838"/>
        <v>0</v>
      </c>
      <c r="Y152" s="1807">
        <f t="shared" si="1839"/>
        <v>0</v>
      </c>
      <c r="Z152" s="1807">
        <f t="shared" si="1840"/>
        <v>0</v>
      </c>
      <c r="AA152" s="1806">
        <f t="shared" si="1841"/>
        <v>0</v>
      </c>
      <c r="AB152" s="1791">
        <f t="shared" si="1842"/>
        <v>0</v>
      </c>
      <c r="AC152" s="1808">
        <f t="shared" si="1843"/>
        <v>0</v>
      </c>
      <c r="AD152" s="1807">
        <f t="shared" si="1844"/>
        <v>0</v>
      </c>
      <c r="AE152" s="1807">
        <f t="shared" si="1845"/>
        <v>0</v>
      </c>
      <c r="AF152" s="1806">
        <f t="shared" si="1846"/>
        <v>0</v>
      </c>
      <c r="AG152" s="1791">
        <f t="shared" si="1847"/>
        <v>0</v>
      </c>
      <c r="AH152" s="1808">
        <f t="shared" si="1848"/>
        <v>0</v>
      </c>
      <c r="AI152" s="1807">
        <f t="shared" si="1849"/>
        <v>0</v>
      </c>
      <c r="AJ152" s="1807">
        <f t="shared" si="1850"/>
        <v>0</v>
      </c>
      <c r="AK152" s="1806">
        <f t="shared" si="1851"/>
        <v>0</v>
      </c>
      <c r="AL152" s="1791">
        <f t="shared" si="1852"/>
        <v>0</v>
      </c>
      <c r="AM152" s="1808">
        <f t="shared" si="1853"/>
        <v>0</v>
      </c>
      <c r="AN152" s="1807">
        <f t="shared" si="1854"/>
        <v>0</v>
      </c>
      <c r="AO152" s="1807">
        <f t="shared" si="1855"/>
        <v>0</v>
      </c>
      <c r="AP152" s="1806">
        <f t="shared" si="1856"/>
        <v>0</v>
      </c>
      <c r="AQ152" s="1791">
        <f t="shared" si="1857"/>
        <v>0</v>
      </c>
      <c r="AR152" s="1808">
        <f t="shared" si="1858"/>
        <v>0</v>
      </c>
      <c r="AS152" s="1807">
        <f t="shared" si="1859"/>
        <v>0</v>
      </c>
      <c r="AT152" s="1807">
        <f t="shared" si="1860"/>
        <v>0</v>
      </c>
      <c r="AU152" s="1806">
        <f t="shared" si="1861"/>
        <v>0</v>
      </c>
      <c r="AV152" s="1791">
        <f t="shared" si="1862"/>
        <v>0</v>
      </c>
      <c r="AW152" s="1808">
        <f t="shared" si="1863"/>
        <v>0</v>
      </c>
      <c r="AX152" s="1807">
        <f t="shared" si="1864"/>
        <v>0</v>
      </c>
      <c r="AY152" s="1807">
        <f t="shared" si="1865"/>
        <v>0</v>
      </c>
      <c r="AZ152" s="1806">
        <f t="shared" si="1866"/>
        <v>0</v>
      </c>
      <c r="BA152" s="1791">
        <f t="shared" si="1867"/>
        <v>0</v>
      </c>
      <c r="BB152" s="1808">
        <f t="shared" si="1868"/>
        <v>0</v>
      </c>
      <c r="BC152" s="1807">
        <f t="shared" si="1869"/>
        <v>0</v>
      </c>
      <c r="BD152" s="1807">
        <f t="shared" si="1870"/>
        <v>0</v>
      </c>
      <c r="BE152" s="1806">
        <f t="shared" si="1871"/>
        <v>0</v>
      </c>
      <c r="BF152" s="1791">
        <f t="shared" si="1872"/>
        <v>0</v>
      </c>
      <c r="BG152" s="1808">
        <f t="shared" si="1873"/>
        <v>0</v>
      </c>
      <c r="BH152" s="1807">
        <f t="shared" si="1874"/>
        <v>0</v>
      </c>
      <c r="BI152" s="1807">
        <f t="shared" si="1875"/>
        <v>0</v>
      </c>
      <c r="BJ152" s="1806">
        <f t="shared" si="1876"/>
        <v>0</v>
      </c>
      <c r="BK152" s="1791">
        <f t="shared" si="1877"/>
        <v>0</v>
      </c>
      <c r="BL152" s="1808">
        <f t="shared" si="1878"/>
        <v>0</v>
      </c>
      <c r="BM152" s="1807">
        <f t="shared" si="1879"/>
        <v>0</v>
      </c>
      <c r="BN152" s="1807">
        <f t="shared" si="1880"/>
        <v>0</v>
      </c>
      <c r="BO152" s="1806">
        <f t="shared" si="1881"/>
        <v>0</v>
      </c>
      <c r="BP152" s="1791">
        <f t="shared" si="1882"/>
        <v>0</v>
      </c>
      <c r="BQ152" s="1827"/>
      <c r="BR152" s="1791">
        <f t="shared" si="1883"/>
        <v>0</v>
      </c>
      <c r="BS152" s="1791">
        <f t="shared" si="1883"/>
        <v>0</v>
      </c>
      <c r="BT152" s="1808">
        <f t="shared" si="1884"/>
        <v>0</v>
      </c>
      <c r="BU152" s="1807">
        <f t="shared" si="1885"/>
        <v>0</v>
      </c>
      <c r="BV152" s="1807">
        <f t="shared" si="1886"/>
        <v>0</v>
      </c>
      <c r="BW152" s="1806">
        <f t="shared" si="1887"/>
        <v>0</v>
      </c>
      <c r="BX152" s="1791">
        <f t="shared" si="1888"/>
        <v>0</v>
      </c>
      <c r="BY152" s="1808">
        <f t="shared" si="1889"/>
        <v>0</v>
      </c>
      <c r="BZ152" s="1807">
        <f t="shared" si="1890"/>
        <v>0</v>
      </c>
      <c r="CA152" s="1807">
        <f t="shared" si="1891"/>
        <v>0</v>
      </c>
      <c r="CB152" s="1806">
        <f t="shared" si="1892"/>
        <v>0</v>
      </c>
      <c r="CC152" s="1791">
        <f t="shared" si="1893"/>
        <v>0</v>
      </c>
      <c r="CD152" s="1808">
        <f t="shared" si="1894"/>
        <v>0</v>
      </c>
      <c r="CE152" s="1807">
        <f t="shared" si="1895"/>
        <v>0</v>
      </c>
      <c r="CF152" s="1807">
        <f t="shared" si="1896"/>
        <v>0</v>
      </c>
      <c r="CG152" s="1806">
        <f t="shared" si="1897"/>
        <v>0</v>
      </c>
      <c r="CH152" s="1791">
        <f t="shared" si="1898"/>
        <v>0</v>
      </c>
      <c r="CI152" s="1808">
        <f t="shared" si="1899"/>
        <v>0</v>
      </c>
      <c r="CJ152" s="1807">
        <f t="shared" si="1900"/>
        <v>0</v>
      </c>
      <c r="CK152" s="1807">
        <f t="shared" si="1901"/>
        <v>0</v>
      </c>
      <c r="CL152" s="1806">
        <f t="shared" si="1902"/>
        <v>0</v>
      </c>
      <c r="CM152" s="1791">
        <f t="shared" si="1903"/>
        <v>0</v>
      </c>
      <c r="CN152" s="1808">
        <f t="shared" si="1904"/>
        <v>0</v>
      </c>
      <c r="CO152" s="1807">
        <f t="shared" si="1905"/>
        <v>0</v>
      </c>
      <c r="CP152" s="1807">
        <f t="shared" si="1906"/>
        <v>0</v>
      </c>
      <c r="CQ152" s="1806">
        <f t="shared" si="1907"/>
        <v>0</v>
      </c>
      <c r="CR152" s="1791">
        <f t="shared" si="1908"/>
        <v>0</v>
      </c>
      <c r="CS152" s="1808">
        <f t="shared" si="1909"/>
        <v>0</v>
      </c>
      <c r="CT152" s="1807">
        <f t="shared" si="1910"/>
        <v>0</v>
      </c>
      <c r="CU152" s="1807">
        <f t="shared" si="1911"/>
        <v>0</v>
      </c>
      <c r="CV152" s="1806">
        <f t="shared" si="1912"/>
        <v>0</v>
      </c>
      <c r="CW152" s="1791">
        <f t="shared" si="1913"/>
        <v>0</v>
      </c>
      <c r="CX152" s="1808">
        <f t="shared" si="1914"/>
        <v>0</v>
      </c>
      <c r="CY152" s="1807">
        <f t="shared" si="1915"/>
        <v>0</v>
      </c>
      <c r="CZ152" s="1807">
        <f t="shared" si="1916"/>
        <v>0</v>
      </c>
      <c r="DA152" s="1806">
        <f t="shared" si="1917"/>
        <v>0</v>
      </c>
      <c r="DB152" s="1791">
        <f t="shared" si="1918"/>
        <v>0</v>
      </c>
      <c r="DC152" s="1808">
        <f t="shared" si="1919"/>
        <v>0</v>
      </c>
      <c r="DD152" s="1807">
        <f t="shared" si="1920"/>
        <v>0</v>
      </c>
      <c r="DE152" s="1807">
        <f t="shared" si="1921"/>
        <v>0</v>
      </c>
      <c r="DF152" s="1806">
        <f t="shared" si="1922"/>
        <v>0</v>
      </c>
      <c r="DG152" s="1791">
        <f t="shared" si="1923"/>
        <v>0</v>
      </c>
      <c r="DH152" s="1808">
        <f t="shared" si="1924"/>
        <v>0</v>
      </c>
      <c r="DI152" s="1807">
        <f t="shared" si="1925"/>
        <v>0</v>
      </c>
      <c r="DJ152" s="1807">
        <f t="shared" si="1926"/>
        <v>0</v>
      </c>
      <c r="DK152" s="1806">
        <f t="shared" si="1927"/>
        <v>0</v>
      </c>
      <c r="DL152" s="1791">
        <f t="shared" si="1928"/>
        <v>0</v>
      </c>
      <c r="DM152" s="1808">
        <f t="shared" si="1929"/>
        <v>0</v>
      </c>
      <c r="DN152" s="1807">
        <f t="shared" si="1930"/>
        <v>0</v>
      </c>
      <c r="DO152" s="1807">
        <f t="shared" si="1931"/>
        <v>0</v>
      </c>
      <c r="DP152" s="1806">
        <f t="shared" si="1932"/>
        <v>0</v>
      </c>
      <c r="DQ152" s="1791">
        <f t="shared" si="1933"/>
        <v>0</v>
      </c>
      <c r="DR152" s="1808">
        <f t="shared" si="1934"/>
        <v>0</v>
      </c>
      <c r="DS152" s="1807">
        <f t="shared" si="1935"/>
        <v>0</v>
      </c>
      <c r="DT152" s="1807">
        <f t="shared" si="1936"/>
        <v>0</v>
      </c>
      <c r="DU152" s="1806">
        <f t="shared" si="1937"/>
        <v>0</v>
      </c>
      <c r="DV152" s="1791">
        <f t="shared" si="1938"/>
        <v>0</v>
      </c>
    </row>
    <row r="153" spans="1:126">
      <c r="A153" s="455"/>
      <c r="B153" s="455"/>
      <c r="C153" s="1364"/>
      <c r="D153" s="94"/>
      <c r="E153" s="94"/>
      <c r="F153" s="455"/>
      <c r="G153" s="455"/>
      <c r="H153" s="1597"/>
      <c r="I153" s="1598"/>
      <c r="J153" s="1599"/>
      <c r="K153" s="1792"/>
      <c r="L153" s="1810"/>
      <c r="M153" s="1791"/>
      <c r="N153" s="1808"/>
      <c r="O153" s="1807"/>
      <c r="P153" s="1807"/>
      <c r="Q153" s="1806"/>
      <c r="R153" s="1791"/>
      <c r="S153" s="1808"/>
      <c r="T153" s="1807"/>
      <c r="U153" s="1807"/>
      <c r="V153" s="1806"/>
      <c r="W153" s="1791"/>
      <c r="X153" s="1808"/>
      <c r="Y153" s="1807"/>
      <c r="Z153" s="1807"/>
      <c r="AA153" s="1806"/>
      <c r="AB153" s="1791"/>
      <c r="AC153" s="1808"/>
      <c r="AD153" s="1807"/>
      <c r="AE153" s="1807"/>
      <c r="AF153" s="1806"/>
      <c r="AG153" s="1791"/>
      <c r="AH153" s="1808"/>
      <c r="AI153" s="1807"/>
      <c r="AJ153" s="1807"/>
      <c r="AK153" s="1806"/>
      <c r="AL153" s="1791"/>
      <c r="AM153" s="1808"/>
      <c r="AN153" s="1807"/>
      <c r="AO153" s="1807"/>
      <c r="AP153" s="1806"/>
      <c r="AQ153" s="1791"/>
      <c r="AR153" s="1808"/>
      <c r="AS153" s="1807"/>
      <c r="AT153" s="1807"/>
      <c r="AU153" s="1806"/>
      <c r="AV153" s="1791"/>
      <c r="AW153" s="1808"/>
      <c r="AX153" s="1807"/>
      <c r="AY153" s="1807"/>
      <c r="AZ153" s="1806"/>
      <c r="BA153" s="1791"/>
      <c r="BB153" s="1808"/>
      <c r="BC153" s="1807"/>
      <c r="BD153" s="1807"/>
      <c r="BE153" s="1806"/>
      <c r="BF153" s="1791"/>
      <c r="BG153" s="1808"/>
      <c r="BH153" s="1807"/>
      <c r="BI153" s="1807"/>
      <c r="BJ153" s="1806"/>
      <c r="BK153" s="1791"/>
      <c r="BL153" s="1808"/>
      <c r="BM153" s="1807"/>
      <c r="BN153" s="1807"/>
      <c r="BO153" s="1806"/>
      <c r="BP153" s="1791"/>
      <c r="BQ153" s="1827"/>
      <c r="BR153" s="1791"/>
      <c r="BS153" s="1791"/>
      <c r="BT153" s="1808"/>
      <c r="BU153" s="1807"/>
      <c r="BV153" s="1807"/>
      <c r="BW153" s="1806"/>
      <c r="BX153" s="1791"/>
      <c r="BY153" s="1808"/>
      <c r="BZ153" s="1807"/>
      <c r="CA153" s="1807"/>
      <c r="CB153" s="1806"/>
      <c r="CC153" s="1791"/>
      <c r="CD153" s="1808"/>
      <c r="CE153" s="1807"/>
      <c r="CF153" s="1807"/>
      <c r="CG153" s="1806"/>
      <c r="CH153" s="1791"/>
      <c r="CI153" s="1808"/>
      <c r="CJ153" s="1807"/>
      <c r="CK153" s="1807"/>
      <c r="CL153" s="1806"/>
      <c r="CM153" s="1791"/>
      <c r="CN153" s="1808"/>
      <c r="CO153" s="1807"/>
      <c r="CP153" s="1807"/>
      <c r="CQ153" s="1806"/>
      <c r="CR153" s="1791"/>
      <c r="CS153" s="1808"/>
      <c r="CT153" s="1807"/>
      <c r="CU153" s="1807"/>
      <c r="CV153" s="1806"/>
      <c r="CW153" s="1791"/>
      <c r="CX153" s="1808"/>
      <c r="CY153" s="1807"/>
      <c r="CZ153" s="1807"/>
      <c r="DA153" s="1806"/>
      <c r="DB153" s="1791"/>
      <c r="DC153" s="1808"/>
      <c r="DD153" s="1807"/>
      <c r="DE153" s="1807"/>
      <c r="DF153" s="1806"/>
      <c r="DG153" s="1791"/>
      <c r="DH153" s="1808"/>
      <c r="DI153" s="1807"/>
      <c r="DJ153" s="1807"/>
      <c r="DK153" s="1806"/>
      <c r="DL153" s="1791"/>
      <c r="DM153" s="1808"/>
      <c r="DN153" s="1807"/>
      <c r="DO153" s="1807"/>
      <c r="DP153" s="1806"/>
      <c r="DQ153" s="1791"/>
      <c r="DR153" s="1808"/>
      <c r="DS153" s="1807"/>
      <c r="DT153" s="1807"/>
      <c r="DU153" s="1806"/>
      <c r="DV153" s="1791"/>
    </row>
    <row r="154" spans="1:126">
      <c r="A154" s="455"/>
      <c r="B154" s="455"/>
      <c r="C154" s="1365" t="s">
        <v>224</v>
      </c>
      <c r="D154" s="94"/>
      <c r="E154" s="94"/>
      <c r="F154" s="455"/>
      <c r="G154" s="455"/>
      <c r="H154" s="1597"/>
      <c r="I154" s="1598"/>
      <c r="J154" s="1599"/>
      <c r="K154" s="1792"/>
      <c r="L154" s="1810"/>
      <c r="M154" s="1791"/>
      <c r="N154" s="1808"/>
      <c r="O154" s="1807"/>
      <c r="P154" s="1807"/>
      <c r="Q154" s="1806"/>
      <c r="R154" s="1791"/>
      <c r="S154" s="1808"/>
      <c r="T154" s="1807"/>
      <c r="U154" s="1807"/>
      <c r="V154" s="1806"/>
      <c r="W154" s="1791"/>
      <c r="X154" s="1808"/>
      <c r="Y154" s="1807"/>
      <c r="Z154" s="1807"/>
      <c r="AA154" s="1806"/>
      <c r="AB154" s="1791"/>
      <c r="AC154" s="1808"/>
      <c r="AD154" s="1807"/>
      <c r="AE154" s="1807"/>
      <c r="AF154" s="1806"/>
      <c r="AG154" s="1791"/>
      <c r="AH154" s="1808"/>
      <c r="AI154" s="1807"/>
      <c r="AJ154" s="1807"/>
      <c r="AK154" s="1806"/>
      <c r="AL154" s="1791"/>
      <c r="AM154" s="1808"/>
      <c r="AN154" s="1807"/>
      <c r="AO154" s="1807"/>
      <c r="AP154" s="1806"/>
      <c r="AQ154" s="1791"/>
      <c r="AR154" s="1808"/>
      <c r="AS154" s="1807"/>
      <c r="AT154" s="1807"/>
      <c r="AU154" s="1806"/>
      <c r="AV154" s="1791"/>
      <c r="AW154" s="1808"/>
      <c r="AX154" s="1807"/>
      <c r="AY154" s="1807"/>
      <c r="AZ154" s="1806"/>
      <c r="BA154" s="1791"/>
      <c r="BB154" s="1808"/>
      <c r="BC154" s="1807"/>
      <c r="BD154" s="1807"/>
      <c r="BE154" s="1806"/>
      <c r="BF154" s="1791"/>
      <c r="BG154" s="1808"/>
      <c r="BH154" s="1807"/>
      <c r="BI154" s="1807"/>
      <c r="BJ154" s="1806"/>
      <c r="BK154" s="1791"/>
      <c r="BL154" s="1808"/>
      <c r="BM154" s="1807"/>
      <c r="BN154" s="1807"/>
      <c r="BO154" s="1806"/>
      <c r="BP154" s="1791"/>
      <c r="BQ154" s="1827"/>
      <c r="BR154" s="1791"/>
      <c r="BS154" s="1791"/>
      <c r="BT154" s="1808"/>
      <c r="BU154" s="1807"/>
      <c r="BV154" s="1807"/>
      <c r="BW154" s="1806"/>
      <c r="BX154" s="1791"/>
      <c r="BY154" s="1808"/>
      <c r="BZ154" s="1807"/>
      <c r="CA154" s="1807"/>
      <c r="CB154" s="1806"/>
      <c r="CC154" s="1791"/>
      <c r="CD154" s="1808"/>
      <c r="CE154" s="1807"/>
      <c r="CF154" s="1807"/>
      <c r="CG154" s="1806"/>
      <c r="CH154" s="1791"/>
      <c r="CI154" s="1808"/>
      <c r="CJ154" s="1807"/>
      <c r="CK154" s="1807"/>
      <c r="CL154" s="1806"/>
      <c r="CM154" s="1791"/>
      <c r="CN154" s="1808"/>
      <c r="CO154" s="1807"/>
      <c r="CP154" s="1807"/>
      <c r="CQ154" s="1806"/>
      <c r="CR154" s="1791"/>
      <c r="CS154" s="1808"/>
      <c r="CT154" s="1807"/>
      <c r="CU154" s="1807"/>
      <c r="CV154" s="1806"/>
      <c r="CW154" s="1791"/>
      <c r="CX154" s="1808"/>
      <c r="CY154" s="1807"/>
      <c r="CZ154" s="1807"/>
      <c r="DA154" s="1806"/>
      <c r="DB154" s="1791"/>
      <c r="DC154" s="1808"/>
      <c r="DD154" s="1807"/>
      <c r="DE154" s="1807"/>
      <c r="DF154" s="1806"/>
      <c r="DG154" s="1791"/>
      <c r="DH154" s="1808"/>
      <c r="DI154" s="1807"/>
      <c r="DJ154" s="1807"/>
      <c r="DK154" s="1806"/>
      <c r="DL154" s="1791"/>
      <c r="DM154" s="1808"/>
      <c r="DN154" s="1807"/>
      <c r="DO154" s="1807"/>
      <c r="DP154" s="1806"/>
      <c r="DQ154" s="1791"/>
      <c r="DR154" s="1808"/>
      <c r="DS154" s="1807"/>
      <c r="DT154" s="1807"/>
      <c r="DU154" s="1806"/>
      <c r="DV154" s="1791"/>
    </row>
    <row r="155" spans="1:126">
      <c r="A155" s="455"/>
      <c r="B155" s="455"/>
      <c r="C155" s="1596" t="s">
        <v>745</v>
      </c>
      <c r="D155" s="94"/>
      <c r="E155" s="94"/>
      <c r="F155" s="455"/>
      <c r="G155" s="455"/>
      <c r="H155" s="1597"/>
      <c r="I155" s="1598"/>
      <c r="J155" s="1599"/>
      <c r="K155" s="1792"/>
      <c r="L155" s="1810">
        <f>IF(L$5=$H155,-$E155,0)</f>
        <v>0</v>
      </c>
      <c r="M155" s="1791">
        <f>IF(M$5=$H155,-$E155,0)</f>
        <v>0</v>
      </c>
      <c r="N155" s="1808">
        <f>IF(R155=0,0,IF(R155&lt;0,IF($J155=3,R155,IF($J155=2,R155,IF($J155=1,R155,0)))))</f>
        <v>0</v>
      </c>
      <c r="O155" s="1807">
        <f>IF(R155=0,0,IF(R155&lt;0,IF($J155=6,R155,IF($J155=5,R155,IF($J155=4,R155,0)))))</f>
        <v>0</v>
      </c>
      <c r="P155" s="1807">
        <f>IF(R155=0,0,IF(R155&lt;0,IF($J155=9,R155,IF($J155=8,R155,IF($J155=7,R155,0)))))</f>
        <v>0</v>
      </c>
      <c r="Q155" s="1806">
        <f>IF(R155=0,0,IF(R155&lt;0,IF($J155=12,R155,IF($J155=11,R155,IF($J155=10,R155,0)))))</f>
        <v>0</v>
      </c>
      <c r="R155" s="1791">
        <f>IF(R$5=$H155,-$E155,0)</f>
        <v>0</v>
      </c>
      <c r="S155" s="1808">
        <f>IF(W155=0,0,IF(W155&lt;0,IF($J155=3,W155,IF($J155=2,W155,IF($J155=1,W155,0)))))</f>
        <v>0</v>
      </c>
      <c r="T155" s="1807">
        <f>IF(W155=0,0,IF(W155&lt;0,IF($J155=6,W155,IF($J155=5,W155,IF($J155=4,W155,0)))))</f>
        <v>0</v>
      </c>
      <c r="U155" s="1807">
        <f>IF(W155=0,0,IF(W155&lt;0,IF($J155=9,W155,IF($J155=8,W155,IF($J155=7,W155,0)))))</f>
        <v>0</v>
      </c>
      <c r="V155" s="1806">
        <f>IF(W155=0,0,IF(W155&lt;0,IF($J155=12,W155,IF($J155=11,W155,IF($J155=10,W155,0)))))</f>
        <v>0</v>
      </c>
      <c r="W155" s="1791">
        <f>IF(W$5=$H155,-$E155,0)</f>
        <v>0</v>
      </c>
      <c r="X155" s="1808">
        <f>IF(AB155=0,0,IF(AB155&lt;0,IF($J155=3,AB155,IF($J155=2,AB155,IF($J155=1,AB155,0)))))</f>
        <v>0</v>
      </c>
      <c r="Y155" s="1807">
        <f>IF(AB155=0,0,IF(AB155&lt;0,IF($J155=6,AB155,IF($J155=5,AB155,IF($J155=4,AB155,0)))))</f>
        <v>0</v>
      </c>
      <c r="Z155" s="1807">
        <f>IF(AB155=0,0,IF(AB155&lt;0,IF($J155=9,AB155,IF($J155=8,AB155,IF($J155=7,AB155,0)))))</f>
        <v>0</v>
      </c>
      <c r="AA155" s="1806">
        <f>IF(AB155=0,0,IF(AB155&lt;0,IF($J155=12,AB155,IF($J155=11,AB155,IF($J155=10,AB155,0)))))</f>
        <v>0</v>
      </c>
      <c r="AB155" s="1791">
        <f>IF(AB$5=$H155,-$E155,0)</f>
        <v>0</v>
      </c>
      <c r="AC155" s="1808">
        <f>IF(AG155=0,0,IF(AG155&lt;0,IF($J155=3,AG155,IF($J155=2,AG155,IF($J155=1,AG155,0)))))</f>
        <v>0</v>
      </c>
      <c r="AD155" s="1807">
        <f>IF(AG155=0,0,IF(AG155&lt;0,IF($J155=6,AG155,IF($J155=5,AG155,IF($J155=4,AG155,0)))))</f>
        <v>0</v>
      </c>
      <c r="AE155" s="1807">
        <f>IF(AG155=0,0,IF(AG155&lt;0,IF($J155=9,AG155,IF($J155=8,AG155,IF($J155=7,AG155,0)))))</f>
        <v>0</v>
      </c>
      <c r="AF155" s="1806">
        <f>IF(AG155=0,0,IF(AG155&lt;0,IF($J155=12,AG155,IF($J155=11,AG155,IF($J155=10,AG155,0)))))</f>
        <v>0</v>
      </c>
      <c r="AG155" s="1791">
        <f>IF(AG$5=$H155,-$E155,0)</f>
        <v>0</v>
      </c>
      <c r="AH155" s="1808">
        <f>IF(AL155=0,0,IF(AL155&lt;0,IF($J155=3,AL155,IF($J155=2,AL155,IF($J155=1,AL155,0)))))</f>
        <v>0</v>
      </c>
      <c r="AI155" s="1807">
        <f>IF(AL155=0,0,IF(AL155&lt;0,IF($J155=6,AL155,IF($J155=5,AL155,IF($J155=4,AL155,0)))))</f>
        <v>0</v>
      </c>
      <c r="AJ155" s="1807">
        <f>IF(AL155=0,0,IF(AL155&lt;0,IF($J155=9,AL155,IF($J155=8,AL155,IF($J155=7,AL155,0)))))</f>
        <v>0</v>
      </c>
      <c r="AK155" s="1806">
        <f>IF(AL155=0,0,IF(AL155&lt;0,IF($J155=12,AL155,IF($J155=11,AL155,IF($J155=10,AL155,0)))))</f>
        <v>0</v>
      </c>
      <c r="AL155" s="1791">
        <f>IF(AL$5=$H155,-$E155,0)</f>
        <v>0</v>
      </c>
      <c r="AM155" s="1808">
        <f>IF(AQ155=0,0,IF(AQ155&lt;0,IF($J155=3,AQ155,IF($J155=2,AQ155,IF($J155=1,AQ155,0)))))</f>
        <v>0</v>
      </c>
      <c r="AN155" s="1807">
        <f>IF(AQ155=0,0,IF(AQ155&lt;0,IF($J155=6,AQ155,IF($J155=5,AQ155,IF($J155=4,AQ155,0)))))</f>
        <v>0</v>
      </c>
      <c r="AO155" s="1807">
        <f>IF(AQ155=0,0,IF(AQ155&lt;0,IF($J155=9,AQ155,IF($J155=8,AQ155,IF($J155=7,AQ155,0)))))</f>
        <v>0</v>
      </c>
      <c r="AP155" s="1806">
        <f>IF(AQ155=0,0,IF(AQ155&lt;0,IF($J155=12,AQ155,IF($J155=11,AQ155,IF($J155=10,AQ155,0)))))</f>
        <v>0</v>
      </c>
      <c r="AQ155" s="1791">
        <f>IF(AQ$5=$H155,-$E155,0)</f>
        <v>0</v>
      </c>
      <c r="AR155" s="1808">
        <f>IF(AV155=0,0,IF(AV155&lt;0,IF($J155=3,AV155,IF($J155=2,AV155,IF($J155=1,AV155,0)))))</f>
        <v>0</v>
      </c>
      <c r="AS155" s="1807">
        <f>IF(AV155=0,0,IF(AV155&lt;0,IF($J155=6,AV155,IF($J155=5,AV155,IF($J155=4,AV155,0)))))</f>
        <v>0</v>
      </c>
      <c r="AT155" s="1807">
        <f>IF(AV155=0,0,IF(AV155&lt;0,IF($J155=9,AV155,IF($J155=8,AV155,IF($J155=7,AV155,0)))))</f>
        <v>0</v>
      </c>
      <c r="AU155" s="1806">
        <f>IF(AV155=0,0,IF(AV155&lt;0,IF($J155=12,AV155,IF($J155=11,AV155,IF($J155=10,AV155,0)))))</f>
        <v>0</v>
      </c>
      <c r="AV155" s="1791">
        <f>IF(AV$5=$H155,-$E155,0)</f>
        <v>0</v>
      </c>
      <c r="AW155" s="1808">
        <f>IF(BA155=0,0,IF(BA155&lt;0,IF($J155=3,BA155,IF($J155=2,BA155,IF($J155=1,BA155,0)))))</f>
        <v>0</v>
      </c>
      <c r="AX155" s="1807">
        <f>IF(BA155=0,0,IF(BA155&lt;0,IF($J155=6,BA155,IF($J155=5,BA155,IF($J155=4,BA155,0)))))</f>
        <v>0</v>
      </c>
      <c r="AY155" s="1807">
        <f>IF(BA155=0,0,IF(BA155&lt;0,IF($J155=9,BA155,IF($J155=8,BA155,IF($J155=7,BA155,0)))))</f>
        <v>0</v>
      </c>
      <c r="AZ155" s="1806">
        <f>IF(BA155=0,0,IF(BA155&lt;0,IF($J155=12,BA155,IF($J155=11,BA155,IF($J155=10,BA155,0)))))</f>
        <v>0</v>
      </c>
      <c r="BA155" s="1791">
        <f>IF(BA$5=$H155,-$E155,0)</f>
        <v>0</v>
      </c>
      <c r="BB155" s="1808">
        <f>IF(BF155=0,0,IF(BF155&lt;0,IF($J155=3,BF155,IF($J155=2,BF155,IF($J155=1,BF155,0)))))</f>
        <v>0</v>
      </c>
      <c r="BC155" s="1807">
        <f>IF(BF155=0,0,IF(BF155&lt;0,IF($J155=6,BF155,IF($J155=5,BF155,IF($J155=4,BF155,0)))))</f>
        <v>0</v>
      </c>
      <c r="BD155" s="1807">
        <f>IF(BF155=0,0,IF(BF155&lt;0,IF($J155=9,BF155,IF($J155=8,BF155,IF($J155=7,BF155,0)))))</f>
        <v>0</v>
      </c>
      <c r="BE155" s="1806">
        <f>IF(BF155=0,0,IF(BF155&lt;0,IF($J155=12,BF155,IF($J155=11,BF155,IF($J155=10,BF155,0)))))</f>
        <v>0</v>
      </c>
      <c r="BF155" s="1791">
        <f>IF(BF$5=$H155,-$E155,0)</f>
        <v>0</v>
      </c>
      <c r="BG155" s="1808">
        <f>IF(BK155=0,0,IF(BK155&lt;0,IF($J155=3,BK155,IF($J155=2,BK155,IF($J155=1,BK155,0)))))</f>
        <v>0</v>
      </c>
      <c r="BH155" s="1807">
        <f>IF(BK155=0,0,IF(BK155&lt;0,IF($J155=6,BK155,IF($J155=5,BK155,IF($J155=4,BK155,0)))))</f>
        <v>0</v>
      </c>
      <c r="BI155" s="1807">
        <f>IF(BK155=0,0,IF(BK155&lt;0,IF($J155=9,BK155,IF($J155=8,BK155,IF($J155=7,BK155,0)))))</f>
        <v>0</v>
      </c>
      <c r="BJ155" s="1806">
        <f>IF(BK155=0,0,IF(BK155&lt;0,IF($J155=12,BK155,IF($J155=11,BK155,IF($J155=10,BK155,0)))))</f>
        <v>0</v>
      </c>
      <c r="BK155" s="1791">
        <f>IF(BK$5=$H155,-$E155,0)</f>
        <v>0</v>
      </c>
      <c r="BL155" s="1808">
        <f>IF(BP155=0,0,IF(BP155&lt;0,IF($J155=3,BP155,IF($J155=2,BP155,IF($J155=1,BP155,0)))))</f>
        <v>0</v>
      </c>
      <c r="BM155" s="1807">
        <f>IF(BP155=0,0,IF(BP155&lt;0,IF($J155=6,BP155,IF($J155=5,BP155,IF($J155=4,BP155,0)))))</f>
        <v>0</v>
      </c>
      <c r="BN155" s="1807">
        <f>IF(BP155=0,0,IF(BP155&lt;0,IF($J155=9,BP155,IF($J155=8,BP155,IF($J155=7,BP155,0)))))</f>
        <v>0</v>
      </c>
      <c r="BO155" s="1806">
        <f>IF(BP155=0,0,IF(BP155&lt;0,IF($J155=12,BP155,IF($J155=11,BP155,IF($J155=10,BP155,0)))))</f>
        <v>0</v>
      </c>
      <c r="BP155" s="1791">
        <f>IF(BP$5=$H155,-$E155,0)</f>
        <v>0</v>
      </c>
      <c r="BQ155" s="1827"/>
      <c r="BR155" s="1791">
        <f>IF(AND(BQ155&lt;&gt;0,BQ$5=$H155),-$I155*$E155-BQ155,IF(BR$5=$H155,-$I155*$E155*(12-$J155+1)/12,0))</f>
        <v>0</v>
      </c>
      <c r="BS155" s="1791">
        <f>IF(AND(BR155&lt;&gt;0,BR$5=$H155),-$I155*$E155-BR155,IF(BS$5=$H155,-$I155*$E155*(12-$J155+1)/12,0))</f>
        <v>0</v>
      </c>
      <c r="BT155" s="1808">
        <f>IF($H155&lt;&gt;BX$5,0,IF(BX155&lt;0,IF($J155=1,-$E155*$I155/12*3,IF($J155=2,-$E155*$I155/12*2,IF($J155=3,-$E155*$I155/12*1,0)))))+IF(BS$5&lt;&gt;$H155,0,IF(BS155&lt;0,IF($J155=1,-$E155*$I155/12*0,IF($J155=2,-$E155*$I155/12*1,IF($J155=3,-$E155*$I155/12*2,IF($J155&gt;=4,-$E155*$I155/12*3,0))))))</f>
        <v>0</v>
      </c>
      <c r="BU155" s="1807">
        <f>IF($H155&lt;&gt;BX$5,0,IF(BX155&lt;0,IF(OR($J155=1,$J155=2,$J155=3,$J155=4),-$E155*$I155/12*3,IF($J155=5,-$E155*$I155/12*2,IF($J155=6,-$E155*$I155/12*1,0)))))+IF(BS$5&lt;&gt;$H155,0,IF(BS155&lt;0,IF($J155=4,-$E155*$I155/12*0,IF($J155=5,-$E155*$I155/12*1,IF($J155=6,-$E155*$I155/12*2,IF($J155&gt;=7,-$E155*$I155/12*3,0))))))</f>
        <v>0</v>
      </c>
      <c r="BV155" s="1807">
        <f>IF($H155&lt;&gt;BX$5,0,IF(BX155&lt;0,IF(OR($J155=1,$J155=2,$J155=3,$J155=4,$J155=5,$J155=6,$J155=7),-$E155*$I155/12*3,IF($J155=8,-$E155*$I155/12*2,IF($J155=9,-$E155*$I155/12*1,0)))))+IF(BS$5&lt;&gt;$H155,0,IF(BS155&lt;0,IF($J155=7,-$E155*$I155/12*0,IF($J155=8,-$E155*$I155/12*1,IF($J155=9,-$E155*$I155/12*2,IF($J155&gt;=10,-$E155*$I155/12*3,0))))))</f>
        <v>0</v>
      </c>
      <c r="BW155" s="1806">
        <f>IF($H155&lt;&gt;BX$5,0,IF(BX155&lt;0,IF(OR($J155=1,$J155=2,$J155=3,$J155=4,$J155=5,$J155=6,$J155=7,$J155=8,$J155=9,$J155=10),-$E155*$I155/12*3,IF($J155=11,-$E155*$I155/12*2,IF($J155=12,-$E155*$I155/12*1,0)))))+IF(BS$5&lt;&gt;$H155,0,IF(BS155&lt;0,IF($J155=10,-$E155*$I155/12*0,IF($J155=11,-$E155*$I155/12*1,IF($J155=12,-$E155*$I155/12*2,0)))))</f>
        <v>0</v>
      </c>
      <c r="BX155" s="1791">
        <f>IF(AND(BS155&lt;&gt;0,BS$5=$H155),-$I155*$E155-BS155,IF(BX$5=$H155,-$I155*$E155*(12-$J155+1)/12,0))</f>
        <v>0</v>
      </c>
      <c r="BY155" s="1808">
        <f>IF($H155&lt;&gt;CC$5,0,IF(CC155&lt;0,IF($J155=1,-$E155*$I155/12*3,IF($J155=2,-$E155*$I155/12*2,IF($J155=3,-$E155*$I155/12*1,0)))))+IF(BX$5&lt;&gt;$H155,0,IF(BX155&lt;0,IF($J155=1,-$E155*$I155/12*0,IF($J155=2,-$E155*$I155/12*1,IF($J155=3,-$E155*$I155/12*2,IF($J155&gt;=4,-$E155*$I155/12*3,0))))))</f>
        <v>0</v>
      </c>
      <c r="BZ155" s="1807">
        <f>IF($H155&lt;&gt;CC$5,0,IF(CC155&lt;0,IF(OR($J155=1,$J155=2,$J155=3,$J155=4),-$E155*$I155/12*3,IF($J155=5,-$E155*$I155/12*2,IF($J155=6,-$E155*$I155/12*1,0)))))+IF(BX$5&lt;&gt;$H155,0,IF(BX155&lt;0,IF($J155=4,-$E155*$I155/12*0,IF($J155=5,-$E155*$I155/12*1,IF($J155=6,-$E155*$I155/12*2,IF($J155&gt;=7,-$E155*$I155/12*3,0))))))</f>
        <v>0</v>
      </c>
      <c r="CA155" s="1807">
        <f>IF($H155&lt;&gt;CC$5,0,IF(CC155&lt;0,IF(OR($J155=1,$J155=2,$J155=3,$J155=4,$J155=5,$J155=6,$J155=7),-$E155*$I155/12*3,IF($J155=8,-$E155*$I155/12*2,IF($J155=9,-$E155*$I155/12*1,0)))))+IF(BX$5&lt;&gt;$H155,0,IF(BX155&lt;0,IF($J155=7,-$E155*$I155/12*0,IF($J155=8,-$E155*$I155/12*1,IF($J155=9,-$E155*$I155/12*2,IF($J155&gt;=10,-$E155*$I155/12*3,0))))))</f>
        <v>0</v>
      </c>
      <c r="CB155" s="1806">
        <f>IF($H155&lt;&gt;CC$5,0,IF(CC155&lt;0,IF(OR($J155=1,$J155=2,$J155=3,$J155=4,$J155=5,$J155=6,$J155=7,$J155=8,$J155=9,$J155=10),-$E155*$I155/12*3,IF($J155=11,-$E155*$I155/12*2,IF($J155=12,-$E155*$I155/12*1,0)))))+IF(BX$5&lt;&gt;$H155,0,IF(BX155&lt;0,IF($J155=10,-$E155*$I155/12*0,IF($J155=11,-$E155*$I155/12*1,IF($J155=12,-$E155*$I155/12*2,0)))))</f>
        <v>0</v>
      </c>
      <c r="CC155" s="1791">
        <f>IF(AND(BX155&lt;&gt;0,BX$5=$H155),-$I155*$E155-BX155,IF(CC$5=$H155,-$I155*$E155*(12-$J155+1)/12,0))</f>
        <v>0</v>
      </c>
      <c r="CD155" s="1808">
        <f>IF($H155&lt;&gt;CH$5,0,IF(CH155&lt;0,IF($J155=1,-$E155*$I155/12*3,IF($J155=2,-$E155*$I155/12*2,IF($J155=3,-$E155*$I155/12*1,0)))))+IF(CC$5&lt;&gt;$H155,0,IF(CC155&lt;0,IF($J155=1,-$E155*$I155/12*0,IF($J155=2,-$E155*$I155/12*1,IF($J155=3,-$E155*$I155/12*2,IF($J155&gt;=4,-$E155*$I155/12*3,0))))))</f>
        <v>0</v>
      </c>
      <c r="CE155" s="1807">
        <f>IF($H155&lt;&gt;CH$5,0,IF(CH155&lt;0,IF(OR($J155=1,$J155=2,$J155=3,$J155=4),-$E155*$I155/12*3,IF($J155=5,-$E155*$I155/12*2,IF($J155=6,-$E155*$I155/12*1,0)))))+IF(CC$5&lt;&gt;$H155,0,IF(CC155&lt;0,IF($J155=4,-$E155*$I155/12*0,IF($J155=5,-$E155*$I155/12*1,IF($J155=6,-$E155*$I155/12*2,IF($J155&gt;=7,-$E155*$I155/12*3,0))))))</f>
        <v>0</v>
      </c>
      <c r="CF155" s="1807">
        <f>IF($H155&lt;&gt;CH$5,0,IF(CH155&lt;0,IF(OR($J155=1,$J155=2,$J155=3,$J155=4,$J155=5,$J155=6,$J155=7),-$E155*$I155/12*3,IF($J155=8,-$E155*$I155/12*2,IF($J155=9,-$E155*$I155/12*1,0)))))+IF(CC$5&lt;&gt;$H155,0,IF(CC155&lt;0,IF($J155=7,-$E155*$I155/12*0,IF($J155=8,-$E155*$I155/12*1,IF($J155=9,-$E155*$I155/12*2,IF($J155&gt;=10,-$E155*$I155/12*3,0))))))</f>
        <v>0</v>
      </c>
      <c r="CG155" s="1806">
        <f>IF($H155&lt;&gt;CH$5,0,IF(CH155&lt;0,IF(OR($J155=1,$J155=2,$J155=3,$J155=4,$J155=5,$J155=6,$J155=7,$J155=8,$J155=9,$J155=10),-$E155*$I155/12*3,IF($J155=11,-$E155*$I155/12*2,IF($J155=12,-$E155*$I155/12*1,0)))))+IF(CC$5&lt;&gt;$H155,0,IF(CC155&lt;0,IF($J155=10,-$E155*$I155/12*0,IF($J155=11,-$E155*$I155/12*1,IF($J155=12,-$E155*$I155/12*2,0)))))</f>
        <v>0</v>
      </c>
      <c r="CH155" s="1791">
        <f>IF(AND(CC155&lt;&gt;0,CC$5=$H155),-$I155*$E155-CC155,IF(CH$5=$H155,-$I155*$E155*(12-$J155+1)/12,0))</f>
        <v>0</v>
      </c>
      <c r="CI155" s="1808">
        <f>IF($H155&lt;&gt;CM$5,0,IF(CM155&lt;0,IF($J155=1,-$E155*$I155/12*3,IF($J155=2,-$E155*$I155/12*2,IF($J155=3,-$E155*$I155/12*1,0)))))+IF(CH$5&lt;&gt;$H155,0,IF(CH155&lt;0,IF($J155=1,-$E155*$I155/12*0,IF($J155=2,-$E155*$I155/12*1,IF($J155=3,-$E155*$I155/12*2,IF($J155&gt;=4,-$E155*$I155/12*3,0))))))</f>
        <v>0</v>
      </c>
      <c r="CJ155" s="1807">
        <f>IF($H155&lt;&gt;CM$5,0,IF(CM155&lt;0,IF(OR($J155=1,$J155=2,$J155=3,$J155=4),-$E155*$I155/12*3,IF($J155=5,-$E155*$I155/12*2,IF($J155=6,-$E155*$I155/12*1,0)))))+IF(CH$5&lt;&gt;$H155,0,IF(CH155&lt;0,IF($J155=4,-$E155*$I155/12*0,IF($J155=5,-$E155*$I155/12*1,IF($J155=6,-$E155*$I155/12*2,IF($J155&gt;=7,-$E155*$I155/12*3,0))))))</f>
        <v>0</v>
      </c>
      <c r="CK155" s="1807">
        <f>IF($H155&lt;&gt;CM$5,0,IF(CM155&lt;0,IF(OR($J155=1,$J155=2,$J155=3,$J155=4,$J155=5,$J155=6,$J155=7),-$E155*$I155/12*3,IF($J155=8,-$E155*$I155/12*2,IF($J155=9,-$E155*$I155/12*1,0)))))+IF(CH$5&lt;&gt;$H155,0,IF(CH155&lt;0,IF($J155=7,-$E155*$I155/12*0,IF($J155=8,-$E155*$I155/12*1,IF($J155=9,-$E155*$I155/12*2,IF($J155&gt;=10,-$E155*$I155/12*3,0))))))</f>
        <v>0</v>
      </c>
      <c r="CL155" s="1806">
        <f>IF($H155&lt;&gt;CM$5,0,IF(CM155&lt;0,IF(OR($J155=1,$J155=2,$J155=3,$J155=4,$J155=5,$J155=6,$J155=7,$J155=8,$J155=9,$J155=10),-$E155*$I155/12*3,IF($J155=11,-$E155*$I155/12*2,IF($J155=12,-$E155*$I155/12*1,0)))))+IF(CH$5&lt;&gt;$H155,0,IF(CH155&lt;0,IF($J155=10,-$E155*$I155/12*0,IF($J155=11,-$E155*$I155/12*1,IF($J155=12,-$E155*$I155/12*2,0)))))</f>
        <v>0</v>
      </c>
      <c r="CM155" s="1791">
        <f>IF(AND(CH155&lt;&gt;0,CH$5=$H155),-$I155*$E155-CH155,IF(CM$5=$H155,-$I155*$E155*(12-$J155+1)/12,0))</f>
        <v>0</v>
      </c>
      <c r="CN155" s="1808">
        <f>IF($H155&lt;&gt;CR$5,0,IF(CR155&lt;0,IF($J155=1,-$E155*$I155/12*3,IF($J155=2,-$E155*$I155/12*2,IF($J155=3,-$E155*$I155/12*1,0)))))+IF(CM$5&lt;&gt;$H155,0,IF(CM155&lt;0,IF($J155=1,-$E155*$I155/12*0,IF($J155=2,-$E155*$I155/12*1,IF($J155=3,-$E155*$I155/12*2,IF($J155&gt;=4,-$E155*$I155/12*3,0))))))</f>
        <v>0</v>
      </c>
      <c r="CO155" s="1807">
        <f>IF($H155&lt;&gt;CR$5,0,IF(CR155&lt;0,IF(OR($J155=1,$J155=2,$J155=3,$J155=4),-$E155*$I155/12*3,IF($J155=5,-$E155*$I155/12*2,IF($J155=6,-$E155*$I155/12*1,0)))))+IF(CM$5&lt;&gt;$H155,0,IF(CM155&lt;0,IF($J155=4,-$E155*$I155/12*0,IF($J155=5,-$E155*$I155/12*1,IF($J155=6,-$E155*$I155/12*2,IF($J155&gt;=7,-$E155*$I155/12*3,0))))))</f>
        <v>0</v>
      </c>
      <c r="CP155" s="1807">
        <f>IF($H155&lt;&gt;CR$5,0,IF(CR155&lt;0,IF(OR($J155=1,$J155=2,$J155=3,$J155=4,$J155=5,$J155=6,$J155=7),-$E155*$I155/12*3,IF($J155=8,-$E155*$I155/12*2,IF($J155=9,-$E155*$I155/12*1,0)))))+IF(CM$5&lt;&gt;$H155,0,IF(CM155&lt;0,IF($J155=7,-$E155*$I155/12*0,IF($J155=8,-$E155*$I155/12*1,IF($J155=9,-$E155*$I155/12*2,IF($J155&gt;=10,-$E155*$I155/12*3,0))))))</f>
        <v>0</v>
      </c>
      <c r="CQ155" s="1806">
        <f>IF($H155&lt;&gt;CR$5,0,IF(CR155&lt;0,IF(OR($J155=1,$J155=2,$J155=3,$J155=4,$J155=5,$J155=6,$J155=7,$J155=8,$J155=9,$J155=10),-$E155*$I155/12*3,IF($J155=11,-$E155*$I155/12*2,IF($J155=12,-$E155*$I155/12*1,0)))))+IF(CM$5&lt;&gt;$H155,0,IF(CM155&lt;0,IF($J155=10,-$E155*$I155/12*0,IF($J155=11,-$E155*$I155/12*1,IF($J155=12,-$E155*$I155/12*2,0)))))</f>
        <v>0</v>
      </c>
      <c r="CR155" s="1791">
        <f>IF(AND(CM155&lt;&gt;0,CM$5=$H155),-$I155*$E155-CM155,IF(CR$5=$H155,-$I155*$E155*(12-$J155+1)/12,0))</f>
        <v>0</v>
      </c>
      <c r="CS155" s="1808">
        <f>IF($H155&lt;&gt;CW$5,0,IF(CW155&lt;0,IF($J155=1,-$E155*$I155/12*3,IF($J155=2,-$E155*$I155/12*2,IF($J155=3,-$E155*$I155/12*1,0)))))+IF(CR$5&lt;&gt;$H155,0,IF(CR155&lt;0,IF($J155=1,-$E155*$I155/12*0,IF($J155=2,-$E155*$I155/12*1,IF($J155=3,-$E155*$I155/12*2,IF($J155&gt;=4,-$E155*$I155/12*3,0))))))</f>
        <v>0</v>
      </c>
      <c r="CT155" s="1807">
        <f>IF($H155&lt;&gt;CW$5,0,IF(CW155&lt;0,IF(OR($J155=1,$J155=2,$J155=3,$J155=4),-$E155*$I155/12*3,IF($J155=5,-$E155*$I155/12*2,IF($J155=6,-$E155*$I155/12*1,0)))))+IF(CR$5&lt;&gt;$H155,0,IF(CR155&lt;0,IF($J155=4,-$E155*$I155/12*0,IF($J155=5,-$E155*$I155/12*1,IF($J155=6,-$E155*$I155/12*2,IF($J155&gt;=7,-$E155*$I155/12*3,0))))))</f>
        <v>0</v>
      </c>
      <c r="CU155" s="1807">
        <f>IF($H155&lt;&gt;CW$5,0,IF(CW155&lt;0,IF(OR($J155=1,$J155=2,$J155=3,$J155=4,$J155=5,$J155=6,$J155=7),-$E155*$I155/12*3,IF($J155=8,-$E155*$I155/12*2,IF($J155=9,-$E155*$I155/12*1,0)))))+IF(CR$5&lt;&gt;$H155,0,IF(CR155&lt;0,IF($J155=7,-$E155*$I155/12*0,IF($J155=8,-$E155*$I155/12*1,IF($J155=9,-$E155*$I155/12*2,IF($J155&gt;=10,-$E155*$I155/12*3,0))))))</f>
        <v>0</v>
      </c>
      <c r="CV155" s="1806">
        <f>IF($H155&lt;&gt;CW$5,0,IF(CW155&lt;0,IF(OR($J155=1,$J155=2,$J155=3,$J155=4,$J155=5,$J155=6,$J155=7,$J155=8,$J155=9,$J155=10),-$E155*$I155/12*3,IF($J155=11,-$E155*$I155/12*2,IF($J155=12,-$E155*$I155/12*1,0)))))+IF(CR$5&lt;&gt;$H155,0,IF(CR155&lt;0,IF($J155=10,-$E155*$I155/12*0,IF($J155=11,-$E155*$I155/12*1,IF($J155=12,-$E155*$I155/12*2,0)))))</f>
        <v>0</v>
      </c>
      <c r="CW155" s="1791">
        <f>IF(AND(CR155&lt;&gt;0,CR$5=$H155),-$I155*$E155-CR155,IF(CW$5=$H155,-$I155*$E155*(12-$J155+1)/12,0))</f>
        <v>0</v>
      </c>
      <c r="CX155" s="1808">
        <f>IF($H155&lt;&gt;DB$5,0,IF(DB155&lt;0,IF($J155=1,-$E155*$I155/12*3,IF($J155=2,-$E155*$I155/12*2,IF($J155=3,-$E155*$I155/12*1,0)))))+IF(CW$5&lt;&gt;$H155,0,IF(CW155&lt;0,IF($J155=1,-$E155*$I155/12*0,IF($J155=2,-$E155*$I155/12*1,IF($J155=3,-$E155*$I155/12*2,IF($J155&gt;=4,-$E155*$I155/12*3,0))))))</f>
        <v>0</v>
      </c>
      <c r="CY155" s="1807">
        <f>IF($H155&lt;&gt;DB$5,0,IF(DB155&lt;0,IF(OR($J155=1,$J155=2,$J155=3,$J155=4),-$E155*$I155/12*3,IF($J155=5,-$E155*$I155/12*2,IF($J155=6,-$E155*$I155/12*1,0)))))+IF(CW$5&lt;&gt;$H155,0,IF(CW155&lt;0,IF($J155=4,-$E155*$I155/12*0,IF($J155=5,-$E155*$I155/12*1,IF($J155=6,-$E155*$I155/12*2,IF($J155&gt;=7,-$E155*$I155/12*3,0))))))</f>
        <v>0</v>
      </c>
      <c r="CZ155" s="1807">
        <f>IF($H155&lt;&gt;DB$5,0,IF(DB155&lt;0,IF(OR($J155=1,$J155=2,$J155=3,$J155=4,$J155=5,$J155=6,$J155=7),-$E155*$I155/12*3,IF($J155=8,-$E155*$I155/12*2,IF($J155=9,-$E155*$I155/12*1,0)))))+IF(CW$5&lt;&gt;$H155,0,IF(CW155&lt;0,IF($J155=7,-$E155*$I155/12*0,IF($J155=8,-$E155*$I155/12*1,IF($J155=9,-$E155*$I155/12*2,IF($J155&gt;=10,-$E155*$I155/12*3,0))))))</f>
        <v>0</v>
      </c>
      <c r="DA155" s="1806">
        <f>IF($H155&lt;&gt;DB$5,0,IF(DB155&lt;0,IF(OR($J155=1,$J155=2,$J155=3,$J155=4,$J155=5,$J155=6,$J155=7,$J155=8,$J155=9,$J155=10),-$E155*$I155/12*3,IF($J155=11,-$E155*$I155/12*2,IF($J155=12,-$E155*$I155/12*1,0)))))+IF(CW$5&lt;&gt;$H155,0,IF(CW155&lt;0,IF($J155=10,-$E155*$I155/12*0,IF($J155=11,-$E155*$I155/12*1,IF($J155=12,-$E155*$I155/12*2,0)))))</f>
        <v>0</v>
      </c>
      <c r="DB155" s="1791">
        <f>IF(AND(CW155&lt;&gt;0,CW$5=$H155),-$I155*$E155-CW155,IF(DB$5=$H155,-$I155*$E155*(12-$J155+1)/12,0))</f>
        <v>0</v>
      </c>
      <c r="DC155" s="1808">
        <f>IF($H155&lt;&gt;DG$5,0,IF(DG155&lt;0,IF($J155=1,-$E155*$I155/12*3,IF($J155=2,-$E155*$I155/12*2,IF($J155=3,-$E155*$I155/12*1,0)))))+IF(DB$5&lt;&gt;$H155,0,IF(DB155&lt;0,IF($J155=1,-$E155*$I155/12*0,IF($J155=2,-$E155*$I155/12*1,IF($J155=3,-$E155*$I155/12*2,IF($J155&gt;=4,-$E155*$I155/12*3,0))))))</f>
        <v>0</v>
      </c>
      <c r="DD155" s="1807">
        <f>IF($H155&lt;&gt;DG$5,0,IF(DG155&lt;0,IF(OR($J155=1,$J155=2,$J155=3,$J155=4),-$E155*$I155/12*3,IF($J155=5,-$E155*$I155/12*2,IF($J155=6,-$E155*$I155/12*1,0)))))+IF(DB$5&lt;&gt;$H155,0,IF(DB155&lt;0,IF($J155=4,-$E155*$I155/12*0,IF($J155=5,-$E155*$I155/12*1,IF($J155=6,-$E155*$I155/12*2,IF($J155&gt;=7,-$E155*$I155/12*3,0))))))</f>
        <v>0</v>
      </c>
      <c r="DE155" s="1807">
        <f>IF($H155&lt;&gt;DG$5,0,IF(DG155&lt;0,IF(OR($J155=1,$J155=2,$J155=3,$J155=4,$J155=5,$J155=6,$J155=7),-$E155*$I155/12*3,IF($J155=8,-$E155*$I155/12*2,IF($J155=9,-$E155*$I155/12*1,0)))))+IF(DB$5&lt;&gt;$H155,0,IF(DB155&lt;0,IF($J155=7,-$E155*$I155/12*0,IF($J155=8,-$E155*$I155/12*1,IF($J155=9,-$E155*$I155/12*2,IF($J155&gt;=10,-$E155*$I155/12*3,0))))))</f>
        <v>0</v>
      </c>
      <c r="DF155" s="1806">
        <f>IF($H155&lt;&gt;DG$5,0,IF(DG155&lt;0,IF(OR($J155=1,$J155=2,$J155=3,$J155=4,$J155=5,$J155=6,$J155=7,$J155=8,$J155=9,$J155=10),-$E155*$I155/12*3,IF($J155=11,-$E155*$I155/12*2,IF($J155=12,-$E155*$I155/12*1,0)))))+IF(DB$5&lt;&gt;$H155,0,IF(DB155&lt;0,IF($J155=10,-$E155*$I155/12*0,IF($J155=11,-$E155*$I155/12*1,IF($J155=12,-$E155*$I155/12*2,0)))))</f>
        <v>0</v>
      </c>
      <c r="DG155" s="1791">
        <f>IF(AND(DB155&lt;&gt;0,DB$5=$H155),-$I155*$E155-DB155,IF(DG$5=$H155,-$I155*$E155*(12-$J155+1)/12,0))</f>
        <v>0</v>
      </c>
      <c r="DH155" s="1808">
        <f>IF($H155&lt;&gt;DL$5,0,IF(DL155&lt;0,IF($J155=1,-$E155*$I155/12*3,IF($J155=2,-$E155*$I155/12*2,IF($J155=3,-$E155*$I155/12*1,0)))))+IF(DG$5&lt;&gt;$H155,0,IF(DG155&lt;0,IF($J155=1,-$E155*$I155/12*0,IF($J155=2,-$E155*$I155/12*1,IF($J155=3,-$E155*$I155/12*2,IF($J155&gt;=4,-$E155*$I155/12*3,0))))))</f>
        <v>0</v>
      </c>
      <c r="DI155" s="1807">
        <f>IF($H155&lt;&gt;DL$5,0,IF(DL155&lt;0,IF(OR($J155=1,$J155=2,$J155=3,$J155=4),-$E155*$I155/12*3,IF($J155=5,-$E155*$I155/12*2,IF($J155=6,-$E155*$I155/12*1,0)))))+IF(DG$5&lt;&gt;$H155,0,IF(DG155&lt;0,IF($J155=4,-$E155*$I155/12*0,IF($J155=5,-$E155*$I155/12*1,IF($J155=6,-$E155*$I155/12*2,IF($J155&gt;=7,-$E155*$I155/12*3,0))))))</f>
        <v>0</v>
      </c>
      <c r="DJ155" s="1807">
        <f>IF($H155&lt;&gt;DL$5,0,IF(DL155&lt;0,IF(OR($J155=1,$J155=2,$J155=3,$J155=4,$J155=5,$J155=6,$J155=7),-$E155*$I155/12*3,IF($J155=8,-$E155*$I155/12*2,IF($J155=9,-$E155*$I155/12*1,0)))))+IF(DG$5&lt;&gt;$H155,0,IF(DG155&lt;0,IF($J155=7,-$E155*$I155/12*0,IF($J155=8,-$E155*$I155/12*1,IF($J155=9,-$E155*$I155/12*2,IF($J155&gt;=10,-$E155*$I155/12*3,0))))))</f>
        <v>0</v>
      </c>
      <c r="DK155" s="1806">
        <f>IF($H155&lt;&gt;DL$5,0,IF(DL155&lt;0,IF(OR($J155=1,$J155=2,$J155=3,$J155=4,$J155=5,$J155=6,$J155=7,$J155=8,$J155=9,$J155=10),-$E155*$I155/12*3,IF($J155=11,-$E155*$I155/12*2,IF($J155=12,-$E155*$I155/12*1,0)))))+IF(DG$5&lt;&gt;$H155,0,IF(DG155&lt;0,IF($J155=10,-$E155*$I155/12*0,IF($J155=11,-$E155*$I155/12*1,IF($J155=12,-$E155*$I155/12*2,0)))))</f>
        <v>0</v>
      </c>
      <c r="DL155" s="1791">
        <f>IF(AND(DG155&lt;&gt;0,DG$5=$H155),-$I155*$E155-DG155,IF(DL$5=$H155,-$I155*$E155*(12-$J155+1)/12,0))</f>
        <v>0</v>
      </c>
      <c r="DM155" s="1808">
        <f>IF($H155&lt;&gt;DQ$5,0,IF(DQ155&lt;0,IF($J155=1,-$E155*$I155/12*3,IF($J155=2,-$E155*$I155/12*2,IF($J155=3,-$E155*$I155/12*1,0)))))+IF(DL$5&lt;&gt;$H155,0,IF(DL155&lt;0,IF($J155=1,-$E155*$I155/12*0,IF($J155=2,-$E155*$I155/12*1,IF($J155=3,-$E155*$I155/12*2,IF($J155&gt;=4,-$E155*$I155/12*3,0))))))</f>
        <v>0</v>
      </c>
      <c r="DN155" s="1807">
        <f>IF($H155&lt;&gt;DQ$5,0,IF(DQ155&lt;0,IF(OR($J155=1,$J155=2,$J155=3,$J155=4),-$E155*$I155/12*3,IF($J155=5,-$E155*$I155/12*2,IF($J155=6,-$E155*$I155/12*1,0)))))+IF(DL$5&lt;&gt;$H155,0,IF(DL155&lt;0,IF($J155=4,-$E155*$I155/12*0,IF($J155=5,-$E155*$I155/12*1,IF($J155=6,-$E155*$I155/12*2,IF($J155&gt;=7,-$E155*$I155/12*3,0))))))</f>
        <v>0</v>
      </c>
      <c r="DO155" s="1807">
        <f>IF($H155&lt;&gt;DQ$5,0,IF(DQ155&lt;0,IF(OR($J155=1,$J155=2,$J155=3,$J155=4,$J155=5,$J155=6,$J155=7),-$E155*$I155/12*3,IF($J155=8,-$E155*$I155/12*2,IF($J155=9,-$E155*$I155/12*1,0)))))+IF(DL$5&lt;&gt;$H155,0,IF(DL155&lt;0,IF($J155=7,-$E155*$I155/12*0,IF($J155=8,-$E155*$I155/12*1,IF($J155=9,-$E155*$I155/12*2,IF($J155&gt;=10,-$E155*$I155/12*3,0))))))</f>
        <v>0</v>
      </c>
      <c r="DP155" s="1806">
        <f>IF($H155&lt;&gt;DQ$5,0,IF(DQ155&lt;0,IF(OR($J155=1,$J155=2,$J155=3,$J155=4,$J155=5,$J155=6,$J155=7,$J155=8,$J155=9,$J155=10),-$E155*$I155/12*3,IF($J155=11,-$E155*$I155/12*2,IF($J155=12,-$E155*$I155/12*1,0)))))+IF(DL$5&lt;&gt;$H155,0,IF(DL155&lt;0,IF($J155=10,-$E155*$I155/12*0,IF($J155=11,-$E155*$I155/12*1,IF($J155=12,-$E155*$I155/12*2,0)))))</f>
        <v>0</v>
      </c>
      <c r="DQ155" s="1791">
        <f>IF(AND(DL155&lt;&gt;0,DL$5=$H155),-$I155*$E155-DL155,IF(DQ$5=$H155,-$I155*$E155*(12-$J155+1)/12,0))</f>
        <v>0</v>
      </c>
      <c r="DR155" s="1808">
        <f>IF($H155&lt;&gt;DV$5,0,IF(DV155&lt;0,IF($J155=1,-$E155*$I155/12*3,IF($J155=2,-$E155*$I155/12*2,IF($J155=3,-$E155*$I155/12*1,0)))))+IF(DQ$5&lt;&gt;$H155,0,IF(DQ155&lt;0,IF($J155=1,-$E155*$I155/12*0,IF($J155=2,-$E155*$I155/12*1,IF($J155=3,-$E155*$I155/12*2,IF($J155&gt;=4,-$E155*$I155/12*3,0))))))</f>
        <v>0</v>
      </c>
      <c r="DS155" s="1807">
        <f>IF($H155&lt;&gt;DV$5,0,IF(DV155&lt;0,IF(OR($J155=1,$J155=2,$J155=3,$J155=4),-$E155*$I155/12*3,IF($J155=5,-$E155*$I155/12*2,IF($J155=6,-$E155*$I155/12*1,0)))))+IF(DQ$5&lt;&gt;$H155,0,IF(DQ155&lt;0,IF($J155=4,-$E155*$I155/12*0,IF($J155=5,-$E155*$I155/12*1,IF($J155=6,-$E155*$I155/12*2,IF($J155&gt;=7,-$E155*$I155/12*3,0))))))</f>
        <v>0</v>
      </c>
      <c r="DT155" s="1807">
        <f>IF($H155&lt;&gt;DV$5,0,IF(DV155&lt;0,IF(OR($J155=1,$J155=2,$J155=3,$J155=4,$J155=5,$J155=6,$J155=7),-$E155*$I155/12*3,IF($J155=8,-$E155*$I155/12*2,IF($J155=9,-$E155*$I155/12*1,0)))))+IF(DQ$5&lt;&gt;$H155,0,IF(DQ155&lt;0,IF($J155=7,-$E155*$I155/12*0,IF($J155=8,-$E155*$I155/12*1,IF($J155=9,-$E155*$I155/12*2,IF($J155&gt;=10,-$E155*$I155/12*3,0))))))</f>
        <v>0</v>
      </c>
      <c r="DU155" s="1806">
        <f>IF($H155&lt;&gt;DV$5,0,IF(DV155&lt;0,IF(OR($J155=1,$J155=2,$J155=3,$J155=4,$J155=5,$J155=6,$J155=7,$J155=8,$J155=9,$J155=10),-$E155*$I155/12*3,IF($J155=11,-$E155*$I155/12*2,IF($J155=12,-$E155*$I155/12*1,0)))))+IF(DQ$5&lt;&gt;$H155,0,IF(DQ155&lt;0,IF($J155=10,-$E155*$I155/12*0,IF($J155=11,-$E155*$I155/12*1,IF($J155=12,-$E155*$I155/12*2,0)))))</f>
        <v>0</v>
      </c>
      <c r="DV155" s="1791">
        <f>IF(AND(DQ155&lt;&gt;0,DQ$5=$H155),-$I155*$E155-DQ155,IF(DV$5=$H155,-$I155*$E155*(12-$J155+1)/12,0))</f>
        <v>0</v>
      </c>
    </row>
    <row r="156" spans="1:126">
      <c r="A156" s="455"/>
      <c r="B156" s="455"/>
      <c r="C156" s="1363" t="s">
        <v>117</v>
      </c>
      <c r="D156" s="94"/>
      <c r="E156" s="1817">
        <f>IF(F156=0,G156,F156)</f>
        <v>250</v>
      </c>
      <c r="F156" s="1435">
        <v>250</v>
      </c>
      <c r="G156" s="1435">
        <v>250</v>
      </c>
      <c r="H156" s="1350">
        <v>2023</v>
      </c>
      <c r="I156" s="1335">
        <v>4.1000000000000002E-2</v>
      </c>
      <c r="J156" s="1343">
        <v>4</v>
      </c>
      <c r="K156" s="1792"/>
      <c r="L156" s="1810">
        <f>IF(L$5=$H156,-$E156,0)</f>
        <v>0</v>
      </c>
      <c r="M156" s="1791">
        <f>IF(M$5=$H156,-$E156,0)</f>
        <v>0</v>
      </c>
      <c r="N156" s="1808">
        <f>IF(R156=0,0,IF(R156&lt;0,IF($J156=3,R156,IF($J156=2,R156,IF($J156=1,R156,0)))))</f>
        <v>0</v>
      </c>
      <c r="O156" s="1807">
        <f>IF(R156=0,0,IF(R156&lt;0,IF($J156=6,R156,IF($J156=5,R156,IF($J156=4,R156,0)))))</f>
        <v>0</v>
      </c>
      <c r="P156" s="1807">
        <f>IF(R156=0,0,IF(R156&lt;0,IF($J156=9,R156,IF($J156=8,R156,IF($J156=7,R156,0)))))</f>
        <v>0</v>
      </c>
      <c r="Q156" s="1806">
        <f>IF(R156=0,0,IF(R156&lt;0,IF($J156=12,R156,IF($J156=11,R156,IF($J156=10,R156,0)))))</f>
        <v>0</v>
      </c>
      <c r="R156" s="1791">
        <f>IF(R$5=$H156,-$E156,0)</f>
        <v>0</v>
      </c>
      <c r="S156" s="1808">
        <f>IF(W156=0,0,IF(W156&lt;0,IF($J156=3,W156,IF($J156=2,W156,IF($J156=1,W156,0)))))</f>
        <v>0</v>
      </c>
      <c r="T156" s="1807">
        <f>IF(W156=0,0,IF(W156&lt;0,IF($J156=6,W156,IF($J156=5,W156,IF($J156=4,W156,0)))))</f>
        <v>0</v>
      </c>
      <c r="U156" s="1807">
        <f>IF(W156=0,0,IF(W156&lt;0,IF($J156=9,W156,IF($J156=8,W156,IF($J156=7,W156,0)))))</f>
        <v>0</v>
      </c>
      <c r="V156" s="1806">
        <f>IF(W156=0,0,IF(W156&lt;0,IF($J156=12,W156,IF($J156=11,W156,IF($J156=10,W156,0)))))</f>
        <v>0</v>
      </c>
      <c r="W156" s="1791">
        <f>IF(W$5=$H156,-$E156,0)</f>
        <v>0</v>
      </c>
      <c r="X156" s="1808">
        <f>IF(AB156=0,0,IF(AB156&lt;0,IF($J156=3,AB156,IF($J156=2,AB156,IF($J156=1,AB156,0)))))</f>
        <v>0</v>
      </c>
      <c r="Y156" s="1807">
        <f>IF(AB156=0,0,IF(AB156&lt;0,IF($J156=6,AB156,IF($J156=5,AB156,IF($J156=4,AB156,0)))))</f>
        <v>0</v>
      </c>
      <c r="Z156" s="1807">
        <f>IF(AB156=0,0,IF(AB156&lt;0,IF($J156=9,AB156,IF($J156=8,AB156,IF($J156=7,AB156,0)))))</f>
        <v>0</v>
      </c>
      <c r="AA156" s="1806">
        <f>IF(AB156=0,0,IF(AB156&lt;0,IF($J156=12,AB156,IF($J156=11,AB156,IF($J156=10,AB156,0)))))</f>
        <v>0</v>
      </c>
      <c r="AB156" s="1791">
        <f>IF(AB$5=$H156,-$E156,0)</f>
        <v>0</v>
      </c>
      <c r="AC156" s="1808">
        <f>IF(AG156=0,0,IF(AG156&lt;0,IF($J156=3,AG156,IF($J156=2,AG156,IF($J156=1,AG156,0)))))</f>
        <v>0</v>
      </c>
      <c r="AD156" s="1807">
        <f>IF(AG156=0,0,IF(AG156&lt;0,IF($J156=6,AG156,IF($J156=5,AG156,IF($J156=4,AG156,0)))))</f>
        <v>0</v>
      </c>
      <c r="AE156" s="1807">
        <f>IF(AG156=0,0,IF(AG156&lt;0,IF($J156=9,AG156,IF($J156=8,AG156,IF($J156=7,AG156,0)))))</f>
        <v>0</v>
      </c>
      <c r="AF156" s="1806">
        <f>IF(AG156=0,0,IF(AG156&lt;0,IF($J156=12,AG156,IF($J156=11,AG156,IF($J156=10,AG156,0)))))</f>
        <v>0</v>
      </c>
      <c r="AG156" s="1791">
        <f>IF(AG$5=$H156,-$E156,0)</f>
        <v>0</v>
      </c>
      <c r="AH156" s="1808">
        <f>IF(AL156=0,0,IF(AL156&lt;0,IF($J156=3,AL156,IF($J156=2,AL156,IF($J156=1,AL156,0)))))</f>
        <v>0</v>
      </c>
      <c r="AI156" s="1807">
        <f>IF(AL156=0,0,IF(AL156&lt;0,IF($J156=6,AL156,IF($J156=5,AL156,IF($J156=4,AL156,0)))))</f>
        <v>0</v>
      </c>
      <c r="AJ156" s="1807">
        <f>IF(AL156=0,0,IF(AL156&lt;0,IF($J156=9,AL156,IF($J156=8,AL156,IF($J156=7,AL156,0)))))</f>
        <v>0</v>
      </c>
      <c r="AK156" s="1806">
        <f>IF(AL156=0,0,IF(AL156&lt;0,IF($J156=12,AL156,IF($J156=11,AL156,IF($J156=10,AL156,0)))))</f>
        <v>0</v>
      </c>
      <c r="AL156" s="1791">
        <f>IF(AL$5=$H156,-$E156,0)</f>
        <v>0</v>
      </c>
      <c r="AM156" s="1808">
        <f>IF(AQ156=0,0,IF(AQ156&lt;0,IF($J156=3,AQ156,IF($J156=2,AQ156,IF($J156=1,AQ156,0)))))</f>
        <v>0</v>
      </c>
      <c r="AN156" s="1807">
        <f>IF(AQ156=0,0,IF(AQ156&lt;0,IF($J156=6,AQ156,IF($J156=5,AQ156,IF($J156=4,AQ156,0)))))</f>
        <v>0</v>
      </c>
      <c r="AO156" s="1807">
        <f>IF(AQ156=0,0,IF(AQ156&lt;0,IF($J156=9,AQ156,IF($J156=8,AQ156,IF($J156=7,AQ156,0)))))</f>
        <v>0</v>
      </c>
      <c r="AP156" s="1806">
        <f>IF(AQ156=0,0,IF(AQ156&lt;0,IF($J156=12,AQ156,IF($J156=11,AQ156,IF($J156=10,AQ156,0)))))</f>
        <v>0</v>
      </c>
      <c r="AQ156" s="1791">
        <f>IF(AQ$5=$H156,-$E156,0)</f>
        <v>0</v>
      </c>
      <c r="AR156" s="1808">
        <f>IF(AV156=0,0,IF(AV156&lt;0,IF($J156=3,AV156,IF($J156=2,AV156,IF($J156=1,AV156,0)))))</f>
        <v>0</v>
      </c>
      <c r="AS156" s="1807">
        <f>IF(AV156=0,0,IF(AV156&lt;0,IF($J156=6,AV156,IF($J156=5,AV156,IF($J156=4,AV156,0)))))</f>
        <v>0</v>
      </c>
      <c r="AT156" s="1807">
        <f>IF(AV156=0,0,IF(AV156&lt;0,IF($J156=9,AV156,IF($J156=8,AV156,IF($J156=7,AV156,0)))))</f>
        <v>0</v>
      </c>
      <c r="AU156" s="1806">
        <f>IF(AV156=0,0,IF(AV156&lt;0,IF($J156=12,AV156,IF($J156=11,AV156,IF($J156=10,AV156,0)))))</f>
        <v>0</v>
      </c>
      <c r="AV156" s="1791">
        <f>IF(AV$5=$H156,-$E156,0)</f>
        <v>0</v>
      </c>
      <c r="AW156" s="1808">
        <f>IF(BA156=0,0,IF(BA156&lt;0,IF($J156=3,BA156,IF($J156=2,BA156,IF($J156=1,BA156,0)))))</f>
        <v>0</v>
      </c>
      <c r="AX156" s="1807">
        <f>IF(BA156=0,0,IF(BA156&lt;0,IF($J156=6,BA156,IF($J156=5,BA156,IF($J156=4,BA156,0)))))</f>
        <v>0</v>
      </c>
      <c r="AY156" s="1807">
        <f>IF(BA156=0,0,IF(BA156&lt;0,IF($J156=9,BA156,IF($J156=8,BA156,IF($J156=7,BA156,0)))))</f>
        <v>0</v>
      </c>
      <c r="AZ156" s="1806">
        <f>IF(BA156=0,0,IF(BA156&lt;0,IF($J156=12,BA156,IF($J156=11,BA156,IF($J156=10,BA156,0)))))</f>
        <v>0</v>
      </c>
      <c r="BA156" s="1791">
        <f>IF(BA$5=$H156,-$E156,0)</f>
        <v>0</v>
      </c>
      <c r="BB156" s="1808">
        <f>IF(BF156=0,0,IF(BF156&lt;0,IF($J156=3,BF156,IF($J156=2,BF156,IF($J156=1,BF156,0)))))</f>
        <v>0</v>
      </c>
      <c r="BC156" s="1807">
        <f>IF(BF156=0,0,IF(BF156&lt;0,IF($J156=6,BF156,IF($J156=5,BF156,IF($J156=4,BF156,0)))))</f>
        <v>0</v>
      </c>
      <c r="BD156" s="1807">
        <f>IF(BF156=0,0,IF(BF156&lt;0,IF($J156=9,BF156,IF($J156=8,BF156,IF($J156=7,BF156,0)))))</f>
        <v>0</v>
      </c>
      <c r="BE156" s="1806">
        <f>IF(BF156=0,0,IF(BF156&lt;0,IF($J156=12,BF156,IF($J156=11,BF156,IF($J156=10,BF156,0)))))</f>
        <v>0</v>
      </c>
      <c r="BF156" s="1791">
        <f>IF(BF$5=$H156,-$E156,0)</f>
        <v>0</v>
      </c>
      <c r="BG156" s="1808">
        <f>IF(BK156=0,0,IF(BK156&lt;0,IF($J156=3,BK156,IF($J156=2,BK156,IF($J156=1,BK156,0)))))</f>
        <v>0</v>
      </c>
      <c r="BH156" s="1807">
        <f>IF(BK156=0,0,IF(BK156&lt;0,IF($J156=6,BK156,IF($J156=5,BK156,IF($J156=4,BK156,0)))))</f>
        <v>0</v>
      </c>
      <c r="BI156" s="1807">
        <f>IF(BK156=0,0,IF(BK156&lt;0,IF($J156=9,BK156,IF($J156=8,BK156,IF($J156=7,BK156,0)))))</f>
        <v>0</v>
      </c>
      <c r="BJ156" s="1806">
        <f>IF(BK156=0,0,IF(BK156&lt;0,IF($J156=12,BK156,IF($J156=11,BK156,IF($J156=10,BK156,0)))))</f>
        <v>0</v>
      </c>
      <c r="BK156" s="1791">
        <f>IF(BK$5=$H156,-$E156,0)</f>
        <v>0</v>
      </c>
      <c r="BL156" s="1808">
        <f>IF(BP156=0,0,IF(BP156&lt;0,IF($J156=3,BP156,IF($J156=2,BP156,IF($J156=1,BP156,0)))))</f>
        <v>0</v>
      </c>
      <c r="BM156" s="1807">
        <f>IF(BP156=0,0,IF(BP156&lt;0,IF($J156=6,BP156,IF($J156=5,BP156,IF($J156=4,BP156,0)))))</f>
        <v>0</v>
      </c>
      <c r="BN156" s="1807">
        <f>IF(BP156=0,0,IF(BP156&lt;0,IF($J156=9,BP156,IF($J156=8,BP156,IF($J156=7,BP156,0)))))</f>
        <v>0</v>
      </c>
      <c r="BO156" s="1806">
        <f>IF(BP156=0,0,IF(BP156&lt;0,IF($J156=12,BP156,IF($J156=11,BP156,IF($J156=10,BP156,0)))))</f>
        <v>0</v>
      </c>
      <c r="BP156" s="1791">
        <f>IF(BP$5=$H156,-$E156,0)</f>
        <v>0</v>
      </c>
      <c r="BQ156" s="1827"/>
      <c r="BR156" s="1791">
        <f>IF(AND(BQ156&lt;&gt;0,BQ$5=$H156),-$I156*$E156-BQ156,IF(BR$5=$H156,-$I156*$E156*(12-$J156+1)/12,0))</f>
        <v>0</v>
      </c>
      <c r="BS156" s="1791">
        <f>IF(AND(BR156&lt;&gt;0,BR$5=$H156),-$I156*$E156-BR156,IF(BS$5=$H156,-$I156*$E156*(12-$J156+1)/12,0))</f>
        <v>0</v>
      </c>
      <c r="BT156" s="1808">
        <f>IF($H156&lt;&gt;BX$5,0,IF(BX156&lt;0,IF($J156=1,-$E156*$I156/12*3,IF($J156=2,-$E156*$I156/12*2,IF($J156=3,-$E156*$I156/12*1,0)))))+IF(BS$5&lt;&gt;$H156,0,IF(BS156&lt;0,IF($J156=1,-$E156*$I156/12*0,IF($J156=2,-$E156*$I156/12*1,IF($J156=3,-$E156*$I156/12*2,IF($J156&gt;=4,-$E156*$I156/12*3,0))))))</f>
        <v>0</v>
      </c>
      <c r="BU156" s="1807">
        <f>IF($H156&lt;&gt;BX$5,0,IF(BX156&lt;0,IF(OR($J156=1,$J156=2,$J156=3,$J156=4),-$E156*$I156/12*3,IF($J156=5,-$E156*$I156/12*2,IF($J156=6,-$E156*$I156/12*1,0)))))+IF(BS$5&lt;&gt;$H156,0,IF(BS156&lt;0,IF($J156=4,-$E156*$I156/12*0,IF($J156=5,-$E156*$I156/12*1,IF($J156=6,-$E156*$I156/12*2,IF($J156&gt;=7,-$E156*$I156/12*3,0))))))</f>
        <v>0</v>
      </c>
      <c r="BV156" s="1807">
        <f>IF($H156&lt;&gt;BX$5,0,IF(BX156&lt;0,IF(OR($J156=1,$J156=2,$J156=3,$J156=4,$J156=5,$J156=6,$J156=7),-$E156*$I156/12*3,IF($J156=8,-$E156*$I156/12*2,IF($J156=9,-$E156*$I156/12*1,0)))))+IF(BS$5&lt;&gt;$H156,0,IF(BS156&lt;0,IF($J156=7,-$E156*$I156/12*0,IF($J156=8,-$E156*$I156/12*1,IF($J156=9,-$E156*$I156/12*2,IF($J156&gt;=10,-$E156*$I156/12*3,0))))))</f>
        <v>0</v>
      </c>
      <c r="BW156" s="1806">
        <f>IF($H156&lt;&gt;BX$5,0,IF(BX156&lt;0,IF(OR($J156=1,$J156=2,$J156=3,$J156=4,$J156=5,$J156=6,$J156=7,$J156=8,$J156=9,$J156=10),-$E156*$I156/12*3,IF($J156=11,-$E156*$I156/12*2,IF($J156=12,-$E156*$I156/12*1,0)))))+IF(BS$5&lt;&gt;$H156,0,IF(BS156&lt;0,IF($J156=10,-$E156*$I156/12*0,IF($J156=11,-$E156*$I156/12*1,IF($J156=12,-$E156*$I156/12*2,0)))))</f>
        <v>0</v>
      </c>
      <c r="BX156" s="1791">
        <f>IF(AND(BS156&lt;&gt;0,BS$5=$H156),-$I156*$E156-BS156,IF(BX$5=$H156,-$I156*$E156*(12-$J156+1)/12,0))</f>
        <v>0</v>
      </c>
      <c r="BY156" s="1808">
        <f>IF($H156&lt;&gt;CC$5,0,IF(CC156&lt;0,IF($J156=1,-$E156*$I156/12*3,IF($J156=2,-$E156*$I156/12*2,IF($J156=3,-$E156*$I156/12*1,0)))))+IF(BX$5&lt;&gt;$H156,0,IF(BX156&lt;0,IF($J156=1,-$E156*$I156/12*0,IF($J156=2,-$E156*$I156/12*1,IF($J156=3,-$E156*$I156/12*2,IF($J156&gt;=4,-$E156*$I156/12*3,0))))))</f>
        <v>0</v>
      </c>
      <c r="BZ156" s="1807">
        <f>IF($H156&lt;&gt;CC$5,0,IF(CC156&lt;0,IF(OR($J156=1,$J156=2,$J156=3,$J156=4),-$E156*$I156/12*3,IF($J156=5,-$E156*$I156/12*2,IF($J156=6,-$E156*$I156/12*1,0)))))+IF(BX$5&lt;&gt;$H156,0,IF(BX156&lt;0,IF($J156=4,-$E156*$I156/12*0,IF($J156=5,-$E156*$I156/12*1,IF($J156=6,-$E156*$I156/12*2,IF($J156&gt;=7,-$E156*$I156/12*3,0))))))</f>
        <v>0</v>
      </c>
      <c r="CA156" s="1807">
        <f>IF($H156&lt;&gt;CC$5,0,IF(CC156&lt;0,IF(OR($J156=1,$J156=2,$J156=3,$J156=4,$J156=5,$J156=6,$J156=7),-$E156*$I156/12*3,IF($J156=8,-$E156*$I156/12*2,IF($J156=9,-$E156*$I156/12*1,0)))))+IF(BX$5&lt;&gt;$H156,0,IF(BX156&lt;0,IF($J156=7,-$E156*$I156/12*0,IF($J156=8,-$E156*$I156/12*1,IF($J156=9,-$E156*$I156/12*2,IF($J156&gt;=10,-$E156*$I156/12*3,0))))))</f>
        <v>0</v>
      </c>
      <c r="CB156" s="1806">
        <f>IF($H156&lt;&gt;CC$5,0,IF(CC156&lt;0,IF(OR($J156=1,$J156=2,$J156=3,$J156=4,$J156=5,$J156=6,$J156=7,$J156=8,$J156=9,$J156=10),-$E156*$I156/12*3,IF($J156=11,-$E156*$I156/12*2,IF($J156=12,-$E156*$I156/12*1,0)))))+IF(BX$5&lt;&gt;$H156,0,IF(BX156&lt;0,IF($J156=10,-$E156*$I156/12*0,IF($J156=11,-$E156*$I156/12*1,IF($J156=12,-$E156*$I156/12*2,0)))))</f>
        <v>0</v>
      </c>
      <c r="CC156" s="1791">
        <f>IF(AND(BX156&lt;&gt;0,BX$5=$H156),-$I156*$E156-BX156,IF(CC$5=$H156,-$I156*$E156*(12-$J156+1)/12,0))</f>
        <v>0</v>
      </c>
      <c r="CD156" s="1808">
        <f>IF($H156&lt;&gt;CH$5,0,IF(CH156&lt;0,IF($J156=1,-$E156*$I156/12*3,IF($J156=2,-$E156*$I156/12*2,IF($J156=3,-$E156*$I156/12*1,0)))))+IF(CC$5&lt;&gt;$H156,0,IF(CC156&lt;0,IF($J156=1,-$E156*$I156/12*0,IF($J156=2,-$E156*$I156/12*1,IF($J156=3,-$E156*$I156/12*2,IF($J156&gt;=4,-$E156*$I156/12*3,0))))))</f>
        <v>0</v>
      </c>
      <c r="CE156" s="1807">
        <f>IF($H156&lt;&gt;CH$5,0,IF(CH156&lt;0,IF(OR($J156=1,$J156=2,$J156=3,$J156=4),-$E156*$I156/12*3,IF($J156=5,-$E156*$I156/12*2,IF($J156=6,-$E156*$I156/12*1,0)))))+IF(CC$5&lt;&gt;$H156,0,IF(CC156&lt;0,IF($J156=4,-$E156*$I156/12*0,IF($J156=5,-$E156*$I156/12*1,IF($J156=6,-$E156*$I156/12*2,IF($J156&gt;=7,-$E156*$I156/12*3,0))))))</f>
        <v>0</v>
      </c>
      <c r="CF156" s="1807">
        <f>IF($H156&lt;&gt;CH$5,0,IF(CH156&lt;0,IF(OR($J156=1,$J156=2,$J156=3,$J156=4,$J156=5,$J156=6,$J156=7),-$E156*$I156/12*3,IF($J156=8,-$E156*$I156/12*2,IF($J156=9,-$E156*$I156/12*1,0)))))+IF(CC$5&lt;&gt;$H156,0,IF(CC156&lt;0,IF($J156=7,-$E156*$I156/12*0,IF($J156=8,-$E156*$I156/12*1,IF($J156=9,-$E156*$I156/12*2,IF($J156&gt;=10,-$E156*$I156/12*3,0))))))</f>
        <v>0</v>
      </c>
      <c r="CG156" s="1806">
        <f>IF($H156&lt;&gt;CH$5,0,IF(CH156&lt;0,IF(OR($J156=1,$J156=2,$J156=3,$J156=4,$J156=5,$J156=6,$J156=7,$J156=8,$J156=9,$J156=10),-$E156*$I156/12*3,IF($J156=11,-$E156*$I156/12*2,IF($J156=12,-$E156*$I156/12*1,0)))))+IF(CC$5&lt;&gt;$H156,0,IF(CC156&lt;0,IF($J156=10,-$E156*$I156/12*0,IF($J156=11,-$E156*$I156/12*1,IF($J156=12,-$E156*$I156/12*2,0)))))</f>
        <v>0</v>
      </c>
      <c r="CH156" s="1791">
        <f>IF(AND(CC156&lt;&gt;0,CC$5=$H156),-$I156*$E156-CC156,IF(CH$5=$H156,-$I156*$E156*(12-$J156+1)/12,0))</f>
        <v>0</v>
      </c>
      <c r="CI156" s="1808">
        <f>IF($H156&lt;&gt;CM$5,0,IF(CM156&lt;0,IF($J156=1,-$E156*$I156/12*3,IF($J156=2,-$E156*$I156/12*2,IF($J156=3,-$E156*$I156/12*1,0)))))+IF(CH$5&lt;&gt;$H156,0,IF(CH156&lt;0,IF($J156=1,-$E156*$I156/12*0,IF($J156=2,-$E156*$I156/12*1,IF($J156=3,-$E156*$I156/12*2,IF($J156&gt;=4,-$E156*$I156/12*3,0))))))</f>
        <v>0</v>
      </c>
      <c r="CJ156" s="1807">
        <f>IF($H156&lt;&gt;CM$5,0,IF(CM156&lt;0,IF(OR($J156=1,$J156=2,$J156=3,$J156=4),-$E156*$I156/12*3,IF($J156=5,-$E156*$I156/12*2,IF($J156=6,-$E156*$I156/12*1,0)))))+IF(CH$5&lt;&gt;$H156,0,IF(CH156&lt;0,IF($J156=4,-$E156*$I156/12*0,IF($J156=5,-$E156*$I156/12*1,IF($J156=6,-$E156*$I156/12*2,IF($J156&gt;=7,-$E156*$I156/12*3,0))))))</f>
        <v>0</v>
      </c>
      <c r="CK156" s="1807">
        <f>IF($H156&lt;&gt;CM$5,0,IF(CM156&lt;0,IF(OR($J156=1,$J156=2,$J156=3,$J156=4,$J156=5,$J156=6,$J156=7),-$E156*$I156/12*3,IF($J156=8,-$E156*$I156/12*2,IF($J156=9,-$E156*$I156/12*1,0)))))+IF(CH$5&lt;&gt;$H156,0,IF(CH156&lt;0,IF($J156=7,-$E156*$I156/12*0,IF($J156=8,-$E156*$I156/12*1,IF($J156=9,-$E156*$I156/12*2,IF($J156&gt;=10,-$E156*$I156/12*3,0))))))</f>
        <v>0</v>
      </c>
      <c r="CL156" s="1806">
        <f>IF($H156&lt;&gt;CM$5,0,IF(CM156&lt;0,IF(OR($J156=1,$J156=2,$J156=3,$J156=4,$J156=5,$J156=6,$J156=7,$J156=8,$J156=9,$J156=10),-$E156*$I156/12*3,IF($J156=11,-$E156*$I156/12*2,IF($J156=12,-$E156*$I156/12*1,0)))))+IF(CH$5&lt;&gt;$H156,0,IF(CH156&lt;0,IF($J156=10,-$E156*$I156/12*0,IF($J156=11,-$E156*$I156/12*1,IF($J156=12,-$E156*$I156/12*2,0)))))</f>
        <v>0</v>
      </c>
      <c r="CM156" s="1791">
        <f>IF(AND(CH156&lt;&gt;0,CH$5=$H156),-$I156*$E156-CH156,IF(CM$5=$H156,-$I156*$E156*(12-$J156+1)/12,0))</f>
        <v>0</v>
      </c>
      <c r="CN156" s="1808">
        <f>IF($H156&lt;&gt;CR$5,0,IF(CR156&lt;0,IF($J156=1,-$E156*$I156/12*3,IF($J156=2,-$E156*$I156/12*2,IF($J156=3,-$E156*$I156/12*1,0)))))+IF(CM$5&lt;&gt;$H156,0,IF(CM156&lt;0,IF($J156=1,-$E156*$I156/12*0,IF($J156=2,-$E156*$I156/12*1,IF($J156=3,-$E156*$I156/12*2,IF($J156&gt;=4,-$E156*$I156/12*3,0))))))</f>
        <v>0</v>
      </c>
      <c r="CO156" s="1807">
        <f>IF($H156&lt;&gt;CR$5,0,IF(CR156&lt;0,IF(OR($J156=1,$J156=2,$J156=3,$J156=4),-$E156*$I156/12*3,IF($J156=5,-$E156*$I156/12*2,IF($J156=6,-$E156*$I156/12*1,0)))))+IF(CM$5&lt;&gt;$H156,0,IF(CM156&lt;0,IF($J156=4,-$E156*$I156/12*0,IF($J156=5,-$E156*$I156/12*1,IF($J156=6,-$E156*$I156/12*2,IF($J156&gt;=7,-$E156*$I156/12*3,0))))))</f>
        <v>0</v>
      </c>
      <c r="CP156" s="1807">
        <f>IF($H156&lt;&gt;CR$5,0,IF(CR156&lt;0,IF(OR($J156=1,$J156=2,$J156=3,$J156=4,$J156=5,$J156=6,$J156=7),-$E156*$I156/12*3,IF($J156=8,-$E156*$I156/12*2,IF($J156=9,-$E156*$I156/12*1,0)))))+IF(CM$5&lt;&gt;$H156,0,IF(CM156&lt;0,IF($J156=7,-$E156*$I156/12*0,IF($J156=8,-$E156*$I156/12*1,IF($J156=9,-$E156*$I156/12*2,IF($J156&gt;=10,-$E156*$I156/12*3,0))))))</f>
        <v>0</v>
      </c>
      <c r="CQ156" s="1806">
        <f>IF($H156&lt;&gt;CR$5,0,IF(CR156&lt;0,IF(OR($J156=1,$J156=2,$J156=3,$J156=4,$J156=5,$J156=6,$J156=7,$J156=8,$J156=9,$J156=10),-$E156*$I156/12*3,IF($J156=11,-$E156*$I156/12*2,IF($J156=12,-$E156*$I156/12*1,0)))))+IF(CM$5&lt;&gt;$H156,0,IF(CM156&lt;0,IF($J156=10,-$E156*$I156/12*0,IF($J156=11,-$E156*$I156/12*1,IF($J156=12,-$E156*$I156/12*2,0)))))</f>
        <v>0</v>
      </c>
      <c r="CR156" s="1791">
        <f>IF(AND(CM156&lt;&gt;0,CM$5=$H156),-$I156*$E156-CM156,IF(CR$5=$H156,-$I156*$E156*(12-$J156+1)/12,0))</f>
        <v>0</v>
      </c>
      <c r="CS156" s="1808">
        <f>IF($H156&lt;&gt;CW$5,0,IF(CW156&lt;0,IF($J156=1,-$E156*$I156/12*3,IF($J156=2,-$E156*$I156/12*2,IF($J156=3,-$E156*$I156/12*1,0)))))+IF(CR$5&lt;&gt;$H156,0,IF(CR156&lt;0,IF($J156=1,-$E156*$I156/12*0,IF($J156=2,-$E156*$I156/12*1,IF($J156=3,-$E156*$I156/12*2,IF($J156&gt;=4,-$E156*$I156/12*3,0))))))</f>
        <v>0</v>
      </c>
      <c r="CT156" s="1807">
        <f>IF($H156&lt;&gt;CW$5,0,IF(CW156&lt;0,IF(OR($J156=1,$J156=2,$J156=3,$J156=4),-$E156*$I156/12*3,IF($J156=5,-$E156*$I156/12*2,IF($J156=6,-$E156*$I156/12*1,0)))))+IF(CR$5&lt;&gt;$H156,0,IF(CR156&lt;0,IF($J156=4,-$E156*$I156/12*0,IF($J156=5,-$E156*$I156/12*1,IF($J156=6,-$E156*$I156/12*2,IF($J156&gt;=7,-$E156*$I156/12*3,0))))))</f>
        <v>0</v>
      </c>
      <c r="CU156" s="1807">
        <f>IF($H156&lt;&gt;CW$5,0,IF(CW156&lt;0,IF(OR($J156=1,$J156=2,$J156=3,$J156=4,$J156=5,$J156=6,$J156=7),-$E156*$I156/12*3,IF($J156=8,-$E156*$I156/12*2,IF($J156=9,-$E156*$I156/12*1,0)))))+IF(CR$5&lt;&gt;$H156,0,IF(CR156&lt;0,IF($J156=7,-$E156*$I156/12*0,IF($J156=8,-$E156*$I156/12*1,IF($J156=9,-$E156*$I156/12*2,IF($J156&gt;=10,-$E156*$I156/12*3,0))))))</f>
        <v>0</v>
      </c>
      <c r="CV156" s="1806">
        <f>IF($H156&lt;&gt;CW$5,0,IF(CW156&lt;0,IF(OR($J156=1,$J156=2,$J156=3,$J156=4,$J156=5,$J156=6,$J156=7,$J156=8,$J156=9,$J156=10),-$E156*$I156/12*3,IF($J156=11,-$E156*$I156/12*2,IF($J156=12,-$E156*$I156/12*1,0)))))+IF(CR$5&lt;&gt;$H156,0,IF(CR156&lt;0,IF($J156=10,-$E156*$I156/12*0,IF($J156=11,-$E156*$I156/12*1,IF($J156=12,-$E156*$I156/12*2,0)))))</f>
        <v>0</v>
      </c>
      <c r="CW156" s="1791">
        <f>IF(AND(CR156&lt;&gt;0,CR$5=$H156),-$I156*$E156-CR156,IF(CW$5=$H156,-$I156*$E156*(12-$J156+1)/12,0))</f>
        <v>0</v>
      </c>
      <c r="CX156" s="1808">
        <f>IF($H156&lt;&gt;DB$5,0,IF(DB156&lt;0,IF($J156=1,-$E156*$I156/12*3,IF($J156=2,-$E156*$I156/12*2,IF($J156=3,-$E156*$I156/12*1,0)))))+IF(CW$5&lt;&gt;$H156,0,IF(CW156&lt;0,IF($J156=1,-$E156*$I156/12*0,IF($J156=2,-$E156*$I156/12*1,IF($J156=3,-$E156*$I156/12*2,IF($J156&gt;=4,-$E156*$I156/12*3,0))))))</f>
        <v>0</v>
      </c>
      <c r="CY156" s="1807">
        <f>IF($H156&lt;&gt;DB$5,0,IF(DB156&lt;0,IF(OR($J156=1,$J156=2,$J156=3,$J156=4),-$E156*$I156/12*3,IF($J156=5,-$E156*$I156/12*2,IF($J156=6,-$E156*$I156/12*1,0)))))+IF(CW$5&lt;&gt;$H156,0,IF(CW156&lt;0,IF($J156=4,-$E156*$I156/12*0,IF($J156=5,-$E156*$I156/12*1,IF($J156=6,-$E156*$I156/12*2,IF($J156&gt;=7,-$E156*$I156/12*3,0))))))</f>
        <v>0</v>
      </c>
      <c r="CZ156" s="1807">
        <f>IF($H156&lt;&gt;DB$5,0,IF(DB156&lt;0,IF(OR($J156=1,$J156=2,$J156=3,$J156=4,$J156=5,$J156=6,$J156=7),-$E156*$I156/12*3,IF($J156=8,-$E156*$I156/12*2,IF($J156=9,-$E156*$I156/12*1,0)))))+IF(CW$5&lt;&gt;$H156,0,IF(CW156&lt;0,IF($J156=7,-$E156*$I156/12*0,IF($J156=8,-$E156*$I156/12*1,IF($J156=9,-$E156*$I156/12*2,IF($J156&gt;=10,-$E156*$I156/12*3,0))))))</f>
        <v>0</v>
      </c>
      <c r="DA156" s="1806">
        <f>IF($H156&lt;&gt;DB$5,0,IF(DB156&lt;0,IF(OR($J156=1,$J156=2,$J156=3,$J156=4,$J156=5,$J156=6,$J156=7,$J156=8,$J156=9,$J156=10),-$E156*$I156/12*3,IF($J156=11,-$E156*$I156/12*2,IF($J156=12,-$E156*$I156/12*1,0)))))+IF(CW$5&lt;&gt;$H156,0,IF(CW156&lt;0,IF($J156=10,-$E156*$I156/12*0,IF($J156=11,-$E156*$I156/12*1,IF($J156=12,-$E156*$I156/12*2,0)))))</f>
        <v>0</v>
      </c>
      <c r="DB156" s="1791">
        <f>IF(AND(CW156&lt;&gt;0,CW$5=$H156),-$I156*$E156-CW156,IF(DB$5=$H156,-$I156*$E156*(12-$J156+1)/12,0))</f>
        <v>0</v>
      </c>
      <c r="DC156" s="1808">
        <f>IF($H156&lt;&gt;DG$5,0,IF(DG156&lt;0,IF($J156=1,-$E156*$I156/12*3,IF($J156=2,-$E156*$I156/12*2,IF($J156=3,-$E156*$I156/12*1,0)))))+IF(DB$5&lt;&gt;$H156,0,IF(DB156&lt;0,IF($J156=1,-$E156*$I156/12*0,IF($J156=2,-$E156*$I156/12*1,IF($J156=3,-$E156*$I156/12*2,IF($J156&gt;=4,-$E156*$I156/12*3,0))))))</f>
        <v>0</v>
      </c>
      <c r="DD156" s="1807">
        <f>IF($H156&lt;&gt;DG$5,0,IF(DG156&lt;0,IF(OR($J156=1,$J156=2,$J156=3,$J156=4),-$E156*$I156/12*3,IF($J156=5,-$E156*$I156/12*2,IF($J156=6,-$E156*$I156/12*1,0)))))+IF(DB$5&lt;&gt;$H156,0,IF(DB156&lt;0,IF($J156=4,-$E156*$I156/12*0,IF($J156=5,-$E156*$I156/12*1,IF($J156=6,-$E156*$I156/12*2,IF($J156&gt;=7,-$E156*$I156/12*3,0))))))</f>
        <v>0</v>
      </c>
      <c r="DE156" s="1807">
        <f>IF($H156&lt;&gt;DG$5,0,IF(DG156&lt;0,IF(OR($J156=1,$J156=2,$J156=3,$J156=4,$J156=5,$J156=6,$J156=7),-$E156*$I156/12*3,IF($J156=8,-$E156*$I156/12*2,IF($J156=9,-$E156*$I156/12*1,0)))))+IF(DB$5&lt;&gt;$H156,0,IF(DB156&lt;0,IF($J156=7,-$E156*$I156/12*0,IF($J156=8,-$E156*$I156/12*1,IF($J156=9,-$E156*$I156/12*2,IF($J156&gt;=10,-$E156*$I156/12*3,0))))))</f>
        <v>0</v>
      </c>
      <c r="DF156" s="1806">
        <f>IF($H156&lt;&gt;DG$5,0,IF(DG156&lt;0,IF(OR($J156=1,$J156=2,$J156=3,$J156=4,$J156=5,$J156=6,$J156=7,$J156=8,$J156=9,$J156=10),-$E156*$I156/12*3,IF($J156=11,-$E156*$I156/12*2,IF($J156=12,-$E156*$I156/12*1,0)))))+IF(DB$5&lt;&gt;$H156,0,IF(DB156&lt;0,IF($J156=10,-$E156*$I156/12*0,IF($J156=11,-$E156*$I156/12*1,IF($J156=12,-$E156*$I156/12*2,0)))))</f>
        <v>0</v>
      </c>
      <c r="DG156" s="1791">
        <f>IF(AND(DB156&lt;&gt;0,DB$5=$H156),-$I156*$E156-DB156,IF(DG$5=$H156,-$I156*$E156*(12-$J156+1)/12,0))</f>
        <v>0</v>
      </c>
      <c r="DH156" s="1808">
        <f>IF($H156&lt;&gt;DL$5,0,IF(DL156&lt;0,IF($J156=1,-$E156*$I156/12*3,IF($J156=2,-$E156*$I156/12*2,IF($J156=3,-$E156*$I156/12*1,0)))))+IF(DG$5&lt;&gt;$H156,0,IF(DG156&lt;0,IF($J156=1,-$E156*$I156/12*0,IF($J156=2,-$E156*$I156/12*1,IF($J156=3,-$E156*$I156/12*2,IF($J156&gt;=4,-$E156*$I156/12*3,0))))))</f>
        <v>0</v>
      </c>
      <c r="DI156" s="1807">
        <f>IF($H156&lt;&gt;DL$5,0,IF(DL156&lt;0,IF(OR($J156=1,$J156=2,$J156=3,$J156=4),-$E156*$I156/12*3,IF($J156=5,-$E156*$I156/12*2,IF($J156=6,-$E156*$I156/12*1,0)))))+IF(DG$5&lt;&gt;$H156,0,IF(DG156&lt;0,IF($J156=4,-$E156*$I156/12*0,IF($J156=5,-$E156*$I156/12*1,IF($J156=6,-$E156*$I156/12*2,IF($J156&gt;=7,-$E156*$I156/12*3,0))))))</f>
        <v>0</v>
      </c>
      <c r="DJ156" s="1807">
        <f>IF($H156&lt;&gt;DL$5,0,IF(DL156&lt;0,IF(OR($J156=1,$J156=2,$J156=3,$J156=4,$J156=5,$J156=6,$J156=7),-$E156*$I156/12*3,IF($J156=8,-$E156*$I156/12*2,IF($J156=9,-$E156*$I156/12*1,0)))))+IF(DG$5&lt;&gt;$H156,0,IF(DG156&lt;0,IF($J156=7,-$E156*$I156/12*0,IF($J156=8,-$E156*$I156/12*1,IF($J156=9,-$E156*$I156/12*2,IF($J156&gt;=10,-$E156*$I156/12*3,0))))))</f>
        <v>0</v>
      </c>
      <c r="DK156" s="1806">
        <f>IF($H156&lt;&gt;DL$5,0,IF(DL156&lt;0,IF(OR($J156=1,$J156=2,$J156=3,$J156=4,$J156=5,$J156=6,$J156=7,$J156=8,$J156=9,$J156=10),-$E156*$I156/12*3,IF($J156=11,-$E156*$I156/12*2,IF($J156=12,-$E156*$I156/12*1,0)))))+IF(DG$5&lt;&gt;$H156,0,IF(DG156&lt;0,IF($J156=10,-$E156*$I156/12*0,IF($J156=11,-$E156*$I156/12*1,IF($J156=12,-$E156*$I156/12*2,0)))))</f>
        <v>0</v>
      </c>
      <c r="DL156" s="1791">
        <f>IF(AND(DG156&lt;&gt;0,DG$5=$H156),-$I156*$E156-DG156,IF(DL$5=$H156,-$I156*$E156*(12-$J156+1)/12,0))</f>
        <v>0</v>
      </c>
      <c r="DM156" s="1808">
        <f>IF($H156&lt;&gt;DQ$5,0,IF(DQ156&lt;0,IF($J156=1,-$E156*$I156/12*3,IF($J156=2,-$E156*$I156/12*2,IF($J156=3,-$E156*$I156/12*1,0)))))+IF(DL$5&lt;&gt;$H156,0,IF(DL156&lt;0,IF($J156=1,-$E156*$I156/12*0,IF($J156=2,-$E156*$I156/12*1,IF($J156=3,-$E156*$I156/12*2,IF($J156&gt;=4,-$E156*$I156/12*3,0))))))</f>
        <v>0</v>
      </c>
      <c r="DN156" s="1807">
        <f>IF($H156&lt;&gt;DQ$5,0,IF(DQ156&lt;0,IF(OR($J156=1,$J156=2,$J156=3,$J156=4),-$E156*$I156/12*3,IF($J156=5,-$E156*$I156/12*2,IF($J156=6,-$E156*$I156/12*1,0)))))+IF(DL$5&lt;&gt;$H156,0,IF(DL156&lt;0,IF($J156=4,-$E156*$I156/12*0,IF($J156=5,-$E156*$I156/12*1,IF($J156=6,-$E156*$I156/12*2,IF($J156&gt;=7,-$E156*$I156/12*3,0))))))</f>
        <v>0</v>
      </c>
      <c r="DO156" s="1807">
        <f>IF($H156&lt;&gt;DQ$5,0,IF(DQ156&lt;0,IF(OR($J156=1,$J156=2,$J156=3,$J156=4,$J156=5,$J156=6,$J156=7),-$E156*$I156/12*3,IF($J156=8,-$E156*$I156/12*2,IF($J156=9,-$E156*$I156/12*1,0)))))+IF(DL$5&lt;&gt;$H156,0,IF(DL156&lt;0,IF($J156=7,-$E156*$I156/12*0,IF($J156=8,-$E156*$I156/12*1,IF($J156=9,-$E156*$I156/12*2,IF($J156&gt;=10,-$E156*$I156/12*3,0))))))</f>
        <v>0</v>
      </c>
      <c r="DP156" s="1806">
        <f>IF($H156&lt;&gt;DQ$5,0,IF(DQ156&lt;0,IF(OR($J156=1,$J156=2,$J156=3,$J156=4,$J156=5,$J156=6,$J156=7,$J156=8,$J156=9,$J156=10),-$E156*$I156/12*3,IF($J156=11,-$E156*$I156/12*2,IF($J156=12,-$E156*$I156/12*1,0)))))+IF(DL$5&lt;&gt;$H156,0,IF(DL156&lt;0,IF($J156=10,-$E156*$I156/12*0,IF($J156=11,-$E156*$I156/12*1,IF($J156=12,-$E156*$I156/12*2,0)))))</f>
        <v>0</v>
      </c>
      <c r="DQ156" s="1791">
        <f>IF(AND(DL156&lt;&gt;0,DL$5=$H156),-$I156*$E156-DL156,IF(DQ$5=$H156,-$I156*$E156*(12-$J156+1)/12,0))</f>
        <v>0</v>
      </c>
      <c r="DR156" s="1808">
        <f>IF($H156&lt;&gt;DV$5,0,IF(DV156&lt;0,IF($J156=1,-$E156*$I156/12*3,IF($J156=2,-$E156*$I156/12*2,IF($J156=3,-$E156*$I156/12*1,0)))))+IF(DQ$5&lt;&gt;$H156,0,IF(DQ156&lt;0,IF($J156=1,-$E156*$I156/12*0,IF($J156=2,-$E156*$I156/12*1,IF($J156=3,-$E156*$I156/12*2,IF($J156&gt;=4,-$E156*$I156/12*3,0))))))</f>
        <v>0</v>
      </c>
      <c r="DS156" s="1807">
        <f>IF($H156&lt;&gt;DV$5,0,IF(DV156&lt;0,IF(OR($J156=1,$J156=2,$J156=3,$J156=4),-$E156*$I156/12*3,IF($J156=5,-$E156*$I156/12*2,IF($J156=6,-$E156*$I156/12*1,0)))))+IF(DQ$5&lt;&gt;$H156,0,IF(DQ156&lt;0,IF($J156=4,-$E156*$I156/12*0,IF($J156=5,-$E156*$I156/12*1,IF($J156=6,-$E156*$I156/12*2,IF($J156&gt;=7,-$E156*$I156/12*3,0))))))</f>
        <v>0</v>
      </c>
      <c r="DT156" s="1807">
        <f>IF($H156&lt;&gt;DV$5,0,IF(DV156&lt;0,IF(OR($J156=1,$J156=2,$J156=3,$J156=4,$J156=5,$J156=6,$J156=7),-$E156*$I156/12*3,IF($J156=8,-$E156*$I156/12*2,IF($J156=9,-$E156*$I156/12*1,0)))))+IF(DQ$5&lt;&gt;$H156,0,IF(DQ156&lt;0,IF($J156=7,-$E156*$I156/12*0,IF($J156=8,-$E156*$I156/12*1,IF($J156=9,-$E156*$I156/12*2,IF($J156&gt;=10,-$E156*$I156/12*3,0))))))</f>
        <v>0</v>
      </c>
      <c r="DU156" s="1806">
        <f>IF($H156&lt;&gt;DV$5,0,IF(DV156&lt;0,IF(OR($J156=1,$J156=2,$J156=3,$J156=4,$J156=5,$J156=6,$J156=7,$J156=8,$J156=9,$J156=10),-$E156*$I156/12*3,IF($J156=11,-$E156*$I156/12*2,IF($J156=12,-$E156*$I156/12*1,0)))))+IF(DQ$5&lt;&gt;$H156,0,IF(DQ156&lt;0,IF($J156=10,-$E156*$I156/12*0,IF($J156=11,-$E156*$I156/12*1,IF($J156=12,-$E156*$I156/12*2,0)))))</f>
        <v>0</v>
      </c>
      <c r="DV156" s="1791">
        <f>IF(AND(DQ156&lt;&gt;0,DQ$5=$H156),-$I156*$E156-DQ156,IF(DV$5=$H156,-$I156*$E156*(12-$J156+1)/12,0))</f>
        <v>0</v>
      </c>
    </row>
    <row r="157" spans="1:126">
      <c r="A157" s="455"/>
      <c r="B157" s="455"/>
      <c r="C157" s="1363"/>
      <c r="D157" s="94"/>
      <c r="E157" s="1817"/>
      <c r="F157" s="1435"/>
      <c r="G157" s="1435"/>
      <c r="H157" s="1350"/>
      <c r="I157" s="1335"/>
      <c r="J157" s="1343"/>
      <c r="K157" s="1792"/>
      <c r="L157" s="1810"/>
      <c r="M157" s="1791"/>
      <c r="N157" s="1808"/>
      <c r="O157" s="1807"/>
      <c r="P157" s="1807"/>
      <c r="Q157" s="1806"/>
      <c r="R157" s="1791"/>
      <c r="S157" s="1808"/>
      <c r="T157" s="1807"/>
      <c r="U157" s="1807"/>
      <c r="V157" s="1806"/>
      <c r="W157" s="1791"/>
      <c r="X157" s="1808"/>
      <c r="Y157" s="1807"/>
      <c r="Z157" s="1807"/>
      <c r="AA157" s="1806"/>
      <c r="AB157" s="1791"/>
      <c r="AC157" s="1808"/>
      <c r="AD157" s="1807"/>
      <c r="AE157" s="1807"/>
      <c r="AF157" s="1806"/>
      <c r="AG157" s="1791"/>
      <c r="AH157" s="1808"/>
      <c r="AI157" s="1807"/>
      <c r="AJ157" s="1807"/>
      <c r="AK157" s="1806"/>
      <c r="AL157" s="1791"/>
      <c r="AM157" s="1808"/>
      <c r="AN157" s="1807"/>
      <c r="AO157" s="1807"/>
      <c r="AP157" s="1806"/>
      <c r="AQ157" s="1791"/>
      <c r="AR157" s="1808"/>
      <c r="AS157" s="1807"/>
      <c r="AT157" s="1807"/>
      <c r="AU157" s="1806"/>
      <c r="AV157" s="1791"/>
      <c r="AW157" s="1808"/>
      <c r="AX157" s="1807"/>
      <c r="AY157" s="1807"/>
      <c r="AZ157" s="1806"/>
      <c r="BA157" s="1791"/>
      <c r="BB157" s="1808"/>
      <c r="BC157" s="1807"/>
      <c r="BD157" s="1807"/>
      <c r="BE157" s="1806"/>
      <c r="BF157" s="1791"/>
      <c r="BG157" s="1808"/>
      <c r="BH157" s="1807"/>
      <c r="BI157" s="1807"/>
      <c r="BJ157" s="1806"/>
      <c r="BK157" s="1791"/>
      <c r="BL157" s="1808"/>
      <c r="BM157" s="1807"/>
      <c r="BN157" s="1807"/>
      <c r="BO157" s="1806"/>
      <c r="BP157" s="1791"/>
      <c r="BQ157" s="1827"/>
      <c r="BR157" s="1791"/>
      <c r="BS157" s="1791"/>
      <c r="BT157" s="1808"/>
      <c r="BU157" s="1807"/>
      <c r="BV157" s="1807"/>
      <c r="BW157" s="1806"/>
      <c r="BX157" s="1791"/>
      <c r="BY157" s="1808"/>
      <c r="BZ157" s="1807"/>
      <c r="CA157" s="1807"/>
      <c r="CB157" s="1806"/>
      <c r="CC157" s="1791"/>
      <c r="CD157" s="1808"/>
      <c r="CE157" s="1807"/>
      <c r="CF157" s="1807"/>
      <c r="CG157" s="1806"/>
      <c r="CH157" s="1791"/>
      <c r="CI157" s="1808"/>
      <c r="CJ157" s="1807"/>
      <c r="CK157" s="1807"/>
      <c r="CL157" s="1806"/>
      <c r="CM157" s="1791"/>
      <c r="CN157" s="1808"/>
      <c r="CO157" s="1807"/>
      <c r="CP157" s="1807"/>
      <c r="CQ157" s="1806"/>
      <c r="CR157" s="1791"/>
      <c r="CS157" s="1808"/>
      <c r="CT157" s="1807"/>
      <c r="CU157" s="1807"/>
      <c r="CV157" s="1806"/>
      <c r="CW157" s="1791"/>
      <c r="CX157" s="1808"/>
      <c r="CY157" s="1807"/>
      <c r="CZ157" s="1807"/>
      <c r="DA157" s="1806"/>
      <c r="DB157" s="1791"/>
      <c r="DC157" s="1808"/>
      <c r="DD157" s="1807"/>
      <c r="DE157" s="1807"/>
      <c r="DF157" s="1806"/>
      <c r="DG157" s="1791"/>
      <c r="DH157" s="1808"/>
      <c r="DI157" s="1807"/>
      <c r="DJ157" s="1807"/>
      <c r="DK157" s="1806"/>
      <c r="DL157" s="1791"/>
      <c r="DM157" s="1808"/>
      <c r="DN157" s="1807"/>
      <c r="DO157" s="1807"/>
      <c r="DP157" s="1806"/>
      <c r="DQ157" s="1791"/>
      <c r="DR157" s="1808"/>
      <c r="DS157" s="1807"/>
      <c r="DT157" s="1807"/>
      <c r="DU157" s="1806"/>
      <c r="DV157" s="1791"/>
    </row>
    <row r="158" spans="1:126">
      <c r="A158" s="455"/>
      <c r="B158" s="455"/>
      <c r="C158" s="1596" t="s">
        <v>746</v>
      </c>
      <c r="D158" s="94"/>
      <c r="E158" s="1817"/>
      <c r="F158" s="455"/>
      <c r="G158" s="455"/>
      <c r="H158" s="1597"/>
      <c r="I158" s="1598"/>
      <c r="J158" s="1599"/>
      <c r="K158" s="1792"/>
      <c r="L158" s="1810">
        <f t="shared" ref="L158:M159" si="2132">IF(L$5=$H158,-$E158,0)</f>
        <v>0</v>
      </c>
      <c r="M158" s="1791">
        <f t="shared" si="2132"/>
        <v>0</v>
      </c>
      <c r="N158" s="1808">
        <f>IF(R158=0,0,IF(R158&lt;0,IF($J158=3,R158,IF($J158=2,R158,IF($J158=1,R158,0)))))</f>
        <v>0</v>
      </c>
      <c r="O158" s="1807">
        <f>IF(R158=0,0,IF(R158&lt;0,IF($J158=6,R158,IF($J158=5,R158,IF($J158=4,R158,0)))))</f>
        <v>0</v>
      </c>
      <c r="P158" s="1807">
        <f>IF(R158=0,0,IF(R158&lt;0,IF($J158=9,R158,IF($J158=8,R158,IF($J158=7,R158,0)))))</f>
        <v>0</v>
      </c>
      <c r="Q158" s="1806">
        <f>IF(R158=0,0,IF(R158&lt;0,IF($J158=12,R158,IF($J158=11,R158,IF($J158=10,R158,0)))))</f>
        <v>0</v>
      </c>
      <c r="R158" s="1791">
        <f>IF(R$5=$H158,-$E158,0)</f>
        <v>0</v>
      </c>
      <c r="S158" s="1808">
        <f>IF(W158=0,0,IF(W158&lt;0,IF($J158=3,W158,IF($J158=2,W158,IF($J158=1,W158,0)))))</f>
        <v>0</v>
      </c>
      <c r="T158" s="1807">
        <f>IF(W158=0,0,IF(W158&lt;0,IF($J158=6,W158,IF($J158=5,W158,IF($J158=4,W158,0)))))</f>
        <v>0</v>
      </c>
      <c r="U158" s="1807">
        <f>IF(W158=0,0,IF(W158&lt;0,IF($J158=9,W158,IF($J158=8,W158,IF($J158=7,W158,0)))))</f>
        <v>0</v>
      </c>
      <c r="V158" s="1806">
        <f>IF(W158=0,0,IF(W158&lt;0,IF($J158=12,W158,IF($J158=11,W158,IF($J158=10,W158,0)))))</f>
        <v>0</v>
      </c>
      <c r="W158" s="1791">
        <f>IF(W$5=$H158,-$E158,0)</f>
        <v>0</v>
      </c>
      <c r="X158" s="1808">
        <f>IF(AB158=0,0,IF(AB158&lt;0,IF($J158=3,AB158,IF($J158=2,AB158,IF($J158=1,AB158,0)))))</f>
        <v>0</v>
      </c>
      <c r="Y158" s="1807">
        <f>IF(AB158=0,0,IF(AB158&lt;0,IF($J158=6,AB158,IF($J158=5,AB158,IF($J158=4,AB158,0)))))</f>
        <v>0</v>
      </c>
      <c r="Z158" s="1807">
        <f>IF(AB158=0,0,IF(AB158&lt;0,IF($J158=9,AB158,IF($J158=8,AB158,IF($J158=7,AB158,0)))))</f>
        <v>0</v>
      </c>
      <c r="AA158" s="1806">
        <f>IF(AB158=0,0,IF(AB158&lt;0,IF($J158=12,AB158,IF($J158=11,AB158,IF($J158=10,AB158,0)))))</f>
        <v>0</v>
      </c>
      <c r="AB158" s="1791">
        <f>IF(AB$5=$H158,-$E158,0)</f>
        <v>0</v>
      </c>
      <c r="AC158" s="1808">
        <f>IF(AG158=0,0,IF(AG158&lt;0,IF($J158=3,AG158,IF($J158=2,AG158,IF($J158=1,AG158,0)))))</f>
        <v>0</v>
      </c>
      <c r="AD158" s="1807">
        <f>IF(AG158=0,0,IF(AG158&lt;0,IF($J158=6,AG158,IF($J158=5,AG158,IF($J158=4,AG158,0)))))</f>
        <v>0</v>
      </c>
      <c r="AE158" s="1807">
        <f>IF(AG158=0,0,IF(AG158&lt;0,IF($J158=9,AG158,IF($J158=8,AG158,IF($J158=7,AG158,0)))))</f>
        <v>0</v>
      </c>
      <c r="AF158" s="1806">
        <f>IF(AG158=0,0,IF(AG158&lt;0,IF($J158=12,AG158,IF($J158=11,AG158,IF($J158=10,AG158,0)))))</f>
        <v>0</v>
      </c>
      <c r="AG158" s="1791">
        <f>IF(AG$5=$H158,-$E158,0)</f>
        <v>0</v>
      </c>
      <c r="AH158" s="1808">
        <f>IF(AL158=0,0,IF(AL158&lt;0,IF($J158=3,AL158,IF($J158=2,AL158,IF($J158=1,AL158,0)))))</f>
        <v>0</v>
      </c>
      <c r="AI158" s="1807">
        <f>IF(AL158=0,0,IF(AL158&lt;0,IF($J158=6,AL158,IF($J158=5,AL158,IF($J158=4,AL158,0)))))</f>
        <v>0</v>
      </c>
      <c r="AJ158" s="1807">
        <f>IF(AL158=0,0,IF(AL158&lt;0,IF($J158=9,AL158,IF($J158=8,AL158,IF($J158=7,AL158,0)))))</f>
        <v>0</v>
      </c>
      <c r="AK158" s="1806">
        <f>IF(AL158=0,0,IF(AL158&lt;0,IF($J158=12,AL158,IF($J158=11,AL158,IF($J158=10,AL158,0)))))</f>
        <v>0</v>
      </c>
      <c r="AL158" s="1791">
        <f>IF(AL$5=$H158,-$E158,0)</f>
        <v>0</v>
      </c>
      <c r="AM158" s="1808">
        <f>IF(AQ158=0,0,IF(AQ158&lt;0,IF($J158=3,AQ158,IF($J158=2,AQ158,IF($J158=1,AQ158,0)))))</f>
        <v>0</v>
      </c>
      <c r="AN158" s="1807">
        <f>IF(AQ158=0,0,IF(AQ158&lt;0,IF($J158=6,AQ158,IF($J158=5,AQ158,IF($J158=4,AQ158,0)))))</f>
        <v>0</v>
      </c>
      <c r="AO158" s="1807">
        <f>IF(AQ158=0,0,IF(AQ158&lt;0,IF($J158=9,AQ158,IF($J158=8,AQ158,IF($J158=7,AQ158,0)))))</f>
        <v>0</v>
      </c>
      <c r="AP158" s="1806">
        <f>IF(AQ158=0,0,IF(AQ158&lt;0,IF($J158=12,AQ158,IF($J158=11,AQ158,IF($J158=10,AQ158,0)))))</f>
        <v>0</v>
      </c>
      <c r="AQ158" s="1791">
        <f>IF(AQ$5=$H158,-$E158,0)</f>
        <v>0</v>
      </c>
      <c r="AR158" s="1808">
        <f>IF(AV158=0,0,IF(AV158&lt;0,IF($J158=3,AV158,IF($J158=2,AV158,IF($J158=1,AV158,0)))))</f>
        <v>0</v>
      </c>
      <c r="AS158" s="1807">
        <f>IF(AV158=0,0,IF(AV158&lt;0,IF($J158=6,AV158,IF($J158=5,AV158,IF($J158=4,AV158,0)))))</f>
        <v>0</v>
      </c>
      <c r="AT158" s="1807">
        <f>IF(AV158=0,0,IF(AV158&lt;0,IF($J158=9,AV158,IF($J158=8,AV158,IF($J158=7,AV158,0)))))</f>
        <v>0</v>
      </c>
      <c r="AU158" s="1806">
        <f>IF(AV158=0,0,IF(AV158&lt;0,IF($J158=12,AV158,IF($J158=11,AV158,IF($J158=10,AV158,0)))))</f>
        <v>0</v>
      </c>
      <c r="AV158" s="1791">
        <f>IF(AV$5=$H158,-$E158,0)</f>
        <v>0</v>
      </c>
      <c r="AW158" s="1808">
        <f>IF(BA158=0,0,IF(BA158&lt;0,IF($J158=3,BA158,IF($J158=2,BA158,IF($J158=1,BA158,0)))))</f>
        <v>0</v>
      </c>
      <c r="AX158" s="1807">
        <f>IF(BA158=0,0,IF(BA158&lt;0,IF($J158=6,BA158,IF($J158=5,BA158,IF($J158=4,BA158,0)))))</f>
        <v>0</v>
      </c>
      <c r="AY158" s="1807">
        <f>IF(BA158=0,0,IF(BA158&lt;0,IF($J158=9,BA158,IF($J158=8,BA158,IF($J158=7,BA158,0)))))</f>
        <v>0</v>
      </c>
      <c r="AZ158" s="1806">
        <f>IF(BA158=0,0,IF(BA158&lt;0,IF($J158=12,BA158,IF($J158=11,BA158,IF($J158=10,BA158,0)))))</f>
        <v>0</v>
      </c>
      <c r="BA158" s="1791">
        <f>IF(BA$5=$H158,-$E158,0)</f>
        <v>0</v>
      </c>
      <c r="BB158" s="1808">
        <f>IF(BF158=0,0,IF(BF158&lt;0,IF($J158=3,BF158,IF($J158=2,BF158,IF($J158=1,BF158,0)))))</f>
        <v>0</v>
      </c>
      <c r="BC158" s="1807">
        <f>IF(BF158=0,0,IF(BF158&lt;0,IF($J158=6,BF158,IF($J158=5,BF158,IF($J158=4,BF158,0)))))</f>
        <v>0</v>
      </c>
      <c r="BD158" s="1807">
        <f>IF(BF158=0,0,IF(BF158&lt;0,IF($J158=9,BF158,IF($J158=8,BF158,IF($J158=7,BF158,0)))))</f>
        <v>0</v>
      </c>
      <c r="BE158" s="1806">
        <f>IF(BF158=0,0,IF(BF158&lt;0,IF($J158=12,BF158,IF($J158=11,BF158,IF($J158=10,BF158,0)))))</f>
        <v>0</v>
      </c>
      <c r="BF158" s="1791">
        <f>IF(BF$5=$H158,-$E158,0)</f>
        <v>0</v>
      </c>
      <c r="BG158" s="1808">
        <f>IF(BK158=0,0,IF(BK158&lt;0,IF($J158=3,BK158,IF($J158=2,BK158,IF($J158=1,BK158,0)))))</f>
        <v>0</v>
      </c>
      <c r="BH158" s="1807">
        <f>IF(BK158=0,0,IF(BK158&lt;0,IF($J158=6,BK158,IF($J158=5,BK158,IF($J158=4,BK158,0)))))</f>
        <v>0</v>
      </c>
      <c r="BI158" s="1807">
        <f>IF(BK158=0,0,IF(BK158&lt;0,IF($J158=9,BK158,IF($J158=8,BK158,IF($J158=7,BK158,0)))))</f>
        <v>0</v>
      </c>
      <c r="BJ158" s="1806">
        <f>IF(BK158=0,0,IF(BK158&lt;0,IF($J158=12,BK158,IF($J158=11,BK158,IF($J158=10,BK158,0)))))</f>
        <v>0</v>
      </c>
      <c r="BK158" s="1791">
        <f>IF(BK$5=$H158,-$E158,0)</f>
        <v>0</v>
      </c>
      <c r="BL158" s="1808">
        <f>IF(BP158=0,0,IF(BP158&lt;0,IF($J158=3,BP158,IF($J158=2,BP158,IF($J158=1,BP158,0)))))</f>
        <v>0</v>
      </c>
      <c r="BM158" s="1807">
        <f>IF(BP158=0,0,IF(BP158&lt;0,IF($J158=6,BP158,IF($J158=5,BP158,IF($J158=4,BP158,0)))))</f>
        <v>0</v>
      </c>
      <c r="BN158" s="1807">
        <f>IF(BP158=0,0,IF(BP158&lt;0,IF($J158=9,BP158,IF($J158=8,BP158,IF($J158=7,BP158,0)))))</f>
        <v>0</v>
      </c>
      <c r="BO158" s="1806">
        <f>IF(BP158=0,0,IF(BP158&lt;0,IF($J158=12,BP158,IF($J158=11,BP158,IF($J158=10,BP158,0)))))</f>
        <v>0</v>
      </c>
      <c r="BP158" s="1791">
        <f>IF(BP$5=$H158,-$E158,0)</f>
        <v>0</v>
      </c>
      <c r="BQ158" s="1827"/>
      <c r="BR158" s="1791">
        <f t="shared" ref="BR158:BS159" si="2133">IF(AND(BQ158&lt;&gt;0,BQ$5=$H158),-$I158*$E158-BQ158,IF(BR$5=$H158,-$I158*$E158*(12-$J158+1)/12,0))</f>
        <v>0</v>
      </c>
      <c r="BS158" s="1791">
        <f t="shared" si="2133"/>
        <v>0</v>
      </c>
      <c r="BT158" s="1808">
        <f>IF($H158&lt;&gt;BX$5,0,IF(BX158&lt;0,IF($J158=1,-$E158*$I158/12*3,IF($J158=2,-$E158*$I158/12*2,IF($J158=3,-$E158*$I158/12*1,0)))))+IF(BS$5&lt;&gt;$H158,0,IF(BS158&lt;0,IF($J158=1,-$E158*$I158/12*0,IF($J158=2,-$E158*$I158/12*1,IF($J158=3,-$E158*$I158/12*2,IF($J158&gt;=4,-$E158*$I158/12*3,0))))))</f>
        <v>0</v>
      </c>
      <c r="BU158" s="1807">
        <f>IF($H158&lt;&gt;BX$5,0,IF(BX158&lt;0,IF(OR($J158=1,$J158=2,$J158=3,$J158=4),-$E158*$I158/12*3,IF($J158=5,-$E158*$I158/12*2,IF($J158=6,-$E158*$I158/12*1,0)))))+IF(BS$5&lt;&gt;$H158,0,IF(BS158&lt;0,IF($J158=4,-$E158*$I158/12*0,IF($J158=5,-$E158*$I158/12*1,IF($J158=6,-$E158*$I158/12*2,IF($J158&gt;=7,-$E158*$I158/12*3,0))))))</f>
        <v>0</v>
      </c>
      <c r="BV158" s="1807">
        <f>IF($H158&lt;&gt;BX$5,0,IF(BX158&lt;0,IF(OR($J158=1,$J158=2,$J158=3,$J158=4,$J158=5,$J158=6,$J158=7),-$E158*$I158/12*3,IF($J158=8,-$E158*$I158/12*2,IF($J158=9,-$E158*$I158/12*1,0)))))+IF(BS$5&lt;&gt;$H158,0,IF(BS158&lt;0,IF($J158=7,-$E158*$I158/12*0,IF($J158=8,-$E158*$I158/12*1,IF($J158=9,-$E158*$I158/12*2,IF($J158&gt;=10,-$E158*$I158/12*3,0))))))</f>
        <v>0</v>
      </c>
      <c r="BW158" s="1806">
        <f>IF($H158&lt;&gt;BX$5,0,IF(BX158&lt;0,IF(OR($J158=1,$J158=2,$J158=3,$J158=4,$J158=5,$J158=6,$J158=7,$J158=8,$J158=9,$J158=10),-$E158*$I158/12*3,IF($J158=11,-$E158*$I158/12*2,IF($J158=12,-$E158*$I158/12*1,0)))))+IF(BS$5&lt;&gt;$H158,0,IF(BS158&lt;0,IF($J158=10,-$E158*$I158/12*0,IF($J158=11,-$E158*$I158/12*1,IF($J158=12,-$E158*$I158/12*2,0)))))</f>
        <v>0</v>
      </c>
      <c r="BX158" s="1791">
        <f>IF(AND(BS158&lt;&gt;0,BS$5=$H158),-$I158*$E158-BS158,IF(BX$5=$H158,-$I158*$E158*(12-$J158+1)/12,0))</f>
        <v>0</v>
      </c>
      <c r="BY158" s="1808">
        <f>IF($H158&lt;&gt;CC$5,0,IF(CC158&lt;0,IF($J158=1,-$E158*$I158/12*3,IF($J158=2,-$E158*$I158/12*2,IF($J158=3,-$E158*$I158/12*1,0)))))+IF(BX$5&lt;&gt;$H158,0,IF(BX158&lt;0,IF($J158=1,-$E158*$I158/12*0,IF($J158=2,-$E158*$I158/12*1,IF($J158=3,-$E158*$I158/12*2,IF($J158&gt;=4,-$E158*$I158/12*3,0))))))</f>
        <v>0</v>
      </c>
      <c r="BZ158" s="1807">
        <f>IF($H158&lt;&gt;CC$5,0,IF(CC158&lt;0,IF(OR($J158=1,$J158=2,$J158=3,$J158=4),-$E158*$I158/12*3,IF($J158=5,-$E158*$I158/12*2,IF($J158=6,-$E158*$I158/12*1,0)))))+IF(BX$5&lt;&gt;$H158,0,IF(BX158&lt;0,IF($J158=4,-$E158*$I158/12*0,IF($J158=5,-$E158*$I158/12*1,IF($J158=6,-$E158*$I158/12*2,IF($J158&gt;=7,-$E158*$I158/12*3,0))))))</f>
        <v>0</v>
      </c>
      <c r="CA158" s="1807">
        <f>IF($H158&lt;&gt;CC$5,0,IF(CC158&lt;0,IF(OR($J158=1,$J158=2,$J158=3,$J158=4,$J158=5,$J158=6,$J158=7),-$E158*$I158/12*3,IF($J158=8,-$E158*$I158/12*2,IF($J158=9,-$E158*$I158/12*1,0)))))+IF(BX$5&lt;&gt;$H158,0,IF(BX158&lt;0,IF($J158=7,-$E158*$I158/12*0,IF($J158=8,-$E158*$I158/12*1,IF($J158=9,-$E158*$I158/12*2,IF($J158&gt;=10,-$E158*$I158/12*3,0))))))</f>
        <v>0</v>
      </c>
      <c r="CB158" s="1806">
        <f>IF($H158&lt;&gt;CC$5,0,IF(CC158&lt;0,IF(OR($J158=1,$J158=2,$J158=3,$J158=4,$J158=5,$J158=6,$J158=7,$J158=8,$J158=9,$J158=10),-$E158*$I158/12*3,IF($J158=11,-$E158*$I158/12*2,IF($J158=12,-$E158*$I158/12*1,0)))))+IF(BX$5&lt;&gt;$H158,0,IF(BX158&lt;0,IF($J158=10,-$E158*$I158/12*0,IF($J158=11,-$E158*$I158/12*1,IF($J158=12,-$E158*$I158/12*2,0)))))</f>
        <v>0</v>
      </c>
      <c r="CC158" s="1791">
        <f>IF(AND(BX158&lt;&gt;0,BX$5=$H158),-$I158*$E158-BX158,IF(CC$5=$H158,-$I158*$E158*(12-$J158+1)/12,0))</f>
        <v>0</v>
      </c>
      <c r="CD158" s="1808">
        <f>IF($H158&lt;&gt;CH$5,0,IF(CH158&lt;0,IF($J158=1,-$E158*$I158/12*3,IF($J158=2,-$E158*$I158/12*2,IF($J158=3,-$E158*$I158/12*1,0)))))+IF(CC$5&lt;&gt;$H158,0,IF(CC158&lt;0,IF($J158=1,-$E158*$I158/12*0,IF($J158=2,-$E158*$I158/12*1,IF($J158=3,-$E158*$I158/12*2,IF($J158&gt;=4,-$E158*$I158/12*3,0))))))</f>
        <v>0</v>
      </c>
      <c r="CE158" s="1807">
        <f>IF($H158&lt;&gt;CH$5,0,IF(CH158&lt;0,IF(OR($J158=1,$J158=2,$J158=3,$J158=4),-$E158*$I158/12*3,IF($J158=5,-$E158*$I158/12*2,IF($J158=6,-$E158*$I158/12*1,0)))))+IF(CC$5&lt;&gt;$H158,0,IF(CC158&lt;0,IF($J158=4,-$E158*$I158/12*0,IF($J158=5,-$E158*$I158/12*1,IF($J158=6,-$E158*$I158/12*2,IF($J158&gt;=7,-$E158*$I158/12*3,0))))))</f>
        <v>0</v>
      </c>
      <c r="CF158" s="1807">
        <f>IF($H158&lt;&gt;CH$5,0,IF(CH158&lt;0,IF(OR($J158=1,$J158=2,$J158=3,$J158=4,$J158=5,$J158=6,$J158=7),-$E158*$I158/12*3,IF($J158=8,-$E158*$I158/12*2,IF($J158=9,-$E158*$I158/12*1,0)))))+IF(CC$5&lt;&gt;$H158,0,IF(CC158&lt;0,IF($J158=7,-$E158*$I158/12*0,IF($J158=8,-$E158*$I158/12*1,IF($J158=9,-$E158*$I158/12*2,IF($J158&gt;=10,-$E158*$I158/12*3,0))))))</f>
        <v>0</v>
      </c>
      <c r="CG158" s="1806">
        <f>IF($H158&lt;&gt;CH$5,0,IF(CH158&lt;0,IF(OR($J158=1,$J158=2,$J158=3,$J158=4,$J158=5,$J158=6,$J158=7,$J158=8,$J158=9,$J158=10),-$E158*$I158/12*3,IF($J158=11,-$E158*$I158/12*2,IF($J158=12,-$E158*$I158/12*1,0)))))+IF(CC$5&lt;&gt;$H158,0,IF(CC158&lt;0,IF($J158=10,-$E158*$I158/12*0,IF($J158=11,-$E158*$I158/12*1,IF($J158=12,-$E158*$I158/12*2,0)))))</f>
        <v>0</v>
      </c>
      <c r="CH158" s="1791">
        <f>IF(AND(CC158&lt;&gt;0,CC$5=$H158),-$I158*$E158-CC158,IF(CH$5=$H158,-$I158*$E158*(12-$J158+1)/12,0))</f>
        <v>0</v>
      </c>
      <c r="CI158" s="1808">
        <f>IF($H158&lt;&gt;CM$5,0,IF(CM158&lt;0,IF($J158=1,-$E158*$I158/12*3,IF($J158=2,-$E158*$I158/12*2,IF($J158=3,-$E158*$I158/12*1,0)))))+IF(CH$5&lt;&gt;$H158,0,IF(CH158&lt;0,IF($J158=1,-$E158*$I158/12*0,IF($J158=2,-$E158*$I158/12*1,IF($J158=3,-$E158*$I158/12*2,IF($J158&gt;=4,-$E158*$I158/12*3,0))))))</f>
        <v>0</v>
      </c>
      <c r="CJ158" s="1807">
        <f>IF($H158&lt;&gt;CM$5,0,IF(CM158&lt;0,IF(OR($J158=1,$J158=2,$J158=3,$J158=4),-$E158*$I158/12*3,IF($J158=5,-$E158*$I158/12*2,IF($J158=6,-$E158*$I158/12*1,0)))))+IF(CH$5&lt;&gt;$H158,0,IF(CH158&lt;0,IF($J158=4,-$E158*$I158/12*0,IF($J158=5,-$E158*$I158/12*1,IF($J158=6,-$E158*$I158/12*2,IF($J158&gt;=7,-$E158*$I158/12*3,0))))))</f>
        <v>0</v>
      </c>
      <c r="CK158" s="1807">
        <f>IF($H158&lt;&gt;CM$5,0,IF(CM158&lt;0,IF(OR($J158=1,$J158=2,$J158=3,$J158=4,$J158=5,$J158=6,$J158=7),-$E158*$I158/12*3,IF($J158=8,-$E158*$I158/12*2,IF($J158=9,-$E158*$I158/12*1,0)))))+IF(CH$5&lt;&gt;$H158,0,IF(CH158&lt;0,IF($J158=7,-$E158*$I158/12*0,IF($J158=8,-$E158*$I158/12*1,IF($J158=9,-$E158*$I158/12*2,IF($J158&gt;=10,-$E158*$I158/12*3,0))))))</f>
        <v>0</v>
      </c>
      <c r="CL158" s="1806">
        <f>IF($H158&lt;&gt;CM$5,0,IF(CM158&lt;0,IF(OR($J158=1,$J158=2,$J158=3,$J158=4,$J158=5,$J158=6,$J158=7,$J158=8,$J158=9,$J158=10),-$E158*$I158/12*3,IF($J158=11,-$E158*$I158/12*2,IF($J158=12,-$E158*$I158/12*1,0)))))+IF(CH$5&lt;&gt;$H158,0,IF(CH158&lt;0,IF($J158=10,-$E158*$I158/12*0,IF($J158=11,-$E158*$I158/12*1,IF($J158=12,-$E158*$I158/12*2,0)))))</f>
        <v>0</v>
      </c>
      <c r="CM158" s="1791">
        <f>IF(AND(CH158&lt;&gt;0,CH$5=$H158),-$I158*$E158-CH158,IF(CM$5=$H158,-$I158*$E158*(12-$J158+1)/12,0))</f>
        <v>0</v>
      </c>
      <c r="CN158" s="1808">
        <f>IF($H158&lt;&gt;CR$5,0,IF(CR158&lt;0,IF($J158=1,-$E158*$I158/12*3,IF($J158=2,-$E158*$I158/12*2,IF($J158=3,-$E158*$I158/12*1,0)))))+IF(CM$5&lt;&gt;$H158,0,IF(CM158&lt;0,IF($J158=1,-$E158*$I158/12*0,IF($J158=2,-$E158*$I158/12*1,IF($J158=3,-$E158*$I158/12*2,IF($J158&gt;=4,-$E158*$I158/12*3,0))))))</f>
        <v>0</v>
      </c>
      <c r="CO158" s="1807">
        <f>IF($H158&lt;&gt;CR$5,0,IF(CR158&lt;0,IF(OR($J158=1,$J158=2,$J158=3,$J158=4),-$E158*$I158/12*3,IF($J158=5,-$E158*$I158/12*2,IF($J158=6,-$E158*$I158/12*1,0)))))+IF(CM$5&lt;&gt;$H158,0,IF(CM158&lt;0,IF($J158=4,-$E158*$I158/12*0,IF($J158=5,-$E158*$I158/12*1,IF($J158=6,-$E158*$I158/12*2,IF($J158&gt;=7,-$E158*$I158/12*3,0))))))</f>
        <v>0</v>
      </c>
      <c r="CP158" s="1807">
        <f>IF($H158&lt;&gt;CR$5,0,IF(CR158&lt;0,IF(OR($J158=1,$J158=2,$J158=3,$J158=4,$J158=5,$J158=6,$J158=7),-$E158*$I158/12*3,IF($J158=8,-$E158*$I158/12*2,IF($J158=9,-$E158*$I158/12*1,0)))))+IF(CM$5&lt;&gt;$H158,0,IF(CM158&lt;0,IF($J158=7,-$E158*$I158/12*0,IF($J158=8,-$E158*$I158/12*1,IF($J158=9,-$E158*$I158/12*2,IF($J158&gt;=10,-$E158*$I158/12*3,0))))))</f>
        <v>0</v>
      </c>
      <c r="CQ158" s="1806">
        <f>IF($H158&lt;&gt;CR$5,0,IF(CR158&lt;0,IF(OR($J158=1,$J158=2,$J158=3,$J158=4,$J158=5,$J158=6,$J158=7,$J158=8,$J158=9,$J158=10),-$E158*$I158/12*3,IF($J158=11,-$E158*$I158/12*2,IF($J158=12,-$E158*$I158/12*1,0)))))+IF(CM$5&lt;&gt;$H158,0,IF(CM158&lt;0,IF($J158=10,-$E158*$I158/12*0,IF($J158=11,-$E158*$I158/12*1,IF($J158=12,-$E158*$I158/12*2,0)))))</f>
        <v>0</v>
      </c>
      <c r="CR158" s="1791">
        <f>IF(AND(CM158&lt;&gt;0,CM$5=$H158),-$I158*$E158-CM158,IF(CR$5=$H158,-$I158*$E158*(12-$J158+1)/12,0))</f>
        <v>0</v>
      </c>
      <c r="CS158" s="1808">
        <f>IF($H158&lt;&gt;CW$5,0,IF(CW158&lt;0,IF($J158=1,-$E158*$I158/12*3,IF($J158=2,-$E158*$I158/12*2,IF($J158=3,-$E158*$I158/12*1,0)))))+IF(CR$5&lt;&gt;$H158,0,IF(CR158&lt;0,IF($J158=1,-$E158*$I158/12*0,IF($J158=2,-$E158*$I158/12*1,IF($J158=3,-$E158*$I158/12*2,IF($J158&gt;=4,-$E158*$I158/12*3,0))))))</f>
        <v>0</v>
      </c>
      <c r="CT158" s="1807">
        <f>IF($H158&lt;&gt;CW$5,0,IF(CW158&lt;0,IF(OR($J158=1,$J158=2,$J158=3,$J158=4),-$E158*$I158/12*3,IF($J158=5,-$E158*$I158/12*2,IF($J158=6,-$E158*$I158/12*1,0)))))+IF(CR$5&lt;&gt;$H158,0,IF(CR158&lt;0,IF($J158=4,-$E158*$I158/12*0,IF($J158=5,-$E158*$I158/12*1,IF($J158=6,-$E158*$I158/12*2,IF($J158&gt;=7,-$E158*$I158/12*3,0))))))</f>
        <v>0</v>
      </c>
      <c r="CU158" s="1807">
        <f>IF($H158&lt;&gt;CW$5,0,IF(CW158&lt;0,IF(OR($J158=1,$J158=2,$J158=3,$J158=4,$J158=5,$J158=6,$J158=7),-$E158*$I158/12*3,IF($J158=8,-$E158*$I158/12*2,IF($J158=9,-$E158*$I158/12*1,0)))))+IF(CR$5&lt;&gt;$H158,0,IF(CR158&lt;0,IF($J158=7,-$E158*$I158/12*0,IF($J158=8,-$E158*$I158/12*1,IF($J158=9,-$E158*$I158/12*2,IF($J158&gt;=10,-$E158*$I158/12*3,0))))))</f>
        <v>0</v>
      </c>
      <c r="CV158" s="1806">
        <f>IF($H158&lt;&gt;CW$5,0,IF(CW158&lt;0,IF(OR($J158=1,$J158=2,$J158=3,$J158=4,$J158=5,$J158=6,$J158=7,$J158=8,$J158=9,$J158=10),-$E158*$I158/12*3,IF($J158=11,-$E158*$I158/12*2,IF($J158=12,-$E158*$I158/12*1,0)))))+IF(CR$5&lt;&gt;$H158,0,IF(CR158&lt;0,IF($J158=10,-$E158*$I158/12*0,IF($J158=11,-$E158*$I158/12*1,IF($J158=12,-$E158*$I158/12*2,0)))))</f>
        <v>0</v>
      </c>
      <c r="CW158" s="1791">
        <f>IF(AND(CR158&lt;&gt;0,CR$5=$H158),-$I158*$E158-CR158,IF(CW$5=$H158,-$I158*$E158*(12-$J158+1)/12,0))</f>
        <v>0</v>
      </c>
      <c r="CX158" s="1808">
        <f>IF($H158&lt;&gt;DB$5,0,IF(DB158&lt;0,IF($J158=1,-$E158*$I158/12*3,IF($J158=2,-$E158*$I158/12*2,IF($J158=3,-$E158*$I158/12*1,0)))))+IF(CW$5&lt;&gt;$H158,0,IF(CW158&lt;0,IF($J158=1,-$E158*$I158/12*0,IF($J158=2,-$E158*$I158/12*1,IF($J158=3,-$E158*$I158/12*2,IF($J158&gt;=4,-$E158*$I158/12*3,0))))))</f>
        <v>0</v>
      </c>
      <c r="CY158" s="1807">
        <f>IF($H158&lt;&gt;DB$5,0,IF(DB158&lt;0,IF(OR($J158=1,$J158=2,$J158=3,$J158=4),-$E158*$I158/12*3,IF($J158=5,-$E158*$I158/12*2,IF($J158=6,-$E158*$I158/12*1,0)))))+IF(CW$5&lt;&gt;$H158,0,IF(CW158&lt;0,IF($J158=4,-$E158*$I158/12*0,IF($J158=5,-$E158*$I158/12*1,IF($J158=6,-$E158*$I158/12*2,IF($J158&gt;=7,-$E158*$I158/12*3,0))))))</f>
        <v>0</v>
      </c>
      <c r="CZ158" s="1807">
        <f>IF($H158&lt;&gt;DB$5,0,IF(DB158&lt;0,IF(OR($J158=1,$J158=2,$J158=3,$J158=4,$J158=5,$J158=6,$J158=7),-$E158*$I158/12*3,IF($J158=8,-$E158*$I158/12*2,IF($J158=9,-$E158*$I158/12*1,0)))))+IF(CW$5&lt;&gt;$H158,0,IF(CW158&lt;0,IF($J158=7,-$E158*$I158/12*0,IF($J158=8,-$E158*$I158/12*1,IF($J158=9,-$E158*$I158/12*2,IF($J158&gt;=10,-$E158*$I158/12*3,0))))))</f>
        <v>0</v>
      </c>
      <c r="DA158" s="1806">
        <f>IF($H158&lt;&gt;DB$5,0,IF(DB158&lt;0,IF(OR($J158=1,$J158=2,$J158=3,$J158=4,$J158=5,$J158=6,$J158=7,$J158=8,$J158=9,$J158=10),-$E158*$I158/12*3,IF($J158=11,-$E158*$I158/12*2,IF($J158=12,-$E158*$I158/12*1,0)))))+IF(CW$5&lt;&gt;$H158,0,IF(CW158&lt;0,IF($J158=10,-$E158*$I158/12*0,IF($J158=11,-$E158*$I158/12*1,IF($J158=12,-$E158*$I158/12*2,0)))))</f>
        <v>0</v>
      </c>
      <c r="DB158" s="1791">
        <f>IF(AND(CW158&lt;&gt;0,CW$5=$H158),-$I158*$E158-CW158,IF(DB$5=$H158,-$I158*$E158*(12-$J158+1)/12,0))</f>
        <v>0</v>
      </c>
      <c r="DC158" s="1808">
        <f>IF($H158&lt;&gt;DG$5,0,IF(DG158&lt;0,IF($J158=1,-$E158*$I158/12*3,IF($J158=2,-$E158*$I158/12*2,IF($J158=3,-$E158*$I158/12*1,0)))))+IF(DB$5&lt;&gt;$H158,0,IF(DB158&lt;0,IF($J158=1,-$E158*$I158/12*0,IF($J158=2,-$E158*$I158/12*1,IF($J158=3,-$E158*$I158/12*2,IF($J158&gt;=4,-$E158*$I158/12*3,0))))))</f>
        <v>0</v>
      </c>
      <c r="DD158" s="1807">
        <f>IF($H158&lt;&gt;DG$5,0,IF(DG158&lt;0,IF(OR($J158=1,$J158=2,$J158=3,$J158=4),-$E158*$I158/12*3,IF($J158=5,-$E158*$I158/12*2,IF($J158=6,-$E158*$I158/12*1,0)))))+IF(DB$5&lt;&gt;$H158,0,IF(DB158&lt;0,IF($J158=4,-$E158*$I158/12*0,IF($J158=5,-$E158*$I158/12*1,IF($J158=6,-$E158*$I158/12*2,IF($J158&gt;=7,-$E158*$I158/12*3,0))))))</f>
        <v>0</v>
      </c>
      <c r="DE158" s="1807">
        <f>IF($H158&lt;&gt;DG$5,0,IF(DG158&lt;0,IF(OR($J158=1,$J158=2,$J158=3,$J158=4,$J158=5,$J158=6,$J158=7),-$E158*$I158/12*3,IF($J158=8,-$E158*$I158/12*2,IF($J158=9,-$E158*$I158/12*1,0)))))+IF(DB$5&lt;&gt;$H158,0,IF(DB158&lt;0,IF($J158=7,-$E158*$I158/12*0,IF($J158=8,-$E158*$I158/12*1,IF($J158=9,-$E158*$I158/12*2,IF($J158&gt;=10,-$E158*$I158/12*3,0))))))</f>
        <v>0</v>
      </c>
      <c r="DF158" s="1806">
        <f>IF($H158&lt;&gt;DG$5,0,IF(DG158&lt;0,IF(OR($J158=1,$J158=2,$J158=3,$J158=4,$J158=5,$J158=6,$J158=7,$J158=8,$J158=9,$J158=10),-$E158*$I158/12*3,IF($J158=11,-$E158*$I158/12*2,IF($J158=12,-$E158*$I158/12*1,0)))))+IF(DB$5&lt;&gt;$H158,0,IF(DB158&lt;0,IF($J158=10,-$E158*$I158/12*0,IF($J158=11,-$E158*$I158/12*1,IF($J158=12,-$E158*$I158/12*2,0)))))</f>
        <v>0</v>
      </c>
      <c r="DG158" s="1791">
        <f>IF(AND(DB158&lt;&gt;0,DB$5=$H158),-$I158*$E158-DB158,IF(DG$5=$H158,-$I158*$E158*(12-$J158+1)/12,0))</f>
        <v>0</v>
      </c>
      <c r="DH158" s="1808">
        <f>IF($H158&lt;&gt;DL$5,0,IF(DL158&lt;0,IF($J158=1,-$E158*$I158/12*3,IF($J158=2,-$E158*$I158/12*2,IF($J158=3,-$E158*$I158/12*1,0)))))+IF(DG$5&lt;&gt;$H158,0,IF(DG158&lt;0,IF($J158=1,-$E158*$I158/12*0,IF($J158=2,-$E158*$I158/12*1,IF($J158=3,-$E158*$I158/12*2,IF($J158&gt;=4,-$E158*$I158/12*3,0))))))</f>
        <v>0</v>
      </c>
      <c r="DI158" s="1807">
        <f>IF($H158&lt;&gt;DL$5,0,IF(DL158&lt;0,IF(OR($J158=1,$J158=2,$J158=3,$J158=4),-$E158*$I158/12*3,IF($J158=5,-$E158*$I158/12*2,IF($J158=6,-$E158*$I158/12*1,0)))))+IF(DG$5&lt;&gt;$H158,0,IF(DG158&lt;0,IF($J158=4,-$E158*$I158/12*0,IF($J158=5,-$E158*$I158/12*1,IF($J158=6,-$E158*$I158/12*2,IF($J158&gt;=7,-$E158*$I158/12*3,0))))))</f>
        <v>0</v>
      </c>
      <c r="DJ158" s="1807">
        <f>IF($H158&lt;&gt;DL$5,0,IF(DL158&lt;0,IF(OR($J158=1,$J158=2,$J158=3,$J158=4,$J158=5,$J158=6,$J158=7),-$E158*$I158/12*3,IF($J158=8,-$E158*$I158/12*2,IF($J158=9,-$E158*$I158/12*1,0)))))+IF(DG$5&lt;&gt;$H158,0,IF(DG158&lt;0,IF($J158=7,-$E158*$I158/12*0,IF($J158=8,-$E158*$I158/12*1,IF($J158=9,-$E158*$I158/12*2,IF($J158&gt;=10,-$E158*$I158/12*3,0))))))</f>
        <v>0</v>
      </c>
      <c r="DK158" s="1806">
        <f>IF($H158&lt;&gt;DL$5,0,IF(DL158&lt;0,IF(OR($J158=1,$J158=2,$J158=3,$J158=4,$J158=5,$J158=6,$J158=7,$J158=8,$J158=9,$J158=10),-$E158*$I158/12*3,IF($J158=11,-$E158*$I158/12*2,IF($J158=12,-$E158*$I158/12*1,0)))))+IF(DG$5&lt;&gt;$H158,0,IF(DG158&lt;0,IF($J158=10,-$E158*$I158/12*0,IF($J158=11,-$E158*$I158/12*1,IF($J158=12,-$E158*$I158/12*2,0)))))</f>
        <v>0</v>
      </c>
      <c r="DL158" s="1791">
        <f>IF(AND(DG158&lt;&gt;0,DG$5=$H158),-$I158*$E158-DG158,IF(DL$5=$H158,-$I158*$E158*(12-$J158+1)/12,0))</f>
        <v>0</v>
      </c>
      <c r="DM158" s="1808">
        <f>IF($H158&lt;&gt;DQ$5,0,IF(DQ158&lt;0,IF($J158=1,-$E158*$I158/12*3,IF($J158=2,-$E158*$I158/12*2,IF($J158=3,-$E158*$I158/12*1,0)))))+IF(DL$5&lt;&gt;$H158,0,IF(DL158&lt;0,IF($J158=1,-$E158*$I158/12*0,IF($J158=2,-$E158*$I158/12*1,IF($J158=3,-$E158*$I158/12*2,IF($J158&gt;=4,-$E158*$I158/12*3,0))))))</f>
        <v>0</v>
      </c>
      <c r="DN158" s="1807">
        <f>IF($H158&lt;&gt;DQ$5,0,IF(DQ158&lt;0,IF(OR($J158=1,$J158=2,$J158=3,$J158=4),-$E158*$I158/12*3,IF($J158=5,-$E158*$I158/12*2,IF($J158=6,-$E158*$I158/12*1,0)))))+IF(DL$5&lt;&gt;$H158,0,IF(DL158&lt;0,IF($J158=4,-$E158*$I158/12*0,IF($J158=5,-$E158*$I158/12*1,IF($J158=6,-$E158*$I158/12*2,IF($J158&gt;=7,-$E158*$I158/12*3,0))))))</f>
        <v>0</v>
      </c>
      <c r="DO158" s="1807">
        <f>IF($H158&lt;&gt;DQ$5,0,IF(DQ158&lt;0,IF(OR($J158=1,$J158=2,$J158=3,$J158=4,$J158=5,$J158=6,$J158=7),-$E158*$I158/12*3,IF($J158=8,-$E158*$I158/12*2,IF($J158=9,-$E158*$I158/12*1,0)))))+IF(DL$5&lt;&gt;$H158,0,IF(DL158&lt;0,IF($J158=7,-$E158*$I158/12*0,IF($J158=8,-$E158*$I158/12*1,IF($J158=9,-$E158*$I158/12*2,IF($J158&gt;=10,-$E158*$I158/12*3,0))))))</f>
        <v>0</v>
      </c>
      <c r="DP158" s="1806">
        <f>IF($H158&lt;&gt;DQ$5,0,IF(DQ158&lt;0,IF(OR($J158=1,$J158=2,$J158=3,$J158=4,$J158=5,$J158=6,$J158=7,$J158=8,$J158=9,$J158=10),-$E158*$I158/12*3,IF($J158=11,-$E158*$I158/12*2,IF($J158=12,-$E158*$I158/12*1,0)))))+IF(DL$5&lt;&gt;$H158,0,IF(DL158&lt;0,IF($J158=10,-$E158*$I158/12*0,IF($J158=11,-$E158*$I158/12*1,IF($J158=12,-$E158*$I158/12*2,0)))))</f>
        <v>0</v>
      </c>
      <c r="DQ158" s="1791">
        <f>IF(AND(DL158&lt;&gt;0,DL$5=$H158),-$I158*$E158-DL158,IF(DQ$5=$H158,-$I158*$E158*(12-$J158+1)/12,0))</f>
        <v>0</v>
      </c>
      <c r="DR158" s="1808">
        <f>IF($H158&lt;&gt;DV$5,0,IF(DV158&lt;0,IF($J158=1,-$E158*$I158/12*3,IF($J158=2,-$E158*$I158/12*2,IF($J158=3,-$E158*$I158/12*1,0)))))+IF(DQ$5&lt;&gt;$H158,0,IF(DQ158&lt;0,IF($J158=1,-$E158*$I158/12*0,IF($J158=2,-$E158*$I158/12*1,IF($J158=3,-$E158*$I158/12*2,IF($J158&gt;=4,-$E158*$I158/12*3,0))))))</f>
        <v>0</v>
      </c>
      <c r="DS158" s="1807">
        <f>IF($H158&lt;&gt;DV$5,0,IF(DV158&lt;0,IF(OR($J158=1,$J158=2,$J158=3,$J158=4),-$E158*$I158/12*3,IF($J158=5,-$E158*$I158/12*2,IF($J158=6,-$E158*$I158/12*1,0)))))+IF(DQ$5&lt;&gt;$H158,0,IF(DQ158&lt;0,IF($J158=4,-$E158*$I158/12*0,IF($J158=5,-$E158*$I158/12*1,IF($J158=6,-$E158*$I158/12*2,IF($J158&gt;=7,-$E158*$I158/12*3,0))))))</f>
        <v>0</v>
      </c>
      <c r="DT158" s="1807">
        <f>IF($H158&lt;&gt;DV$5,0,IF(DV158&lt;0,IF(OR($J158=1,$J158=2,$J158=3,$J158=4,$J158=5,$J158=6,$J158=7),-$E158*$I158/12*3,IF($J158=8,-$E158*$I158/12*2,IF($J158=9,-$E158*$I158/12*1,0)))))+IF(DQ$5&lt;&gt;$H158,0,IF(DQ158&lt;0,IF($J158=7,-$E158*$I158/12*0,IF($J158=8,-$E158*$I158/12*1,IF($J158=9,-$E158*$I158/12*2,IF($J158&gt;=10,-$E158*$I158/12*3,0))))))</f>
        <v>0</v>
      </c>
      <c r="DU158" s="1806">
        <f>IF($H158&lt;&gt;DV$5,0,IF(DV158&lt;0,IF(OR($J158=1,$J158=2,$J158=3,$J158=4,$J158=5,$J158=6,$J158=7,$J158=8,$J158=9,$J158=10),-$E158*$I158/12*3,IF($J158=11,-$E158*$I158/12*2,IF($J158=12,-$E158*$I158/12*1,0)))))+IF(DQ$5&lt;&gt;$H158,0,IF(DQ158&lt;0,IF($J158=10,-$E158*$I158/12*0,IF($J158=11,-$E158*$I158/12*1,IF($J158=12,-$E158*$I158/12*2,0)))))</f>
        <v>0</v>
      </c>
      <c r="DV158" s="1791">
        <f>IF(AND(DQ158&lt;&gt;0,DQ$5=$H158),-$I158*$E158-DQ158,IF(DV$5=$H158,-$I158*$E158*(12-$J158+1)/12,0))</f>
        <v>0</v>
      </c>
    </row>
    <row r="159" spans="1:126">
      <c r="A159" s="455"/>
      <c r="B159" s="455"/>
      <c r="C159" s="1363" t="s">
        <v>792</v>
      </c>
      <c r="D159" s="94"/>
      <c r="E159" s="1817">
        <f>IF(F159=0,G159,F159)</f>
        <v>134</v>
      </c>
      <c r="F159" s="1435">
        <v>134</v>
      </c>
      <c r="G159" s="1435">
        <v>134</v>
      </c>
      <c r="H159" s="1350">
        <v>2022</v>
      </c>
      <c r="I159" s="1335">
        <v>5.8749999999999997E-2</v>
      </c>
      <c r="J159" s="1600">
        <v>6</v>
      </c>
      <c r="K159" s="1792"/>
      <c r="L159" s="1810">
        <f t="shared" si="2132"/>
        <v>0</v>
      </c>
      <c r="M159" s="1791">
        <f t="shared" si="2132"/>
        <v>0</v>
      </c>
      <c r="N159" s="1808">
        <f>IF(R159=0,0,IF(R159&lt;0,IF($J159=3,R159,IF($J159=2,R159,IF($J159=1,R159,0)))))</f>
        <v>0</v>
      </c>
      <c r="O159" s="1807">
        <f>IF(R159=0,0,IF(R159&lt;0,IF($J159=6,R159,IF($J159=5,R159,IF($J159=4,R159,0)))))</f>
        <v>0</v>
      </c>
      <c r="P159" s="1807">
        <f>IF(R159=0,0,IF(R159&lt;0,IF($J159=9,R159,IF($J159=8,R159,IF($J159=7,R159,0)))))</f>
        <v>0</v>
      </c>
      <c r="Q159" s="1806">
        <f>IF(R159=0,0,IF(R159&lt;0,IF($J159=12,R159,IF($J159=11,R159,IF($J159=10,R159,0)))))</f>
        <v>0</v>
      </c>
      <c r="R159" s="1791">
        <f>IF(R$5=$H159,-$E159,0)</f>
        <v>0</v>
      </c>
      <c r="S159" s="1808">
        <f>IF(W159=0,0,IF(W159&lt;0,IF($J159=3,W159,IF($J159=2,W159,IF($J159=1,W159,0)))))</f>
        <v>0</v>
      </c>
      <c r="T159" s="1807">
        <f>IF(W159=0,0,IF(W159&lt;0,IF($J159=6,W159,IF($J159=5,W159,IF($J159=4,W159,0)))))</f>
        <v>0</v>
      </c>
      <c r="U159" s="1807">
        <f>IF(W159=0,0,IF(W159&lt;0,IF($J159=9,W159,IF($J159=8,W159,IF($J159=7,W159,0)))))</f>
        <v>0</v>
      </c>
      <c r="V159" s="1806">
        <f>IF(W159=0,0,IF(W159&lt;0,IF($J159=12,W159,IF($J159=11,W159,IF($J159=10,W159,0)))))</f>
        <v>0</v>
      </c>
      <c r="W159" s="1791">
        <f>IF(W$5=$H159,-$E159,0)</f>
        <v>0</v>
      </c>
      <c r="X159" s="1808">
        <f>IF(AB159=0,0,IF(AB159&lt;0,IF($J159=3,AB159,IF($J159=2,AB159,IF($J159=1,AB159,0)))))</f>
        <v>0</v>
      </c>
      <c r="Y159" s="1807">
        <f>IF(AB159=0,0,IF(AB159&lt;0,IF($J159=6,AB159,IF($J159=5,AB159,IF($J159=4,AB159,0)))))</f>
        <v>0</v>
      </c>
      <c r="Z159" s="1807">
        <f>IF(AB159=0,0,IF(AB159&lt;0,IF($J159=9,AB159,IF($J159=8,AB159,IF($J159=7,AB159,0)))))</f>
        <v>0</v>
      </c>
      <c r="AA159" s="1806">
        <f>IF(AB159=0,0,IF(AB159&lt;0,IF($J159=12,AB159,IF($J159=11,AB159,IF($J159=10,AB159,0)))))</f>
        <v>0</v>
      </c>
      <c r="AB159" s="1791">
        <f>IF(AB$5=$H159,-$E159,0)</f>
        <v>0</v>
      </c>
      <c r="AC159" s="1808">
        <f>IF(AG159=0,0,IF(AG159&lt;0,IF($J159=3,AG159,IF($J159=2,AG159,IF($J159=1,AG159,0)))))</f>
        <v>0</v>
      </c>
      <c r="AD159" s="1807">
        <f>IF(AG159=0,0,IF(AG159&lt;0,IF($J159=6,AG159,IF($J159=5,AG159,IF($J159=4,AG159,0)))))</f>
        <v>0</v>
      </c>
      <c r="AE159" s="1807">
        <f>IF(AG159=0,0,IF(AG159&lt;0,IF($J159=9,AG159,IF($J159=8,AG159,IF($J159=7,AG159,0)))))</f>
        <v>0</v>
      </c>
      <c r="AF159" s="1806">
        <f>IF(AG159=0,0,IF(AG159&lt;0,IF($J159=12,AG159,IF($J159=11,AG159,IF($J159=10,AG159,0)))))</f>
        <v>0</v>
      </c>
      <c r="AG159" s="1791">
        <f>IF(AG$5=$H159,-$E159,0)</f>
        <v>0</v>
      </c>
      <c r="AH159" s="1808">
        <f>IF(AL159=0,0,IF(AL159&lt;0,IF($J159=3,AL159,IF($J159=2,AL159,IF($J159=1,AL159,0)))))</f>
        <v>0</v>
      </c>
      <c r="AI159" s="1807">
        <f>IF(AL159=0,0,IF(AL159&lt;0,IF($J159=6,AL159,IF($J159=5,AL159,IF($J159=4,AL159,0)))))</f>
        <v>0</v>
      </c>
      <c r="AJ159" s="1807">
        <f>IF(AL159=0,0,IF(AL159&lt;0,IF($J159=9,AL159,IF($J159=8,AL159,IF($J159=7,AL159,0)))))</f>
        <v>0</v>
      </c>
      <c r="AK159" s="1806">
        <f>IF(AL159=0,0,IF(AL159&lt;0,IF($J159=12,AL159,IF($J159=11,AL159,IF($J159=10,AL159,0)))))</f>
        <v>0</v>
      </c>
      <c r="AL159" s="1791">
        <f>IF(AL$5=$H159,-$E159,0)</f>
        <v>0</v>
      </c>
      <c r="AM159" s="1808">
        <f>IF(AQ159=0,0,IF(AQ159&lt;0,IF($J159=3,AQ159,IF($J159=2,AQ159,IF($J159=1,AQ159,0)))))</f>
        <v>0</v>
      </c>
      <c r="AN159" s="1807">
        <f>IF(AQ159=0,0,IF(AQ159&lt;0,IF($J159=6,AQ159,IF($J159=5,AQ159,IF($J159=4,AQ159,0)))))</f>
        <v>0</v>
      </c>
      <c r="AO159" s="1807">
        <f>IF(AQ159=0,0,IF(AQ159&lt;0,IF($J159=9,AQ159,IF($J159=8,AQ159,IF($J159=7,AQ159,0)))))</f>
        <v>0</v>
      </c>
      <c r="AP159" s="1806">
        <f>IF(AQ159=0,0,IF(AQ159&lt;0,IF($J159=12,AQ159,IF($J159=11,AQ159,IF($J159=10,AQ159,0)))))</f>
        <v>0</v>
      </c>
      <c r="AQ159" s="1791">
        <f>IF(AQ$5=$H159,-$E159,0)</f>
        <v>0</v>
      </c>
      <c r="AR159" s="1808">
        <f>IF(AV159=0,0,IF(AV159&lt;0,IF($J159=3,AV159,IF($J159=2,AV159,IF($J159=1,AV159,0)))))</f>
        <v>0</v>
      </c>
      <c r="AS159" s="1807">
        <f>IF(AV159=0,0,IF(AV159&lt;0,IF($J159=6,AV159,IF($J159=5,AV159,IF($J159=4,AV159,0)))))</f>
        <v>0</v>
      </c>
      <c r="AT159" s="1807">
        <f>IF(AV159=0,0,IF(AV159&lt;0,IF($J159=9,AV159,IF($J159=8,AV159,IF($J159=7,AV159,0)))))</f>
        <v>0</v>
      </c>
      <c r="AU159" s="1806">
        <f>IF(AV159=0,0,IF(AV159&lt;0,IF($J159=12,AV159,IF($J159=11,AV159,IF($J159=10,AV159,0)))))</f>
        <v>0</v>
      </c>
      <c r="AV159" s="1791">
        <f>IF(AV$5=$H159,-$E159,0)</f>
        <v>0</v>
      </c>
      <c r="AW159" s="1808">
        <f>IF(BA159=0,0,IF(BA159&lt;0,IF($J159=3,BA159,IF($J159=2,BA159,IF($J159=1,BA159,0)))))</f>
        <v>0</v>
      </c>
      <c r="AX159" s="1807">
        <f>IF(BA159=0,0,IF(BA159&lt;0,IF($J159=6,BA159,IF($J159=5,BA159,IF($J159=4,BA159,0)))))</f>
        <v>0</v>
      </c>
      <c r="AY159" s="1807">
        <f>IF(BA159=0,0,IF(BA159&lt;0,IF($J159=9,BA159,IF($J159=8,BA159,IF($J159=7,BA159,0)))))</f>
        <v>0</v>
      </c>
      <c r="AZ159" s="1806">
        <f>IF(BA159=0,0,IF(BA159&lt;0,IF($J159=12,BA159,IF($J159=11,BA159,IF($J159=10,BA159,0)))))</f>
        <v>0</v>
      </c>
      <c r="BA159" s="1791">
        <f>IF(BA$5=$H159,-$E159,0)</f>
        <v>0</v>
      </c>
      <c r="BB159" s="1808">
        <f>IF(BF159=0,0,IF(BF159&lt;0,IF($J159=3,BF159,IF($J159=2,BF159,IF($J159=1,BF159,0)))))</f>
        <v>0</v>
      </c>
      <c r="BC159" s="1807">
        <f>IF(BF159=0,0,IF(BF159&lt;0,IF($J159=6,BF159,IF($J159=5,BF159,IF($J159=4,BF159,0)))))</f>
        <v>0</v>
      </c>
      <c r="BD159" s="1807">
        <f>IF(BF159=0,0,IF(BF159&lt;0,IF($J159=9,BF159,IF($J159=8,BF159,IF($J159=7,BF159,0)))))</f>
        <v>0</v>
      </c>
      <c r="BE159" s="1806">
        <f>IF(BF159=0,0,IF(BF159&lt;0,IF($J159=12,BF159,IF($J159=11,BF159,IF($J159=10,BF159,0)))))</f>
        <v>0</v>
      </c>
      <c r="BF159" s="1791">
        <f>IF(BF$5=$H159,-$E159,0)</f>
        <v>0</v>
      </c>
      <c r="BG159" s="1808">
        <f>IF(BK159=0,0,IF(BK159&lt;0,IF($J159=3,BK159,IF($J159=2,BK159,IF($J159=1,BK159,0)))))</f>
        <v>0</v>
      </c>
      <c r="BH159" s="1807">
        <f>IF(BK159=0,0,IF(BK159&lt;0,IF($J159=6,BK159,IF($J159=5,BK159,IF($J159=4,BK159,0)))))</f>
        <v>0</v>
      </c>
      <c r="BI159" s="1807">
        <f>IF(BK159=0,0,IF(BK159&lt;0,IF($J159=9,BK159,IF($J159=8,BK159,IF($J159=7,BK159,0)))))</f>
        <v>0</v>
      </c>
      <c r="BJ159" s="1806">
        <f>IF(BK159=0,0,IF(BK159&lt;0,IF($J159=12,BK159,IF($J159=11,BK159,IF($J159=10,BK159,0)))))</f>
        <v>0</v>
      </c>
      <c r="BK159" s="1791">
        <f>IF(BK$5=$H159,-$E159,0)</f>
        <v>0</v>
      </c>
      <c r="BL159" s="1808">
        <f>IF(BP159=0,0,IF(BP159&lt;0,IF($J159=3,BP159,IF($J159=2,BP159,IF($J159=1,BP159,0)))))</f>
        <v>0</v>
      </c>
      <c r="BM159" s="1807">
        <f>IF(BP159=0,0,IF(BP159&lt;0,IF($J159=6,BP159,IF($J159=5,BP159,IF($J159=4,BP159,0)))))</f>
        <v>0</v>
      </c>
      <c r="BN159" s="1807">
        <f>IF(BP159=0,0,IF(BP159&lt;0,IF($J159=9,BP159,IF($J159=8,BP159,IF($J159=7,BP159,0)))))</f>
        <v>0</v>
      </c>
      <c r="BO159" s="1806">
        <f>IF(BP159=0,0,IF(BP159&lt;0,IF($J159=12,BP159,IF($J159=11,BP159,IF($J159=10,BP159,0)))))</f>
        <v>0</v>
      </c>
      <c r="BP159" s="1791">
        <f>IF(BP$5=$H159,-$E159,0)</f>
        <v>0</v>
      </c>
      <c r="BQ159" s="1827"/>
      <c r="BR159" s="1791">
        <f t="shared" si="2133"/>
        <v>0</v>
      </c>
      <c r="BS159" s="1791">
        <f t="shared" si="2133"/>
        <v>0</v>
      </c>
      <c r="BT159" s="1808">
        <f>IF($H159&lt;&gt;BX$5,0,IF(BX159&lt;0,IF($J159=1,-$E159*$I159/12*3,IF($J159=2,-$E159*$I159/12*2,IF($J159=3,-$E159*$I159/12*1,0)))))+IF(BS$5&lt;&gt;$H159,0,IF(BS159&lt;0,IF($J159=1,-$E159*$I159/12*0,IF($J159=2,-$E159*$I159/12*1,IF($J159=3,-$E159*$I159/12*2,IF($J159&gt;=4,-$E159*$I159/12*3,0))))))</f>
        <v>0</v>
      </c>
      <c r="BU159" s="1807">
        <f>IF($H159&lt;&gt;BX$5,0,IF(BX159&lt;0,IF(OR($J159=1,$J159=2,$J159=3,$J159=4),-$E159*$I159/12*3,IF($J159=5,-$E159*$I159/12*2,IF($J159=6,-$E159*$I159/12*1,0)))))+IF(BS$5&lt;&gt;$H159,0,IF(BS159&lt;0,IF($J159=4,-$E159*$I159/12*0,IF($J159=5,-$E159*$I159/12*1,IF($J159=6,-$E159*$I159/12*2,IF($J159&gt;=7,-$E159*$I159/12*3,0))))))</f>
        <v>0</v>
      </c>
      <c r="BV159" s="1807">
        <f>IF($H159&lt;&gt;BX$5,0,IF(BX159&lt;0,IF(OR($J159=1,$J159=2,$J159=3,$J159=4,$J159=5,$J159=6,$J159=7),-$E159*$I159/12*3,IF($J159=8,-$E159*$I159/12*2,IF($J159=9,-$E159*$I159/12*1,0)))))+IF(BS$5&lt;&gt;$H159,0,IF(BS159&lt;0,IF($J159=7,-$E159*$I159/12*0,IF($J159=8,-$E159*$I159/12*1,IF($J159=9,-$E159*$I159/12*2,IF($J159&gt;=10,-$E159*$I159/12*3,0))))))</f>
        <v>0</v>
      </c>
      <c r="BW159" s="1806">
        <f>IF($H159&lt;&gt;BX$5,0,IF(BX159&lt;0,IF(OR($J159=1,$J159=2,$J159=3,$J159=4,$J159=5,$J159=6,$J159=7,$J159=8,$J159=9,$J159=10),-$E159*$I159/12*3,IF($J159=11,-$E159*$I159/12*2,IF($J159=12,-$E159*$I159/12*1,0)))))+IF(BS$5&lt;&gt;$H159,0,IF(BS159&lt;0,IF($J159=10,-$E159*$I159/12*0,IF($J159=11,-$E159*$I159/12*1,IF($J159=12,-$E159*$I159/12*2,0)))))</f>
        <v>0</v>
      </c>
      <c r="BX159" s="1791">
        <f>IF(AND(BS159&lt;&gt;0,BS$5=$H159),-$I159*$E159-BS159,IF(BX$5=$H159,-$I159*$E159*(12-$J159+1)/12,0))</f>
        <v>0</v>
      </c>
      <c r="BY159" s="1808">
        <f>IF($H159&lt;&gt;CC$5,0,IF(CC159&lt;0,IF($J159=1,-$E159*$I159/12*3,IF($J159=2,-$E159*$I159/12*2,IF($J159=3,-$E159*$I159/12*1,0)))))+IF(BX$5&lt;&gt;$H159,0,IF(BX159&lt;0,IF($J159=1,-$E159*$I159/12*0,IF($J159=2,-$E159*$I159/12*1,IF($J159=3,-$E159*$I159/12*2,IF($J159&gt;=4,-$E159*$I159/12*3,0))))))</f>
        <v>0</v>
      </c>
      <c r="BZ159" s="1807">
        <f>IF($H159&lt;&gt;CC$5,0,IF(CC159&lt;0,IF(OR($J159=1,$J159=2,$J159=3,$J159=4),-$E159*$I159/12*3,IF($J159=5,-$E159*$I159/12*2,IF($J159=6,-$E159*$I159/12*1,0)))))+IF(BX$5&lt;&gt;$H159,0,IF(BX159&lt;0,IF($J159=4,-$E159*$I159/12*0,IF($J159=5,-$E159*$I159/12*1,IF($J159=6,-$E159*$I159/12*2,IF($J159&gt;=7,-$E159*$I159/12*3,0))))))</f>
        <v>0</v>
      </c>
      <c r="CA159" s="1807">
        <f>IF($H159&lt;&gt;CC$5,0,IF(CC159&lt;0,IF(OR($J159=1,$J159=2,$J159=3,$J159=4,$J159=5,$J159=6,$J159=7),-$E159*$I159/12*3,IF($J159=8,-$E159*$I159/12*2,IF($J159=9,-$E159*$I159/12*1,0)))))+IF(BX$5&lt;&gt;$H159,0,IF(BX159&lt;0,IF($J159=7,-$E159*$I159/12*0,IF($J159=8,-$E159*$I159/12*1,IF($J159=9,-$E159*$I159/12*2,IF($J159&gt;=10,-$E159*$I159/12*3,0))))))</f>
        <v>0</v>
      </c>
      <c r="CB159" s="1806">
        <f>IF($H159&lt;&gt;CC$5,0,IF(CC159&lt;0,IF(OR($J159=1,$J159=2,$J159=3,$J159=4,$J159=5,$J159=6,$J159=7,$J159=8,$J159=9,$J159=10),-$E159*$I159/12*3,IF($J159=11,-$E159*$I159/12*2,IF($J159=12,-$E159*$I159/12*1,0)))))+IF(BX$5&lt;&gt;$H159,0,IF(BX159&lt;0,IF($J159=10,-$E159*$I159/12*0,IF($J159=11,-$E159*$I159/12*1,IF($J159=12,-$E159*$I159/12*2,0)))))</f>
        <v>0</v>
      </c>
      <c r="CC159" s="1791">
        <f>IF(AND(BX159&lt;&gt;0,BX$5=$H159),-$I159*$E159-BX159,IF(CC$5=$H159,-$I159*$E159*(12-$J159+1)/12,0))</f>
        <v>0</v>
      </c>
      <c r="CD159" s="1808">
        <f>IF($H159&lt;&gt;CH$5,0,IF(CH159&lt;0,IF($J159=1,-$E159*$I159/12*3,IF($J159=2,-$E159*$I159/12*2,IF($J159=3,-$E159*$I159/12*1,0)))))+IF(CC$5&lt;&gt;$H159,0,IF(CC159&lt;0,IF($J159=1,-$E159*$I159/12*0,IF($J159=2,-$E159*$I159/12*1,IF($J159=3,-$E159*$I159/12*2,IF($J159&gt;=4,-$E159*$I159/12*3,0))))))</f>
        <v>0</v>
      </c>
      <c r="CE159" s="1807">
        <f>IF($H159&lt;&gt;CH$5,0,IF(CH159&lt;0,IF(OR($J159=1,$J159=2,$J159=3,$J159=4),-$E159*$I159/12*3,IF($J159=5,-$E159*$I159/12*2,IF($J159=6,-$E159*$I159/12*1,0)))))+IF(CC$5&lt;&gt;$H159,0,IF(CC159&lt;0,IF($J159=4,-$E159*$I159/12*0,IF($J159=5,-$E159*$I159/12*1,IF($J159=6,-$E159*$I159/12*2,IF($J159&gt;=7,-$E159*$I159/12*3,0))))))</f>
        <v>0</v>
      </c>
      <c r="CF159" s="1807">
        <f>IF($H159&lt;&gt;CH$5,0,IF(CH159&lt;0,IF(OR($J159=1,$J159=2,$J159=3,$J159=4,$J159=5,$J159=6,$J159=7),-$E159*$I159/12*3,IF($J159=8,-$E159*$I159/12*2,IF($J159=9,-$E159*$I159/12*1,0)))))+IF(CC$5&lt;&gt;$H159,0,IF(CC159&lt;0,IF($J159=7,-$E159*$I159/12*0,IF($J159=8,-$E159*$I159/12*1,IF($J159=9,-$E159*$I159/12*2,IF($J159&gt;=10,-$E159*$I159/12*3,0))))))</f>
        <v>0</v>
      </c>
      <c r="CG159" s="1806">
        <f>IF($H159&lt;&gt;CH$5,0,IF(CH159&lt;0,IF(OR($J159=1,$J159=2,$J159=3,$J159=4,$J159=5,$J159=6,$J159=7,$J159=8,$J159=9,$J159=10),-$E159*$I159/12*3,IF($J159=11,-$E159*$I159/12*2,IF($J159=12,-$E159*$I159/12*1,0)))))+IF(CC$5&lt;&gt;$H159,0,IF(CC159&lt;0,IF($J159=10,-$E159*$I159/12*0,IF($J159=11,-$E159*$I159/12*1,IF($J159=12,-$E159*$I159/12*2,0)))))</f>
        <v>0</v>
      </c>
      <c r="CH159" s="1791">
        <f>IF(AND(CC159&lt;&gt;0,CC$5=$H159),-$I159*$E159-CC159,IF(CH$5=$H159,-$I159*$E159*(12-$J159+1)/12,0))</f>
        <v>0</v>
      </c>
      <c r="CI159" s="1808">
        <f>IF($H159&lt;&gt;CM$5,0,IF(CM159&lt;0,IF($J159=1,-$E159*$I159/12*3,IF($J159=2,-$E159*$I159/12*2,IF($J159=3,-$E159*$I159/12*1,0)))))+IF(CH$5&lt;&gt;$H159,0,IF(CH159&lt;0,IF($J159=1,-$E159*$I159/12*0,IF($J159=2,-$E159*$I159/12*1,IF($J159=3,-$E159*$I159/12*2,IF($J159&gt;=4,-$E159*$I159/12*3,0))))))</f>
        <v>0</v>
      </c>
      <c r="CJ159" s="1807">
        <f>IF($H159&lt;&gt;CM$5,0,IF(CM159&lt;0,IF(OR($J159=1,$J159=2,$J159=3,$J159=4),-$E159*$I159/12*3,IF($J159=5,-$E159*$I159/12*2,IF($J159=6,-$E159*$I159/12*1,0)))))+IF(CH$5&lt;&gt;$H159,0,IF(CH159&lt;0,IF($J159=4,-$E159*$I159/12*0,IF($J159=5,-$E159*$I159/12*1,IF($J159=6,-$E159*$I159/12*2,IF($J159&gt;=7,-$E159*$I159/12*3,0))))))</f>
        <v>0</v>
      </c>
      <c r="CK159" s="1807">
        <f>IF($H159&lt;&gt;CM$5,0,IF(CM159&lt;0,IF(OR($J159=1,$J159=2,$J159=3,$J159=4,$J159=5,$J159=6,$J159=7),-$E159*$I159/12*3,IF($J159=8,-$E159*$I159/12*2,IF($J159=9,-$E159*$I159/12*1,0)))))+IF(CH$5&lt;&gt;$H159,0,IF(CH159&lt;0,IF($J159=7,-$E159*$I159/12*0,IF($J159=8,-$E159*$I159/12*1,IF($J159=9,-$E159*$I159/12*2,IF($J159&gt;=10,-$E159*$I159/12*3,0))))))</f>
        <v>0</v>
      </c>
      <c r="CL159" s="1806">
        <f>IF($H159&lt;&gt;CM$5,0,IF(CM159&lt;0,IF(OR($J159=1,$J159=2,$J159=3,$J159=4,$J159=5,$J159=6,$J159=7,$J159=8,$J159=9,$J159=10),-$E159*$I159/12*3,IF($J159=11,-$E159*$I159/12*2,IF($J159=12,-$E159*$I159/12*1,0)))))+IF(CH$5&lt;&gt;$H159,0,IF(CH159&lt;0,IF($J159=10,-$E159*$I159/12*0,IF($J159=11,-$E159*$I159/12*1,IF($J159=12,-$E159*$I159/12*2,0)))))</f>
        <v>0</v>
      </c>
      <c r="CM159" s="1791">
        <f>IF(AND(CH159&lt;&gt;0,CH$5=$H159),-$I159*$E159-CH159,IF(CM$5=$H159,-$I159*$E159*(12-$J159+1)/12,0))</f>
        <v>0</v>
      </c>
      <c r="CN159" s="1808">
        <f>IF($H159&lt;&gt;CR$5,0,IF(CR159&lt;0,IF($J159=1,-$E159*$I159/12*3,IF($J159=2,-$E159*$I159/12*2,IF($J159=3,-$E159*$I159/12*1,0)))))+IF(CM$5&lt;&gt;$H159,0,IF(CM159&lt;0,IF($J159=1,-$E159*$I159/12*0,IF($J159=2,-$E159*$I159/12*1,IF($J159=3,-$E159*$I159/12*2,IF($J159&gt;=4,-$E159*$I159/12*3,0))))))</f>
        <v>0</v>
      </c>
      <c r="CO159" s="1807">
        <f>IF($H159&lt;&gt;CR$5,0,IF(CR159&lt;0,IF(OR($J159=1,$J159=2,$J159=3,$J159=4),-$E159*$I159/12*3,IF($J159=5,-$E159*$I159/12*2,IF($J159=6,-$E159*$I159/12*1,0)))))+IF(CM$5&lt;&gt;$H159,0,IF(CM159&lt;0,IF($J159=4,-$E159*$I159/12*0,IF($J159=5,-$E159*$I159/12*1,IF($J159=6,-$E159*$I159/12*2,IF($J159&gt;=7,-$E159*$I159/12*3,0))))))</f>
        <v>0</v>
      </c>
      <c r="CP159" s="1807">
        <f>IF($H159&lt;&gt;CR$5,0,IF(CR159&lt;0,IF(OR($J159=1,$J159=2,$J159=3,$J159=4,$J159=5,$J159=6,$J159=7),-$E159*$I159/12*3,IF($J159=8,-$E159*$I159/12*2,IF($J159=9,-$E159*$I159/12*1,0)))))+IF(CM$5&lt;&gt;$H159,0,IF(CM159&lt;0,IF($J159=7,-$E159*$I159/12*0,IF($J159=8,-$E159*$I159/12*1,IF($J159=9,-$E159*$I159/12*2,IF($J159&gt;=10,-$E159*$I159/12*3,0))))))</f>
        <v>0</v>
      </c>
      <c r="CQ159" s="1806">
        <f>IF($H159&lt;&gt;CR$5,0,IF(CR159&lt;0,IF(OR($J159=1,$J159=2,$J159=3,$J159=4,$J159=5,$J159=6,$J159=7,$J159=8,$J159=9,$J159=10),-$E159*$I159/12*3,IF($J159=11,-$E159*$I159/12*2,IF($J159=12,-$E159*$I159/12*1,0)))))+IF(CM$5&lt;&gt;$H159,0,IF(CM159&lt;0,IF($J159=10,-$E159*$I159/12*0,IF($J159=11,-$E159*$I159/12*1,IF($J159=12,-$E159*$I159/12*2,0)))))</f>
        <v>0</v>
      </c>
      <c r="CR159" s="1791">
        <f>IF(AND(CM159&lt;&gt;0,CM$5=$H159),-$I159*$E159-CM159,IF(CR$5=$H159,-$I159*$E159*(12-$J159+1)/12,0))</f>
        <v>0</v>
      </c>
      <c r="CS159" s="1808">
        <f>IF($H159&lt;&gt;CW$5,0,IF(CW159&lt;0,IF($J159=1,-$E159*$I159/12*3,IF($J159=2,-$E159*$I159/12*2,IF($J159=3,-$E159*$I159/12*1,0)))))+IF(CR$5&lt;&gt;$H159,0,IF(CR159&lt;0,IF($J159=1,-$E159*$I159/12*0,IF($J159=2,-$E159*$I159/12*1,IF($J159=3,-$E159*$I159/12*2,IF($J159&gt;=4,-$E159*$I159/12*3,0))))))</f>
        <v>0</v>
      </c>
      <c r="CT159" s="1807">
        <f>IF($H159&lt;&gt;CW$5,0,IF(CW159&lt;0,IF(OR($J159=1,$J159=2,$J159=3,$J159=4),-$E159*$I159/12*3,IF($J159=5,-$E159*$I159/12*2,IF($J159=6,-$E159*$I159/12*1,0)))))+IF(CR$5&lt;&gt;$H159,0,IF(CR159&lt;0,IF($J159=4,-$E159*$I159/12*0,IF($J159=5,-$E159*$I159/12*1,IF($J159=6,-$E159*$I159/12*2,IF($J159&gt;=7,-$E159*$I159/12*3,0))))))</f>
        <v>0</v>
      </c>
      <c r="CU159" s="1807">
        <f>IF($H159&lt;&gt;CW$5,0,IF(CW159&lt;0,IF(OR($J159=1,$J159=2,$J159=3,$J159=4,$J159=5,$J159=6,$J159=7),-$E159*$I159/12*3,IF($J159=8,-$E159*$I159/12*2,IF($J159=9,-$E159*$I159/12*1,0)))))+IF(CR$5&lt;&gt;$H159,0,IF(CR159&lt;0,IF($J159=7,-$E159*$I159/12*0,IF($J159=8,-$E159*$I159/12*1,IF($J159=9,-$E159*$I159/12*2,IF($J159&gt;=10,-$E159*$I159/12*3,0))))))</f>
        <v>0</v>
      </c>
      <c r="CV159" s="1806">
        <f>IF($H159&lt;&gt;CW$5,0,IF(CW159&lt;0,IF(OR($J159=1,$J159=2,$J159=3,$J159=4,$J159=5,$J159=6,$J159=7,$J159=8,$J159=9,$J159=10),-$E159*$I159/12*3,IF($J159=11,-$E159*$I159/12*2,IF($J159=12,-$E159*$I159/12*1,0)))))+IF(CR$5&lt;&gt;$H159,0,IF(CR159&lt;0,IF($J159=10,-$E159*$I159/12*0,IF($J159=11,-$E159*$I159/12*1,IF($J159=12,-$E159*$I159/12*2,0)))))</f>
        <v>0</v>
      </c>
      <c r="CW159" s="1791">
        <f>IF(AND(CR159&lt;&gt;0,CR$5=$H159),-$I159*$E159-CR159,IF(CW$5=$H159,-$I159*$E159*(12-$J159+1)/12,0))</f>
        <v>0</v>
      </c>
      <c r="CX159" s="1808">
        <f>IF($H159&lt;&gt;DB$5,0,IF(DB159&lt;0,IF($J159=1,-$E159*$I159/12*3,IF($J159=2,-$E159*$I159/12*2,IF($J159=3,-$E159*$I159/12*1,0)))))+IF(CW$5&lt;&gt;$H159,0,IF(CW159&lt;0,IF($J159=1,-$E159*$I159/12*0,IF($J159=2,-$E159*$I159/12*1,IF($J159=3,-$E159*$I159/12*2,IF($J159&gt;=4,-$E159*$I159/12*3,0))))))</f>
        <v>0</v>
      </c>
      <c r="CY159" s="1807">
        <f>IF($H159&lt;&gt;DB$5,0,IF(DB159&lt;0,IF(OR($J159=1,$J159=2,$J159=3,$J159=4),-$E159*$I159/12*3,IF($J159=5,-$E159*$I159/12*2,IF($J159=6,-$E159*$I159/12*1,0)))))+IF(CW$5&lt;&gt;$H159,0,IF(CW159&lt;0,IF($J159=4,-$E159*$I159/12*0,IF($J159=5,-$E159*$I159/12*1,IF($J159=6,-$E159*$I159/12*2,IF($J159&gt;=7,-$E159*$I159/12*3,0))))))</f>
        <v>0</v>
      </c>
      <c r="CZ159" s="1807">
        <f>IF($H159&lt;&gt;DB$5,0,IF(DB159&lt;0,IF(OR($J159=1,$J159=2,$J159=3,$J159=4,$J159=5,$J159=6,$J159=7),-$E159*$I159/12*3,IF($J159=8,-$E159*$I159/12*2,IF($J159=9,-$E159*$I159/12*1,0)))))+IF(CW$5&lt;&gt;$H159,0,IF(CW159&lt;0,IF($J159=7,-$E159*$I159/12*0,IF($J159=8,-$E159*$I159/12*1,IF($J159=9,-$E159*$I159/12*2,IF($J159&gt;=10,-$E159*$I159/12*3,0))))))</f>
        <v>0</v>
      </c>
      <c r="DA159" s="1806">
        <f>IF($H159&lt;&gt;DB$5,0,IF(DB159&lt;0,IF(OR($J159=1,$J159=2,$J159=3,$J159=4,$J159=5,$J159=6,$J159=7,$J159=8,$J159=9,$J159=10),-$E159*$I159/12*3,IF($J159=11,-$E159*$I159/12*2,IF($J159=12,-$E159*$I159/12*1,0)))))+IF(CW$5&lt;&gt;$H159,0,IF(CW159&lt;0,IF($J159=10,-$E159*$I159/12*0,IF($J159=11,-$E159*$I159/12*1,IF($J159=12,-$E159*$I159/12*2,0)))))</f>
        <v>0</v>
      </c>
      <c r="DB159" s="1791">
        <f>IF(AND(CW159&lt;&gt;0,CW$5=$H159),-$I159*$E159-CW159,IF(DB$5=$H159,-$I159*$E159*(12-$J159+1)/12,0))</f>
        <v>0</v>
      </c>
      <c r="DC159" s="1808">
        <f>IF($H159&lt;&gt;DG$5,0,IF(DG159&lt;0,IF($J159=1,-$E159*$I159/12*3,IF($J159=2,-$E159*$I159/12*2,IF($J159=3,-$E159*$I159/12*1,0)))))+IF(DB$5&lt;&gt;$H159,0,IF(DB159&lt;0,IF($J159=1,-$E159*$I159/12*0,IF($J159=2,-$E159*$I159/12*1,IF($J159=3,-$E159*$I159/12*2,IF($J159&gt;=4,-$E159*$I159/12*3,0))))))</f>
        <v>0</v>
      </c>
      <c r="DD159" s="1807">
        <f>IF($H159&lt;&gt;DG$5,0,IF(DG159&lt;0,IF(OR($J159=1,$J159=2,$J159=3,$J159=4),-$E159*$I159/12*3,IF($J159=5,-$E159*$I159/12*2,IF($J159=6,-$E159*$I159/12*1,0)))))+IF(DB$5&lt;&gt;$H159,0,IF(DB159&lt;0,IF($J159=4,-$E159*$I159/12*0,IF($J159=5,-$E159*$I159/12*1,IF($J159=6,-$E159*$I159/12*2,IF($J159&gt;=7,-$E159*$I159/12*3,0))))))</f>
        <v>0</v>
      </c>
      <c r="DE159" s="1807">
        <f>IF($H159&lt;&gt;DG$5,0,IF(DG159&lt;0,IF(OR($J159=1,$J159=2,$J159=3,$J159=4,$J159=5,$J159=6,$J159=7),-$E159*$I159/12*3,IF($J159=8,-$E159*$I159/12*2,IF($J159=9,-$E159*$I159/12*1,0)))))+IF(DB$5&lt;&gt;$H159,0,IF(DB159&lt;0,IF($J159=7,-$E159*$I159/12*0,IF($J159=8,-$E159*$I159/12*1,IF($J159=9,-$E159*$I159/12*2,IF($J159&gt;=10,-$E159*$I159/12*3,0))))))</f>
        <v>0</v>
      </c>
      <c r="DF159" s="1806">
        <f>IF($H159&lt;&gt;DG$5,0,IF(DG159&lt;0,IF(OR($J159=1,$J159=2,$J159=3,$J159=4,$J159=5,$J159=6,$J159=7,$J159=8,$J159=9,$J159=10),-$E159*$I159/12*3,IF($J159=11,-$E159*$I159/12*2,IF($J159=12,-$E159*$I159/12*1,0)))))+IF(DB$5&lt;&gt;$H159,0,IF(DB159&lt;0,IF($J159=10,-$E159*$I159/12*0,IF($J159=11,-$E159*$I159/12*1,IF($J159=12,-$E159*$I159/12*2,0)))))</f>
        <v>0</v>
      </c>
      <c r="DG159" s="1791">
        <f>IF(AND(DB159&lt;&gt;0,DB$5=$H159),-$I159*$E159-DB159,IF(DG$5=$H159,-$I159*$E159*(12-$J159+1)/12,0))</f>
        <v>0</v>
      </c>
      <c r="DH159" s="1808">
        <f>IF($H159&lt;&gt;DL$5,0,IF(DL159&lt;0,IF($J159=1,-$E159*$I159/12*3,IF($J159=2,-$E159*$I159/12*2,IF($J159=3,-$E159*$I159/12*1,0)))))+IF(DG$5&lt;&gt;$H159,0,IF(DG159&lt;0,IF($J159=1,-$E159*$I159/12*0,IF($J159=2,-$E159*$I159/12*1,IF($J159=3,-$E159*$I159/12*2,IF($J159&gt;=4,-$E159*$I159/12*3,0))))))</f>
        <v>0</v>
      </c>
      <c r="DI159" s="1807">
        <f>IF($H159&lt;&gt;DL$5,0,IF(DL159&lt;0,IF(OR($J159=1,$J159=2,$J159=3,$J159=4),-$E159*$I159/12*3,IF($J159=5,-$E159*$I159/12*2,IF($J159=6,-$E159*$I159/12*1,0)))))+IF(DG$5&lt;&gt;$H159,0,IF(DG159&lt;0,IF($J159=4,-$E159*$I159/12*0,IF($J159=5,-$E159*$I159/12*1,IF($J159=6,-$E159*$I159/12*2,IF($J159&gt;=7,-$E159*$I159/12*3,0))))))</f>
        <v>0</v>
      </c>
      <c r="DJ159" s="1807">
        <f>IF($H159&lt;&gt;DL$5,0,IF(DL159&lt;0,IF(OR($J159=1,$J159=2,$J159=3,$J159=4,$J159=5,$J159=6,$J159=7),-$E159*$I159/12*3,IF($J159=8,-$E159*$I159/12*2,IF($J159=9,-$E159*$I159/12*1,0)))))+IF(DG$5&lt;&gt;$H159,0,IF(DG159&lt;0,IF($J159=7,-$E159*$I159/12*0,IF($J159=8,-$E159*$I159/12*1,IF($J159=9,-$E159*$I159/12*2,IF($J159&gt;=10,-$E159*$I159/12*3,0))))))</f>
        <v>0</v>
      </c>
      <c r="DK159" s="1806">
        <f>IF($H159&lt;&gt;DL$5,0,IF(DL159&lt;0,IF(OR($J159=1,$J159=2,$J159=3,$J159=4,$J159=5,$J159=6,$J159=7,$J159=8,$J159=9,$J159=10),-$E159*$I159/12*3,IF($J159=11,-$E159*$I159/12*2,IF($J159=12,-$E159*$I159/12*1,0)))))+IF(DG$5&lt;&gt;$H159,0,IF(DG159&lt;0,IF($J159=10,-$E159*$I159/12*0,IF($J159=11,-$E159*$I159/12*1,IF($J159=12,-$E159*$I159/12*2,0)))))</f>
        <v>0</v>
      </c>
      <c r="DL159" s="1791">
        <f>IF(AND(DG159&lt;&gt;0,DG$5=$H159),-$I159*$E159-DG159,IF(DL$5=$H159,-$I159*$E159*(12-$J159+1)/12,0))</f>
        <v>0</v>
      </c>
      <c r="DM159" s="1808">
        <f>IF($H159&lt;&gt;DQ$5,0,IF(DQ159&lt;0,IF($J159=1,-$E159*$I159/12*3,IF($J159=2,-$E159*$I159/12*2,IF($J159=3,-$E159*$I159/12*1,0)))))+IF(DL$5&lt;&gt;$H159,0,IF(DL159&lt;0,IF($J159=1,-$E159*$I159/12*0,IF($J159=2,-$E159*$I159/12*1,IF($J159=3,-$E159*$I159/12*2,IF($J159&gt;=4,-$E159*$I159/12*3,0))))))</f>
        <v>0</v>
      </c>
      <c r="DN159" s="1807">
        <f>IF($H159&lt;&gt;DQ$5,0,IF(DQ159&lt;0,IF(OR($J159=1,$J159=2,$J159=3,$J159=4),-$E159*$I159/12*3,IF($J159=5,-$E159*$I159/12*2,IF($J159=6,-$E159*$I159/12*1,0)))))+IF(DL$5&lt;&gt;$H159,0,IF(DL159&lt;0,IF($J159=4,-$E159*$I159/12*0,IF($J159=5,-$E159*$I159/12*1,IF($J159=6,-$E159*$I159/12*2,IF($J159&gt;=7,-$E159*$I159/12*3,0))))))</f>
        <v>0</v>
      </c>
      <c r="DO159" s="1807">
        <f>IF($H159&lt;&gt;DQ$5,0,IF(DQ159&lt;0,IF(OR($J159=1,$J159=2,$J159=3,$J159=4,$J159=5,$J159=6,$J159=7),-$E159*$I159/12*3,IF($J159=8,-$E159*$I159/12*2,IF($J159=9,-$E159*$I159/12*1,0)))))+IF(DL$5&lt;&gt;$H159,0,IF(DL159&lt;0,IF($J159=7,-$E159*$I159/12*0,IF($J159=8,-$E159*$I159/12*1,IF($J159=9,-$E159*$I159/12*2,IF($J159&gt;=10,-$E159*$I159/12*3,0))))))</f>
        <v>0</v>
      </c>
      <c r="DP159" s="1806">
        <f>IF($H159&lt;&gt;DQ$5,0,IF(DQ159&lt;0,IF(OR($J159=1,$J159=2,$J159=3,$J159=4,$J159=5,$J159=6,$J159=7,$J159=8,$J159=9,$J159=10),-$E159*$I159/12*3,IF($J159=11,-$E159*$I159/12*2,IF($J159=12,-$E159*$I159/12*1,0)))))+IF(DL$5&lt;&gt;$H159,0,IF(DL159&lt;0,IF($J159=10,-$E159*$I159/12*0,IF($J159=11,-$E159*$I159/12*1,IF($J159=12,-$E159*$I159/12*2,0)))))</f>
        <v>0</v>
      </c>
      <c r="DQ159" s="1791">
        <f>IF(AND(DL159&lt;&gt;0,DL$5=$H159),-$I159*$E159-DL159,IF(DQ$5=$H159,-$I159*$E159*(12-$J159+1)/12,0))</f>
        <v>0</v>
      </c>
      <c r="DR159" s="1808">
        <f>IF($H159&lt;&gt;DV$5,0,IF(DV159&lt;0,IF($J159=1,-$E159*$I159/12*3,IF($J159=2,-$E159*$I159/12*2,IF($J159=3,-$E159*$I159/12*1,0)))))+IF(DQ$5&lt;&gt;$H159,0,IF(DQ159&lt;0,IF($J159=1,-$E159*$I159/12*0,IF($J159=2,-$E159*$I159/12*1,IF($J159=3,-$E159*$I159/12*2,IF($J159&gt;=4,-$E159*$I159/12*3,0))))))</f>
        <v>0</v>
      </c>
      <c r="DS159" s="1807">
        <f>IF($H159&lt;&gt;DV$5,0,IF(DV159&lt;0,IF(OR($J159=1,$J159=2,$J159=3,$J159=4),-$E159*$I159/12*3,IF($J159=5,-$E159*$I159/12*2,IF($J159=6,-$E159*$I159/12*1,0)))))+IF(DQ$5&lt;&gt;$H159,0,IF(DQ159&lt;0,IF($J159=4,-$E159*$I159/12*0,IF($J159=5,-$E159*$I159/12*1,IF($J159=6,-$E159*$I159/12*2,IF($J159&gt;=7,-$E159*$I159/12*3,0))))))</f>
        <v>0</v>
      </c>
      <c r="DT159" s="1807">
        <f>IF($H159&lt;&gt;DV$5,0,IF(DV159&lt;0,IF(OR($J159=1,$J159=2,$J159=3,$J159=4,$J159=5,$J159=6,$J159=7),-$E159*$I159/12*3,IF($J159=8,-$E159*$I159/12*2,IF($J159=9,-$E159*$I159/12*1,0)))))+IF(DQ$5&lt;&gt;$H159,0,IF(DQ159&lt;0,IF($J159=7,-$E159*$I159/12*0,IF($J159=8,-$E159*$I159/12*1,IF($J159=9,-$E159*$I159/12*2,IF($J159&gt;=10,-$E159*$I159/12*3,0))))))</f>
        <v>0</v>
      </c>
      <c r="DU159" s="1806">
        <f>IF($H159&lt;&gt;DV$5,0,IF(DV159&lt;0,IF(OR($J159=1,$J159=2,$J159=3,$J159=4,$J159=5,$J159=6,$J159=7,$J159=8,$J159=9,$J159=10),-$E159*$I159/12*3,IF($J159=11,-$E159*$I159/12*2,IF($J159=12,-$E159*$I159/12*1,0)))))+IF(DQ$5&lt;&gt;$H159,0,IF(DQ159&lt;0,IF($J159=10,-$E159*$I159/12*0,IF($J159=11,-$E159*$I159/12*1,IF($J159=12,-$E159*$I159/12*2,0)))))</f>
        <v>0</v>
      </c>
      <c r="DV159" s="1791">
        <f>IF(AND(DQ159&lt;&gt;0,DQ$5=$H159),-$I159*$E159-DQ159,IF(DV$5=$H159,-$I159*$E159*(12-$J159+1)/12,0))</f>
        <v>0</v>
      </c>
    </row>
    <row r="160" spans="1:126">
      <c r="A160" s="455"/>
      <c r="B160" s="455"/>
      <c r="C160" s="1363"/>
      <c r="D160" s="94"/>
      <c r="E160" s="1817"/>
      <c r="F160" s="1435"/>
      <c r="G160" s="1435"/>
      <c r="H160" s="1350"/>
      <c r="I160" s="1335"/>
      <c r="J160" s="1600"/>
      <c r="K160" s="1792"/>
      <c r="L160" s="1810"/>
      <c r="M160" s="1791"/>
      <c r="N160" s="1808"/>
      <c r="O160" s="1807"/>
      <c r="P160" s="1807"/>
      <c r="Q160" s="1806"/>
      <c r="R160" s="1791"/>
      <c r="S160" s="1808"/>
      <c r="T160" s="1807"/>
      <c r="U160" s="1807"/>
      <c r="V160" s="1806"/>
      <c r="W160" s="1791"/>
      <c r="X160" s="1808"/>
      <c r="Y160" s="1807"/>
      <c r="Z160" s="1807"/>
      <c r="AA160" s="1806"/>
      <c r="AB160" s="1791"/>
      <c r="AC160" s="1808"/>
      <c r="AD160" s="1807"/>
      <c r="AE160" s="1807"/>
      <c r="AF160" s="1806"/>
      <c r="AG160" s="1791"/>
      <c r="AH160" s="1808"/>
      <c r="AI160" s="1807"/>
      <c r="AJ160" s="1807"/>
      <c r="AK160" s="1806"/>
      <c r="AL160" s="1791"/>
      <c r="AM160" s="1808"/>
      <c r="AN160" s="1807"/>
      <c r="AO160" s="1807"/>
      <c r="AP160" s="1806"/>
      <c r="AQ160" s="1791"/>
      <c r="AR160" s="1808"/>
      <c r="AS160" s="1807"/>
      <c r="AT160" s="1807"/>
      <c r="AU160" s="1806"/>
      <c r="AV160" s="1791"/>
      <c r="AW160" s="1808"/>
      <c r="AX160" s="1807"/>
      <c r="AY160" s="1807"/>
      <c r="AZ160" s="1806"/>
      <c r="BA160" s="1791"/>
      <c r="BB160" s="1808"/>
      <c r="BC160" s="1807"/>
      <c r="BD160" s="1807"/>
      <c r="BE160" s="1806"/>
      <c r="BF160" s="1791"/>
      <c r="BG160" s="1808"/>
      <c r="BH160" s="1807"/>
      <c r="BI160" s="1807"/>
      <c r="BJ160" s="1806"/>
      <c r="BK160" s="1791"/>
      <c r="BL160" s="1808"/>
      <c r="BM160" s="1807"/>
      <c r="BN160" s="1807"/>
      <c r="BO160" s="1806"/>
      <c r="BP160" s="1791"/>
      <c r="BQ160" s="1827"/>
      <c r="BR160" s="1791"/>
      <c r="BS160" s="1791"/>
      <c r="BT160" s="1808"/>
      <c r="BU160" s="1807"/>
      <c r="BV160" s="1807"/>
      <c r="BW160" s="1806"/>
      <c r="BX160" s="1791"/>
      <c r="BY160" s="1808"/>
      <c r="BZ160" s="1807"/>
      <c r="CA160" s="1807"/>
      <c r="CB160" s="1806"/>
      <c r="CC160" s="1791"/>
      <c r="CD160" s="1808"/>
      <c r="CE160" s="1807"/>
      <c r="CF160" s="1807"/>
      <c r="CG160" s="1806"/>
      <c r="CH160" s="1791"/>
      <c r="CI160" s="1808"/>
      <c r="CJ160" s="1807"/>
      <c r="CK160" s="1807"/>
      <c r="CL160" s="1806"/>
      <c r="CM160" s="1791"/>
      <c r="CN160" s="1808"/>
      <c r="CO160" s="1807"/>
      <c r="CP160" s="1807"/>
      <c r="CQ160" s="1806"/>
      <c r="CR160" s="1791"/>
      <c r="CS160" s="1808"/>
      <c r="CT160" s="1807"/>
      <c r="CU160" s="1807"/>
      <c r="CV160" s="1806"/>
      <c r="CW160" s="1791"/>
      <c r="CX160" s="1808"/>
      <c r="CY160" s="1807"/>
      <c r="CZ160" s="1807"/>
      <c r="DA160" s="1806"/>
      <c r="DB160" s="1791"/>
      <c r="DC160" s="1808"/>
      <c r="DD160" s="1807"/>
      <c r="DE160" s="1807"/>
      <c r="DF160" s="1806"/>
      <c r="DG160" s="1791"/>
      <c r="DH160" s="1808"/>
      <c r="DI160" s="1807"/>
      <c r="DJ160" s="1807"/>
      <c r="DK160" s="1806"/>
      <c r="DL160" s="1791"/>
      <c r="DM160" s="1808"/>
      <c r="DN160" s="1807"/>
      <c r="DO160" s="1807"/>
      <c r="DP160" s="1806"/>
      <c r="DQ160" s="1791"/>
      <c r="DR160" s="1808"/>
      <c r="DS160" s="1807"/>
      <c r="DT160" s="1807"/>
      <c r="DU160" s="1806"/>
      <c r="DV160" s="1791"/>
    </row>
    <row r="161" spans="1:126">
      <c r="A161" s="455"/>
      <c r="B161" s="455"/>
      <c r="C161" s="1596" t="s">
        <v>747</v>
      </c>
      <c r="D161" s="94"/>
      <c r="E161" s="1817"/>
      <c r="F161" s="455"/>
      <c r="G161" s="455"/>
      <c r="H161" s="1597"/>
      <c r="I161" s="1598"/>
      <c r="J161" s="1599"/>
      <c r="K161" s="1792"/>
      <c r="L161" s="1810">
        <f t="shared" ref="L161:M163" si="2134">IF(L$5=$H161,-$E161,0)</f>
        <v>0</v>
      </c>
      <c r="M161" s="1791">
        <f t="shared" si="2134"/>
        <v>0</v>
      </c>
      <c r="N161" s="1808">
        <f>IF(R161=0,0,IF(R161&lt;0,IF($J161=3,R161,IF($J161=2,R161,IF($J161=1,R161,0)))))</f>
        <v>0</v>
      </c>
      <c r="O161" s="1807">
        <f>IF(R161=0,0,IF(R161&lt;0,IF($J161=6,R161,IF($J161=5,R161,IF($J161=4,R161,0)))))</f>
        <v>0</v>
      </c>
      <c r="P161" s="1807">
        <f>IF(R161=0,0,IF(R161&lt;0,IF($J161=9,R161,IF($J161=8,R161,IF($J161=7,R161,0)))))</f>
        <v>0</v>
      </c>
      <c r="Q161" s="1806">
        <f>IF(R161=0,0,IF(R161&lt;0,IF($J161=12,R161,IF($J161=11,R161,IF($J161=10,R161,0)))))</f>
        <v>0</v>
      </c>
      <c r="R161" s="1791">
        <f>IF(R$5=$H161,-$E161,0)</f>
        <v>0</v>
      </c>
      <c r="S161" s="1808">
        <f>IF(W161=0,0,IF(W161&lt;0,IF($J161=3,W161,IF($J161=2,W161,IF($J161=1,W161,0)))))</f>
        <v>0</v>
      </c>
      <c r="T161" s="1807">
        <f>IF(W161=0,0,IF(W161&lt;0,IF($J161=6,W161,IF($J161=5,W161,IF($J161=4,W161,0)))))</f>
        <v>0</v>
      </c>
      <c r="U161" s="1807">
        <f>IF(W161=0,0,IF(W161&lt;0,IF($J161=9,W161,IF($J161=8,W161,IF($J161=7,W161,0)))))</f>
        <v>0</v>
      </c>
      <c r="V161" s="1806">
        <f>IF(W161=0,0,IF(W161&lt;0,IF($J161=12,W161,IF($J161=11,W161,IF($J161=10,W161,0)))))</f>
        <v>0</v>
      </c>
      <c r="W161" s="1791">
        <f>IF(W$5=$H161,-$E161,0)</f>
        <v>0</v>
      </c>
      <c r="X161" s="1808">
        <f>IF(AB161=0,0,IF(AB161&lt;0,IF($J161=3,AB161,IF($J161=2,AB161,IF($J161=1,AB161,0)))))</f>
        <v>0</v>
      </c>
      <c r="Y161" s="1807">
        <f>IF(AB161=0,0,IF(AB161&lt;0,IF($J161=6,AB161,IF($J161=5,AB161,IF($J161=4,AB161,0)))))</f>
        <v>0</v>
      </c>
      <c r="Z161" s="1807">
        <f>IF(AB161=0,0,IF(AB161&lt;0,IF($J161=9,AB161,IF($J161=8,AB161,IF($J161=7,AB161,0)))))</f>
        <v>0</v>
      </c>
      <c r="AA161" s="1806">
        <f>IF(AB161=0,0,IF(AB161&lt;0,IF($J161=12,AB161,IF($J161=11,AB161,IF($J161=10,AB161,0)))))</f>
        <v>0</v>
      </c>
      <c r="AB161" s="1791">
        <f>IF(AB$5=$H161,-$E161,0)</f>
        <v>0</v>
      </c>
      <c r="AC161" s="1808">
        <f>IF(AG161=0,0,IF(AG161&lt;0,IF($J161=3,AG161,IF($J161=2,AG161,IF($J161=1,AG161,0)))))</f>
        <v>0</v>
      </c>
      <c r="AD161" s="1807">
        <f>IF(AG161=0,0,IF(AG161&lt;0,IF($J161=6,AG161,IF($J161=5,AG161,IF($J161=4,AG161,0)))))</f>
        <v>0</v>
      </c>
      <c r="AE161" s="1807">
        <f>IF(AG161=0,0,IF(AG161&lt;0,IF($J161=9,AG161,IF($J161=8,AG161,IF($J161=7,AG161,0)))))</f>
        <v>0</v>
      </c>
      <c r="AF161" s="1806">
        <f>IF(AG161=0,0,IF(AG161&lt;0,IF($J161=12,AG161,IF($J161=11,AG161,IF($J161=10,AG161,0)))))</f>
        <v>0</v>
      </c>
      <c r="AG161" s="1791">
        <f>IF(AG$5=$H161,-$E161,0)</f>
        <v>0</v>
      </c>
      <c r="AH161" s="1808">
        <f>IF(AL161=0,0,IF(AL161&lt;0,IF($J161=3,AL161,IF($J161=2,AL161,IF($J161=1,AL161,0)))))</f>
        <v>0</v>
      </c>
      <c r="AI161" s="1807">
        <f>IF(AL161=0,0,IF(AL161&lt;0,IF($J161=6,AL161,IF($J161=5,AL161,IF($J161=4,AL161,0)))))</f>
        <v>0</v>
      </c>
      <c r="AJ161" s="1807">
        <f>IF(AL161=0,0,IF(AL161&lt;0,IF($J161=9,AL161,IF($J161=8,AL161,IF($J161=7,AL161,0)))))</f>
        <v>0</v>
      </c>
      <c r="AK161" s="1806">
        <f>IF(AL161=0,0,IF(AL161&lt;0,IF($J161=12,AL161,IF($J161=11,AL161,IF($J161=10,AL161,0)))))</f>
        <v>0</v>
      </c>
      <c r="AL161" s="1791">
        <f>IF(AL$5=$H161,-$E161,0)</f>
        <v>0</v>
      </c>
      <c r="AM161" s="1808">
        <f>IF(AQ161=0,0,IF(AQ161&lt;0,IF($J161=3,AQ161,IF($J161=2,AQ161,IF($J161=1,AQ161,0)))))</f>
        <v>0</v>
      </c>
      <c r="AN161" s="1807">
        <f>IF(AQ161=0,0,IF(AQ161&lt;0,IF($J161=6,AQ161,IF($J161=5,AQ161,IF($J161=4,AQ161,0)))))</f>
        <v>0</v>
      </c>
      <c r="AO161" s="1807">
        <f>IF(AQ161=0,0,IF(AQ161&lt;0,IF($J161=9,AQ161,IF($J161=8,AQ161,IF($J161=7,AQ161,0)))))</f>
        <v>0</v>
      </c>
      <c r="AP161" s="1806">
        <f>IF(AQ161=0,0,IF(AQ161&lt;0,IF($J161=12,AQ161,IF($J161=11,AQ161,IF($J161=10,AQ161,0)))))</f>
        <v>0</v>
      </c>
      <c r="AQ161" s="1791">
        <f>IF(AQ$5=$H161,-$E161,0)</f>
        <v>0</v>
      </c>
      <c r="AR161" s="1808">
        <f>IF(AV161=0,0,IF(AV161&lt;0,IF($J161=3,AV161,IF($J161=2,AV161,IF($J161=1,AV161,0)))))</f>
        <v>0</v>
      </c>
      <c r="AS161" s="1807">
        <f>IF(AV161=0,0,IF(AV161&lt;0,IF($J161=6,AV161,IF($J161=5,AV161,IF($J161=4,AV161,0)))))</f>
        <v>0</v>
      </c>
      <c r="AT161" s="1807">
        <f>IF(AV161=0,0,IF(AV161&lt;0,IF($J161=9,AV161,IF($J161=8,AV161,IF($J161=7,AV161,0)))))</f>
        <v>0</v>
      </c>
      <c r="AU161" s="1806">
        <f>IF(AV161=0,0,IF(AV161&lt;0,IF($J161=12,AV161,IF($J161=11,AV161,IF($J161=10,AV161,0)))))</f>
        <v>0</v>
      </c>
      <c r="AV161" s="1791">
        <f>IF(AV$5=$H161,-$E161,0)</f>
        <v>0</v>
      </c>
      <c r="AW161" s="1808">
        <f>IF(BA161=0,0,IF(BA161&lt;0,IF($J161=3,BA161,IF($J161=2,BA161,IF($J161=1,BA161,0)))))</f>
        <v>0</v>
      </c>
      <c r="AX161" s="1807">
        <f>IF(BA161=0,0,IF(BA161&lt;0,IF($J161=6,BA161,IF($J161=5,BA161,IF($J161=4,BA161,0)))))</f>
        <v>0</v>
      </c>
      <c r="AY161" s="1807">
        <f>IF(BA161=0,0,IF(BA161&lt;0,IF($J161=9,BA161,IF($J161=8,BA161,IF($J161=7,BA161,0)))))</f>
        <v>0</v>
      </c>
      <c r="AZ161" s="1806">
        <f>IF(BA161=0,0,IF(BA161&lt;0,IF($J161=12,BA161,IF($J161=11,BA161,IF($J161=10,BA161,0)))))</f>
        <v>0</v>
      </c>
      <c r="BA161" s="1791">
        <f>IF(BA$5=$H161,-$E161,0)</f>
        <v>0</v>
      </c>
      <c r="BB161" s="1808">
        <f>IF(BF161=0,0,IF(BF161&lt;0,IF($J161=3,BF161,IF($J161=2,BF161,IF($J161=1,BF161,0)))))</f>
        <v>0</v>
      </c>
      <c r="BC161" s="1807">
        <f>IF(BF161=0,0,IF(BF161&lt;0,IF($J161=6,BF161,IF($J161=5,BF161,IF($J161=4,BF161,0)))))</f>
        <v>0</v>
      </c>
      <c r="BD161" s="1807">
        <f>IF(BF161=0,0,IF(BF161&lt;0,IF($J161=9,BF161,IF($J161=8,BF161,IF($J161=7,BF161,0)))))</f>
        <v>0</v>
      </c>
      <c r="BE161" s="1806">
        <f>IF(BF161=0,0,IF(BF161&lt;0,IF($J161=12,BF161,IF($J161=11,BF161,IF($J161=10,BF161,0)))))</f>
        <v>0</v>
      </c>
      <c r="BF161" s="1791">
        <f>IF(BF$5=$H161,-$E161,0)</f>
        <v>0</v>
      </c>
      <c r="BG161" s="1808">
        <f>IF(BK161=0,0,IF(BK161&lt;0,IF($J161=3,BK161,IF($J161=2,BK161,IF($J161=1,BK161,0)))))</f>
        <v>0</v>
      </c>
      <c r="BH161" s="1807">
        <f>IF(BK161=0,0,IF(BK161&lt;0,IF($J161=6,BK161,IF($J161=5,BK161,IF($J161=4,BK161,0)))))</f>
        <v>0</v>
      </c>
      <c r="BI161" s="1807">
        <f>IF(BK161=0,0,IF(BK161&lt;0,IF($J161=9,BK161,IF($J161=8,BK161,IF($J161=7,BK161,0)))))</f>
        <v>0</v>
      </c>
      <c r="BJ161" s="1806">
        <f>IF(BK161=0,0,IF(BK161&lt;0,IF($J161=12,BK161,IF($J161=11,BK161,IF($J161=10,BK161,0)))))</f>
        <v>0</v>
      </c>
      <c r="BK161" s="1791">
        <f>IF(BK$5=$H161,-$E161,0)</f>
        <v>0</v>
      </c>
      <c r="BL161" s="1808">
        <f>IF(BP161=0,0,IF(BP161&lt;0,IF($J161=3,BP161,IF($J161=2,BP161,IF($J161=1,BP161,0)))))</f>
        <v>0</v>
      </c>
      <c r="BM161" s="1807">
        <f>IF(BP161=0,0,IF(BP161&lt;0,IF($J161=6,BP161,IF($J161=5,BP161,IF($J161=4,BP161,0)))))</f>
        <v>0</v>
      </c>
      <c r="BN161" s="1807">
        <f>IF(BP161=0,0,IF(BP161&lt;0,IF($J161=9,BP161,IF($J161=8,BP161,IF($J161=7,BP161,0)))))</f>
        <v>0</v>
      </c>
      <c r="BO161" s="1806">
        <f>IF(BP161=0,0,IF(BP161&lt;0,IF($J161=12,BP161,IF($J161=11,BP161,IF($J161=10,BP161,0)))))</f>
        <v>0</v>
      </c>
      <c r="BP161" s="1791">
        <f>IF(BP$5=$H161,-$E161,0)</f>
        <v>0</v>
      </c>
      <c r="BQ161" s="1827"/>
      <c r="BR161" s="1791">
        <f t="shared" ref="BR161:BS163" si="2135">IF(AND(BQ161&lt;&gt;0,BQ$5=$H161),-$I161*$E161-BQ161,IF(BR$5=$H161,-$I161*$E161*(12-$J161+1)/12,0))</f>
        <v>0</v>
      </c>
      <c r="BS161" s="1791">
        <f t="shared" si="2135"/>
        <v>0</v>
      </c>
      <c r="BT161" s="1808">
        <f>IF($H161&lt;&gt;BX$5,0,IF(BX161&lt;0,IF($J161=1,-$E161*$I161/12*3,IF($J161=2,-$E161*$I161/12*2,IF($J161=3,-$E161*$I161/12*1,0)))))+IF(BS$5&lt;&gt;$H161,0,IF(BS161&lt;0,IF($J161=1,-$E161*$I161/12*0,IF($J161=2,-$E161*$I161/12*1,IF($J161=3,-$E161*$I161/12*2,IF($J161&gt;=4,-$E161*$I161/12*3,0))))))</f>
        <v>0</v>
      </c>
      <c r="BU161" s="1807">
        <f>IF($H161&lt;&gt;BX$5,0,IF(BX161&lt;0,IF(OR($J161=1,$J161=2,$J161=3,$J161=4),-$E161*$I161/12*3,IF($J161=5,-$E161*$I161/12*2,IF($J161=6,-$E161*$I161/12*1,0)))))+IF(BS$5&lt;&gt;$H161,0,IF(BS161&lt;0,IF($J161=4,-$E161*$I161/12*0,IF($J161=5,-$E161*$I161/12*1,IF($J161=6,-$E161*$I161/12*2,IF($J161&gt;=7,-$E161*$I161/12*3,0))))))</f>
        <v>0</v>
      </c>
      <c r="BV161" s="1807">
        <f>IF($H161&lt;&gt;BX$5,0,IF(BX161&lt;0,IF(OR($J161=1,$J161=2,$J161=3,$J161=4,$J161=5,$J161=6,$J161=7),-$E161*$I161/12*3,IF($J161=8,-$E161*$I161/12*2,IF($J161=9,-$E161*$I161/12*1,0)))))+IF(BS$5&lt;&gt;$H161,0,IF(BS161&lt;0,IF($J161=7,-$E161*$I161/12*0,IF($J161=8,-$E161*$I161/12*1,IF($J161=9,-$E161*$I161/12*2,IF($J161&gt;=10,-$E161*$I161/12*3,0))))))</f>
        <v>0</v>
      </c>
      <c r="BW161" s="1806">
        <f>IF($H161&lt;&gt;BX$5,0,IF(BX161&lt;0,IF(OR($J161=1,$J161=2,$J161=3,$J161=4,$J161=5,$J161=6,$J161=7,$J161=8,$J161=9,$J161=10),-$E161*$I161/12*3,IF($J161=11,-$E161*$I161/12*2,IF($J161=12,-$E161*$I161/12*1,0)))))+IF(BS$5&lt;&gt;$H161,0,IF(BS161&lt;0,IF($J161=10,-$E161*$I161/12*0,IF($J161=11,-$E161*$I161/12*1,IF($J161=12,-$E161*$I161/12*2,0)))))</f>
        <v>0</v>
      </c>
      <c r="BX161" s="1791">
        <f>IF(AND(BS161&lt;&gt;0,BS$5=$H161),-$I161*$E161-BS161,IF(BX$5=$H161,-$I161*$E161*(12-$J161+1)/12,0))</f>
        <v>0</v>
      </c>
      <c r="BY161" s="1808">
        <f>IF($H161&lt;&gt;CC$5,0,IF(CC161&lt;0,IF($J161=1,-$E161*$I161/12*3,IF($J161=2,-$E161*$I161/12*2,IF($J161=3,-$E161*$I161/12*1,0)))))+IF(BX$5&lt;&gt;$H161,0,IF(BX161&lt;0,IF($J161=1,-$E161*$I161/12*0,IF($J161=2,-$E161*$I161/12*1,IF($J161=3,-$E161*$I161/12*2,IF($J161&gt;=4,-$E161*$I161/12*3,0))))))</f>
        <v>0</v>
      </c>
      <c r="BZ161" s="1807">
        <f>IF($H161&lt;&gt;CC$5,0,IF(CC161&lt;0,IF(OR($J161=1,$J161=2,$J161=3,$J161=4),-$E161*$I161/12*3,IF($J161=5,-$E161*$I161/12*2,IF($J161=6,-$E161*$I161/12*1,0)))))+IF(BX$5&lt;&gt;$H161,0,IF(BX161&lt;0,IF($J161=4,-$E161*$I161/12*0,IF($J161=5,-$E161*$I161/12*1,IF($J161=6,-$E161*$I161/12*2,IF($J161&gt;=7,-$E161*$I161/12*3,0))))))</f>
        <v>0</v>
      </c>
      <c r="CA161" s="1807">
        <f>IF($H161&lt;&gt;CC$5,0,IF(CC161&lt;0,IF(OR($J161=1,$J161=2,$J161=3,$J161=4,$J161=5,$J161=6,$J161=7),-$E161*$I161/12*3,IF($J161=8,-$E161*$I161/12*2,IF($J161=9,-$E161*$I161/12*1,0)))))+IF(BX$5&lt;&gt;$H161,0,IF(BX161&lt;0,IF($J161=7,-$E161*$I161/12*0,IF($J161=8,-$E161*$I161/12*1,IF($J161=9,-$E161*$I161/12*2,IF($J161&gt;=10,-$E161*$I161/12*3,0))))))</f>
        <v>0</v>
      </c>
      <c r="CB161" s="1806">
        <f>IF($H161&lt;&gt;CC$5,0,IF(CC161&lt;0,IF(OR($J161=1,$J161=2,$J161=3,$J161=4,$J161=5,$J161=6,$J161=7,$J161=8,$J161=9,$J161=10),-$E161*$I161/12*3,IF($J161=11,-$E161*$I161/12*2,IF($J161=12,-$E161*$I161/12*1,0)))))+IF(BX$5&lt;&gt;$H161,0,IF(BX161&lt;0,IF($J161=10,-$E161*$I161/12*0,IF($J161=11,-$E161*$I161/12*1,IF($J161=12,-$E161*$I161/12*2,0)))))</f>
        <v>0</v>
      </c>
      <c r="CC161" s="1791">
        <f>IF(AND(BX161&lt;&gt;0,BX$5=$H161),-$I161*$E161-BX161,IF(CC$5=$H161,-$I161*$E161*(12-$J161+1)/12,0))</f>
        <v>0</v>
      </c>
      <c r="CD161" s="1808">
        <f>IF($H161&lt;&gt;CH$5,0,IF(CH161&lt;0,IF($J161=1,-$E161*$I161/12*3,IF($J161=2,-$E161*$I161/12*2,IF($J161=3,-$E161*$I161/12*1,0)))))+IF(CC$5&lt;&gt;$H161,0,IF(CC161&lt;0,IF($J161=1,-$E161*$I161/12*0,IF($J161=2,-$E161*$I161/12*1,IF($J161=3,-$E161*$I161/12*2,IF($J161&gt;=4,-$E161*$I161/12*3,0))))))</f>
        <v>0</v>
      </c>
      <c r="CE161" s="1807">
        <f>IF($H161&lt;&gt;CH$5,0,IF(CH161&lt;0,IF(OR($J161=1,$J161=2,$J161=3,$J161=4),-$E161*$I161/12*3,IF($J161=5,-$E161*$I161/12*2,IF($J161=6,-$E161*$I161/12*1,0)))))+IF(CC$5&lt;&gt;$H161,0,IF(CC161&lt;0,IF($J161=4,-$E161*$I161/12*0,IF($J161=5,-$E161*$I161/12*1,IF($J161=6,-$E161*$I161/12*2,IF($J161&gt;=7,-$E161*$I161/12*3,0))))))</f>
        <v>0</v>
      </c>
      <c r="CF161" s="1807">
        <f>IF($H161&lt;&gt;CH$5,0,IF(CH161&lt;0,IF(OR($J161=1,$J161=2,$J161=3,$J161=4,$J161=5,$J161=6,$J161=7),-$E161*$I161/12*3,IF($J161=8,-$E161*$I161/12*2,IF($J161=9,-$E161*$I161/12*1,0)))))+IF(CC$5&lt;&gt;$H161,0,IF(CC161&lt;0,IF($J161=7,-$E161*$I161/12*0,IF($J161=8,-$E161*$I161/12*1,IF($J161=9,-$E161*$I161/12*2,IF($J161&gt;=10,-$E161*$I161/12*3,0))))))</f>
        <v>0</v>
      </c>
      <c r="CG161" s="1806">
        <f>IF($H161&lt;&gt;CH$5,0,IF(CH161&lt;0,IF(OR($J161=1,$J161=2,$J161=3,$J161=4,$J161=5,$J161=6,$J161=7,$J161=8,$J161=9,$J161=10),-$E161*$I161/12*3,IF($J161=11,-$E161*$I161/12*2,IF($J161=12,-$E161*$I161/12*1,0)))))+IF(CC$5&lt;&gt;$H161,0,IF(CC161&lt;0,IF($J161=10,-$E161*$I161/12*0,IF($J161=11,-$E161*$I161/12*1,IF($J161=12,-$E161*$I161/12*2,0)))))</f>
        <v>0</v>
      </c>
      <c r="CH161" s="1791">
        <f>IF(AND(CC161&lt;&gt;0,CC$5=$H161),-$I161*$E161-CC161,IF(CH$5=$H161,-$I161*$E161*(12-$J161+1)/12,0))</f>
        <v>0</v>
      </c>
      <c r="CI161" s="1808">
        <f>IF($H161&lt;&gt;CM$5,0,IF(CM161&lt;0,IF($J161=1,-$E161*$I161/12*3,IF($J161=2,-$E161*$I161/12*2,IF($J161=3,-$E161*$I161/12*1,0)))))+IF(CH$5&lt;&gt;$H161,0,IF(CH161&lt;0,IF($J161=1,-$E161*$I161/12*0,IF($J161=2,-$E161*$I161/12*1,IF($J161=3,-$E161*$I161/12*2,IF($J161&gt;=4,-$E161*$I161/12*3,0))))))</f>
        <v>0</v>
      </c>
      <c r="CJ161" s="1807">
        <f>IF($H161&lt;&gt;CM$5,0,IF(CM161&lt;0,IF(OR($J161=1,$J161=2,$J161=3,$J161=4),-$E161*$I161/12*3,IF($J161=5,-$E161*$I161/12*2,IF($J161=6,-$E161*$I161/12*1,0)))))+IF(CH$5&lt;&gt;$H161,0,IF(CH161&lt;0,IF($J161=4,-$E161*$I161/12*0,IF($J161=5,-$E161*$I161/12*1,IF($J161=6,-$E161*$I161/12*2,IF($J161&gt;=7,-$E161*$I161/12*3,0))))))</f>
        <v>0</v>
      </c>
      <c r="CK161" s="1807">
        <f>IF($H161&lt;&gt;CM$5,0,IF(CM161&lt;0,IF(OR($J161=1,$J161=2,$J161=3,$J161=4,$J161=5,$J161=6,$J161=7),-$E161*$I161/12*3,IF($J161=8,-$E161*$I161/12*2,IF($J161=9,-$E161*$I161/12*1,0)))))+IF(CH$5&lt;&gt;$H161,0,IF(CH161&lt;0,IF($J161=7,-$E161*$I161/12*0,IF($J161=8,-$E161*$I161/12*1,IF($J161=9,-$E161*$I161/12*2,IF($J161&gt;=10,-$E161*$I161/12*3,0))))))</f>
        <v>0</v>
      </c>
      <c r="CL161" s="1806">
        <f>IF($H161&lt;&gt;CM$5,0,IF(CM161&lt;0,IF(OR($J161=1,$J161=2,$J161=3,$J161=4,$J161=5,$J161=6,$J161=7,$J161=8,$J161=9,$J161=10),-$E161*$I161/12*3,IF($J161=11,-$E161*$I161/12*2,IF($J161=12,-$E161*$I161/12*1,0)))))+IF(CH$5&lt;&gt;$H161,0,IF(CH161&lt;0,IF($J161=10,-$E161*$I161/12*0,IF($J161=11,-$E161*$I161/12*1,IF($J161=12,-$E161*$I161/12*2,0)))))</f>
        <v>0</v>
      </c>
      <c r="CM161" s="1791">
        <f>IF(AND(CH161&lt;&gt;0,CH$5=$H161),-$I161*$E161-CH161,IF(CM$5=$H161,-$I161*$E161*(12-$J161+1)/12,0))</f>
        <v>0</v>
      </c>
      <c r="CN161" s="1808">
        <f>IF($H161&lt;&gt;CR$5,0,IF(CR161&lt;0,IF($J161=1,-$E161*$I161/12*3,IF($J161=2,-$E161*$I161/12*2,IF($J161=3,-$E161*$I161/12*1,0)))))+IF(CM$5&lt;&gt;$H161,0,IF(CM161&lt;0,IF($J161=1,-$E161*$I161/12*0,IF($J161=2,-$E161*$I161/12*1,IF($J161=3,-$E161*$I161/12*2,IF($J161&gt;=4,-$E161*$I161/12*3,0))))))</f>
        <v>0</v>
      </c>
      <c r="CO161" s="1807">
        <f>IF($H161&lt;&gt;CR$5,0,IF(CR161&lt;0,IF(OR($J161=1,$J161=2,$J161=3,$J161=4),-$E161*$I161/12*3,IF($J161=5,-$E161*$I161/12*2,IF($J161=6,-$E161*$I161/12*1,0)))))+IF(CM$5&lt;&gt;$H161,0,IF(CM161&lt;0,IF($J161=4,-$E161*$I161/12*0,IF($J161=5,-$E161*$I161/12*1,IF($J161=6,-$E161*$I161/12*2,IF($J161&gt;=7,-$E161*$I161/12*3,0))))))</f>
        <v>0</v>
      </c>
      <c r="CP161" s="1807">
        <f>IF($H161&lt;&gt;CR$5,0,IF(CR161&lt;0,IF(OR($J161=1,$J161=2,$J161=3,$J161=4,$J161=5,$J161=6,$J161=7),-$E161*$I161/12*3,IF($J161=8,-$E161*$I161/12*2,IF($J161=9,-$E161*$I161/12*1,0)))))+IF(CM$5&lt;&gt;$H161,0,IF(CM161&lt;0,IF($J161=7,-$E161*$I161/12*0,IF($J161=8,-$E161*$I161/12*1,IF($J161=9,-$E161*$I161/12*2,IF($J161&gt;=10,-$E161*$I161/12*3,0))))))</f>
        <v>0</v>
      </c>
      <c r="CQ161" s="1806">
        <f>IF($H161&lt;&gt;CR$5,0,IF(CR161&lt;0,IF(OR($J161=1,$J161=2,$J161=3,$J161=4,$J161=5,$J161=6,$J161=7,$J161=8,$J161=9,$J161=10),-$E161*$I161/12*3,IF($J161=11,-$E161*$I161/12*2,IF($J161=12,-$E161*$I161/12*1,0)))))+IF(CM$5&lt;&gt;$H161,0,IF(CM161&lt;0,IF($J161=10,-$E161*$I161/12*0,IF($J161=11,-$E161*$I161/12*1,IF($J161=12,-$E161*$I161/12*2,0)))))</f>
        <v>0</v>
      </c>
      <c r="CR161" s="1791">
        <f>IF(AND(CM161&lt;&gt;0,CM$5=$H161),-$I161*$E161-CM161,IF(CR$5=$H161,-$I161*$E161*(12-$J161+1)/12,0))</f>
        <v>0</v>
      </c>
      <c r="CS161" s="1808">
        <f>IF($H161&lt;&gt;CW$5,0,IF(CW161&lt;0,IF($J161=1,-$E161*$I161/12*3,IF($J161=2,-$E161*$I161/12*2,IF($J161=3,-$E161*$I161/12*1,0)))))+IF(CR$5&lt;&gt;$H161,0,IF(CR161&lt;0,IF($J161=1,-$E161*$I161/12*0,IF($J161=2,-$E161*$I161/12*1,IF($J161=3,-$E161*$I161/12*2,IF($J161&gt;=4,-$E161*$I161/12*3,0))))))</f>
        <v>0</v>
      </c>
      <c r="CT161" s="1807">
        <f>IF($H161&lt;&gt;CW$5,0,IF(CW161&lt;0,IF(OR($J161=1,$J161=2,$J161=3,$J161=4),-$E161*$I161/12*3,IF($J161=5,-$E161*$I161/12*2,IF($J161=6,-$E161*$I161/12*1,0)))))+IF(CR$5&lt;&gt;$H161,0,IF(CR161&lt;0,IF($J161=4,-$E161*$I161/12*0,IF($J161=5,-$E161*$I161/12*1,IF($J161=6,-$E161*$I161/12*2,IF($J161&gt;=7,-$E161*$I161/12*3,0))))))</f>
        <v>0</v>
      </c>
      <c r="CU161" s="1807">
        <f>IF($H161&lt;&gt;CW$5,0,IF(CW161&lt;0,IF(OR($J161=1,$J161=2,$J161=3,$J161=4,$J161=5,$J161=6,$J161=7),-$E161*$I161/12*3,IF($J161=8,-$E161*$I161/12*2,IF($J161=9,-$E161*$I161/12*1,0)))))+IF(CR$5&lt;&gt;$H161,0,IF(CR161&lt;0,IF($J161=7,-$E161*$I161/12*0,IF($J161=8,-$E161*$I161/12*1,IF($J161=9,-$E161*$I161/12*2,IF($J161&gt;=10,-$E161*$I161/12*3,0))))))</f>
        <v>0</v>
      </c>
      <c r="CV161" s="1806">
        <f>IF($H161&lt;&gt;CW$5,0,IF(CW161&lt;0,IF(OR($J161=1,$J161=2,$J161=3,$J161=4,$J161=5,$J161=6,$J161=7,$J161=8,$J161=9,$J161=10),-$E161*$I161/12*3,IF($J161=11,-$E161*$I161/12*2,IF($J161=12,-$E161*$I161/12*1,0)))))+IF(CR$5&lt;&gt;$H161,0,IF(CR161&lt;0,IF($J161=10,-$E161*$I161/12*0,IF($J161=11,-$E161*$I161/12*1,IF($J161=12,-$E161*$I161/12*2,0)))))</f>
        <v>0</v>
      </c>
      <c r="CW161" s="1791">
        <f>IF(AND(CR161&lt;&gt;0,CR$5=$H161),-$I161*$E161-CR161,IF(CW$5=$H161,-$I161*$E161*(12-$J161+1)/12,0))</f>
        <v>0</v>
      </c>
      <c r="CX161" s="1808">
        <f>IF($H161&lt;&gt;DB$5,0,IF(DB161&lt;0,IF($J161=1,-$E161*$I161/12*3,IF($J161=2,-$E161*$I161/12*2,IF($J161=3,-$E161*$I161/12*1,0)))))+IF(CW$5&lt;&gt;$H161,0,IF(CW161&lt;0,IF($J161=1,-$E161*$I161/12*0,IF($J161=2,-$E161*$I161/12*1,IF($J161=3,-$E161*$I161/12*2,IF($J161&gt;=4,-$E161*$I161/12*3,0))))))</f>
        <v>0</v>
      </c>
      <c r="CY161" s="1807">
        <f>IF($H161&lt;&gt;DB$5,0,IF(DB161&lt;0,IF(OR($J161=1,$J161=2,$J161=3,$J161=4),-$E161*$I161/12*3,IF($J161=5,-$E161*$I161/12*2,IF($J161=6,-$E161*$I161/12*1,0)))))+IF(CW$5&lt;&gt;$H161,0,IF(CW161&lt;0,IF($J161=4,-$E161*$I161/12*0,IF($J161=5,-$E161*$I161/12*1,IF($J161=6,-$E161*$I161/12*2,IF($J161&gt;=7,-$E161*$I161/12*3,0))))))</f>
        <v>0</v>
      </c>
      <c r="CZ161" s="1807">
        <f>IF($H161&lt;&gt;DB$5,0,IF(DB161&lt;0,IF(OR($J161=1,$J161=2,$J161=3,$J161=4,$J161=5,$J161=6,$J161=7),-$E161*$I161/12*3,IF($J161=8,-$E161*$I161/12*2,IF($J161=9,-$E161*$I161/12*1,0)))))+IF(CW$5&lt;&gt;$H161,0,IF(CW161&lt;0,IF($J161=7,-$E161*$I161/12*0,IF($J161=8,-$E161*$I161/12*1,IF($J161=9,-$E161*$I161/12*2,IF($J161&gt;=10,-$E161*$I161/12*3,0))))))</f>
        <v>0</v>
      </c>
      <c r="DA161" s="1806">
        <f>IF($H161&lt;&gt;DB$5,0,IF(DB161&lt;0,IF(OR($J161=1,$J161=2,$J161=3,$J161=4,$J161=5,$J161=6,$J161=7,$J161=8,$J161=9,$J161=10),-$E161*$I161/12*3,IF($J161=11,-$E161*$I161/12*2,IF($J161=12,-$E161*$I161/12*1,0)))))+IF(CW$5&lt;&gt;$H161,0,IF(CW161&lt;0,IF($J161=10,-$E161*$I161/12*0,IF($J161=11,-$E161*$I161/12*1,IF($J161=12,-$E161*$I161/12*2,0)))))</f>
        <v>0</v>
      </c>
      <c r="DB161" s="1791">
        <f>IF(AND(CW161&lt;&gt;0,CW$5=$H161),-$I161*$E161-CW161,IF(DB$5=$H161,-$I161*$E161*(12-$J161+1)/12,0))</f>
        <v>0</v>
      </c>
      <c r="DC161" s="1808">
        <f>IF($H161&lt;&gt;DG$5,0,IF(DG161&lt;0,IF($J161=1,-$E161*$I161/12*3,IF($J161=2,-$E161*$I161/12*2,IF($J161=3,-$E161*$I161/12*1,0)))))+IF(DB$5&lt;&gt;$H161,0,IF(DB161&lt;0,IF($J161=1,-$E161*$I161/12*0,IF($J161=2,-$E161*$I161/12*1,IF($J161=3,-$E161*$I161/12*2,IF($J161&gt;=4,-$E161*$I161/12*3,0))))))</f>
        <v>0</v>
      </c>
      <c r="DD161" s="1807">
        <f>IF($H161&lt;&gt;DG$5,0,IF(DG161&lt;0,IF(OR($J161=1,$J161=2,$J161=3,$J161=4),-$E161*$I161/12*3,IF($J161=5,-$E161*$I161/12*2,IF($J161=6,-$E161*$I161/12*1,0)))))+IF(DB$5&lt;&gt;$H161,0,IF(DB161&lt;0,IF($J161=4,-$E161*$I161/12*0,IF($J161=5,-$E161*$I161/12*1,IF($J161=6,-$E161*$I161/12*2,IF($J161&gt;=7,-$E161*$I161/12*3,0))))))</f>
        <v>0</v>
      </c>
      <c r="DE161" s="1807">
        <f>IF($H161&lt;&gt;DG$5,0,IF(DG161&lt;0,IF(OR($J161=1,$J161=2,$J161=3,$J161=4,$J161=5,$J161=6,$J161=7),-$E161*$I161/12*3,IF($J161=8,-$E161*$I161/12*2,IF($J161=9,-$E161*$I161/12*1,0)))))+IF(DB$5&lt;&gt;$H161,0,IF(DB161&lt;0,IF($J161=7,-$E161*$I161/12*0,IF($J161=8,-$E161*$I161/12*1,IF($J161=9,-$E161*$I161/12*2,IF($J161&gt;=10,-$E161*$I161/12*3,0))))))</f>
        <v>0</v>
      </c>
      <c r="DF161" s="1806">
        <f>IF($H161&lt;&gt;DG$5,0,IF(DG161&lt;0,IF(OR($J161=1,$J161=2,$J161=3,$J161=4,$J161=5,$J161=6,$J161=7,$J161=8,$J161=9,$J161=10),-$E161*$I161/12*3,IF($J161=11,-$E161*$I161/12*2,IF($J161=12,-$E161*$I161/12*1,0)))))+IF(DB$5&lt;&gt;$H161,0,IF(DB161&lt;0,IF($J161=10,-$E161*$I161/12*0,IF($J161=11,-$E161*$I161/12*1,IF($J161=12,-$E161*$I161/12*2,0)))))</f>
        <v>0</v>
      </c>
      <c r="DG161" s="1791">
        <f>IF(AND(DB161&lt;&gt;0,DB$5=$H161),-$I161*$E161-DB161,IF(DG$5=$H161,-$I161*$E161*(12-$J161+1)/12,0))</f>
        <v>0</v>
      </c>
      <c r="DH161" s="1808">
        <f>IF($H161&lt;&gt;DL$5,0,IF(DL161&lt;0,IF($J161=1,-$E161*$I161/12*3,IF($J161=2,-$E161*$I161/12*2,IF($J161=3,-$E161*$I161/12*1,0)))))+IF(DG$5&lt;&gt;$H161,0,IF(DG161&lt;0,IF($J161=1,-$E161*$I161/12*0,IF($J161=2,-$E161*$I161/12*1,IF($J161=3,-$E161*$I161/12*2,IF($J161&gt;=4,-$E161*$I161/12*3,0))))))</f>
        <v>0</v>
      </c>
      <c r="DI161" s="1807">
        <f>IF($H161&lt;&gt;DL$5,0,IF(DL161&lt;0,IF(OR($J161=1,$J161=2,$J161=3,$J161=4),-$E161*$I161/12*3,IF($J161=5,-$E161*$I161/12*2,IF($J161=6,-$E161*$I161/12*1,0)))))+IF(DG$5&lt;&gt;$H161,0,IF(DG161&lt;0,IF($J161=4,-$E161*$I161/12*0,IF($J161=5,-$E161*$I161/12*1,IF($J161=6,-$E161*$I161/12*2,IF($J161&gt;=7,-$E161*$I161/12*3,0))))))</f>
        <v>0</v>
      </c>
      <c r="DJ161" s="1807">
        <f>IF($H161&lt;&gt;DL$5,0,IF(DL161&lt;0,IF(OR($J161=1,$J161=2,$J161=3,$J161=4,$J161=5,$J161=6,$J161=7),-$E161*$I161/12*3,IF($J161=8,-$E161*$I161/12*2,IF($J161=9,-$E161*$I161/12*1,0)))))+IF(DG$5&lt;&gt;$H161,0,IF(DG161&lt;0,IF($J161=7,-$E161*$I161/12*0,IF($J161=8,-$E161*$I161/12*1,IF($J161=9,-$E161*$I161/12*2,IF($J161&gt;=10,-$E161*$I161/12*3,0))))))</f>
        <v>0</v>
      </c>
      <c r="DK161" s="1806">
        <f>IF($H161&lt;&gt;DL$5,0,IF(DL161&lt;0,IF(OR($J161=1,$J161=2,$J161=3,$J161=4,$J161=5,$J161=6,$J161=7,$J161=8,$J161=9,$J161=10),-$E161*$I161/12*3,IF($J161=11,-$E161*$I161/12*2,IF($J161=12,-$E161*$I161/12*1,0)))))+IF(DG$5&lt;&gt;$H161,0,IF(DG161&lt;0,IF($J161=10,-$E161*$I161/12*0,IF($J161=11,-$E161*$I161/12*1,IF($J161=12,-$E161*$I161/12*2,0)))))</f>
        <v>0</v>
      </c>
      <c r="DL161" s="1791">
        <f>IF(AND(DG161&lt;&gt;0,DG$5=$H161),-$I161*$E161-DG161,IF(DL$5=$H161,-$I161*$E161*(12-$J161+1)/12,0))</f>
        <v>0</v>
      </c>
      <c r="DM161" s="1808">
        <f>IF($H161&lt;&gt;DQ$5,0,IF(DQ161&lt;0,IF($J161=1,-$E161*$I161/12*3,IF($J161=2,-$E161*$I161/12*2,IF($J161=3,-$E161*$I161/12*1,0)))))+IF(DL$5&lt;&gt;$H161,0,IF(DL161&lt;0,IF($J161=1,-$E161*$I161/12*0,IF($J161=2,-$E161*$I161/12*1,IF($J161=3,-$E161*$I161/12*2,IF($J161&gt;=4,-$E161*$I161/12*3,0))))))</f>
        <v>0</v>
      </c>
      <c r="DN161" s="1807">
        <f>IF($H161&lt;&gt;DQ$5,0,IF(DQ161&lt;0,IF(OR($J161=1,$J161=2,$J161=3,$J161=4),-$E161*$I161/12*3,IF($J161=5,-$E161*$I161/12*2,IF($J161=6,-$E161*$I161/12*1,0)))))+IF(DL$5&lt;&gt;$H161,0,IF(DL161&lt;0,IF($J161=4,-$E161*$I161/12*0,IF($J161=5,-$E161*$I161/12*1,IF($J161=6,-$E161*$I161/12*2,IF($J161&gt;=7,-$E161*$I161/12*3,0))))))</f>
        <v>0</v>
      </c>
      <c r="DO161" s="1807">
        <f>IF($H161&lt;&gt;DQ$5,0,IF(DQ161&lt;0,IF(OR($J161=1,$J161=2,$J161=3,$J161=4,$J161=5,$J161=6,$J161=7),-$E161*$I161/12*3,IF($J161=8,-$E161*$I161/12*2,IF($J161=9,-$E161*$I161/12*1,0)))))+IF(DL$5&lt;&gt;$H161,0,IF(DL161&lt;0,IF($J161=7,-$E161*$I161/12*0,IF($J161=8,-$E161*$I161/12*1,IF($J161=9,-$E161*$I161/12*2,IF($J161&gt;=10,-$E161*$I161/12*3,0))))))</f>
        <v>0</v>
      </c>
      <c r="DP161" s="1806">
        <f>IF($H161&lt;&gt;DQ$5,0,IF(DQ161&lt;0,IF(OR($J161=1,$J161=2,$J161=3,$J161=4,$J161=5,$J161=6,$J161=7,$J161=8,$J161=9,$J161=10),-$E161*$I161/12*3,IF($J161=11,-$E161*$I161/12*2,IF($J161=12,-$E161*$I161/12*1,0)))))+IF(DL$5&lt;&gt;$H161,0,IF(DL161&lt;0,IF($J161=10,-$E161*$I161/12*0,IF($J161=11,-$E161*$I161/12*1,IF($J161=12,-$E161*$I161/12*2,0)))))</f>
        <v>0</v>
      </c>
      <c r="DQ161" s="1791">
        <f>IF(AND(DL161&lt;&gt;0,DL$5=$H161),-$I161*$E161-DL161,IF(DQ$5=$H161,-$I161*$E161*(12-$J161+1)/12,0))</f>
        <v>0</v>
      </c>
      <c r="DR161" s="1808">
        <f>IF($H161&lt;&gt;DV$5,0,IF(DV161&lt;0,IF($J161=1,-$E161*$I161/12*3,IF($J161=2,-$E161*$I161/12*2,IF($J161=3,-$E161*$I161/12*1,0)))))+IF(DQ$5&lt;&gt;$H161,0,IF(DQ161&lt;0,IF($J161=1,-$E161*$I161/12*0,IF($J161=2,-$E161*$I161/12*1,IF($J161=3,-$E161*$I161/12*2,IF($J161&gt;=4,-$E161*$I161/12*3,0))))))</f>
        <v>0</v>
      </c>
      <c r="DS161" s="1807">
        <f>IF($H161&lt;&gt;DV$5,0,IF(DV161&lt;0,IF(OR($J161=1,$J161=2,$J161=3,$J161=4),-$E161*$I161/12*3,IF($J161=5,-$E161*$I161/12*2,IF($J161=6,-$E161*$I161/12*1,0)))))+IF(DQ$5&lt;&gt;$H161,0,IF(DQ161&lt;0,IF($J161=4,-$E161*$I161/12*0,IF($J161=5,-$E161*$I161/12*1,IF($J161=6,-$E161*$I161/12*2,IF($J161&gt;=7,-$E161*$I161/12*3,0))))))</f>
        <v>0</v>
      </c>
      <c r="DT161" s="1807">
        <f>IF($H161&lt;&gt;DV$5,0,IF(DV161&lt;0,IF(OR($J161=1,$J161=2,$J161=3,$J161=4,$J161=5,$J161=6,$J161=7),-$E161*$I161/12*3,IF($J161=8,-$E161*$I161/12*2,IF($J161=9,-$E161*$I161/12*1,0)))))+IF(DQ$5&lt;&gt;$H161,0,IF(DQ161&lt;0,IF($J161=7,-$E161*$I161/12*0,IF($J161=8,-$E161*$I161/12*1,IF($J161=9,-$E161*$I161/12*2,IF($J161&gt;=10,-$E161*$I161/12*3,0))))))</f>
        <v>0</v>
      </c>
      <c r="DU161" s="1806">
        <f>IF($H161&lt;&gt;DV$5,0,IF(DV161&lt;0,IF(OR($J161=1,$J161=2,$J161=3,$J161=4,$J161=5,$J161=6,$J161=7,$J161=8,$J161=9,$J161=10),-$E161*$I161/12*3,IF($J161=11,-$E161*$I161/12*2,IF($J161=12,-$E161*$I161/12*1,0)))))+IF(DQ$5&lt;&gt;$H161,0,IF(DQ161&lt;0,IF($J161=10,-$E161*$I161/12*0,IF($J161=11,-$E161*$I161/12*1,IF($J161=12,-$E161*$I161/12*2,0)))))</f>
        <v>0</v>
      </c>
      <c r="DV161" s="1791">
        <f>IF(AND(DQ161&lt;&gt;0,DQ$5=$H161),-$I161*$E161-DQ161,IF(DV$5=$H161,-$I161*$E161*(12-$J161+1)/12,0))</f>
        <v>0</v>
      </c>
    </row>
    <row r="162" spans="1:126">
      <c r="A162" s="455"/>
      <c r="B162" s="455"/>
      <c r="C162" s="1363" t="s">
        <v>118</v>
      </c>
      <c r="D162" s="94"/>
      <c r="E162" s="1817">
        <f>IF(F162=0,G162,F162)</f>
        <v>50</v>
      </c>
      <c r="F162" s="1435">
        <v>0</v>
      </c>
      <c r="G162" s="1435">
        <v>50</v>
      </c>
      <c r="H162" s="1350">
        <v>2017</v>
      </c>
      <c r="I162" s="1335">
        <v>4.02E-2</v>
      </c>
      <c r="J162" s="1343">
        <v>2</v>
      </c>
      <c r="K162" s="1792"/>
      <c r="L162" s="1810">
        <f t="shared" si="2134"/>
        <v>0</v>
      </c>
      <c r="M162" s="1791">
        <f t="shared" si="2134"/>
        <v>0</v>
      </c>
      <c r="N162" s="1808">
        <f>IF(R162=0,0,IF(R162&lt;0,IF($J162=3,R162,IF($J162=2,R162,IF($J162=1,R162,0)))))</f>
        <v>0</v>
      </c>
      <c r="O162" s="1807">
        <f>IF(R162=0,0,IF(R162&lt;0,IF($J162=6,R162,IF($J162=5,R162,IF($J162=4,R162,0)))))</f>
        <v>0</v>
      </c>
      <c r="P162" s="1807">
        <f>IF(R162=0,0,IF(R162&lt;0,IF($J162=9,R162,IF($J162=8,R162,IF($J162=7,R162,0)))))</f>
        <v>0</v>
      </c>
      <c r="Q162" s="1806">
        <f>IF(R162=0,0,IF(R162&lt;0,IF($J162=12,R162,IF($J162=11,R162,IF($J162=10,R162,0)))))</f>
        <v>0</v>
      </c>
      <c r="R162" s="1791">
        <f>IF(R$5=$H162,-$E162,0)</f>
        <v>0</v>
      </c>
      <c r="S162" s="1808">
        <f>IF(W162=0,0,IF(W162&lt;0,IF($J162=3,W162,IF($J162=2,W162,IF($J162=1,W162,0)))))</f>
        <v>0</v>
      </c>
      <c r="T162" s="1807">
        <f>IF(W162=0,0,IF(W162&lt;0,IF($J162=6,W162,IF($J162=5,W162,IF($J162=4,W162,0)))))</f>
        <v>0</v>
      </c>
      <c r="U162" s="1807">
        <f>IF(W162=0,0,IF(W162&lt;0,IF($J162=9,W162,IF($J162=8,W162,IF($J162=7,W162,0)))))</f>
        <v>0</v>
      </c>
      <c r="V162" s="1806">
        <f>IF(W162=0,0,IF(W162&lt;0,IF($J162=12,W162,IF($J162=11,W162,IF($J162=10,W162,0)))))</f>
        <v>0</v>
      </c>
      <c r="W162" s="1791">
        <f>IF(W$5=$H162,-$E162,0)</f>
        <v>0</v>
      </c>
      <c r="X162" s="1808">
        <f>IF(AB162=0,0,IF(AB162&lt;0,IF($J162=3,AB162,IF($J162=2,AB162,IF($J162=1,AB162,0)))))</f>
        <v>0</v>
      </c>
      <c r="Y162" s="1807">
        <f>IF(AB162=0,0,IF(AB162&lt;0,IF($J162=6,AB162,IF($J162=5,AB162,IF($J162=4,AB162,0)))))</f>
        <v>0</v>
      </c>
      <c r="Z162" s="1807">
        <f>IF(AB162=0,0,IF(AB162&lt;0,IF($J162=9,AB162,IF($J162=8,AB162,IF($J162=7,AB162,0)))))</f>
        <v>0</v>
      </c>
      <c r="AA162" s="1806">
        <f>IF(AB162=0,0,IF(AB162&lt;0,IF($J162=12,AB162,IF($J162=11,AB162,IF($J162=10,AB162,0)))))</f>
        <v>0</v>
      </c>
      <c r="AB162" s="1791">
        <f>IF(AB$5=$H162,-$E162,0)</f>
        <v>0</v>
      </c>
      <c r="AC162" s="1808">
        <f>IF(AG162=0,0,IF(AG162&lt;0,IF($J162=3,AG162,IF($J162=2,AG162,IF($J162=1,AG162,0)))))</f>
        <v>0</v>
      </c>
      <c r="AD162" s="1807">
        <f>IF(AG162=0,0,IF(AG162&lt;0,IF($J162=6,AG162,IF($J162=5,AG162,IF($J162=4,AG162,0)))))</f>
        <v>0</v>
      </c>
      <c r="AE162" s="1807">
        <f>IF(AG162=0,0,IF(AG162&lt;0,IF($J162=9,AG162,IF($J162=8,AG162,IF($J162=7,AG162,0)))))</f>
        <v>0</v>
      </c>
      <c r="AF162" s="1806">
        <f>IF(AG162=0,0,IF(AG162&lt;0,IF($J162=12,AG162,IF($J162=11,AG162,IF($J162=10,AG162,0)))))</f>
        <v>0</v>
      </c>
      <c r="AG162" s="1791">
        <f>IF(AG$5=$H162,-$E162,0)</f>
        <v>0</v>
      </c>
      <c r="AH162" s="1808">
        <f>IF(AL162=0,0,IF(AL162&lt;0,IF($J162=3,AL162,IF($J162=2,AL162,IF($J162=1,AL162,0)))))</f>
        <v>0</v>
      </c>
      <c r="AI162" s="1807">
        <f>IF(AL162=0,0,IF(AL162&lt;0,IF($J162=6,AL162,IF($J162=5,AL162,IF($J162=4,AL162,0)))))</f>
        <v>0</v>
      </c>
      <c r="AJ162" s="1807">
        <f>IF(AL162=0,0,IF(AL162&lt;0,IF($J162=9,AL162,IF($J162=8,AL162,IF($J162=7,AL162,0)))))</f>
        <v>0</v>
      </c>
      <c r="AK162" s="1806">
        <f>IF(AL162=0,0,IF(AL162&lt;0,IF($J162=12,AL162,IF($J162=11,AL162,IF($J162=10,AL162,0)))))</f>
        <v>0</v>
      </c>
      <c r="AL162" s="1791">
        <f>IF(AL$5=$H162,-$E162,0)</f>
        <v>0</v>
      </c>
      <c r="AM162" s="1808">
        <f>IF(AQ162=0,0,IF(AQ162&lt;0,IF($J162=3,AQ162,IF($J162=2,AQ162,IF($J162=1,AQ162,0)))))</f>
        <v>0</v>
      </c>
      <c r="AN162" s="1807">
        <f>IF(AQ162=0,0,IF(AQ162&lt;0,IF($J162=6,AQ162,IF($J162=5,AQ162,IF($J162=4,AQ162,0)))))</f>
        <v>0</v>
      </c>
      <c r="AO162" s="1807">
        <f>IF(AQ162=0,0,IF(AQ162&lt;0,IF($J162=9,AQ162,IF($J162=8,AQ162,IF($J162=7,AQ162,0)))))</f>
        <v>0</v>
      </c>
      <c r="AP162" s="1806">
        <f>IF(AQ162=0,0,IF(AQ162&lt;0,IF($J162=12,AQ162,IF($J162=11,AQ162,IF($J162=10,AQ162,0)))))</f>
        <v>0</v>
      </c>
      <c r="AQ162" s="1791">
        <f>IF(AQ$5=$H162,-$E162,0)</f>
        <v>0</v>
      </c>
      <c r="AR162" s="1808">
        <f>IF(AV162=0,0,IF(AV162&lt;0,IF($J162=3,AV162,IF($J162=2,AV162,IF($J162=1,AV162,0)))))</f>
        <v>-50</v>
      </c>
      <c r="AS162" s="1807">
        <f>IF(AV162=0,0,IF(AV162&lt;0,IF($J162=6,AV162,IF($J162=5,AV162,IF($J162=4,AV162,0)))))</f>
        <v>0</v>
      </c>
      <c r="AT162" s="1807">
        <f>IF(AV162=0,0,IF(AV162&lt;0,IF($J162=9,AV162,IF($J162=8,AV162,IF($J162=7,AV162,0)))))</f>
        <v>0</v>
      </c>
      <c r="AU162" s="1806">
        <f>IF(AV162=0,0,IF(AV162&lt;0,IF($J162=12,AV162,IF($J162=11,AV162,IF($J162=10,AV162,0)))))</f>
        <v>0</v>
      </c>
      <c r="AV162" s="1791">
        <f>IF(AV$5=$H162,-$E162,0)</f>
        <v>-50</v>
      </c>
      <c r="AW162" s="1808">
        <f>IF(BA162=0,0,IF(BA162&lt;0,IF($J162=3,BA162,IF($J162=2,BA162,IF($J162=1,BA162,0)))))</f>
        <v>0</v>
      </c>
      <c r="AX162" s="1807">
        <f>IF(BA162=0,0,IF(BA162&lt;0,IF($J162=6,BA162,IF($J162=5,BA162,IF($J162=4,BA162,0)))))</f>
        <v>0</v>
      </c>
      <c r="AY162" s="1807">
        <f>IF(BA162=0,0,IF(BA162&lt;0,IF($J162=9,BA162,IF($J162=8,BA162,IF($J162=7,BA162,0)))))</f>
        <v>0</v>
      </c>
      <c r="AZ162" s="1806">
        <f>IF(BA162=0,0,IF(BA162&lt;0,IF($J162=12,BA162,IF($J162=11,BA162,IF($J162=10,BA162,0)))))</f>
        <v>0</v>
      </c>
      <c r="BA162" s="1791">
        <f>IF(BA$5=$H162,-$E162,0)</f>
        <v>0</v>
      </c>
      <c r="BB162" s="1808">
        <f>IF(BF162=0,0,IF(BF162&lt;0,IF($J162=3,BF162,IF($J162=2,BF162,IF($J162=1,BF162,0)))))</f>
        <v>0</v>
      </c>
      <c r="BC162" s="1807">
        <f>IF(BF162=0,0,IF(BF162&lt;0,IF($J162=6,BF162,IF($J162=5,BF162,IF($J162=4,BF162,0)))))</f>
        <v>0</v>
      </c>
      <c r="BD162" s="1807">
        <f>IF(BF162=0,0,IF(BF162&lt;0,IF($J162=9,BF162,IF($J162=8,BF162,IF($J162=7,BF162,0)))))</f>
        <v>0</v>
      </c>
      <c r="BE162" s="1806">
        <f>IF(BF162=0,0,IF(BF162&lt;0,IF($J162=12,BF162,IF($J162=11,BF162,IF($J162=10,BF162,0)))))</f>
        <v>0</v>
      </c>
      <c r="BF162" s="1791">
        <f>IF(BF$5=$H162,-$E162,0)</f>
        <v>0</v>
      </c>
      <c r="BG162" s="1808">
        <f>IF(BK162=0,0,IF(BK162&lt;0,IF($J162=3,BK162,IF($J162=2,BK162,IF($J162=1,BK162,0)))))</f>
        <v>0</v>
      </c>
      <c r="BH162" s="1807">
        <f>IF(BK162=0,0,IF(BK162&lt;0,IF($J162=6,BK162,IF($J162=5,BK162,IF($J162=4,BK162,0)))))</f>
        <v>0</v>
      </c>
      <c r="BI162" s="1807">
        <f>IF(BK162=0,0,IF(BK162&lt;0,IF($J162=9,BK162,IF($J162=8,BK162,IF($J162=7,BK162,0)))))</f>
        <v>0</v>
      </c>
      <c r="BJ162" s="1806">
        <f>IF(BK162=0,0,IF(BK162&lt;0,IF($J162=12,BK162,IF($J162=11,BK162,IF($J162=10,BK162,0)))))</f>
        <v>0</v>
      </c>
      <c r="BK162" s="1791">
        <f>IF(BK$5=$H162,-$E162,0)</f>
        <v>0</v>
      </c>
      <c r="BL162" s="1808">
        <f>IF(BP162=0,0,IF(BP162&lt;0,IF($J162=3,BP162,IF($J162=2,BP162,IF($J162=1,BP162,0)))))</f>
        <v>0</v>
      </c>
      <c r="BM162" s="1807">
        <f>IF(BP162=0,0,IF(BP162&lt;0,IF($J162=6,BP162,IF($J162=5,BP162,IF($J162=4,BP162,0)))))</f>
        <v>0</v>
      </c>
      <c r="BN162" s="1807">
        <f>IF(BP162=0,0,IF(BP162&lt;0,IF($J162=9,BP162,IF($J162=8,BP162,IF($J162=7,BP162,0)))))</f>
        <v>0</v>
      </c>
      <c r="BO162" s="1806">
        <f>IF(BP162=0,0,IF(BP162&lt;0,IF($J162=12,BP162,IF($J162=11,BP162,IF($J162=10,BP162,0)))))</f>
        <v>0</v>
      </c>
      <c r="BP162" s="1791">
        <f>IF(BP$5=$H162,-$E162,0)</f>
        <v>0</v>
      </c>
      <c r="BQ162" s="1827"/>
      <c r="BR162" s="1791">
        <f t="shared" si="2135"/>
        <v>0</v>
      </c>
      <c r="BS162" s="1791">
        <f t="shared" si="2135"/>
        <v>0</v>
      </c>
      <c r="BT162" s="1808">
        <f>IF($H162&lt;&gt;BX$5,0,IF(BX162&lt;0,IF($J162=1,-$E162*$I162/12*3,IF($J162=2,-$E162*$I162/12*2,IF($J162=3,-$E162*$I162/12*1,0)))))+IF(BS$5&lt;&gt;$H162,0,IF(BS162&lt;0,IF($J162=1,-$E162*$I162/12*0,IF($J162=2,-$E162*$I162/12*1,IF($J162=3,-$E162*$I162/12*2,IF($J162&gt;=4,-$E162*$I162/12*3,0))))))</f>
        <v>0</v>
      </c>
      <c r="BU162" s="1807">
        <f>IF($H162&lt;&gt;BX$5,0,IF(BX162&lt;0,IF(OR($J162=1,$J162=2,$J162=3,$J162=4),-$E162*$I162/12*3,IF($J162=5,-$E162*$I162/12*2,IF($J162=6,-$E162*$I162/12*1,0)))))+IF(BS$5&lt;&gt;$H162,0,IF(BS162&lt;0,IF($J162=4,-$E162*$I162/12*0,IF($J162=5,-$E162*$I162/12*1,IF($J162=6,-$E162*$I162/12*2,IF($J162&gt;=7,-$E162*$I162/12*3,0))))))</f>
        <v>0</v>
      </c>
      <c r="BV162" s="1807">
        <f>IF($H162&lt;&gt;BX$5,0,IF(BX162&lt;0,IF(OR($J162=1,$J162=2,$J162=3,$J162=4,$J162=5,$J162=6,$J162=7),-$E162*$I162/12*3,IF($J162=8,-$E162*$I162/12*2,IF($J162=9,-$E162*$I162/12*1,0)))))+IF(BS$5&lt;&gt;$H162,0,IF(BS162&lt;0,IF($J162=7,-$E162*$I162/12*0,IF($J162=8,-$E162*$I162/12*1,IF($J162=9,-$E162*$I162/12*2,IF($J162&gt;=10,-$E162*$I162/12*3,0))))))</f>
        <v>0</v>
      </c>
      <c r="BW162" s="1806">
        <f>IF($H162&lt;&gt;BX$5,0,IF(BX162&lt;0,IF(OR($J162=1,$J162=2,$J162=3,$J162=4,$J162=5,$J162=6,$J162=7,$J162=8,$J162=9,$J162=10),-$E162*$I162/12*3,IF($J162=11,-$E162*$I162/12*2,IF($J162=12,-$E162*$I162/12*1,0)))))+IF(BS$5&lt;&gt;$H162,0,IF(BS162&lt;0,IF($J162=10,-$E162*$I162/12*0,IF($J162=11,-$E162*$I162/12*1,IF($J162=12,-$E162*$I162/12*2,0)))))</f>
        <v>0</v>
      </c>
      <c r="BX162" s="1791">
        <f>IF(AND(BS162&lt;&gt;0,BS$5=$H162),-$I162*$E162-BS162,IF(BX$5=$H162,-$I162*$E162*(12-$J162+1)/12,0))</f>
        <v>0</v>
      </c>
      <c r="BY162" s="1808">
        <f>IF($H162&lt;&gt;CC$5,0,IF(CC162&lt;0,IF($J162=1,-$E162*$I162/12*3,IF($J162=2,-$E162*$I162/12*2,IF($J162=3,-$E162*$I162/12*1,0)))))+IF(BX$5&lt;&gt;$H162,0,IF(BX162&lt;0,IF($J162=1,-$E162*$I162/12*0,IF($J162=2,-$E162*$I162/12*1,IF($J162=3,-$E162*$I162/12*2,IF($J162&gt;=4,-$E162*$I162/12*3,0))))))</f>
        <v>0</v>
      </c>
      <c r="BZ162" s="1807">
        <f>IF($H162&lt;&gt;CC$5,0,IF(CC162&lt;0,IF(OR($J162=1,$J162=2,$J162=3,$J162=4),-$E162*$I162/12*3,IF($J162=5,-$E162*$I162/12*2,IF($J162=6,-$E162*$I162/12*1,0)))))+IF(BX$5&lt;&gt;$H162,0,IF(BX162&lt;0,IF($J162=4,-$E162*$I162/12*0,IF($J162=5,-$E162*$I162/12*1,IF($J162=6,-$E162*$I162/12*2,IF($J162&gt;=7,-$E162*$I162/12*3,0))))))</f>
        <v>0</v>
      </c>
      <c r="CA162" s="1807">
        <f>IF($H162&lt;&gt;CC$5,0,IF(CC162&lt;0,IF(OR($J162=1,$J162=2,$J162=3,$J162=4,$J162=5,$J162=6,$J162=7),-$E162*$I162/12*3,IF($J162=8,-$E162*$I162/12*2,IF($J162=9,-$E162*$I162/12*1,0)))))+IF(BX$5&lt;&gt;$H162,0,IF(BX162&lt;0,IF($J162=7,-$E162*$I162/12*0,IF($J162=8,-$E162*$I162/12*1,IF($J162=9,-$E162*$I162/12*2,IF($J162&gt;=10,-$E162*$I162/12*3,0))))))</f>
        <v>0</v>
      </c>
      <c r="CB162" s="1806">
        <f>IF($H162&lt;&gt;CC$5,0,IF(CC162&lt;0,IF(OR($J162=1,$J162=2,$J162=3,$J162=4,$J162=5,$J162=6,$J162=7,$J162=8,$J162=9,$J162=10),-$E162*$I162/12*3,IF($J162=11,-$E162*$I162/12*2,IF($J162=12,-$E162*$I162/12*1,0)))))+IF(BX$5&lt;&gt;$H162,0,IF(BX162&lt;0,IF($J162=10,-$E162*$I162/12*0,IF($J162=11,-$E162*$I162/12*1,IF($J162=12,-$E162*$I162/12*2,0)))))</f>
        <v>0</v>
      </c>
      <c r="CC162" s="1791">
        <f>IF(AND(BX162&lt;&gt;0,BX$5=$H162),-$I162*$E162-BX162,IF(CC$5=$H162,-$I162*$E162*(12-$J162+1)/12,0))</f>
        <v>0</v>
      </c>
      <c r="CD162" s="1808">
        <f>IF($H162&lt;&gt;CH$5,0,IF(CH162&lt;0,IF($J162=1,-$E162*$I162/12*3,IF($J162=2,-$E162*$I162/12*2,IF($J162=3,-$E162*$I162/12*1,0)))))+IF(CC$5&lt;&gt;$H162,0,IF(CC162&lt;0,IF($J162=1,-$E162*$I162/12*0,IF($J162=2,-$E162*$I162/12*1,IF($J162=3,-$E162*$I162/12*2,IF($J162&gt;=4,-$E162*$I162/12*3,0))))))</f>
        <v>0</v>
      </c>
      <c r="CE162" s="1807">
        <f>IF($H162&lt;&gt;CH$5,0,IF(CH162&lt;0,IF(OR($J162=1,$J162=2,$J162=3,$J162=4),-$E162*$I162/12*3,IF($J162=5,-$E162*$I162/12*2,IF($J162=6,-$E162*$I162/12*1,0)))))+IF(CC$5&lt;&gt;$H162,0,IF(CC162&lt;0,IF($J162=4,-$E162*$I162/12*0,IF($J162=5,-$E162*$I162/12*1,IF($J162=6,-$E162*$I162/12*2,IF($J162&gt;=7,-$E162*$I162/12*3,0))))))</f>
        <v>0</v>
      </c>
      <c r="CF162" s="1807">
        <f>IF($H162&lt;&gt;CH$5,0,IF(CH162&lt;0,IF(OR($J162=1,$J162=2,$J162=3,$J162=4,$J162=5,$J162=6,$J162=7),-$E162*$I162/12*3,IF($J162=8,-$E162*$I162/12*2,IF($J162=9,-$E162*$I162/12*1,0)))))+IF(CC$5&lt;&gt;$H162,0,IF(CC162&lt;0,IF($J162=7,-$E162*$I162/12*0,IF($J162=8,-$E162*$I162/12*1,IF($J162=9,-$E162*$I162/12*2,IF($J162&gt;=10,-$E162*$I162/12*3,0))))))</f>
        <v>0</v>
      </c>
      <c r="CG162" s="1806">
        <f>IF($H162&lt;&gt;CH$5,0,IF(CH162&lt;0,IF(OR($J162=1,$J162=2,$J162=3,$J162=4,$J162=5,$J162=6,$J162=7,$J162=8,$J162=9,$J162=10),-$E162*$I162/12*3,IF($J162=11,-$E162*$I162/12*2,IF($J162=12,-$E162*$I162/12*1,0)))))+IF(CC$5&lt;&gt;$H162,0,IF(CC162&lt;0,IF($J162=10,-$E162*$I162/12*0,IF($J162=11,-$E162*$I162/12*1,IF($J162=12,-$E162*$I162/12*2,0)))))</f>
        <v>0</v>
      </c>
      <c r="CH162" s="1791">
        <f>IF(AND(CC162&lt;&gt;0,CC$5=$H162),-$I162*$E162-CC162,IF(CH$5=$H162,-$I162*$E162*(12-$J162+1)/12,0))</f>
        <v>0</v>
      </c>
      <c r="CI162" s="1808">
        <f>IF($H162&lt;&gt;CM$5,0,IF(CM162&lt;0,IF($J162=1,-$E162*$I162/12*3,IF($J162=2,-$E162*$I162/12*2,IF($J162=3,-$E162*$I162/12*1,0)))))+IF(CH$5&lt;&gt;$H162,0,IF(CH162&lt;0,IF($J162=1,-$E162*$I162/12*0,IF($J162=2,-$E162*$I162/12*1,IF($J162=3,-$E162*$I162/12*2,IF($J162&gt;=4,-$E162*$I162/12*3,0))))))</f>
        <v>0</v>
      </c>
      <c r="CJ162" s="1807">
        <f>IF($H162&lt;&gt;CM$5,0,IF(CM162&lt;0,IF(OR($J162=1,$J162=2,$J162=3,$J162=4),-$E162*$I162/12*3,IF($J162=5,-$E162*$I162/12*2,IF($J162=6,-$E162*$I162/12*1,0)))))+IF(CH$5&lt;&gt;$H162,0,IF(CH162&lt;0,IF($J162=4,-$E162*$I162/12*0,IF($J162=5,-$E162*$I162/12*1,IF($J162=6,-$E162*$I162/12*2,IF($J162&gt;=7,-$E162*$I162/12*3,0))))))</f>
        <v>0</v>
      </c>
      <c r="CK162" s="1807">
        <f>IF($H162&lt;&gt;CM$5,0,IF(CM162&lt;0,IF(OR($J162=1,$J162=2,$J162=3,$J162=4,$J162=5,$J162=6,$J162=7),-$E162*$I162/12*3,IF($J162=8,-$E162*$I162/12*2,IF($J162=9,-$E162*$I162/12*1,0)))))+IF(CH$5&lt;&gt;$H162,0,IF(CH162&lt;0,IF($J162=7,-$E162*$I162/12*0,IF($J162=8,-$E162*$I162/12*1,IF($J162=9,-$E162*$I162/12*2,IF($J162&gt;=10,-$E162*$I162/12*3,0))))))</f>
        <v>0</v>
      </c>
      <c r="CL162" s="1806">
        <f>IF($H162&lt;&gt;CM$5,0,IF(CM162&lt;0,IF(OR($J162=1,$J162=2,$J162=3,$J162=4,$J162=5,$J162=6,$J162=7,$J162=8,$J162=9,$J162=10),-$E162*$I162/12*3,IF($J162=11,-$E162*$I162/12*2,IF($J162=12,-$E162*$I162/12*1,0)))))+IF(CH$5&lt;&gt;$H162,0,IF(CH162&lt;0,IF($J162=10,-$E162*$I162/12*0,IF($J162=11,-$E162*$I162/12*1,IF($J162=12,-$E162*$I162/12*2,0)))))</f>
        <v>0</v>
      </c>
      <c r="CM162" s="1791">
        <f>IF(AND(CH162&lt;&gt;0,CH$5=$H162),-$I162*$E162-CH162,IF(CM$5=$H162,-$I162*$E162*(12-$J162+1)/12,0))</f>
        <v>0</v>
      </c>
      <c r="CN162" s="1808">
        <f>IF($H162&lt;&gt;CR$5,0,IF(CR162&lt;0,IF($J162=1,-$E162*$I162/12*3,IF($J162=2,-$E162*$I162/12*2,IF($J162=3,-$E162*$I162/12*1,0)))))+IF(CM$5&lt;&gt;$H162,0,IF(CM162&lt;0,IF($J162=1,-$E162*$I162/12*0,IF($J162=2,-$E162*$I162/12*1,IF($J162=3,-$E162*$I162/12*2,IF($J162&gt;=4,-$E162*$I162/12*3,0))))))</f>
        <v>0</v>
      </c>
      <c r="CO162" s="1807">
        <f>IF($H162&lt;&gt;CR$5,0,IF(CR162&lt;0,IF(OR($J162=1,$J162=2,$J162=3,$J162=4),-$E162*$I162/12*3,IF($J162=5,-$E162*$I162/12*2,IF($J162=6,-$E162*$I162/12*1,0)))))+IF(CM$5&lt;&gt;$H162,0,IF(CM162&lt;0,IF($J162=4,-$E162*$I162/12*0,IF($J162=5,-$E162*$I162/12*1,IF($J162=6,-$E162*$I162/12*2,IF($J162&gt;=7,-$E162*$I162/12*3,0))))))</f>
        <v>0</v>
      </c>
      <c r="CP162" s="1807">
        <f>IF($H162&lt;&gt;CR$5,0,IF(CR162&lt;0,IF(OR($J162=1,$J162=2,$J162=3,$J162=4,$J162=5,$J162=6,$J162=7),-$E162*$I162/12*3,IF($J162=8,-$E162*$I162/12*2,IF($J162=9,-$E162*$I162/12*1,0)))))+IF(CM$5&lt;&gt;$H162,0,IF(CM162&lt;0,IF($J162=7,-$E162*$I162/12*0,IF($J162=8,-$E162*$I162/12*1,IF($J162=9,-$E162*$I162/12*2,IF($J162&gt;=10,-$E162*$I162/12*3,0))))))</f>
        <v>0</v>
      </c>
      <c r="CQ162" s="1806">
        <f>IF($H162&lt;&gt;CR$5,0,IF(CR162&lt;0,IF(OR($J162=1,$J162=2,$J162=3,$J162=4,$J162=5,$J162=6,$J162=7,$J162=8,$J162=9,$J162=10),-$E162*$I162/12*3,IF($J162=11,-$E162*$I162/12*2,IF($J162=12,-$E162*$I162/12*1,0)))))+IF(CM$5&lt;&gt;$H162,0,IF(CM162&lt;0,IF($J162=10,-$E162*$I162/12*0,IF($J162=11,-$E162*$I162/12*1,IF($J162=12,-$E162*$I162/12*2,0)))))</f>
        <v>0</v>
      </c>
      <c r="CR162" s="1791">
        <f>IF(AND(CM162&lt;&gt;0,CM$5=$H162),-$I162*$E162-CM162,IF(CR$5=$H162,-$I162*$E162*(12-$J162+1)/12,0))</f>
        <v>0</v>
      </c>
      <c r="CS162" s="1808">
        <f>IF($H162&lt;&gt;CW$5,0,IF(CW162&lt;0,IF($J162=1,-$E162*$I162/12*3,IF($J162=2,-$E162*$I162/12*2,IF($J162=3,-$E162*$I162/12*1,0)))))+IF(CR$5&lt;&gt;$H162,0,IF(CR162&lt;0,IF($J162=1,-$E162*$I162/12*0,IF($J162=2,-$E162*$I162/12*1,IF($J162=3,-$E162*$I162/12*2,IF($J162&gt;=4,-$E162*$I162/12*3,0))))))</f>
        <v>0</v>
      </c>
      <c r="CT162" s="1807">
        <f>IF($H162&lt;&gt;CW$5,0,IF(CW162&lt;0,IF(OR($J162=1,$J162=2,$J162=3,$J162=4),-$E162*$I162/12*3,IF($J162=5,-$E162*$I162/12*2,IF($J162=6,-$E162*$I162/12*1,0)))))+IF(CR$5&lt;&gt;$H162,0,IF(CR162&lt;0,IF($J162=4,-$E162*$I162/12*0,IF($J162=5,-$E162*$I162/12*1,IF($J162=6,-$E162*$I162/12*2,IF($J162&gt;=7,-$E162*$I162/12*3,0))))))</f>
        <v>0</v>
      </c>
      <c r="CU162" s="1807">
        <f>IF($H162&lt;&gt;CW$5,0,IF(CW162&lt;0,IF(OR($J162=1,$J162=2,$J162=3,$J162=4,$J162=5,$J162=6,$J162=7),-$E162*$I162/12*3,IF($J162=8,-$E162*$I162/12*2,IF($J162=9,-$E162*$I162/12*1,0)))))+IF(CR$5&lt;&gt;$H162,0,IF(CR162&lt;0,IF($J162=7,-$E162*$I162/12*0,IF($J162=8,-$E162*$I162/12*1,IF($J162=9,-$E162*$I162/12*2,IF($J162&gt;=10,-$E162*$I162/12*3,0))))))</f>
        <v>0</v>
      </c>
      <c r="CV162" s="1806">
        <f>IF($H162&lt;&gt;CW$5,0,IF(CW162&lt;0,IF(OR($J162=1,$J162=2,$J162=3,$J162=4,$J162=5,$J162=6,$J162=7,$J162=8,$J162=9,$J162=10),-$E162*$I162/12*3,IF($J162=11,-$E162*$I162/12*2,IF($J162=12,-$E162*$I162/12*1,0)))))+IF(CR$5&lt;&gt;$H162,0,IF(CR162&lt;0,IF($J162=10,-$E162*$I162/12*0,IF($J162=11,-$E162*$I162/12*1,IF($J162=12,-$E162*$I162/12*2,0)))))</f>
        <v>0</v>
      </c>
      <c r="CW162" s="1791">
        <f>IF(AND(CR162&lt;&gt;0,CR$5=$H162),-$I162*$E162-CR162,IF(CW$5=$H162,-$I162*$E162*(12-$J162+1)/12,0))</f>
        <v>0</v>
      </c>
      <c r="CX162" s="1808">
        <f>IF($H162&lt;&gt;DB$5,0,IF(DB162&lt;0,IF($J162=1,-$E162*$I162/12*3,IF($J162=2,-$E162*$I162/12*2,IF($J162=3,-$E162*$I162/12*1,0)))))+IF(CW$5&lt;&gt;$H162,0,IF(CW162&lt;0,IF($J162=1,-$E162*$I162/12*0,IF($J162=2,-$E162*$I162/12*1,IF($J162=3,-$E162*$I162/12*2,IF($J162&gt;=4,-$E162*$I162/12*3,0))))))</f>
        <v>-0.33499999999999996</v>
      </c>
      <c r="CY162" s="1807">
        <f>IF($H162&lt;&gt;DB$5,0,IF(DB162&lt;0,IF(OR($J162=1,$J162=2,$J162=3,$J162=4),-$E162*$I162/12*3,IF($J162=5,-$E162*$I162/12*2,IF($J162=6,-$E162*$I162/12*1,0)))))+IF(CW$5&lt;&gt;$H162,0,IF(CW162&lt;0,IF($J162=4,-$E162*$I162/12*0,IF($J162=5,-$E162*$I162/12*1,IF($J162=6,-$E162*$I162/12*2,IF($J162&gt;=7,-$E162*$I162/12*3,0))))))</f>
        <v>-0.50249999999999995</v>
      </c>
      <c r="CZ162" s="1807">
        <f>IF($H162&lt;&gt;DB$5,0,IF(DB162&lt;0,IF(OR($J162=1,$J162=2,$J162=3,$J162=4,$J162=5,$J162=6,$J162=7),-$E162*$I162/12*3,IF($J162=8,-$E162*$I162/12*2,IF($J162=9,-$E162*$I162/12*1,0)))))+IF(CW$5&lt;&gt;$H162,0,IF(CW162&lt;0,IF($J162=7,-$E162*$I162/12*0,IF($J162=8,-$E162*$I162/12*1,IF($J162=9,-$E162*$I162/12*2,IF($J162&gt;=10,-$E162*$I162/12*3,0))))))</f>
        <v>-0.50249999999999995</v>
      </c>
      <c r="DA162" s="1806">
        <f>IF($H162&lt;&gt;DB$5,0,IF(DB162&lt;0,IF(OR($J162=1,$J162=2,$J162=3,$J162=4,$J162=5,$J162=6,$J162=7,$J162=8,$J162=9,$J162=10),-$E162*$I162/12*3,IF($J162=11,-$E162*$I162/12*2,IF($J162=12,-$E162*$I162/12*1,0)))))+IF(CW$5&lt;&gt;$H162,0,IF(CW162&lt;0,IF($J162=10,-$E162*$I162/12*0,IF($J162=11,-$E162*$I162/12*1,IF($J162=12,-$E162*$I162/12*2,0)))))</f>
        <v>-0.50249999999999995</v>
      </c>
      <c r="DB162" s="1791">
        <f>IF(AND(CW162&lt;&gt;0,CW$5=$H162),-$I162*$E162-CW162,IF(DB$5=$H162,-$I162*$E162*(12-$J162+1)/12,0))</f>
        <v>-1.8425</v>
      </c>
      <c r="DC162" s="1808">
        <f>IF($H162&lt;&gt;DG$5,0,IF(DG162&lt;0,IF($J162=1,-$E162*$I162/12*3,IF($J162=2,-$E162*$I162/12*2,IF($J162=3,-$E162*$I162/12*1,0)))))+IF(DB$5&lt;&gt;$H162,0,IF(DB162&lt;0,IF($J162=1,-$E162*$I162/12*0,IF($J162=2,-$E162*$I162/12*1,IF($J162=3,-$E162*$I162/12*2,IF($J162&gt;=4,-$E162*$I162/12*3,0))))))</f>
        <v>-0.16749999999999998</v>
      </c>
      <c r="DD162" s="1807">
        <f>IF($H162&lt;&gt;DG$5,0,IF(DG162&lt;0,IF(OR($J162=1,$J162=2,$J162=3,$J162=4),-$E162*$I162/12*3,IF($J162=5,-$E162*$I162/12*2,IF($J162=6,-$E162*$I162/12*1,0)))))+IF(DB$5&lt;&gt;$H162,0,IF(DB162&lt;0,IF($J162=4,-$E162*$I162/12*0,IF($J162=5,-$E162*$I162/12*1,IF($J162=6,-$E162*$I162/12*2,IF($J162&gt;=7,-$E162*$I162/12*3,0))))))</f>
        <v>0</v>
      </c>
      <c r="DE162" s="1807">
        <f>IF($H162&lt;&gt;DG$5,0,IF(DG162&lt;0,IF(OR($J162=1,$J162=2,$J162=3,$J162=4,$J162=5,$J162=6,$J162=7),-$E162*$I162/12*3,IF($J162=8,-$E162*$I162/12*2,IF($J162=9,-$E162*$I162/12*1,0)))))+IF(DB$5&lt;&gt;$H162,0,IF(DB162&lt;0,IF($J162=7,-$E162*$I162/12*0,IF($J162=8,-$E162*$I162/12*1,IF($J162=9,-$E162*$I162/12*2,IF($J162&gt;=10,-$E162*$I162/12*3,0))))))</f>
        <v>0</v>
      </c>
      <c r="DF162" s="1806">
        <f>IF($H162&lt;&gt;DG$5,0,IF(DG162&lt;0,IF(OR($J162=1,$J162=2,$J162=3,$J162=4,$J162=5,$J162=6,$J162=7,$J162=8,$J162=9,$J162=10),-$E162*$I162/12*3,IF($J162=11,-$E162*$I162/12*2,IF($J162=12,-$E162*$I162/12*1,0)))))+IF(DB$5&lt;&gt;$H162,0,IF(DB162&lt;0,IF($J162=10,-$E162*$I162/12*0,IF($J162=11,-$E162*$I162/12*1,IF($J162=12,-$E162*$I162/12*2,0)))))</f>
        <v>0</v>
      </c>
      <c r="DG162" s="1791">
        <f>IF(AND(DB162&lt;&gt;0,DB$5=$H162),-$I162*$E162-DB162,IF(DG$5=$H162,-$I162*$E162*(12-$J162+1)/12,0))</f>
        <v>-0.16749999999999976</v>
      </c>
      <c r="DH162" s="1808">
        <f>IF($H162&lt;&gt;DL$5,0,IF(DL162&lt;0,IF($J162=1,-$E162*$I162/12*3,IF($J162=2,-$E162*$I162/12*2,IF($J162=3,-$E162*$I162/12*1,0)))))+IF(DG$5&lt;&gt;$H162,0,IF(DG162&lt;0,IF($J162=1,-$E162*$I162/12*0,IF($J162=2,-$E162*$I162/12*1,IF($J162=3,-$E162*$I162/12*2,IF($J162&gt;=4,-$E162*$I162/12*3,0))))))</f>
        <v>0</v>
      </c>
      <c r="DI162" s="1807">
        <f>IF($H162&lt;&gt;DL$5,0,IF(DL162&lt;0,IF(OR($J162=1,$J162=2,$J162=3,$J162=4),-$E162*$I162/12*3,IF($J162=5,-$E162*$I162/12*2,IF($J162=6,-$E162*$I162/12*1,0)))))+IF(DG$5&lt;&gt;$H162,0,IF(DG162&lt;0,IF($J162=4,-$E162*$I162/12*0,IF($J162=5,-$E162*$I162/12*1,IF($J162=6,-$E162*$I162/12*2,IF($J162&gt;=7,-$E162*$I162/12*3,0))))))</f>
        <v>0</v>
      </c>
      <c r="DJ162" s="1807">
        <f>IF($H162&lt;&gt;DL$5,0,IF(DL162&lt;0,IF(OR($J162=1,$J162=2,$J162=3,$J162=4,$J162=5,$J162=6,$J162=7),-$E162*$I162/12*3,IF($J162=8,-$E162*$I162/12*2,IF($J162=9,-$E162*$I162/12*1,0)))))+IF(DG$5&lt;&gt;$H162,0,IF(DG162&lt;0,IF($J162=7,-$E162*$I162/12*0,IF($J162=8,-$E162*$I162/12*1,IF($J162=9,-$E162*$I162/12*2,IF($J162&gt;=10,-$E162*$I162/12*3,0))))))</f>
        <v>0</v>
      </c>
      <c r="DK162" s="1806">
        <f>IF($H162&lt;&gt;DL$5,0,IF(DL162&lt;0,IF(OR($J162=1,$J162=2,$J162=3,$J162=4,$J162=5,$J162=6,$J162=7,$J162=8,$J162=9,$J162=10),-$E162*$I162/12*3,IF($J162=11,-$E162*$I162/12*2,IF($J162=12,-$E162*$I162/12*1,0)))))+IF(DG$5&lt;&gt;$H162,0,IF(DG162&lt;0,IF($J162=10,-$E162*$I162/12*0,IF($J162=11,-$E162*$I162/12*1,IF($J162=12,-$E162*$I162/12*2,0)))))</f>
        <v>0</v>
      </c>
      <c r="DL162" s="1791">
        <f>IF(AND(DG162&lt;&gt;0,DG$5=$H162),-$I162*$E162-DG162,IF(DL$5=$H162,-$I162*$E162*(12-$J162+1)/12,0))</f>
        <v>0</v>
      </c>
      <c r="DM162" s="1808">
        <f>IF($H162&lt;&gt;DQ$5,0,IF(DQ162&lt;0,IF($J162=1,-$E162*$I162/12*3,IF($J162=2,-$E162*$I162/12*2,IF($J162=3,-$E162*$I162/12*1,0)))))+IF(DL$5&lt;&gt;$H162,0,IF(DL162&lt;0,IF($J162=1,-$E162*$I162/12*0,IF($J162=2,-$E162*$I162/12*1,IF($J162=3,-$E162*$I162/12*2,IF($J162&gt;=4,-$E162*$I162/12*3,0))))))</f>
        <v>0</v>
      </c>
      <c r="DN162" s="1807">
        <f>IF($H162&lt;&gt;DQ$5,0,IF(DQ162&lt;0,IF(OR($J162=1,$J162=2,$J162=3,$J162=4),-$E162*$I162/12*3,IF($J162=5,-$E162*$I162/12*2,IF($J162=6,-$E162*$I162/12*1,0)))))+IF(DL$5&lt;&gt;$H162,0,IF(DL162&lt;0,IF($J162=4,-$E162*$I162/12*0,IF($J162=5,-$E162*$I162/12*1,IF($J162=6,-$E162*$I162/12*2,IF($J162&gt;=7,-$E162*$I162/12*3,0))))))</f>
        <v>0</v>
      </c>
      <c r="DO162" s="1807">
        <f>IF($H162&lt;&gt;DQ$5,0,IF(DQ162&lt;0,IF(OR($J162=1,$J162=2,$J162=3,$J162=4,$J162=5,$J162=6,$J162=7),-$E162*$I162/12*3,IF($J162=8,-$E162*$I162/12*2,IF($J162=9,-$E162*$I162/12*1,0)))))+IF(DL$5&lt;&gt;$H162,0,IF(DL162&lt;0,IF($J162=7,-$E162*$I162/12*0,IF($J162=8,-$E162*$I162/12*1,IF($J162=9,-$E162*$I162/12*2,IF($J162&gt;=10,-$E162*$I162/12*3,0))))))</f>
        <v>0</v>
      </c>
      <c r="DP162" s="1806">
        <f>IF($H162&lt;&gt;DQ$5,0,IF(DQ162&lt;0,IF(OR($J162=1,$J162=2,$J162=3,$J162=4,$J162=5,$J162=6,$J162=7,$J162=8,$J162=9,$J162=10),-$E162*$I162/12*3,IF($J162=11,-$E162*$I162/12*2,IF($J162=12,-$E162*$I162/12*1,0)))))+IF(DL$5&lt;&gt;$H162,0,IF(DL162&lt;0,IF($J162=10,-$E162*$I162/12*0,IF($J162=11,-$E162*$I162/12*1,IF($J162=12,-$E162*$I162/12*2,0)))))</f>
        <v>0</v>
      </c>
      <c r="DQ162" s="1791">
        <f>IF(AND(DL162&lt;&gt;0,DL$5=$H162),-$I162*$E162-DL162,IF(DQ$5=$H162,-$I162*$E162*(12-$J162+1)/12,0))</f>
        <v>0</v>
      </c>
      <c r="DR162" s="1808">
        <f>IF($H162&lt;&gt;DV$5,0,IF(DV162&lt;0,IF($J162=1,-$E162*$I162/12*3,IF($J162=2,-$E162*$I162/12*2,IF($J162=3,-$E162*$I162/12*1,0)))))+IF(DQ$5&lt;&gt;$H162,0,IF(DQ162&lt;0,IF($J162=1,-$E162*$I162/12*0,IF($J162=2,-$E162*$I162/12*1,IF($J162=3,-$E162*$I162/12*2,IF($J162&gt;=4,-$E162*$I162/12*3,0))))))</f>
        <v>0</v>
      </c>
      <c r="DS162" s="1807">
        <f>IF($H162&lt;&gt;DV$5,0,IF(DV162&lt;0,IF(OR($J162=1,$J162=2,$J162=3,$J162=4),-$E162*$I162/12*3,IF($J162=5,-$E162*$I162/12*2,IF($J162=6,-$E162*$I162/12*1,0)))))+IF(DQ$5&lt;&gt;$H162,0,IF(DQ162&lt;0,IF($J162=4,-$E162*$I162/12*0,IF($J162=5,-$E162*$I162/12*1,IF($J162=6,-$E162*$I162/12*2,IF($J162&gt;=7,-$E162*$I162/12*3,0))))))</f>
        <v>0</v>
      </c>
      <c r="DT162" s="1807">
        <f>IF($H162&lt;&gt;DV$5,0,IF(DV162&lt;0,IF(OR($J162=1,$J162=2,$J162=3,$J162=4,$J162=5,$J162=6,$J162=7),-$E162*$I162/12*3,IF($J162=8,-$E162*$I162/12*2,IF($J162=9,-$E162*$I162/12*1,0)))))+IF(DQ$5&lt;&gt;$H162,0,IF(DQ162&lt;0,IF($J162=7,-$E162*$I162/12*0,IF($J162=8,-$E162*$I162/12*1,IF($J162=9,-$E162*$I162/12*2,IF($J162&gt;=10,-$E162*$I162/12*3,0))))))</f>
        <v>0</v>
      </c>
      <c r="DU162" s="1806">
        <f>IF($H162&lt;&gt;DV$5,0,IF(DV162&lt;0,IF(OR($J162=1,$J162=2,$J162=3,$J162=4,$J162=5,$J162=6,$J162=7,$J162=8,$J162=9,$J162=10),-$E162*$I162/12*3,IF($J162=11,-$E162*$I162/12*2,IF($J162=12,-$E162*$I162/12*1,0)))))+IF(DQ$5&lt;&gt;$H162,0,IF(DQ162&lt;0,IF($J162=10,-$E162*$I162/12*0,IF($J162=11,-$E162*$I162/12*1,IF($J162=12,-$E162*$I162/12*2,0)))))</f>
        <v>0</v>
      </c>
      <c r="DV162" s="1791">
        <f>IF(AND(DQ162&lt;&gt;0,DQ$5=$H162),-$I162*$E162-DQ162,IF(DV$5=$H162,-$I162*$E162*(12-$J162+1)/12,0))</f>
        <v>0</v>
      </c>
    </row>
    <row r="163" spans="1:126">
      <c r="A163" s="455"/>
      <c r="B163" s="455"/>
      <c r="C163" s="1363" t="s">
        <v>427</v>
      </c>
      <c r="D163" s="94"/>
      <c r="E163" s="1817">
        <f>IF(F163=0,G163,F163)</f>
        <v>85</v>
      </c>
      <c r="F163" s="1435">
        <v>85</v>
      </c>
      <c r="G163" s="1435">
        <v>85</v>
      </c>
      <c r="H163" s="1350">
        <v>2018</v>
      </c>
      <c r="I163" s="1337">
        <v>3.78E-2</v>
      </c>
      <c r="J163" s="1343">
        <v>10</v>
      </c>
      <c r="K163" s="1792"/>
      <c r="L163" s="1810">
        <f t="shared" si="2134"/>
        <v>0</v>
      </c>
      <c r="M163" s="1791">
        <f t="shared" si="2134"/>
        <v>0</v>
      </c>
      <c r="N163" s="1808">
        <f>IF(R163=0,0,IF(R163&lt;0,IF($J163=3,R163,IF($J163=2,R163,IF($J163=1,R163,0)))))</f>
        <v>0</v>
      </c>
      <c r="O163" s="1807">
        <f>IF(R163=0,0,IF(R163&lt;0,IF($J163=6,R163,IF($J163=5,R163,IF($J163=4,R163,0)))))</f>
        <v>0</v>
      </c>
      <c r="P163" s="1807">
        <f>IF(R163=0,0,IF(R163&lt;0,IF($J163=9,R163,IF($J163=8,R163,IF($J163=7,R163,0)))))</f>
        <v>0</v>
      </c>
      <c r="Q163" s="1806">
        <f>IF(R163=0,0,IF(R163&lt;0,IF($J163=12,R163,IF($J163=11,R163,IF($J163=10,R163,0)))))</f>
        <v>0</v>
      </c>
      <c r="R163" s="1791">
        <f>IF(R$5=$H163,-$E163,0)</f>
        <v>0</v>
      </c>
      <c r="S163" s="1808">
        <f>IF(W163=0,0,IF(W163&lt;0,IF($J163=3,W163,IF($J163=2,W163,IF($J163=1,W163,0)))))</f>
        <v>0</v>
      </c>
      <c r="T163" s="1807">
        <f>IF(W163=0,0,IF(W163&lt;0,IF($J163=6,W163,IF($J163=5,W163,IF($J163=4,W163,0)))))</f>
        <v>0</v>
      </c>
      <c r="U163" s="1807">
        <f>IF(W163=0,0,IF(W163&lt;0,IF($J163=9,W163,IF($J163=8,W163,IF($J163=7,W163,0)))))</f>
        <v>0</v>
      </c>
      <c r="V163" s="1806">
        <f>IF(W163=0,0,IF(W163&lt;0,IF($J163=12,W163,IF($J163=11,W163,IF($J163=10,W163,0)))))</f>
        <v>0</v>
      </c>
      <c r="W163" s="1791">
        <f>IF(W$5=$H163,-$E163,0)</f>
        <v>0</v>
      </c>
      <c r="X163" s="1808">
        <f>IF(AB163=0,0,IF(AB163&lt;0,IF($J163=3,AB163,IF($J163=2,AB163,IF($J163=1,AB163,0)))))</f>
        <v>0</v>
      </c>
      <c r="Y163" s="1807">
        <f>IF(AB163=0,0,IF(AB163&lt;0,IF($J163=6,AB163,IF($J163=5,AB163,IF($J163=4,AB163,0)))))</f>
        <v>0</v>
      </c>
      <c r="Z163" s="1807">
        <f>IF(AB163=0,0,IF(AB163&lt;0,IF($J163=9,AB163,IF($J163=8,AB163,IF($J163=7,AB163,0)))))</f>
        <v>0</v>
      </c>
      <c r="AA163" s="1806">
        <f>IF(AB163=0,0,IF(AB163&lt;0,IF($J163=12,AB163,IF($J163=11,AB163,IF($J163=10,AB163,0)))))</f>
        <v>0</v>
      </c>
      <c r="AB163" s="1791">
        <f>IF(AB$5=$H163,-$E163,0)</f>
        <v>0</v>
      </c>
      <c r="AC163" s="1808">
        <f>IF(AG163=0,0,IF(AG163&lt;0,IF($J163=3,AG163,IF($J163=2,AG163,IF($J163=1,AG163,0)))))</f>
        <v>0</v>
      </c>
      <c r="AD163" s="1807">
        <f>IF(AG163=0,0,IF(AG163&lt;0,IF($J163=6,AG163,IF($J163=5,AG163,IF($J163=4,AG163,0)))))</f>
        <v>0</v>
      </c>
      <c r="AE163" s="1807">
        <f>IF(AG163=0,0,IF(AG163&lt;0,IF($J163=9,AG163,IF($J163=8,AG163,IF($J163=7,AG163,0)))))</f>
        <v>0</v>
      </c>
      <c r="AF163" s="1806">
        <f>IF(AG163=0,0,IF(AG163&lt;0,IF($J163=12,AG163,IF($J163=11,AG163,IF($J163=10,AG163,0)))))</f>
        <v>0</v>
      </c>
      <c r="AG163" s="1791">
        <f>IF(AG$5=$H163,-$E163,0)</f>
        <v>0</v>
      </c>
      <c r="AH163" s="1808">
        <f>IF(AL163=0,0,IF(AL163&lt;0,IF($J163=3,AL163,IF($J163=2,AL163,IF($J163=1,AL163,0)))))</f>
        <v>0</v>
      </c>
      <c r="AI163" s="1807">
        <f>IF(AL163=0,0,IF(AL163&lt;0,IF($J163=6,AL163,IF($J163=5,AL163,IF($J163=4,AL163,0)))))</f>
        <v>0</v>
      </c>
      <c r="AJ163" s="1807">
        <f>IF(AL163=0,0,IF(AL163&lt;0,IF($J163=9,AL163,IF($J163=8,AL163,IF($J163=7,AL163,0)))))</f>
        <v>0</v>
      </c>
      <c r="AK163" s="1806">
        <f>IF(AL163=0,0,IF(AL163&lt;0,IF($J163=12,AL163,IF($J163=11,AL163,IF($J163=10,AL163,0)))))</f>
        <v>0</v>
      </c>
      <c r="AL163" s="1791">
        <f>IF(AL$5=$H163,-$E163,0)</f>
        <v>0</v>
      </c>
      <c r="AM163" s="1808">
        <f>IF(AQ163=0,0,IF(AQ163&lt;0,IF($J163=3,AQ163,IF($J163=2,AQ163,IF($J163=1,AQ163,0)))))</f>
        <v>0</v>
      </c>
      <c r="AN163" s="1807">
        <f>IF(AQ163=0,0,IF(AQ163&lt;0,IF($J163=6,AQ163,IF($J163=5,AQ163,IF($J163=4,AQ163,0)))))</f>
        <v>0</v>
      </c>
      <c r="AO163" s="1807">
        <f>IF(AQ163=0,0,IF(AQ163&lt;0,IF($J163=9,AQ163,IF($J163=8,AQ163,IF($J163=7,AQ163,0)))))</f>
        <v>0</v>
      </c>
      <c r="AP163" s="1806">
        <f>IF(AQ163=0,0,IF(AQ163&lt;0,IF($J163=12,AQ163,IF($J163=11,AQ163,IF($J163=10,AQ163,0)))))</f>
        <v>0</v>
      </c>
      <c r="AQ163" s="1791">
        <f>IF(AQ$5=$H163,-$E163,0)</f>
        <v>0</v>
      </c>
      <c r="AR163" s="1808">
        <f>IF(AV163=0,0,IF(AV163&lt;0,IF($J163=3,AV163,IF($J163=2,AV163,IF($J163=1,AV163,0)))))</f>
        <v>0</v>
      </c>
      <c r="AS163" s="1807">
        <f>IF(AV163=0,0,IF(AV163&lt;0,IF($J163=6,AV163,IF($J163=5,AV163,IF($J163=4,AV163,0)))))</f>
        <v>0</v>
      </c>
      <c r="AT163" s="1807">
        <f>IF(AV163=0,0,IF(AV163&lt;0,IF($J163=9,AV163,IF($J163=8,AV163,IF($J163=7,AV163,0)))))</f>
        <v>0</v>
      </c>
      <c r="AU163" s="1806">
        <f>IF(AV163=0,0,IF(AV163&lt;0,IF($J163=12,AV163,IF($J163=11,AV163,IF($J163=10,AV163,0)))))</f>
        <v>0</v>
      </c>
      <c r="AV163" s="1791">
        <f>IF(AV$5=$H163,-$E163,0)</f>
        <v>0</v>
      </c>
      <c r="AW163" s="1808">
        <f>IF(BA163=0,0,IF(BA163&lt;0,IF($J163=3,BA163,IF($J163=2,BA163,IF($J163=1,BA163,0)))))</f>
        <v>0</v>
      </c>
      <c r="AX163" s="1807">
        <f>IF(BA163=0,0,IF(BA163&lt;0,IF($J163=6,BA163,IF($J163=5,BA163,IF($J163=4,BA163,0)))))</f>
        <v>0</v>
      </c>
      <c r="AY163" s="1807">
        <f>IF(BA163=0,0,IF(BA163&lt;0,IF($J163=9,BA163,IF($J163=8,BA163,IF($J163=7,BA163,0)))))</f>
        <v>0</v>
      </c>
      <c r="AZ163" s="1806">
        <f>IF(BA163=0,0,IF(BA163&lt;0,IF($J163=12,BA163,IF($J163=11,BA163,IF($J163=10,BA163,0)))))</f>
        <v>-85</v>
      </c>
      <c r="BA163" s="1791">
        <f>IF(BA$5=$H163,-$E163,0)</f>
        <v>-85</v>
      </c>
      <c r="BB163" s="1808">
        <f>IF(BF163=0,0,IF(BF163&lt;0,IF($J163=3,BF163,IF($J163=2,BF163,IF($J163=1,BF163,0)))))</f>
        <v>0</v>
      </c>
      <c r="BC163" s="1807">
        <f>IF(BF163=0,0,IF(BF163&lt;0,IF($J163=6,BF163,IF($J163=5,BF163,IF($J163=4,BF163,0)))))</f>
        <v>0</v>
      </c>
      <c r="BD163" s="1807">
        <f>IF(BF163=0,0,IF(BF163&lt;0,IF($J163=9,BF163,IF($J163=8,BF163,IF($J163=7,BF163,0)))))</f>
        <v>0</v>
      </c>
      <c r="BE163" s="1806">
        <f>IF(BF163=0,0,IF(BF163&lt;0,IF($J163=12,BF163,IF($J163=11,BF163,IF($J163=10,BF163,0)))))</f>
        <v>0</v>
      </c>
      <c r="BF163" s="1791">
        <f>IF(BF$5=$H163,-$E163,0)</f>
        <v>0</v>
      </c>
      <c r="BG163" s="1808">
        <f>IF(BK163=0,0,IF(BK163&lt;0,IF($J163=3,BK163,IF($J163=2,BK163,IF($J163=1,BK163,0)))))</f>
        <v>0</v>
      </c>
      <c r="BH163" s="1807">
        <f>IF(BK163=0,0,IF(BK163&lt;0,IF($J163=6,BK163,IF($J163=5,BK163,IF($J163=4,BK163,0)))))</f>
        <v>0</v>
      </c>
      <c r="BI163" s="1807">
        <f>IF(BK163=0,0,IF(BK163&lt;0,IF($J163=9,BK163,IF($J163=8,BK163,IF($J163=7,BK163,0)))))</f>
        <v>0</v>
      </c>
      <c r="BJ163" s="1806">
        <f>IF(BK163=0,0,IF(BK163&lt;0,IF($J163=12,BK163,IF($J163=11,BK163,IF($J163=10,BK163,0)))))</f>
        <v>0</v>
      </c>
      <c r="BK163" s="1791">
        <f>IF(BK$5=$H163,-$E163,0)</f>
        <v>0</v>
      </c>
      <c r="BL163" s="1808">
        <f>IF(BP163=0,0,IF(BP163&lt;0,IF($J163=3,BP163,IF($J163=2,BP163,IF($J163=1,BP163,0)))))</f>
        <v>0</v>
      </c>
      <c r="BM163" s="1807">
        <f>IF(BP163=0,0,IF(BP163&lt;0,IF($J163=6,BP163,IF($J163=5,BP163,IF($J163=4,BP163,0)))))</f>
        <v>0</v>
      </c>
      <c r="BN163" s="1807">
        <f>IF(BP163=0,0,IF(BP163&lt;0,IF($J163=9,BP163,IF($J163=8,BP163,IF($J163=7,BP163,0)))))</f>
        <v>0</v>
      </c>
      <c r="BO163" s="1806">
        <f>IF(BP163=0,0,IF(BP163&lt;0,IF($J163=12,BP163,IF($J163=11,BP163,IF($J163=10,BP163,0)))))</f>
        <v>0</v>
      </c>
      <c r="BP163" s="1791">
        <f>IF(BP$5=$H163,-$E163,0)</f>
        <v>0</v>
      </c>
      <c r="BQ163" s="1827"/>
      <c r="BR163" s="1791">
        <f t="shared" si="2135"/>
        <v>0</v>
      </c>
      <c r="BS163" s="1791">
        <f t="shared" si="2135"/>
        <v>0</v>
      </c>
      <c r="BT163" s="1808">
        <f>IF($H163&lt;&gt;BX$5,0,IF(BX163&lt;0,IF($J163=1,-$E163*$I163/12*3,IF($J163=2,-$E163*$I163/12*2,IF($J163=3,-$E163*$I163/12*1,0)))))+IF(BS$5&lt;&gt;$H163,0,IF(BS163&lt;0,IF($J163=1,-$E163*$I163/12*0,IF($J163=2,-$E163*$I163/12*1,IF($J163=3,-$E163*$I163/12*2,IF($J163&gt;=4,-$E163*$I163/12*3,0))))))</f>
        <v>0</v>
      </c>
      <c r="BU163" s="1807">
        <f>IF($H163&lt;&gt;BX$5,0,IF(BX163&lt;0,IF(OR($J163=1,$J163=2,$J163=3,$J163=4),-$E163*$I163/12*3,IF($J163=5,-$E163*$I163/12*2,IF($J163=6,-$E163*$I163/12*1,0)))))+IF(BS$5&lt;&gt;$H163,0,IF(BS163&lt;0,IF($J163=4,-$E163*$I163/12*0,IF($J163=5,-$E163*$I163/12*1,IF($J163=6,-$E163*$I163/12*2,IF($J163&gt;=7,-$E163*$I163/12*3,0))))))</f>
        <v>0</v>
      </c>
      <c r="BV163" s="1807">
        <f>IF($H163&lt;&gt;BX$5,0,IF(BX163&lt;0,IF(OR($J163=1,$J163=2,$J163=3,$J163=4,$J163=5,$J163=6,$J163=7),-$E163*$I163/12*3,IF($J163=8,-$E163*$I163/12*2,IF($J163=9,-$E163*$I163/12*1,0)))))+IF(BS$5&lt;&gt;$H163,0,IF(BS163&lt;0,IF($J163=7,-$E163*$I163/12*0,IF($J163=8,-$E163*$I163/12*1,IF($J163=9,-$E163*$I163/12*2,IF($J163&gt;=10,-$E163*$I163/12*3,0))))))</f>
        <v>0</v>
      </c>
      <c r="BW163" s="1806">
        <f>IF($H163&lt;&gt;BX$5,0,IF(BX163&lt;0,IF(OR($J163=1,$J163=2,$J163=3,$J163=4,$J163=5,$J163=6,$J163=7,$J163=8,$J163=9,$J163=10),-$E163*$I163/12*3,IF($J163=11,-$E163*$I163/12*2,IF($J163=12,-$E163*$I163/12*1,0)))))+IF(BS$5&lt;&gt;$H163,0,IF(BS163&lt;0,IF($J163=10,-$E163*$I163/12*0,IF($J163=11,-$E163*$I163/12*1,IF($J163=12,-$E163*$I163/12*2,0)))))</f>
        <v>0</v>
      </c>
      <c r="BX163" s="1791">
        <f>IF(AND(BS163&lt;&gt;0,BS$5=$H163),-$I163*$E163-BS163,IF(BX$5=$H163,-$I163*$E163*(12-$J163+1)/12,0))</f>
        <v>0</v>
      </c>
      <c r="BY163" s="1808">
        <f>IF($H163&lt;&gt;CC$5,0,IF(CC163&lt;0,IF($J163=1,-$E163*$I163/12*3,IF($J163=2,-$E163*$I163/12*2,IF($J163=3,-$E163*$I163/12*1,0)))))+IF(BX$5&lt;&gt;$H163,0,IF(BX163&lt;0,IF($J163=1,-$E163*$I163/12*0,IF($J163=2,-$E163*$I163/12*1,IF($J163=3,-$E163*$I163/12*2,IF($J163&gt;=4,-$E163*$I163/12*3,0))))))</f>
        <v>0</v>
      </c>
      <c r="BZ163" s="1807">
        <f>IF($H163&lt;&gt;CC$5,0,IF(CC163&lt;0,IF(OR($J163=1,$J163=2,$J163=3,$J163=4),-$E163*$I163/12*3,IF($J163=5,-$E163*$I163/12*2,IF($J163=6,-$E163*$I163/12*1,0)))))+IF(BX$5&lt;&gt;$H163,0,IF(BX163&lt;0,IF($J163=4,-$E163*$I163/12*0,IF($J163=5,-$E163*$I163/12*1,IF($J163=6,-$E163*$I163/12*2,IF($J163&gt;=7,-$E163*$I163/12*3,0))))))</f>
        <v>0</v>
      </c>
      <c r="CA163" s="1807">
        <f>IF($H163&lt;&gt;CC$5,0,IF(CC163&lt;0,IF(OR($J163=1,$J163=2,$J163=3,$J163=4,$J163=5,$J163=6,$J163=7),-$E163*$I163/12*3,IF($J163=8,-$E163*$I163/12*2,IF($J163=9,-$E163*$I163/12*1,0)))))+IF(BX$5&lt;&gt;$H163,0,IF(BX163&lt;0,IF($J163=7,-$E163*$I163/12*0,IF($J163=8,-$E163*$I163/12*1,IF($J163=9,-$E163*$I163/12*2,IF($J163&gt;=10,-$E163*$I163/12*3,0))))))</f>
        <v>0</v>
      </c>
      <c r="CB163" s="1806">
        <f>IF($H163&lt;&gt;CC$5,0,IF(CC163&lt;0,IF(OR($J163=1,$J163=2,$J163=3,$J163=4,$J163=5,$J163=6,$J163=7,$J163=8,$J163=9,$J163=10),-$E163*$I163/12*3,IF($J163=11,-$E163*$I163/12*2,IF($J163=12,-$E163*$I163/12*1,0)))))+IF(BX$5&lt;&gt;$H163,0,IF(BX163&lt;0,IF($J163=10,-$E163*$I163/12*0,IF($J163=11,-$E163*$I163/12*1,IF($J163=12,-$E163*$I163/12*2,0)))))</f>
        <v>0</v>
      </c>
      <c r="CC163" s="1791">
        <f>IF(AND(BX163&lt;&gt;0,BX$5=$H163),-$I163*$E163-BX163,IF(CC$5=$H163,-$I163*$E163*(12-$J163+1)/12,0))</f>
        <v>0</v>
      </c>
      <c r="CD163" s="1808">
        <f>IF($H163&lt;&gt;CH$5,0,IF(CH163&lt;0,IF($J163=1,-$E163*$I163/12*3,IF($J163=2,-$E163*$I163/12*2,IF($J163=3,-$E163*$I163/12*1,0)))))+IF(CC$5&lt;&gt;$H163,0,IF(CC163&lt;0,IF($J163=1,-$E163*$I163/12*0,IF($J163=2,-$E163*$I163/12*1,IF($J163=3,-$E163*$I163/12*2,IF($J163&gt;=4,-$E163*$I163/12*3,0))))))</f>
        <v>0</v>
      </c>
      <c r="CE163" s="1807">
        <f>IF($H163&lt;&gt;CH$5,0,IF(CH163&lt;0,IF(OR($J163=1,$J163=2,$J163=3,$J163=4),-$E163*$I163/12*3,IF($J163=5,-$E163*$I163/12*2,IF($J163=6,-$E163*$I163/12*1,0)))))+IF(CC$5&lt;&gt;$H163,0,IF(CC163&lt;0,IF($J163=4,-$E163*$I163/12*0,IF($J163=5,-$E163*$I163/12*1,IF($J163=6,-$E163*$I163/12*2,IF($J163&gt;=7,-$E163*$I163/12*3,0))))))</f>
        <v>0</v>
      </c>
      <c r="CF163" s="1807">
        <f>IF($H163&lt;&gt;CH$5,0,IF(CH163&lt;0,IF(OR($J163=1,$J163=2,$J163=3,$J163=4,$J163=5,$J163=6,$J163=7),-$E163*$I163/12*3,IF($J163=8,-$E163*$I163/12*2,IF($J163=9,-$E163*$I163/12*1,0)))))+IF(CC$5&lt;&gt;$H163,0,IF(CC163&lt;0,IF($J163=7,-$E163*$I163/12*0,IF($J163=8,-$E163*$I163/12*1,IF($J163=9,-$E163*$I163/12*2,IF($J163&gt;=10,-$E163*$I163/12*3,0))))))</f>
        <v>0</v>
      </c>
      <c r="CG163" s="1806">
        <f>IF($H163&lt;&gt;CH$5,0,IF(CH163&lt;0,IF(OR($J163=1,$J163=2,$J163=3,$J163=4,$J163=5,$J163=6,$J163=7,$J163=8,$J163=9,$J163=10),-$E163*$I163/12*3,IF($J163=11,-$E163*$I163/12*2,IF($J163=12,-$E163*$I163/12*1,0)))))+IF(CC$5&lt;&gt;$H163,0,IF(CC163&lt;0,IF($J163=10,-$E163*$I163/12*0,IF($J163=11,-$E163*$I163/12*1,IF($J163=12,-$E163*$I163/12*2,0)))))</f>
        <v>0</v>
      </c>
      <c r="CH163" s="1791">
        <f>IF(AND(CC163&lt;&gt;0,CC$5=$H163),-$I163*$E163-CC163,IF(CH$5=$H163,-$I163*$E163*(12-$J163+1)/12,0))</f>
        <v>0</v>
      </c>
      <c r="CI163" s="1808">
        <f>IF($H163&lt;&gt;CM$5,0,IF(CM163&lt;0,IF($J163=1,-$E163*$I163/12*3,IF($J163=2,-$E163*$I163/12*2,IF($J163=3,-$E163*$I163/12*1,0)))))+IF(CH$5&lt;&gt;$H163,0,IF(CH163&lt;0,IF($J163=1,-$E163*$I163/12*0,IF($J163=2,-$E163*$I163/12*1,IF($J163=3,-$E163*$I163/12*2,IF($J163&gt;=4,-$E163*$I163/12*3,0))))))</f>
        <v>0</v>
      </c>
      <c r="CJ163" s="1807">
        <f>IF($H163&lt;&gt;CM$5,0,IF(CM163&lt;0,IF(OR($J163=1,$J163=2,$J163=3,$J163=4),-$E163*$I163/12*3,IF($J163=5,-$E163*$I163/12*2,IF($J163=6,-$E163*$I163/12*1,0)))))+IF(CH$5&lt;&gt;$H163,0,IF(CH163&lt;0,IF($J163=4,-$E163*$I163/12*0,IF($J163=5,-$E163*$I163/12*1,IF($J163=6,-$E163*$I163/12*2,IF($J163&gt;=7,-$E163*$I163/12*3,0))))))</f>
        <v>0</v>
      </c>
      <c r="CK163" s="1807">
        <f>IF($H163&lt;&gt;CM$5,0,IF(CM163&lt;0,IF(OR($J163=1,$J163=2,$J163=3,$J163=4,$J163=5,$J163=6,$J163=7),-$E163*$I163/12*3,IF($J163=8,-$E163*$I163/12*2,IF($J163=9,-$E163*$I163/12*1,0)))))+IF(CH$5&lt;&gt;$H163,0,IF(CH163&lt;0,IF($J163=7,-$E163*$I163/12*0,IF($J163=8,-$E163*$I163/12*1,IF($J163=9,-$E163*$I163/12*2,IF($J163&gt;=10,-$E163*$I163/12*3,0))))))</f>
        <v>0</v>
      </c>
      <c r="CL163" s="1806">
        <f>IF($H163&lt;&gt;CM$5,0,IF(CM163&lt;0,IF(OR($J163=1,$J163=2,$J163=3,$J163=4,$J163=5,$J163=6,$J163=7,$J163=8,$J163=9,$J163=10),-$E163*$I163/12*3,IF($J163=11,-$E163*$I163/12*2,IF($J163=12,-$E163*$I163/12*1,0)))))+IF(CH$5&lt;&gt;$H163,0,IF(CH163&lt;0,IF($J163=10,-$E163*$I163/12*0,IF($J163=11,-$E163*$I163/12*1,IF($J163=12,-$E163*$I163/12*2,0)))))</f>
        <v>0</v>
      </c>
      <c r="CM163" s="1791">
        <f>IF(AND(CH163&lt;&gt;0,CH$5=$H163),-$I163*$E163-CH163,IF(CM$5=$H163,-$I163*$E163*(12-$J163+1)/12,0))</f>
        <v>0</v>
      </c>
      <c r="CN163" s="1808">
        <f>IF($H163&lt;&gt;CR$5,0,IF(CR163&lt;0,IF($J163=1,-$E163*$I163/12*3,IF($J163=2,-$E163*$I163/12*2,IF($J163=3,-$E163*$I163/12*1,0)))))+IF(CM$5&lt;&gt;$H163,0,IF(CM163&lt;0,IF($J163=1,-$E163*$I163/12*0,IF($J163=2,-$E163*$I163/12*1,IF($J163=3,-$E163*$I163/12*2,IF($J163&gt;=4,-$E163*$I163/12*3,0))))))</f>
        <v>0</v>
      </c>
      <c r="CO163" s="1807">
        <f>IF($H163&lt;&gt;CR$5,0,IF(CR163&lt;0,IF(OR($J163=1,$J163=2,$J163=3,$J163=4),-$E163*$I163/12*3,IF($J163=5,-$E163*$I163/12*2,IF($J163=6,-$E163*$I163/12*1,0)))))+IF(CM$5&lt;&gt;$H163,0,IF(CM163&lt;0,IF($J163=4,-$E163*$I163/12*0,IF($J163=5,-$E163*$I163/12*1,IF($J163=6,-$E163*$I163/12*2,IF($J163&gt;=7,-$E163*$I163/12*3,0))))))</f>
        <v>0</v>
      </c>
      <c r="CP163" s="1807">
        <f>IF($H163&lt;&gt;CR$5,0,IF(CR163&lt;0,IF(OR($J163=1,$J163=2,$J163=3,$J163=4,$J163=5,$J163=6,$J163=7),-$E163*$I163/12*3,IF($J163=8,-$E163*$I163/12*2,IF($J163=9,-$E163*$I163/12*1,0)))))+IF(CM$5&lt;&gt;$H163,0,IF(CM163&lt;0,IF($J163=7,-$E163*$I163/12*0,IF($J163=8,-$E163*$I163/12*1,IF($J163=9,-$E163*$I163/12*2,IF($J163&gt;=10,-$E163*$I163/12*3,0))))))</f>
        <v>0</v>
      </c>
      <c r="CQ163" s="1806">
        <f>IF($H163&lt;&gt;CR$5,0,IF(CR163&lt;0,IF(OR($J163=1,$J163=2,$J163=3,$J163=4,$J163=5,$J163=6,$J163=7,$J163=8,$J163=9,$J163=10),-$E163*$I163/12*3,IF($J163=11,-$E163*$I163/12*2,IF($J163=12,-$E163*$I163/12*1,0)))))+IF(CM$5&lt;&gt;$H163,0,IF(CM163&lt;0,IF($J163=10,-$E163*$I163/12*0,IF($J163=11,-$E163*$I163/12*1,IF($J163=12,-$E163*$I163/12*2,0)))))</f>
        <v>0</v>
      </c>
      <c r="CR163" s="1791">
        <f>IF(AND(CM163&lt;&gt;0,CM$5=$H163),-$I163*$E163-CM163,IF(CR$5=$H163,-$I163*$E163*(12-$J163+1)/12,0))</f>
        <v>0</v>
      </c>
      <c r="CS163" s="1808">
        <f>IF($H163&lt;&gt;CW$5,0,IF(CW163&lt;0,IF($J163=1,-$E163*$I163/12*3,IF($J163=2,-$E163*$I163/12*2,IF($J163=3,-$E163*$I163/12*1,0)))))+IF(CR$5&lt;&gt;$H163,0,IF(CR163&lt;0,IF($J163=1,-$E163*$I163/12*0,IF($J163=2,-$E163*$I163/12*1,IF($J163=3,-$E163*$I163/12*2,IF($J163&gt;=4,-$E163*$I163/12*3,0))))))</f>
        <v>0</v>
      </c>
      <c r="CT163" s="1807">
        <f>IF($H163&lt;&gt;CW$5,0,IF(CW163&lt;0,IF(OR($J163=1,$J163=2,$J163=3,$J163=4),-$E163*$I163/12*3,IF($J163=5,-$E163*$I163/12*2,IF($J163=6,-$E163*$I163/12*1,0)))))+IF(CR$5&lt;&gt;$H163,0,IF(CR163&lt;0,IF($J163=4,-$E163*$I163/12*0,IF($J163=5,-$E163*$I163/12*1,IF($J163=6,-$E163*$I163/12*2,IF($J163&gt;=7,-$E163*$I163/12*3,0))))))</f>
        <v>0</v>
      </c>
      <c r="CU163" s="1807">
        <f>IF($H163&lt;&gt;CW$5,0,IF(CW163&lt;0,IF(OR($J163=1,$J163=2,$J163=3,$J163=4,$J163=5,$J163=6,$J163=7),-$E163*$I163/12*3,IF($J163=8,-$E163*$I163/12*2,IF($J163=9,-$E163*$I163/12*1,0)))))+IF(CR$5&lt;&gt;$H163,0,IF(CR163&lt;0,IF($J163=7,-$E163*$I163/12*0,IF($J163=8,-$E163*$I163/12*1,IF($J163=9,-$E163*$I163/12*2,IF($J163&gt;=10,-$E163*$I163/12*3,0))))))</f>
        <v>0</v>
      </c>
      <c r="CV163" s="1806">
        <f>IF($H163&lt;&gt;CW$5,0,IF(CW163&lt;0,IF(OR($J163=1,$J163=2,$J163=3,$J163=4,$J163=5,$J163=6,$J163=7,$J163=8,$J163=9,$J163=10),-$E163*$I163/12*3,IF($J163=11,-$E163*$I163/12*2,IF($J163=12,-$E163*$I163/12*1,0)))))+IF(CR$5&lt;&gt;$H163,0,IF(CR163&lt;0,IF($J163=10,-$E163*$I163/12*0,IF($J163=11,-$E163*$I163/12*1,IF($J163=12,-$E163*$I163/12*2,0)))))</f>
        <v>0</v>
      </c>
      <c r="CW163" s="1791">
        <f>IF(AND(CR163&lt;&gt;0,CR$5=$H163),-$I163*$E163-CR163,IF(CW$5=$H163,-$I163*$E163*(12-$J163+1)/12,0))</f>
        <v>0</v>
      </c>
      <c r="CX163" s="1808">
        <f>IF($H163&lt;&gt;DB$5,0,IF(DB163&lt;0,IF($J163=1,-$E163*$I163/12*3,IF($J163=2,-$E163*$I163/12*2,IF($J163=3,-$E163*$I163/12*1,0)))))+IF(CW$5&lt;&gt;$H163,0,IF(CW163&lt;0,IF($J163=1,-$E163*$I163/12*0,IF($J163=2,-$E163*$I163/12*1,IF($J163=3,-$E163*$I163/12*2,IF($J163&gt;=4,-$E163*$I163/12*3,0))))))</f>
        <v>0</v>
      </c>
      <c r="CY163" s="1807">
        <f>IF($H163&lt;&gt;DB$5,0,IF(DB163&lt;0,IF(OR($J163=1,$J163=2,$J163=3,$J163=4),-$E163*$I163/12*3,IF($J163=5,-$E163*$I163/12*2,IF($J163=6,-$E163*$I163/12*1,0)))))+IF(CW$5&lt;&gt;$H163,0,IF(CW163&lt;0,IF($J163=4,-$E163*$I163/12*0,IF($J163=5,-$E163*$I163/12*1,IF($J163=6,-$E163*$I163/12*2,IF($J163&gt;=7,-$E163*$I163/12*3,0))))))</f>
        <v>0</v>
      </c>
      <c r="CZ163" s="1807">
        <f>IF($H163&lt;&gt;DB$5,0,IF(DB163&lt;0,IF(OR($J163=1,$J163=2,$J163=3,$J163=4,$J163=5,$J163=6,$J163=7),-$E163*$I163/12*3,IF($J163=8,-$E163*$I163/12*2,IF($J163=9,-$E163*$I163/12*1,0)))))+IF(CW$5&lt;&gt;$H163,0,IF(CW163&lt;0,IF($J163=7,-$E163*$I163/12*0,IF($J163=8,-$E163*$I163/12*1,IF($J163=9,-$E163*$I163/12*2,IF($J163&gt;=10,-$E163*$I163/12*3,0))))))</f>
        <v>0</v>
      </c>
      <c r="DA163" s="1806">
        <f>IF($H163&lt;&gt;DB$5,0,IF(DB163&lt;0,IF(OR($J163=1,$J163=2,$J163=3,$J163=4,$J163=5,$J163=6,$J163=7,$J163=8,$J163=9,$J163=10),-$E163*$I163/12*3,IF($J163=11,-$E163*$I163/12*2,IF($J163=12,-$E163*$I163/12*1,0)))))+IF(CW$5&lt;&gt;$H163,0,IF(CW163&lt;0,IF($J163=10,-$E163*$I163/12*0,IF($J163=11,-$E163*$I163/12*1,IF($J163=12,-$E163*$I163/12*2,0)))))</f>
        <v>0</v>
      </c>
      <c r="DB163" s="1791">
        <f>IF(AND(CW163&lt;&gt;0,CW$5=$H163),-$I163*$E163-CW163,IF(DB$5=$H163,-$I163*$E163*(12-$J163+1)/12,0))</f>
        <v>0</v>
      </c>
      <c r="DC163" s="1808">
        <f>IF($H163&lt;&gt;DG$5,0,IF(DG163&lt;0,IF($J163=1,-$E163*$I163/12*3,IF($J163=2,-$E163*$I163/12*2,IF($J163=3,-$E163*$I163/12*1,0)))))+IF(DB$5&lt;&gt;$H163,0,IF(DB163&lt;0,IF($J163=1,-$E163*$I163/12*0,IF($J163=2,-$E163*$I163/12*1,IF($J163=3,-$E163*$I163/12*2,IF($J163&gt;=4,-$E163*$I163/12*3,0))))))</f>
        <v>0</v>
      </c>
      <c r="DD163" s="1807">
        <f>IF($H163&lt;&gt;DG$5,0,IF(DG163&lt;0,IF(OR($J163=1,$J163=2,$J163=3,$J163=4),-$E163*$I163/12*3,IF($J163=5,-$E163*$I163/12*2,IF($J163=6,-$E163*$I163/12*1,0)))))+IF(DB$5&lt;&gt;$H163,0,IF(DB163&lt;0,IF($J163=4,-$E163*$I163/12*0,IF($J163=5,-$E163*$I163/12*1,IF($J163=6,-$E163*$I163/12*2,IF($J163&gt;=7,-$E163*$I163/12*3,0))))))</f>
        <v>0</v>
      </c>
      <c r="DE163" s="1807">
        <f>IF($H163&lt;&gt;DG$5,0,IF(DG163&lt;0,IF(OR($J163=1,$J163=2,$J163=3,$J163=4,$J163=5,$J163=6,$J163=7),-$E163*$I163/12*3,IF($J163=8,-$E163*$I163/12*2,IF($J163=9,-$E163*$I163/12*1,0)))))+IF(DB$5&lt;&gt;$H163,0,IF(DB163&lt;0,IF($J163=7,-$E163*$I163/12*0,IF($J163=8,-$E163*$I163/12*1,IF($J163=9,-$E163*$I163/12*2,IF($J163&gt;=10,-$E163*$I163/12*3,0))))))</f>
        <v>0</v>
      </c>
      <c r="DF163" s="1806">
        <f>IF($H163&lt;&gt;DG$5,0,IF(DG163&lt;0,IF(OR($J163=1,$J163=2,$J163=3,$J163=4,$J163=5,$J163=6,$J163=7,$J163=8,$J163=9,$J163=10),-$E163*$I163/12*3,IF($J163=11,-$E163*$I163/12*2,IF($J163=12,-$E163*$I163/12*1,0)))))+IF(DB$5&lt;&gt;$H163,0,IF(DB163&lt;0,IF($J163=10,-$E163*$I163/12*0,IF($J163=11,-$E163*$I163/12*1,IF($J163=12,-$E163*$I163/12*2,0)))))</f>
        <v>-0.80325000000000002</v>
      </c>
      <c r="DG163" s="1791">
        <f>IF(AND(DB163&lt;&gt;0,DB$5=$H163),-$I163*$E163-DB163,IF(DG$5=$H163,-$I163*$E163*(12-$J163+1)/12,0))</f>
        <v>-0.80324999999999991</v>
      </c>
      <c r="DH163" s="1808">
        <f>IF($H163&lt;&gt;DL$5,0,IF(DL163&lt;0,IF($J163=1,-$E163*$I163/12*3,IF($J163=2,-$E163*$I163/12*2,IF($J163=3,-$E163*$I163/12*1,0)))))+IF(DG$5&lt;&gt;$H163,0,IF(DG163&lt;0,IF($J163=1,-$E163*$I163/12*0,IF($J163=2,-$E163*$I163/12*1,IF($J163=3,-$E163*$I163/12*2,IF($J163&gt;=4,-$E163*$I163/12*3,0))))))</f>
        <v>-0.80325000000000002</v>
      </c>
      <c r="DI163" s="1807">
        <f>IF($H163&lt;&gt;DL$5,0,IF(DL163&lt;0,IF(OR($J163=1,$J163=2,$J163=3,$J163=4),-$E163*$I163/12*3,IF($J163=5,-$E163*$I163/12*2,IF($J163=6,-$E163*$I163/12*1,0)))))+IF(DG$5&lt;&gt;$H163,0,IF(DG163&lt;0,IF($J163=4,-$E163*$I163/12*0,IF($J163=5,-$E163*$I163/12*1,IF($J163=6,-$E163*$I163/12*2,IF($J163&gt;=7,-$E163*$I163/12*3,0))))))</f>
        <v>-0.80325000000000002</v>
      </c>
      <c r="DJ163" s="1807">
        <f>IF($H163&lt;&gt;DL$5,0,IF(DL163&lt;0,IF(OR($J163=1,$J163=2,$J163=3,$J163=4,$J163=5,$J163=6,$J163=7),-$E163*$I163/12*3,IF($J163=8,-$E163*$I163/12*2,IF($J163=9,-$E163*$I163/12*1,0)))))+IF(DG$5&lt;&gt;$H163,0,IF(DG163&lt;0,IF($J163=7,-$E163*$I163/12*0,IF($J163=8,-$E163*$I163/12*1,IF($J163=9,-$E163*$I163/12*2,IF($J163&gt;=10,-$E163*$I163/12*3,0))))))</f>
        <v>-0.80325000000000002</v>
      </c>
      <c r="DK163" s="1806">
        <f>IF($H163&lt;&gt;DL$5,0,IF(DL163&lt;0,IF(OR($J163=1,$J163=2,$J163=3,$J163=4,$J163=5,$J163=6,$J163=7,$J163=8,$J163=9,$J163=10),-$E163*$I163/12*3,IF($J163=11,-$E163*$I163/12*2,IF($J163=12,-$E163*$I163/12*1,0)))))+IF(DG$5&lt;&gt;$H163,0,IF(DG163&lt;0,IF($J163=10,-$E163*$I163/12*0,IF($J163=11,-$E163*$I163/12*1,IF($J163=12,-$E163*$I163/12*2,0)))))</f>
        <v>0</v>
      </c>
      <c r="DL163" s="1791">
        <f>IF(AND(DG163&lt;&gt;0,DG$5=$H163),-$I163*$E163-DG163,IF(DL$5=$H163,-$I163*$E163*(12-$J163+1)/12,0))</f>
        <v>-2.4097500000000003</v>
      </c>
      <c r="DM163" s="1808">
        <f>IF($H163&lt;&gt;DQ$5,0,IF(DQ163&lt;0,IF($J163=1,-$E163*$I163/12*3,IF($J163=2,-$E163*$I163/12*2,IF($J163=3,-$E163*$I163/12*1,0)))))+IF(DL$5&lt;&gt;$H163,0,IF(DL163&lt;0,IF($J163=1,-$E163*$I163/12*0,IF($J163=2,-$E163*$I163/12*1,IF($J163=3,-$E163*$I163/12*2,IF($J163&gt;=4,-$E163*$I163/12*3,0))))))</f>
        <v>0</v>
      </c>
      <c r="DN163" s="1807">
        <f>IF($H163&lt;&gt;DQ$5,0,IF(DQ163&lt;0,IF(OR($J163=1,$J163=2,$J163=3,$J163=4),-$E163*$I163/12*3,IF($J163=5,-$E163*$I163/12*2,IF($J163=6,-$E163*$I163/12*1,0)))))+IF(DL$5&lt;&gt;$H163,0,IF(DL163&lt;0,IF($J163=4,-$E163*$I163/12*0,IF($J163=5,-$E163*$I163/12*1,IF($J163=6,-$E163*$I163/12*2,IF($J163&gt;=7,-$E163*$I163/12*3,0))))))</f>
        <v>0</v>
      </c>
      <c r="DO163" s="1807">
        <f>IF($H163&lt;&gt;DQ$5,0,IF(DQ163&lt;0,IF(OR($J163=1,$J163=2,$J163=3,$J163=4,$J163=5,$J163=6,$J163=7),-$E163*$I163/12*3,IF($J163=8,-$E163*$I163/12*2,IF($J163=9,-$E163*$I163/12*1,0)))))+IF(DL$5&lt;&gt;$H163,0,IF(DL163&lt;0,IF($J163=7,-$E163*$I163/12*0,IF($J163=8,-$E163*$I163/12*1,IF($J163=9,-$E163*$I163/12*2,IF($J163&gt;=10,-$E163*$I163/12*3,0))))))</f>
        <v>0</v>
      </c>
      <c r="DP163" s="1806">
        <f>IF($H163&lt;&gt;DQ$5,0,IF(DQ163&lt;0,IF(OR($J163=1,$J163=2,$J163=3,$J163=4,$J163=5,$J163=6,$J163=7,$J163=8,$J163=9,$J163=10),-$E163*$I163/12*3,IF($J163=11,-$E163*$I163/12*2,IF($J163=12,-$E163*$I163/12*1,0)))))+IF(DL$5&lt;&gt;$H163,0,IF(DL163&lt;0,IF($J163=10,-$E163*$I163/12*0,IF($J163=11,-$E163*$I163/12*1,IF($J163=12,-$E163*$I163/12*2,0)))))</f>
        <v>0</v>
      </c>
      <c r="DQ163" s="1791">
        <f>IF(AND(DL163&lt;&gt;0,DL$5=$H163),-$I163*$E163-DL163,IF(DQ$5=$H163,-$I163*$E163*(12-$J163+1)/12,0))</f>
        <v>0</v>
      </c>
      <c r="DR163" s="1808">
        <f>IF($H163&lt;&gt;DV$5,0,IF(DV163&lt;0,IF($J163=1,-$E163*$I163/12*3,IF($J163=2,-$E163*$I163/12*2,IF($J163=3,-$E163*$I163/12*1,0)))))+IF(DQ$5&lt;&gt;$H163,0,IF(DQ163&lt;0,IF($J163=1,-$E163*$I163/12*0,IF($J163=2,-$E163*$I163/12*1,IF($J163=3,-$E163*$I163/12*2,IF($J163&gt;=4,-$E163*$I163/12*3,0))))))</f>
        <v>0</v>
      </c>
      <c r="DS163" s="1807">
        <f>IF($H163&lt;&gt;DV$5,0,IF(DV163&lt;0,IF(OR($J163=1,$J163=2,$J163=3,$J163=4),-$E163*$I163/12*3,IF($J163=5,-$E163*$I163/12*2,IF($J163=6,-$E163*$I163/12*1,0)))))+IF(DQ$5&lt;&gt;$H163,0,IF(DQ163&lt;0,IF($J163=4,-$E163*$I163/12*0,IF($J163=5,-$E163*$I163/12*1,IF($J163=6,-$E163*$I163/12*2,IF($J163&gt;=7,-$E163*$I163/12*3,0))))))</f>
        <v>0</v>
      </c>
      <c r="DT163" s="1807">
        <f>IF($H163&lt;&gt;DV$5,0,IF(DV163&lt;0,IF(OR($J163=1,$J163=2,$J163=3,$J163=4,$J163=5,$J163=6,$J163=7),-$E163*$I163/12*3,IF($J163=8,-$E163*$I163/12*2,IF($J163=9,-$E163*$I163/12*1,0)))))+IF(DQ$5&lt;&gt;$H163,0,IF(DQ163&lt;0,IF($J163=7,-$E163*$I163/12*0,IF($J163=8,-$E163*$I163/12*1,IF($J163=9,-$E163*$I163/12*2,IF($J163&gt;=10,-$E163*$I163/12*3,0))))))</f>
        <v>0</v>
      </c>
      <c r="DU163" s="1806">
        <f>IF($H163&lt;&gt;DV$5,0,IF(DV163&lt;0,IF(OR($J163=1,$J163=2,$J163=3,$J163=4,$J163=5,$J163=6,$J163=7,$J163=8,$J163=9,$J163=10),-$E163*$I163/12*3,IF($J163=11,-$E163*$I163/12*2,IF($J163=12,-$E163*$I163/12*1,0)))))+IF(DQ$5&lt;&gt;$H163,0,IF(DQ163&lt;0,IF($J163=10,-$E163*$I163/12*0,IF($J163=11,-$E163*$I163/12*1,IF($J163=12,-$E163*$I163/12*2,0)))))</f>
        <v>0</v>
      </c>
      <c r="DV163" s="1791">
        <f>IF(AND(DQ163&lt;&gt;0,DQ$5=$H163),-$I163*$E163-DQ163,IF(DV$5=$H163,-$I163*$E163*(12-$J163+1)/12,0))</f>
        <v>0</v>
      </c>
    </row>
    <row r="164" spans="1:126">
      <c r="A164" s="455"/>
      <c r="B164" s="455"/>
      <c r="C164" s="1363"/>
      <c r="D164" s="94"/>
      <c r="E164" s="1817"/>
      <c r="F164" s="1435"/>
      <c r="G164" s="1435"/>
      <c r="H164" s="1350"/>
      <c r="I164" s="1335"/>
      <c r="J164" s="1343"/>
      <c r="K164" s="1792"/>
      <c r="L164" s="1810"/>
      <c r="M164" s="1791"/>
      <c r="N164" s="1808"/>
      <c r="O164" s="1807"/>
      <c r="P164" s="1807"/>
      <c r="Q164" s="1806"/>
      <c r="R164" s="1791"/>
      <c r="S164" s="1808"/>
      <c r="T164" s="1807"/>
      <c r="U164" s="1807"/>
      <c r="V164" s="1806"/>
      <c r="W164" s="1791"/>
      <c r="X164" s="1808"/>
      <c r="Y164" s="1807"/>
      <c r="Z164" s="1807"/>
      <c r="AA164" s="1806"/>
      <c r="AB164" s="1791"/>
      <c r="AC164" s="1808"/>
      <c r="AD164" s="1807"/>
      <c r="AE164" s="1807"/>
      <c r="AF164" s="1806"/>
      <c r="AG164" s="1791"/>
      <c r="AH164" s="1808"/>
      <c r="AI164" s="1807"/>
      <c r="AJ164" s="1807"/>
      <c r="AK164" s="1806"/>
      <c r="AL164" s="1791"/>
      <c r="AM164" s="1808"/>
      <c r="AN164" s="1807"/>
      <c r="AO164" s="1807"/>
      <c r="AP164" s="1806"/>
      <c r="AQ164" s="1791"/>
      <c r="AR164" s="1808"/>
      <c r="AS164" s="1807"/>
      <c r="AT164" s="1807"/>
      <c r="AU164" s="1806"/>
      <c r="AV164" s="1791"/>
      <c r="AW164" s="1808"/>
      <c r="AX164" s="1807"/>
      <c r="AY164" s="1807"/>
      <c r="AZ164" s="1806"/>
      <c r="BA164" s="1791"/>
      <c r="BB164" s="1808"/>
      <c r="BC164" s="1807"/>
      <c r="BD164" s="1807"/>
      <c r="BE164" s="1806"/>
      <c r="BF164" s="1791"/>
      <c r="BG164" s="1808"/>
      <c r="BH164" s="1807"/>
      <c r="BI164" s="1807"/>
      <c r="BJ164" s="1806"/>
      <c r="BK164" s="1791"/>
      <c r="BL164" s="1808"/>
      <c r="BM164" s="1807"/>
      <c r="BN164" s="1807"/>
      <c r="BO164" s="1806"/>
      <c r="BP164" s="1791"/>
      <c r="BQ164" s="1827"/>
      <c r="BR164" s="1791"/>
      <c r="BS164" s="1791"/>
      <c r="BT164" s="1808"/>
      <c r="BU164" s="1807"/>
      <c r="BV164" s="1807"/>
      <c r="BW164" s="1806"/>
      <c r="BX164" s="1791"/>
      <c r="BY164" s="1808"/>
      <c r="BZ164" s="1807"/>
      <c r="CA164" s="1807"/>
      <c r="CB164" s="1806"/>
      <c r="CC164" s="1791"/>
      <c r="CD164" s="1808"/>
      <c r="CE164" s="1807"/>
      <c r="CF164" s="1807"/>
      <c r="CG164" s="1806"/>
      <c r="CH164" s="1791"/>
      <c r="CI164" s="1808"/>
      <c r="CJ164" s="1807"/>
      <c r="CK164" s="1807"/>
      <c r="CL164" s="1806"/>
      <c r="CM164" s="1791"/>
      <c r="CN164" s="1808"/>
      <c r="CO164" s="1807"/>
      <c r="CP164" s="1807"/>
      <c r="CQ164" s="1806"/>
      <c r="CR164" s="1791"/>
      <c r="CS164" s="1808"/>
      <c r="CT164" s="1807"/>
      <c r="CU164" s="1807"/>
      <c r="CV164" s="1806"/>
      <c r="CW164" s="1791"/>
      <c r="CX164" s="1808"/>
      <c r="CY164" s="1807"/>
      <c r="CZ164" s="1807"/>
      <c r="DA164" s="1806"/>
      <c r="DB164" s="1791"/>
      <c r="DC164" s="1808"/>
      <c r="DD164" s="1807"/>
      <c r="DE164" s="1807"/>
      <c r="DF164" s="1806"/>
      <c r="DG164" s="1791"/>
      <c r="DH164" s="1808"/>
      <c r="DI164" s="1807"/>
      <c r="DJ164" s="1807"/>
      <c r="DK164" s="1806"/>
      <c r="DL164" s="1791"/>
      <c r="DM164" s="1808"/>
      <c r="DN164" s="1807"/>
      <c r="DO164" s="1807"/>
      <c r="DP164" s="1806"/>
      <c r="DQ164" s="1791"/>
      <c r="DR164" s="1808"/>
      <c r="DS164" s="1807"/>
      <c r="DT164" s="1807"/>
      <c r="DU164" s="1806"/>
      <c r="DV164" s="1791"/>
    </row>
    <row r="165" spans="1:126">
      <c r="A165" s="455"/>
      <c r="B165" s="455"/>
      <c r="C165" s="1596" t="s">
        <v>313</v>
      </c>
      <c r="D165" s="94"/>
      <c r="E165" s="1817"/>
      <c r="F165" s="1435"/>
      <c r="G165" s="1435"/>
      <c r="H165" s="1597"/>
      <c r="I165" s="1598"/>
      <c r="J165" s="1599"/>
      <c r="K165" s="1792"/>
      <c r="L165" s="1810">
        <f t="shared" ref="L165:M167" si="2136">IF(L$5=$H165,-$E165,0)</f>
        <v>0</v>
      </c>
      <c r="M165" s="1791">
        <f t="shared" si="2136"/>
        <v>0</v>
      </c>
      <c r="N165" s="1808">
        <f>IF(R165=0,0,IF(R165&lt;0,IF($J165=3,R165,IF($J165=2,R165,IF($J165=1,R165,0)))))</f>
        <v>0</v>
      </c>
      <c r="O165" s="1807">
        <f>IF(R165=0,0,IF(R165&lt;0,IF($J165=6,R165,IF($J165=5,R165,IF($J165=4,R165,0)))))</f>
        <v>0</v>
      </c>
      <c r="P165" s="1807">
        <f>IF(R165=0,0,IF(R165&lt;0,IF($J165=9,R165,IF($J165=8,R165,IF($J165=7,R165,0)))))</f>
        <v>0</v>
      </c>
      <c r="Q165" s="1806">
        <f>IF(R165=0,0,IF(R165&lt;0,IF($J165=12,R165,IF($J165=11,R165,IF($J165=10,R165,0)))))</f>
        <v>0</v>
      </c>
      <c r="R165" s="1791">
        <f>IF(R$5=$H165,-$E165,0)</f>
        <v>0</v>
      </c>
      <c r="S165" s="1808">
        <f>IF(W165=0,0,IF(W165&lt;0,IF($J165=3,W165,IF($J165=2,W165,IF($J165=1,W165,0)))))</f>
        <v>0</v>
      </c>
      <c r="T165" s="1807">
        <f>IF(W165=0,0,IF(W165&lt;0,IF($J165=6,W165,IF($J165=5,W165,IF($J165=4,W165,0)))))</f>
        <v>0</v>
      </c>
      <c r="U165" s="1807">
        <f>IF(W165=0,0,IF(W165&lt;0,IF($J165=9,W165,IF($J165=8,W165,IF($J165=7,W165,0)))))</f>
        <v>0</v>
      </c>
      <c r="V165" s="1806">
        <f>IF(W165=0,0,IF(W165&lt;0,IF($J165=12,W165,IF($J165=11,W165,IF($J165=10,W165,0)))))</f>
        <v>0</v>
      </c>
      <c r="W165" s="1791">
        <f>IF(W$5=$H165,-$E165,0)</f>
        <v>0</v>
      </c>
      <c r="X165" s="1808">
        <f>IF(AB165=0,0,IF(AB165&lt;0,IF($J165=3,AB165,IF($J165=2,AB165,IF($J165=1,AB165,0)))))</f>
        <v>0</v>
      </c>
      <c r="Y165" s="1807">
        <f>IF(AB165=0,0,IF(AB165&lt;0,IF($J165=6,AB165,IF($J165=5,AB165,IF($J165=4,AB165,0)))))</f>
        <v>0</v>
      </c>
      <c r="Z165" s="1807">
        <f>IF(AB165=0,0,IF(AB165&lt;0,IF($J165=9,AB165,IF($J165=8,AB165,IF($J165=7,AB165,0)))))</f>
        <v>0</v>
      </c>
      <c r="AA165" s="1806">
        <f>IF(AB165=0,0,IF(AB165&lt;0,IF($J165=12,AB165,IF($J165=11,AB165,IF($J165=10,AB165,0)))))</f>
        <v>0</v>
      </c>
      <c r="AB165" s="1791">
        <f>IF(AB$5=$H165,-$E165,0)</f>
        <v>0</v>
      </c>
      <c r="AC165" s="1808">
        <f>IF(AG165=0,0,IF(AG165&lt;0,IF($J165=3,AG165,IF($J165=2,AG165,IF($J165=1,AG165,0)))))</f>
        <v>0</v>
      </c>
      <c r="AD165" s="1807">
        <f>IF(AG165=0,0,IF(AG165&lt;0,IF($J165=6,AG165,IF($J165=5,AG165,IF($J165=4,AG165,0)))))</f>
        <v>0</v>
      </c>
      <c r="AE165" s="1807">
        <f>IF(AG165=0,0,IF(AG165&lt;0,IF($J165=9,AG165,IF($J165=8,AG165,IF($J165=7,AG165,0)))))</f>
        <v>0</v>
      </c>
      <c r="AF165" s="1806">
        <f>IF(AG165=0,0,IF(AG165&lt;0,IF($J165=12,AG165,IF($J165=11,AG165,IF($J165=10,AG165,0)))))</f>
        <v>0</v>
      </c>
      <c r="AG165" s="1791">
        <f>IF(AG$5=$H165,-$E165,0)</f>
        <v>0</v>
      </c>
      <c r="AH165" s="1808">
        <f>IF(AL165=0,0,IF(AL165&lt;0,IF($J165=3,AL165,IF($J165=2,AL165,IF($J165=1,AL165,0)))))</f>
        <v>0</v>
      </c>
      <c r="AI165" s="1807">
        <f>IF(AL165=0,0,IF(AL165&lt;0,IF($J165=6,AL165,IF($J165=5,AL165,IF($J165=4,AL165,0)))))</f>
        <v>0</v>
      </c>
      <c r="AJ165" s="1807">
        <f>IF(AL165=0,0,IF(AL165&lt;0,IF($J165=9,AL165,IF($J165=8,AL165,IF($J165=7,AL165,0)))))</f>
        <v>0</v>
      </c>
      <c r="AK165" s="1806">
        <f>IF(AL165=0,0,IF(AL165&lt;0,IF($J165=12,AL165,IF($J165=11,AL165,IF($J165=10,AL165,0)))))</f>
        <v>0</v>
      </c>
      <c r="AL165" s="1791">
        <f>IF(AL$5=$H165,-$E165,0)</f>
        <v>0</v>
      </c>
      <c r="AM165" s="1808">
        <f>IF(AQ165=0,0,IF(AQ165&lt;0,IF($J165=3,AQ165,IF($J165=2,AQ165,IF($J165=1,AQ165,0)))))</f>
        <v>0</v>
      </c>
      <c r="AN165" s="1807">
        <f>IF(AQ165=0,0,IF(AQ165&lt;0,IF($J165=6,AQ165,IF($J165=5,AQ165,IF($J165=4,AQ165,0)))))</f>
        <v>0</v>
      </c>
      <c r="AO165" s="1807">
        <f>IF(AQ165=0,0,IF(AQ165&lt;0,IF($J165=9,AQ165,IF($J165=8,AQ165,IF($J165=7,AQ165,0)))))</f>
        <v>0</v>
      </c>
      <c r="AP165" s="1806">
        <f>IF(AQ165=0,0,IF(AQ165&lt;0,IF($J165=12,AQ165,IF($J165=11,AQ165,IF($J165=10,AQ165,0)))))</f>
        <v>0</v>
      </c>
      <c r="AQ165" s="1791">
        <f>IF(AQ$5=$H165,-$E165,0)</f>
        <v>0</v>
      </c>
      <c r="AR165" s="1808">
        <f>IF(AV165=0,0,IF(AV165&lt;0,IF($J165=3,AV165,IF($J165=2,AV165,IF($J165=1,AV165,0)))))</f>
        <v>0</v>
      </c>
      <c r="AS165" s="1807">
        <f>IF(AV165=0,0,IF(AV165&lt;0,IF($J165=6,AV165,IF($J165=5,AV165,IF($J165=4,AV165,0)))))</f>
        <v>0</v>
      </c>
      <c r="AT165" s="1807">
        <f>IF(AV165=0,0,IF(AV165&lt;0,IF($J165=9,AV165,IF($J165=8,AV165,IF($J165=7,AV165,0)))))</f>
        <v>0</v>
      </c>
      <c r="AU165" s="1806">
        <f>IF(AV165=0,0,IF(AV165&lt;0,IF($J165=12,AV165,IF($J165=11,AV165,IF($J165=10,AV165,0)))))</f>
        <v>0</v>
      </c>
      <c r="AV165" s="1791">
        <f>IF(AV$5=$H165,-$E165,0)</f>
        <v>0</v>
      </c>
      <c r="AW165" s="1808">
        <f>IF(BA165=0,0,IF(BA165&lt;0,IF($J165=3,BA165,IF($J165=2,BA165,IF($J165=1,BA165,0)))))</f>
        <v>0</v>
      </c>
      <c r="AX165" s="1807">
        <f>IF(BA165=0,0,IF(BA165&lt;0,IF($J165=6,BA165,IF($J165=5,BA165,IF($J165=4,BA165,0)))))</f>
        <v>0</v>
      </c>
      <c r="AY165" s="1807">
        <f>IF(BA165=0,0,IF(BA165&lt;0,IF($J165=9,BA165,IF($J165=8,BA165,IF($J165=7,BA165,0)))))</f>
        <v>0</v>
      </c>
      <c r="AZ165" s="1806">
        <f>IF(BA165=0,0,IF(BA165&lt;0,IF($J165=12,BA165,IF($J165=11,BA165,IF($J165=10,BA165,0)))))</f>
        <v>0</v>
      </c>
      <c r="BA165" s="1791">
        <f>IF(BA$5=$H165,-$E165,0)</f>
        <v>0</v>
      </c>
      <c r="BB165" s="1808">
        <f>IF(BF165=0,0,IF(BF165&lt;0,IF($J165=3,BF165,IF($J165=2,BF165,IF($J165=1,BF165,0)))))</f>
        <v>0</v>
      </c>
      <c r="BC165" s="1807">
        <f>IF(BF165=0,0,IF(BF165&lt;0,IF($J165=6,BF165,IF($J165=5,BF165,IF($J165=4,BF165,0)))))</f>
        <v>0</v>
      </c>
      <c r="BD165" s="1807">
        <f>IF(BF165=0,0,IF(BF165&lt;0,IF($J165=9,BF165,IF($J165=8,BF165,IF($J165=7,BF165,0)))))</f>
        <v>0</v>
      </c>
      <c r="BE165" s="1806">
        <f>IF(BF165=0,0,IF(BF165&lt;0,IF($J165=12,BF165,IF($J165=11,BF165,IF($J165=10,BF165,0)))))</f>
        <v>0</v>
      </c>
      <c r="BF165" s="1791">
        <f>IF(BF$5=$H165,-$E165,0)</f>
        <v>0</v>
      </c>
      <c r="BG165" s="1808">
        <f>IF(BK165=0,0,IF(BK165&lt;0,IF($J165=3,BK165,IF($J165=2,BK165,IF($J165=1,BK165,0)))))</f>
        <v>0</v>
      </c>
      <c r="BH165" s="1807">
        <f>IF(BK165=0,0,IF(BK165&lt;0,IF($J165=6,BK165,IF($J165=5,BK165,IF($J165=4,BK165,0)))))</f>
        <v>0</v>
      </c>
      <c r="BI165" s="1807">
        <f>IF(BK165=0,0,IF(BK165&lt;0,IF($J165=9,BK165,IF($J165=8,BK165,IF($J165=7,BK165,0)))))</f>
        <v>0</v>
      </c>
      <c r="BJ165" s="1806">
        <f>IF(BK165=0,0,IF(BK165&lt;0,IF($J165=12,BK165,IF($J165=11,BK165,IF($J165=10,BK165,0)))))</f>
        <v>0</v>
      </c>
      <c r="BK165" s="1791">
        <f>IF(BK$5=$H165,-$E165,0)</f>
        <v>0</v>
      </c>
      <c r="BL165" s="1808">
        <f>IF(BP165=0,0,IF(BP165&lt;0,IF($J165=3,BP165,IF($J165=2,BP165,IF($J165=1,BP165,0)))))</f>
        <v>0</v>
      </c>
      <c r="BM165" s="1807">
        <f>IF(BP165=0,0,IF(BP165&lt;0,IF($J165=6,BP165,IF($J165=5,BP165,IF($J165=4,BP165,0)))))</f>
        <v>0</v>
      </c>
      <c r="BN165" s="1807">
        <f>IF(BP165=0,0,IF(BP165&lt;0,IF($J165=9,BP165,IF($J165=8,BP165,IF($J165=7,BP165,0)))))</f>
        <v>0</v>
      </c>
      <c r="BO165" s="1806">
        <f>IF(BP165=0,0,IF(BP165&lt;0,IF($J165=12,BP165,IF($J165=11,BP165,IF($J165=10,BP165,0)))))</f>
        <v>0</v>
      </c>
      <c r="BP165" s="1791">
        <f>IF(BP$5=$H165,-$E165,0)</f>
        <v>0</v>
      </c>
      <c r="BQ165" s="1827"/>
      <c r="BR165" s="1791">
        <f t="shared" ref="BR165:BS167" si="2137">IF(AND(BQ165&lt;&gt;0,BQ$5=$H165),-$I165*$E165-BQ165,IF(BR$5=$H165,-$I165*$E165*(12-$J165+1)/12,0))</f>
        <v>0</v>
      </c>
      <c r="BS165" s="1791">
        <f t="shared" si="2137"/>
        <v>0</v>
      </c>
      <c r="BT165" s="1808">
        <f>IF($H165&lt;&gt;BX$5,0,IF(BX165&lt;0,IF($J165=1,-$E165*$I165/12*3,IF($J165=2,-$E165*$I165/12*2,IF($J165=3,-$E165*$I165/12*1,0)))))+IF(BS$5&lt;&gt;$H165,0,IF(BS165&lt;0,IF($J165=1,-$E165*$I165/12*0,IF($J165=2,-$E165*$I165/12*1,IF($J165=3,-$E165*$I165/12*2,IF($J165&gt;=4,-$E165*$I165/12*3,0))))))</f>
        <v>0</v>
      </c>
      <c r="BU165" s="1807">
        <f>IF($H165&lt;&gt;BX$5,0,IF(BX165&lt;0,IF(OR($J165=1,$J165=2,$J165=3,$J165=4),-$E165*$I165/12*3,IF($J165=5,-$E165*$I165/12*2,IF($J165=6,-$E165*$I165/12*1,0)))))+IF(BS$5&lt;&gt;$H165,0,IF(BS165&lt;0,IF($J165=4,-$E165*$I165/12*0,IF($J165=5,-$E165*$I165/12*1,IF($J165=6,-$E165*$I165/12*2,IF($J165&gt;=7,-$E165*$I165/12*3,0))))))</f>
        <v>0</v>
      </c>
      <c r="BV165" s="1807">
        <f>IF($H165&lt;&gt;BX$5,0,IF(BX165&lt;0,IF(OR($J165=1,$J165=2,$J165=3,$J165=4,$J165=5,$J165=6,$J165=7),-$E165*$I165/12*3,IF($J165=8,-$E165*$I165/12*2,IF($J165=9,-$E165*$I165/12*1,0)))))+IF(BS$5&lt;&gt;$H165,0,IF(BS165&lt;0,IF($J165=7,-$E165*$I165/12*0,IF($J165=8,-$E165*$I165/12*1,IF($J165=9,-$E165*$I165/12*2,IF($J165&gt;=10,-$E165*$I165/12*3,0))))))</f>
        <v>0</v>
      </c>
      <c r="BW165" s="1806">
        <f>IF($H165&lt;&gt;BX$5,0,IF(BX165&lt;0,IF(OR($J165=1,$J165=2,$J165=3,$J165=4,$J165=5,$J165=6,$J165=7,$J165=8,$J165=9,$J165=10),-$E165*$I165/12*3,IF($J165=11,-$E165*$I165/12*2,IF($J165=12,-$E165*$I165/12*1,0)))))+IF(BS$5&lt;&gt;$H165,0,IF(BS165&lt;0,IF($J165=10,-$E165*$I165/12*0,IF($J165=11,-$E165*$I165/12*1,IF($J165=12,-$E165*$I165/12*2,0)))))</f>
        <v>0</v>
      </c>
      <c r="BX165" s="1791">
        <f>IF(AND(BS165&lt;&gt;0,BS$5=$H165),-$I165*$E165-BS165,IF(BX$5=$H165,-$I165*$E165*(12-$J165+1)/12,0))</f>
        <v>0</v>
      </c>
      <c r="BY165" s="1808">
        <f>IF($H165&lt;&gt;CC$5,0,IF(CC165&lt;0,IF($J165=1,-$E165*$I165/12*3,IF($J165=2,-$E165*$I165/12*2,IF($J165=3,-$E165*$I165/12*1,0)))))+IF(BX$5&lt;&gt;$H165,0,IF(BX165&lt;0,IF($J165=1,-$E165*$I165/12*0,IF($J165=2,-$E165*$I165/12*1,IF($J165=3,-$E165*$I165/12*2,IF($J165&gt;=4,-$E165*$I165/12*3,0))))))</f>
        <v>0</v>
      </c>
      <c r="BZ165" s="1807">
        <f>IF($H165&lt;&gt;CC$5,0,IF(CC165&lt;0,IF(OR($J165=1,$J165=2,$J165=3,$J165=4),-$E165*$I165/12*3,IF($J165=5,-$E165*$I165/12*2,IF($J165=6,-$E165*$I165/12*1,0)))))+IF(BX$5&lt;&gt;$H165,0,IF(BX165&lt;0,IF($J165=4,-$E165*$I165/12*0,IF($J165=5,-$E165*$I165/12*1,IF($J165=6,-$E165*$I165/12*2,IF($J165&gt;=7,-$E165*$I165/12*3,0))))))</f>
        <v>0</v>
      </c>
      <c r="CA165" s="1807">
        <f>IF($H165&lt;&gt;CC$5,0,IF(CC165&lt;0,IF(OR($J165=1,$J165=2,$J165=3,$J165=4,$J165=5,$J165=6,$J165=7),-$E165*$I165/12*3,IF($J165=8,-$E165*$I165/12*2,IF($J165=9,-$E165*$I165/12*1,0)))))+IF(BX$5&lt;&gt;$H165,0,IF(BX165&lt;0,IF($J165=7,-$E165*$I165/12*0,IF($J165=8,-$E165*$I165/12*1,IF($J165=9,-$E165*$I165/12*2,IF($J165&gt;=10,-$E165*$I165/12*3,0))))))</f>
        <v>0</v>
      </c>
      <c r="CB165" s="1806">
        <f>IF($H165&lt;&gt;CC$5,0,IF(CC165&lt;0,IF(OR($J165=1,$J165=2,$J165=3,$J165=4,$J165=5,$J165=6,$J165=7,$J165=8,$J165=9,$J165=10),-$E165*$I165/12*3,IF($J165=11,-$E165*$I165/12*2,IF($J165=12,-$E165*$I165/12*1,0)))))+IF(BX$5&lt;&gt;$H165,0,IF(BX165&lt;0,IF($J165=10,-$E165*$I165/12*0,IF($J165=11,-$E165*$I165/12*1,IF($J165=12,-$E165*$I165/12*2,0)))))</f>
        <v>0</v>
      </c>
      <c r="CC165" s="1791">
        <f>IF(AND(BX165&lt;&gt;0,BX$5=$H165),-$I165*$E165-BX165,IF(CC$5=$H165,-$I165*$E165*(12-$J165+1)/12,0))</f>
        <v>0</v>
      </c>
      <c r="CD165" s="1808">
        <f>IF($H165&lt;&gt;CH$5,0,IF(CH165&lt;0,IF($J165=1,-$E165*$I165/12*3,IF($J165=2,-$E165*$I165/12*2,IF($J165=3,-$E165*$I165/12*1,0)))))+IF(CC$5&lt;&gt;$H165,0,IF(CC165&lt;0,IF($J165=1,-$E165*$I165/12*0,IF($J165=2,-$E165*$I165/12*1,IF($J165=3,-$E165*$I165/12*2,IF($J165&gt;=4,-$E165*$I165/12*3,0))))))</f>
        <v>0</v>
      </c>
      <c r="CE165" s="1807">
        <f>IF($H165&lt;&gt;CH$5,0,IF(CH165&lt;0,IF(OR($J165=1,$J165=2,$J165=3,$J165=4),-$E165*$I165/12*3,IF($J165=5,-$E165*$I165/12*2,IF($J165=6,-$E165*$I165/12*1,0)))))+IF(CC$5&lt;&gt;$H165,0,IF(CC165&lt;0,IF($J165=4,-$E165*$I165/12*0,IF($J165=5,-$E165*$I165/12*1,IF($J165=6,-$E165*$I165/12*2,IF($J165&gt;=7,-$E165*$I165/12*3,0))))))</f>
        <v>0</v>
      </c>
      <c r="CF165" s="1807">
        <f>IF($H165&lt;&gt;CH$5,0,IF(CH165&lt;0,IF(OR($J165=1,$J165=2,$J165=3,$J165=4,$J165=5,$J165=6,$J165=7),-$E165*$I165/12*3,IF($J165=8,-$E165*$I165/12*2,IF($J165=9,-$E165*$I165/12*1,0)))))+IF(CC$5&lt;&gt;$H165,0,IF(CC165&lt;0,IF($J165=7,-$E165*$I165/12*0,IF($J165=8,-$E165*$I165/12*1,IF($J165=9,-$E165*$I165/12*2,IF($J165&gt;=10,-$E165*$I165/12*3,0))))))</f>
        <v>0</v>
      </c>
      <c r="CG165" s="1806">
        <f>IF($H165&lt;&gt;CH$5,0,IF(CH165&lt;0,IF(OR($J165=1,$J165=2,$J165=3,$J165=4,$J165=5,$J165=6,$J165=7,$J165=8,$J165=9,$J165=10),-$E165*$I165/12*3,IF($J165=11,-$E165*$I165/12*2,IF($J165=12,-$E165*$I165/12*1,0)))))+IF(CC$5&lt;&gt;$H165,0,IF(CC165&lt;0,IF($J165=10,-$E165*$I165/12*0,IF($J165=11,-$E165*$I165/12*1,IF($J165=12,-$E165*$I165/12*2,0)))))</f>
        <v>0</v>
      </c>
      <c r="CH165" s="1791">
        <f>IF(AND(CC165&lt;&gt;0,CC$5=$H165),-$I165*$E165-CC165,IF(CH$5=$H165,-$I165*$E165*(12-$J165+1)/12,0))</f>
        <v>0</v>
      </c>
      <c r="CI165" s="1808">
        <f>IF($H165&lt;&gt;CM$5,0,IF(CM165&lt;0,IF($J165=1,-$E165*$I165/12*3,IF($J165=2,-$E165*$I165/12*2,IF($J165=3,-$E165*$I165/12*1,0)))))+IF(CH$5&lt;&gt;$H165,0,IF(CH165&lt;0,IF($J165=1,-$E165*$I165/12*0,IF($J165=2,-$E165*$I165/12*1,IF($J165=3,-$E165*$I165/12*2,IF($J165&gt;=4,-$E165*$I165/12*3,0))))))</f>
        <v>0</v>
      </c>
      <c r="CJ165" s="1807">
        <f>IF($H165&lt;&gt;CM$5,0,IF(CM165&lt;0,IF(OR($J165=1,$J165=2,$J165=3,$J165=4),-$E165*$I165/12*3,IF($J165=5,-$E165*$I165/12*2,IF($J165=6,-$E165*$I165/12*1,0)))))+IF(CH$5&lt;&gt;$H165,0,IF(CH165&lt;0,IF($J165=4,-$E165*$I165/12*0,IF($J165=5,-$E165*$I165/12*1,IF($J165=6,-$E165*$I165/12*2,IF($J165&gt;=7,-$E165*$I165/12*3,0))))))</f>
        <v>0</v>
      </c>
      <c r="CK165" s="1807">
        <f>IF($H165&lt;&gt;CM$5,0,IF(CM165&lt;0,IF(OR($J165=1,$J165=2,$J165=3,$J165=4,$J165=5,$J165=6,$J165=7),-$E165*$I165/12*3,IF($J165=8,-$E165*$I165/12*2,IF($J165=9,-$E165*$I165/12*1,0)))))+IF(CH$5&lt;&gt;$H165,0,IF(CH165&lt;0,IF($J165=7,-$E165*$I165/12*0,IF($J165=8,-$E165*$I165/12*1,IF($J165=9,-$E165*$I165/12*2,IF($J165&gt;=10,-$E165*$I165/12*3,0))))))</f>
        <v>0</v>
      </c>
      <c r="CL165" s="1806">
        <f>IF($H165&lt;&gt;CM$5,0,IF(CM165&lt;0,IF(OR($J165=1,$J165=2,$J165=3,$J165=4,$J165=5,$J165=6,$J165=7,$J165=8,$J165=9,$J165=10),-$E165*$I165/12*3,IF($J165=11,-$E165*$I165/12*2,IF($J165=12,-$E165*$I165/12*1,0)))))+IF(CH$5&lt;&gt;$H165,0,IF(CH165&lt;0,IF($J165=10,-$E165*$I165/12*0,IF($J165=11,-$E165*$I165/12*1,IF($J165=12,-$E165*$I165/12*2,0)))))</f>
        <v>0</v>
      </c>
      <c r="CM165" s="1791">
        <f>IF(AND(CH165&lt;&gt;0,CH$5=$H165),-$I165*$E165-CH165,IF(CM$5=$H165,-$I165*$E165*(12-$J165+1)/12,0))</f>
        <v>0</v>
      </c>
      <c r="CN165" s="1808">
        <f>IF($H165&lt;&gt;CR$5,0,IF(CR165&lt;0,IF($J165=1,-$E165*$I165/12*3,IF($J165=2,-$E165*$I165/12*2,IF($J165=3,-$E165*$I165/12*1,0)))))+IF(CM$5&lt;&gt;$H165,0,IF(CM165&lt;0,IF($J165=1,-$E165*$I165/12*0,IF($J165=2,-$E165*$I165/12*1,IF($J165=3,-$E165*$I165/12*2,IF($J165&gt;=4,-$E165*$I165/12*3,0))))))</f>
        <v>0</v>
      </c>
      <c r="CO165" s="1807">
        <f>IF($H165&lt;&gt;CR$5,0,IF(CR165&lt;0,IF(OR($J165=1,$J165=2,$J165=3,$J165=4),-$E165*$I165/12*3,IF($J165=5,-$E165*$I165/12*2,IF($J165=6,-$E165*$I165/12*1,0)))))+IF(CM$5&lt;&gt;$H165,0,IF(CM165&lt;0,IF($J165=4,-$E165*$I165/12*0,IF($J165=5,-$E165*$I165/12*1,IF($J165=6,-$E165*$I165/12*2,IF($J165&gt;=7,-$E165*$I165/12*3,0))))))</f>
        <v>0</v>
      </c>
      <c r="CP165" s="1807">
        <f>IF($H165&lt;&gt;CR$5,0,IF(CR165&lt;0,IF(OR($J165=1,$J165=2,$J165=3,$J165=4,$J165=5,$J165=6,$J165=7),-$E165*$I165/12*3,IF($J165=8,-$E165*$I165/12*2,IF($J165=9,-$E165*$I165/12*1,0)))))+IF(CM$5&lt;&gt;$H165,0,IF(CM165&lt;0,IF($J165=7,-$E165*$I165/12*0,IF($J165=8,-$E165*$I165/12*1,IF($J165=9,-$E165*$I165/12*2,IF($J165&gt;=10,-$E165*$I165/12*3,0))))))</f>
        <v>0</v>
      </c>
      <c r="CQ165" s="1806">
        <f>IF($H165&lt;&gt;CR$5,0,IF(CR165&lt;0,IF(OR($J165=1,$J165=2,$J165=3,$J165=4,$J165=5,$J165=6,$J165=7,$J165=8,$J165=9,$J165=10),-$E165*$I165/12*3,IF($J165=11,-$E165*$I165/12*2,IF($J165=12,-$E165*$I165/12*1,0)))))+IF(CM$5&lt;&gt;$H165,0,IF(CM165&lt;0,IF($J165=10,-$E165*$I165/12*0,IF($J165=11,-$E165*$I165/12*1,IF($J165=12,-$E165*$I165/12*2,0)))))</f>
        <v>0</v>
      </c>
      <c r="CR165" s="1791">
        <f>IF(AND(CM165&lt;&gt;0,CM$5=$H165),-$I165*$E165-CM165,IF(CR$5=$H165,-$I165*$E165*(12-$J165+1)/12,0))</f>
        <v>0</v>
      </c>
      <c r="CS165" s="1808">
        <f>IF($H165&lt;&gt;CW$5,0,IF(CW165&lt;0,IF($J165=1,-$E165*$I165/12*3,IF($J165=2,-$E165*$I165/12*2,IF($J165=3,-$E165*$I165/12*1,0)))))+IF(CR$5&lt;&gt;$H165,0,IF(CR165&lt;0,IF($J165=1,-$E165*$I165/12*0,IF($J165=2,-$E165*$I165/12*1,IF($J165=3,-$E165*$I165/12*2,IF($J165&gt;=4,-$E165*$I165/12*3,0))))))</f>
        <v>0</v>
      </c>
      <c r="CT165" s="1807">
        <f>IF($H165&lt;&gt;CW$5,0,IF(CW165&lt;0,IF(OR($J165=1,$J165=2,$J165=3,$J165=4),-$E165*$I165/12*3,IF($J165=5,-$E165*$I165/12*2,IF($J165=6,-$E165*$I165/12*1,0)))))+IF(CR$5&lt;&gt;$H165,0,IF(CR165&lt;0,IF($J165=4,-$E165*$I165/12*0,IF($J165=5,-$E165*$I165/12*1,IF($J165=6,-$E165*$I165/12*2,IF($J165&gt;=7,-$E165*$I165/12*3,0))))))</f>
        <v>0</v>
      </c>
      <c r="CU165" s="1807">
        <f>IF($H165&lt;&gt;CW$5,0,IF(CW165&lt;0,IF(OR($J165=1,$J165=2,$J165=3,$J165=4,$J165=5,$J165=6,$J165=7),-$E165*$I165/12*3,IF($J165=8,-$E165*$I165/12*2,IF($J165=9,-$E165*$I165/12*1,0)))))+IF(CR$5&lt;&gt;$H165,0,IF(CR165&lt;0,IF($J165=7,-$E165*$I165/12*0,IF($J165=8,-$E165*$I165/12*1,IF($J165=9,-$E165*$I165/12*2,IF($J165&gt;=10,-$E165*$I165/12*3,0))))))</f>
        <v>0</v>
      </c>
      <c r="CV165" s="1806">
        <f>IF($H165&lt;&gt;CW$5,0,IF(CW165&lt;0,IF(OR($J165=1,$J165=2,$J165=3,$J165=4,$J165=5,$J165=6,$J165=7,$J165=8,$J165=9,$J165=10),-$E165*$I165/12*3,IF($J165=11,-$E165*$I165/12*2,IF($J165=12,-$E165*$I165/12*1,0)))))+IF(CR$5&lt;&gt;$H165,0,IF(CR165&lt;0,IF($J165=10,-$E165*$I165/12*0,IF($J165=11,-$E165*$I165/12*1,IF($J165=12,-$E165*$I165/12*2,0)))))</f>
        <v>0</v>
      </c>
      <c r="CW165" s="1791">
        <f>IF(AND(CR165&lt;&gt;0,CR$5=$H165),-$I165*$E165-CR165,IF(CW$5=$H165,-$I165*$E165*(12-$J165+1)/12,0))</f>
        <v>0</v>
      </c>
      <c r="CX165" s="1808">
        <f>IF($H165&lt;&gt;DB$5,0,IF(DB165&lt;0,IF($J165=1,-$E165*$I165/12*3,IF($J165=2,-$E165*$I165/12*2,IF($J165=3,-$E165*$I165/12*1,0)))))+IF(CW$5&lt;&gt;$H165,0,IF(CW165&lt;0,IF($J165=1,-$E165*$I165/12*0,IF($J165=2,-$E165*$I165/12*1,IF($J165=3,-$E165*$I165/12*2,IF($J165&gt;=4,-$E165*$I165/12*3,0))))))</f>
        <v>0</v>
      </c>
      <c r="CY165" s="1807">
        <f>IF($H165&lt;&gt;DB$5,0,IF(DB165&lt;0,IF(OR($J165=1,$J165=2,$J165=3,$J165=4),-$E165*$I165/12*3,IF($J165=5,-$E165*$I165/12*2,IF($J165=6,-$E165*$I165/12*1,0)))))+IF(CW$5&lt;&gt;$H165,0,IF(CW165&lt;0,IF($J165=4,-$E165*$I165/12*0,IF($J165=5,-$E165*$I165/12*1,IF($J165=6,-$E165*$I165/12*2,IF($J165&gt;=7,-$E165*$I165/12*3,0))))))</f>
        <v>0</v>
      </c>
      <c r="CZ165" s="1807">
        <f>IF($H165&lt;&gt;DB$5,0,IF(DB165&lt;0,IF(OR($J165=1,$J165=2,$J165=3,$J165=4,$J165=5,$J165=6,$J165=7),-$E165*$I165/12*3,IF($J165=8,-$E165*$I165/12*2,IF($J165=9,-$E165*$I165/12*1,0)))))+IF(CW$5&lt;&gt;$H165,0,IF(CW165&lt;0,IF($J165=7,-$E165*$I165/12*0,IF($J165=8,-$E165*$I165/12*1,IF($J165=9,-$E165*$I165/12*2,IF($J165&gt;=10,-$E165*$I165/12*3,0))))))</f>
        <v>0</v>
      </c>
      <c r="DA165" s="1806">
        <f>IF($H165&lt;&gt;DB$5,0,IF(DB165&lt;0,IF(OR($J165=1,$J165=2,$J165=3,$J165=4,$J165=5,$J165=6,$J165=7,$J165=8,$J165=9,$J165=10),-$E165*$I165/12*3,IF($J165=11,-$E165*$I165/12*2,IF($J165=12,-$E165*$I165/12*1,0)))))+IF(CW$5&lt;&gt;$H165,0,IF(CW165&lt;0,IF($J165=10,-$E165*$I165/12*0,IF($J165=11,-$E165*$I165/12*1,IF($J165=12,-$E165*$I165/12*2,0)))))</f>
        <v>0</v>
      </c>
      <c r="DB165" s="1791">
        <f>IF(AND(CW165&lt;&gt;0,CW$5=$H165),-$I165*$E165-CW165,IF(DB$5=$H165,-$I165*$E165*(12-$J165+1)/12,0))</f>
        <v>0</v>
      </c>
      <c r="DC165" s="1808">
        <f>IF($H165&lt;&gt;DG$5,0,IF(DG165&lt;0,IF($J165=1,-$E165*$I165/12*3,IF($J165=2,-$E165*$I165/12*2,IF($J165=3,-$E165*$I165/12*1,0)))))+IF(DB$5&lt;&gt;$H165,0,IF(DB165&lt;0,IF($J165=1,-$E165*$I165/12*0,IF($J165=2,-$E165*$I165/12*1,IF($J165=3,-$E165*$I165/12*2,IF($J165&gt;=4,-$E165*$I165/12*3,0))))))</f>
        <v>0</v>
      </c>
      <c r="DD165" s="1807">
        <f>IF($H165&lt;&gt;DG$5,0,IF(DG165&lt;0,IF(OR($J165=1,$J165=2,$J165=3,$J165=4),-$E165*$I165/12*3,IF($J165=5,-$E165*$I165/12*2,IF($J165=6,-$E165*$I165/12*1,0)))))+IF(DB$5&lt;&gt;$H165,0,IF(DB165&lt;0,IF($J165=4,-$E165*$I165/12*0,IF($J165=5,-$E165*$I165/12*1,IF($J165=6,-$E165*$I165/12*2,IF($J165&gt;=7,-$E165*$I165/12*3,0))))))</f>
        <v>0</v>
      </c>
      <c r="DE165" s="1807">
        <f>IF($H165&lt;&gt;DG$5,0,IF(DG165&lt;0,IF(OR($J165=1,$J165=2,$J165=3,$J165=4,$J165=5,$J165=6,$J165=7),-$E165*$I165/12*3,IF($J165=8,-$E165*$I165/12*2,IF($J165=9,-$E165*$I165/12*1,0)))))+IF(DB$5&lt;&gt;$H165,0,IF(DB165&lt;0,IF($J165=7,-$E165*$I165/12*0,IF($J165=8,-$E165*$I165/12*1,IF($J165=9,-$E165*$I165/12*2,IF($J165&gt;=10,-$E165*$I165/12*3,0))))))</f>
        <v>0</v>
      </c>
      <c r="DF165" s="1806">
        <f>IF($H165&lt;&gt;DG$5,0,IF(DG165&lt;0,IF(OR($J165=1,$J165=2,$J165=3,$J165=4,$J165=5,$J165=6,$J165=7,$J165=8,$J165=9,$J165=10),-$E165*$I165/12*3,IF($J165=11,-$E165*$I165/12*2,IF($J165=12,-$E165*$I165/12*1,0)))))+IF(DB$5&lt;&gt;$H165,0,IF(DB165&lt;0,IF($J165=10,-$E165*$I165/12*0,IF($J165=11,-$E165*$I165/12*1,IF($J165=12,-$E165*$I165/12*2,0)))))</f>
        <v>0</v>
      </c>
      <c r="DG165" s="1791">
        <f>IF(AND(DB165&lt;&gt;0,DB$5=$H165),-$I165*$E165-DB165,IF(DG$5=$H165,-$I165*$E165*(12-$J165+1)/12,0))</f>
        <v>0</v>
      </c>
      <c r="DH165" s="1808">
        <f>IF($H165&lt;&gt;DL$5,0,IF(DL165&lt;0,IF($J165=1,-$E165*$I165/12*3,IF($J165=2,-$E165*$I165/12*2,IF($J165=3,-$E165*$I165/12*1,0)))))+IF(DG$5&lt;&gt;$H165,0,IF(DG165&lt;0,IF($J165=1,-$E165*$I165/12*0,IF($J165=2,-$E165*$I165/12*1,IF($J165=3,-$E165*$I165/12*2,IF($J165&gt;=4,-$E165*$I165/12*3,0))))))</f>
        <v>0</v>
      </c>
      <c r="DI165" s="1807">
        <f>IF($H165&lt;&gt;DL$5,0,IF(DL165&lt;0,IF(OR($J165=1,$J165=2,$J165=3,$J165=4),-$E165*$I165/12*3,IF($J165=5,-$E165*$I165/12*2,IF($J165=6,-$E165*$I165/12*1,0)))))+IF(DG$5&lt;&gt;$H165,0,IF(DG165&lt;0,IF($J165=4,-$E165*$I165/12*0,IF($J165=5,-$E165*$I165/12*1,IF($J165=6,-$E165*$I165/12*2,IF($J165&gt;=7,-$E165*$I165/12*3,0))))))</f>
        <v>0</v>
      </c>
      <c r="DJ165" s="1807">
        <f>IF($H165&lt;&gt;DL$5,0,IF(DL165&lt;0,IF(OR($J165=1,$J165=2,$J165=3,$J165=4,$J165=5,$J165=6,$J165=7),-$E165*$I165/12*3,IF($J165=8,-$E165*$I165/12*2,IF($J165=9,-$E165*$I165/12*1,0)))))+IF(DG$5&lt;&gt;$H165,0,IF(DG165&lt;0,IF($J165=7,-$E165*$I165/12*0,IF($J165=8,-$E165*$I165/12*1,IF($J165=9,-$E165*$I165/12*2,IF($J165&gt;=10,-$E165*$I165/12*3,0))))))</f>
        <v>0</v>
      </c>
      <c r="DK165" s="1806">
        <f>IF($H165&lt;&gt;DL$5,0,IF(DL165&lt;0,IF(OR($J165=1,$J165=2,$J165=3,$J165=4,$J165=5,$J165=6,$J165=7,$J165=8,$J165=9,$J165=10),-$E165*$I165/12*3,IF($J165=11,-$E165*$I165/12*2,IF($J165=12,-$E165*$I165/12*1,0)))))+IF(DG$5&lt;&gt;$H165,0,IF(DG165&lt;0,IF($J165=10,-$E165*$I165/12*0,IF($J165=11,-$E165*$I165/12*1,IF($J165=12,-$E165*$I165/12*2,0)))))</f>
        <v>0</v>
      </c>
      <c r="DL165" s="1791">
        <f>IF(AND(DG165&lt;&gt;0,DG$5=$H165),-$I165*$E165-DG165,IF(DL$5=$H165,-$I165*$E165*(12-$J165+1)/12,0))</f>
        <v>0</v>
      </c>
      <c r="DM165" s="1808">
        <f>IF($H165&lt;&gt;DQ$5,0,IF(DQ165&lt;0,IF($J165=1,-$E165*$I165/12*3,IF($J165=2,-$E165*$I165/12*2,IF($J165=3,-$E165*$I165/12*1,0)))))+IF(DL$5&lt;&gt;$H165,0,IF(DL165&lt;0,IF($J165=1,-$E165*$I165/12*0,IF($J165=2,-$E165*$I165/12*1,IF($J165=3,-$E165*$I165/12*2,IF($J165&gt;=4,-$E165*$I165/12*3,0))))))</f>
        <v>0</v>
      </c>
      <c r="DN165" s="1807">
        <f>IF($H165&lt;&gt;DQ$5,0,IF(DQ165&lt;0,IF(OR($J165=1,$J165=2,$J165=3,$J165=4),-$E165*$I165/12*3,IF($J165=5,-$E165*$I165/12*2,IF($J165=6,-$E165*$I165/12*1,0)))))+IF(DL$5&lt;&gt;$H165,0,IF(DL165&lt;0,IF($J165=4,-$E165*$I165/12*0,IF($J165=5,-$E165*$I165/12*1,IF($J165=6,-$E165*$I165/12*2,IF($J165&gt;=7,-$E165*$I165/12*3,0))))))</f>
        <v>0</v>
      </c>
      <c r="DO165" s="1807">
        <f>IF($H165&lt;&gt;DQ$5,0,IF(DQ165&lt;0,IF(OR($J165=1,$J165=2,$J165=3,$J165=4,$J165=5,$J165=6,$J165=7),-$E165*$I165/12*3,IF($J165=8,-$E165*$I165/12*2,IF($J165=9,-$E165*$I165/12*1,0)))))+IF(DL$5&lt;&gt;$H165,0,IF(DL165&lt;0,IF($J165=7,-$E165*$I165/12*0,IF($J165=8,-$E165*$I165/12*1,IF($J165=9,-$E165*$I165/12*2,IF($J165&gt;=10,-$E165*$I165/12*3,0))))))</f>
        <v>0</v>
      </c>
      <c r="DP165" s="1806">
        <f>IF($H165&lt;&gt;DQ$5,0,IF(DQ165&lt;0,IF(OR($J165=1,$J165=2,$J165=3,$J165=4,$J165=5,$J165=6,$J165=7,$J165=8,$J165=9,$J165=10),-$E165*$I165/12*3,IF($J165=11,-$E165*$I165/12*2,IF($J165=12,-$E165*$I165/12*1,0)))))+IF(DL$5&lt;&gt;$H165,0,IF(DL165&lt;0,IF($J165=10,-$E165*$I165/12*0,IF($J165=11,-$E165*$I165/12*1,IF($J165=12,-$E165*$I165/12*2,0)))))</f>
        <v>0</v>
      </c>
      <c r="DQ165" s="1791">
        <f>IF(AND(DL165&lt;&gt;0,DL$5=$H165),-$I165*$E165-DL165,IF(DQ$5=$H165,-$I165*$E165*(12-$J165+1)/12,0))</f>
        <v>0</v>
      </c>
      <c r="DR165" s="1808">
        <f>IF($H165&lt;&gt;DV$5,0,IF(DV165&lt;0,IF($J165=1,-$E165*$I165/12*3,IF($J165=2,-$E165*$I165/12*2,IF($J165=3,-$E165*$I165/12*1,0)))))+IF(DQ$5&lt;&gt;$H165,0,IF(DQ165&lt;0,IF($J165=1,-$E165*$I165/12*0,IF($J165=2,-$E165*$I165/12*1,IF($J165=3,-$E165*$I165/12*2,IF($J165&gt;=4,-$E165*$I165/12*3,0))))))</f>
        <v>0</v>
      </c>
      <c r="DS165" s="1807">
        <f>IF($H165&lt;&gt;DV$5,0,IF(DV165&lt;0,IF(OR($J165=1,$J165=2,$J165=3,$J165=4),-$E165*$I165/12*3,IF($J165=5,-$E165*$I165/12*2,IF($J165=6,-$E165*$I165/12*1,0)))))+IF(DQ$5&lt;&gt;$H165,0,IF(DQ165&lt;0,IF($J165=4,-$E165*$I165/12*0,IF($J165=5,-$E165*$I165/12*1,IF($J165=6,-$E165*$I165/12*2,IF($J165&gt;=7,-$E165*$I165/12*3,0))))))</f>
        <v>0</v>
      </c>
      <c r="DT165" s="1807">
        <f>IF($H165&lt;&gt;DV$5,0,IF(DV165&lt;0,IF(OR($J165=1,$J165=2,$J165=3,$J165=4,$J165=5,$J165=6,$J165=7),-$E165*$I165/12*3,IF($J165=8,-$E165*$I165/12*2,IF($J165=9,-$E165*$I165/12*1,0)))))+IF(DQ$5&lt;&gt;$H165,0,IF(DQ165&lt;0,IF($J165=7,-$E165*$I165/12*0,IF($J165=8,-$E165*$I165/12*1,IF($J165=9,-$E165*$I165/12*2,IF($J165&gt;=10,-$E165*$I165/12*3,0))))))</f>
        <v>0</v>
      </c>
      <c r="DU165" s="1806">
        <f>IF($H165&lt;&gt;DV$5,0,IF(DV165&lt;0,IF(OR($J165=1,$J165=2,$J165=3,$J165=4,$J165=5,$J165=6,$J165=7,$J165=8,$J165=9,$J165=10),-$E165*$I165/12*3,IF($J165=11,-$E165*$I165/12*2,IF($J165=12,-$E165*$I165/12*1,0)))))+IF(DQ$5&lt;&gt;$H165,0,IF(DQ165&lt;0,IF($J165=10,-$E165*$I165/12*0,IF($J165=11,-$E165*$I165/12*1,IF($J165=12,-$E165*$I165/12*2,0)))))</f>
        <v>0</v>
      </c>
      <c r="DV165" s="1791">
        <f>IF(AND(DQ165&lt;&gt;0,DQ$5=$H165),-$I165*$E165-DQ165,IF(DV$5=$H165,-$I165*$E165*(12-$J165+1)/12,0))</f>
        <v>0</v>
      </c>
    </row>
    <row r="166" spans="1:126">
      <c r="A166" s="455"/>
      <c r="B166" s="455"/>
      <c r="C166" s="1363" t="s">
        <v>795</v>
      </c>
      <c r="D166" s="94"/>
      <c r="E166" s="1817">
        <f>IF(F166=0,G166,F166)</f>
        <v>34.356000000000002</v>
      </c>
      <c r="F166" s="1435">
        <v>34.356000000000002</v>
      </c>
      <c r="G166" s="1435">
        <v>34.359000000000002</v>
      </c>
      <c r="H166" s="1601">
        <v>2039</v>
      </c>
      <c r="I166" s="1335">
        <v>5.1299999999999998E-2</v>
      </c>
      <c r="J166" s="1600">
        <v>6</v>
      </c>
      <c r="K166" s="1792"/>
      <c r="L166" s="1810">
        <f t="shared" si="2136"/>
        <v>0</v>
      </c>
      <c r="M166" s="1791">
        <f t="shared" si="2136"/>
        <v>0</v>
      </c>
      <c r="N166" s="1808">
        <f>IF(R166=0,0,IF(R166&lt;0,IF($J166=3,R166,IF($J166=2,R166,IF($J166=1,R166,0)))))</f>
        <v>0</v>
      </c>
      <c r="O166" s="1807">
        <f>IF(R166=0,0,IF(R166&lt;0,IF($J166=6,R166,IF($J166=5,R166,IF($J166=4,R166,0)))))</f>
        <v>0</v>
      </c>
      <c r="P166" s="1807">
        <f>IF(R166=0,0,IF(R166&lt;0,IF($J166=9,R166,IF($J166=8,R166,IF($J166=7,R166,0)))))</f>
        <v>0</v>
      </c>
      <c r="Q166" s="1806">
        <f>IF(R166=0,0,IF(R166&lt;0,IF($J166=12,R166,IF($J166=11,R166,IF($J166=10,R166,0)))))</f>
        <v>0</v>
      </c>
      <c r="R166" s="1791">
        <f>IF(R$5=$H166,-$E166,0)</f>
        <v>0</v>
      </c>
      <c r="S166" s="1808">
        <f>IF(W166=0,0,IF(W166&lt;0,IF($J166=3,W166,IF($J166=2,W166,IF($J166=1,W166,0)))))</f>
        <v>0</v>
      </c>
      <c r="T166" s="1807">
        <f>IF(W166=0,0,IF(W166&lt;0,IF($J166=6,W166,IF($J166=5,W166,IF($J166=4,W166,0)))))</f>
        <v>0</v>
      </c>
      <c r="U166" s="1807">
        <f>IF(W166=0,0,IF(W166&lt;0,IF($J166=9,W166,IF($J166=8,W166,IF($J166=7,W166,0)))))</f>
        <v>0</v>
      </c>
      <c r="V166" s="1806">
        <f>IF(W166=0,0,IF(W166&lt;0,IF($J166=12,W166,IF($J166=11,W166,IF($J166=10,W166,0)))))</f>
        <v>0</v>
      </c>
      <c r="W166" s="1791">
        <f>IF(W$5=$H166,-$E166,0)</f>
        <v>0</v>
      </c>
      <c r="X166" s="1808">
        <f>IF(AB166=0,0,IF(AB166&lt;0,IF($J166=3,AB166,IF($J166=2,AB166,IF($J166=1,AB166,0)))))</f>
        <v>0</v>
      </c>
      <c r="Y166" s="1807">
        <f>IF(AB166=0,0,IF(AB166&lt;0,IF($J166=6,AB166,IF($J166=5,AB166,IF($J166=4,AB166,0)))))</f>
        <v>0</v>
      </c>
      <c r="Z166" s="1807">
        <f>IF(AB166=0,0,IF(AB166&lt;0,IF($J166=9,AB166,IF($J166=8,AB166,IF($J166=7,AB166,0)))))</f>
        <v>0</v>
      </c>
      <c r="AA166" s="1806">
        <f>IF(AB166=0,0,IF(AB166&lt;0,IF($J166=12,AB166,IF($J166=11,AB166,IF($J166=10,AB166,0)))))</f>
        <v>0</v>
      </c>
      <c r="AB166" s="1791">
        <f>IF(AB$5=$H166,-$E166,0)</f>
        <v>0</v>
      </c>
      <c r="AC166" s="1808">
        <f>IF(AG166=0,0,IF(AG166&lt;0,IF($J166=3,AG166,IF($J166=2,AG166,IF($J166=1,AG166,0)))))</f>
        <v>0</v>
      </c>
      <c r="AD166" s="1807">
        <f>IF(AG166=0,0,IF(AG166&lt;0,IF($J166=6,AG166,IF($J166=5,AG166,IF($J166=4,AG166,0)))))</f>
        <v>0</v>
      </c>
      <c r="AE166" s="1807">
        <f>IF(AG166=0,0,IF(AG166&lt;0,IF($J166=9,AG166,IF($J166=8,AG166,IF($J166=7,AG166,0)))))</f>
        <v>0</v>
      </c>
      <c r="AF166" s="1806">
        <f>IF(AG166=0,0,IF(AG166&lt;0,IF($J166=12,AG166,IF($J166=11,AG166,IF($J166=10,AG166,0)))))</f>
        <v>0</v>
      </c>
      <c r="AG166" s="1791">
        <f>IF(AG$5=$H166,-$E166,0)</f>
        <v>0</v>
      </c>
      <c r="AH166" s="1808">
        <f>IF(AL166=0,0,IF(AL166&lt;0,IF($J166=3,AL166,IF($J166=2,AL166,IF($J166=1,AL166,0)))))</f>
        <v>0</v>
      </c>
      <c r="AI166" s="1807">
        <f>IF(AL166=0,0,IF(AL166&lt;0,IF($J166=6,AL166,IF($J166=5,AL166,IF($J166=4,AL166,0)))))</f>
        <v>0</v>
      </c>
      <c r="AJ166" s="1807">
        <f>IF(AL166=0,0,IF(AL166&lt;0,IF($J166=9,AL166,IF($J166=8,AL166,IF($J166=7,AL166,0)))))</f>
        <v>0</v>
      </c>
      <c r="AK166" s="1806">
        <f>IF(AL166=0,0,IF(AL166&lt;0,IF($J166=12,AL166,IF($J166=11,AL166,IF($J166=10,AL166,0)))))</f>
        <v>0</v>
      </c>
      <c r="AL166" s="1791">
        <f>IF(AL$5=$H166,-$E166,0)</f>
        <v>0</v>
      </c>
      <c r="AM166" s="1808">
        <f>IF(AQ166=0,0,IF(AQ166&lt;0,IF($J166=3,AQ166,IF($J166=2,AQ166,IF($J166=1,AQ166,0)))))</f>
        <v>0</v>
      </c>
      <c r="AN166" s="1807">
        <f>IF(AQ166=0,0,IF(AQ166&lt;0,IF($J166=6,AQ166,IF($J166=5,AQ166,IF($J166=4,AQ166,0)))))</f>
        <v>0</v>
      </c>
      <c r="AO166" s="1807">
        <f>IF(AQ166=0,0,IF(AQ166&lt;0,IF($J166=9,AQ166,IF($J166=8,AQ166,IF($J166=7,AQ166,0)))))</f>
        <v>0</v>
      </c>
      <c r="AP166" s="1806">
        <f>IF(AQ166=0,0,IF(AQ166&lt;0,IF($J166=12,AQ166,IF($J166=11,AQ166,IF($J166=10,AQ166,0)))))</f>
        <v>0</v>
      </c>
      <c r="AQ166" s="1791">
        <f>IF(AQ$5=$H166,-$E166,0)</f>
        <v>0</v>
      </c>
      <c r="AR166" s="1808">
        <f>IF(AV166=0,0,IF(AV166&lt;0,IF($J166=3,AV166,IF($J166=2,AV166,IF($J166=1,AV166,0)))))</f>
        <v>0</v>
      </c>
      <c r="AS166" s="1807">
        <f>IF(AV166=0,0,IF(AV166&lt;0,IF($J166=6,AV166,IF($J166=5,AV166,IF($J166=4,AV166,0)))))</f>
        <v>0</v>
      </c>
      <c r="AT166" s="1807">
        <f>IF(AV166=0,0,IF(AV166&lt;0,IF($J166=9,AV166,IF($J166=8,AV166,IF($J166=7,AV166,0)))))</f>
        <v>0</v>
      </c>
      <c r="AU166" s="1806">
        <f>IF(AV166=0,0,IF(AV166&lt;0,IF($J166=12,AV166,IF($J166=11,AV166,IF($J166=10,AV166,0)))))</f>
        <v>0</v>
      </c>
      <c r="AV166" s="1791">
        <f>IF(AV$5=$H166,-$E166,0)</f>
        <v>0</v>
      </c>
      <c r="AW166" s="1808">
        <f>IF(BA166=0,0,IF(BA166&lt;0,IF($J166=3,BA166,IF($J166=2,BA166,IF($J166=1,BA166,0)))))</f>
        <v>0</v>
      </c>
      <c r="AX166" s="1807">
        <f>IF(BA166=0,0,IF(BA166&lt;0,IF($J166=6,BA166,IF($J166=5,BA166,IF($J166=4,BA166,0)))))</f>
        <v>0</v>
      </c>
      <c r="AY166" s="1807">
        <f>IF(BA166=0,0,IF(BA166&lt;0,IF($J166=9,BA166,IF($J166=8,BA166,IF($J166=7,BA166,0)))))</f>
        <v>0</v>
      </c>
      <c r="AZ166" s="1806">
        <f>IF(BA166=0,0,IF(BA166&lt;0,IF($J166=12,BA166,IF($J166=11,BA166,IF($J166=10,BA166,0)))))</f>
        <v>0</v>
      </c>
      <c r="BA166" s="1791">
        <f>IF(BA$5=$H166,-$E166,0)</f>
        <v>0</v>
      </c>
      <c r="BB166" s="1808">
        <f>IF(BF166=0,0,IF(BF166&lt;0,IF($J166=3,BF166,IF($J166=2,BF166,IF($J166=1,BF166,0)))))</f>
        <v>0</v>
      </c>
      <c r="BC166" s="1807">
        <f>IF(BF166=0,0,IF(BF166&lt;0,IF($J166=6,BF166,IF($J166=5,BF166,IF($J166=4,BF166,0)))))</f>
        <v>0</v>
      </c>
      <c r="BD166" s="1807">
        <f>IF(BF166=0,0,IF(BF166&lt;0,IF($J166=9,BF166,IF($J166=8,BF166,IF($J166=7,BF166,0)))))</f>
        <v>0</v>
      </c>
      <c r="BE166" s="1806">
        <f>IF(BF166=0,0,IF(BF166&lt;0,IF($J166=12,BF166,IF($J166=11,BF166,IF($J166=10,BF166,0)))))</f>
        <v>0</v>
      </c>
      <c r="BF166" s="1791">
        <f>IF(BF$5=$H166,-$E166,0)</f>
        <v>0</v>
      </c>
      <c r="BG166" s="1808">
        <f>IF(BK166=0,0,IF(BK166&lt;0,IF($J166=3,BK166,IF($J166=2,BK166,IF($J166=1,BK166,0)))))</f>
        <v>0</v>
      </c>
      <c r="BH166" s="1807">
        <f>IF(BK166=0,0,IF(BK166&lt;0,IF($J166=6,BK166,IF($J166=5,BK166,IF($J166=4,BK166,0)))))</f>
        <v>0</v>
      </c>
      <c r="BI166" s="1807">
        <f>IF(BK166=0,0,IF(BK166&lt;0,IF($J166=9,BK166,IF($J166=8,BK166,IF($J166=7,BK166,0)))))</f>
        <v>0</v>
      </c>
      <c r="BJ166" s="1806">
        <f>IF(BK166=0,0,IF(BK166&lt;0,IF($J166=12,BK166,IF($J166=11,BK166,IF($J166=10,BK166,0)))))</f>
        <v>0</v>
      </c>
      <c r="BK166" s="1791">
        <f>IF(BK$5=$H166,-$E166,0)</f>
        <v>0</v>
      </c>
      <c r="BL166" s="1808">
        <f>IF(BP166=0,0,IF(BP166&lt;0,IF($J166=3,BP166,IF($J166=2,BP166,IF($J166=1,BP166,0)))))</f>
        <v>0</v>
      </c>
      <c r="BM166" s="1807">
        <f>IF(BP166=0,0,IF(BP166&lt;0,IF($J166=6,BP166,IF($J166=5,BP166,IF($J166=4,BP166,0)))))</f>
        <v>0</v>
      </c>
      <c r="BN166" s="1807">
        <f>IF(BP166=0,0,IF(BP166&lt;0,IF($J166=9,BP166,IF($J166=8,BP166,IF($J166=7,BP166,0)))))</f>
        <v>0</v>
      </c>
      <c r="BO166" s="1806">
        <f>IF(BP166=0,0,IF(BP166&lt;0,IF($J166=12,BP166,IF($J166=11,BP166,IF($J166=10,BP166,0)))))</f>
        <v>0</v>
      </c>
      <c r="BP166" s="1791">
        <f>IF(BP$5=$H166,-$E166,0)</f>
        <v>0</v>
      </c>
      <c r="BQ166" s="1827"/>
      <c r="BR166" s="1791">
        <f t="shared" si="2137"/>
        <v>0</v>
      </c>
      <c r="BS166" s="1791">
        <f t="shared" si="2137"/>
        <v>0</v>
      </c>
      <c r="BT166" s="1808">
        <f>IF($H166&lt;&gt;BX$5,0,IF(BX166&lt;0,IF($J166=1,-$E166*$I166/12*3,IF($J166=2,-$E166*$I166/12*2,IF($J166=3,-$E166*$I166/12*1,0)))))+IF(BS$5&lt;&gt;$H166,0,IF(BS166&lt;0,IF($J166=1,-$E166*$I166/12*0,IF($J166=2,-$E166*$I166/12*1,IF($J166=3,-$E166*$I166/12*2,IF($J166&gt;=4,-$E166*$I166/12*3,0))))))</f>
        <v>0</v>
      </c>
      <c r="BU166" s="1807">
        <f>IF($H166&lt;&gt;BX$5,0,IF(BX166&lt;0,IF(OR($J166=1,$J166=2,$J166=3,$J166=4),-$E166*$I166/12*3,IF($J166=5,-$E166*$I166/12*2,IF($J166=6,-$E166*$I166/12*1,0)))))+IF(BS$5&lt;&gt;$H166,0,IF(BS166&lt;0,IF($J166=4,-$E166*$I166/12*0,IF($J166=5,-$E166*$I166/12*1,IF($J166=6,-$E166*$I166/12*2,IF($J166&gt;=7,-$E166*$I166/12*3,0))))))</f>
        <v>0</v>
      </c>
      <c r="BV166" s="1807">
        <f>IF($H166&lt;&gt;BX$5,0,IF(BX166&lt;0,IF(OR($J166=1,$J166=2,$J166=3,$J166=4,$J166=5,$J166=6,$J166=7),-$E166*$I166/12*3,IF($J166=8,-$E166*$I166/12*2,IF($J166=9,-$E166*$I166/12*1,0)))))+IF(BS$5&lt;&gt;$H166,0,IF(BS166&lt;0,IF($J166=7,-$E166*$I166/12*0,IF($J166=8,-$E166*$I166/12*1,IF($J166=9,-$E166*$I166/12*2,IF($J166&gt;=10,-$E166*$I166/12*3,0))))))</f>
        <v>0</v>
      </c>
      <c r="BW166" s="1806">
        <f>IF($H166&lt;&gt;BX$5,0,IF(BX166&lt;0,IF(OR($J166=1,$J166=2,$J166=3,$J166=4,$J166=5,$J166=6,$J166=7,$J166=8,$J166=9,$J166=10),-$E166*$I166/12*3,IF($J166=11,-$E166*$I166/12*2,IF($J166=12,-$E166*$I166/12*1,0)))))+IF(BS$5&lt;&gt;$H166,0,IF(BS166&lt;0,IF($J166=10,-$E166*$I166/12*0,IF($J166=11,-$E166*$I166/12*1,IF($J166=12,-$E166*$I166/12*2,0)))))</f>
        <v>0</v>
      </c>
      <c r="BX166" s="1791">
        <f>IF(AND(BS166&lt;&gt;0,BS$5=$H166),-$I166*$E166-BS166,IF(BX$5=$H166,-$I166*$E166*(12-$J166+1)/12,0))</f>
        <v>0</v>
      </c>
      <c r="BY166" s="1808">
        <f>IF($H166&lt;&gt;CC$5,0,IF(CC166&lt;0,IF($J166=1,-$E166*$I166/12*3,IF($J166=2,-$E166*$I166/12*2,IF($J166=3,-$E166*$I166/12*1,0)))))+IF(BX$5&lt;&gt;$H166,0,IF(BX166&lt;0,IF($J166=1,-$E166*$I166/12*0,IF($J166=2,-$E166*$I166/12*1,IF($J166=3,-$E166*$I166/12*2,IF($J166&gt;=4,-$E166*$I166/12*3,0))))))</f>
        <v>0</v>
      </c>
      <c r="BZ166" s="1807">
        <f>IF($H166&lt;&gt;CC$5,0,IF(CC166&lt;0,IF(OR($J166=1,$J166=2,$J166=3,$J166=4),-$E166*$I166/12*3,IF($J166=5,-$E166*$I166/12*2,IF($J166=6,-$E166*$I166/12*1,0)))))+IF(BX$5&lt;&gt;$H166,0,IF(BX166&lt;0,IF($J166=4,-$E166*$I166/12*0,IF($J166=5,-$E166*$I166/12*1,IF($J166=6,-$E166*$I166/12*2,IF($J166&gt;=7,-$E166*$I166/12*3,0))))))</f>
        <v>0</v>
      </c>
      <c r="CA166" s="1807">
        <f>IF($H166&lt;&gt;CC$5,0,IF(CC166&lt;0,IF(OR($J166=1,$J166=2,$J166=3,$J166=4,$J166=5,$J166=6,$J166=7),-$E166*$I166/12*3,IF($J166=8,-$E166*$I166/12*2,IF($J166=9,-$E166*$I166/12*1,0)))))+IF(BX$5&lt;&gt;$H166,0,IF(BX166&lt;0,IF($J166=7,-$E166*$I166/12*0,IF($J166=8,-$E166*$I166/12*1,IF($J166=9,-$E166*$I166/12*2,IF($J166&gt;=10,-$E166*$I166/12*3,0))))))</f>
        <v>0</v>
      </c>
      <c r="CB166" s="1806">
        <f>IF($H166&lt;&gt;CC$5,0,IF(CC166&lt;0,IF(OR($J166=1,$J166=2,$J166=3,$J166=4,$J166=5,$J166=6,$J166=7,$J166=8,$J166=9,$J166=10),-$E166*$I166/12*3,IF($J166=11,-$E166*$I166/12*2,IF($J166=12,-$E166*$I166/12*1,0)))))+IF(BX$5&lt;&gt;$H166,0,IF(BX166&lt;0,IF($J166=10,-$E166*$I166/12*0,IF($J166=11,-$E166*$I166/12*1,IF($J166=12,-$E166*$I166/12*2,0)))))</f>
        <v>0</v>
      </c>
      <c r="CC166" s="1791">
        <f>IF(AND(BX166&lt;&gt;0,BX$5=$H166),-$I166*$E166-BX166,IF(CC$5=$H166,-$I166*$E166*(12-$J166+1)/12,0))</f>
        <v>0</v>
      </c>
      <c r="CD166" s="1808">
        <f>IF($H166&lt;&gt;CH$5,0,IF(CH166&lt;0,IF($J166=1,-$E166*$I166/12*3,IF($J166=2,-$E166*$I166/12*2,IF($J166=3,-$E166*$I166/12*1,0)))))+IF(CC$5&lt;&gt;$H166,0,IF(CC166&lt;0,IF($J166=1,-$E166*$I166/12*0,IF($J166=2,-$E166*$I166/12*1,IF($J166=3,-$E166*$I166/12*2,IF($J166&gt;=4,-$E166*$I166/12*3,0))))))</f>
        <v>0</v>
      </c>
      <c r="CE166" s="1807">
        <f>IF($H166&lt;&gt;CH$5,0,IF(CH166&lt;0,IF(OR($J166=1,$J166=2,$J166=3,$J166=4),-$E166*$I166/12*3,IF($J166=5,-$E166*$I166/12*2,IF($J166=6,-$E166*$I166/12*1,0)))))+IF(CC$5&lt;&gt;$H166,0,IF(CC166&lt;0,IF($J166=4,-$E166*$I166/12*0,IF($J166=5,-$E166*$I166/12*1,IF($J166=6,-$E166*$I166/12*2,IF($J166&gt;=7,-$E166*$I166/12*3,0))))))</f>
        <v>0</v>
      </c>
      <c r="CF166" s="1807">
        <f>IF($H166&lt;&gt;CH$5,0,IF(CH166&lt;0,IF(OR($J166=1,$J166=2,$J166=3,$J166=4,$J166=5,$J166=6,$J166=7),-$E166*$I166/12*3,IF($J166=8,-$E166*$I166/12*2,IF($J166=9,-$E166*$I166/12*1,0)))))+IF(CC$5&lt;&gt;$H166,0,IF(CC166&lt;0,IF($J166=7,-$E166*$I166/12*0,IF($J166=8,-$E166*$I166/12*1,IF($J166=9,-$E166*$I166/12*2,IF($J166&gt;=10,-$E166*$I166/12*3,0))))))</f>
        <v>0</v>
      </c>
      <c r="CG166" s="1806">
        <f>IF($H166&lt;&gt;CH$5,0,IF(CH166&lt;0,IF(OR($J166=1,$J166=2,$J166=3,$J166=4,$J166=5,$J166=6,$J166=7,$J166=8,$J166=9,$J166=10),-$E166*$I166/12*3,IF($J166=11,-$E166*$I166/12*2,IF($J166=12,-$E166*$I166/12*1,0)))))+IF(CC$5&lt;&gt;$H166,0,IF(CC166&lt;0,IF($J166=10,-$E166*$I166/12*0,IF($J166=11,-$E166*$I166/12*1,IF($J166=12,-$E166*$I166/12*2,0)))))</f>
        <v>0</v>
      </c>
      <c r="CH166" s="1791">
        <f>IF(AND(CC166&lt;&gt;0,CC$5=$H166),-$I166*$E166-CC166,IF(CH$5=$H166,-$I166*$E166*(12-$J166+1)/12,0))</f>
        <v>0</v>
      </c>
      <c r="CI166" s="1808">
        <f>IF($H166&lt;&gt;CM$5,0,IF(CM166&lt;0,IF($J166=1,-$E166*$I166/12*3,IF($J166=2,-$E166*$I166/12*2,IF($J166=3,-$E166*$I166/12*1,0)))))+IF(CH$5&lt;&gt;$H166,0,IF(CH166&lt;0,IF($J166=1,-$E166*$I166/12*0,IF($J166=2,-$E166*$I166/12*1,IF($J166=3,-$E166*$I166/12*2,IF($J166&gt;=4,-$E166*$I166/12*3,0))))))</f>
        <v>0</v>
      </c>
      <c r="CJ166" s="1807">
        <f>IF($H166&lt;&gt;CM$5,0,IF(CM166&lt;0,IF(OR($J166=1,$J166=2,$J166=3,$J166=4),-$E166*$I166/12*3,IF($J166=5,-$E166*$I166/12*2,IF($J166=6,-$E166*$I166/12*1,0)))))+IF(CH$5&lt;&gt;$H166,0,IF(CH166&lt;0,IF($J166=4,-$E166*$I166/12*0,IF($J166=5,-$E166*$I166/12*1,IF($J166=6,-$E166*$I166/12*2,IF($J166&gt;=7,-$E166*$I166/12*3,0))))))</f>
        <v>0</v>
      </c>
      <c r="CK166" s="1807">
        <f>IF($H166&lt;&gt;CM$5,0,IF(CM166&lt;0,IF(OR($J166=1,$J166=2,$J166=3,$J166=4,$J166=5,$J166=6,$J166=7),-$E166*$I166/12*3,IF($J166=8,-$E166*$I166/12*2,IF($J166=9,-$E166*$I166/12*1,0)))))+IF(CH$5&lt;&gt;$H166,0,IF(CH166&lt;0,IF($J166=7,-$E166*$I166/12*0,IF($J166=8,-$E166*$I166/12*1,IF($J166=9,-$E166*$I166/12*2,IF($J166&gt;=10,-$E166*$I166/12*3,0))))))</f>
        <v>0</v>
      </c>
      <c r="CL166" s="1806">
        <f>IF($H166&lt;&gt;CM$5,0,IF(CM166&lt;0,IF(OR($J166=1,$J166=2,$J166=3,$J166=4,$J166=5,$J166=6,$J166=7,$J166=8,$J166=9,$J166=10),-$E166*$I166/12*3,IF($J166=11,-$E166*$I166/12*2,IF($J166=12,-$E166*$I166/12*1,0)))))+IF(CH$5&lt;&gt;$H166,0,IF(CH166&lt;0,IF($J166=10,-$E166*$I166/12*0,IF($J166=11,-$E166*$I166/12*1,IF($J166=12,-$E166*$I166/12*2,0)))))</f>
        <v>0</v>
      </c>
      <c r="CM166" s="1791">
        <f>IF(AND(CH166&lt;&gt;0,CH$5=$H166),-$I166*$E166-CH166,IF(CM$5=$H166,-$I166*$E166*(12-$J166+1)/12,0))</f>
        <v>0</v>
      </c>
      <c r="CN166" s="1808">
        <f>IF($H166&lt;&gt;CR$5,0,IF(CR166&lt;0,IF($J166=1,-$E166*$I166/12*3,IF($J166=2,-$E166*$I166/12*2,IF($J166=3,-$E166*$I166/12*1,0)))))+IF(CM$5&lt;&gt;$H166,0,IF(CM166&lt;0,IF($J166=1,-$E166*$I166/12*0,IF($J166=2,-$E166*$I166/12*1,IF($J166=3,-$E166*$I166/12*2,IF($J166&gt;=4,-$E166*$I166/12*3,0))))))</f>
        <v>0</v>
      </c>
      <c r="CO166" s="1807">
        <f>IF($H166&lt;&gt;CR$5,0,IF(CR166&lt;0,IF(OR($J166=1,$J166=2,$J166=3,$J166=4),-$E166*$I166/12*3,IF($J166=5,-$E166*$I166/12*2,IF($J166=6,-$E166*$I166/12*1,0)))))+IF(CM$5&lt;&gt;$H166,0,IF(CM166&lt;0,IF($J166=4,-$E166*$I166/12*0,IF($J166=5,-$E166*$I166/12*1,IF($J166=6,-$E166*$I166/12*2,IF($J166&gt;=7,-$E166*$I166/12*3,0))))))</f>
        <v>0</v>
      </c>
      <c r="CP166" s="1807">
        <f>IF($H166&lt;&gt;CR$5,0,IF(CR166&lt;0,IF(OR($J166=1,$J166=2,$J166=3,$J166=4,$J166=5,$J166=6,$J166=7),-$E166*$I166/12*3,IF($J166=8,-$E166*$I166/12*2,IF($J166=9,-$E166*$I166/12*1,0)))))+IF(CM$5&lt;&gt;$H166,0,IF(CM166&lt;0,IF($J166=7,-$E166*$I166/12*0,IF($J166=8,-$E166*$I166/12*1,IF($J166=9,-$E166*$I166/12*2,IF($J166&gt;=10,-$E166*$I166/12*3,0))))))</f>
        <v>0</v>
      </c>
      <c r="CQ166" s="1806">
        <f>IF($H166&lt;&gt;CR$5,0,IF(CR166&lt;0,IF(OR($J166=1,$J166=2,$J166=3,$J166=4,$J166=5,$J166=6,$J166=7,$J166=8,$J166=9,$J166=10),-$E166*$I166/12*3,IF($J166=11,-$E166*$I166/12*2,IF($J166=12,-$E166*$I166/12*1,0)))))+IF(CM$5&lt;&gt;$H166,0,IF(CM166&lt;0,IF($J166=10,-$E166*$I166/12*0,IF($J166=11,-$E166*$I166/12*1,IF($J166=12,-$E166*$I166/12*2,0)))))</f>
        <v>0</v>
      </c>
      <c r="CR166" s="1791">
        <f>IF(AND(CM166&lt;&gt;0,CM$5=$H166),-$I166*$E166-CM166,IF(CR$5=$H166,-$I166*$E166*(12-$J166+1)/12,0))</f>
        <v>0</v>
      </c>
      <c r="CS166" s="1808">
        <f>IF($H166&lt;&gt;CW$5,0,IF(CW166&lt;0,IF($J166=1,-$E166*$I166/12*3,IF($J166=2,-$E166*$I166/12*2,IF($J166=3,-$E166*$I166/12*1,0)))))+IF(CR$5&lt;&gt;$H166,0,IF(CR166&lt;0,IF($J166=1,-$E166*$I166/12*0,IF($J166=2,-$E166*$I166/12*1,IF($J166=3,-$E166*$I166/12*2,IF($J166&gt;=4,-$E166*$I166/12*3,0))))))</f>
        <v>0</v>
      </c>
      <c r="CT166" s="1807">
        <f>IF($H166&lt;&gt;CW$5,0,IF(CW166&lt;0,IF(OR($J166=1,$J166=2,$J166=3,$J166=4),-$E166*$I166/12*3,IF($J166=5,-$E166*$I166/12*2,IF($J166=6,-$E166*$I166/12*1,0)))))+IF(CR$5&lt;&gt;$H166,0,IF(CR166&lt;0,IF($J166=4,-$E166*$I166/12*0,IF($J166=5,-$E166*$I166/12*1,IF($J166=6,-$E166*$I166/12*2,IF($J166&gt;=7,-$E166*$I166/12*3,0))))))</f>
        <v>0</v>
      </c>
      <c r="CU166" s="1807">
        <f>IF($H166&lt;&gt;CW$5,0,IF(CW166&lt;0,IF(OR($J166=1,$J166=2,$J166=3,$J166=4,$J166=5,$J166=6,$J166=7),-$E166*$I166/12*3,IF($J166=8,-$E166*$I166/12*2,IF($J166=9,-$E166*$I166/12*1,0)))))+IF(CR$5&lt;&gt;$H166,0,IF(CR166&lt;0,IF($J166=7,-$E166*$I166/12*0,IF($J166=8,-$E166*$I166/12*1,IF($J166=9,-$E166*$I166/12*2,IF($J166&gt;=10,-$E166*$I166/12*3,0))))))</f>
        <v>0</v>
      </c>
      <c r="CV166" s="1806">
        <f>IF($H166&lt;&gt;CW$5,0,IF(CW166&lt;0,IF(OR($J166=1,$J166=2,$J166=3,$J166=4,$J166=5,$J166=6,$J166=7,$J166=8,$J166=9,$J166=10),-$E166*$I166/12*3,IF($J166=11,-$E166*$I166/12*2,IF($J166=12,-$E166*$I166/12*1,0)))))+IF(CR$5&lt;&gt;$H166,0,IF(CR166&lt;0,IF($J166=10,-$E166*$I166/12*0,IF($J166=11,-$E166*$I166/12*1,IF($J166=12,-$E166*$I166/12*2,0)))))</f>
        <v>0</v>
      </c>
      <c r="CW166" s="1791">
        <f>IF(AND(CR166&lt;&gt;0,CR$5=$H166),-$I166*$E166-CR166,IF(CW$5=$H166,-$I166*$E166*(12-$J166+1)/12,0))</f>
        <v>0</v>
      </c>
      <c r="CX166" s="1808">
        <f>IF($H166&lt;&gt;DB$5,0,IF(DB166&lt;0,IF($J166=1,-$E166*$I166/12*3,IF($J166=2,-$E166*$I166/12*2,IF($J166=3,-$E166*$I166/12*1,0)))))+IF(CW$5&lt;&gt;$H166,0,IF(CW166&lt;0,IF($J166=1,-$E166*$I166/12*0,IF($J166=2,-$E166*$I166/12*1,IF($J166=3,-$E166*$I166/12*2,IF($J166&gt;=4,-$E166*$I166/12*3,0))))))</f>
        <v>0</v>
      </c>
      <c r="CY166" s="1807">
        <f>IF($H166&lt;&gt;DB$5,0,IF(DB166&lt;0,IF(OR($J166=1,$J166=2,$J166=3,$J166=4),-$E166*$I166/12*3,IF($J166=5,-$E166*$I166/12*2,IF($J166=6,-$E166*$I166/12*1,0)))))+IF(CW$5&lt;&gt;$H166,0,IF(CW166&lt;0,IF($J166=4,-$E166*$I166/12*0,IF($J166=5,-$E166*$I166/12*1,IF($J166=6,-$E166*$I166/12*2,IF($J166&gt;=7,-$E166*$I166/12*3,0))))))</f>
        <v>0</v>
      </c>
      <c r="CZ166" s="1807">
        <f>IF($H166&lt;&gt;DB$5,0,IF(DB166&lt;0,IF(OR($J166=1,$J166=2,$J166=3,$J166=4,$J166=5,$J166=6,$J166=7),-$E166*$I166/12*3,IF($J166=8,-$E166*$I166/12*2,IF($J166=9,-$E166*$I166/12*1,0)))))+IF(CW$5&lt;&gt;$H166,0,IF(CW166&lt;0,IF($J166=7,-$E166*$I166/12*0,IF($J166=8,-$E166*$I166/12*1,IF($J166=9,-$E166*$I166/12*2,IF($J166&gt;=10,-$E166*$I166/12*3,0))))))</f>
        <v>0</v>
      </c>
      <c r="DA166" s="1806">
        <f>IF($H166&lt;&gt;DB$5,0,IF(DB166&lt;0,IF(OR($J166=1,$J166=2,$J166=3,$J166=4,$J166=5,$J166=6,$J166=7,$J166=8,$J166=9,$J166=10),-$E166*$I166/12*3,IF($J166=11,-$E166*$I166/12*2,IF($J166=12,-$E166*$I166/12*1,0)))))+IF(CW$5&lt;&gt;$H166,0,IF(CW166&lt;0,IF($J166=10,-$E166*$I166/12*0,IF($J166=11,-$E166*$I166/12*1,IF($J166=12,-$E166*$I166/12*2,0)))))</f>
        <v>0</v>
      </c>
      <c r="DB166" s="1791">
        <f>IF(AND(CW166&lt;&gt;0,CW$5=$H166),-$I166*$E166-CW166,IF(DB$5=$H166,-$I166*$E166*(12-$J166+1)/12,0))</f>
        <v>0</v>
      </c>
      <c r="DC166" s="1808">
        <f>IF($H166&lt;&gt;DG$5,0,IF(DG166&lt;0,IF($J166=1,-$E166*$I166/12*3,IF($J166=2,-$E166*$I166/12*2,IF($J166=3,-$E166*$I166/12*1,0)))))+IF(DB$5&lt;&gt;$H166,0,IF(DB166&lt;0,IF($J166=1,-$E166*$I166/12*0,IF($J166=2,-$E166*$I166/12*1,IF($J166=3,-$E166*$I166/12*2,IF($J166&gt;=4,-$E166*$I166/12*3,0))))))</f>
        <v>0</v>
      </c>
      <c r="DD166" s="1807">
        <f>IF($H166&lt;&gt;DG$5,0,IF(DG166&lt;0,IF(OR($J166=1,$J166=2,$J166=3,$J166=4),-$E166*$I166/12*3,IF($J166=5,-$E166*$I166/12*2,IF($J166=6,-$E166*$I166/12*1,0)))))+IF(DB$5&lt;&gt;$H166,0,IF(DB166&lt;0,IF($J166=4,-$E166*$I166/12*0,IF($J166=5,-$E166*$I166/12*1,IF($J166=6,-$E166*$I166/12*2,IF($J166&gt;=7,-$E166*$I166/12*3,0))))))</f>
        <v>0</v>
      </c>
      <c r="DE166" s="1807">
        <f>IF($H166&lt;&gt;DG$5,0,IF(DG166&lt;0,IF(OR($J166=1,$J166=2,$J166=3,$J166=4,$J166=5,$J166=6,$J166=7),-$E166*$I166/12*3,IF($J166=8,-$E166*$I166/12*2,IF($J166=9,-$E166*$I166/12*1,0)))))+IF(DB$5&lt;&gt;$H166,0,IF(DB166&lt;0,IF($J166=7,-$E166*$I166/12*0,IF($J166=8,-$E166*$I166/12*1,IF($J166=9,-$E166*$I166/12*2,IF($J166&gt;=10,-$E166*$I166/12*3,0))))))</f>
        <v>0</v>
      </c>
      <c r="DF166" s="1806">
        <f>IF($H166&lt;&gt;DG$5,0,IF(DG166&lt;0,IF(OR($J166=1,$J166=2,$J166=3,$J166=4,$J166=5,$J166=6,$J166=7,$J166=8,$J166=9,$J166=10),-$E166*$I166/12*3,IF($J166=11,-$E166*$I166/12*2,IF($J166=12,-$E166*$I166/12*1,0)))))+IF(DB$5&lt;&gt;$H166,0,IF(DB166&lt;0,IF($J166=10,-$E166*$I166/12*0,IF($J166=11,-$E166*$I166/12*1,IF($J166=12,-$E166*$I166/12*2,0)))))</f>
        <v>0</v>
      </c>
      <c r="DG166" s="1791">
        <f>IF(AND(DB166&lt;&gt;0,DB$5=$H166),-$I166*$E166-DB166,IF(DG$5=$H166,-$I166*$E166*(12-$J166+1)/12,0))</f>
        <v>0</v>
      </c>
      <c r="DH166" s="1808">
        <f>IF($H166&lt;&gt;DL$5,0,IF(DL166&lt;0,IF($J166=1,-$E166*$I166/12*3,IF($J166=2,-$E166*$I166/12*2,IF($J166=3,-$E166*$I166/12*1,0)))))+IF(DG$5&lt;&gt;$H166,0,IF(DG166&lt;0,IF($J166=1,-$E166*$I166/12*0,IF($J166=2,-$E166*$I166/12*1,IF($J166=3,-$E166*$I166/12*2,IF($J166&gt;=4,-$E166*$I166/12*3,0))))))</f>
        <v>0</v>
      </c>
      <c r="DI166" s="1807">
        <f>IF($H166&lt;&gt;DL$5,0,IF(DL166&lt;0,IF(OR($J166=1,$J166=2,$J166=3,$J166=4),-$E166*$I166/12*3,IF($J166=5,-$E166*$I166/12*2,IF($J166=6,-$E166*$I166/12*1,0)))))+IF(DG$5&lt;&gt;$H166,0,IF(DG166&lt;0,IF($J166=4,-$E166*$I166/12*0,IF($J166=5,-$E166*$I166/12*1,IF($J166=6,-$E166*$I166/12*2,IF($J166&gt;=7,-$E166*$I166/12*3,0))))))</f>
        <v>0</v>
      </c>
      <c r="DJ166" s="1807">
        <f>IF($H166&lt;&gt;DL$5,0,IF(DL166&lt;0,IF(OR($J166=1,$J166=2,$J166=3,$J166=4,$J166=5,$J166=6,$J166=7),-$E166*$I166/12*3,IF($J166=8,-$E166*$I166/12*2,IF($J166=9,-$E166*$I166/12*1,0)))))+IF(DG$5&lt;&gt;$H166,0,IF(DG166&lt;0,IF($J166=7,-$E166*$I166/12*0,IF($J166=8,-$E166*$I166/12*1,IF($J166=9,-$E166*$I166/12*2,IF($J166&gt;=10,-$E166*$I166/12*3,0))))))</f>
        <v>0</v>
      </c>
      <c r="DK166" s="1806">
        <f>IF($H166&lt;&gt;DL$5,0,IF(DL166&lt;0,IF(OR($J166=1,$J166=2,$J166=3,$J166=4,$J166=5,$J166=6,$J166=7,$J166=8,$J166=9,$J166=10),-$E166*$I166/12*3,IF($J166=11,-$E166*$I166/12*2,IF($J166=12,-$E166*$I166/12*1,0)))))+IF(DG$5&lt;&gt;$H166,0,IF(DG166&lt;0,IF($J166=10,-$E166*$I166/12*0,IF($J166=11,-$E166*$I166/12*1,IF($J166=12,-$E166*$I166/12*2,0)))))</f>
        <v>0</v>
      </c>
      <c r="DL166" s="1791">
        <f>IF(AND(DG166&lt;&gt;0,DG$5=$H166),-$I166*$E166-DG166,IF(DL$5=$H166,-$I166*$E166*(12-$J166+1)/12,0))</f>
        <v>0</v>
      </c>
      <c r="DM166" s="1808">
        <f>IF($H166&lt;&gt;DQ$5,0,IF(DQ166&lt;0,IF($J166=1,-$E166*$I166/12*3,IF($J166=2,-$E166*$I166/12*2,IF($J166=3,-$E166*$I166/12*1,0)))))+IF(DL$5&lt;&gt;$H166,0,IF(DL166&lt;0,IF($J166=1,-$E166*$I166/12*0,IF($J166=2,-$E166*$I166/12*1,IF($J166=3,-$E166*$I166/12*2,IF($J166&gt;=4,-$E166*$I166/12*3,0))))))</f>
        <v>0</v>
      </c>
      <c r="DN166" s="1807">
        <f>IF($H166&lt;&gt;DQ$5,0,IF(DQ166&lt;0,IF(OR($J166=1,$J166=2,$J166=3,$J166=4),-$E166*$I166/12*3,IF($J166=5,-$E166*$I166/12*2,IF($J166=6,-$E166*$I166/12*1,0)))))+IF(DL$5&lt;&gt;$H166,0,IF(DL166&lt;0,IF($J166=4,-$E166*$I166/12*0,IF($J166=5,-$E166*$I166/12*1,IF($J166=6,-$E166*$I166/12*2,IF($J166&gt;=7,-$E166*$I166/12*3,0))))))</f>
        <v>0</v>
      </c>
      <c r="DO166" s="1807">
        <f>IF($H166&lt;&gt;DQ$5,0,IF(DQ166&lt;0,IF(OR($J166=1,$J166=2,$J166=3,$J166=4,$J166=5,$J166=6,$J166=7),-$E166*$I166/12*3,IF($J166=8,-$E166*$I166/12*2,IF($J166=9,-$E166*$I166/12*1,0)))))+IF(DL$5&lt;&gt;$H166,0,IF(DL166&lt;0,IF($J166=7,-$E166*$I166/12*0,IF($J166=8,-$E166*$I166/12*1,IF($J166=9,-$E166*$I166/12*2,IF($J166&gt;=10,-$E166*$I166/12*3,0))))))</f>
        <v>0</v>
      </c>
      <c r="DP166" s="1806">
        <f>IF($H166&lt;&gt;DQ$5,0,IF(DQ166&lt;0,IF(OR($J166=1,$J166=2,$J166=3,$J166=4,$J166=5,$J166=6,$J166=7,$J166=8,$J166=9,$J166=10),-$E166*$I166/12*3,IF($J166=11,-$E166*$I166/12*2,IF($J166=12,-$E166*$I166/12*1,0)))))+IF(DL$5&lt;&gt;$H166,0,IF(DL166&lt;0,IF($J166=10,-$E166*$I166/12*0,IF($J166=11,-$E166*$I166/12*1,IF($J166=12,-$E166*$I166/12*2,0)))))</f>
        <v>0</v>
      </c>
      <c r="DQ166" s="1791">
        <f>IF(AND(DL166&lt;&gt;0,DL$5=$H166),-$I166*$E166-DL166,IF(DQ$5=$H166,-$I166*$E166*(12-$J166+1)/12,0))</f>
        <v>0</v>
      </c>
      <c r="DR166" s="1808">
        <f>IF($H166&lt;&gt;DV$5,0,IF(DV166&lt;0,IF($J166=1,-$E166*$I166/12*3,IF($J166=2,-$E166*$I166/12*2,IF($J166=3,-$E166*$I166/12*1,0)))))+IF(DQ$5&lt;&gt;$H166,0,IF(DQ166&lt;0,IF($J166=1,-$E166*$I166/12*0,IF($J166=2,-$E166*$I166/12*1,IF($J166=3,-$E166*$I166/12*2,IF($J166&gt;=4,-$E166*$I166/12*3,0))))))</f>
        <v>0</v>
      </c>
      <c r="DS166" s="1807">
        <f>IF($H166&lt;&gt;DV$5,0,IF(DV166&lt;0,IF(OR($J166=1,$J166=2,$J166=3,$J166=4),-$E166*$I166/12*3,IF($J166=5,-$E166*$I166/12*2,IF($J166=6,-$E166*$I166/12*1,0)))))+IF(DQ$5&lt;&gt;$H166,0,IF(DQ166&lt;0,IF($J166=4,-$E166*$I166/12*0,IF($J166=5,-$E166*$I166/12*1,IF($J166=6,-$E166*$I166/12*2,IF($J166&gt;=7,-$E166*$I166/12*3,0))))))</f>
        <v>0</v>
      </c>
      <c r="DT166" s="1807">
        <f>IF($H166&lt;&gt;DV$5,0,IF(DV166&lt;0,IF(OR($J166=1,$J166=2,$J166=3,$J166=4,$J166=5,$J166=6,$J166=7),-$E166*$I166/12*3,IF($J166=8,-$E166*$I166/12*2,IF($J166=9,-$E166*$I166/12*1,0)))))+IF(DQ$5&lt;&gt;$H166,0,IF(DQ166&lt;0,IF($J166=7,-$E166*$I166/12*0,IF($J166=8,-$E166*$I166/12*1,IF($J166=9,-$E166*$I166/12*2,IF($J166&gt;=10,-$E166*$I166/12*3,0))))))</f>
        <v>0</v>
      </c>
      <c r="DU166" s="1806">
        <f>IF($H166&lt;&gt;DV$5,0,IF(DV166&lt;0,IF(OR($J166=1,$J166=2,$J166=3,$J166=4,$J166=5,$J166=6,$J166=7,$J166=8,$J166=9,$J166=10),-$E166*$I166/12*3,IF($J166=11,-$E166*$I166/12*2,IF($J166=12,-$E166*$I166/12*1,0)))))+IF(DQ$5&lt;&gt;$H166,0,IF(DQ166&lt;0,IF($J166=10,-$E166*$I166/12*0,IF($J166=11,-$E166*$I166/12*1,IF($J166=12,-$E166*$I166/12*2,0)))))</f>
        <v>0</v>
      </c>
      <c r="DV166" s="1791">
        <f>IF(AND(DQ166&lt;&gt;0,DQ$5=$H166),-$I166*$E166-DQ166,IF(DV$5=$H166,-$I166*$E166*(12-$J166+1)/12,0))</f>
        <v>0</v>
      </c>
    </row>
    <row r="167" spans="1:126">
      <c r="A167" s="455"/>
      <c r="B167" s="455"/>
      <c r="C167" s="1363" t="s">
        <v>313</v>
      </c>
      <c r="D167" s="94"/>
      <c r="E167" s="1817">
        <f>IF(F167=0,G167,F167)</f>
        <v>2.0459999999999994</v>
      </c>
      <c r="F167" s="1435">
        <f>12.83-F152-F112-F76</f>
        <v>2.0459999999999994</v>
      </c>
      <c r="G167" s="1435">
        <v>3.0000000000000001E-3</v>
      </c>
      <c r="H167" s="1601">
        <v>2039</v>
      </c>
      <c r="I167" s="1602">
        <v>0.05</v>
      </c>
      <c r="J167" s="1600">
        <v>6</v>
      </c>
      <c r="K167" s="1792"/>
      <c r="L167" s="1810">
        <f t="shared" si="2136"/>
        <v>0</v>
      </c>
      <c r="M167" s="1791">
        <f t="shared" si="2136"/>
        <v>0</v>
      </c>
      <c r="N167" s="1808">
        <f>IF(R167=0,0,IF(R167&lt;0,IF($J167=3,R167,IF($J167=2,R167,IF($J167=1,R167,0)))))</f>
        <v>0</v>
      </c>
      <c r="O167" s="1807">
        <f>IF(R167=0,0,IF(R167&lt;0,IF($J167=6,R167,IF($J167=5,R167,IF($J167=4,R167,0)))))</f>
        <v>0</v>
      </c>
      <c r="P167" s="1807">
        <f>IF(R167=0,0,IF(R167&lt;0,IF($J167=9,R167,IF($J167=8,R167,IF($J167=7,R167,0)))))</f>
        <v>0</v>
      </c>
      <c r="Q167" s="1806">
        <f>IF(R167=0,0,IF(R167&lt;0,IF($J167=12,R167,IF($J167=11,R167,IF($J167=10,R167,0)))))</f>
        <v>0</v>
      </c>
      <c r="R167" s="1791">
        <f>IF(R$5=$H167,-$E167,0)</f>
        <v>0</v>
      </c>
      <c r="S167" s="1808">
        <f>IF(W167=0,0,IF(W167&lt;0,IF($J167=3,W167,IF($J167=2,W167,IF($J167=1,W167,0)))))</f>
        <v>0</v>
      </c>
      <c r="T167" s="1807">
        <f>IF(W167=0,0,IF(W167&lt;0,IF($J167=6,W167,IF($J167=5,W167,IF($J167=4,W167,0)))))</f>
        <v>0</v>
      </c>
      <c r="U167" s="1807">
        <f>IF(W167=0,0,IF(W167&lt;0,IF($J167=9,W167,IF($J167=8,W167,IF($J167=7,W167,0)))))</f>
        <v>0</v>
      </c>
      <c r="V167" s="1806">
        <f>IF(W167=0,0,IF(W167&lt;0,IF($J167=12,W167,IF($J167=11,W167,IF($J167=10,W167,0)))))</f>
        <v>0</v>
      </c>
      <c r="W167" s="1791">
        <f>IF(W$5=$H167,-$E167,0)</f>
        <v>0</v>
      </c>
      <c r="X167" s="1808">
        <f>IF(AB167=0,0,IF(AB167&lt;0,IF($J167=3,AB167,IF($J167=2,AB167,IF($J167=1,AB167,0)))))</f>
        <v>0</v>
      </c>
      <c r="Y167" s="1807">
        <f>IF(AB167=0,0,IF(AB167&lt;0,IF($J167=6,AB167,IF($J167=5,AB167,IF($J167=4,AB167,0)))))</f>
        <v>0</v>
      </c>
      <c r="Z167" s="1807">
        <f>IF(AB167=0,0,IF(AB167&lt;0,IF($J167=9,AB167,IF($J167=8,AB167,IF($J167=7,AB167,0)))))</f>
        <v>0</v>
      </c>
      <c r="AA167" s="1806">
        <f>IF(AB167=0,0,IF(AB167&lt;0,IF($J167=12,AB167,IF($J167=11,AB167,IF($J167=10,AB167,0)))))</f>
        <v>0</v>
      </c>
      <c r="AB167" s="1791">
        <f>IF(AB$5=$H167,-$E167,0)</f>
        <v>0</v>
      </c>
      <c r="AC167" s="1808">
        <f>IF(AG167=0,0,IF(AG167&lt;0,IF($J167=3,AG167,IF($J167=2,AG167,IF($J167=1,AG167,0)))))</f>
        <v>0</v>
      </c>
      <c r="AD167" s="1807">
        <f>IF(AG167=0,0,IF(AG167&lt;0,IF($J167=6,AG167,IF($J167=5,AG167,IF($J167=4,AG167,0)))))</f>
        <v>0</v>
      </c>
      <c r="AE167" s="1807">
        <f>IF(AG167=0,0,IF(AG167&lt;0,IF($J167=9,AG167,IF($J167=8,AG167,IF($J167=7,AG167,0)))))</f>
        <v>0</v>
      </c>
      <c r="AF167" s="1806">
        <f>IF(AG167=0,0,IF(AG167&lt;0,IF($J167=12,AG167,IF($J167=11,AG167,IF($J167=10,AG167,0)))))</f>
        <v>0</v>
      </c>
      <c r="AG167" s="1791">
        <f>IF(AG$5=$H167,-$E167,0)</f>
        <v>0</v>
      </c>
      <c r="AH167" s="1808">
        <f>IF(AL167=0,0,IF(AL167&lt;0,IF($J167=3,AL167,IF($J167=2,AL167,IF($J167=1,AL167,0)))))</f>
        <v>0</v>
      </c>
      <c r="AI167" s="1807">
        <f>IF(AL167=0,0,IF(AL167&lt;0,IF($J167=6,AL167,IF($J167=5,AL167,IF($J167=4,AL167,0)))))</f>
        <v>0</v>
      </c>
      <c r="AJ167" s="1807">
        <f>IF(AL167=0,0,IF(AL167&lt;0,IF($J167=9,AL167,IF($J167=8,AL167,IF($J167=7,AL167,0)))))</f>
        <v>0</v>
      </c>
      <c r="AK167" s="1806">
        <f>IF(AL167=0,0,IF(AL167&lt;0,IF($J167=12,AL167,IF($J167=11,AL167,IF($J167=10,AL167,0)))))</f>
        <v>0</v>
      </c>
      <c r="AL167" s="1791">
        <f>IF(AL$5=$H167,-$E167,0)</f>
        <v>0</v>
      </c>
      <c r="AM167" s="1808">
        <f>IF(AQ167=0,0,IF(AQ167&lt;0,IF($J167=3,AQ167,IF($J167=2,AQ167,IF($J167=1,AQ167,0)))))</f>
        <v>0</v>
      </c>
      <c r="AN167" s="1807">
        <f>IF(AQ167=0,0,IF(AQ167&lt;0,IF($J167=6,AQ167,IF($J167=5,AQ167,IF($J167=4,AQ167,0)))))</f>
        <v>0</v>
      </c>
      <c r="AO167" s="1807">
        <f>IF(AQ167=0,0,IF(AQ167&lt;0,IF($J167=9,AQ167,IF($J167=8,AQ167,IF($J167=7,AQ167,0)))))</f>
        <v>0</v>
      </c>
      <c r="AP167" s="1806">
        <f>IF(AQ167=0,0,IF(AQ167&lt;0,IF($J167=12,AQ167,IF($J167=11,AQ167,IF($J167=10,AQ167,0)))))</f>
        <v>0</v>
      </c>
      <c r="AQ167" s="1791">
        <f>IF(AQ$5=$H167,-$E167,0)</f>
        <v>0</v>
      </c>
      <c r="AR167" s="1808">
        <f>IF(AV167=0,0,IF(AV167&lt;0,IF($J167=3,AV167,IF($J167=2,AV167,IF($J167=1,AV167,0)))))</f>
        <v>0</v>
      </c>
      <c r="AS167" s="1807">
        <f>IF(AV167=0,0,IF(AV167&lt;0,IF($J167=6,AV167,IF($J167=5,AV167,IF($J167=4,AV167,0)))))</f>
        <v>0</v>
      </c>
      <c r="AT167" s="1807">
        <f>IF(AV167=0,0,IF(AV167&lt;0,IF($J167=9,AV167,IF($J167=8,AV167,IF($J167=7,AV167,0)))))</f>
        <v>0</v>
      </c>
      <c r="AU167" s="1806">
        <f>IF(AV167=0,0,IF(AV167&lt;0,IF($J167=12,AV167,IF($J167=11,AV167,IF($J167=10,AV167,0)))))</f>
        <v>0</v>
      </c>
      <c r="AV167" s="1791">
        <f>IF(AV$5=$H167,-$E167,0)</f>
        <v>0</v>
      </c>
      <c r="AW167" s="1808">
        <f>IF(BA167=0,0,IF(BA167&lt;0,IF($J167=3,BA167,IF($J167=2,BA167,IF($J167=1,BA167,0)))))</f>
        <v>0</v>
      </c>
      <c r="AX167" s="1807">
        <f>IF(BA167=0,0,IF(BA167&lt;0,IF($J167=6,BA167,IF($J167=5,BA167,IF($J167=4,BA167,0)))))</f>
        <v>0</v>
      </c>
      <c r="AY167" s="1807">
        <f>IF(BA167=0,0,IF(BA167&lt;0,IF($J167=9,BA167,IF($J167=8,BA167,IF($J167=7,BA167,0)))))</f>
        <v>0</v>
      </c>
      <c r="AZ167" s="1806">
        <f>IF(BA167=0,0,IF(BA167&lt;0,IF($J167=12,BA167,IF($J167=11,BA167,IF($J167=10,BA167,0)))))</f>
        <v>0</v>
      </c>
      <c r="BA167" s="1791">
        <f>IF(BA$5=$H167,-$E167,0)</f>
        <v>0</v>
      </c>
      <c r="BB167" s="1808">
        <f>IF(BF167=0,0,IF(BF167&lt;0,IF($J167=3,BF167,IF($J167=2,BF167,IF($J167=1,BF167,0)))))</f>
        <v>0</v>
      </c>
      <c r="BC167" s="1807">
        <f>IF(BF167=0,0,IF(BF167&lt;0,IF($J167=6,BF167,IF($J167=5,BF167,IF($J167=4,BF167,0)))))</f>
        <v>0</v>
      </c>
      <c r="BD167" s="1807">
        <f>IF(BF167=0,0,IF(BF167&lt;0,IF($J167=9,BF167,IF($J167=8,BF167,IF($J167=7,BF167,0)))))</f>
        <v>0</v>
      </c>
      <c r="BE167" s="1806">
        <f>IF(BF167=0,0,IF(BF167&lt;0,IF($J167=12,BF167,IF($J167=11,BF167,IF($J167=10,BF167,0)))))</f>
        <v>0</v>
      </c>
      <c r="BF167" s="1791">
        <f>IF(BF$5=$H167,-$E167,0)</f>
        <v>0</v>
      </c>
      <c r="BG167" s="1808">
        <f>IF(BK167=0,0,IF(BK167&lt;0,IF($J167=3,BK167,IF($J167=2,BK167,IF($J167=1,BK167,0)))))</f>
        <v>0</v>
      </c>
      <c r="BH167" s="1807">
        <f>IF(BK167=0,0,IF(BK167&lt;0,IF($J167=6,BK167,IF($J167=5,BK167,IF($J167=4,BK167,0)))))</f>
        <v>0</v>
      </c>
      <c r="BI167" s="1807">
        <f>IF(BK167=0,0,IF(BK167&lt;0,IF($J167=9,BK167,IF($J167=8,BK167,IF($J167=7,BK167,0)))))</f>
        <v>0</v>
      </c>
      <c r="BJ167" s="1806">
        <f>IF(BK167=0,0,IF(BK167&lt;0,IF($J167=12,BK167,IF($J167=11,BK167,IF($J167=10,BK167,0)))))</f>
        <v>0</v>
      </c>
      <c r="BK167" s="1791">
        <f>IF(BK$5=$H167,-$E167,0)</f>
        <v>0</v>
      </c>
      <c r="BL167" s="1808">
        <f>IF(BP167=0,0,IF(BP167&lt;0,IF($J167=3,BP167,IF($J167=2,BP167,IF($J167=1,BP167,0)))))</f>
        <v>0</v>
      </c>
      <c r="BM167" s="1807">
        <f>IF(BP167=0,0,IF(BP167&lt;0,IF($J167=6,BP167,IF($J167=5,BP167,IF($J167=4,BP167,0)))))</f>
        <v>0</v>
      </c>
      <c r="BN167" s="1807">
        <f>IF(BP167=0,0,IF(BP167&lt;0,IF($J167=9,BP167,IF($J167=8,BP167,IF($J167=7,BP167,0)))))</f>
        <v>0</v>
      </c>
      <c r="BO167" s="1806">
        <f>IF(BP167=0,0,IF(BP167&lt;0,IF($J167=12,BP167,IF($J167=11,BP167,IF($J167=10,BP167,0)))))</f>
        <v>0</v>
      </c>
      <c r="BP167" s="1791">
        <f>IF(BP$5=$H167,-$E167,0)</f>
        <v>0</v>
      </c>
      <c r="BQ167" s="2011"/>
      <c r="BR167" s="1791">
        <f t="shared" si="2137"/>
        <v>0</v>
      </c>
      <c r="BS167" s="1791">
        <f t="shared" si="2137"/>
        <v>0</v>
      </c>
      <c r="BT167" s="1808">
        <f>IF($H167&lt;&gt;BX$5,0,IF(BX167&lt;0,IF($J167=1,-$E167*$I167/12*3,IF($J167=2,-$E167*$I167/12*2,IF($J167=3,-$E167*$I167/12*1,0)))))+IF(BS$5&lt;&gt;$H167,0,IF(BS167&lt;0,IF($J167=1,-$E167*$I167/12*0,IF($J167=2,-$E167*$I167/12*1,IF($J167=3,-$E167*$I167/12*2,IF($J167&gt;=4,-$E167*$I167/12*3,0))))))</f>
        <v>0</v>
      </c>
      <c r="BU167" s="1807">
        <f>IF($H167&lt;&gt;BX$5,0,IF(BX167&lt;0,IF(OR($J167=1,$J167=2,$J167=3,$J167=4),-$E167*$I167/12*3,IF($J167=5,-$E167*$I167/12*2,IF($J167=6,-$E167*$I167/12*1,0)))))+IF(BS$5&lt;&gt;$H167,0,IF(BS167&lt;0,IF($J167=4,-$E167*$I167/12*0,IF($J167=5,-$E167*$I167/12*1,IF($J167=6,-$E167*$I167/12*2,IF($J167&gt;=7,-$E167*$I167/12*3,0))))))</f>
        <v>0</v>
      </c>
      <c r="BV167" s="1807">
        <f>IF($H167&lt;&gt;BX$5,0,IF(BX167&lt;0,IF(OR($J167=1,$J167=2,$J167=3,$J167=4,$J167=5,$J167=6,$J167=7),-$E167*$I167/12*3,IF($J167=8,-$E167*$I167/12*2,IF($J167=9,-$E167*$I167/12*1,0)))))+IF(BS$5&lt;&gt;$H167,0,IF(BS167&lt;0,IF($J167=7,-$E167*$I167/12*0,IF($J167=8,-$E167*$I167/12*1,IF($J167=9,-$E167*$I167/12*2,IF($J167&gt;=10,-$E167*$I167/12*3,0))))))</f>
        <v>0</v>
      </c>
      <c r="BW167" s="1806">
        <f>IF($H167&lt;&gt;BX$5,0,IF(BX167&lt;0,IF(OR($J167=1,$J167=2,$J167=3,$J167=4,$J167=5,$J167=6,$J167=7,$J167=8,$J167=9,$J167=10),-$E167*$I167/12*3,IF($J167=11,-$E167*$I167/12*2,IF($J167=12,-$E167*$I167/12*1,0)))))+IF(BS$5&lt;&gt;$H167,0,IF(BS167&lt;0,IF($J167=10,-$E167*$I167/12*0,IF($J167=11,-$E167*$I167/12*1,IF($J167=12,-$E167*$I167/12*2,0)))))</f>
        <v>0</v>
      </c>
      <c r="BX167" s="1791">
        <f>IF(AND(BS167&lt;&gt;0,BS$5=$H167),-$I167*$E167-BS167,IF(BX$5=$H167,-$I167*$E167*(12-$J167+1)/12,0))</f>
        <v>0</v>
      </c>
      <c r="BY167" s="1808">
        <f>IF($H167&lt;&gt;CC$5,0,IF(CC167&lt;0,IF($J167=1,-$E167*$I167/12*3,IF($J167=2,-$E167*$I167/12*2,IF($J167=3,-$E167*$I167/12*1,0)))))+IF(BX$5&lt;&gt;$H167,0,IF(BX167&lt;0,IF($J167=1,-$E167*$I167/12*0,IF($J167=2,-$E167*$I167/12*1,IF($J167=3,-$E167*$I167/12*2,IF($J167&gt;=4,-$E167*$I167/12*3,0))))))</f>
        <v>0</v>
      </c>
      <c r="BZ167" s="1807">
        <f>IF($H167&lt;&gt;CC$5,0,IF(CC167&lt;0,IF(OR($J167=1,$J167=2,$J167=3,$J167=4),-$E167*$I167/12*3,IF($J167=5,-$E167*$I167/12*2,IF($J167=6,-$E167*$I167/12*1,0)))))+IF(BX$5&lt;&gt;$H167,0,IF(BX167&lt;0,IF($J167=4,-$E167*$I167/12*0,IF($J167=5,-$E167*$I167/12*1,IF($J167=6,-$E167*$I167/12*2,IF($J167&gt;=7,-$E167*$I167/12*3,0))))))</f>
        <v>0</v>
      </c>
      <c r="CA167" s="1807">
        <f>IF($H167&lt;&gt;CC$5,0,IF(CC167&lt;0,IF(OR($J167=1,$J167=2,$J167=3,$J167=4,$J167=5,$J167=6,$J167=7),-$E167*$I167/12*3,IF($J167=8,-$E167*$I167/12*2,IF($J167=9,-$E167*$I167/12*1,0)))))+IF(BX$5&lt;&gt;$H167,0,IF(BX167&lt;0,IF($J167=7,-$E167*$I167/12*0,IF($J167=8,-$E167*$I167/12*1,IF($J167=9,-$E167*$I167/12*2,IF($J167&gt;=10,-$E167*$I167/12*3,0))))))</f>
        <v>0</v>
      </c>
      <c r="CB167" s="1806">
        <f>IF($H167&lt;&gt;CC$5,0,IF(CC167&lt;0,IF(OR($J167=1,$J167=2,$J167=3,$J167=4,$J167=5,$J167=6,$J167=7,$J167=8,$J167=9,$J167=10),-$E167*$I167/12*3,IF($J167=11,-$E167*$I167/12*2,IF($J167=12,-$E167*$I167/12*1,0)))))+IF(BX$5&lt;&gt;$H167,0,IF(BX167&lt;0,IF($J167=10,-$E167*$I167/12*0,IF($J167=11,-$E167*$I167/12*1,IF($J167=12,-$E167*$I167/12*2,0)))))</f>
        <v>0</v>
      </c>
      <c r="CC167" s="1791">
        <f>IF(AND(BX167&lt;&gt;0,BX$5=$H167),-$I167*$E167-BX167,IF(CC$5=$H167,-$I167*$E167*(12-$J167+1)/12,0))</f>
        <v>0</v>
      </c>
      <c r="CD167" s="1808">
        <f>IF($H167&lt;&gt;CH$5,0,IF(CH167&lt;0,IF($J167=1,-$E167*$I167/12*3,IF($J167=2,-$E167*$I167/12*2,IF($J167=3,-$E167*$I167/12*1,0)))))+IF(CC$5&lt;&gt;$H167,0,IF(CC167&lt;0,IF($J167=1,-$E167*$I167/12*0,IF($J167=2,-$E167*$I167/12*1,IF($J167=3,-$E167*$I167/12*2,IF($J167&gt;=4,-$E167*$I167/12*3,0))))))</f>
        <v>0</v>
      </c>
      <c r="CE167" s="1807">
        <f>IF($H167&lt;&gt;CH$5,0,IF(CH167&lt;0,IF(OR($J167=1,$J167=2,$J167=3,$J167=4),-$E167*$I167/12*3,IF($J167=5,-$E167*$I167/12*2,IF($J167=6,-$E167*$I167/12*1,0)))))+IF(CC$5&lt;&gt;$H167,0,IF(CC167&lt;0,IF($J167=4,-$E167*$I167/12*0,IF($J167=5,-$E167*$I167/12*1,IF($J167=6,-$E167*$I167/12*2,IF($J167&gt;=7,-$E167*$I167/12*3,0))))))</f>
        <v>0</v>
      </c>
      <c r="CF167" s="1807">
        <f>IF($H167&lt;&gt;CH$5,0,IF(CH167&lt;0,IF(OR($J167=1,$J167=2,$J167=3,$J167=4,$J167=5,$J167=6,$J167=7),-$E167*$I167/12*3,IF($J167=8,-$E167*$I167/12*2,IF($J167=9,-$E167*$I167/12*1,0)))))+IF(CC$5&lt;&gt;$H167,0,IF(CC167&lt;0,IF($J167=7,-$E167*$I167/12*0,IF($J167=8,-$E167*$I167/12*1,IF($J167=9,-$E167*$I167/12*2,IF($J167&gt;=10,-$E167*$I167/12*3,0))))))</f>
        <v>0</v>
      </c>
      <c r="CG167" s="1806">
        <f>IF($H167&lt;&gt;CH$5,0,IF(CH167&lt;0,IF(OR($J167=1,$J167=2,$J167=3,$J167=4,$J167=5,$J167=6,$J167=7,$J167=8,$J167=9,$J167=10),-$E167*$I167/12*3,IF($J167=11,-$E167*$I167/12*2,IF($J167=12,-$E167*$I167/12*1,0)))))+IF(CC$5&lt;&gt;$H167,0,IF(CC167&lt;0,IF($J167=10,-$E167*$I167/12*0,IF($J167=11,-$E167*$I167/12*1,IF($J167=12,-$E167*$I167/12*2,0)))))</f>
        <v>0</v>
      </c>
      <c r="CH167" s="1791">
        <f>IF(AND(CC167&lt;&gt;0,CC$5=$H167),-$I167*$E167-CC167,IF(CH$5=$H167,-$I167*$E167*(12-$J167+1)/12,0))</f>
        <v>0</v>
      </c>
      <c r="CI167" s="1808">
        <f>IF($H167&lt;&gt;CM$5,0,IF(CM167&lt;0,IF($J167=1,-$E167*$I167/12*3,IF($J167=2,-$E167*$I167/12*2,IF($J167=3,-$E167*$I167/12*1,0)))))+IF(CH$5&lt;&gt;$H167,0,IF(CH167&lt;0,IF($J167=1,-$E167*$I167/12*0,IF($J167=2,-$E167*$I167/12*1,IF($J167=3,-$E167*$I167/12*2,IF($J167&gt;=4,-$E167*$I167/12*3,0))))))</f>
        <v>0</v>
      </c>
      <c r="CJ167" s="1807">
        <f>IF($H167&lt;&gt;CM$5,0,IF(CM167&lt;0,IF(OR($J167=1,$J167=2,$J167=3,$J167=4),-$E167*$I167/12*3,IF($J167=5,-$E167*$I167/12*2,IF($J167=6,-$E167*$I167/12*1,0)))))+IF(CH$5&lt;&gt;$H167,0,IF(CH167&lt;0,IF($J167=4,-$E167*$I167/12*0,IF($J167=5,-$E167*$I167/12*1,IF($J167=6,-$E167*$I167/12*2,IF($J167&gt;=7,-$E167*$I167/12*3,0))))))</f>
        <v>0</v>
      </c>
      <c r="CK167" s="1807">
        <f>IF($H167&lt;&gt;CM$5,0,IF(CM167&lt;0,IF(OR($J167=1,$J167=2,$J167=3,$J167=4,$J167=5,$J167=6,$J167=7),-$E167*$I167/12*3,IF($J167=8,-$E167*$I167/12*2,IF($J167=9,-$E167*$I167/12*1,0)))))+IF(CH$5&lt;&gt;$H167,0,IF(CH167&lt;0,IF($J167=7,-$E167*$I167/12*0,IF($J167=8,-$E167*$I167/12*1,IF($J167=9,-$E167*$I167/12*2,IF($J167&gt;=10,-$E167*$I167/12*3,0))))))</f>
        <v>0</v>
      </c>
      <c r="CL167" s="1806">
        <f>IF($H167&lt;&gt;CM$5,0,IF(CM167&lt;0,IF(OR($J167=1,$J167=2,$J167=3,$J167=4,$J167=5,$J167=6,$J167=7,$J167=8,$J167=9,$J167=10),-$E167*$I167/12*3,IF($J167=11,-$E167*$I167/12*2,IF($J167=12,-$E167*$I167/12*1,0)))))+IF(CH$5&lt;&gt;$H167,0,IF(CH167&lt;0,IF($J167=10,-$E167*$I167/12*0,IF($J167=11,-$E167*$I167/12*1,IF($J167=12,-$E167*$I167/12*2,0)))))</f>
        <v>0</v>
      </c>
      <c r="CM167" s="1791">
        <f>IF(AND(CH167&lt;&gt;0,CH$5=$H167),-$I167*$E167-CH167,IF(CM$5=$H167,-$I167*$E167*(12-$J167+1)/12,0))</f>
        <v>0</v>
      </c>
      <c r="CN167" s="1808">
        <f>IF($H167&lt;&gt;CR$5,0,IF(CR167&lt;0,IF($J167=1,-$E167*$I167/12*3,IF($J167=2,-$E167*$I167/12*2,IF($J167=3,-$E167*$I167/12*1,0)))))+IF(CM$5&lt;&gt;$H167,0,IF(CM167&lt;0,IF($J167=1,-$E167*$I167/12*0,IF($J167=2,-$E167*$I167/12*1,IF($J167=3,-$E167*$I167/12*2,IF($J167&gt;=4,-$E167*$I167/12*3,0))))))</f>
        <v>0</v>
      </c>
      <c r="CO167" s="1807">
        <f>IF($H167&lt;&gt;CR$5,0,IF(CR167&lt;0,IF(OR($J167=1,$J167=2,$J167=3,$J167=4),-$E167*$I167/12*3,IF($J167=5,-$E167*$I167/12*2,IF($J167=6,-$E167*$I167/12*1,0)))))+IF(CM$5&lt;&gt;$H167,0,IF(CM167&lt;0,IF($J167=4,-$E167*$I167/12*0,IF($J167=5,-$E167*$I167/12*1,IF($J167=6,-$E167*$I167/12*2,IF($J167&gt;=7,-$E167*$I167/12*3,0))))))</f>
        <v>0</v>
      </c>
      <c r="CP167" s="1807">
        <f>IF($H167&lt;&gt;CR$5,0,IF(CR167&lt;0,IF(OR($J167=1,$J167=2,$J167=3,$J167=4,$J167=5,$J167=6,$J167=7),-$E167*$I167/12*3,IF($J167=8,-$E167*$I167/12*2,IF($J167=9,-$E167*$I167/12*1,0)))))+IF(CM$5&lt;&gt;$H167,0,IF(CM167&lt;0,IF($J167=7,-$E167*$I167/12*0,IF($J167=8,-$E167*$I167/12*1,IF($J167=9,-$E167*$I167/12*2,IF($J167&gt;=10,-$E167*$I167/12*3,0))))))</f>
        <v>0</v>
      </c>
      <c r="CQ167" s="1806">
        <f>IF($H167&lt;&gt;CR$5,0,IF(CR167&lt;0,IF(OR($J167=1,$J167=2,$J167=3,$J167=4,$J167=5,$J167=6,$J167=7,$J167=8,$J167=9,$J167=10),-$E167*$I167/12*3,IF($J167=11,-$E167*$I167/12*2,IF($J167=12,-$E167*$I167/12*1,0)))))+IF(CM$5&lt;&gt;$H167,0,IF(CM167&lt;0,IF($J167=10,-$E167*$I167/12*0,IF($J167=11,-$E167*$I167/12*1,IF($J167=12,-$E167*$I167/12*2,0)))))</f>
        <v>0</v>
      </c>
      <c r="CR167" s="1791">
        <f>IF(AND(CM167&lt;&gt;0,CM$5=$H167),-$I167*$E167-CM167,IF(CR$5=$H167,-$I167*$E167*(12-$J167+1)/12,0))</f>
        <v>0</v>
      </c>
      <c r="CS167" s="1808">
        <f>IF($H167&lt;&gt;CW$5,0,IF(CW167&lt;0,IF($J167=1,-$E167*$I167/12*3,IF($J167=2,-$E167*$I167/12*2,IF($J167=3,-$E167*$I167/12*1,0)))))+IF(CR$5&lt;&gt;$H167,0,IF(CR167&lt;0,IF($J167=1,-$E167*$I167/12*0,IF($J167=2,-$E167*$I167/12*1,IF($J167=3,-$E167*$I167/12*2,IF($J167&gt;=4,-$E167*$I167/12*3,0))))))</f>
        <v>0</v>
      </c>
      <c r="CT167" s="1807">
        <f>IF($H167&lt;&gt;CW$5,0,IF(CW167&lt;0,IF(OR($J167=1,$J167=2,$J167=3,$J167=4),-$E167*$I167/12*3,IF($J167=5,-$E167*$I167/12*2,IF($J167=6,-$E167*$I167/12*1,0)))))+IF(CR$5&lt;&gt;$H167,0,IF(CR167&lt;0,IF($J167=4,-$E167*$I167/12*0,IF($J167=5,-$E167*$I167/12*1,IF($J167=6,-$E167*$I167/12*2,IF($J167&gt;=7,-$E167*$I167/12*3,0))))))</f>
        <v>0</v>
      </c>
      <c r="CU167" s="1807">
        <f>IF($H167&lt;&gt;CW$5,0,IF(CW167&lt;0,IF(OR($J167=1,$J167=2,$J167=3,$J167=4,$J167=5,$J167=6,$J167=7),-$E167*$I167/12*3,IF($J167=8,-$E167*$I167/12*2,IF($J167=9,-$E167*$I167/12*1,0)))))+IF(CR$5&lt;&gt;$H167,0,IF(CR167&lt;0,IF($J167=7,-$E167*$I167/12*0,IF($J167=8,-$E167*$I167/12*1,IF($J167=9,-$E167*$I167/12*2,IF($J167&gt;=10,-$E167*$I167/12*3,0))))))</f>
        <v>0</v>
      </c>
      <c r="CV167" s="1806">
        <f>IF($H167&lt;&gt;CW$5,0,IF(CW167&lt;0,IF(OR($J167=1,$J167=2,$J167=3,$J167=4,$J167=5,$J167=6,$J167=7,$J167=8,$J167=9,$J167=10),-$E167*$I167/12*3,IF($J167=11,-$E167*$I167/12*2,IF($J167=12,-$E167*$I167/12*1,0)))))+IF(CR$5&lt;&gt;$H167,0,IF(CR167&lt;0,IF($J167=10,-$E167*$I167/12*0,IF($J167=11,-$E167*$I167/12*1,IF($J167=12,-$E167*$I167/12*2,0)))))</f>
        <v>0</v>
      </c>
      <c r="CW167" s="1791">
        <f>IF(AND(CR167&lt;&gt;0,CR$5=$H167),-$I167*$E167-CR167,IF(CW$5=$H167,-$I167*$E167*(12-$J167+1)/12,0))</f>
        <v>0</v>
      </c>
      <c r="CX167" s="1808">
        <f>IF($H167&lt;&gt;DB$5,0,IF(DB167&lt;0,IF($J167=1,-$E167*$I167/12*3,IF($J167=2,-$E167*$I167/12*2,IF($J167=3,-$E167*$I167/12*1,0)))))+IF(CW$5&lt;&gt;$H167,0,IF(CW167&lt;0,IF($J167=1,-$E167*$I167/12*0,IF($J167=2,-$E167*$I167/12*1,IF($J167=3,-$E167*$I167/12*2,IF($J167&gt;=4,-$E167*$I167/12*3,0))))))</f>
        <v>0</v>
      </c>
      <c r="CY167" s="1807">
        <f>IF($H167&lt;&gt;DB$5,0,IF(DB167&lt;0,IF(OR($J167=1,$J167=2,$J167=3,$J167=4),-$E167*$I167/12*3,IF($J167=5,-$E167*$I167/12*2,IF($J167=6,-$E167*$I167/12*1,0)))))+IF(CW$5&lt;&gt;$H167,0,IF(CW167&lt;0,IF($J167=4,-$E167*$I167/12*0,IF($J167=5,-$E167*$I167/12*1,IF($J167=6,-$E167*$I167/12*2,IF($J167&gt;=7,-$E167*$I167/12*3,0))))))</f>
        <v>0</v>
      </c>
      <c r="CZ167" s="1807">
        <f>IF($H167&lt;&gt;DB$5,0,IF(DB167&lt;0,IF(OR($J167=1,$J167=2,$J167=3,$J167=4,$J167=5,$J167=6,$J167=7),-$E167*$I167/12*3,IF($J167=8,-$E167*$I167/12*2,IF($J167=9,-$E167*$I167/12*1,0)))))+IF(CW$5&lt;&gt;$H167,0,IF(CW167&lt;0,IF($J167=7,-$E167*$I167/12*0,IF($J167=8,-$E167*$I167/12*1,IF($J167=9,-$E167*$I167/12*2,IF($J167&gt;=10,-$E167*$I167/12*3,0))))))</f>
        <v>0</v>
      </c>
      <c r="DA167" s="1806">
        <f>IF($H167&lt;&gt;DB$5,0,IF(DB167&lt;0,IF(OR($J167=1,$J167=2,$J167=3,$J167=4,$J167=5,$J167=6,$J167=7,$J167=8,$J167=9,$J167=10),-$E167*$I167/12*3,IF($J167=11,-$E167*$I167/12*2,IF($J167=12,-$E167*$I167/12*1,0)))))+IF(CW$5&lt;&gt;$H167,0,IF(CW167&lt;0,IF($J167=10,-$E167*$I167/12*0,IF($J167=11,-$E167*$I167/12*1,IF($J167=12,-$E167*$I167/12*2,0)))))</f>
        <v>0</v>
      </c>
      <c r="DB167" s="1791">
        <f>IF(AND(CW167&lt;&gt;0,CW$5=$H167),-$I167*$E167-CW167,IF(DB$5=$H167,-$I167*$E167*(12-$J167+1)/12,0))</f>
        <v>0</v>
      </c>
      <c r="DC167" s="1808">
        <f>IF($H167&lt;&gt;DG$5,0,IF(DG167&lt;0,IF($J167=1,-$E167*$I167/12*3,IF($J167=2,-$E167*$I167/12*2,IF($J167=3,-$E167*$I167/12*1,0)))))+IF(DB$5&lt;&gt;$H167,0,IF(DB167&lt;0,IF($J167=1,-$E167*$I167/12*0,IF($J167=2,-$E167*$I167/12*1,IF($J167=3,-$E167*$I167/12*2,IF($J167&gt;=4,-$E167*$I167/12*3,0))))))</f>
        <v>0</v>
      </c>
      <c r="DD167" s="1807">
        <f>IF($H167&lt;&gt;DG$5,0,IF(DG167&lt;0,IF(OR($J167=1,$J167=2,$J167=3,$J167=4),-$E167*$I167/12*3,IF($J167=5,-$E167*$I167/12*2,IF($J167=6,-$E167*$I167/12*1,0)))))+IF(DB$5&lt;&gt;$H167,0,IF(DB167&lt;0,IF($J167=4,-$E167*$I167/12*0,IF($J167=5,-$E167*$I167/12*1,IF($J167=6,-$E167*$I167/12*2,IF($J167&gt;=7,-$E167*$I167/12*3,0))))))</f>
        <v>0</v>
      </c>
      <c r="DE167" s="1807">
        <f>IF($H167&lt;&gt;DG$5,0,IF(DG167&lt;0,IF(OR($J167=1,$J167=2,$J167=3,$J167=4,$J167=5,$J167=6,$J167=7),-$E167*$I167/12*3,IF($J167=8,-$E167*$I167/12*2,IF($J167=9,-$E167*$I167/12*1,0)))))+IF(DB$5&lt;&gt;$H167,0,IF(DB167&lt;0,IF($J167=7,-$E167*$I167/12*0,IF($J167=8,-$E167*$I167/12*1,IF($J167=9,-$E167*$I167/12*2,IF($J167&gt;=10,-$E167*$I167/12*3,0))))))</f>
        <v>0</v>
      </c>
      <c r="DF167" s="1806">
        <f>IF($H167&lt;&gt;DG$5,0,IF(DG167&lt;0,IF(OR($J167=1,$J167=2,$J167=3,$J167=4,$J167=5,$J167=6,$J167=7,$J167=8,$J167=9,$J167=10),-$E167*$I167/12*3,IF($J167=11,-$E167*$I167/12*2,IF($J167=12,-$E167*$I167/12*1,0)))))+IF(DB$5&lt;&gt;$H167,0,IF(DB167&lt;0,IF($J167=10,-$E167*$I167/12*0,IF($J167=11,-$E167*$I167/12*1,IF($J167=12,-$E167*$I167/12*2,0)))))</f>
        <v>0</v>
      </c>
      <c r="DG167" s="1791">
        <f>IF(AND(DB167&lt;&gt;0,DB$5=$H167),-$I167*$E167-DB167,IF(DG$5=$H167,-$I167*$E167*(12-$J167+1)/12,0))</f>
        <v>0</v>
      </c>
      <c r="DH167" s="1808">
        <f>IF($H167&lt;&gt;DL$5,0,IF(DL167&lt;0,IF($J167=1,-$E167*$I167/12*3,IF($J167=2,-$E167*$I167/12*2,IF($J167=3,-$E167*$I167/12*1,0)))))+IF(DG$5&lt;&gt;$H167,0,IF(DG167&lt;0,IF($J167=1,-$E167*$I167/12*0,IF($J167=2,-$E167*$I167/12*1,IF($J167=3,-$E167*$I167/12*2,IF($J167&gt;=4,-$E167*$I167/12*3,0))))))</f>
        <v>0</v>
      </c>
      <c r="DI167" s="1807">
        <f>IF($H167&lt;&gt;DL$5,0,IF(DL167&lt;0,IF(OR($J167=1,$J167=2,$J167=3,$J167=4),-$E167*$I167/12*3,IF($J167=5,-$E167*$I167/12*2,IF($J167=6,-$E167*$I167/12*1,0)))))+IF(DG$5&lt;&gt;$H167,0,IF(DG167&lt;0,IF($J167=4,-$E167*$I167/12*0,IF($J167=5,-$E167*$I167/12*1,IF($J167=6,-$E167*$I167/12*2,IF($J167&gt;=7,-$E167*$I167/12*3,0))))))</f>
        <v>0</v>
      </c>
      <c r="DJ167" s="1807">
        <f>IF($H167&lt;&gt;DL$5,0,IF(DL167&lt;0,IF(OR($J167=1,$J167=2,$J167=3,$J167=4,$J167=5,$J167=6,$J167=7),-$E167*$I167/12*3,IF($J167=8,-$E167*$I167/12*2,IF($J167=9,-$E167*$I167/12*1,0)))))+IF(DG$5&lt;&gt;$H167,0,IF(DG167&lt;0,IF($J167=7,-$E167*$I167/12*0,IF($J167=8,-$E167*$I167/12*1,IF($J167=9,-$E167*$I167/12*2,IF($J167&gt;=10,-$E167*$I167/12*3,0))))))</f>
        <v>0</v>
      </c>
      <c r="DK167" s="1806">
        <f>IF($H167&lt;&gt;DL$5,0,IF(DL167&lt;0,IF(OR($J167=1,$J167=2,$J167=3,$J167=4,$J167=5,$J167=6,$J167=7,$J167=8,$J167=9,$J167=10),-$E167*$I167/12*3,IF($J167=11,-$E167*$I167/12*2,IF($J167=12,-$E167*$I167/12*1,0)))))+IF(DG$5&lt;&gt;$H167,0,IF(DG167&lt;0,IF($J167=10,-$E167*$I167/12*0,IF($J167=11,-$E167*$I167/12*1,IF($J167=12,-$E167*$I167/12*2,0)))))</f>
        <v>0</v>
      </c>
      <c r="DL167" s="1791">
        <f>IF(AND(DG167&lt;&gt;0,DG$5=$H167),-$I167*$E167-DG167,IF(DL$5=$H167,-$I167*$E167*(12-$J167+1)/12,0))</f>
        <v>0</v>
      </c>
      <c r="DM167" s="1808">
        <f>IF($H167&lt;&gt;DQ$5,0,IF(DQ167&lt;0,IF($J167=1,-$E167*$I167/12*3,IF($J167=2,-$E167*$I167/12*2,IF($J167=3,-$E167*$I167/12*1,0)))))+IF(DL$5&lt;&gt;$H167,0,IF(DL167&lt;0,IF($J167=1,-$E167*$I167/12*0,IF($J167=2,-$E167*$I167/12*1,IF($J167=3,-$E167*$I167/12*2,IF($J167&gt;=4,-$E167*$I167/12*3,0))))))</f>
        <v>0</v>
      </c>
      <c r="DN167" s="1807">
        <f>IF($H167&lt;&gt;DQ$5,0,IF(DQ167&lt;0,IF(OR($J167=1,$J167=2,$J167=3,$J167=4),-$E167*$I167/12*3,IF($J167=5,-$E167*$I167/12*2,IF($J167=6,-$E167*$I167/12*1,0)))))+IF(DL$5&lt;&gt;$H167,0,IF(DL167&lt;0,IF($J167=4,-$E167*$I167/12*0,IF($J167=5,-$E167*$I167/12*1,IF($J167=6,-$E167*$I167/12*2,IF($J167&gt;=7,-$E167*$I167/12*3,0))))))</f>
        <v>0</v>
      </c>
      <c r="DO167" s="1807">
        <f>IF($H167&lt;&gt;DQ$5,0,IF(DQ167&lt;0,IF(OR($J167=1,$J167=2,$J167=3,$J167=4,$J167=5,$J167=6,$J167=7),-$E167*$I167/12*3,IF($J167=8,-$E167*$I167/12*2,IF($J167=9,-$E167*$I167/12*1,0)))))+IF(DL$5&lt;&gt;$H167,0,IF(DL167&lt;0,IF($J167=7,-$E167*$I167/12*0,IF($J167=8,-$E167*$I167/12*1,IF($J167=9,-$E167*$I167/12*2,IF($J167&gt;=10,-$E167*$I167/12*3,0))))))</f>
        <v>0</v>
      </c>
      <c r="DP167" s="1806">
        <f>IF($H167&lt;&gt;DQ$5,0,IF(DQ167&lt;0,IF(OR($J167=1,$J167=2,$J167=3,$J167=4,$J167=5,$J167=6,$J167=7,$J167=8,$J167=9,$J167=10),-$E167*$I167/12*3,IF($J167=11,-$E167*$I167/12*2,IF($J167=12,-$E167*$I167/12*1,0)))))+IF(DL$5&lt;&gt;$H167,0,IF(DL167&lt;0,IF($J167=10,-$E167*$I167/12*0,IF($J167=11,-$E167*$I167/12*1,IF($J167=12,-$E167*$I167/12*2,0)))))</f>
        <v>0</v>
      </c>
      <c r="DQ167" s="1791">
        <f>IF(AND(DL167&lt;&gt;0,DL$5=$H167),-$I167*$E167-DL167,IF(DQ$5=$H167,-$I167*$E167*(12-$J167+1)/12,0))</f>
        <v>0</v>
      </c>
      <c r="DR167" s="1808">
        <f>IF($H167&lt;&gt;DV$5,0,IF(DV167&lt;0,IF($J167=1,-$E167*$I167/12*3,IF($J167=2,-$E167*$I167/12*2,IF($J167=3,-$E167*$I167/12*1,0)))))+IF(DQ$5&lt;&gt;$H167,0,IF(DQ167&lt;0,IF($J167=1,-$E167*$I167/12*0,IF($J167=2,-$E167*$I167/12*1,IF($J167=3,-$E167*$I167/12*2,IF($J167&gt;=4,-$E167*$I167/12*3,0))))))</f>
        <v>0</v>
      </c>
      <c r="DS167" s="1807">
        <f>IF($H167&lt;&gt;DV$5,0,IF(DV167&lt;0,IF(OR($J167=1,$J167=2,$J167=3,$J167=4),-$E167*$I167/12*3,IF($J167=5,-$E167*$I167/12*2,IF($J167=6,-$E167*$I167/12*1,0)))))+IF(DQ$5&lt;&gt;$H167,0,IF(DQ167&lt;0,IF($J167=4,-$E167*$I167/12*0,IF($J167=5,-$E167*$I167/12*1,IF($J167=6,-$E167*$I167/12*2,IF($J167&gt;=7,-$E167*$I167/12*3,0))))))</f>
        <v>0</v>
      </c>
      <c r="DT167" s="1807">
        <f>IF($H167&lt;&gt;DV$5,0,IF(DV167&lt;0,IF(OR($J167=1,$J167=2,$J167=3,$J167=4,$J167=5,$J167=6,$J167=7),-$E167*$I167/12*3,IF($J167=8,-$E167*$I167/12*2,IF($J167=9,-$E167*$I167/12*1,0)))))+IF(DQ$5&lt;&gt;$H167,0,IF(DQ167&lt;0,IF($J167=7,-$E167*$I167/12*0,IF($J167=8,-$E167*$I167/12*1,IF($J167=9,-$E167*$I167/12*2,IF($J167&gt;=10,-$E167*$I167/12*3,0))))))</f>
        <v>0</v>
      </c>
      <c r="DU167" s="1806">
        <f>IF($H167&lt;&gt;DV$5,0,IF(DV167&lt;0,IF(OR($J167=1,$J167=2,$J167=3,$J167=4,$J167=5,$J167=6,$J167=7,$J167=8,$J167=9,$J167=10),-$E167*$I167/12*3,IF($J167=11,-$E167*$I167/12*2,IF($J167=12,-$E167*$I167/12*1,0)))))+IF(DQ$5&lt;&gt;$H167,0,IF(DQ167&lt;0,IF($J167=10,-$E167*$I167/12*0,IF($J167=11,-$E167*$I167/12*1,IF($J167=12,-$E167*$I167/12*2,0)))))</f>
        <v>0</v>
      </c>
      <c r="DV167" s="1791">
        <f>IF(AND(DQ167&lt;&gt;0,DQ$5=$H167),-$I167*$E167-DQ167,IF(DV$5=$H167,-$I167*$E167*(12-$J167+1)/12,0))</f>
        <v>0</v>
      </c>
    </row>
    <row r="168" spans="1:126">
      <c r="A168" s="455"/>
      <c r="B168" s="455"/>
      <c r="C168" s="1366"/>
      <c r="D168" s="487"/>
      <c r="E168" s="487"/>
      <c r="F168" s="1592"/>
      <c r="G168" s="1592"/>
      <c r="H168" s="1899"/>
      <c r="I168" s="1900"/>
      <c r="J168" s="1901"/>
      <c r="K168" s="1886"/>
      <c r="L168" s="1843"/>
      <c r="M168" s="1799"/>
      <c r="N168" s="1802"/>
      <c r="O168" s="1801"/>
      <c r="P168" s="1801"/>
      <c r="Q168" s="1800"/>
      <c r="R168" s="1799"/>
      <c r="S168" s="1802"/>
      <c r="T168" s="1801"/>
      <c r="U168" s="1801"/>
      <c r="V168" s="1800"/>
      <c r="W168" s="1799"/>
      <c r="X168" s="1802"/>
      <c r="Y168" s="1801"/>
      <c r="Z168" s="1801"/>
      <c r="AA168" s="1800"/>
      <c r="AB168" s="1799"/>
      <c r="AC168" s="1802"/>
      <c r="AD168" s="1801"/>
      <c r="AE168" s="1801"/>
      <c r="AF168" s="1800"/>
      <c r="AG168" s="1799"/>
      <c r="AH168" s="1802"/>
      <c r="AI168" s="1801"/>
      <c r="AJ168" s="1801"/>
      <c r="AK168" s="1800"/>
      <c r="AL168" s="1799"/>
      <c r="AM168" s="1802"/>
      <c r="AN168" s="1801"/>
      <c r="AO168" s="1801"/>
      <c r="AP168" s="1800"/>
      <c r="AQ168" s="1799"/>
      <c r="AR168" s="1802"/>
      <c r="AS168" s="1801"/>
      <c r="AT168" s="1801"/>
      <c r="AU168" s="1800"/>
      <c r="AV168" s="1799"/>
      <c r="AW168" s="1802"/>
      <c r="AX168" s="1801"/>
      <c r="AY168" s="1801"/>
      <c r="AZ168" s="1800"/>
      <c r="BA168" s="1799"/>
      <c r="BB168" s="1802"/>
      <c r="BC168" s="1801"/>
      <c r="BD168" s="1801"/>
      <c r="BE168" s="1800"/>
      <c r="BF168" s="1799"/>
      <c r="BG168" s="1802"/>
      <c r="BH168" s="1801"/>
      <c r="BI168" s="1801"/>
      <c r="BJ168" s="1800"/>
      <c r="BK168" s="1799"/>
      <c r="BL168" s="1802"/>
      <c r="BM168" s="1801"/>
      <c r="BN168" s="1801"/>
      <c r="BO168" s="1800"/>
      <c r="BP168" s="1799"/>
      <c r="BQ168" s="1842"/>
      <c r="BR168" s="1799"/>
      <c r="BS168" s="1799"/>
      <c r="BT168" s="1802"/>
      <c r="BU168" s="1801"/>
      <c r="BV168" s="1801"/>
      <c r="BW168" s="1800"/>
      <c r="BX168" s="1799"/>
      <c r="BY168" s="1802"/>
      <c r="BZ168" s="1801"/>
      <c r="CA168" s="1801"/>
      <c r="CB168" s="1800"/>
      <c r="CC168" s="1799"/>
      <c r="CD168" s="1802"/>
      <c r="CE168" s="1801"/>
      <c r="CF168" s="1801"/>
      <c r="CG168" s="1800"/>
      <c r="CH168" s="1799"/>
      <c r="CI168" s="1802"/>
      <c r="CJ168" s="1801"/>
      <c r="CK168" s="1801"/>
      <c r="CL168" s="1800"/>
      <c r="CM168" s="1799"/>
      <c r="CN168" s="1802"/>
      <c r="CO168" s="1801"/>
      <c r="CP168" s="1801"/>
      <c r="CQ168" s="1800"/>
      <c r="CR168" s="1799"/>
      <c r="CS168" s="1802"/>
      <c r="CT168" s="1801"/>
      <c r="CU168" s="1801"/>
      <c r="CV168" s="1800"/>
      <c r="CW168" s="1799"/>
      <c r="CX168" s="1802"/>
      <c r="CY168" s="1801"/>
      <c r="CZ168" s="1801"/>
      <c r="DA168" s="1800"/>
      <c r="DB168" s="1799"/>
      <c r="DC168" s="1802"/>
      <c r="DD168" s="1801"/>
      <c r="DE168" s="1801"/>
      <c r="DF168" s="1800"/>
      <c r="DG168" s="1799"/>
      <c r="DH168" s="1802"/>
      <c r="DI168" s="1801"/>
      <c r="DJ168" s="1801"/>
      <c r="DK168" s="1800"/>
      <c r="DL168" s="1799"/>
      <c r="DM168" s="1802"/>
      <c r="DN168" s="1801"/>
      <c r="DO168" s="1801"/>
      <c r="DP168" s="1800"/>
      <c r="DQ168" s="1799"/>
      <c r="DR168" s="1802"/>
      <c r="DS168" s="1801"/>
      <c r="DT168" s="1801"/>
      <c r="DU168" s="1800"/>
      <c r="DV168" s="1799"/>
    </row>
    <row r="169" spans="1:126">
      <c r="A169" s="455"/>
      <c r="B169" s="459"/>
      <c r="C169" s="1359" t="s">
        <v>617</v>
      </c>
      <c r="D169" s="473"/>
      <c r="E169" s="461">
        <f>SUM(E38:E168)</f>
        <v>13338.279000000002</v>
      </c>
      <c r="F169" s="462">
        <f>SUM(F38:F168)</f>
        <v>12874.800000000001</v>
      </c>
      <c r="G169" s="462">
        <f>SUM(G38:G168)</f>
        <v>12459.245000000001</v>
      </c>
      <c r="H169" s="1351"/>
      <c r="I169" s="1333"/>
      <c r="J169" s="463"/>
      <c r="K169" s="81"/>
      <c r="L169" s="77">
        <f t="shared" ref="L169:AQ169" si="2138">SUM(L38:L168)</f>
        <v>0</v>
      </c>
      <c r="M169" s="73">
        <f t="shared" si="2138"/>
        <v>0</v>
      </c>
      <c r="N169" s="74">
        <f t="shared" si="2138"/>
        <v>0</v>
      </c>
      <c r="O169" s="75">
        <f t="shared" si="2138"/>
        <v>0</v>
      </c>
      <c r="P169" s="75">
        <f t="shared" si="2138"/>
        <v>0</v>
      </c>
      <c r="Q169" s="76">
        <f t="shared" si="2138"/>
        <v>0</v>
      </c>
      <c r="R169" s="73">
        <f t="shared" si="2138"/>
        <v>0</v>
      </c>
      <c r="S169" s="74">
        <f t="shared" si="2138"/>
        <v>0</v>
      </c>
      <c r="T169" s="75">
        <f t="shared" si="2138"/>
        <v>0</v>
      </c>
      <c r="U169" s="75">
        <f t="shared" si="2138"/>
        <v>0</v>
      </c>
      <c r="V169" s="76">
        <f t="shared" si="2138"/>
        <v>0</v>
      </c>
      <c r="W169" s="73">
        <f t="shared" si="2138"/>
        <v>0</v>
      </c>
      <c r="X169" s="74">
        <f t="shared" si="2138"/>
        <v>0</v>
      </c>
      <c r="Y169" s="75">
        <f t="shared" si="2138"/>
        <v>0</v>
      </c>
      <c r="Z169" s="75">
        <f t="shared" si="2138"/>
        <v>0</v>
      </c>
      <c r="AA169" s="76">
        <f t="shared" si="2138"/>
        <v>0</v>
      </c>
      <c r="AB169" s="73">
        <f t="shared" si="2138"/>
        <v>0</v>
      </c>
      <c r="AC169" s="74">
        <f t="shared" si="2138"/>
        <v>0</v>
      </c>
      <c r="AD169" s="75">
        <f t="shared" si="2138"/>
        <v>0</v>
      </c>
      <c r="AE169" s="75">
        <f t="shared" si="2138"/>
        <v>0</v>
      </c>
      <c r="AF169" s="76">
        <f t="shared" si="2138"/>
        <v>0</v>
      </c>
      <c r="AG169" s="73">
        <f t="shared" si="2138"/>
        <v>0</v>
      </c>
      <c r="AH169" s="74">
        <f t="shared" si="2138"/>
        <v>0</v>
      </c>
      <c r="AI169" s="75">
        <f t="shared" si="2138"/>
        <v>0</v>
      </c>
      <c r="AJ169" s="75">
        <f t="shared" si="2138"/>
        <v>0</v>
      </c>
      <c r="AK169" s="76">
        <f t="shared" si="2138"/>
        <v>0</v>
      </c>
      <c r="AL169" s="73">
        <f t="shared" si="2138"/>
        <v>0</v>
      </c>
      <c r="AM169" s="74">
        <f t="shared" si="2138"/>
        <v>0</v>
      </c>
      <c r="AN169" s="75">
        <f t="shared" si="2138"/>
        <v>0</v>
      </c>
      <c r="AO169" s="75">
        <f t="shared" si="2138"/>
        <v>0</v>
      </c>
      <c r="AP169" s="76">
        <f t="shared" si="2138"/>
        <v>0</v>
      </c>
      <c r="AQ169" s="73">
        <f t="shared" si="2138"/>
        <v>0</v>
      </c>
      <c r="AR169" s="74">
        <f t="shared" ref="AR169:BP169" si="2139">SUM(AR38:AR168)</f>
        <v>-50</v>
      </c>
      <c r="AS169" s="75">
        <f t="shared" si="2139"/>
        <v>-54.7</v>
      </c>
      <c r="AT169" s="75">
        <f t="shared" si="2139"/>
        <v>-275.19499999999999</v>
      </c>
      <c r="AU169" s="76">
        <f t="shared" si="2139"/>
        <v>-83.584000000000003</v>
      </c>
      <c r="AV169" s="73">
        <f t="shared" si="2139"/>
        <v>-463.47899999999998</v>
      </c>
      <c r="AW169" s="74">
        <f t="shared" si="2139"/>
        <v>0</v>
      </c>
      <c r="AX169" s="75">
        <f t="shared" si="2139"/>
        <v>-375</v>
      </c>
      <c r="AY169" s="75">
        <f t="shared" si="2139"/>
        <v>-300</v>
      </c>
      <c r="AZ169" s="76">
        <f t="shared" si="2139"/>
        <v>-85</v>
      </c>
      <c r="BA169" s="73">
        <f t="shared" si="2139"/>
        <v>-760</v>
      </c>
      <c r="BB169" s="74">
        <f t="shared" si="2139"/>
        <v>-500</v>
      </c>
      <c r="BC169" s="75">
        <f t="shared" si="2139"/>
        <v>0</v>
      </c>
      <c r="BD169" s="75">
        <f t="shared" si="2139"/>
        <v>-180.76900000000001</v>
      </c>
      <c r="BE169" s="76">
        <f t="shared" si="2139"/>
        <v>0</v>
      </c>
      <c r="BF169" s="73">
        <f t="shared" si="2139"/>
        <v>-680.76900000000001</v>
      </c>
      <c r="BG169" s="74">
        <f t="shared" si="2139"/>
        <v>0</v>
      </c>
      <c r="BH169" s="75">
        <f t="shared" si="2139"/>
        <v>0</v>
      </c>
      <c r="BI169" s="75">
        <f t="shared" si="2139"/>
        <v>-70</v>
      </c>
      <c r="BJ169" s="76">
        <f t="shared" si="2139"/>
        <v>-275</v>
      </c>
      <c r="BK169" s="73">
        <f t="shared" si="2139"/>
        <v>-345</v>
      </c>
      <c r="BL169" s="74">
        <f t="shared" si="2139"/>
        <v>-390</v>
      </c>
      <c r="BM169" s="75">
        <f t="shared" si="2139"/>
        <v>-449.22800000000001</v>
      </c>
      <c r="BN169" s="75">
        <f t="shared" si="2139"/>
        <v>-200.76400000000001</v>
      </c>
      <c r="BO169" s="76">
        <f t="shared" si="2139"/>
        <v>0</v>
      </c>
      <c r="BP169" s="73">
        <f t="shared" si="2139"/>
        <v>-1039.992</v>
      </c>
      <c r="BQ169" s="2012"/>
      <c r="BR169" s="77">
        <f t="shared" ref="BR169:CW169" si="2140">SUM(BR38:BR168)</f>
        <v>0</v>
      </c>
      <c r="BS169" s="73">
        <f t="shared" si="2140"/>
        <v>0</v>
      </c>
      <c r="BT169" s="74">
        <f t="shared" si="2140"/>
        <v>0</v>
      </c>
      <c r="BU169" s="75">
        <f t="shared" si="2140"/>
        <v>0</v>
      </c>
      <c r="BV169" s="75">
        <f t="shared" si="2140"/>
        <v>0</v>
      </c>
      <c r="BW169" s="76">
        <f t="shared" si="2140"/>
        <v>0</v>
      </c>
      <c r="BX169" s="73">
        <f t="shared" si="2140"/>
        <v>0</v>
      </c>
      <c r="BY169" s="74">
        <f t="shared" si="2140"/>
        <v>0</v>
      </c>
      <c r="BZ169" s="75">
        <f t="shared" si="2140"/>
        <v>0</v>
      </c>
      <c r="CA169" s="75">
        <f t="shared" si="2140"/>
        <v>0</v>
      </c>
      <c r="CB169" s="76">
        <f t="shared" si="2140"/>
        <v>0</v>
      </c>
      <c r="CC169" s="73">
        <f t="shared" si="2140"/>
        <v>0</v>
      </c>
      <c r="CD169" s="74">
        <f t="shared" si="2140"/>
        <v>0</v>
      </c>
      <c r="CE169" s="75">
        <f t="shared" si="2140"/>
        <v>0</v>
      </c>
      <c r="CF169" s="75">
        <f t="shared" si="2140"/>
        <v>0</v>
      </c>
      <c r="CG169" s="76">
        <f t="shared" si="2140"/>
        <v>0</v>
      </c>
      <c r="CH169" s="73">
        <f t="shared" si="2140"/>
        <v>0</v>
      </c>
      <c r="CI169" s="74">
        <f t="shared" si="2140"/>
        <v>0</v>
      </c>
      <c r="CJ169" s="75">
        <f t="shared" si="2140"/>
        <v>0</v>
      </c>
      <c r="CK169" s="75">
        <f t="shared" si="2140"/>
        <v>0</v>
      </c>
      <c r="CL169" s="76">
        <f t="shared" si="2140"/>
        <v>0</v>
      </c>
      <c r="CM169" s="73">
        <f t="shared" si="2140"/>
        <v>0</v>
      </c>
      <c r="CN169" s="74">
        <f t="shared" si="2140"/>
        <v>0</v>
      </c>
      <c r="CO169" s="75">
        <f t="shared" si="2140"/>
        <v>0</v>
      </c>
      <c r="CP169" s="75">
        <f t="shared" si="2140"/>
        <v>0</v>
      </c>
      <c r="CQ169" s="76">
        <f t="shared" si="2140"/>
        <v>0</v>
      </c>
      <c r="CR169" s="73">
        <f t="shared" si="2140"/>
        <v>0</v>
      </c>
      <c r="CS169" s="74">
        <f t="shared" si="2140"/>
        <v>0</v>
      </c>
      <c r="CT169" s="75">
        <f t="shared" si="2140"/>
        <v>0</v>
      </c>
      <c r="CU169" s="75">
        <f t="shared" si="2140"/>
        <v>0</v>
      </c>
      <c r="CV169" s="76">
        <f t="shared" si="2140"/>
        <v>0</v>
      </c>
      <c r="CW169" s="73">
        <f t="shared" si="2140"/>
        <v>0</v>
      </c>
      <c r="CX169" s="74">
        <f t="shared" ref="CX169:DV169" si="2141">SUM(CX38:CX168)</f>
        <v>-0.33499999999999996</v>
      </c>
      <c r="CY169" s="75">
        <f t="shared" si="2141"/>
        <v>-0.57315416666666663</v>
      </c>
      <c r="CZ169" s="75">
        <f t="shared" si="2141"/>
        <v>-3.7409135</v>
      </c>
      <c r="DA169" s="76">
        <f t="shared" si="2141"/>
        <v>-4.2132918999999998</v>
      </c>
      <c r="DB169" s="73">
        <f t="shared" si="2141"/>
        <v>-8.8623595666666652</v>
      </c>
      <c r="DC169" s="74">
        <f t="shared" si="2141"/>
        <v>-4.1402918999999994</v>
      </c>
      <c r="DD169" s="75">
        <f t="shared" si="2141"/>
        <v>-7.6521377333333334</v>
      </c>
      <c r="DE169" s="75">
        <f t="shared" si="2141"/>
        <v>-7.9843783999999998</v>
      </c>
      <c r="DF169" s="76">
        <f t="shared" si="2141"/>
        <v>-11.565250000000001</v>
      </c>
      <c r="DG169" s="73">
        <f t="shared" si="2141"/>
        <v>-31.342058033333334</v>
      </c>
      <c r="DH169" s="74">
        <f t="shared" si="2141"/>
        <v>-17.240749999999998</v>
      </c>
      <c r="DI169" s="75">
        <f t="shared" si="2141"/>
        <v>-16.459499999999998</v>
      </c>
      <c r="DJ169" s="75">
        <f t="shared" si="2141"/>
        <v>-15.636678083333333</v>
      </c>
      <c r="DK169" s="76">
        <f t="shared" si="2141"/>
        <v>-11.677017125000001</v>
      </c>
      <c r="DL169" s="73">
        <f t="shared" si="2141"/>
        <v>-61.01394520833334</v>
      </c>
      <c r="DM169" s="74">
        <f t="shared" si="2141"/>
        <v>-5.7395171249999999</v>
      </c>
      <c r="DN169" s="75">
        <f t="shared" si="2141"/>
        <v>-2.7707671250000003</v>
      </c>
      <c r="DO169" s="75">
        <f t="shared" si="2141"/>
        <v>-0.48792237499999991</v>
      </c>
      <c r="DP169" s="76">
        <f t="shared" si="2141"/>
        <v>-3.1665000000000001</v>
      </c>
      <c r="DQ169" s="73">
        <f t="shared" si="2141"/>
        <v>-12.164706625000001</v>
      </c>
      <c r="DR169" s="74">
        <f t="shared" si="2141"/>
        <v>-5.8278333333333325</v>
      </c>
      <c r="DS169" s="75">
        <f t="shared" si="2141"/>
        <v>-9.1416250999999988</v>
      </c>
      <c r="DT169" s="75">
        <f t="shared" si="2141"/>
        <v>-11.740637299999998</v>
      </c>
      <c r="DU169" s="76">
        <f t="shared" si="2141"/>
        <v>-9.5495183000000008</v>
      </c>
      <c r="DV169" s="73">
        <f t="shared" si="2141"/>
        <v>-36.259614033333335</v>
      </c>
    </row>
    <row r="170" spans="1:126">
      <c r="A170" s="455"/>
      <c r="B170" s="455"/>
      <c r="C170" s="1723"/>
      <c r="D170" s="94"/>
      <c r="E170" s="1817"/>
      <c r="F170" s="1840"/>
      <c r="G170" s="1840"/>
      <c r="H170" s="1841"/>
      <c r="I170" s="1794" t="s">
        <v>319</v>
      </c>
      <c r="J170" s="1840" t="s">
        <v>319</v>
      </c>
      <c r="K170" s="1792"/>
      <c r="L170" s="1810"/>
      <c r="M170" s="1791"/>
      <c r="N170" s="1808"/>
      <c r="O170" s="1807"/>
      <c r="P170" s="1807"/>
      <c r="Q170" s="1806"/>
      <c r="R170" s="1791"/>
      <c r="S170" s="1808"/>
      <c r="T170" s="1807"/>
      <c r="U170" s="1807"/>
      <c r="V170" s="1806"/>
      <c r="W170" s="1791"/>
      <c r="X170" s="1808"/>
      <c r="Y170" s="1807"/>
      <c r="Z170" s="1807"/>
      <c r="AA170" s="1806"/>
      <c r="AB170" s="1791"/>
      <c r="AC170" s="1808"/>
      <c r="AD170" s="1807"/>
      <c r="AE170" s="1807"/>
      <c r="AF170" s="1806"/>
      <c r="AG170" s="1791"/>
      <c r="AH170" s="1808"/>
      <c r="AI170" s="1807"/>
      <c r="AJ170" s="1807"/>
      <c r="AK170" s="1806"/>
      <c r="AL170" s="1791"/>
      <c r="AM170" s="1808"/>
      <c r="AN170" s="1807"/>
      <c r="AO170" s="1807"/>
      <c r="AP170" s="1806"/>
      <c r="AQ170" s="1791"/>
      <c r="AR170" s="1808"/>
      <c r="AS170" s="1807"/>
      <c r="AT170" s="1807"/>
      <c r="AU170" s="1806"/>
      <c r="AV170" s="1791"/>
      <c r="AW170" s="1808"/>
      <c r="AX170" s="1807"/>
      <c r="AY170" s="1807"/>
      <c r="AZ170" s="1806"/>
      <c r="BA170" s="1791"/>
      <c r="BB170" s="1808"/>
      <c r="BC170" s="1807"/>
      <c r="BD170" s="1807"/>
      <c r="BE170" s="1806"/>
      <c r="BF170" s="1791"/>
      <c r="BG170" s="1808"/>
      <c r="BH170" s="1807"/>
      <c r="BI170" s="1807"/>
      <c r="BJ170" s="1806"/>
      <c r="BK170" s="1791"/>
      <c r="BL170" s="1808"/>
      <c r="BM170" s="1807"/>
      <c r="BN170" s="1807"/>
      <c r="BO170" s="1806"/>
      <c r="BP170" s="1791"/>
      <c r="BQ170" s="1827"/>
      <c r="BR170" s="1810"/>
      <c r="BS170" s="1791"/>
      <c r="BT170" s="1808"/>
      <c r="BU170" s="1807"/>
      <c r="BV170" s="1807"/>
      <c r="BW170" s="1806"/>
      <c r="BX170" s="1791"/>
      <c r="BY170" s="1808"/>
      <c r="BZ170" s="1807"/>
      <c r="CA170" s="1807"/>
      <c r="CB170" s="1806"/>
      <c r="CC170" s="1791"/>
      <c r="CD170" s="1808"/>
      <c r="CE170" s="1807"/>
      <c r="CF170" s="1807"/>
      <c r="CG170" s="1806"/>
      <c r="CH170" s="1791"/>
      <c r="CI170" s="1808"/>
      <c r="CJ170" s="1807"/>
      <c r="CK170" s="1807"/>
      <c r="CL170" s="1806"/>
      <c r="CM170" s="1791"/>
      <c r="CN170" s="1808"/>
      <c r="CO170" s="1807"/>
      <c r="CP170" s="1807"/>
      <c r="CQ170" s="1806"/>
      <c r="CR170" s="1791"/>
      <c r="CS170" s="1808"/>
      <c r="CT170" s="1807"/>
      <c r="CU170" s="1807"/>
      <c r="CV170" s="1806"/>
      <c r="CW170" s="1791"/>
      <c r="CX170" s="1808"/>
      <c r="CY170" s="1807"/>
      <c r="CZ170" s="1807"/>
      <c r="DA170" s="1806"/>
      <c r="DB170" s="1791"/>
      <c r="DC170" s="1808"/>
      <c r="DD170" s="1807"/>
      <c r="DE170" s="1807"/>
      <c r="DF170" s="1806"/>
      <c r="DG170" s="1791"/>
      <c r="DH170" s="1808"/>
      <c r="DI170" s="1807"/>
      <c r="DJ170" s="1807"/>
      <c r="DK170" s="1806"/>
      <c r="DL170" s="1791"/>
      <c r="DM170" s="1808"/>
      <c r="DN170" s="1807"/>
      <c r="DO170" s="1807"/>
      <c r="DP170" s="1806"/>
      <c r="DQ170" s="1791"/>
      <c r="DR170" s="1808"/>
      <c r="DS170" s="1807"/>
      <c r="DT170" s="1807"/>
      <c r="DU170" s="1806"/>
      <c r="DV170" s="1791"/>
    </row>
    <row r="171" spans="1:126">
      <c r="A171" s="455"/>
      <c r="B171" s="455"/>
      <c r="C171" s="1367" t="s">
        <v>127</v>
      </c>
      <c r="D171" s="474"/>
      <c r="E171" s="1818"/>
      <c r="F171" s="1817"/>
      <c r="G171" s="1817"/>
      <c r="H171" s="1667"/>
      <c r="I171" s="1794"/>
      <c r="J171" s="1817"/>
      <c r="K171" s="1792"/>
      <c r="L171" s="1810"/>
      <c r="M171" s="1791"/>
      <c r="N171" s="1808"/>
      <c r="O171" s="1807"/>
      <c r="P171" s="1807"/>
      <c r="Q171" s="1806"/>
      <c r="R171" s="1791"/>
      <c r="S171" s="1808"/>
      <c r="T171" s="1807"/>
      <c r="U171" s="1807"/>
      <c r="V171" s="1806"/>
      <c r="W171" s="1791"/>
      <c r="X171" s="1808"/>
      <c r="Y171" s="1807"/>
      <c r="Z171" s="1807"/>
      <c r="AA171" s="1806"/>
      <c r="AB171" s="1791"/>
      <c r="AC171" s="1808"/>
      <c r="AD171" s="1807"/>
      <c r="AE171" s="1807"/>
      <c r="AF171" s="1806"/>
      <c r="AG171" s="1791"/>
      <c r="AH171" s="1808"/>
      <c r="AI171" s="1807"/>
      <c r="AJ171" s="1807"/>
      <c r="AK171" s="1806"/>
      <c r="AL171" s="1791"/>
      <c r="AM171" s="1808"/>
      <c r="AN171" s="1807"/>
      <c r="AO171" s="1807"/>
      <c r="AP171" s="1806"/>
      <c r="AQ171" s="1791"/>
      <c r="AR171" s="1808"/>
      <c r="AS171" s="1807"/>
      <c r="AT171" s="1807"/>
      <c r="AU171" s="1806"/>
      <c r="AV171" s="1791"/>
      <c r="AW171" s="1808"/>
      <c r="AX171" s="1807"/>
      <c r="AY171" s="1807"/>
      <c r="AZ171" s="1806"/>
      <c r="BA171" s="1791"/>
      <c r="BB171" s="1808"/>
      <c r="BC171" s="1807"/>
      <c r="BD171" s="1807"/>
      <c r="BE171" s="1806"/>
      <c r="BF171" s="1791"/>
      <c r="BG171" s="1808"/>
      <c r="BH171" s="1807"/>
      <c r="BI171" s="1807"/>
      <c r="BJ171" s="1806"/>
      <c r="BK171" s="1791"/>
      <c r="BL171" s="1808"/>
      <c r="BM171" s="1807"/>
      <c r="BN171" s="1807"/>
      <c r="BO171" s="1806"/>
      <c r="BP171" s="1791"/>
      <c r="BQ171" s="1809"/>
      <c r="BR171" s="1810"/>
      <c r="BS171" s="1791"/>
      <c r="BT171" s="1808"/>
      <c r="BU171" s="1807"/>
      <c r="BV171" s="1807"/>
      <c r="BW171" s="1806"/>
      <c r="BX171" s="1791"/>
      <c r="BY171" s="1808"/>
      <c r="BZ171" s="1807"/>
      <c r="CA171" s="1807"/>
      <c r="CB171" s="1806"/>
      <c r="CC171" s="1791"/>
      <c r="CD171" s="1808"/>
      <c r="CE171" s="1807"/>
      <c r="CF171" s="1807"/>
      <c r="CG171" s="1806"/>
      <c r="CH171" s="1791"/>
      <c r="CI171" s="1808"/>
      <c r="CJ171" s="1807"/>
      <c r="CK171" s="1807"/>
      <c r="CL171" s="1806"/>
      <c r="CM171" s="1791"/>
      <c r="CN171" s="1808"/>
      <c r="CO171" s="1807"/>
      <c r="CP171" s="1807"/>
      <c r="CQ171" s="1806"/>
      <c r="CR171" s="1791"/>
      <c r="CS171" s="1808"/>
      <c r="CT171" s="1807"/>
      <c r="CU171" s="1807"/>
      <c r="CV171" s="1806"/>
      <c r="CW171" s="1791"/>
      <c r="CX171" s="1808"/>
      <c r="CY171" s="1807"/>
      <c r="CZ171" s="1807"/>
      <c r="DA171" s="1806"/>
      <c r="DB171" s="1791"/>
      <c r="DC171" s="1808"/>
      <c r="DD171" s="1807"/>
      <c r="DE171" s="1807"/>
      <c r="DF171" s="1806"/>
      <c r="DG171" s="1791"/>
      <c r="DH171" s="1808"/>
      <c r="DI171" s="1807"/>
      <c r="DJ171" s="1807"/>
      <c r="DK171" s="1806"/>
      <c r="DL171" s="1791"/>
      <c r="DM171" s="1808"/>
      <c r="DN171" s="1807"/>
      <c r="DO171" s="1807"/>
      <c r="DP171" s="1806"/>
      <c r="DQ171" s="1791"/>
      <c r="DR171" s="1808"/>
      <c r="DS171" s="1807"/>
      <c r="DT171" s="1807"/>
      <c r="DU171" s="1806"/>
      <c r="DV171" s="1791"/>
    </row>
    <row r="172" spans="1:126">
      <c r="A172" s="455"/>
      <c r="B172" s="455"/>
      <c r="C172" s="1929" t="s">
        <v>1024</v>
      </c>
      <c r="D172" s="455"/>
      <c r="E172" s="1435">
        <v>450</v>
      </c>
      <c r="F172" s="1435"/>
      <c r="G172" s="1435"/>
      <c r="H172" s="1350">
        <v>2017</v>
      </c>
      <c r="I172" s="1337">
        <v>3.1199999999999999E-2</v>
      </c>
      <c r="J172" s="1343">
        <v>6</v>
      </c>
      <c r="K172" s="1792"/>
      <c r="L172" s="1810">
        <f t="shared" ref="L172:M179" si="2142">IF(L$5=$H172,$E172,0)</f>
        <v>0</v>
      </c>
      <c r="M172" s="1791">
        <f t="shared" si="2142"/>
        <v>0</v>
      </c>
      <c r="N172" s="1808">
        <f t="shared" ref="N172" si="2143">IF(R172=0,0,IF(R172&gt;0,IF($J172=3,R172,IF($J172=2,R172,IF($J172=1,R172,0)))))</f>
        <v>0</v>
      </c>
      <c r="O172" s="1807">
        <f t="shared" ref="O172" si="2144">IF(R172=0,0,IF(R172&gt;0,IF($J172=6,R172,IF($J172=5,R172,IF($J172=4,R172,0)))))</f>
        <v>0</v>
      </c>
      <c r="P172" s="1807">
        <f t="shared" ref="P172" si="2145">IF(R172=0,0,IF(R172&gt;0,IF($J172=9,R172,IF($J172=8,R172,IF($J172=7,R172,0)))))</f>
        <v>0</v>
      </c>
      <c r="Q172" s="1806">
        <f t="shared" ref="Q172" si="2146">IF(R172=0,0,IF(R172&gt;0,IF($J172=12,R172,IF($J172=11,R172,IF($J172=10,R172,0)))))</f>
        <v>0</v>
      </c>
      <c r="R172" s="1791">
        <f t="shared" ref="R172:R179" si="2147">IF(R$5=$H172,$E172,0)</f>
        <v>0</v>
      </c>
      <c r="S172" s="1808">
        <f t="shared" ref="S172" si="2148">IF(W172=0,0,IF(W172&gt;0,IF($J172=3,W172,IF($J172=2,W172,IF($J172=1,W172,0)))))</f>
        <v>0</v>
      </c>
      <c r="T172" s="1807">
        <f t="shared" ref="T172" si="2149">IF(W172=0,0,IF(W172&gt;0,IF($J172=6,W172,IF($J172=5,W172,IF($J172=4,W172,0)))))</f>
        <v>0</v>
      </c>
      <c r="U172" s="1807">
        <f t="shared" ref="U172" si="2150">IF(W172=0,0,IF(W172&gt;0,IF($J172=9,W172,IF($J172=8,W172,IF($J172=7,W172,0)))))</f>
        <v>0</v>
      </c>
      <c r="V172" s="1806">
        <f t="shared" ref="V172" si="2151">IF(W172=0,0,IF(W172&gt;0,IF($J172=12,W172,IF($J172=11,W172,IF($J172=10,W172,0)))))</f>
        <v>0</v>
      </c>
      <c r="W172" s="1791">
        <f t="shared" ref="W172:W179" si="2152">IF(W$5=$H172,$E172,0)</f>
        <v>0</v>
      </c>
      <c r="X172" s="1808">
        <f t="shared" ref="X172" si="2153">IF(AB172=0,0,IF(AB172&gt;0,IF($J172=3,AB172,IF($J172=2,AB172,IF($J172=1,AB172,0)))))</f>
        <v>0</v>
      </c>
      <c r="Y172" s="1807">
        <f t="shared" ref="Y172" si="2154">IF(AB172=0,0,IF(AB172&gt;0,IF($J172=6,AB172,IF($J172=5,AB172,IF($J172=4,AB172,0)))))</f>
        <v>0</v>
      </c>
      <c r="Z172" s="1807">
        <f t="shared" ref="Z172" si="2155">IF(AB172=0,0,IF(AB172&gt;0,IF($J172=9,AB172,IF($J172=8,AB172,IF($J172=7,AB172,0)))))</f>
        <v>0</v>
      </c>
      <c r="AA172" s="1806">
        <f t="shared" ref="AA172" si="2156">IF(AB172=0,0,IF(AB172&gt;0,IF($J172=12,AB172,IF($J172=11,AB172,IF($J172=10,AB172,0)))))</f>
        <v>0</v>
      </c>
      <c r="AB172" s="1791">
        <f t="shared" ref="AB172:AB179" si="2157">IF(AB$5=$H172,$E172,0)</f>
        <v>0</v>
      </c>
      <c r="AC172" s="1808">
        <f t="shared" ref="AC172" si="2158">IF(AG172=0,0,IF(AG172&gt;0,IF($J172=3,AG172,IF($J172=2,AG172,IF($J172=1,AG172,0)))))</f>
        <v>0</v>
      </c>
      <c r="AD172" s="1807">
        <f t="shared" ref="AD172" si="2159">IF(AG172=0,0,IF(AG172&gt;0,IF($J172=6,AG172,IF($J172=5,AG172,IF($J172=4,AG172,0)))))</f>
        <v>0</v>
      </c>
      <c r="AE172" s="1807">
        <f t="shared" ref="AE172" si="2160">IF(AG172=0,0,IF(AG172&gt;0,IF($J172=9,AG172,IF($J172=8,AG172,IF($J172=7,AG172,0)))))</f>
        <v>0</v>
      </c>
      <c r="AF172" s="1806">
        <f t="shared" ref="AF172" si="2161">IF(AG172=0,0,IF(AG172&gt;0,IF($J172=12,AG172,IF($J172=11,AG172,IF($J172=10,AG172,0)))))</f>
        <v>0</v>
      </c>
      <c r="AG172" s="1791">
        <f t="shared" ref="AG172:AG179" si="2162">IF(AG$5=$H172,$E172,0)</f>
        <v>0</v>
      </c>
      <c r="AH172" s="1808">
        <f t="shared" ref="AH172" si="2163">IF(AL172=0,0,IF(AL172&gt;0,IF($J172=3,AL172,IF($J172=2,AL172,IF($J172=1,AL172,0)))))</f>
        <v>0</v>
      </c>
      <c r="AI172" s="1807">
        <f t="shared" ref="AI172" si="2164">IF(AL172=0,0,IF(AL172&gt;0,IF($J172=6,AL172,IF($J172=5,AL172,IF($J172=4,AL172,0)))))</f>
        <v>0</v>
      </c>
      <c r="AJ172" s="1807">
        <f t="shared" ref="AJ172" si="2165">IF(AL172=0,0,IF(AL172&gt;0,IF($J172=9,AL172,IF($J172=8,AL172,IF($J172=7,AL172,0)))))</f>
        <v>0</v>
      </c>
      <c r="AK172" s="1806">
        <f t="shared" ref="AK172" si="2166">IF(AL172=0,0,IF(AL172&gt;0,IF($J172=12,AL172,IF($J172=11,AL172,IF($J172=10,AL172,0)))))</f>
        <v>0</v>
      </c>
      <c r="AL172" s="1791">
        <f t="shared" ref="AL172:AL179" si="2167">IF(AL$5=$H172,$E172,0)</f>
        <v>0</v>
      </c>
      <c r="AM172" s="1808">
        <f t="shared" ref="AM172" si="2168">IF(AQ172=0,0,IF(AQ172&gt;0,IF($J172=3,AQ172,IF($J172=2,AQ172,IF($J172=1,AQ172,0)))))</f>
        <v>0</v>
      </c>
      <c r="AN172" s="1807">
        <f t="shared" ref="AN172" si="2169">IF(AQ172=0,0,IF(AQ172&gt;0,IF($J172=6,AQ172,IF($J172=5,AQ172,IF($J172=4,AQ172,0)))))</f>
        <v>0</v>
      </c>
      <c r="AO172" s="1807">
        <f t="shared" ref="AO172" si="2170">IF(AQ172=0,0,IF(AQ172&gt;0,IF($J172=9,AQ172,IF($J172=8,AQ172,IF($J172=7,AQ172,0)))))</f>
        <v>0</v>
      </c>
      <c r="AP172" s="1806">
        <f t="shared" ref="AP172" si="2171">IF(AQ172=0,0,IF(AQ172&gt;0,IF($J172=12,AQ172,IF($J172=11,AQ172,IF($J172=10,AQ172,0)))))</f>
        <v>0</v>
      </c>
      <c r="AQ172" s="1791">
        <f t="shared" ref="AQ172:AQ179" si="2172">IF(AQ$5=$H172,$E172,0)</f>
        <v>0</v>
      </c>
      <c r="AR172" s="1808">
        <f t="shared" ref="AR172" si="2173">IF(AV172=0,0,IF(AV172&gt;0,IF($J172=3,AV172,IF($J172=2,AV172,IF($J172=1,AV172,0)))))</f>
        <v>0</v>
      </c>
      <c r="AS172" s="1807">
        <f t="shared" ref="AS172" si="2174">IF(AV172=0,0,IF(AV172&gt;0,IF($J172=6,AV172,IF($J172=5,AV172,IF($J172=4,AV172,0)))))</f>
        <v>450</v>
      </c>
      <c r="AT172" s="1807">
        <f t="shared" ref="AT172" si="2175">IF(AV172=0,0,IF(AV172&gt;0,IF($J172=9,AV172,IF($J172=8,AV172,IF($J172=7,AV172,0)))))</f>
        <v>0</v>
      </c>
      <c r="AU172" s="1806">
        <f t="shared" ref="AU172" si="2176">IF(AV172=0,0,IF(AV172&gt;0,IF($J172=12,AV172,IF($J172=11,AV172,IF($J172=10,AV172,0)))))</f>
        <v>0</v>
      </c>
      <c r="AV172" s="1791">
        <f t="shared" ref="AV172:AV179" si="2177">IF(AV$5=$H172,$E172,0)</f>
        <v>450</v>
      </c>
      <c r="AW172" s="1808">
        <f t="shared" ref="AW172" si="2178">IF(BA172=0,0,IF(BA172&gt;0,IF($J172=3,BA172,IF($J172=2,BA172,IF($J172=1,BA172,0)))))</f>
        <v>0</v>
      </c>
      <c r="AX172" s="1807">
        <f t="shared" ref="AX172" si="2179">IF(BA172=0,0,IF(BA172&gt;0,IF($J172=6,BA172,IF($J172=5,BA172,IF($J172=4,BA172,0)))))</f>
        <v>0</v>
      </c>
      <c r="AY172" s="1807">
        <f t="shared" ref="AY172" si="2180">IF(BA172=0,0,IF(BA172&gt;0,IF($J172=9,BA172,IF($J172=8,BA172,IF($J172=7,BA172,0)))))</f>
        <v>0</v>
      </c>
      <c r="AZ172" s="1806">
        <f t="shared" ref="AZ172" si="2181">IF(BA172=0,0,IF(BA172&gt;0,IF($J172=12,BA172,IF($J172=11,BA172,IF($J172=10,BA172,0)))))</f>
        <v>0</v>
      </c>
      <c r="BA172" s="1791">
        <f t="shared" ref="BA172:BA179" si="2182">IF(BA$5=$H172,$E172,0)</f>
        <v>0</v>
      </c>
      <c r="BB172" s="1808">
        <f t="shared" ref="BB172" si="2183">IF(BF172=0,0,IF(BF172&gt;0,IF($J172=3,BF172,IF($J172=2,BF172,IF($J172=1,BF172,0)))))</f>
        <v>0</v>
      </c>
      <c r="BC172" s="1807">
        <f t="shared" ref="BC172" si="2184">IF(BF172=0,0,IF(BF172&gt;0,IF($J172=6,BF172,IF($J172=5,BF172,IF($J172=4,BF172,0)))))</f>
        <v>0</v>
      </c>
      <c r="BD172" s="1807">
        <f t="shared" ref="BD172" si="2185">IF(BF172=0,0,IF(BF172&gt;0,IF($J172=9,BF172,IF($J172=8,BF172,IF($J172=7,BF172,0)))))</f>
        <v>0</v>
      </c>
      <c r="BE172" s="1806">
        <f t="shared" ref="BE172" si="2186">IF(BF172=0,0,IF(BF172&gt;0,IF($J172=12,BF172,IF($J172=11,BF172,IF($J172=10,BF172,0)))))</f>
        <v>0</v>
      </c>
      <c r="BF172" s="1791">
        <f t="shared" ref="BF172:BF179" si="2187">IF(BF$5=$H172,$E172,0)</f>
        <v>0</v>
      </c>
      <c r="BG172" s="1808">
        <f t="shared" ref="BG172" si="2188">IF(BK172=0,0,IF(BK172&gt;0,IF($J172=3,BK172,IF($J172=2,BK172,IF($J172=1,BK172,0)))))</f>
        <v>0</v>
      </c>
      <c r="BH172" s="1807">
        <f t="shared" ref="BH172" si="2189">IF(BK172=0,0,IF(BK172&gt;0,IF($J172=6,BK172,IF($J172=5,BK172,IF($J172=4,BK172,0)))))</f>
        <v>0</v>
      </c>
      <c r="BI172" s="1807">
        <f t="shared" ref="BI172" si="2190">IF(BK172=0,0,IF(BK172&gt;0,IF($J172=9,BK172,IF($J172=8,BK172,IF($J172=7,BK172,0)))))</f>
        <v>0</v>
      </c>
      <c r="BJ172" s="1806">
        <f t="shared" ref="BJ172" si="2191">IF(BK172=0,0,IF(BK172&gt;0,IF($J172=12,BK172,IF($J172=11,BK172,IF($J172=10,BK172,0)))))</f>
        <v>0</v>
      </c>
      <c r="BK172" s="1791">
        <f t="shared" ref="BK172:BK179" si="2192">IF(BK$5=$H172,$E172,0)</f>
        <v>0</v>
      </c>
      <c r="BL172" s="1808">
        <f t="shared" ref="BL172" si="2193">IF(BP172=0,0,IF(BP172&gt;0,IF($J172=3,BP172,IF($J172=2,BP172,IF($J172=1,BP172,0)))))</f>
        <v>0</v>
      </c>
      <c r="BM172" s="1807">
        <f t="shared" ref="BM172" si="2194">IF(BP172=0,0,IF(BP172&gt;0,IF($J172=6,BP172,IF($J172=5,BP172,IF($J172=4,BP172,0)))))</f>
        <v>0</v>
      </c>
      <c r="BN172" s="1807">
        <f t="shared" ref="BN172" si="2195">IF(BP172=0,0,IF(BP172&gt;0,IF($J172=9,BP172,IF($J172=8,BP172,IF($J172=7,BP172,0)))))</f>
        <v>0</v>
      </c>
      <c r="BO172" s="1806">
        <f t="shared" ref="BO172" si="2196">IF(BP172=0,0,IF(BP172&gt;0,IF($J172=12,BP172,IF($J172=11,BP172,IF($J172=10,BP172,0)))))</f>
        <v>0</v>
      </c>
      <c r="BP172" s="1791">
        <f t="shared" ref="BP172:BP179" si="2197">IF(BP$5=$H172,$E172,0)</f>
        <v>0</v>
      </c>
      <c r="BQ172" s="1809"/>
      <c r="BR172" s="1791">
        <f t="shared" ref="BR172" si="2198">IF(AND(BQ172&lt;&gt;0,BQ$5=$H172),$I172*$E172-BQ172,IF(BR$5=$H172,$I172*$E172*(12-$J172+1)/12,0))</f>
        <v>0</v>
      </c>
      <c r="BS172" s="1791">
        <f t="shared" ref="BS172" si="2199">IF(AND(BR172&lt;&gt;0,BR$5=$H172),$I172*$E172-BR172,IF(BS$5=$H172,$I172*$E172*(12-$J172+1)/12,0))</f>
        <v>0</v>
      </c>
      <c r="BT172" s="1808">
        <f t="shared" ref="BT172" si="2200">IF($H172&lt;&gt;BX$5,0,IF(BX172&gt;0,IF($J172=1,$E172*$I172/12*3,IF($J172=2,$E172*$I172/12*2,IF($J172=3,$E172*$I172/12*1,0)))))+IF(BS$5&lt;&gt;$H172,0,IF(BS172&gt;0,IF($J172=1,$E172*$I172/12*0,IF($J172=2,$E172*$I172/12*1,IF($J172=3,$E172*$I172/12*2,IF($J172&gt;=4,$E172*$I172/12*3,0))))))</f>
        <v>0</v>
      </c>
      <c r="BU172" s="1807">
        <f t="shared" ref="BU172" si="2201">IF($H172&lt;&gt;BX$5,0,IF(BX172&gt;0,IF(OR($J172=1,$J172=2,$J172=3,$J172=4),$E172*$I172/12*3,IF($J172=5,$E172*$I172/12*2,IF($J172=6,$E172*$I172/12*1,0)))))+IF(BS$5&lt;&gt;$H172,0,IF(BS172&gt;0,IF($J172=4,$E172*$I172/12*0,IF($J172=5,$E172*$I172/12*1,IF($J172=6,$E172*$I172/12*2,IF($J172&gt;=7,$E172*$I172/12*3,0))))))</f>
        <v>0</v>
      </c>
      <c r="BV172" s="1807">
        <f t="shared" ref="BV172" si="2202">IF($H172&lt;&gt;BX$5,0,IF(BX172&gt;0,IF(OR($J172=1,$J172=2,$J172=3,$J172=4,$J172=5,$J172=6,$J172=7),$E172*$I172/12*3,IF($J172=8,$E172*$I172/12*2,IF($J172=9,$E172*$I172/12*1,0)))))+IF(BS$5&lt;&gt;$H172,0,IF(BS172&gt;0,IF($J172=7,$E172*$I172/12*0,IF($J172=8,$E172*$I172/12*1,IF($J172=9,$E172*$I172/12*2,IF($J172&gt;=10,$E172*$I172/12*3,0))))))</f>
        <v>0</v>
      </c>
      <c r="BW172" s="1806">
        <f t="shared" ref="BW172" si="2203">IF($H172&lt;&gt;BX$5,0,IF(BX172&gt;0,IF(OR($J172=1,$J172=2,$J172=3,$J172=4,$J172=5,$J172=6,$J172=7,$J172=8,$J172=9,$J172=10),$E172*$I172/12*3,IF($J172=11,$E172*$I172/12*2,IF($J172=12,$E172*$I172/12*1,0)))))+IF(BS$5&lt;&gt;$H172,0,IF(BS172&gt;0,IF($J172=10,$E172*$I172/12*0,IF($J172=11,$E172*$I172/12*1,IF($J172=12,$E172*$I172/12*2,0)))))</f>
        <v>0</v>
      </c>
      <c r="BX172" s="1791">
        <f t="shared" ref="BX172" si="2204">IF(AND(BS172&lt;&gt;0,BS$5=$H172),$I172*$E172-BS172,IF(BX$5=$H172,$I172*$E172*(12-$J172+1)/12,0))</f>
        <v>0</v>
      </c>
      <c r="BY172" s="1808">
        <f t="shared" ref="BY172" si="2205">IF($H172&lt;&gt;CC$5,0,IF(CC172&gt;0,IF($J172=1,$E172*$I172/12*3,IF($J172=2,$E172*$I172/12*2,IF($J172=3,$E172*$I172/12*1,0)))))+IF(BX$5&lt;&gt;$H172,0,IF(BX172&gt;0,IF($J172=1,$E172*$I172/12*0,IF($J172=2,$E172*$I172/12*1,IF($J172=3,$E172*$I172/12*2,IF($J172&gt;=4,$E172*$I172/12*3,0))))))</f>
        <v>0</v>
      </c>
      <c r="BZ172" s="1807">
        <f t="shared" ref="BZ172" si="2206">IF($H172&lt;&gt;CC$5,0,IF(CC172&gt;0,IF(OR($J172=1,$J172=2,$J172=3,$J172=4),$E172*$I172/12*3,IF($J172=5,$E172*$I172/12*2,IF($J172=6,$E172*$I172/12*1,0)))))+IF(BX$5&lt;&gt;$H172,0,IF(BX172&gt;0,IF($J172=4,$E172*$I172/12*0,IF($J172=5,$E172*$I172/12*1,IF($J172=6,$E172*$I172/12*2,IF($J172&gt;=7,$E172*$I172/12*3,0))))))</f>
        <v>0</v>
      </c>
      <c r="CA172" s="1807">
        <f t="shared" ref="CA172" si="2207">IF($H172&lt;&gt;CC$5,0,IF(CC172&gt;0,IF(OR($J172=1,$J172=2,$J172=3,$J172=4,$J172=5,$J172=6,$J172=7),$E172*$I172/12*3,IF($J172=8,$E172*$I172/12*2,IF($J172=9,$E172*$I172/12*1,0)))))+IF(BX$5&lt;&gt;$H172,0,IF(BX172&gt;0,IF($J172=7,$E172*$I172/12*0,IF($J172=8,$E172*$I172/12*1,IF($J172=9,$E172*$I172/12*2,IF($J172&gt;=10,$E172*$I172/12*3,0))))))</f>
        <v>0</v>
      </c>
      <c r="CB172" s="1806">
        <f t="shared" ref="CB172" si="2208">IF($H172&lt;&gt;CC$5,0,IF(CC172&gt;0,IF(OR($J172=1,$J172=2,$J172=3,$J172=4,$J172=5,$J172=6,$J172=7,$J172=8,$J172=9,$J172=10),$E172*$I172/12*3,IF($J172=11,$E172*$I172/12*2,IF($J172=12,$E172*$I172/12*1,0)))))+IF(BX$5&lt;&gt;$H172,0,IF(BX172&gt;0,IF($J172=10,$E172*$I172/12*0,IF($J172=11,$E172*$I172/12*1,IF($J172=12,$E172*$I172/12*2,0)))))</f>
        <v>0</v>
      </c>
      <c r="CC172" s="1791">
        <f t="shared" ref="CC172" si="2209">IF(AND(BX172&lt;&gt;0,BX$5=$H172),$I172*$E172-BX172,IF(CC$5=$H172,$I172*$E172*(12-$J172+1)/12,0))</f>
        <v>0</v>
      </c>
      <c r="CD172" s="1808">
        <f t="shared" ref="CD172" si="2210">IF($H172&lt;&gt;CH$5,0,IF(CH172&gt;0,IF($J172=1,$E172*$I172/12*3,IF($J172=2,$E172*$I172/12*2,IF($J172=3,$E172*$I172/12*1,0)))))+IF(CC$5&lt;&gt;$H172,0,IF(CC172&gt;0,IF($J172=1,$E172*$I172/12*0,IF($J172=2,$E172*$I172/12*1,IF($J172=3,$E172*$I172/12*2,IF($J172&gt;=4,$E172*$I172/12*3,0))))))</f>
        <v>0</v>
      </c>
      <c r="CE172" s="1807">
        <f t="shared" ref="CE172" si="2211">IF($H172&lt;&gt;CH$5,0,IF(CH172&gt;0,IF(OR($J172=1,$J172=2,$J172=3,$J172=4),$E172*$I172/12*3,IF($J172=5,$E172*$I172/12*2,IF($J172=6,$E172*$I172/12*1,0)))))+IF(CC$5&lt;&gt;$H172,0,IF(CC172&gt;0,IF($J172=4,$E172*$I172/12*0,IF($J172=5,$E172*$I172/12*1,IF($J172=6,$E172*$I172/12*2,IF($J172&gt;=7,$E172*$I172/12*3,0))))))</f>
        <v>0</v>
      </c>
      <c r="CF172" s="1807">
        <f t="shared" ref="CF172" si="2212">IF($H172&lt;&gt;CH$5,0,IF(CH172&gt;0,IF(OR($J172=1,$J172=2,$J172=3,$J172=4,$J172=5,$J172=6,$J172=7),$E172*$I172/12*3,IF($J172=8,$E172*$I172/12*2,IF($J172=9,$E172*$I172/12*1,0)))))+IF(CC$5&lt;&gt;$H172,0,IF(CC172&gt;0,IF($J172=7,$E172*$I172/12*0,IF($J172=8,$E172*$I172/12*1,IF($J172=9,$E172*$I172/12*2,IF($J172&gt;=10,$E172*$I172/12*3,0))))))</f>
        <v>0</v>
      </c>
      <c r="CG172" s="1806">
        <f t="shared" ref="CG172" si="2213">IF($H172&lt;&gt;CH$5,0,IF(CH172&gt;0,IF(OR($J172=1,$J172=2,$J172=3,$J172=4,$J172=5,$J172=6,$J172=7,$J172=8,$J172=9,$J172=10),$E172*$I172/12*3,IF($J172=11,$E172*$I172/12*2,IF($J172=12,$E172*$I172/12*1,0)))))+IF(CC$5&lt;&gt;$H172,0,IF(CC172&gt;0,IF($J172=10,$E172*$I172/12*0,IF($J172=11,$E172*$I172/12*1,IF($J172=12,$E172*$I172/12*2,0)))))</f>
        <v>0</v>
      </c>
      <c r="CH172" s="1791">
        <f t="shared" ref="CH172" si="2214">IF(AND(CC172&lt;&gt;0,CC$5=$H172),$I172*$E172-CC172,IF(CH$5=$H172,$I172*$E172*(12-$J172+1)/12,0))</f>
        <v>0</v>
      </c>
      <c r="CI172" s="1808">
        <f t="shared" ref="CI172" si="2215">IF($H172&lt;&gt;CM$5,0,IF(CM172&gt;0,IF($J172=1,$E172*$I172/12*3,IF($J172=2,$E172*$I172/12*2,IF($J172=3,$E172*$I172/12*1,0)))))+IF(CH$5&lt;&gt;$H172,0,IF(CH172&gt;0,IF($J172=1,$E172*$I172/12*0,IF($J172=2,$E172*$I172/12*1,IF($J172=3,$E172*$I172/12*2,IF($J172&gt;=4,$E172*$I172/12*3,0))))))</f>
        <v>0</v>
      </c>
      <c r="CJ172" s="1807">
        <f t="shared" ref="CJ172" si="2216">IF($H172&lt;&gt;CM$5,0,IF(CM172&gt;0,IF(OR($J172=1,$J172=2,$J172=3,$J172=4),$E172*$I172/12*3,IF($J172=5,$E172*$I172/12*2,IF($J172=6,$E172*$I172/12*1,0)))))+IF(CH$5&lt;&gt;$H172,0,IF(CH172&gt;0,IF($J172=4,$E172*$I172/12*0,IF($J172=5,$E172*$I172/12*1,IF($J172=6,$E172*$I172/12*2,IF($J172&gt;=7,$E172*$I172/12*3,0))))))</f>
        <v>0</v>
      </c>
      <c r="CK172" s="1807">
        <f t="shared" ref="CK172" si="2217">IF($H172&lt;&gt;CM$5,0,IF(CM172&gt;0,IF(OR($J172=1,$J172=2,$J172=3,$J172=4,$J172=5,$J172=6,$J172=7),$E172*$I172/12*3,IF($J172=8,$E172*$I172/12*2,IF($J172=9,$E172*$I172/12*1,0)))))+IF(CH$5&lt;&gt;$H172,0,IF(CH172&gt;0,IF($J172=7,$E172*$I172/12*0,IF($J172=8,$E172*$I172/12*1,IF($J172=9,$E172*$I172/12*2,IF($J172&gt;=10,$E172*$I172/12*3,0))))))</f>
        <v>0</v>
      </c>
      <c r="CL172" s="1806">
        <f t="shared" ref="CL172" si="2218">IF($H172&lt;&gt;CM$5,0,IF(CM172&gt;0,IF(OR($J172=1,$J172=2,$J172=3,$J172=4,$J172=5,$J172=6,$J172=7,$J172=8,$J172=9,$J172=10),$E172*$I172/12*3,IF($J172=11,$E172*$I172/12*2,IF($J172=12,$E172*$I172/12*1,0)))))+IF(CH$5&lt;&gt;$H172,0,IF(CH172&gt;0,IF($J172=10,$E172*$I172/12*0,IF($J172=11,$E172*$I172/12*1,IF($J172=12,$E172*$I172/12*2,0)))))</f>
        <v>0</v>
      </c>
      <c r="CM172" s="1791">
        <f t="shared" ref="CM172" si="2219">IF(AND(CH172&lt;&gt;0,CH$5=$H172),$I172*$E172-CH172,IF(CM$5=$H172,$I172*$E172*(12-$J172+1)/12,0))</f>
        <v>0</v>
      </c>
      <c r="CN172" s="1808">
        <f t="shared" ref="CN172" si="2220">IF($H172&lt;&gt;CR$5,0,IF(CR172&gt;0,IF($J172=1,$E172*$I172/12*3,IF($J172=2,$E172*$I172/12*2,IF($J172=3,$E172*$I172/12*1,0)))))+IF(CM$5&lt;&gt;$H172,0,IF(CM172&gt;0,IF($J172=1,$E172*$I172/12*0,IF($J172=2,$E172*$I172/12*1,IF($J172=3,$E172*$I172/12*2,IF($J172&gt;=4,$E172*$I172/12*3,0))))))</f>
        <v>0</v>
      </c>
      <c r="CO172" s="1807">
        <f t="shared" ref="CO172" si="2221">IF($H172&lt;&gt;CR$5,0,IF(CR172&gt;0,IF(OR($J172=1,$J172=2,$J172=3,$J172=4),$E172*$I172/12*3,IF($J172=5,$E172*$I172/12*2,IF($J172=6,$E172*$I172/12*1,0)))))+IF(CM$5&lt;&gt;$H172,0,IF(CM172&gt;0,IF($J172=4,$E172*$I172/12*0,IF($J172=5,$E172*$I172/12*1,IF($J172=6,$E172*$I172/12*2,IF($J172&gt;=7,$E172*$I172/12*3,0))))))</f>
        <v>0</v>
      </c>
      <c r="CP172" s="1807">
        <f t="shared" ref="CP172" si="2222">IF($H172&lt;&gt;CR$5,0,IF(CR172&gt;0,IF(OR($J172=1,$J172=2,$J172=3,$J172=4,$J172=5,$J172=6,$J172=7),$E172*$I172/12*3,IF($J172=8,$E172*$I172/12*2,IF($J172=9,$E172*$I172/12*1,0)))))+IF(CM$5&lt;&gt;$H172,0,IF(CM172&gt;0,IF($J172=7,$E172*$I172/12*0,IF($J172=8,$E172*$I172/12*1,IF($J172=9,$E172*$I172/12*2,IF($J172&gt;=10,$E172*$I172/12*3,0))))))</f>
        <v>0</v>
      </c>
      <c r="CQ172" s="1806">
        <f t="shared" ref="CQ172" si="2223">IF($H172&lt;&gt;CR$5,0,IF(CR172&gt;0,IF(OR($J172=1,$J172=2,$J172=3,$J172=4,$J172=5,$J172=6,$J172=7,$J172=8,$J172=9,$J172=10),$E172*$I172/12*3,IF($J172=11,$E172*$I172/12*2,IF($J172=12,$E172*$I172/12*1,0)))))+IF(CM$5&lt;&gt;$H172,0,IF(CM172&gt;0,IF($J172=10,$E172*$I172/12*0,IF($J172=11,$E172*$I172/12*1,IF($J172=12,$E172*$I172/12*2,0)))))</f>
        <v>0</v>
      </c>
      <c r="CR172" s="1791">
        <f t="shared" ref="CR172" si="2224">IF(AND(CM172&lt;&gt;0,CM$5=$H172),$I172*$E172-CM172,IF(CR$5=$H172,$I172*$E172*(12-$J172+1)/12,0))</f>
        <v>0</v>
      </c>
      <c r="CS172" s="1808">
        <f t="shared" ref="CS172" si="2225">IF($H172&lt;&gt;CW$5,0,IF(CW172&gt;0,IF($J172=1,$E172*$I172/12*3,IF($J172=2,$E172*$I172/12*2,IF($J172=3,$E172*$I172/12*1,0)))))+IF(CR$5&lt;&gt;$H172,0,IF(CR172&gt;0,IF($J172=1,$E172*$I172/12*0,IF($J172=2,$E172*$I172/12*1,IF($J172=3,$E172*$I172/12*2,IF($J172&gt;=4,$E172*$I172/12*3,0))))))</f>
        <v>0</v>
      </c>
      <c r="CT172" s="1807">
        <f t="shared" ref="CT172" si="2226">IF($H172&lt;&gt;CW$5,0,IF(CW172&gt;0,IF(OR($J172=1,$J172=2,$J172=3,$J172=4),$E172*$I172/12*3,IF($J172=5,$E172*$I172/12*2,IF($J172=6,$E172*$I172/12*1,0)))))+IF(CR$5&lt;&gt;$H172,0,IF(CR172&gt;0,IF($J172=4,$E172*$I172/12*0,IF($J172=5,$E172*$I172/12*1,IF($J172=6,$E172*$I172/12*2,IF($J172&gt;=7,$E172*$I172/12*3,0))))))</f>
        <v>0</v>
      </c>
      <c r="CU172" s="1807">
        <f t="shared" ref="CU172" si="2227">IF($H172&lt;&gt;CW$5,0,IF(CW172&gt;0,IF(OR($J172=1,$J172=2,$J172=3,$J172=4,$J172=5,$J172=6,$J172=7),$E172*$I172/12*3,IF($J172=8,$E172*$I172/12*2,IF($J172=9,$E172*$I172/12*1,0)))))+IF(CR$5&lt;&gt;$H172,0,IF(CR172&gt;0,IF($J172=7,$E172*$I172/12*0,IF($J172=8,$E172*$I172/12*1,IF($J172=9,$E172*$I172/12*2,IF($J172&gt;=10,$E172*$I172/12*3,0))))))</f>
        <v>0</v>
      </c>
      <c r="CV172" s="1806">
        <f t="shared" ref="CV172" si="2228">IF($H172&lt;&gt;CW$5,0,IF(CW172&gt;0,IF(OR($J172=1,$J172=2,$J172=3,$J172=4,$J172=5,$J172=6,$J172=7,$J172=8,$J172=9,$J172=10),$E172*$I172/12*3,IF($J172=11,$E172*$I172/12*2,IF($J172=12,$E172*$I172/12*1,0)))))+IF(CR$5&lt;&gt;$H172,0,IF(CR172&gt;0,IF($J172=10,$E172*$I172/12*0,IF($J172=11,$E172*$I172/12*1,IF($J172=12,$E172*$I172/12*2,0)))))</f>
        <v>0</v>
      </c>
      <c r="CW172" s="1791">
        <f t="shared" ref="CW172" si="2229">IF(AND(CR172&lt;&gt;0,CR$5=$H172),$I172*$E172-CR172,IF(CW$5=$H172,$I172*$E172*(12-$J172+1)/12,0))</f>
        <v>0</v>
      </c>
      <c r="CX172" s="1808">
        <f t="shared" ref="CX172" si="2230">IF($H172&lt;&gt;DB$5,0,IF(DB172&gt;0,IF($J172=1,$E172*$I172/12*3,IF($J172=2,$E172*$I172/12*2,IF($J172=3,$E172*$I172/12*1,0)))))+IF(CW$5&lt;&gt;$H172,0,IF(CW172&gt;0,IF($J172=1,$E172*$I172/12*0,IF($J172=2,$E172*$I172/12*1,IF($J172=3,$E172*$I172/12*2,IF($J172&gt;=4,$E172*$I172/12*3,0))))))</f>
        <v>0</v>
      </c>
      <c r="CY172" s="1807">
        <f t="shared" ref="CY172" si="2231">IF($H172&lt;&gt;DB$5,0,IF(DB172&gt;0,IF(OR($J172=1,$J172=2,$J172=3,$J172=4),$E172*$I172/12*3,IF($J172=5,$E172*$I172/12*2,IF($J172=6,$E172*$I172/12*1,0)))))+IF(CW$5&lt;&gt;$H172,0,IF(CW172&gt;0,IF($J172=4,$E172*$I172/12*0,IF($J172=5,$E172*$I172/12*1,IF($J172=6,$E172*$I172/12*2,IF($J172&gt;=7,$E172*$I172/12*3,0))))))</f>
        <v>1.17</v>
      </c>
      <c r="CZ172" s="1807">
        <f t="shared" ref="CZ172" si="2232">IF($H172&lt;&gt;DB$5,0,IF(DB172&gt;0,IF(OR($J172=1,$J172=2,$J172=3,$J172=4,$J172=5,$J172=6,$J172=7),$E172*$I172/12*3,IF($J172=8,$E172*$I172/12*2,IF($J172=9,$E172*$I172/12*1,0)))))+IF(CW$5&lt;&gt;$H172,0,IF(CW172&gt;0,IF($J172=7,$E172*$I172/12*0,IF($J172=8,$E172*$I172/12*1,IF($J172=9,$E172*$I172/12*2,IF($J172&gt;=10,$E172*$I172/12*3,0))))))</f>
        <v>3.51</v>
      </c>
      <c r="DA172" s="1806">
        <f t="shared" ref="DA172" si="2233">IF($H172&lt;&gt;DB$5,0,IF(DB172&gt;0,IF(OR($J172=1,$J172=2,$J172=3,$J172=4,$J172=5,$J172=6,$J172=7,$J172=8,$J172=9,$J172=10),$E172*$I172/12*3,IF($J172=11,$E172*$I172/12*2,IF($J172=12,$E172*$I172/12*1,0)))))+IF(CW$5&lt;&gt;$H172,0,IF(CW172&gt;0,IF($J172=10,$E172*$I172/12*0,IF($J172=11,$E172*$I172/12*1,IF($J172=12,$E172*$I172/12*2,0)))))</f>
        <v>3.51</v>
      </c>
      <c r="DB172" s="1791">
        <f t="shared" ref="DB172" si="2234">IF(AND(CW172&lt;&gt;0,CW$5=$H172),$I172*$E172-CW172,IF(DB$5=$H172,$I172*$E172*(12-$J172+1)/12,0))</f>
        <v>8.19</v>
      </c>
      <c r="DC172" s="1808">
        <f t="shared" ref="DC172" si="2235">IF($H172&lt;&gt;DG$5,0,IF(DG172&gt;0,IF($J172=1,$E172*$I172/12*3,IF($J172=2,$E172*$I172/12*2,IF($J172=3,$E172*$I172/12*1,0)))))+IF(DB$5&lt;&gt;$H172,0,IF(DB172&gt;0,IF($J172=1,$E172*$I172/12*0,IF($J172=2,$E172*$I172/12*1,IF($J172=3,$E172*$I172/12*2,IF($J172&gt;=4,$E172*$I172/12*3,0))))))</f>
        <v>3.51</v>
      </c>
      <c r="DD172" s="1807">
        <f t="shared" ref="DD172" si="2236">IF($H172&lt;&gt;DG$5,0,IF(DG172&gt;0,IF(OR($J172=1,$J172=2,$J172=3,$J172=4),$E172*$I172/12*3,IF($J172=5,$E172*$I172/12*2,IF($J172=6,$E172*$I172/12*1,0)))))+IF(DB$5&lt;&gt;$H172,0,IF(DB172&gt;0,IF($J172=4,$E172*$I172/12*0,IF($J172=5,$E172*$I172/12*1,IF($J172=6,$E172*$I172/12*2,IF($J172&gt;=7,$E172*$I172/12*3,0))))))</f>
        <v>2.34</v>
      </c>
      <c r="DE172" s="1807">
        <f t="shared" ref="DE172" si="2237">IF($H172&lt;&gt;DG$5,0,IF(DG172&gt;0,IF(OR($J172=1,$J172=2,$J172=3,$J172=4,$J172=5,$J172=6,$J172=7),$E172*$I172/12*3,IF($J172=8,$E172*$I172/12*2,IF($J172=9,$E172*$I172/12*1,0)))))+IF(DB$5&lt;&gt;$H172,0,IF(DB172&gt;0,IF($J172=7,$E172*$I172/12*0,IF($J172=8,$E172*$I172/12*1,IF($J172=9,$E172*$I172/12*2,IF($J172&gt;=10,$E172*$I172/12*3,0))))))</f>
        <v>0</v>
      </c>
      <c r="DF172" s="1806">
        <f t="shared" ref="DF172" si="2238">IF($H172&lt;&gt;DG$5,0,IF(DG172&gt;0,IF(OR($J172=1,$J172=2,$J172=3,$J172=4,$J172=5,$J172=6,$J172=7,$J172=8,$J172=9,$J172=10),$E172*$I172/12*3,IF($J172=11,$E172*$I172/12*2,IF($J172=12,$E172*$I172/12*1,0)))))+IF(DB$5&lt;&gt;$H172,0,IF(DB172&gt;0,IF($J172=10,$E172*$I172/12*0,IF($J172=11,$E172*$I172/12*1,IF($J172=12,$E172*$I172/12*2,0)))))</f>
        <v>0</v>
      </c>
      <c r="DG172" s="1791">
        <f t="shared" ref="DG172" si="2239">IF(AND(DB172&lt;&gt;0,DB$5=$H172),$I172*$E172-DB172,IF(DG$5=$H172,$I172*$E172*(12-$J172+1)/12,0))</f>
        <v>5.85</v>
      </c>
      <c r="DH172" s="1808">
        <f t="shared" ref="DH172" si="2240">IF($H172&lt;&gt;DL$5,0,IF(DL172&gt;0,IF($J172=1,$E172*$I172/12*3,IF($J172=2,$E172*$I172/12*2,IF($J172=3,$E172*$I172/12*1,0)))))+IF(DG$5&lt;&gt;$H172,0,IF(DG172&gt;0,IF($J172=1,$E172*$I172/12*0,IF($J172=2,$E172*$I172/12*1,IF($J172=3,$E172*$I172/12*2,IF($J172&gt;=4,$E172*$I172/12*3,0))))))</f>
        <v>0</v>
      </c>
      <c r="DI172" s="1807">
        <f t="shared" ref="DI172" si="2241">IF($H172&lt;&gt;DL$5,0,IF(DL172&gt;0,IF(OR($J172=1,$J172=2,$J172=3,$J172=4),$E172*$I172/12*3,IF($J172=5,$E172*$I172/12*2,IF($J172=6,$E172*$I172/12*1,0)))))+IF(DG$5&lt;&gt;$H172,0,IF(DG172&gt;0,IF($J172=4,$E172*$I172/12*0,IF($J172=5,$E172*$I172/12*1,IF($J172=6,$E172*$I172/12*2,IF($J172&gt;=7,$E172*$I172/12*3,0))))))</f>
        <v>0</v>
      </c>
      <c r="DJ172" s="1807">
        <f t="shared" ref="DJ172" si="2242">IF($H172&lt;&gt;DL$5,0,IF(DL172&gt;0,IF(OR($J172=1,$J172=2,$J172=3,$J172=4,$J172=5,$J172=6,$J172=7),$E172*$I172/12*3,IF($J172=8,$E172*$I172/12*2,IF($J172=9,$E172*$I172/12*1,0)))))+IF(DG$5&lt;&gt;$H172,0,IF(DG172&gt;0,IF($J172=7,$E172*$I172/12*0,IF($J172=8,$E172*$I172/12*1,IF($J172=9,$E172*$I172/12*2,IF($J172&gt;=10,$E172*$I172/12*3,0))))))</f>
        <v>0</v>
      </c>
      <c r="DK172" s="1806">
        <f t="shared" ref="DK172" si="2243">IF($H172&lt;&gt;DL$5,0,IF(DL172&gt;0,IF(OR($J172=1,$J172=2,$J172=3,$J172=4,$J172=5,$J172=6,$J172=7,$J172=8,$J172=9,$J172=10),$E172*$I172/12*3,IF($J172=11,$E172*$I172/12*2,IF($J172=12,$E172*$I172/12*1,0)))))+IF(DG$5&lt;&gt;$H172,0,IF(DG172&gt;0,IF($J172=10,$E172*$I172/12*0,IF($J172=11,$E172*$I172/12*1,IF($J172=12,$E172*$I172/12*2,0)))))</f>
        <v>0</v>
      </c>
      <c r="DL172" s="1791">
        <f t="shared" ref="DL172" si="2244">IF(AND(DG172&lt;&gt;0,DG$5=$H172),$I172*$E172-DG172,IF(DL$5=$H172,$I172*$E172*(12-$J172+1)/12,0))</f>
        <v>0</v>
      </c>
      <c r="DM172" s="1808">
        <f t="shared" ref="DM172" si="2245">IF($H172&lt;&gt;DQ$5,0,IF(DQ172&gt;0,IF($J172=1,$E172*$I172/12*3,IF($J172=2,$E172*$I172/12*2,IF($J172=3,$E172*$I172/12*1,0)))))+IF(DL$5&lt;&gt;$H172,0,IF(DL172&gt;0,IF($J172=1,$E172*$I172/12*0,IF($J172=2,$E172*$I172/12*1,IF($J172=3,$E172*$I172/12*2,IF($J172&gt;=4,$E172*$I172/12*3,0))))))</f>
        <v>0</v>
      </c>
      <c r="DN172" s="1807">
        <f t="shared" ref="DN172" si="2246">IF($H172&lt;&gt;DQ$5,0,IF(DQ172&gt;0,IF(OR($J172=1,$J172=2,$J172=3,$J172=4),$E172*$I172/12*3,IF($J172=5,$E172*$I172/12*2,IF($J172=6,$E172*$I172/12*1,0)))))+IF(DL$5&lt;&gt;$H172,0,IF(DL172&gt;0,IF($J172=4,$E172*$I172/12*0,IF($J172=5,$E172*$I172/12*1,IF($J172=6,$E172*$I172/12*2,IF($J172&gt;=7,$E172*$I172/12*3,0))))))</f>
        <v>0</v>
      </c>
      <c r="DO172" s="1807">
        <f t="shared" ref="DO172" si="2247">IF($H172&lt;&gt;DQ$5,0,IF(DQ172&gt;0,IF(OR($J172=1,$J172=2,$J172=3,$J172=4,$J172=5,$J172=6,$J172=7),$E172*$I172/12*3,IF($J172=8,$E172*$I172/12*2,IF($J172=9,$E172*$I172/12*1,0)))))+IF(DL$5&lt;&gt;$H172,0,IF(DL172&gt;0,IF($J172=7,$E172*$I172/12*0,IF($J172=8,$E172*$I172/12*1,IF($J172=9,$E172*$I172/12*2,IF($J172&gt;=10,$E172*$I172/12*3,0))))))</f>
        <v>0</v>
      </c>
      <c r="DP172" s="1806">
        <f t="shared" ref="DP172" si="2248">IF($H172&lt;&gt;DQ$5,0,IF(DQ172&gt;0,IF(OR($J172=1,$J172=2,$J172=3,$J172=4,$J172=5,$J172=6,$J172=7,$J172=8,$J172=9,$J172=10),$E172*$I172/12*3,IF($J172=11,$E172*$I172/12*2,IF($J172=12,$E172*$I172/12*1,0)))))+IF(DL$5&lt;&gt;$H172,0,IF(DL172&gt;0,IF($J172=10,$E172*$I172/12*0,IF($J172=11,$E172*$I172/12*1,IF($J172=12,$E172*$I172/12*2,0)))))</f>
        <v>0</v>
      </c>
      <c r="DQ172" s="1791">
        <f t="shared" ref="DQ172" si="2249">IF(AND(DL172&lt;&gt;0,DL$5=$H172),$I172*$E172-DL172,IF(DQ$5=$H172,$I172*$E172*(12-$J172+1)/12,0))</f>
        <v>0</v>
      </c>
      <c r="DR172" s="1808">
        <f t="shared" ref="DR172" si="2250">IF($H172&lt;&gt;DV$5,0,IF(DV172&gt;0,IF($J172=1,$E172*$I172/12*3,IF($J172=2,$E172*$I172/12*2,IF($J172=3,$E172*$I172/12*1,0)))))+IF(DQ$5&lt;&gt;$H172,0,IF(DQ172&gt;0,IF($J172=1,$E172*$I172/12*0,IF($J172=2,$E172*$I172/12*1,IF($J172=3,$E172*$I172/12*2,IF($J172&gt;=4,$E172*$I172/12*3,0))))))</f>
        <v>0</v>
      </c>
      <c r="DS172" s="1807">
        <f t="shared" ref="DS172" si="2251">IF($H172&lt;&gt;DV$5,0,IF(DV172&gt;0,IF(OR($J172=1,$J172=2,$J172=3,$J172=4),$E172*$I172/12*3,IF($J172=5,$E172*$I172/12*2,IF($J172=6,$E172*$I172/12*1,0)))))+IF(DQ$5&lt;&gt;$H172,0,IF(DQ172&gt;0,IF($J172=4,$E172*$I172/12*0,IF($J172=5,$E172*$I172/12*1,IF($J172=6,$E172*$I172/12*2,IF($J172&gt;=7,$E172*$I172/12*3,0))))))</f>
        <v>0</v>
      </c>
      <c r="DT172" s="1807">
        <f t="shared" ref="DT172" si="2252">IF($H172&lt;&gt;DV$5,0,IF(DV172&gt;0,IF(OR($J172=1,$J172=2,$J172=3,$J172=4,$J172=5,$J172=6,$J172=7),$E172*$I172/12*3,IF($J172=8,$E172*$I172/12*2,IF($J172=9,$E172*$I172/12*1,0)))))+IF(DQ$5&lt;&gt;$H172,0,IF(DQ172&gt;0,IF($J172=7,$E172*$I172/12*0,IF($J172=8,$E172*$I172/12*1,IF($J172=9,$E172*$I172/12*2,IF($J172&gt;=10,$E172*$I172/12*3,0))))))</f>
        <v>0</v>
      </c>
      <c r="DU172" s="1806">
        <f t="shared" ref="DU172" si="2253">IF($H172&lt;&gt;DV$5,0,IF(DV172&gt;0,IF(OR($J172=1,$J172=2,$J172=3,$J172=4,$J172=5,$J172=6,$J172=7,$J172=8,$J172=9,$J172=10),$E172*$I172/12*3,IF($J172=11,$E172*$I172/12*2,IF($J172=12,$E172*$I172/12*1,0)))))+IF(DQ$5&lt;&gt;$H172,0,IF(DQ172&gt;0,IF($J172=10,$E172*$I172/12*0,IF($J172=11,$E172*$I172/12*1,IF($J172=12,$E172*$I172/12*2,0)))))</f>
        <v>0</v>
      </c>
      <c r="DV172" s="1791">
        <f t="shared" ref="DV172" si="2254">IF(AND(DQ172&lt;&gt;0,DQ$5=$H172),$I172*$E172-DQ172,IF(DV$5=$H172,$I172*$E172*(12-$J172+1)/12,0))</f>
        <v>0</v>
      </c>
    </row>
    <row r="173" spans="1:126">
      <c r="A173" s="455"/>
      <c r="B173" s="455"/>
      <c r="C173" s="1929" t="s">
        <v>1025</v>
      </c>
      <c r="D173" s="94"/>
      <c r="E173" s="1435">
        <v>220</v>
      </c>
      <c r="F173" s="1435"/>
      <c r="G173" s="1435"/>
      <c r="H173" s="1350">
        <v>2017</v>
      </c>
      <c r="I173" s="1337">
        <v>3.5000000000000003E-2</v>
      </c>
      <c r="J173" s="1343">
        <v>3</v>
      </c>
      <c r="K173" s="1792"/>
      <c r="L173" s="1810"/>
      <c r="M173" s="1791"/>
      <c r="N173" s="1808"/>
      <c r="O173" s="1807"/>
      <c r="P173" s="1807"/>
      <c r="Q173" s="1806"/>
      <c r="R173" s="1791">
        <f t="shared" si="2147"/>
        <v>0</v>
      </c>
      <c r="S173" s="1808">
        <f t="shared" ref="S173" si="2255">IF(W173=0,0,IF(W173&gt;0,IF($J173=3,W173,IF($J173=2,W173,IF($J173=1,W173,0)))))</f>
        <v>0</v>
      </c>
      <c r="T173" s="1807">
        <f t="shared" ref="T173" si="2256">IF(W173=0,0,IF(W173&gt;0,IF($J173=6,W173,IF($J173=5,W173,IF($J173=4,W173,0)))))</f>
        <v>0</v>
      </c>
      <c r="U173" s="1807">
        <f t="shared" ref="U173" si="2257">IF(W173=0,0,IF(W173&gt;0,IF($J173=9,W173,IF($J173=8,W173,IF($J173=7,W173,0)))))</f>
        <v>0</v>
      </c>
      <c r="V173" s="1806">
        <f t="shared" ref="V173" si="2258">IF(W173=0,0,IF(W173&gt;0,IF($J173=12,W173,IF($J173=11,W173,IF($J173=10,W173,0)))))</f>
        <v>0</v>
      </c>
      <c r="W173" s="1791">
        <f t="shared" si="2152"/>
        <v>0</v>
      </c>
      <c r="X173" s="1808">
        <f t="shared" ref="X173" si="2259">IF(AB173=0,0,IF(AB173&gt;0,IF($J173=3,AB173,IF($J173=2,AB173,IF($J173=1,AB173,0)))))</f>
        <v>0</v>
      </c>
      <c r="Y173" s="1807">
        <f t="shared" ref="Y173" si="2260">IF(AB173=0,0,IF(AB173&gt;0,IF($J173=6,AB173,IF($J173=5,AB173,IF($J173=4,AB173,0)))))</f>
        <v>0</v>
      </c>
      <c r="Z173" s="1807">
        <f t="shared" ref="Z173" si="2261">IF(AB173=0,0,IF(AB173&gt;0,IF($J173=9,AB173,IF($J173=8,AB173,IF($J173=7,AB173,0)))))</f>
        <v>0</v>
      </c>
      <c r="AA173" s="1806">
        <f t="shared" ref="AA173" si="2262">IF(AB173=0,0,IF(AB173&gt;0,IF($J173=12,AB173,IF($J173=11,AB173,IF($J173=10,AB173,0)))))</f>
        <v>0</v>
      </c>
      <c r="AB173" s="1791">
        <f t="shared" si="2157"/>
        <v>0</v>
      </c>
      <c r="AC173" s="1808">
        <f t="shared" ref="AC173" si="2263">IF(AG173=0,0,IF(AG173&gt;0,IF($J173=3,AG173,IF($J173=2,AG173,IF($J173=1,AG173,0)))))</f>
        <v>0</v>
      </c>
      <c r="AD173" s="1807">
        <f t="shared" ref="AD173" si="2264">IF(AG173=0,0,IF(AG173&gt;0,IF($J173=6,AG173,IF($J173=5,AG173,IF($J173=4,AG173,0)))))</f>
        <v>0</v>
      </c>
      <c r="AE173" s="1807">
        <f t="shared" ref="AE173" si="2265">IF(AG173=0,0,IF(AG173&gt;0,IF($J173=9,AG173,IF($J173=8,AG173,IF($J173=7,AG173,0)))))</f>
        <v>0</v>
      </c>
      <c r="AF173" s="1806">
        <f t="shared" ref="AF173" si="2266">IF(AG173=0,0,IF(AG173&gt;0,IF($J173=12,AG173,IF($J173=11,AG173,IF($J173=10,AG173,0)))))</f>
        <v>0</v>
      </c>
      <c r="AG173" s="1791">
        <f t="shared" si="2162"/>
        <v>0</v>
      </c>
      <c r="AH173" s="1808">
        <f t="shared" ref="AH173" si="2267">IF(AL173=0,0,IF(AL173&gt;0,IF($J173=3,AL173,IF($J173=2,AL173,IF($J173=1,AL173,0)))))</f>
        <v>0</v>
      </c>
      <c r="AI173" s="1807">
        <f t="shared" ref="AI173" si="2268">IF(AL173=0,0,IF(AL173&gt;0,IF($J173=6,AL173,IF($J173=5,AL173,IF($J173=4,AL173,0)))))</f>
        <v>0</v>
      </c>
      <c r="AJ173" s="1807">
        <f t="shared" ref="AJ173" si="2269">IF(AL173=0,0,IF(AL173&gt;0,IF($J173=9,AL173,IF($J173=8,AL173,IF($J173=7,AL173,0)))))</f>
        <v>0</v>
      </c>
      <c r="AK173" s="1806">
        <f t="shared" ref="AK173" si="2270">IF(AL173=0,0,IF(AL173&gt;0,IF($J173=12,AL173,IF($J173=11,AL173,IF($J173=10,AL173,0)))))</f>
        <v>0</v>
      </c>
      <c r="AL173" s="1791">
        <f t="shared" si="2167"/>
        <v>0</v>
      </c>
      <c r="AM173" s="1808">
        <f t="shared" ref="AM173" si="2271">IF(AQ173=0,0,IF(AQ173&gt;0,IF($J173=3,AQ173,IF($J173=2,AQ173,IF($J173=1,AQ173,0)))))</f>
        <v>0</v>
      </c>
      <c r="AN173" s="1807">
        <f t="shared" ref="AN173" si="2272">IF(AQ173=0,0,IF(AQ173&gt;0,IF($J173=6,AQ173,IF($J173=5,AQ173,IF($J173=4,AQ173,0)))))</f>
        <v>0</v>
      </c>
      <c r="AO173" s="1807">
        <f t="shared" ref="AO173" si="2273">IF(AQ173=0,0,IF(AQ173&gt;0,IF($J173=9,AQ173,IF($J173=8,AQ173,IF($J173=7,AQ173,0)))))</f>
        <v>0</v>
      </c>
      <c r="AP173" s="1806">
        <f t="shared" ref="AP173" si="2274">IF(AQ173=0,0,IF(AQ173&gt;0,IF($J173=12,AQ173,IF($J173=11,AQ173,IF($J173=10,AQ173,0)))))</f>
        <v>0</v>
      </c>
      <c r="AQ173" s="1791">
        <f t="shared" si="2172"/>
        <v>0</v>
      </c>
      <c r="AR173" s="1808">
        <f t="shared" ref="AR173" si="2275">IF(AV173=0,0,IF(AV173&gt;0,IF($J173=3,AV173,IF($J173=2,AV173,IF($J173=1,AV173,0)))))</f>
        <v>220</v>
      </c>
      <c r="AS173" s="1807">
        <f t="shared" ref="AS173" si="2276">IF(AV173=0,0,IF(AV173&gt;0,IF($J173=6,AV173,IF($J173=5,AV173,IF($J173=4,AV173,0)))))</f>
        <v>0</v>
      </c>
      <c r="AT173" s="1807">
        <f t="shared" ref="AT173" si="2277">IF(AV173=0,0,IF(AV173&gt;0,IF($J173=9,AV173,IF($J173=8,AV173,IF($J173=7,AV173,0)))))</f>
        <v>0</v>
      </c>
      <c r="AU173" s="1806">
        <f t="shared" ref="AU173" si="2278">IF(AV173=0,0,IF(AV173&gt;0,IF($J173=12,AV173,IF($J173=11,AV173,IF($J173=10,AV173,0)))))</f>
        <v>0</v>
      </c>
      <c r="AV173" s="1791">
        <f t="shared" si="2177"/>
        <v>220</v>
      </c>
      <c r="AW173" s="1808">
        <f t="shared" ref="AW173" si="2279">IF(BA173=0,0,IF(BA173&gt;0,IF($J173=3,BA173,IF($J173=2,BA173,IF($J173=1,BA173,0)))))</f>
        <v>0</v>
      </c>
      <c r="AX173" s="1807">
        <f t="shared" ref="AX173" si="2280">IF(BA173=0,0,IF(BA173&gt;0,IF($J173=6,BA173,IF($J173=5,BA173,IF($J173=4,BA173,0)))))</f>
        <v>0</v>
      </c>
      <c r="AY173" s="1807">
        <f t="shared" ref="AY173" si="2281">IF(BA173=0,0,IF(BA173&gt;0,IF($J173=9,BA173,IF($J173=8,BA173,IF($J173=7,BA173,0)))))</f>
        <v>0</v>
      </c>
      <c r="AZ173" s="1806">
        <f t="shared" ref="AZ173" si="2282">IF(BA173=0,0,IF(BA173&gt;0,IF($J173=12,BA173,IF($J173=11,BA173,IF($J173=10,BA173,0)))))</f>
        <v>0</v>
      </c>
      <c r="BA173" s="1791">
        <f t="shared" si="2182"/>
        <v>0</v>
      </c>
      <c r="BB173" s="1808">
        <f t="shared" ref="BB173" si="2283">IF(BF173=0,0,IF(BF173&gt;0,IF($J173=3,BF173,IF($J173=2,BF173,IF($J173=1,BF173,0)))))</f>
        <v>0</v>
      </c>
      <c r="BC173" s="1807">
        <f t="shared" ref="BC173" si="2284">IF(BF173=0,0,IF(BF173&gt;0,IF($J173=6,BF173,IF($J173=5,BF173,IF($J173=4,BF173,0)))))</f>
        <v>0</v>
      </c>
      <c r="BD173" s="1807">
        <f t="shared" ref="BD173" si="2285">IF(BF173=0,0,IF(BF173&gt;0,IF($J173=9,BF173,IF($J173=8,BF173,IF($J173=7,BF173,0)))))</f>
        <v>0</v>
      </c>
      <c r="BE173" s="1806">
        <f t="shared" ref="BE173" si="2286">IF(BF173=0,0,IF(BF173&gt;0,IF($J173=12,BF173,IF($J173=11,BF173,IF($J173=10,BF173,0)))))</f>
        <v>0</v>
      </c>
      <c r="BF173" s="1791">
        <f t="shared" si="2187"/>
        <v>0</v>
      </c>
      <c r="BG173" s="1808">
        <f t="shared" ref="BG173" si="2287">IF(BK173=0,0,IF(BK173&gt;0,IF($J173=3,BK173,IF($J173=2,BK173,IF($J173=1,BK173,0)))))</f>
        <v>0</v>
      </c>
      <c r="BH173" s="1807">
        <f t="shared" ref="BH173" si="2288">IF(BK173=0,0,IF(BK173&gt;0,IF($J173=6,BK173,IF($J173=5,BK173,IF($J173=4,BK173,0)))))</f>
        <v>0</v>
      </c>
      <c r="BI173" s="1807">
        <f t="shared" ref="BI173" si="2289">IF(BK173=0,0,IF(BK173&gt;0,IF($J173=9,BK173,IF($J173=8,BK173,IF($J173=7,BK173,0)))))</f>
        <v>0</v>
      </c>
      <c r="BJ173" s="1806">
        <f t="shared" ref="BJ173" si="2290">IF(BK173=0,0,IF(BK173&gt;0,IF($J173=12,BK173,IF($J173=11,BK173,IF($J173=10,BK173,0)))))</f>
        <v>0</v>
      </c>
      <c r="BK173" s="1791">
        <f t="shared" si="2192"/>
        <v>0</v>
      </c>
      <c r="BL173" s="1808">
        <f t="shared" ref="BL173" si="2291">IF(BP173=0,0,IF(BP173&gt;0,IF($J173=3,BP173,IF($J173=2,BP173,IF($J173=1,BP173,0)))))</f>
        <v>0</v>
      </c>
      <c r="BM173" s="1807">
        <f t="shared" ref="BM173" si="2292">IF(BP173=0,0,IF(BP173&gt;0,IF($J173=6,BP173,IF($J173=5,BP173,IF($J173=4,BP173,0)))))</f>
        <v>0</v>
      </c>
      <c r="BN173" s="1807">
        <f t="shared" ref="BN173" si="2293">IF(BP173=0,0,IF(BP173&gt;0,IF($J173=9,BP173,IF($J173=8,BP173,IF($J173=7,BP173,0)))))</f>
        <v>0</v>
      </c>
      <c r="BO173" s="1806">
        <f t="shared" ref="BO173" si="2294">IF(BP173=0,0,IF(BP173&gt;0,IF($J173=12,BP173,IF($J173=11,BP173,IF($J173=10,BP173,0)))))</f>
        <v>0</v>
      </c>
      <c r="BP173" s="1791">
        <f t="shared" si="2197"/>
        <v>0</v>
      </c>
      <c r="BQ173" s="1809"/>
      <c r="BR173" s="1791">
        <f t="shared" ref="BR173" si="2295">IF(AND(BQ173&lt;&gt;0,BQ$5=$H173),$I173*$E173-BQ173,IF(BR$5=$H173,$I173*$E173*(12-$J173+1)/12,0))</f>
        <v>0</v>
      </c>
      <c r="BS173" s="1791">
        <f t="shared" ref="BS173" si="2296">IF(AND(BR173&lt;&gt;0,BR$5=$H173),$I173*$E173-BR173,IF(BS$5=$H173,$I173*$E173*(12-$J173+1)/12,0))</f>
        <v>0</v>
      </c>
      <c r="BT173" s="1808">
        <f t="shared" ref="BT173" si="2297">IF($H173&lt;&gt;BX$5,0,IF(BX173&gt;0,IF($J173=1,$E173*$I173/12*3,IF($J173=2,$E173*$I173/12*2,IF($J173=3,$E173*$I173/12*1,0)))))+IF(BS$5&lt;&gt;$H173,0,IF(BS173&gt;0,IF($J173=1,$E173*$I173/12*0,IF($J173=2,$E173*$I173/12*1,IF($J173=3,$E173*$I173/12*2,IF($J173&gt;=4,$E173*$I173/12*3,0))))))</f>
        <v>0</v>
      </c>
      <c r="BU173" s="1807">
        <f t="shared" ref="BU173" si="2298">IF($H173&lt;&gt;BX$5,0,IF(BX173&gt;0,IF(OR($J173=1,$J173=2,$J173=3,$J173=4),$E173*$I173/12*3,IF($J173=5,$E173*$I173/12*2,IF($J173=6,$E173*$I173/12*1,0)))))+IF(BS$5&lt;&gt;$H173,0,IF(BS173&gt;0,IF($J173=4,$E173*$I173/12*0,IF($J173=5,$E173*$I173/12*1,IF($J173=6,$E173*$I173/12*2,IF($J173&gt;=7,$E173*$I173/12*3,0))))))</f>
        <v>0</v>
      </c>
      <c r="BV173" s="1807">
        <f t="shared" ref="BV173" si="2299">IF($H173&lt;&gt;BX$5,0,IF(BX173&gt;0,IF(OR($J173=1,$J173=2,$J173=3,$J173=4,$J173=5,$J173=6,$J173=7),$E173*$I173/12*3,IF($J173=8,$E173*$I173/12*2,IF($J173=9,$E173*$I173/12*1,0)))))+IF(BS$5&lt;&gt;$H173,0,IF(BS173&gt;0,IF($J173=7,$E173*$I173/12*0,IF($J173=8,$E173*$I173/12*1,IF($J173=9,$E173*$I173/12*2,IF($J173&gt;=10,$E173*$I173/12*3,0))))))</f>
        <v>0</v>
      </c>
      <c r="BW173" s="1806">
        <f t="shared" ref="BW173" si="2300">IF($H173&lt;&gt;BX$5,0,IF(BX173&gt;0,IF(OR($J173=1,$J173=2,$J173=3,$J173=4,$J173=5,$J173=6,$J173=7,$J173=8,$J173=9,$J173=10),$E173*$I173/12*3,IF($J173=11,$E173*$I173/12*2,IF($J173=12,$E173*$I173/12*1,0)))))+IF(BS$5&lt;&gt;$H173,0,IF(BS173&gt;0,IF($J173=10,$E173*$I173/12*0,IF($J173=11,$E173*$I173/12*1,IF($J173=12,$E173*$I173/12*2,0)))))</f>
        <v>0</v>
      </c>
      <c r="BX173" s="1791">
        <f t="shared" ref="BX173" si="2301">IF(AND(BS173&lt;&gt;0,BS$5=$H173),$I173*$E173-BS173,IF(BX$5=$H173,$I173*$E173*(12-$J173+1)/12,0))</f>
        <v>0</v>
      </c>
      <c r="BY173" s="1808">
        <f t="shared" ref="BY173" si="2302">IF($H173&lt;&gt;CC$5,0,IF(CC173&gt;0,IF($J173=1,$E173*$I173/12*3,IF($J173=2,$E173*$I173/12*2,IF($J173=3,$E173*$I173/12*1,0)))))+IF(BX$5&lt;&gt;$H173,0,IF(BX173&gt;0,IF($J173=1,$E173*$I173/12*0,IF($J173=2,$E173*$I173/12*1,IF($J173=3,$E173*$I173/12*2,IF($J173&gt;=4,$E173*$I173/12*3,0))))))</f>
        <v>0</v>
      </c>
      <c r="BZ173" s="1807">
        <f t="shared" ref="BZ173" si="2303">IF($H173&lt;&gt;CC$5,0,IF(CC173&gt;0,IF(OR($J173=1,$J173=2,$J173=3,$J173=4),$E173*$I173/12*3,IF($J173=5,$E173*$I173/12*2,IF($J173=6,$E173*$I173/12*1,0)))))+IF(BX$5&lt;&gt;$H173,0,IF(BX173&gt;0,IF($J173=4,$E173*$I173/12*0,IF($J173=5,$E173*$I173/12*1,IF($J173=6,$E173*$I173/12*2,IF($J173&gt;=7,$E173*$I173/12*3,0))))))</f>
        <v>0</v>
      </c>
      <c r="CA173" s="1807">
        <f t="shared" ref="CA173" si="2304">IF($H173&lt;&gt;CC$5,0,IF(CC173&gt;0,IF(OR($J173=1,$J173=2,$J173=3,$J173=4,$J173=5,$J173=6,$J173=7),$E173*$I173/12*3,IF($J173=8,$E173*$I173/12*2,IF($J173=9,$E173*$I173/12*1,0)))))+IF(BX$5&lt;&gt;$H173,0,IF(BX173&gt;0,IF($J173=7,$E173*$I173/12*0,IF($J173=8,$E173*$I173/12*1,IF($J173=9,$E173*$I173/12*2,IF($J173&gt;=10,$E173*$I173/12*3,0))))))</f>
        <v>0</v>
      </c>
      <c r="CB173" s="1806">
        <f t="shared" ref="CB173" si="2305">IF($H173&lt;&gt;CC$5,0,IF(CC173&gt;0,IF(OR($J173=1,$J173=2,$J173=3,$J173=4,$J173=5,$J173=6,$J173=7,$J173=8,$J173=9,$J173=10),$E173*$I173/12*3,IF($J173=11,$E173*$I173/12*2,IF($J173=12,$E173*$I173/12*1,0)))))+IF(BX$5&lt;&gt;$H173,0,IF(BX173&gt;0,IF($J173=10,$E173*$I173/12*0,IF($J173=11,$E173*$I173/12*1,IF($J173=12,$E173*$I173/12*2,0)))))</f>
        <v>0</v>
      </c>
      <c r="CC173" s="1791">
        <f t="shared" ref="CC173" si="2306">IF(AND(BX173&lt;&gt;0,BX$5=$H173),$I173*$E173-BX173,IF(CC$5=$H173,$I173*$E173*(12-$J173+1)/12,0))</f>
        <v>0</v>
      </c>
      <c r="CD173" s="1808">
        <f t="shared" ref="CD173" si="2307">IF($H173&lt;&gt;CH$5,0,IF(CH173&gt;0,IF($J173=1,$E173*$I173/12*3,IF($J173=2,$E173*$I173/12*2,IF($J173=3,$E173*$I173/12*1,0)))))+IF(CC$5&lt;&gt;$H173,0,IF(CC173&gt;0,IF($J173=1,$E173*$I173/12*0,IF($J173=2,$E173*$I173/12*1,IF($J173=3,$E173*$I173/12*2,IF($J173&gt;=4,$E173*$I173/12*3,0))))))</f>
        <v>0</v>
      </c>
      <c r="CE173" s="1807">
        <f t="shared" ref="CE173" si="2308">IF($H173&lt;&gt;CH$5,0,IF(CH173&gt;0,IF(OR($J173=1,$J173=2,$J173=3,$J173=4),$E173*$I173/12*3,IF($J173=5,$E173*$I173/12*2,IF($J173=6,$E173*$I173/12*1,0)))))+IF(CC$5&lt;&gt;$H173,0,IF(CC173&gt;0,IF($J173=4,$E173*$I173/12*0,IF($J173=5,$E173*$I173/12*1,IF($J173=6,$E173*$I173/12*2,IF($J173&gt;=7,$E173*$I173/12*3,0))))))</f>
        <v>0</v>
      </c>
      <c r="CF173" s="1807">
        <f t="shared" ref="CF173" si="2309">IF($H173&lt;&gt;CH$5,0,IF(CH173&gt;0,IF(OR($J173=1,$J173=2,$J173=3,$J173=4,$J173=5,$J173=6,$J173=7),$E173*$I173/12*3,IF($J173=8,$E173*$I173/12*2,IF($J173=9,$E173*$I173/12*1,0)))))+IF(CC$5&lt;&gt;$H173,0,IF(CC173&gt;0,IF($J173=7,$E173*$I173/12*0,IF($J173=8,$E173*$I173/12*1,IF($J173=9,$E173*$I173/12*2,IF($J173&gt;=10,$E173*$I173/12*3,0))))))</f>
        <v>0</v>
      </c>
      <c r="CG173" s="1806">
        <f t="shared" ref="CG173" si="2310">IF($H173&lt;&gt;CH$5,0,IF(CH173&gt;0,IF(OR($J173=1,$J173=2,$J173=3,$J173=4,$J173=5,$J173=6,$J173=7,$J173=8,$J173=9,$J173=10),$E173*$I173/12*3,IF($J173=11,$E173*$I173/12*2,IF($J173=12,$E173*$I173/12*1,0)))))+IF(CC$5&lt;&gt;$H173,0,IF(CC173&gt;0,IF($J173=10,$E173*$I173/12*0,IF($J173=11,$E173*$I173/12*1,IF($J173=12,$E173*$I173/12*2,0)))))</f>
        <v>0</v>
      </c>
      <c r="CH173" s="1791">
        <f t="shared" ref="CH173" si="2311">IF(AND(CC173&lt;&gt;0,CC$5=$H173),$I173*$E173-CC173,IF(CH$5=$H173,$I173*$E173*(12-$J173+1)/12,0))</f>
        <v>0</v>
      </c>
      <c r="CI173" s="1808">
        <f t="shared" ref="CI173" si="2312">IF($H173&lt;&gt;CM$5,0,IF(CM173&gt;0,IF($J173=1,$E173*$I173/12*3,IF($J173=2,$E173*$I173/12*2,IF($J173=3,$E173*$I173/12*1,0)))))+IF(CH$5&lt;&gt;$H173,0,IF(CH173&gt;0,IF($J173=1,$E173*$I173/12*0,IF($J173=2,$E173*$I173/12*1,IF($J173=3,$E173*$I173/12*2,IF($J173&gt;=4,$E173*$I173/12*3,0))))))</f>
        <v>0</v>
      </c>
      <c r="CJ173" s="1807">
        <f t="shared" ref="CJ173" si="2313">IF($H173&lt;&gt;CM$5,0,IF(CM173&gt;0,IF(OR($J173=1,$J173=2,$J173=3,$J173=4),$E173*$I173/12*3,IF($J173=5,$E173*$I173/12*2,IF($J173=6,$E173*$I173/12*1,0)))))+IF(CH$5&lt;&gt;$H173,0,IF(CH173&gt;0,IF($J173=4,$E173*$I173/12*0,IF($J173=5,$E173*$I173/12*1,IF($J173=6,$E173*$I173/12*2,IF($J173&gt;=7,$E173*$I173/12*3,0))))))</f>
        <v>0</v>
      </c>
      <c r="CK173" s="1807">
        <f t="shared" ref="CK173" si="2314">IF($H173&lt;&gt;CM$5,0,IF(CM173&gt;0,IF(OR($J173=1,$J173=2,$J173=3,$J173=4,$J173=5,$J173=6,$J173=7),$E173*$I173/12*3,IF($J173=8,$E173*$I173/12*2,IF($J173=9,$E173*$I173/12*1,0)))))+IF(CH$5&lt;&gt;$H173,0,IF(CH173&gt;0,IF($J173=7,$E173*$I173/12*0,IF($J173=8,$E173*$I173/12*1,IF($J173=9,$E173*$I173/12*2,IF($J173&gt;=10,$E173*$I173/12*3,0))))))</f>
        <v>0</v>
      </c>
      <c r="CL173" s="1806">
        <f t="shared" ref="CL173" si="2315">IF($H173&lt;&gt;CM$5,0,IF(CM173&gt;0,IF(OR($J173=1,$J173=2,$J173=3,$J173=4,$J173=5,$J173=6,$J173=7,$J173=8,$J173=9,$J173=10),$E173*$I173/12*3,IF($J173=11,$E173*$I173/12*2,IF($J173=12,$E173*$I173/12*1,0)))))+IF(CH$5&lt;&gt;$H173,0,IF(CH173&gt;0,IF($J173=10,$E173*$I173/12*0,IF($J173=11,$E173*$I173/12*1,IF($J173=12,$E173*$I173/12*2,0)))))</f>
        <v>0</v>
      </c>
      <c r="CM173" s="1791">
        <f t="shared" ref="CM173" si="2316">IF(AND(CH173&lt;&gt;0,CH$5=$H173),$I173*$E173-CH173,IF(CM$5=$H173,$I173*$E173*(12-$J173+1)/12,0))</f>
        <v>0</v>
      </c>
      <c r="CN173" s="1808">
        <f t="shared" ref="CN173" si="2317">IF($H173&lt;&gt;CR$5,0,IF(CR173&gt;0,IF($J173=1,$E173*$I173/12*3,IF($J173=2,$E173*$I173/12*2,IF($J173=3,$E173*$I173/12*1,0)))))+IF(CM$5&lt;&gt;$H173,0,IF(CM173&gt;0,IF($J173=1,$E173*$I173/12*0,IF($J173=2,$E173*$I173/12*1,IF($J173=3,$E173*$I173/12*2,IF($J173&gt;=4,$E173*$I173/12*3,0))))))</f>
        <v>0</v>
      </c>
      <c r="CO173" s="1807">
        <f t="shared" ref="CO173" si="2318">IF($H173&lt;&gt;CR$5,0,IF(CR173&gt;0,IF(OR($J173=1,$J173=2,$J173=3,$J173=4),$E173*$I173/12*3,IF($J173=5,$E173*$I173/12*2,IF($J173=6,$E173*$I173/12*1,0)))))+IF(CM$5&lt;&gt;$H173,0,IF(CM173&gt;0,IF($J173=4,$E173*$I173/12*0,IF($J173=5,$E173*$I173/12*1,IF($J173=6,$E173*$I173/12*2,IF($J173&gt;=7,$E173*$I173/12*3,0))))))</f>
        <v>0</v>
      </c>
      <c r="CP173" s="1807">
        <f t="shared" ref="CP173" si="2319">IF($H173&lt;&gt;CR$5,0,IF(CR173&gt;0,IF(OR($J173=1,$J173=2,$J173=3,$J173=4,$J173=5,$J173=6,$J173=7),$E173*$I173/12*3,IF($J173=8,$E173*$I173/12*2,IF($J173=9,$E173*$I173/12*1,0)))))+IF(CM$5&lt;&gt;$H173,0,IF(CM173&gt;0,IF($J173=7,$E173*$I173/12*0,IF($J173=8,$E173*$I173/12*1,IF($J173=9,$E173*$I173/12*2,IF($J173&gt;=10,$E173*$I173/12*3,0))))))</f>
        <v>0</v>
      </c>
      <c r="CQ173" s="1806">
        <f t="shared" ref="CQ173" si="2320">IF($H173&lt;&gt;CR$5,0,IF(CR173&gt;0,IF(OR($J173=1,$J173=2,$J173=3,$J173=4,$J173=5,$J173=6,$J173=7,$J173=8,$J173=9,$J173=10),$E173*$I173/12*3,IF($J173=11,$E173*$I173/12*2,IF($J173=12,$E173*$I173/12*1,0)))))+IF(CM$5&lt;&gt;$H173,0,IF(CM173&gt;0,IF($J173=10,$E173*$I173/12*0,IF($J173=11,$E173*$I173/12*1,IF($J173=12,$E173*$I173/12*2,0)))))</f>
        <v>0</v>
      </c>
      <c r="CR173" s="1791">
        <f t="shared" ref="CR173" si="2321">IF(AND(CM173&lt;&gt;0,CM$5=$H173),$I173*$E173-CM173,IF(CR$5=$H173,$I173*$E173*(12-$J173+1)/12,0))</f>
        <v>0</v>
      </c>
      <c r="CS173" s="1808">
        <f t="shared" ref="CS173" si="2322">IF($H173&lt;&gt;CW$5,0,IF(CW173&gt;0,IF($J173=1,$E173*$I173/12*3,IF($J173=2,$E173*$I173/12*2,IF($J173=3,$E173*$I173/12*1,0)))))+IF(CR$5&lt;&gt;$H173,0,IF(CR173&gt;0,IF($J173=1,$E173*$I173/12*0,IF($J173=2,$E173*$I173/12*1,IF($J173=3,$E173*$I173/12*2,IF($J173&gt;=4,$E173*$I173/12*3,0))))))</f>
        <v>0</v>
      </c>
      <c r="CT173" s="1807">
        <f t="shared" ref="CT173" si="2323">IF($H173&lt;&gt;CW$5,0,IF(CW173&gt;0,IF(OR($J173=1,$J173=2,$J173=3,$J173=4),$E173*$I173/12*3,IF($J173=5,$E173*$I173/12*2,IF($J173=6,$E173*$I173/12*1,0)))))+IF(CR$5&lt;&gt;$H173,0,IF(CR173&gt;0,IF($J173=4,$E173*$I173/12*0,IF($J173=5,$E173*$I173/12*1,IF($J173=6,$E173*$I173/12*2,IF($J173&gt;=7,$E173*$I173/12*3,0))))))</f>
        <v>0</v>
      </c>
      <c r="CU173" s="1807">
        <f t="shared" ref="CU173" si="2324">IF($H173&lt;&gt;CW$5,0,IF(CW173&gt;0,IF(OR($J173=1,$J173=2,$J173=3,$J173=4,$J173=5,$J173=6,$J173=7),$E173*$I173/12*3,IF($J173=8,$E173*$I173/12*2,IF($J173=9,$E173*$I173/12*1,0)))))+IF(CR$5&lt;&gt;$H173,0,IF(CR173&gt;0,IF($J173=7,$E173*$I173/12*0,IF($J173=8,$E173*$I173/12*1,IF($J173=9,$E173*$I173/12*2,IF($J173&gt;=10,$E173*$I173/12*3,0))))))</f>
        <v>0</v>
      </c>
      <c r="CV173" s="1806">
        <f t="shared" ref="CV173" si="2325">IF($H173&lt;&gt;CW$5,0,IF(CW173&gt;0,IF(OR($J173=1,$J173=2,$J173=3,$J173=4,$J173=5,$J173=6,$J173=7,$J173=8,$J173=9,$J173=10),$E173*$I173/12*3,IF($J173=11,$E173*$I173/12*2,IF($J173=12,$E173*$I173/12*1,0)))))+IF(CR$5&lt;&gt;$H173,0,IF(CR173&gt;0,IF($J173=10,$E173*$I173/12*0,IF($J173=11,$E173*$I173/12*1,IF($J173=12,$E173*$I173/12*2,0)))))</f>
        <v>0</v>
      </c>
      <c r="CW173" s="1791">
        <f t="shared" ref="CW173" si="2326">IF(AND(CR173&lt;&gt;0,CR$5=$H173),$I173*$E173-CR173,IF(CW$5=$H173,$I173*$E173*(12-$J173+1)/12,0))</f>
        <v>0</v>
      </c>
      <c r="CX173" s="1808">
        <f t="shared" ref="CX173" si="2327">IF($H173&lt;&gt;DB$5,0,IF(DB173&gt;0,IF($J173=1,$E173*$I173/12*3,IF($J173=2,$E173*$I173/12*2,IF($J173=3,$E173*$I173/12*1,0)))))+IF(CW$5&lt;&gt;$H173,0,IF(CW173&gt;0,IF($J173=1,$E173*$I173/12*0,IF($J173=2,$E173*$I173/12*1,IF($J173=3,$E173*$I173/12*2,IF($J173&gt;=4,$E173*$I173/12*3,0))))))</f>
        <v>0.64166666666666672</v>
      </c>
      <c r="CY173" s="1807">
        <f t="shared" ref="CY173" si="2328">IF($H173&lt;&gt;DB$5,0,IF(DB173&gt;0,IF(OR($J173=1,$J173=2,$J173=3,$J173=4),$E173*$I173/12*3,IF($J173=5,$E173*$I173/12*2,IF($J173=6,$E173*$I173/12*1,0)))))+IF(CW$5&lt;&gt;$H173,0,IF(CW173&gt;0,IF($J173=4,$E173*$I173/12*0,IF($J173=5,$E173*$I173/12*1,IF($J173=6,$E173*$I173/12*2,IF($J173&gt;=7,$E173*$I173/12*3,0))))))</f>
        <v>1.9250000000000003</v>
      </c>
      <c r="CZ173" s="1807">
        <f t="shared" ref="CZ173" si="2329">IF($H173&lt;&gt;DB$5,0,IF(DB173&gt;0,IF(OR($J173=1,$J173=2,$J173=3,$J173=4,$J173=5,$J173=6,$J173=7),$E173*$I173/12*3,IF($J173=8,$E173*$I173/12*2,IF($J173=9,$E173*$I173/12*1,0)))))+IF(CW$5&lt;&gt;$H173,0,IF(CW173&gt;0,IF($J173=7,$E173*$I173/12*0,IF($J173=8,$E173*$I173/12*1,IF($J173=9,$E173*$I173/12*2,IF($J173&gt;=10,$E173*$I173/12*3,0))))))</f>
        <v>1.9250000000000003</v>
      </c>
      <c r="DA173" s="1806">
        <f t="shared" ref="DA173" si="2330">IF($H173&lt;&gt;DB$5,0,IF(DB173&gt;0,IF(OR($J173=1,$J173=2,$J173=3,$J173=4,$J173=5,$J173=6,$J173=7,$J173=8,$J173=9,$J173=10),$E173*$I173/12*3,IF($J173=11,$E173*$I173/12*2,IF($J173=12,$E173*$I173/12*1,0)))))+IF(CW$5&lt;&gt;$H173,0,IF(CW173&gt;0,IF($J173=10,$E173*$I173/12*0,IF($J173=11,$E173*$I173/12*1,IF($J173=12,$E173*$I173/12*2,0)))))</f>
        <v>1.9250000000000003</v>
      </c>
      <c r="DB173" s="1791">
        <f t="shared" ref="DB173" si="2331">IF(AND(CW173&lt;&gt;0,CW$5=$H173),$I173*$E173-CW173,IF(DB$5=$H173,$I173*$E173*(12-$J173+1)/12,0))</f>
        <v>6.4166666666666679</v>
      </c>
      <c r="DC173" s="1808">
        <f t="shared" ref="DC173" si="2332">IF($H173&lt;&gt;DG$5,0,IF(DG173&gt;0,IF($J173=1,$E173*$I173/12*3,IF($J173=2,$E173*$I173/12*2,IF($J173=3,$E173*$I173/12*1,0)))))+IF(DB$5&lt;&gt;$H173,0,IF(DB173&gt;0,IF($J173=1,$E173*$I173/12*0,IF($J173=2,$E173*$I173/12*1,IF($J173=3,$E173*$I173/12*2,IF($J173&gt;=4,$E173*$I173/12*3,0))))))</f>
        <v>1.2833333333333334</v>
      </c>
      <c r="DD173" s="1807">
        <f t="shared" ref="DD173" si="2333">IF($H173&lt;&gt;DG$5,0,IF(DG173&gt;0,IF(OR($J173=1,$J173=2,$J173=3,$J173=4),$E173*$I173/12*3,IF($J173=5,$E173*$I173/12*2,IF($J173=6,$E173*$I173/12*1,0)))))+IF(DB$5&lt;&gt;$H173,0,IF(DB173&gt;0,IF($J173=4,$E173*$I173/12*0,IF($J173=5,$E173*$I173/12*1,IF($J173=6,$E173*$I173/12*2,IF($J173&gt;=7,$E173*$I173/12*3,0))))))</f>
        <v>0</v>
      </c>
      <c r="DE173" s="1807">
        <f t="shared" ref="DE173" si="2334">IF($H173&lt;&gt;DG$5,0,IF(DG173&gt;0,IF(OR($J173=1,$J173=2,$J173=3,$J173=4,$J173=5,$J173=6,$J173=7),$E173*$I173/12*3,IF($J173=8,$E173*$I173/12*2,IF($J173=9,$E173*$I173/12*1,0)))))+IF(DB$5&lt;&gt;$H173,0,IF(DB173&gt;0,IF($J173=7,$E173*$I173/12*0,IF($J173=8,$E173*$I173/12*1,IF($J173=9,$E173*$I173/12*2,IF($J173&gt;=10,$E173*$I173/12*3,0))))))</f>
        <v>0</v>
      </c>
      <c r="DF173" s="1806">
        <f t="shared" ref="DF173" si="2335">IF($H173&lt;&gt;DG$5,0,IF(DG173&gt;0,IF(OR($J173=1,$J173=2,$J173=3,$J173=4,$J173=5,$J173=6,$J173=7,$J173=8,$J173=9,$J173=10),$E173*$I173/12*3,IF($J173=11,$E173*$I173/12*2,IF($J173=12,$E173*$I173/12*1,0)))))+IF(DB$5&lt;&gt;$H173,0,IF(DB173&gt;0,IF($J173=10,$E173*$I173/12*0,IF($J173=11,$E173*$I173/12*1,IF($J173=12,$E173*$I173/12*2,0)))))</f>
        <v>0</v>
      </c>
      <c r="DG173" s="1791">
        <f t="shared" ref="DG173" si="2336">IF(AND(DB173&lt;&gt;0,DB$5=$H173),$I173*$E173-DB173,IF(DG$5=$H173,$I173*$E173*(12-$J173+1)/12,0))</f>
        <v>1.2833333333333332</v>
      </c>
      <c r="DH173" s="1808">
        <f t="shared" ref="DH173" si="2337">IF($H173&lt;&gt;DL$5,0,IF(DL173&gt;0,IF($J173=1,$E173*$I173/12*3,IF($J173=2,$E173*$I173/12*2,IF($J173=3,$E173*$I173/12*1,0)))))+IF(DG$5&lt;&gt;$H173,0,IF(DG173&gt;0,IF($J173=1,$E173*$I173/12*0,IF($J173=2,$E173*$I173/12*1,IF($J173=3,$E173*$I173/12*2,IF($J173&gt;=4,$E173*$I173/12*3,0))))))</f>
        <v>0</v>
      </c>
      <c r="DI173" s="1807">
        <f t="shared" ref="DI173" si="2338">IF($H173&lt;&gt;DL$5,0,IF(DL173&gt;0,IF(OR($J173=1,$J173=2,$J173=3,$J173=4),$E173*$I173/12*3,IF($J173=5,$E173*$I173/12*2,IF($J173=6,$E173*$I173/12*1,0)))))+IF(DG$5&lt;&gt;$H173,0,IF(DG173&gt;0,IF($J173=4,$E173*$I173/12*0,IF($J173=5,$E173*$I173/12*1,IF($J173=6,$E173*$I173/12*2,IF($J173&gt;=7,$E173*$I173/12*3,0))))))</f>
        <v>0</v>
      </c>
      <c r="DJ173" s="1807">
        <f t="shared" ref="DJ173" si="2339">IF($H173&lt;&gt;DL$5,0,IF(DL173&gt;0,IF(OR($J173=1,$J173=2,$J173=3,$J173=4,$J173=5,$J173=6,$J173=7),$E173*$I173/12*3,IF($J173=8,$E173*$I173/12*2,IF($J173=9,$E173*$I173/12*1,0)))))+IF(DG$5&lt;&gt;$H173,0,IF(DG173&gt;0,IF($J173=7,$E173*$I173/12*0,IF($J173=8,$E173*$I173/12*1,IF($J173=9,$E173*$I173/12*2,IF($J173&gt;=10,$E173*$I173/12*3,0))))))</f>
        <v>0</v>
      </c>
      <c r="DK173" s="1806">
        <f t="shared" ref="DK173" si="2340">IF($H173&lt;&gt;DL$5,0,IF(DL173&gt;0,IF(OR($J173=1,$J173=2,$J173=3,$J173=4,$J173=5,$J173=6,$J173=7,$J173=8,$J173=9,$J173=10),$E173*$I173/12*3,IF($J173=11,$E173*$I173/12*2,IF($J173=12,$E173*$I173/12*1,0)))))+IF(DG$5&lt;&gt;$H173,0,IF(DG173&gt;0,IF($J173=10,$E173*$I173/12*0,IF($J173=11,$E173*$I173/12*1,IF($J173=12,$E173*$I173/12*2,0)))))</f>
        <v>0</v>
      </c>
      <c r="DL173" s="1791">
        <f t="shared" ref="DL173" si="2341">IF(AND(DG173&lt;&gt;0,DG$5=$H173),$I173*$E173-DG173,IF(DL$5=$H173,$I173*$E173*(12-$J173+1)/12,0))</f>
        <v>0</v>
      </c>
      <c r="DM173" s="1808">
        <f t="shared" ref="DM173" si="2342">IF($H173&lt;&gt;DQ$5,0,IF(DQ173&gt;0,IF($J173=1,$E173*$I173/12*3,IF($J173=2,$E173*$I173/12*2,IF($J173=3,$E173*$I173/12*1,0)))))+IF(DL$5&lt;&gt;$H173,0,IF(DL173&gt;0,IF($J173=1,$E173*$I173/12*0,IF($J173=2,$E173*$I173/12*1,IF($J173=3,$E173*$I173/12*2,IF($J173&gt;=4,$E173*$I173/12*3,0))))))</f>
        <v>0</v>
      </c>
      <c r="DN173" s="1807">
        <f t="shared" ref="DN173" si="2343">IF($H173&lt;&gt;DQ$5,0,IF(DQ173&gt;0,IF(OR($J173=1,$J173=2,$J173=3,$J173=4),$E173*$I173/12*3,IF($J173=5,$E173*$I173/12*2,IF($J173=6,$E173*$I173/12*1,0)))))+IF(DL$5&lt;&gt;$H173,0,IF(DL173&gt;0,IF($J173=4,$E173*$I173/12*0,IF($J173=5,$E173*$I173/12*1,IF($J173=6,$E173*$I173/12*2,IF($J173&gt;=7,$E173*$I173/12*3,0))))))</f>
        <v>0</v>
      </c>
      <c r="DO173" s="1807">
        <f t="shared" ref="DO173" si="2344">IF($H173&lt;&gt;DQ$5,0,IF(DQ173&gt;0,IF(OR($J173=1,$J173=2,$J173=3,$J173=4,$J173=5,$J173=6,$J173=7),$E173*$I173/12*3,IF($J173=8,$E173*$I173/12*2,IF($J173=9,$E173*$I173/12*1,0)))))+IF(DL$5&lt;&gt;$H173,0,IF(DL173&gt;0,IF($J173=7,$E173*$I173/12*0,IF($J173=8,$E173*$I173/12*1,IF($J173=9,$E173*$I173/12*2,IF($J173&gt;=10,$E173*$I173/12*3,0))))))</f>
        <v>0</v>
      </c>
      <c r="DP173" s="1806">
        <f t="shared" ref="DP173" si="2345">IF($H173&lt;&gt;DQ$5,0,IF(DQ173&gt;0,IF(OR($J173=1,$J173=2,$J173=3,$J173=4,$J173=5,$J173=6,$J173=7,$J173=8,$J173=9,$J173=10),$E173*$I173/12*3,IF($J173=11,$E173*$I173/12*2,IF($J173=12,$E173*$I173/12*1,0)))))+IF(DL$5&lt;&gt;$H173,0,IF(DL173&gt;0,IF($J173=10,$E173*$I173/12*0,IF($J173=11,$E173*$I173/12*1,IF($J173=12,$E173*$I173/12*2,0)))))</f>
        <v>0</v>
      </c>
      <c r="DQ173" s="1791">
        <f t="shared" ref="DQ173" si="2346">IF(AND(DL173&lt;&gt;0,DL$5=$H173),$I173*$E173-DL173,IF(DQ$5=$H173,$I173*$E173*(12-$J173+1)/12,0))</f>
        <v>0</v>
      </c>
      <c r="DR173" s="1808">
        <f t="shared" ref="DR173" si="2347">IF($H173&lt;&gt;DV$5,0,IF(DV173&gt;0,IF($J173=1,$E173*$I173/12*3,IF($J173=2,$E173*$I173/12*2,IF($J173=3,$E173*$I173/12*1,0)))))+IF(DQ$5&lt;&gt;$H173,0,IF(DQ173&gt;0,IF($J173=1,$E173*$I173/12*0,IF($J173=2,$E173*$I173/12*1,IF($J173=3,$E173*$I173/12*2,IF($J173&gt;=4,$E173*$I173/12*3,0))))))</f>
        <v>0</v>
      </c>
      <c r="DS173" s="1807">
        <f t="shared" ref="DS173" si="2348">IF($H173&lt;&gt;DV$5,0,IF(DV173&gt;0,IF(OR($J173=1,$J173=2,$J173=3,$J173=4),$E173*$I173/12*3,IF($J173=5,$E173*$I173/12*2,IF($J173=6,$E173*$I173/12*1,0)))))+IF(DQ$5&lt;&gt;$H173,0,IF(DQ173&gt;0,IF($J173=4,$E173*$I173/12*0,IF($J173=5,$E173*$I173/12*1,IF($J173=6,$E173*$I173/12*2,IF($J173&gt;=7,$E173*$I173/12*3,0))))))</f>
        <v>0</v>
      </c>
      <c r="DT173" s="1807">
        <f t="shared" ref="DT173" si="2349">IF($H173&lt;&gt;DV$5,0,IF(DV173&gt;0,IF(OR($J173=1,$J173=2,$J173=3,$J173=4,$J173=5,$J173=6,$J173=7),$E173*$I173/12*3,IF($J173=8,$E173*$I173/12*2,IF($J173=9,$E173*$I173/12*1,0)))))+IF(DQ$5&lt;&gt;$H173,0,IF(DQ173&gt;0,IF($J173=7,$E173*$I173/12*0,IF($J173=8,$E173*$I173/12*1,IF($J173=9,$E173*$I173/12*2,IF($J173&gt;=10,$E173*$I173/12*3,0))))))</f>
        <v>0</v>
      </c>
      <c r="DU173" s="1806">
        <f t="shared" ref="DU173" si="2350">IF($H173&lt;&gt;DV$5,0,IF(DV173&gt;0,IF(OR($J173=1,$J173=2,$J173=3,$J173=4,$J173=5,$J173=6,$J173=7,$J173=8,$J173=9,$J173=10),$E173*$I173/12*3,IF($J173=11,$E173*$I173/12*2,IF($J173=12,$E173*$I173/12*1,0)))))+IF(DQ$5&lt;&gt;$H173,0,IF(DQ173&gt;0,IF($J173=10,$E173*$I173/12*0,IF($J173=11,$E173*$I173/12*1,IF($J173=12,$E173*$I173/12*2,0)))))</f>
        <v>0</v>
      </c>
      <c r="DV173" s="1791">
        <f t="shared" ref="DV173" si="2351">IF(AND(DQ173&lt;&gt;0,DQ$5=$H173),$I173*$E173-DQ173,IF(DV$5=$H173,$I173*$E173*(12-$J173+1)/12,0))</f>
        <v>0</v>
      </c>
    </row>
    <row r="174" spans="1:126">
      <c r="A174" s="455"/>
      <c r="B174" s="455"/>
      <c r="C174" s="1929" t="s">
        <v>1039</v>
      </c>
      <c r="D174" s="94"/>
      <c r="E174" s="1435">
        <v>150</v>
      </c>
      <c r="F174" s="1435"/>
      <c r="G174" s="1435"/>
      <c r="H174" s="1350">
        <v>2017</v>
      </c>
      <c r="I174" s="1337">
        <v>3.5000000000000003E-2</v>
      </c>
      <c r="J174" s="1343">
        <v>12</v>
      </c>
      <c r="K174" s="1792"/>
      <c r="L174" s="1810"/>
      <c r="M174" s="1791"/>
      <c r="N174" s="1808"/>
      <c r="O174" s="1807"/>
      <c r="P174" s="1807"/>
      <c r="Q174" s="1806"/>
      <c r="R174" s="1791">
        <f t="shared" si="2147"/>
        <v>0</v>
      </c>
      <c r="S174" s="1808">
        <f t="shared" ref="S174" si="2352">IF(W174=0,0,IF(W174&gt;0,IF($J174=3,W174,IF($J174=2,W174,IF($J174=1,W174,0)))))</f>
        <v>0</v>
      </c>
      <c r="T174" s="1807">
        <f t="shared" ref="T174" si="2353">IF(W174=0,0,IF(W174&gt;0,IF($J174=6,W174,IF($J174=5,W174,IF($J174=4,W174,0)))))</f>
        <v>0</v>
      </c>
      <c r="U174" s="1807">
        <f t="shared" ref="U174" si="2354">IF(W174=0,0,IF(W174&gt;0,IF($J174=9,W174,IF($J174=8,W174,IF($J174=7,W174,0)))))</f>
        <v>0</v>
      </c>
      <c r="V174" s="1806">
        <f t="shared" ref="V174" si="2355">IF(W174=0,0,IF(W174&gt;0,IF($J174=12,W174,IF($J174=11,W174,IF($J174=10,W174,0)))))</f>
        <v>0</v>
      </c>
      <c r="W174" s="1791">
        <f t="shared" si="2152"/>
        <v>0</v>
      </c>
      <c r="X174" s="1808">
        <f t="shared" ref="X174" si="2356">IF(AB174=0,0,IF(AB174&gt;0,IF($J174=3,AB174,IF($J174=2,AB174,IF($J174=1,AB174,0)))))</f>
        <v>0</v>
      </c>
      <c r="Y174" s="1807">
        <f t="shared" ref="Y174" si="2357">IF(AB174=0,0,IF(AB174&gt;0,IF($J174=6,AB174,IF($J174=5,AB174,IF($J174=4,AB174,0)))))</f>
        <v>0</v>
      </c>
      <c r="Z174" s="1807">
        <f t="shared" ref="Z174" si="2358">IF(AB174=0,0,IF(AB174&gt;0,IF($J174=9,AB174,IF($J174=8,AB174,IF($J174=7,AB174,0)))))</f>
        <v>0</v>
      </c>
      <c r="AA174" s="1806">
        <f t="shared" ref="AA174" si="2359">IF(AB174=0,0,IF(AB174&gt;0,IF($J174=12,AB174,IF($J174=11,AB174,IF($J174=10,AB174,0)))))</f>
        <v>0</v>
      </c>
      <c r="AB174" s="1791">
        <f t="shared" si="2157"/>
        <v>0</v>
      </c>
      <c r="AC174" s="1808">
        <f t="shared" ref="AC174" si="2360">IF(AG174=0,0,IF(AG174&gt;0,IF($J174=3,AG174,IF($J174=2,AG174,IF($J174=1,AG174,0)))))</f>
        <v>0</v>
      </c>
      <c r="AD174" s="1807">
        <f t="shared" ref="AD174" si="2361">IF(AG174=0,0,IF(AG174&gt;0,IF($J174=6,AG174,IF($J174=5,AG174,IF($J174=4,AG174,0)))))</f>
        <v>0</v>
      </c>
      <c r="AE174" s="1807">
        <f t="shared" ref="AE174" si="2362">IF(AG174=0,0,IF(AG174&gt;0,IF($J174=9,AG174,IF($J174=8,AG174,IF($J174=7,AG174,0)))))</f>
        <v>0</v>
      </c>
      <c r="AF174" s="1806">
        <f t="shared" ref="AF174" si="2363">IF(AG174=0,0,IF(AG174&gt;0,IF($J174=12,AG174,IF($J174=11,AG174,IF($J174=10,AG174,0)))))</f>
        <v>0</v>
      </c>
      <c r="AG174" s="1791">
        <f t="shared" si="2162"/>
        <v>0</v>
      </c>
      <c r="AH174" s="1808">
        <f t="shared" ref="AH174" si="2364">IF(AL174=0,0,IF(AL174&gt;0,IF($J174=3,AL174,IF($J174=2,AL174,IF($J174=1,AL174,0)))))</f>
        <v>0</v>
      </c>
      <c r="AI174" s="1807">
        <f t="shared" ref="AI174" si="2365">IF(AL174=0,0,IF(AL174&gt;0,IF($J174=6,AL174,IF($J174=5,AL174,IF($J174=4,AL174,0)))))</f>
        <v>0</v>
      </c>
      <c r="AJ174" s="1807">
        <f t="shared" ref="AJ174" si="2366">IF(AL174=0,0,IF(AL174&gt;0,IF($J174=9,AL174,IF($J174=8,AL174,IF($J174=7,AL174,0)))))</f>
        <v>0</v>
      </c>
      <c r="AK174" s="1806">
        <f t="shared" ref="AK174" si="2367">IF(AL174=0,0,IF(AL174&gt;0,IF($J174=12,AL174,IF($J174=11,AL174,IF($J174=10,AL174,0)))))</f>
        <v>0</v>
      </c>
      <c r="AL174" s="1791">
        <f t="shared" si="2167"/>
        <v>0</v>
      </c>
      <c r="AM174" s="1808">
        <f t="shared" ref="AM174" si="2368">IF(AQ174=0,0,IF(AQ174&gt;0,IF($J174=3,AQ174,IF($J174=2,AQ174,IF($J174=1,AQ174,0)))))</f>
        <v>0</v>
      </c>
      <c r="AN174" s="1807">
        <f t="shared" ref="AN174" si="2369">IF(AQ174=0,0,IF(AQ174&gt;0,IF($J174=6,AQ174,IF($J174=5,AQ174,IF($J174=4,AQ174,0)))))</f>
        <v>0</v>
      </c>
      <c r="AO174" s="1807">
        <f t="shared" ref="AO174" si="2370">IF(AQ174=0,0,IF(AQ174&gt;0,IF($J174=9,AQ174,IF($J174=8,AQ174,IF($J174=7,AQ174,0)))))</f>
        <v>0</v>
      </c>
      <c r="AP174" s="1806">
        <f t="shared" ref="AP174" si="2371">IF(AQ174=0,0,IF(AQ174&gt;0,IF($J174=12,AQ174,IF($J174=11,AQ174,IF($J174=10,AQ174,0)))))</f>
        <v>0</v>
      </c>
      <c r="AQ174" s="1791">
        <f t="shared" si="2172"/>
        <v>0</v>
      </c>
      <c r="AR174" s="1808">
        <f t="shared" ref="AR174" si="2372">IF(AV174=0,0,IF(AV174&gt;0,IF($J174=3,AV174,IF($J174=2,AV174,IF($J174=1,AV174,0)))))</f>
        <v>0</v>
      </c>
      <c r="AS174" s="1807">
        <f t="shared" ref="AS174" si="2373">IF(AV174=0,0,IF(AV174&gt;0,IF($J174=6,AV174,IF($J174=5,AV174,IF($J174=4,AV174,0)))))</f>
        <v>0</v>
      </c>
      <c r="AT174" s="1807">
        <f t="shared" ref="AT174" si="2374">IF(AV174=0,0,IF(AV174&gt;0,IF($J174=9,AV174,IF($J174=8,AV174,IF($J174=7,AV174,0)))))</f>
        <v>0</v>
      </c>
      <c r="AU174" s="1806">
        <f t="shared" ref="AU174" si="2375">IF(AV174=0,0,IF(AV174&gt;0,IF($J174=12,AV174,IF($J174=11,AV174,IF($J174=10,AV174,0)))))</f>
        <v>150</v>
      </c>
      <c r="AV174" s="1791">
        <f t="shared" si="2177"/>
        <v>150</v>
      </c>
      <c r="AW174" s="1808">
        <f t="shared" ref="AW174" si="2376">IF(BA174=0,0,IF(BA174&gt;0,IF($J174=3,BA174,IF($J174=2,BA174,IF($J174=1,BA174,0)))))</f>
        <v>0</v>
      </c>
      <c r="AX174" s="1807">
        <f t="shared" ref="AX174" si="2377">IF(BA174=0,0,IF(BA174&gt;0,IF($J174=6,BA174,IF($J174=5,BA174,IF($J174=4,BA174,0)))))</f>
        <v>0</v>
      </c>
      <c r="AY174" s="1807">
        <f t="shared" ref="AY174" si="2378">IF(BA174=0,0,IF(BA174&gt;0,IF($J174=9,BA174,IF($J174=8,BA174,IF($J174=7,BA174,0)))))</f>
        <v>0</v>
      </c>
      <c r="AZ174" s="1806">
        <f t="shared" ref="AZ174" si="2379">IF(BA174=0,0,IF(BA174&gt;0,IF($J174=12,BA174,IF($J174=11,BA174,IF($J174=10,BA174,0)))))</f>
        <v>0</v>
      </c>
      <c r="BA174" s="1791">
        <f t="shared" si="2182"/>
        <v>0</v>
      </c>
      <c r="BB174" s="1808">
        <f t="shared" ref="BB174" si="2380">IF(BF174=0,0,IF(BF174&gt;0,IF($J174=3,BF174,IF($J174=2,BF174,IF($J174=1,BF174,0)))))</f>
        <v>0</v>
      </c>
      <c r="BC174" s="1807">
        <f t="shared" ref="BC174" si="2381">IF(BF174=0,0,IF(BF174&gt;0,IF($J174=6,BF174,IF($J174=5,BF174,IF($J174=4,BF174,0)))))</f>
        <v>0</v>
      </c>
      <c r="BD174" s="1807">
        <f t="shared" ref="BD174" si="2382">IF(BF174=0,0,IF(BF174&gt;0,IF($J174=9,BF174,IF($J174=8,BF174,IF($J174=7,BF174,0)))))</f>
        <v>0</v>
      </c>
      <c r="BE174" s="1806">
        <f t="shared" ref="BE174" si="2383">IF(BF174=0,0,IF(BF174&gt;0,IF($J174=12,BF174,IF($J174=11,BF174,IF($J174=10,BF174,0)))))</f>
        <v>0</v>
      </c>
      <c r="BF174" s="1791">
        <f t="shared" si="2187"/>
        <v>0</v>
      </c>
      <c r="BG174" s="1808">
        <f t="shared" ref="BG174" si="2384">IF(BK174=0,0,IF(BK174&gt;0,IF($J174=3,BK174,IF($J174=2,BK174,IF($J174=1,BK174,0)))))</f>
        <v>0</v>
      </c>
      <c r="BH174" s="1807">
        <f t="shared" ref="BH174" si="2385">IF(BK174=0,0,IF(BK174&gt;0,IF($J174=6,BK174,IF($J174=5,BK174,IF($J174=4,BK174,0)))))</f>
        <v>0</v>
      </c>
      <c r="BI174" s="1807">
        <f t="shared" ref="BI174" si="2386">IF(BK174=0,0,IF(BK174&gt;0,IF($J174=9,BK174,IF($J174=8,BK174,IF($J174=7,BK174,0)))))</f>
        <v>0</v>
      </c>
      <c r="BJ174" s="1806">
        <f t="shared" ref="BJ174" si="2387">IF(BK174=0,0,IF(BK174&gt;0,IF($J174=12,BK174,IF($J174=11,BK174,IF($J174=10,BK174,0)))))</f>
        <v>0</v>
      </c>
      <c r="BK174" s="1791">
        <f t="shared" si="2192"/>
        <v>0</v>
      </c>
      <c r="BL174" s="1808">
        <f t="shared" ref="BL174" si="2388">IF(BP174=0,0,IF(BP174&gt;0,IF($J174=3,BP174,IF($J174=2,BP174,IF($J174=1,BP174,0)))))</f>
        <v>0</v>
      </c>
      <c r="BM174" s="1807">
        <f t="shared" ref="BM174" si="2389">IF(BP174=0,0,IF(BP174&gt;0,IF($J174=6,BP174,IF($J174=5,BP174,IF($J174=4,BP174,0)))))</f>
        <v>0</v>
      </c>
      <c r="BN174" s="1807">
        <f t="shared" ref="BN174" si="2390">IF(BP174=0,0,IF(BP174&gt;0,IF($J174=9,BP174,IF($J174=8,BP174,IF($J174=7,BP174,0)))))</f>
        <v>0</v>
      </c>
      <c r="BO174" s="1806">
        <f t="shared" ref="BO174" si="2391">IF(BP174=0,0,IF(BP174&gt;0,IF($J174=12,BP174,IF($J174=11,BP174,IF($J174=10,BP174,0)))))</f>
        <v>0</v>
      </c>
      <c r="BP174" s="1791">
        <f t="shared" si="2197"/>
        <v>0</v>
      </c>
      <c r="BQ174" s="1809"/>
      <c r="BR174" s="1791">
        <f t="shared" ref="BR174" si="2392">IF(AND(BQ174&lt;&gt;0,BQ$5=$H174),$I174*$E174-BQ174,IF(BR$5=$H174,$I174*$E174*(12-$J174+1)/12,0))</f>
        <v>0</v>
      </c>
      <c r="BS174" s="1791">
        <f t="shared" ref="BS174" si="2393">IF(AND(BR174&lt;&gt;0,BR$5=$H174),$I174*$E174-BR174,IF(BS$5=$H174,$I174*$E174*(12-$J174+1)/12,0))</f>
        <v>0</v>
      </c>
      <c r="BT174" s="1808">
        <f t="shared" ref="BT174" si="2394">IF($H174&lt;&gt;BX$5,0,IF(BX174&gt;0,IF($J174=1,$E174*$I174/12*3,IF($J174=2,$E174*$I174/12*2,IF($J174=3,$E174*$I174/12*1,0)))))+IF(BS$5&lt;&gt;$H174,0,IF(BS174&gt;0,IF($J174=1,$E174*$I174/12*0,IF($J174=2,$E174*$I174/12*1,IF($J174=3,$E174*$I174/12*2,IF($J174&gt;=4,$E174*$I174/12*3,0))))))</f>
        <v>0</v>
      </c>
      <c r="BU174" s="1807">
        <f t="shared" ref="BU174" si="2395">IF($H174&lt;&gt;BX$5,0,IF(BX174&gt;0,IF(OR($J174=1,$J174=2,$J174=3,$J174=4),$E174*$I174/12*3,IF($J174=5,$E174*$I174/12*2,IF($J174=6,$E174*$I174/12*1,0)))))+IF(BS$5&lt;&gt;$H174,0,IF(BS174&gt;0,IF($J174=4,$E174*$I174/12*0,IF($J174=5,$E174*$I174/12*1,IF($J174=6,$E174*$I174/12*2,IF($J174&gt;=7,$E174*$I174/12*3,0))))))</f>
        <v>0</v>
      </c>
      <c r="BV174" s="1807">
        <f t="shared" ref="BV174" si="2396">IF($H174&lt;&gt;BX$5,0,IF(BX174&gt;0,IF(OR($J174=1,$J174=2,$J174=3,$J174=4,$J174=5,$J174=6,$J174=7),$E174*$I174/12*3,IF($J174=8,$E174*$I174/12*2,IF($J174=9,$E174*$I174/12*1,0)))))+IF(BS$5&lt;&gt;$H174,0,IF(BS174&gt;0,IF($J174=7,$E174*$I174/12*0,IF($J174=8,$E174*$I174/12*1,IF($J174=9,$E174*$I174/12*2,IF($J174&gt;=10,$E174*$I174/12*3,0))))))</f>
        <v>0</v>
      </c>
      <c r="BW174" s="1806">
        <f t="shared" ref="BW174" si="2397">IF($H174&lt;&gt;BX$5,0,IF(BX174&gt;0,IF(OR($J174=1,$J174=2,$J174=3,$J174=4,$J174=5,$J174=6,$J174=7,$J174=8,$J174=9,$J174=10),$E174*$I174/12*3,IF($J174=11,$E174*$I174/12*2,IF($J174=12,$E174*$I174/12*1,0)))))+IF(BS$5&lt;&gt;$H174,0,IF(BS174&gt;0,IF($J174=10,$E174*$I174/12*0,IF($J174=11,$E174*$I174/12*1,IF($J174=12,$E174*$I174/12*2,0)))))</f>
        <v>0</v>
      </c>
      <c r="BX174" s="1791">
        <f t="shared" ref="BX174" si="2398">IF(AND(BS174&lt;&gt;0,BS$5=$H174),$I174*$E174-BS174,IF(BX$5=$H174,$I174*$E174*(12-$J174+1)/12,0))</f>
        <v>0</v>
      </c>
      <c r="BY174" s="1808">
        <f t="shared" ref="BY174" si="2399">IF($H174&lt;&gt;CC$5,0,IF(CC174&gt;0,IF($J174=1,$E174*$I174/12*3,IF($J174=2,$E174*$I174/12*2,IF($J174=3,$E174*$I174/12*1,0)))))+IF(BX$5&lt;&gt;$H174,0,IF(BX174&gt;0,IF($J174=1,$E174*$I174/12*0,IF($J174=2,$E174*$I174/12*1,IF($J174=3,$E174*$I174/12*2,IF($J174&gt;=4,$E174*$I174/12*3,0))))))</f>
        <v>0</v>
      </c>
      <c r="BZ174" s="1807">
        <f t="shared" ref="BZ174" si="2400">IF($H174&lt;&gt;CC$5,0,IF(CC174&gt;0,IF(OR($J174=1,$J174=2,$J174=3,$J174=4),$E174*$I174/12*3,IF($J174=5,$E174*$I174/12*2,IF($J174=6,$E174*$I174/12*1,0)))))+IF(BX$5&lt;&gt;$H174,0,IF(BX174&gt;0,IF($J174=4,$E174*$I174/12*0,IF($J174=5,$E174*$I174/12*1,IF($J174=6,$E174*$I174/12*2,IF($J174&gt;=7,$E174*$I174/12*3,0))))))</f>
        <v>0</v>
      </c>
      <c r="CA174" s="1807">
        <f t="shared" ref="CA174" si="2401">IF($H174&lt;&gt;CC$5,0,IF(CC174&gt;0,IF(OR($J174=1,$J174=2,$J174=3,$J174=4,$J174=5,$J174=6,$J174=7),$E174*$I174/12*3,IF($J174=8,$E174*$I174/12*2,IF($J174=9,$E174*$I174/12*1,0)))))+IF(BX$5&lt;&gt;$H174,0,IF(BX174&gt;0,IF($J174=7,$E174*$I174/12*0,IF($J174=8,$E174*$I174/12*1,IF($J174=9,$E174*$I174/12*2,IF($J174&gt;=10,$E174*$I174/12*3,0))))))</f>
        <v>0</v>
      </c>
      <c r="CB174" s="1806">
        <f t="shared" ref="CB174" si="2402">IF($H174&lt;&gt;CC$5,0,IF(CC174&gt;0,IF(OR($J174=1,$J174=2,$J174=3,$J174=4,$J174=5,$J174=6,$J174=7,$J174=8,$J174=9,$J174=10),$E174*$I174/12*3,IF($J174=11,$E174*$I174/12*2,IF($J174=12,$E174*$I174/12*1,0)))))+IF(BX$5&lt;&gt;$H174,0,IF(BX174&gt;0,IF($J174=10,$E174*$I174/12*0,IF($J174=11,$E174*$I174/12*1,IF($J174=12,$E174*$I174/12*2,0)))))</f>
        <v>0</v>
      </c>
      <c r="CC174" s="1791">
        <f t="shared" ref="CC174" si="2403">IF(AND(BX174&lt;&gt;0,BX$5=$H174),$I174*$E174-BX174,IF(CC$5=$H174,$I174*$E174*(12-$J174+1)/12,0))</f>
        <v>0</v>
      </c>
      <c r="CD174" s="1808">
        <f t="shared" ref="CD174" si="2404">IF($H174&lt;&gt;CH$5,0,IF(CH174&gt;0,IF($J174=1,$E174*$I174/12*3,IF($J174=2,$E174*$I174/12*2,IF($J174=3,$E174*$I174/12*1,0)))))+IF(CC$5&lt;&gt;$H174,0,IF(CC174&gt;0,IF($J174=1,$E174*$I174/12*0,IF($J174=2,$E174*$I174/12*1,IF($J174=3,$E174*$I174/12*2,IF($J174&gt;=4,$E174*$I174/12*3,0))))))</f>
        <v>0</v>
      </c>
      <c r="CE174" s="1807">
        <f t="shared" ref="CE174" si="2405">IF($H174&lt;&gt;CH$5,0,IF(CH174&gt;0,IF(OR($J174=1,$J174=2,$J174=3,$J174=4),$E174*$I174/12*3,IF($J174=5,$E174*$I174/12*2,IF($J174=6,$E174*$I174/12*1,0)))))+IF(CC$5&lt;&gt;$H174,0,IF(CC174&gt;0,IF($J174=4,$E174*$I174/12*0,IF($J174=5,$E174*$I174/12*1,IF($J174=6,$E174*$I174/12*2,IF($J174&gt;=7,$E174*$I174/12*3,0))))))</f>
        <v>0</v>
      </c>
      <c r="CF174" s="1807">
        <f t="shared" ref="CF174" si="2406">IF($H174&lt;&gt;CH$5,0,IF(CH174&gt;0,IF(OR($J174=1,$J174=2,$J174=3,$J174=4,$J174=5,$J174=6,$J174=7),$E174*$I174/12*3,IF($J174=8,$E174*$I174/12*2,IF($J174=9,$E174*$I174/12*1,0)))))+IF(CC$5&lt;&gt;$H174,0,IF(CC174&gt;0,IF($J174=7,$E174*$I174/12*0,IF($J174=8,$E174*$I174/12*1,IF($J174=9,$E174*$I174/12*2,IF($J174&gt;=10,$E174*$I174/12*3,0))))))</f>
        <v>0</v>
      </c>
      <c r="CG174" s="1806">
        <f t="shared" ref="CG174" si="2407">IF($H174&lt;&gt;CH$5,0,IF(CH174&gt;0,IF(OR($J174=1,$J174=2,$J174=3,$J174=4,$J174=5,$J174=6,$J174=7,$J174=8,$J174=9,$J174=10),$E174*$I174/12*3,IF($J174=11,$E174*$I174/12*2,IF($J174=12,$E174*$I174/12*1,0)))))+IF(CC$5&lt;&gt;$H174,0,IF(CC174&gt;0,IF($J174=10,$E174*$I174/12*0,IF($J174=11,$E174*$I174/12*1,IF($J174=12,$E174*$I174/12*2,0)))))</f>
        <v>0</v>
      </c>
      <c r="CH174" s="1791">
        <f t="shared" ref="CH174" si="2408">IF(AND(CC174&lt;&gt;0,CC$5=$H174),$I174*$E174-CC174,IF(CH$5=$H174,$I174*$E174*(12-$J174+1)/12,0))</f>
        <v>0</v>
      </c>
      <c r="CI174" s="1808">
        <f t="shared" ref="CI174" si="2409">IF($H174&lt;&gt;CM$5,0,IF(CM174&gt;0,IF($J174=1,$E174*$I174/12*3,IF($J174=2,$E174*$I174/12*2,IF($J174=3,$E174*$I174/12*1,0)))))+IF(CH$5&lt;&gt;$H174,0,IF(CH174&gt;0,IF($J174=1,$E174*$I174/12*0,IF($J174=2,$E174*$I174/12*1,IF($J174=3,$E174*$I174/12*2,IF($J174&gt;=4,$E174*$I174/12*3,0))))))</f>
        <v>0</v>
      </c>
      <c r="CJ174" s="1807">
        <f t="shared" ref="CJ174" si="2410">IF($H174&lt;&gt;CM$5,0,IF(CM174&gt;0,IF(OR($J174=1,$J174=2,$J174=3,$J174=4),$E174*$I174/12*3,IF($J174=5,$E174*$I174/12*2,IF($J174=6,$E174*$I174/12*1,0)))))+IF(CH$5&lt;&gt;$H174,0,IF(CH174&gt;0,IF($J174=4,$E174*$I174/12*0,IF($J174=5,$E174*$I174/12*1,IF($J174=6,$E174*$I174/12*2,IF($J174&gt;=7,$E174*$I174/12*3,0))))))</f>
        <v>0</v>
      </c>
      <c r="CK174" s="1807">
        <f t="shared" ref="CK174" si="2411">IF($H174&lt;&gt;CM$5,0,IF(CM174&gt;0,IF(OR($J174=1,$J174=2,$J174=3,$J174=4,$J174=5,$J174=6,$J174=7),$E174*$I174/12*3,IF($J174=8,$E174*$I174/12*2,IF($J174=9,$E174*$I174/12*1,0)))))+IF(CH$5&lt;&gt;$H174,0,IF(CH174&gt;0,IF($J174=7,$E174*$I174/12*0,IF($J174=8,$E174*$I174/12*1,IF($J174=9,$E174*$I174/12*2,IF($J174&gt;=10,$E174*$I174/12*3,0))))))</f>
        <v>0</v>
      </c>
      <c r="CL174" s="1806">
        <f t="shared" ref="CL174" si="2412">IF($H174&lt;&gt;CM$5,0,IF(CM174&gt;0,IF(OR($J174=1,$J174=2,$J174=3,$J174=4,$J174=5,$J174=6,$J174=7,$J174=8,$J174=9,$J174=10),$E174*$I174/12*3,IF($J174=11,$E174*$I174/12*2,IF($J174=12,$E174*$I174/12*1,0)))))+IF(CH$5&lt;&gt;$H174,0,IF(CH174&gt;0,IF($J174=10,$E174*$I174/12*0,IF($J174=11,$E174*$I174/12*1,IF($J174=12,$E174*$I174/12*2,0)))))</f>
        <v>0</v>
      </c>
      <c r="CM174" s="1791">
        <f t="shared" ref="CM174" si="2413">IF(AND(CH174&lt;&gt;0,CH$5=$H174),$I174*$E174-CH174,IF(CM$5=$H174,$I174*$E174*(12-$J174+1)/12,0))</f>
        <v>0</v>
      </c>
      <c r="CN174" s="1808">
        <f t="shared" ref="CN174" si="2414">IF($H174&lt;&gt;CR$5,0,IF(CR174&gt;0,IF($J174=1,$E174*$I174/12*3,IF($J174=2,$E174*$I174/12*2,IF($J174=3,$E174*$I174/12*1,0)))))+IF(CM$5&lt;&gt;$H174,0,IF(CM174&gt;0,IF($J174=1,$E174*$I174/12*0,IF($J174=2,$E174*$I174/12*1,IF($J174=3,$E174*$I174/12*2,IF($J174&gt;=4,$E174*$I174/12*3,0))))))</f>
        <v>0</v>
      </c>
      <c r="CO174" s="1807">
        <f t="shared" ref="CO174" si="2415">IF($H174&lt;&gt;CR$5,0,IF(CR174&gt;0,IF(OR($J174=1,$J174=2,$J174=3,$J174=4),$E174*$I174/12*3,IF($J174=5,$E174*$I174/12*2,IF($J174=6,$E174*$I174/12*1,0)))))+IF(CM$5&lt;&gt;$H174,0,IF(CM174&gt;0,IF($J174=4,$E174*$I174/12*0,IF($J174=5,$E174*$I174/12*1,IF($J174=6,$E174*$I174/12*2,IF($J174&gt;=7,$E174*$I174/12*3,0))))))</f>
        <v>0</v>
      </c>
      <c r="CP174" s="1807">
        <f t="shared" ref="CP174" si="2416">IF($H174&lt;&gt;CR$5,0,IF(CR174&gt;0,IF(OR($J174=1,$J174=2,$J174=3,$J174=4,$J174=5,$J174=6,$J174=7),$E174*$I174/12*3,IF($J174=8,$E174*$I174/12*2,IF($J174=9,$E174*$I174/12*1,0)))))+IF(CM$5&lt;&gt;$H174,0,IF(CM174&gt;0,IF($J174=7,$E174*$I174/12*0,IF($J174=8,$E174*$I174/12*1,IF($J174=9,$E174*$I174/12*2,IF($J174&gt;=10,$E174*$I174/12*3,0))))))</f>
        <v>0</v>
      </c>
      <c r="CQ174" s="1806">
        <f t="shared" ref="CQ174" si="2417">IF($H174&lt;&gt;CR$5,0,IF(CR174&gt;0,IF(OR($J174=1,$J174=2,$J174=3,$J174=4,$J174=5,$J174=6,$J174=7,$J174=8,$J174=9,$J174=10),$E174*$I174/12*3,IF($J174=11,$E174*$I174/12*2,IF($J174=12,$E174*$I174/12*1,0)))))+IF(CM$5&lt;&gt;$H174,0,IF(CM174&gt;0,IF($J174=10,$E174*$I174/12*0,IF($J174=11,$E174*$I174/12*1,IF($J174=12,$E174*$I174/12*2,0)))))</f>
        <v>0</v>
      </c>
      <c r="CR174" s="1791">
        <f t="shared" ref="CR174" si="2418">IF(AND(CM174&lt;&gt;0,CM$5=$H174),$I174*$E174-CM174,IF(CR$5=$H174,$I174*$E174*(12-$J174+1)/12,0))</f>
        <v>0</v>
      </c>
      <c r="CS174" s="1808">
        <f t="shared" ref="CS174" si="2419">IF($H174&lt;&gt;CW$5,0,IF(CW174&gt;0,IF($J174=1,$E174*$I174/12*3,IF($J174=2,$E174*$I174/12*2,IF($J174=3,$E174*$I174/12*1,0)))))+IF(CR$5&lt;&gt;$H174,0,IF(CR174&gt;0,IF($J174=1,$E174*$I174/12*0,IF($J174=2,$E174*$I174/12*1,IF($J174=3,$E174*$I174/12*2,IF($J174&gt;=4,$E174*$I174/12*3,0))))))</f>
        <v>0</v>
      </c>
      <c r="CT174" s="1807">
        <f t="shared" ref="CT174" si="2420">IF($H174&lt;&gt;CW$5,0,IF(CW174&gt;0,IF(OR($J174=1,$J174=2,$J174=3,$J174=4),$E174*$I174/12*3,IF($J174=5,$E174*$I174/12*2,IF($J174=6,$E174*$I174/12*1,0)))))+IF(CR$5&lt;&gt;$H174,0,IF(CR174&gt;0,IF($J174=4,$E174*$I174/12*0,IF($J174=5,$E174*$I174/12*1,IF($J174=6,$E174*$I174/12*2,IF($J174&gt;=7,$E174*$I174/12*3,0))))))</f>
        <v>0</v>
      </c>
      <c r="CU174" s="1807">
        <f t="shared" ref="CU174" si="2421">IF($H174&lt;&gt;CW$5,0,IF(CW174&gt;0,IF(OR($J174=1,$J174=2,$J174=3,$J174=4,$J174=5,$J174=6,$J174=7),$E174*$I174/12*3,IF($J174=8,$E174*$I174/12*2,IF($J174=9,$E174*$I174/12*1,0)))))+IF(CR$5&lt;&gt;$H174,0,IF(CR174&gt;0,IF($J174=7,$E174*$I174/12*0,IF($J174=8,$E174*$I174/12*1,IF($J174=9,$E174*$I174/12*2,IF($J174&gt;=10,$E174*$I174/12*3,0))))))</f>
        <v>0</v>
      </c>
      <c r="CV174" s="1806">
        <f t="shared" ref="CV174" si="2422">IF($H174&lt;&gt;CW$5,0,IF(CW174&gt;0,IF(OR($J174=1,$J174=2,$J174=3,$J174=4,$J174=5,$J174=6,$J174=7,$J174=8,$J174=9,$J174=10),$E174*$I174/12*3,IF($J174=11,$E174*$I174/12*2,IF($J174=12,$E174*$I174/12*1,0)))))+IF(CR$5&lt;&gt;$H174,0,IF(CR174&gt;0,IF($J174=10,$E174*$I174/12*0,IF($J174=11,$E174*$I174/12*1,IF($J174=12,$E174*$I174/12*2,0)))))</f>
        <v>0</v>
      </c>
      <c r="CW174" s="1791">
        <f t="shared" ref="CW174" si="2423">IF(AND(CR174&lt;&gt;0,CR$5=$H174),$I174*$E174-CR174,IF(CW$5=$H174,$I174*$E174*(12-$J174+1)/12,0))</f>
        <v>0</v>
      </c>
      <c r="CX174" s="1808">
        <f t="shared" ref="CX174" si="2424">IF($H174&lt;&gt;DB$5,0,IF(DB174&gt;0,IF($J174=1,$E174*$I174/12*3,IF($J174=2,$E174*$I174/12*2,IF($J174=3,$E174*$I174/12*1,0)))))+IF(CW$5&lt;&gt;$H174,0,IF(CW174&gt;0,IF($J174=1,$E174*$I174/12*0,IF($J174=2,$E174*$I174/12*1,IF($J174=3,$E174*$I174/12*2,IF($J174&gt;=4,$E174*$I174/12*3,0))))))</f>
        <v>0</v>
      </c>
      <c r="CY174" s="1807">
        <f t="shared" ref="CY174" si="2425">IF($H174&lt;&gt;DB$5,0,IF(DB174&gt;0,IF(OR($J174=1,$J174=2,$J174=3,$J174=4),$E174*$I174/12*3,IF($J174=5,$E174*$I174/12*2,IF($J174=6,$E174*$I174/12*1,0)))))+IF(CW$5&lt;&gt;$H174,0,IF(CW174&gt;0,IF($J174=4,$E174*$I174/12*0,IF($J174=5,$E174*$I174/12*1,IF($J174=6,$E174*$I174/12*2,IF($J174&gt;=7,$E174*$I174/12*3,0))))))</f>
        <v>0</v>
      </c>
      <c r="CZ174" s="1807">
        <f t="shared" ref="CZ174" si="2426">IF($H174&lt;&gt;DB$5,0,IF(DB174&gt;0,IF(OR($J174=1,$J174=2,$J174=3,$J174=4,$J174=5,$J174=6,$J174=7),$E174*$I174/12*3,IF($J174=8,$E174*$I174/12*2,IF($J174=9,$E174*$I174/12*1,0)))))+IF(CW$5&lt;&gt;$H174,0,IF(CW174&gt;0,IF($J174=7,$E174*$I174/12*0,IF($J174=8,$E174*$I174/12*1,IF($J174=9,$E174*$I174/12*2,IF($J174&gt;=10,$E174*$I174/12*3,0))))))</f>
        <v>0</v>
      </c>
      <c r="DA174" s="1806">
        <f t="shared" ref="DA174" si="2427">IF($H174&lt;&gt;DB$5,0,IF(DB174&gt;0,IF(OR($J174=1,$J174=2,$J174=3,$J174=4,$J174=5,$J174=6,$J174=7,$J174=8,$J174=9,$J174=10),$E174*$I174/12*3,IF($J174=11,$E174*$I174/12*2,IF($J174=12,$E174*$I174/12*1,0)))))+IF(CW$5&lt;&gt;$H174,0,IF(CW174&gt;0,IF($J174=10,$E174*$I174/12*0,IF($J174=11,$E174*$I174/12*1,IF($J174=12,$E174*$I174/12*2,0)))))</f>
        <v>0.43750000000000006</v>
      </c>
      <c r="DB174" s="1791">
        <f t="shared" ref="DB174" si="2428">IF(AND(CW174&lt;&gt;0,CW$5=$H174),$I174*$E174-CW174,IF(DB$5=$H174,$I174*$E174*(12-$J174+1)/12,0))</f>
        <v>0.43750000000000006</v>
      </c>
      <c r="DC174" s="1808">
        <f t="shared" ref="DC174" si="2429">IF($H174&lt;&gt;DG$5,0,IF(DG174&gt;0,IF($J174=1,$E174*$I174/12*3,IF($J174=2,$E174*$I174/12*2,IF($J174=3,$E174*$I174/12*1,0)))))+IF(DB$5&lt;&gt;$H174,0,IF(DB174&gt;0,IF($J174=1,$E174*$I174/12*0,IF($J174=2,$E174*$I174/12*1,IF($J174=3,$E174*$I174/12*2,IF($J174&gt;=4,$E174*$I174/12*3,0))))))</f>
        <v>1.3125000000000002</v>
      </c>
      <c r="DD174" s="1807">
        <f t="shared" ref="DD174" si="2430">IF($H174&lt;&gt;DG$5,0,IF(DG174&gt;0,IF(OR($J174=1,$J174=2,$J174=3,$J174=4),$E174*$I174/12*3,IF($J174=5,$E174*$I174/12*2,IF($J174=6,$E174*$I174/12*1,0)))))+IF(DB$5&lt;&gt;$H174,0,IF(DB174&gt;0,IF($J174=4,$E174*$I174/12*0,IF($J174=5,$E174*$I174/12*1,IF($J174=6,$E174*$I174/12*2,IF($J174&gt;=7,$E174*$I174/12*3,0))))))</f>
        <v>1.3125000000000002</v>
      </c>
      <c r="DE174" s="1807">
        <f t="shared" ref="DE174" si="2431">IF($H174&lt;&gt;DG$5,0,IF(DG174&gt;0,IF(OR($J174=1,$J174=2,$J174=3,$J174=4,$J174=5,$J174=6,$J174=7),$E174*$I174/12*3,IF($J174=8,$E174*$I174/12*2,IF($J174=9,$E174*$I174/12*1,0)))))+IF(DB$5&lt;&gt;$H174,0,IF(DB174&gt;0,IF($J174=7,$E174*$I174/12*0,IF($J174=8,$E174*$I174/12*1,IF($J174=9,$E174*$I174/12*2,IF($J174&gt;=10,$E174*$I174/12*3,0))))))</f>
        <v>1.3125000000000002</v>
      </c>
      <c r="DF174" s="1806">
        <f t="shared" ref="DF174" si="2432">IF($H174&lt;&gt;DG$5,0,IF(DG174&gt;0,IF(OR($J174=1,$J174=2,$J174=3,$J174=4,$J174=5,$J174=6,$J174=7,$J174=8,$J174=9,$J174=10),$E174*$I174/12*3,IF($J174=11,$E174*$I174/12*2,IF($J174=12,$E174*$I174/12*1,0)))))+IF(DB$5&lt;&gt;$H174,0,IF(DB174&gt;0,IF($J174=10,$E174*$I174/12*0,IF($J174=11,$E174*$I174/12*1,IF($J174=12,$E174*$I174/12*2,0)))))</f>
        <v>0.87500000000000011</v>
      </c>
      <c r="DG174" s="1791">
        <f t="shared" ref="DG174" si="2433">IF(AND(DB174&lt;&gt;0,DB$5=$H174),$I174*$E174-DB174,IF(DG$5=$H174,$I174*$E174*(12-$J174+1)/12,0))</f>
        <v>4.8125000000000009</v>
      </c>
      <c r="DH174" s="1808">
        <f t="shared" ref="DH174" si="2434">IF($H174&lt;&gt;DL$5,0,IF(DL174&gt;0,IF($J174=1,$E174*$I174/12*3,IF($J174=2,$E174*$I174/12*2,IF($J174=3,$E174*$I174/12*1,0)))))+IF(DG$5&lt;&gt;$H174,0,IF(DG174&gt;0,IF($J174=1,$E174*$I174/12*0,IF($J174=2,$E174*$I174/12*1,IF($J174=3,$E174*$I174/12*2,IF($J174&gt;=4,$E174*$I174/12*3,0))))))</f>
        <v>0</v>
      </c>
      <c r="DI174" s="1807">
        <f t="shared" ref="DI174" si="2435">IF($H174&lt;&gt;DL$5,0,IF(DL174&gt;0,IF(OR($J174=1,$J174=2,$J174=3,$J174=4),$E174*$I174/12*3,IF($J174=5,$E174*$I174/12*2,IF($J174=6,$E174*$I174/12*1,0)))))+IF(DG$5&lt;&gt;$H174,0,IF(DG174&gt;0,IF($J174=4,$E174*$I174/12*0,IF($J174=5,$E174*$I174/12*1,IF($J174=6,$E174*$I174/12*2,IF($J174&gt;=7,$E174*$I174/12*3,0))))))</f>
        <v>0</v>
      </c>
      <c r="DJ174" s="1807">
        <f t="shared" ref="DJ174" si="2436">IF($H174&lt;&gt;DL$5,0,IF(DL174&gt;0,IF(OR($J174=1,$J174=2,$J174=3,$J174=4,$J174=5,$J174=6,$J174=7),$E174*$I174/12*3,IF($J174=8,$E174*$I174/12*2,IF($J174=9,$E174*$I174/12*1,0)))))+IF(DG$5&lt;&gt;$H174,0,IF(DG174&gt;0,IF($J174=7,$E174*$I174/12*0,IF($J174=8,$E174*$I174/12*1,IF($J174=9,$E174*$I174/12*2,IF($J174&gt;=10,$E174*$I174/12*3,0))))))</f>
        <v>0</v>
      </c>
      <c r="DK174" s="1806">
        <f t="shared" ref="DK174" si="2437">IF($H174&lt;&gt;DL$5,0,IF(DL174&gt;0,IF(OR($J174=1,$J174=2,$J174=3,$J174=4,$J174=5,$J174=6,$J174=7,$J174=8,$J174=9,$J174=10),$E174*$I174/12*3,IF($J174=11,$E174*$I174/12*2,IF($J174=12,$E174*$I174/12*1,0)))))+IF(DG$5&lt;&gt;$H174,0,IF(DG174&gt;0,IF($J174=10,$E174*$I174/12*0,IF($J174=11,$E174*$I174/12*1,IF($J174=12,$E174*$I174/12*2,0)))))</f>
        <v>0</v>
      </c>
      <c r="DL174" s="1791">
        <f t="shared" ref="DL174" si="2438">IF(AND(DG174&lt;&gt;0,DG$5=$H174),$I174*$E174-DG174,IF(DL$5=$H174,$I174*$E174*(12-$J174+1)/12,0))</f>
        <v>0</v>
      </c>
      <c r="DM174" s="1808">
        <f t="shared" ref="DM174" si="2439">IF($H174&lt;&gt;DQ$5,0,IF(DQ174&gt;0,IF($J174=1,$E174*$I174/12*3,IF($J174=2,$E174*$I174/12*2,IF($J174=3,$E174*$I174/12*1,0)))))+IF(DL$5&lt;&gt;$H174,0,IF(DL174&gt;0,IF($J174=1,$E174*$I174/12*0,IF($J174=2,$E174*$I174/12*1,IF($J174=3,$E174*$I174/12*2,IF($J174&gt;=4,$E174*$I174/12*3,0))))))</f>
        <v>0</v>
      </c>
      <c r="DN174" s="1807">
        <f t="shared" ref="DN174" si="2440">IF($H174&lt;&gt;DQ$5,0,IF(DQ174&gt;0,IF(OR($J174=1,$J174=2,$J174=3,$J174=4),$E174*$I174/12*3,IF($J174=5,$E174*$I174/12*2,IF($J174=6,$E174*$I174/12*1,0)))))+IF(DL$5&lt;&gt;$H174,0,IF(DL174&gt;0,IF($J174=4,$E174*$I174/12*0,IF($J174=5,$E174*$I174/12*1,IF($J174=6,$E174*$I174/12*2,IF($J174&gt;=7,$E174*$I174/12*3,0))))))</f>
        <v>0</v>
      </c>
      <c r="DO174" s="1807">
        <f t="shared" ref="DO174" si="2441">IF($H174&lt;&gt;DQ$5,0,IF(DQ174&gt;0,IF(OR($J174=1,$J174=2,$J174=3,$J174=4,$J174=5,$J174=6,$J174=7),$E174*$I174/12*3,IF($J174=8,$E174*$I174/12*2,IF($J174=9,$E174*$I174/12*1,0)))))+IF(DL$5&lt;&gt;$H174,0,IF(DL174&gt;0,IF($J174=7,$E174*$I174/12*0,IF($J174=8,$E174*$I174/12*1,IF($J174=9,$E174*$I174/12*2,IF($J174&gt;=10,$E174*$I174/12*3,0))))))</f>
        <v>0</v>
      </c>
      <c r="DP174" s="1806">
        <f t="shared" ref="DP174" si="2442">IF($H174&lt;&gt;DQ$5,0,IF(DQ174&gt;0,IF(OR($J174=1,$J174=2,$J174=3,$J174=4,$J174=5,$J174=6,$J174=7,$J174=8,$J174=9,$J174=10),$E174*$I174/12*3,IF($J174=11,$E174*$I174/12*2,IF($J174=12,$E174*$I174/12*1,0)))))+IF(DL$5&lt;&gt;$H174,0,IF(DL174&gt;0,IF($J174=10,$E174*$I174/12*0,IF($J174=11,$E174*$I174/12*1,IF($J174=12,$E174*$I174/12*2,0)))))</f>
        <v>0</v>
      </c>
      <c r="DQ174" s="1791">
        <f t="shared" ref="DQ174" si="2443">IF(AND(DL174&lt;&gt;0,DL$5=$H174),$I174*$E174-DL174,IF(DQ$5=$H174,$I174*$E174*(12-$J174+1)/12,0))</f>
        <v>0</v>
      </c>
      <c r="DR174" s="1808">
        <f t="shared" ref="DR174" si="2444">IF($H174&lt;&gt;DV$5,0,IF(DV174&gt;0,IF($J174=1,$E174*$I174/12*3,IF($J174=2,$E174*$I174/12*2,IF($J174=3,$E174*$I174/12*1,0)))))+IF(DQ$5&lt;&gt;$H174,0,IF(DQ174&gt;0,IF($J174=1,$E174*$I174/12*0,IF($J174=2,$E174*$I174/12*1,IF($J174=3,$E174*$I174/12*2,IF($J174&gt;=4,$E174*$I174/12*3,0))))))</f>
        <v>0</v>
      </c>
      <c r="DS174" s="1807">
        <f t="shared" ref="DS174" si="2445">IF($H174&lt;&gt;DV$5,0,IF(DV174&gt;0,IF(OR($J174=1,$J174=2,$J174=3,$J174=4),$E174*$I174/12*3,IF($J174=5,$E174*$I174/12*2,IF($J174=6,$E174*$I174/12*1,0)))))+IF(DQ$5&lt;&gt;$H174,0,IF(DQ174&gt;0,IF($J174=4,$E174*$I174/12*0,IF($J174=5,$E174*$I174/12*1,IF($J174=6,$E174*$I174/12*2,IF($J174&gt;=7,$E174*$I174/12*3,0))))))</f>
        <v>0</v>
      </c>
      <c r="DT174" s="1807">
        <f t="shared" ref="DT174" si="2446">IF($H174&lt;&gt;DV$5,0,IF(DV174&gt;0,IF(OR($J174=1,$J174=2,$J174=3,$J174=4,$J174=5,$J174=6,$J174=7),$E174*$I174/12*3,IF($J174=8,$E174*$I174/12*2,IF($J174=9,$E174*$I174/12*1,0)))))+IF(DQ$5&lt;&gt;$H174,0,IF(DQ174&gt;0,IF($J174=7,$E174*$I174/12*0,IF($J174=8,$E174*$I174/12*1,IF($J174=9,$E174*$I174/12*2,IF($J174&gt;=10,$E174*$I174/12*3,0))))))</f>
        <v>0</v>
      </c>
      <c r="DU174" s="1806">
        <f t="shared" ref="DU174" si="2447">IF($H174&lt;&gt;DV$5,0,IF(DV174&gt;0,IF(OR($J174=1,$J174=2,$J174=3,$J174=4,$J174=5,$J174=6,$J174=7,$J174=8,$J174=9,$J174=10),$E174*$I174/12*3,IF($J174=11,$E174*$I174/12*2,IF($J174=12,$E174*$I174/12*1,0)))))+IF(DQ$5&lt;&gt;$H174,0,IF(DQ174&gt;0,IF($J174=10,$E174*$I174/12*0,IF($J174=11,$E174*$I174/12*1,IF($J174=12,$E174*$I174/12*2,0)))))</f>
        <v>0</v>
      </c>
      <c r="DV174" s="1791">
        <f t="shared" ref="DV174" si="2448">IF(AND(DQ174&lt;&gt;0,DQ$5=$H174),$I174*$E174-DQ174,IF(DV$5=$H174,$I174*$E174*(12-$J174+1)/12,0))</f>
        <v>0</v>
      </c>
    </row>
    <row r="175" spans="1:126">
      <c r="A175" s="455"/>
      <c r="B175" s="455"/>
      <c r="C175" s="1929" t="s">
        <v>1040</v>
      </c>
      <c r="D175" s="94"/>
      <c r="E175" s="1435">
        <v>150</v>
      </c>
      <c r="F175" s="1435"/>
      <c r="G175" s="1435"/>
      <c r="H175" s="1350">
        <v>2017</v>
      </c>
      <c r="I175" s="1337">
        <v>3.4500000000000003E-2</v>
      </c>
      <c r="J175" s="1343">
        <v>12</v>
      </c>
      <c r="K175" s="1792"/>
      <c r="L175" s="1810"/>
      <c r="M175" s="1791"/>
      <c r="N175" s="1808"/>
      <c r="O175" s="1807"/>
      <c r="P175" s="1807"/>
      <c r="Q175" s="1806"/>
      <c r="R175" s="1791">
        <f t="shared" si="2147"/>
        <v>0</v>
      </c>
      <c r="S175" s="1808">
        <f t="shared" ref="S175" si="2449">IF(W175=0,0,IF(W175&gt;0,IF($J175=3,W175,IF($J175=2,W175,IF($J175=1,W175,0)))))</f>
        <v>0</v>
      </c>
      <c r="T175" s="1807">
        <f t="shared" ref="T175" si="2450">IF(W175=0,0,IF(W175&gt;0,IF($J175=6,W175,IF($J175=5,W175,IF($J175=4,W175,0)))))</f>
        <v>0</v>
      </c>
      <c r="U175" s="1807">
        <f t="shared" ref="U175" si="2451">IF(W175=0,0,IF(W175&gt;0,IF($J175=9,W175,IF($J175=8,W175,IF($J175=7,W175,0)))))</f>
        <v>0</v>
      </c>
      <c r="V175" s="1806">
        <f t="shared" ref="V175" si="2452">IF(W175=0,0,IF(W175&gt;0,IF($J175=12,W175,IF($J175=11,W175,IF($J175=10,W175,0)))))</f>
        <v>0</v>
      </c>
      <c r="W175" s="1791">
        <f t="shared" si="2152"/>
        <v>0</v>
      </c>
      <c r="X175" s="1808">
        <f t="shared" ref="X175" si="2453">IF(AB175=0,0,IF(AB175&gt;0,IF($J175=3,AB175,IF($J175=2,AB175,IF($J175=1,AB175,0)))))</f>
        <v>0</v>
      </c>
      <c r="Y175" s="1807">
        <f t="shared" ref="Y175" si="2454">IF(AB175=0,0,IF(AB175&gt;0,IF($J175=6,AB175,IF($J175=5,AB175,IF($J175=4,AB175,0)))))</f>
        <v>0</v>
      </c>
      <c r="Z175" s="1807">
        <f t="shared" ref="Z175" si="2455">IF(AB175=0,0,IF(AB175&gt;0,IF($J175=9,AB175,IF($J175=8,AB175,IF($J175=7,AB175,0)))))</f>
        <v>0</v>
      </c>
      <c r="AA175" s="1806">
        <f t="shared" ref="AA175" si="2456">IF(AB175=0,0,IF(AB175&gt;0,IF($J175=12,AB175,IF($J175=11,AB175,IF($J175=10,AB175,0)))))</f>
        <v>0</v>
      </c>
      <c r="AB175" s="1791">
        <f t="shared" si="2157"/>
        <v>0</v>
      </c>
      <c r="AC175" s="1808">
        <f t="shared" ref="AC175" si="2457">IF(AG175=0,0,IF(AG175&gt;0,IF($J175=3,AG175,IF($J175=2,AG175,IF($J175=1,AG175,0)))))</f>
        <v>0</v>
      </c>
      <c r="AD175" s="1807">
        <f t="shared" ref="AD175" si="2458">IF(AG175=0,0,IF(AG175&gt;0,IF($J175=6,AG175,IF($J175=5,AG175,IF($J175=4,AG175,0)))))</f>
        <v>0</v>
      </c>
      <c r="AE175" s="1807">
        <f t="shared" ref="AE175" si="2459">IF(AG175=0,0,IF(AG175&gt;0,IF($J175=9,AG175,IF($J175=8,AG175,IF($J175=7,AG175,0)))))</f>
        <v>0</v>
      </c>
      <c r="AF175" s="1806">
        <f t="shared" ref="AF175" si="2460">IF(AG175=0,0,IF(AG175&gt;0,IF($J175=12,AG175,IF($J175=11,AG175,IF($J175=10,AG175,0)))))</f>
        <v>0</v>
      </c>
      <c r="AG175" s="1791">
        <f t="shared" si="2162"/>
        <v>0</v>
      </c>
      <c r="AH175" s="1808">
        <f t="shared" ref="AH175" si="2461">IF(AL175=0,0,IF(AL175&gt;0,IF($J175=3,AL175,IF($J175=2,AL175,IF($J175=1,AL175,0)))))</f>
        <v>0</v>
      </c>
      <c r="AI175" s="1807">
        <f t="shared" ref="AI175" si="2462">IF(AL175=0,0,IF(AL175&gt;0,IF($J175=6,AL175,IF($J175=5,AL175,IF($J175=4,AL175,0)))))</f>
        <v>0</v>
      </c>
      <c r="AJ175" s="1807">
        <f t="shared" ref="AJ175" si="2463">IF(AL175=0,0,IF(AL175&gt;0,IF($J175=9,AL175,IF($J175=8,AL175,IF($J175=7,AL175,0)))))</f>
        <v>0</v>
      </c>
      <c r="AK175" s="1806">
        <f t="shared" ref="AK175" si="2464">IF(AL175=0,0,IF(AL175&gt;0,IF($J175=12,AL175,IF($J175=11,AL175,IF($J175=10,AL175,0)))))</f>
        <v>0</v>
      </c>
      <c r="AL175" s="1791">
        <f t="shared" si="2167"/>
        <v>0</v>
      </c>
      <c r="AM175" s="1808">
        <f t="shared" ref="AM175" si="2465">IF(AQ175=0,0,IF(AQ175&gt;0,IF($J175=3,AQ175,IF($J175=2,AQ175,IF($J175=1,AQ175,0)))))</f>
        <v>0</v>
      </c>
      <c r="AN175" s="1807">
        <f t="shared" ref="AN175" si="2466">IF(AQ175=0,0,IF(AQ175&gt;0,IF($J175=6,AQ175,IF($J175=5,AQ175,IF($J175=4,AQ175,0)))))</f>
        <v>0</v>
      </c>
      <c r="AO175" s="1807">
        <f t="shared" ref="AO175" si="2467">IF(AQ175=0,0,IF(AQ175&gt;0,IF($J175=9,AQ175,IF($J175=8,AQ175,IF($J175=7,AQ175,0)))))</f>
        <v>0</v>
      </c>
      <c r="AP175" s="1806">
        <f t="shared" ref="AP175" si="2468">IF(AQ175=0,0,IF(AQ175&gt;0,IF($J175=12,AQ175,IF($J175=11,AQ175,IF($J175=10,AQ175,0)))))</f>
        <v>0</v>
      </c>
      <c r="AQ175" s="1791">
        <f t="shared" si="2172"/>
        <v>0</v>
      </c>
      <c r="AR175" s="1808">
        <f t="shared" ref="AR175" si="2469">IF(AV175=0,0,IF(AV175&gt;0,IF($J175=3,AV175,IF($J175=2,AV175,IF($J175=1,AV175,0)))))</f>
        <v>0</v>
      </c>
      <c r="AS175" s="1807">
        <f t="shared" ref="AS175" si="2470">IF(AV175=0,0,IF(AV175&gt;0,IF($J175=6,AV175,IF($J175=5,AV175,IF($J175=4,AV175,0)))))</f>
        <v>0</v>
      </c>
      <c r="AT175" s="1807">
        <f t="shared" ref="AT175" si="2471">IF(AV175=0,0,IF(AV175&gt;0,IF($J175=9,AV175,IF($J175=8,AV175,IF($J175=7,AV175,0)))))</f>
        <v>0</v>
      </c>
      <c r="AU175" s="1806">
        <f t="shared" ref="AU175" si="2472">IF(AV175=0,0,IF(AV175&gt;0,IF($J175=12,AV175,IF($J175=11,AV175,IF($J175=10,AV175,0)))))</f>
        <v>150</v>
      </c>
      <c r="AV175" s="1791">
        <f t="shared" si="2177"/>
        <v>150</v>
      </c>
      <c r="AW175" s="1808">
        <f t="shared" ref="AW175" si="2473">IF(BA175=0,0,IF(BA175&gt;0,IF($J175=3,BA175,IF($J175=2,BA175,IF($J175=1,BA175,0)))))</f>
        <v>0</v>
      </c>
      <c r="AX175" s="1807">
        <f t="shared" ref="AX175" si="2474">IF(BA175=0,0,IF(BA175&gt;0,IF($J175=6,BA175,IF($J175=5,BA175,IF($J175=4,BA175,0)))))</f>
        <v>0</v>
      </c>
      <c r="AY175" s="1807">
        <f t="shared" ref="AY175" si="2475">IF(BA175=0,0,IF(BA175&gt;0,IF($J175=9,BA175,IF($J175=8,BA175,IF($J175=7,BA175,0)))))</f>
        <v>0</v>
      </c>
      <c r="AZ175" s="1806">
        <f t="shared" ref="AZ175" si="2476">IF(BA175=0,0,IF(BA175&gt;0,IF($J175=12,BA175,IF($J175=11,BA175,IF($J175=10,BA175,0)))))</f>
        <v>0</v>
      </c>
      <c r="BA175" s="1791">
        <f t="shared" si="2182"/>
        <v>0</v>
      </c>
      <c r="BB175" s="1808">
        <f t="shared" ref="BB175" si="2477">IF(BF175=0,0,IF(BF175&gt;0,IF($J175=3,BF175,IF($J175=2,BF175,IF($J175=1,BF175,0)))))</f>
        <v>0</v>
      </c>
      <c r="BC175" s="1807">
        <f t="shared" ref="BC175" si="2478">IF(BF175=0,0,IF(BF175&gt;0,IF($J175=6,BF175,IF($J175=5,BF175,IF($J175=4,BF175,0)))))</f>
        <v>0</v>
      </c>
      <c r="BD175" s="1807">
        <f t="shared" ref="BD175" si="2479">IF(BF175=0,0,IF(BF175&gt;0,IF($J175=9,BF175,IF($J175=8,BF175,IF($J175=7,BF175,0)))))</f>
        <v>0</v>
      </c>
      <c r="BE175" s="1806">
        <f t="shared" ref="BE175" si="2480">IF(BF175=0,0,IF(BF175&gt;0,IF($J175=12,BF175,IF($J175=11,BF175,IF($J175=10,BF175,0)))))</f>
        <v>0</v>
      </c>
      <c r="BF175" s="1791">
        <f t="shared" si="2187"/>
        <v>0</v>
      </c>
      <c r="BG175" s="1808">
        <f t="shared" ref="BG175" si="2481">IF(BK175=0,0,IF(BK175&gt;0,IF($J175=3,BK175,IF($J175=2,BK175,IF($J175=1,BK175,0)))))</f>
        <v>0</v>
      </c>
      <c r="BH175" s="1807">
        <f t="shared" ref="BH175" si="2482">IF(BK175=0,0,IF(BK175&gt;0,IF($J175=6,BK175,IF($J175=5,BK175,IF($J175=4,BK175,0)))))</f>
        <v>0</v>
      </c>
      <c r="BI175" s="1807">
        <f t="shared" ref="BI175" si="2483">IF(BK175=0,0,IF(BK175&gt;0,IF($J175=9,BK175,IF($J175=8,BK175,IF($J175=7,BK175,0)))))</f>
        <v>0</v>
      </c>
      <c r="BJ175" s="1806">
        <f t="shared" ref="BJ175" si="2484">IF(BK175=0,0,IF(BK175&gt;0,IF($J175=12,BK175,IF($J175=11,BK175,IF($J175=10,BK175,0)))))</f>
        <v>0</v>
      </c>
      <c r="BK175" s="1791">
        <f t="shared" si="2192"/>
        <v>0</v>
      </c>
      <c r="BL175" s="1808">
        <f t="shared" ref="BL175" si="2485">IF(BP175=0,0,IF(BP175&gt;0,IF($J175=3,BP175,IF($J175=2,BP175,IF($J175=1,BP175,0)))))</f>
        <v>0</v>
      </c>
      <c r="BM175" s="1807">
        <f t="shared" ref="BM175" si="2486">IF(BP175=0,0,IF(BP175&gt;0,IF($J175=6,BP175,IF($J175=5,BP175,IF($J175=4,BP175,0)))))</f>
        <v>0</v>
      </c>
      <c r="BN175" s="1807">
        <f t="shared" ref="BN175" si="2487">IF(BP175=0,0,IF(BP175&gt;0,IF($J175=9,BP175,IF($J175=8,BP175,IF($J175=7,BP175,0)))))</f>
        <v>0</v>
      </c>
      <c r="BO175" s="1806">
        <f t="shared" ref="BO175" si="2488">IF(BP175=0,0,IF(BP175&gt;0,IF($J175=12,BP175,IF($J175=11,BP175,IF($J175=10,BP175,0)))))</f>
        <v>0</v>
      </c>
      <c r="BP175" s="1791">
        <f t="shared" si="2197"/>
        <v>0</v>
      </c>
      <c r="BQ175" s="1809"/>
      <c r="BR175" s="1791">
        <f t="shared" ref="BR175" si="2489">IF(AND(BQ175&lt;&gt;0,BQ$5=$H175),$I175*$E175-BQ175,IF(BR$5=$H175,$I175*$E175*(12-$J175+1)/12,0))</f>
        <v>0</v>
      </c>
      <c r="BS175" s="1791">
        <f t="shared" ref="BS175" si="2490">IF(AND(BR175&lt;&gt;0,BR$5=$H175),$I175*$E175-BR175,IF(BS$5=$H175,$I175*$E175*(12-$J175+1)/12,0))</f>
        <v>0</v>
      </c>
      <c r="BT175" s="1808">
        <f t="shared" ref="BT175" si="2491">IF($H175&lt;&gt;BX$5,0,IF(BX175&gt;0,IF($J175=1,$E175*$I175/12*3,IF($J175=2,$E175*$I175/12*2,IF($J175=3,$E175*$I175/12*1,0)))))+IF(BS$5&lt;&gt;$H175,0,IF(BS175&gt;0,IF($J175=1,$E175*$I175/12*0,IF($J175=2,$E175*$I175/12*1,IF($J175=3,$E175*$I175/12*2,IF($J175&gt;=4,$E175*$I175/12*3,0))))))</f>
        <v>0</v>
      </c>
      <c r="BU175" s="1807">
        <f t="shared" ref="BU175" si="2492">IF($H175&lt;&gt;BX$5,0,IF(BX175&gt;0,IF(OR($J175=1,$J175=2,$J175=3,$J175=4),$E175*$I175/12*3,IF($J175=5,$E175*$I175/12*2,IF($J175=6,$E175*$I175/12*1,0)))))+IF(BS$5&lt;&gt;$H175,0,IF(BS175&gt;0,IF($J175=4,$E175*$I175/12*0,IF($J175=5,$E175*$I175/12*1,IF($J175=6,$E175*$I175/12*2,IF($J175&gt;=7,$E175*$I175/12*3,0))))))</f>
        <v>0</v>
      </c>
      <c r="BV175" s="1807">
        <f t="shared" ref="BV175" si="2493">IF($H175&lt;&gt;BX$5,0,IF(BX175&gt;0,IF(OR($J175=1,$J175=2,$J175=3,$J175=4,$J175=5,$J175=6,$J175=7),$E175*$I175/12*3,IF($J175=8,$E175*$I175/12*2,IF($J175=9,$E175*$I175/12*1,0)))))+IF(BS$5&lt;&gt;$H175,0,IF(BS175&gt;0,IF($J175=7,$E175*$I175/12*0,IF($J175=8,$E175*$I175/12*1,IF($J175=9,$E175*$I175/12*2,IF($J175&gt;=10,$E175*$I175/12*3,0))))))</f>
        <v>0</v>
      </c>
      <c r="BW175" s="1806">
        <f t="shared" ref="BW175" si="2494">IF($H175&lt;&gt;BX$5,0,IF(BX175&gt;0,IF(OR($J175=1,$J175=2,$J175=3,$J175=4,$J175=5,$J175=6,$J175=7,$J175=8,$J175=9,$J175=10),$E175*$I175/12*3,IF($J175=11,$E175*$I175/12*2,IF($J175=12,$E175*$I175/12*1,0)))))+IF(BS$5&lt;&gt;$H175,0,IF(BS175&gt;0,IF($J175=10,$E175*$I175/12*0,IF($J175=11,$E175*$I175/12*1,IF($J175=12,$E175*$I175/12*2,0)))))</f>
        <v>0</v>
      </c>
      <c r="BX175" s="1791">
        <f t="shared" ref="BX175" si="2495">IF(AND(BS175&lt;&gt;0,BS$5=$H175),$I175*$E175-BS175,IF(BX$5=$H175,$I175*$E175*(12-$J175+1)/12,0))</f>
        <v>0</v>
      </c>
      <c r="BY175" s="1808">
        <f t="shared" ref="BY175" si="2496">IF($H175&lt;&gt;CC$5,0,IF(CC175&gt;0,IF($J175=1,$E175*$I175/12*3,IF($J175=2,$E175*$I175/12*2,IF($J175=3,$E175*$I175/12*1,0)))))+IF(BX$5&lt;&gt;$H175,0,IF(BX175&gt;0,IF($J175=1,$E175*$I175/12*0,IF($J175=2,$E175*$I175/12*1,IF($J175=3,$E175*$I175/12*2,IF($J175&gt;=4,$E175*$I175/12*3,0))))))</f>
        <v>0</v>
      </c>
      <c r="BZ175" s="1807">
        <f t="shared" ref="BZ175" si="2497">IF($H175&lt;&gt;CC$5,0,IF(CC175&gt;0,IF(OR($J175=1,$J175=2,$J175=3,$J175=4),$E175*$I175/12*3,IF($J175=5,$E175*$I175/12*2,IF($J175=6,$E175*$I175/12*1,0)))))+IF(BX$5&lt;&gt;$H175,0,IF(BX175&gt;0,IF($J175=4,$E175*$I175/12*0,IF($J175=5,$E175*$I175/12*1,IF($J175=6,$E175*$I175/12*2,IF($J175&gt;=7,$E175*$I175/12*3,0))))))</f>
        <v>0</v>
      </c>
      <c r="CA175" s="1807">
        <f t="shared" ref="CA175" si="2498">IF($H175&lt;&gt;CC$5,0,IF(CC175&gt;0,IF(OR($J175=1,$J175=2,$J175=3,$J175=4,$J175=5,$J175=6,$J175=7),$E175*$I175/12*3,IF($J175=8,$E175*$I175/12*2,IF($J175=9,$E175*$I175/12*1,0)))))+IF(BX$5&lt;&gt;$H175,0,IF(BX175&gt;0,IF($J175=7,$E175*$I175/12*0,IF($J175=8,$E175*$I175/12*1,IF($J175=9,$E175*$I175/12*2,IF($J175&gt;=10,$E175*$I175/12*3,0))))))</f>
        <v>0</v>
      </c>
      <c r="CB175" s="1806">
        <f t="shared" ref="CB175" si="2499">IF($H175&lt;&gt;CC$5,0,IF(CC175&gt;0,IF(OR($J175=1,$J175=2,$J175=3,$J175=4,$J175=5,$J175=6,$J175=7,$J175=8,$J175=9,$J175=10),$E175*$I175/12*3,IF($J175=11,$E175*$I175/12*2,IF($J175=12,$E175*$I175/12*1,0)))))+IF(BX$5&lt;&gt;$H175,0,IF(BX175&gt;0,IF($J175=10,$E175*$I175/12*0,IF($J175=11,$E175*$I175/12*1,IF($J175=12,$E175*$I175/12*2,0)))))</f>
        <v>0</v>
      </c>
      <c r="CC175" s="1791">
        <f t="shared" ref="CC175" si="2500">IF(AND(BX175&lt;&gt;0,BX$5=$H175),$I175*$E175-BX175,IF(CC$5=$H175,$I175*$E175*(12-$J175+1)/12,0))</f>
        <v>0</v>
      </c>
      <c r="CD175" s="1808">
        <f t="shared" ref="CD175" si="2501">IF($H175&lt;&gt;CH$5,0,IF(CH175&gt;0,IF($J175=1,$E175*$I175/12*3,IF($J175=2,$E175*$I175/12*2,IF($J175=3,$E175*$I175/12*1,0)))))+IF(CC$5&lt;&gt;$H175,0,IF(CC175&gt;0,IF($J175=1,$E175*$I175/12*0,IF($J175=2,$E175*$I175/12*1,IF($J175=3,$E175*$I175/12*2,IF($J175&gt;=4,$E175*$I175/12*3,0))))))</f>
        <v>0</v>
      </c>
      <c r="CE175" s="1807">
        <f t="shared" ref="CE175" si="2502">IF($H175&lt;&gt;CH$5,0,IF(CH175&gt;0,IF(OR($J175=1,$J175=2,$J175=3,$J175=4),$E175*$I175/12*3,IF($J175=5,$E175*$I175/12*2,IF($J175=6,$E175*$I175/12*1,0)))))+IF(CC$5&lt;&gt;$H175,0,IF(CC175&gt;0,IF($J175=4,$E175*$I175/12*0,IF($J175=5,$E175*$I175/12*1,IF($J175=6,$E175*$I175/12*2,IF($J175&gt;=7,$E175*$I175/12*3,0))))))</f>
        <v>0</v>
      </c>
      <c r="CF175" s="1807">
        <f t="shared" ref="CF175" si="2503">IF($H175&lt;&gt;CH$5,0,IF(CH175&gt;0,IF(OR($J175=1,$J175=2,$J175=3,$J175=4,$J175=5,$J175=6,$J175=7),$E175*$I175/12*3,IF($J175=8,$E175*$I175/12*2,IF($J175=9,$E175*$I175/12*1,0)))))+IF(CC$5&lt;&gt;$H175,0,IF(CC175&gt;0,IF($J175=7,$E175*$I175/12*0,IF($J175=8,$E175*$I175/12*1,IF($J175=9,$E175*$I175/12*2,IF($J175&gt;=10,$E175*$I175/12*3,0))))))</f>
        <v>0</v>
      </c>
      <c r="CG175" s="1806">
        <f t="shared" ref="CG175" si="2504">IF($H175&lt;&gt;CH$5,0,IF(CH175&gt;0,IF(OR($J175=1,$J175=2,$J175=3,$J175=4,$J175=5,$J175=6,$J175=7,$J175=8,$J175=9,$J175=10),$E175*$I175/12*3,IF($J175=11,$E175*$I175/12*2,IF($J175=12,$E175*$I175/12*1,0)))))+IF(CC$5&lt;&gt;$H175,0,IF(CC175&gt;0,IF($J175=10,$E175*$I175/12*0,IF($J175=11,$E175*$I175/12*1,IF($J175=12,$E175*$I175/12*2,0)))))</f>
        <v>0</v>
      </c>
      <c r="CH175" s="1791">
        <f t="shared" ref="CH175" si="2505">IF(AND(CC175&lt;&gt;0,CC$5=$H175),$I175*$E175-CC175,IF(CH$5=$H175,$I175*$E175*(12-$J175+1)/12,0))</f>
        <v>0</v>
      </c>
      <c r="CI175" s="1808">
        <f t="shared" ref="CI175" si="2506">IF($H175&lt;&gt;CM$5,0,IF(CM175&gt;0,IF($J175=1,$E175*$I175/12*3,IF($J175=2,$E175*$I175/12*2,IF($J175=3,$E175*$I175/12*1,0)))))+IF(CH$5&lt;&gt;$H175,0,IF(CH175&gt;0,IF($J175=1,$E175*$I175/12*0,IF($J175=2,$E175*$I175/12*1,IF($J175=3,$E175*$I175/12*2,IF($J175&gt;=4,$E175*$I175/12*3,0))))))</f>
        <v>0</v>
      </c>
      <c r="CJ175" s="1807">
        <f t="shared" ref="CJ175" si="2507">IF($H175&lt;&gt;CM$5,0,IF(CM175&gt;0,IF(OR($J175=1,$J175=2,$J175=3,$J175=4),$E175*$I175/12*3,IF($J175=5,$E175*$I175/12*2,IF($J175=6,$E175*$I175/12*1,0)))))+IF(CH$5&lt;&gt;$H175,0,IF(CH175&gt;0,IF($J175=4,$E175*$I175/12*0,IF($J175=5,$E175*$I175/12*1,IF($J175=6,$E175*$I175/12*2,IF($J175&gt;=7,$E175*$I175/12*3,0))))))</f>
        <v>0</v>
      </c>
      <c r="CK175" s="1807">
        <f t="shared" ref="CK175" si="2508">IF($H175&lt;&gt;CM$5,0,IF(CM175&gt;0,IF(OR($J175=1,$J175=2,$J175=3,$J175=4,$J175=5,$J175=6,$J175=7),$E175*$I175/12*3,IF($J175=8,$E175*$I175/12*2,IF($J175=9,$E175*$I175/12*1,0)))))+IF(CH$5&lt;&gt;$H175,0,IF(CH175&gt;0,IF($J175=7,$E175*$I175/12*0,IF($J175=8,$E175*$I175/12*1,IF($J175=9,$E175*$I175/12*2,IF($J175&gt;=10,$E175*$I175/12*3,0))))))</f>
        <v>0</v>
      </c>
      <c r="CL175" s="1806">
        <f t="shared" ref="CL175" si="2509">IF($H175&lt;&gt;CM$5,0,IF(CM175&gt;0,IF(OR($J175=1,$J175=2,$J175=3,$J175=4,$J175=5,$J175=6,$J175=7,$J175=8,$J175=9,$J175=10),$E175*$I175/12*3,IF($J175=11,$E175*$I175/12*2,IF($J175=12,$E175*$I175/12*1,0)))))+IF(CH$5&lt;&gt;$H175,0,IF(CH175&gt;0,IF($J175=10,$E175*$I175/12*0,IF($J175=11,$E175*$I175/12*1,IF($J175=12,$E175*$I175/12*2,0)))))</f>
        <v>0</v>
      </c>
      <c r="CM175" s="1791">
        <f t="shared" ref="CM175" si="2510">IF(AND(CH175&lt;&gt;0,CH$5=$H175),$I175*$E175-CH175,IF(CM$5=$H175,$I175*$E175*(12-$J175+1)/12,0))</f>
        <v>0</v>
      </c>
      <c r="CN175" s="1808">
        <f t="shared" ref="CN175" si="2511">IF($H175&lt;&gt;CR$5,0,IF(CR175&gt;0,IF($J175=1,$E175*$I175/12*3,IF($J175=2,$E175*$I175/12*2,IF($J175=3,$E175*$I175/12*1,0)))))+IF(CM$5&lt;&gt;$H175,0,IF(CM175&gt;0,IF($J175=1,$E175*$I175/12*0,IF($J175=2,$E175*$I175/12*1,IF($J175=3,$E175*$I175/12*2,IF($J175&gt;=4,$E175*$I175/12*3,0))))))</f>
        <v>0</v>
      </c>
      <c r="CO175" s="1807">
        <f t="shared" ref="CO175" si="2512">IF($H175&lt;&gt;CR$5,0,IF(CR175&gt;0,IF(OR($J175=1,$J175=2,$J175=3,$J175=4),$E175*$I175/12*3,IF($J175=5,$E175*$I175/12*2,IF($J175=6,$E175*$I175/12*1,0)))))+IF(CM$5&lt;&gt;$H175,0,IF(CM175&gt;0,IF($J175=4,$E175*$I175/12*0,IF($J175=5,$E175*$I175/12*1,IF($J175=6,$E175*$I175/12*2,IF($J175&gt;=7,$E175*$I175/12*3,0))))))</f>
        <v>0</v>
      </c>
      <c r="CP175" s="1807">
        <f t="shared" ref="CP175" si="2513">IF($H175&lt;&gt;CR$5,0,IF(CR175&gt;0,IF(OR($J175=1,$J175=2,$J175=3,$J175=4,$J175=5,$J175=6,$J175=7),$E175*$I175/12*3,IF($J175=8,$E175*$I175/12*2,IF($J175=9,$E175*$I175/12*1,0)))))+IF(CM$5&lt;&gt;$H175,0,IF(CM175&gt;0,IF($J175=7,$E175*$I175/12*0,IF($J175=8,$E175*$I175/12*1,IF($J175=9,$E175*$I175/12*2,IF($J175&gt;=10,$E175*$I175/12*3,0))))))</f>
        <v>0</v>
      </c>
      <c r="CQ175" s="1806">
        <f t="shared" ref="CQ175" si="2514">IF($H175&lt;&gt;CR$5,0,IF(CR175&gt;0,IF(OR($J175=1,$J175=2,$J175=3,$J175=4,$J175=5,$J175=6,$J175=7,$J175=8,$J175=9,$J175=10),$E175*$I175/12*3,IF($J175=11,$E175*$I175/12*2,IF($J175=12,$E175*$I175/12*1,0)))))+IF(CM$5&lt;&gt;$H175,0,IF(CM175&gt;0,IF($J175=10,$E175*$I175/12*0,IF($J175=11,$E175*$I175/12*1,IF($J175=12,$E175*$I175/12*2,0)))))</f>
        <v>0</v>
      </c>
      <c r="CR175" s="1791">
        <f t="shared" ref="CR175" si="2515">IF(AND(CM175&lt;&gt;0,CM$5=$H175),$I175*$E175-CM175,IF(CR$5=$H175,$I175*$E175*(12-$J175+1)/12,0))</f>
        <v>0</v>
      </c>
      <c r="CS175" s="1808">
        <f t="shared" ref="CS175" si="2516">IF($H175&lt;&gt;CW$5,0,IF(CW175&gt;0,IF($J175=1,$E175*$I175/12*3,IF($J175=2,$E175*$I175/12*2,IF($J175=3,$E175*$I175/12*1,0)))))+IF(CR$5&lt;&gt;$H175,0,IF(CR175&gt;0,IF($J175=1,$E175*$I175/12*0,IF($J175=2,$E175*$I175/12*1,IF($J175=3,$E175*$I175/12*2,IF($J175&gt;=4,$E175*$I175/12*3,0))))))</f>
        <v>0</v>
      </c>
      <c r="CT175" s="1807">
        <f t="shared" ref="CT175" si="2517">IF($H175&lt;&gt;CW$5,0,IF(CW175&gt;0,IF(OR($J175=1,$J175=2,$J175=3,$J175=4),$E175*$I175/12*3,IF($J175=5,$E175*$I175/12*2,IF($J175=6,$E175*$I175/12*1,0)))))+IF(CR$5&lt;&gt;$H175,0,IF(CR175&gt;0,IF($J175=4,$E175*$I175/12*0,IF($J175=5,$E175*$I175/12*1,IF($J175=6,$E175*$I175/12*2,IF($J175&gt;=7,$E175*$I175/12*3,0))))))</f>
        <v>0</v>
      </c>
      <c r="CU175" s="1807">
        <f t="shared" ref="CU175" si="2518">IF($H175&lt;&gt;CW$5,0,IF(CW175&gt;0,IF(OR($J175=1,$J175=2,$J175=3,$J175=4,$J175=5,$J175=6,$J175=7),$E175*$I175/12*3,IF($J175=8,$E175*$I175/12*2,IF($J175=9,$E175*$I175/12*1,0)))))+IF(CR$5&lt;&gt;$H175,0,IF(CR175&gt;0,IF($J175=7,$E175*$I175/12*0,IF($J175=8,$E175*$I175/12*1,IF($J175=9,$E175*$I175/12*2,IF($J175&gt;=10,$E175*$I175/12*3,0))))))</f>
        <v>0</v>
      </c>
      <c r="CV175" s="1806">
        <f t="shared" ref="CV175" si="2519">IF($H175&lt;&gt;CW$5,0,IF(CW175&gt;0,IF(OR($J175=1,$J175=2,$J175=3,$J175=4,$J175=5,$J175=6,$J175=7,$J175=8,$J175=9,$J175=10),$E175*$I175/12*3,IF($J175=11,$E175*$I175/12*2,IF($J175=12,$E175*$I175/12*1,0)))))+IF(CR$5&lt;&gt;$H175,0,IF(CR175&gt;0,IF($J175=10,$E175*$I175/12*0,IF($J175=11,$E175*$I175/12*1,IF($J175=12,$E175*$I175/12*2,0)))))</f>
        <v>0</v>
      </c>
      <c r="CW175" s="1791">
        <f t="shared" ref="CW175" si="2520">IF(AND(CR175&lt;&gt;0,CR$5=$H175),$I175*$E175-CR175,IF(CW$5=$H175,$I175*$E175*(12-$J175+1)/12,0))</f>
        <v>0</v>
      </c>
      <c r="CX175" s="1808">
        <f t="shared" ref="CX175" si="2521">IF($H175&lt;&gt;DB$5,0,IF(DB175&gt;0,IF($J175=1,$E175*$I175/12*3,IF($J175=2,$E175*$I175/12*2,IF($J175=3,$E175*$I175/12*1,0)))))+IF(CW$5&lt;&gt;$H175,0,IF(CW175&gt;0,IF($J175=1,$E175*$I175/12*0,IF($J175=2,$E175*$I175/12*1,IF($J175=3,$E175*$I175/12*2,IF($J175&gt;=4,$E175*$I175/12*3,0))))))</f>
        <v>0</v>
      </c>
      <c r="CY175" s="1807">
        <f t="shared" ref="CY175" si="2522">IF($H175&lt;&gt;DB$5,0,IF(DB175&gt;0,IF(OR($J175=1,$J175=2,$J175=3,$J175=4),$E175*$I175/12*3,IF($J175=5,$E175*$I175/12*2,IF($J175=6,$E175*$I175/12*1,0)))))+IF(CW$5&lt;&gt;$H175,0,IF(CW175&gt;0,IF($J175=4,$E175*$I175/12*0,IF($J175=5,$E175*$I175/12*1,IF($J175=6,$E175*$I175/12*2,IF($J175&gt;=7,$E175*$I175/12*3,0))))))</f>
        <v>0</v>
      </c>
      <c r="CZ175" s="1807">
        <f t="shared" ref="CZ175" si="2523">IF($H175&lt;&gt;DB$5,0,IF(DB175&gt;0,IF(OR($J175=1,$J175=2,$J175=3,$J175=4,$J175=5,$J175=6,$J175=7),$E175*$I175/12*3,IF($J175=8,$E175*$I175/12*2,IF($J175=9,$E175*$I175/12*1,0)))))+IF(CW$5&lt;&gt;$H175,0,IF(CW175&gt;0,IF($J175=7,$E175*$I175/12*0,IF($J175=8,$E175*$I175/12*1,IF($J175=9,$E175*$I175/12*2,IF($J175&gt;=10,$E175*$I175/12*3,0))))))</f>
        <v>0</v>
      </c>
      <c r="DA175" s="1806">
        <f t="shared" ref="DA175" si="2524">IF($H175&lt;&gt;DB$5,0,IF(DB175&gt;0,IF(OR($J175=1,$J175=2,$J175=3,$J175=4,$J175=5,$J175=6,$J175=7,$J175=8,$J175=9,$J175=10),$E175*$I175/12*3,IF($J175=11,$E175*$I175/12*2,IF($J175=12,$E175*$I175/12*1,0)))))+IF(CW$5&lt;&gt;$H175,0,IF(CW175&gt;0,IF($J175=10,$E175*$I175/12*0,IF($J175=11,$E175*$I175/12*1,IF($J175=12,$E175*$I175/12*2,0)))))</f>
        <v>0.43125000000000008</v>
      </c>
      <c r="DB175" s="1791">
        <f t="shared" ref="DB175" si="2525">IF(AND(CW175&lt;&gt;0,CW$5=$H175),$I175*$E175-CW175,IF(DB$5=$H175,$I175*$E175*(12-$J175+1)/12,0))</f>
        <v>0.43125000000000008</v>
      </c>
      <c r="DC175" s="1808">
        <f t="shared" ref="DC175" si="2526">IF($H175&lt;&gt;DG$5,0,IF(DG175&gt;0,IF($J175=1,$E175*$I175/12*3,IF($J175=2,$E175*$I175/12*2,IF($J175=3,$E175*$I175/12*1,0)))))+IF(DB$5&lt;&gt;$H175,0,IF(DB175&gt;0,IF($J175=1,$E175*$I175/12*0,IF($J175=2,$E175*$I175/12*1,IF($J175=3,$E175*$I175/12*2,IF($J175&gt;=4,$E175*$I175/12*3,0))))))</f>
        <v>1.2937500000000002</v>
      </c>
      <c r="DD175" s="1807">
        <f t="shared" ref="DD175" si="2527">IF($H175&lt;&gt;DG$5,0,IF(DG175&gt;0,IF(OR($J175=1,$J175=2,$J175=3,$J175=4),$E175*$I175/12*3,IF($J175=5,$E175*$I175/12*2,IF($J175=6,$E175*$I175/12*1,0)))))+IF(DB$5&lt;&gt;$H175,0,IF(DB175&gt;0,IF($J175=4,$E175*$I175/12*0,IF($J175=5,$E175*$I175/12*1,IF($J175=6,$E175*$I175/12*2,IF($J175&gt;=7,$E175*$I175/12*3,0))))))</f>
        <v>1.2937500000000002</v>
      </c>
      <c r="DE175" s="1807">
        <f t="shared" ref="DE175" si="2528">IF($H175&lt;&gt;DG$5,0,IF(DG175&gt;0,IF(OR($J175=1,$J175=2,$J175=3,$J175=4,$J175=5,$J175=6,$J175=7),$E175*$I175/12*3,IF($J175=8,$E175*$I175/12*2,IF($J175=9,$E175*$I175/12*1,0)))))+IF(DB$5&lt;&gt;$H175,0,IF(DB175&gt;0,IF($J175=7,$E175*$I175/12*0,IF($J175=8,$E175*$I175/12*1,IF($J175=9,$E175*$I175/12*2,IF($J175&gt;=10,$E175*$I175/12*3,0))))))</f>
        <v>1.2937500000000002</v>
      </c>
      <c r="DF175" s="1806">
        <f t="shared" ref="DF175" si="2529">IF($H175&lt;&gt;DG$5,0,IF(DG175&gt;0,IF(OR($J175=1,$J175=2,$J175=3,$J175=4,$J175=5,$J175=6,$J175=7,$J175=8,$J175=9,$J175=10),$E175*$I175/12*3,IF($J175=11,$E175*$I175/12*2,IF($J175=12,$E175*$I175/12*1,0)))))+IF(DB$5&lt;&gt;$H175,0,IF(DB175&gt;0,IF($J175=10,$E175*$I175/12*0,IF($J175=11,$E175*$I175/12*1,IF($J175=12,$E175*$I175/12*2,0)))))</f>
        <v>0.86250000000000016</v>
      </c>
      <c r="DG175" s="1791">
        <f t="shared" ref="DG175" si="2530">IF(AND(DB175&lt;&gt;0,DB$5=$H175),$I175*$E175-DB175,IF(DG$5=$H175,$I175*$E175*(12-$J175+1)/12,0))</f>
        <v>4.7437500000000004</v>
      </c>
      <c r="DH175" s="1808">
        <f t="shared" ref="DH175" si="2531">IF($H175&lt;&gt;DL$5,0,IF(DL175&gt;0,IF($J175=1,$E175*$I175/12*3,IF($J175=2,$E175*$I175/12*2,IF($J175=3,$E175*$I175/12*1,0)))))+IF(DG$5&lt;&gt;$H175,0,IF(DG175&gt;0,IF($J175=1,$E175*$I175/12*0,IF($J175=2,$E175*$I175/12*1,IF($J175=3,$E175*$I175/12*2,IF($J175&gt;=4,$E175*$I175/12*3,0))))))</f>
        <v>0</v>
      </c>
      <c r="DI175" s="1807">
        <f t="shared" ref="DI175" si="2532">IF($H175&lt;&gt;DL$5,0,IF(DL175&gt;0,IF(OR($J175=1,$J175=2,$J175=3,$J175=4),$E175*$I175/12*3,IF($J175=5,$E175*$I175/12*2,IF($J175=6,$E175*$I175/12*1,0)))))+IF(DG$5&lt;&gt;$H175,0,IF(DG175&gt;0,IF($J175=4,$E175*$I175/12*0,IF($J175=5,$E175*$I175/12*1,IF($J175=6,$E175*$I175/12*2,IF($J175&gt;=7,$E175*$I175/12*3,0))))))</f>
        <v>0</v>
      </c>
      <c r="DJ175" s="1807">
        <f t="shared" ref="DJ175" si="2533">IF($H175&lt;&gt;DL$5,0,IF(DL175&gt;0,IF(OR($J175=1,$J175=2,$J175=3,$J175=4,$J175=5,$J175=6,$J175=7),$E175*$I175/12*3,IF($J175=8,$E175*$I175/12*2,IF($J175=9,$E175*$I175/12*1,0)))))+IF(DG$5&lt;&gt;$H175,0,IF(DG175&gt;0,IF($J175=7,$E175*$I175/12*0,IF($J175=8,$E175*$I175/12*1,IF($J175=9,$E175*$I175/12*2,IF($J175&gt;=10,$E175*$I175/12*3,0))))))</f>
        <v>0</v>
      </c>
      <c r="DK175" s="1806">
        <f t="shared" ref="DK175" si="2534">IF($H175&lt;&gt;DL$5,0,IF(DL175&gt;0,IF(OR($J175=1,$J175=2,$J175=3,$J175=4,$J175=5,$J175=6,$J175=7,$J175=8,$J175=9,$J175=10),$E175*$I175/12*3,IF($J175=11,$E175*$I175/12*2,IF($J175=12,$E175*$I175/12*1,0)))))+IF(DG$5&lt;&gt;$H175,0,IF(DG175&gt;0,IF($J175=10,$E175*$I175/12*0,IF($J175=11,$E175*$I175/12*1,IF($J175=12,$E175*$I175/12*2,0)))))</f>
        <v>0</v>
      </c>
      <c r="DL175" s="1791">
        <f t="shared" ref="DL175" si="2535">IF(AND(DG175&lt;&gt;0,DG$5=$H175),$I175*$E175-DG175,IF(DL$5=$H175,$I175*$E175*(12-$J175+1)/12,0))</f>
        <v>0</v>
      </c>
      <c r="DM175" s="1808">
        <f t="shared" ref="DM175" si="2536">IF($H175&lt;&gt;DQ$5,0,IF(DQ175&gt;0,IF($J175=1,$E175*$I175/12*3,IF($J175=2,$E175*$I175/12*2,IF($J175=3,$E175*$I175/12*1,0)))))+IF(DL$5&lt;&gt;$H175,0,IF(DL175&gt;0,IF($J175=1,$E175*$I175/12*0,IF($J175=2,$E175*$I175/12*1,IF($J175=3,$E175*$I175/12*2,IF($J175&gt;=4,$E175*$I175/12*3,0))))))</f>
        <v>0</v>
      </c>
      <c r="DN175" s="1807">
        <f t="shared" ref="DN175" si="2537">IF($H175&lt;&gt;DQ$5,0,IF(DQ175&gt;0,IF(OR($J175=1,$J175=2,$J175=3,$J175=4),$E175*$I175/12*3,IF($J175=5,$E175*$I175/12*2,IF($J175=6,$E175*$I175/12*1,0)))))+IF(DL$5&lt;&gt;$H175,0,IF(DL175&gt;0,IF($J175=4,$E175*$I175/12*0,IF($J175=5,$E175*$I175/12*1,IF($J175=6,$E175*$I175/12*2,IF($J175&gt;=7,$E175*$I175/12*3,0))))))</f>
        <v>0</v>
      </c>
      <c r="DO175" s="1807">
        <f t="shared" ref="DO175" si="2538">IF($H175&lt;&gt;DQ$5,0,IF(DQ175&gt;0,IF(OR($J175=1,$J175=2,$J175=3,$J175=4,$J175=5,$J175=6,$J175=7),$E175*$I175/12*3,IF($J175=8,$E175*$I175/12*2,IF($J175=9,$E175*$I175/12*1,0)))))+IF(DL$5&lt;&gt;$H175,0,IF(DL175&gt;0,IF($J175=7,$E175*$I175/12*0,IF($J175=8,$E175*$I175/12*1,IF($J175=9,$E175*$I175/12*2,IF($J175&gt;=10,$E175*$I175/12*3,0))))))</f>
        <v>0</v>
      </c>
      <c r="DP175" s="1806">
        <f t="shared" ref="DP175" si="2539">IF($H175&lt;&gt;DQ$5,0,IF(DQ175&gt;0,IF(OR($J175=1,$J175=2,$J175=3,$J175=4,$J175=5,$J175=6,$J175=7,$J175=8,$J175=9,$J175=10),$E175*$I175/12*3,IF($J175=11,$E175*$I175/12*2,IF($J175=12,$E175*$I175/12*1,0)))))+IF(DL$5&lt;&gt;$H175,0,IF(DL175&gt;0,IF($J175=10,$E175*$I175/12*0,IF($J175=11,$E175*$I175/12*1,IF($J175=12,$E175*$I175/12*2,0)))))</f>
        <v>0</v>
      </c>
      <c r="DQ175" s="1791">
        <f t="shared" ref="DQ175" si="2540">IF(AND(DL175&lt;&gt;0,DL$5=$H175),$I175*$E175-DL175,IF(DQ$5=$H175,$I175*$E175*(12-$J175+1)/12,0))</f>
        <v>0</v>
      </c>
      <c r="DR175" s="1808">
        <f t="shared" ref="DR175" si="2541">IF($H175&lt;&gt;DV$5,0,IF(DV175&gt;0,IF($J175=1,$E175*$I175/12*3,IF($J175=2,$E175*$I175/12*2,IF($J175=3,$E175*$I175/12*1,0)))))+IF(DQ$5&lt;&gt;$H175,0,IF(DQ175&gt;0,IF($J175=1,$E175*$I175/12*0,IF($J175=2,$E175*$I175/12*1,IF($J175=3,$E175*$I175/12*2,IF($J175&gt;=4,$E175*$I175/12*3,0))))))</f>
        <v>0</v>
      </c>
      <c r="DS175" s="1807">
        <f t="shared" ref="DS175" si="2542">IF($H175&lt;&gt;DV$5,0,IF(DV175&gt;0,IF(OR($J175=1,$J175=2,$J175=3,$J175=4),$E175*$I175/12*3,IF($J175=5,$E175*$I175/12*2,IF($J175=6,$E175*$I175/12*1,0)))))+IF(DQ$5&lt;&gt;$H175,0,IF(DQ175&gt;0,IF($J175=4,$E175*$I175/12*0,IF($J175=5,$E175*$I175/12*1,IF($J175=6,$E175*$I175/12*2,IF($J175&gt;=7,$E175*$I175/12*3,0))))))</f>
        <v>0</v>
      </c>
      <c r="DT175" s="1807">
        <f t="shared" ref="DT175" si="2543">IF($H175&lt;&gt;DV$5,0,IF(DV175&gt;0,IF(OR($J175=1,$J175=2,$J175=3,$J175=4,$J175=5,$J175=6,$J175=7),$E175*$I175/12*3,IF($J175=8,$E175*$I175/12*2,IF($J175=9,$E175*$I175/12*1,0)))))+IF(DQ$5&lt;&gt;$H175,0,IF(DQ175&gt;0,IF($J175=7,$E175*$I175/12*0,IF($J175=8,$E175*$I175/12*1,IF($J175=9,$E175*$I175/12*2,IF($J175&gt;=10,$E175*$I175/12*3,0))))))</f>
        <v>0</v>
      </c>
      <c r="DU175" s="1806">
        <f t="shared" ref="DU175" si="2544">IF($H175&lt;&gt;DV$5,0,IF(DV175&gt;0,IF(OR($J175=1,$J175=2,$J175=3,$J175=4,$J175=5,$J175=6,$J175=7,$J175=8,$J175=9,$J175=10),$E175*$I175/12*3,IF($J175=11,$E175*$I175/12*2,IF($J175=12,$E175*$I175/12*1,0)))))+IF(DQ$5&lt;&gt;$H175,0,IF(DQ175&gt;0,IF($J175=10,$E175*$I175/12*0,IF($J175=11,$E175*$I175/12*1,IF($J175=12,$E175*$I175/12*2,0)))))</f>
        <v>0</v>
      </c>
      <c r="DV175" s="1791">
        <f t="shared" ref="DV175" si="2545">IF(AND(DQ175&lt;&gt;0,DQ$5=$H175),$I175*$E175-DQ175,IF(DV$5=$H175,$I175*$E175*(12-$J175+1)/12,0))</f>
        <v>0</v>
      </c>
    </row>
    <row r="176" spans="1:126">
      <c r="A176" s="455"/>
      <c r="B176" s="455"/>
      <c r="C176" s="1678" t="s">
        <v>287</v>
      </c>
      <c r="D176" s="1815"/>
      <c r="E176" s="1814">
        <f>Utility!BB191</f>
        <v>2500</v>
      </c>
      <c r="F176" s="1840"/>
      <c r="G176" s="1840"/>
      <c r="H176" s="1813">
        <v>2018</v>
      </c>
      <c r="I176" s="1812">
        <v>0.06</v>
      </c>
      <c r="J176" s="1811">
        <v>4</v>
      </c>
      <c r="K176" s="1792"/>
      <c r="L176" s="1810">
        <f t="shared" si="2142"/>
        <v>0</v>
      </c>
      <c r="M176" s="1791">
        <f t="shared" si="2142"/>
        <v>0</v>
      </c>
      <c r="N176" s="1808">
        <f t="shared" ref="N176:N178" si="2546">IF(R176=0,0,IF(R176&gt;0,IF($J176=3,R176,IF($J176=2,R176,IF($J176=1,R176,0)))))</f>
        <v>0</v>
      </c>
      <c r="O176" s="1807">
        <f t="shared" ref="O176:O178" si="2547">IF(R176=0,0,IF(R176&gt;0,IF($J176=6,R176,IF($J176=5,R176,IF($J176=4,R176,0)))))</f>
        <v>0</v>
      </c>
      <c r="P176" s="1807">
        <f t="shared" ref="P176:P178" si="2548">IF(R176=0,0,IF(R176&gt;0,IF($J176=9,R176,IF($J176=8,R176,IF($J176=7,R176,0)))))</f>
        <v>0</v>
      </c>
      <c r="Q176" s="1806">
        <f t="shared" ref="Q176:Q178" si="2549">IF(R176=0,0,IF(R176&gt;0,IF($J176=12,R176,IF($J176=11,R176,IF($J176=10,R176,0)))))</f>
        <v>0</v>
      </c>
      <c r="R176" s="1791">
        <f t="shared" si="2147"/>
        <v>0</v>
      </c>
      <c r="S176" s="1808">
        <f t="shared" ref="S176:S178" si="2550">IF(W176=0,0,IF(W176&gt;0,IF($J176=3,W176,IF($J176=2,W176,IF($J176=1,W176,0)))))</f>
        <v>0</v>
      </c>
      <c r="T176" s="1807">
        <f t="shared" ref="T176:T178" si="2551">IF(W176=0,0,IF(W176&gt;0,IF($J176=6,W176,IF($J176=5,W176,IF($J176=4,W176,0)))))</f>
        <v>0</v>
      </c>
      <c r="U176" s="1807">
        <f t="shared" ref="U176:U178" si="2552">IF(W176=0,0,IF(W176&gt;0,IF($J176=9,W176,IF($J176=8,W176,IF($J176=7,W176,0)))))</f>
        <v>0</v>
      </c>
      <c r="V176" s="1806">
        <f t="shared" ref="V176:V178" si="2553">IF(W176=0,0,IF(W176&gt;0,IF($J176=12,W176,IF($J176=11,W176,IF($J176=10,W176,0)))))</f>
        <v>0</v>
      </c>
      <c r="W176" s="1791">
        <f t="shared" si="2152"/>
        <v>0</v>
      </c>
      <c r="X176" s="1808">
        <f t="shared" ref="X176:X178" si="2554">IF(AB176=0,0,IF(AB176&gt;0,IF($J176=3,AB176,IF($J176=2,AB176,IF($J176=1,AB176,0)))))</f>
        <v>0</v>
      </c>
      <c r="Y176" s="1807">
        <f t="shared" ref="Y176:Y178" si="2555">IF(AB176=0,0,IF(AB176&gt;0,IF($J176=6,AB176,IF($J176=5,AB176,IF($J176=4,AB176,0)))))</f>
        <v>0</v>
      </c>
      <c r="Z176" s="1807">
        <f t="shared" ref="Z176:Z178" si="2556">IF(AB176=0,0,IF(AB176&gt;0,IF($J176=9,AB176,IF($J176=8,AB176,IF($J176=7,AB176,0)))))</f>
        <v>0</v>
      </c>
      <c r="AA176" s="1806">
        <f t="shared" ref="AA176:AA178" si="2557">IF(AB176=0,0,IF(AB176&gt;0,IF($J176=12,AB176,IF($J176=11,AB176,IF($J176=10,AB176,0)))))</f>
        <v>0</v>
      </c>
      <c r="AB176" s="1791">
        <f t="shared" si="2157"/>
        <v>0</v>
      </c>
      <c r="AC176" s="1808">
        <f t="shared" ref="AC176:AC178" si="2558">IF(AG176=0,0,IF(AG176&gt;0,IF($J176=3,AG176,IF($J176=2,AG176,IF($J176=1,AG176,0)))))</f>
        <v>0</v>
      </c>
      <c r="AD176" s="1807">
        <f t="shared" ref="AD176:AD178" si="2559">IF(AG176=0,0,IF(AG176&gt;0,IF($J176=6,AG176,IF($J176=5,AG176,IF($J176=4,AG176,0)))))</f>
        <v>0</v>
      </c>
      <c r="AE176" s="1807">
        <f t="shared" ref="AE176:AE178" si="2560">IF(AG176=0,0,IF(AG176&gt;0,IF($J176=9,AG176,IF($J176=8,AG176,IF($J176=7,AG176,0)))))</f>
        <v>0</v>
      </c>
      <c r="AF176" s="1806">
        <f t="shared" ref="AF176:AF178" si="2561">IF(AG176=0,0,IF(AG176&gt;0,IF($J176=12,AG176,IF($J176=11,AG176,IF($J176=10,AG176,0)))))</f>
        <v>0</v>
      </c>
      <c r="AG176" s="1791">
        <f t="shared" si="2162"/>
        <v>0</v>
      </c>
      <c r="AH176" s="1808">
        <f t="shared" ref="AH176:AH178" si="2562">IF(AL176=0,0,IF(AL176&gt;0,IF($J176=3,AL176,IF($J176=2,AL176,IF($J176=1,AL176,0)))))</f>
        <v>0</v>
      </c>
      <c r="AI176" s="1807">
        <f t="shared" ref="AI176:AI178" si="2563">IF(AL176=0,0,IF(AL176&gt;0,IF($J176=6,AL176,IF($J176=5,AL176,IF($J176=4,AL176,0)))))</f>
        <v>0</v>
      </c>
      <c r="AJ176" s="1807">
        <f t="shared" ref="AJ176:AJ178" si="2564">IF(AL176=0,0,IF(AL176&gt;0,IF($J176=9,AL176,IF($J176=8,AL176,IF($J176=7,AL176,0)))))</f>
        <v>0</v>
      </c>
      <c r="AK176" s="1806">
        <f t="shared" ref="AK176:AK178" si="2565">IF(AL176=0,0,IF(AL176&gt;0,IF($J176=12,AL176,IF($J176=11,AL176,IF($J176=10,AL176,0)))))</f>
        <v>0</v>
      </c>
      <c r="AL176" s="1791">
        <f t="shared" si="2167"/>
        <v>0</v>
      </c>
      <c r="AM176" s="1808">
        <f t="shared" ref="AM176:AM178" si="2566">IF(AQ176=0,0,IF(AQ176&gt;0,IF($J176=3,AQ176,IF($J176=2,AQ176,IF($J176=1,AQ176,0)))))</f>
        <v>0</v>
      </c>
      <c r="AN176" s="1807">
        <f t="shared" ref="AN176:AN178" si="2567">IF(AQ176=0,0,IF(AQ176&gt;0,IF($J176=6,AQ176,IF($J176=5,AQ176,IF($J176=4,AQ176,0)))))</f>
        <v>0</v>
      </c>
      <c r="AO176" s="1807">
        <f t="shared" ref="AO176:AO178" si="2568">IF(AQ176=0,0,IF(AQ176&gt;0,IF($J176=9,AQ176,IF($J176=8,AQ176,IF($J176=7,AQ176,0)))))</f>
        <v>0</v>
      </c>
      <c r="AP176" s="1806">
        <f t="shared" ref="AP176:AP178" si="2569">IF(AQ176=0,0,IF(AQ176&gt;0,IF($J176=12,AQ176,IF($J176=11,AQ176,IF($J176=10,AQ176,0)))))</f>
        <v>0</v>
      </c>
      <c r="AQ176" s="1791">
        <f t="shared" si="2172"/>
        <v>0</v>
      </c>
      <c r="AR176" s="1808">
        <f t="shared" ref="AR176:AR178" si="2570">IF(AV176=0,0,IF(AV176&gt;0,IF($J176=3,AV176,IF($J176=2,AV176,IF($J176=1,AV176,0)))))</f>
        <v>0</v>
      </c>
      <c r="AS176" s="1807">
        <f t="shared" ref="AS176:AS179" si="2571">IF(AV176=0,0,IF(AV176&gt;0,IF($J176=6,AV176,IF($J176=5,AV176,IF($J176=4,AV176,0)))))</f>
        <v>0</v>
      </c>
      <c r="AT176" s="1807">
        <f t="shared" ref="AT176:AT178" si="2572">IF(AV176=0,0,IF(AV176&gt;0,IF($J176=9,AV176,IF($J176=8,AV176,IF($J176=7,AV176,0)))))</f>
        <v>0</v>
      </c>
      <c r="AU176" s="1806">
        <f t="shared" ref="AU176:AU178" si="2573">IF(AV176=0,0,IF(AV176&gt;0,IF($J176=12,AV176,IF($J176=11,AV176,IF($J176=10,AV176,0)))))</f>
        <v>0</v>
      </c>
      <c r="AV176" s="1791">
        <f t="shared" si="2177"/>
        <v>0</v>
      </c>
      <c r="AW176" s="1808">
        <f t="shared" ref="AW176:AW178" si="2574">IF(BA176=0,0,IF(BA176&gt;0,IF($J176=3,BA176,IF($J176=2,BA176,IF($J176=1,BA176,0)))))</f>
        <v>0</v>
      </c>
      <c r="AX176" s="1807">
        <f t="shared" ref="AX176:AX178" si="2575">IF(BA176=0,0,IF(BA176&gt;0,IF($J176=6,BA176,IF($J176=5,BA176,IF($J176=4,BA176,0)))))</f>
        <v>2500</v>
      </c>
      <c r="AY176" s="1807">
        <f t="shared" ref="AY176:AY178" si="2576">IF(BA176=0,0,IF(BA176&gt;0,IF($J176=9,BA176,IF($J176=8,BA176,IF($J176=7,BA176,0)))))</f>
        <v>0</v>
      </c>
      <c r="AZ176" s="1806">
        <f t="shared" ref="AZ176:AZ178" si="2577">IF(BA176=0,0,IF(BA176&gt;0,IF($J176=12,BA176,IF($J176=11,BA176,IF($J176=10,BA176,0)))))</f>
        <v>0</v>
      </c>
      <c r="BA176" s="1791">
        <f t="shared" si="2182"/>
        <v>2500</v>
      </c>
      <c r="BB176" s="1808">
        <f t="shared" ref="BB176:BB178" si="2578">IF(BF176=0,0,IF(BF176&gt;0,IF($J176=3,BF176,IF($J176=2,BF176,IF($J176=1,BF176,0)))))</f>
        <v>0</v>
      </c>
      <c r="BC176" s="1807">
        <f t="shared" ref="BC176:BC178" si="2579">IF(BF176=0,0,IF(BF176&gt;0,IF($J176=6,BF176,IF($J176=5,BF176,IF($J176=4,BF176,0)))))</f>
        <v>0</v>
      </c>
      <c r="BD176" s="1807">
        <f t="shared" ref="BD176:BD178" si="2580">IF(BF176=0,0,IF(BF176&gt;0,IF($J176=9,BF176,IF($J176=8,BF176,IF($J176=7,BF176,0)))))</f>
        <v>0</v>
      </c>
      <c r="BE176" s="1806">
        <f t="shared" ref="BE176:BE178" si="2581">IF(BF176=0,0,IF(BF176&gt;0,IF($J176=12,BF176,IF($J176=11,BF176,IF($J176=10,BF176,0)))))</f>
        <v>0</v>
      </c>
      <c r="BF176" s="1791">
        <f t="shared" si="2187"/>
        <v>0</v>
      </c>
      <c r="BG176" s="1808">
        <f t="shared" ref="BG176:BG178" si="2582">IF(BK176=0,0,IF(BK176&gt;0,IF($J176=3,BK176,IF($J176=2,BK176,IF($J176=1,BK176,0)))))</f>
        <v>0</v>
      </c>
      <c r="BH176" s="1807">
        <f t="shared" ref="BH176:BH178" si="2583">IF(BK176=0,0,IF(BK176&gt;0,IF($J176=6,BK176,IF($J176=5,BK176,IF($J176=4,BK176,0)))))</f>
        <v>0</v>
      </c>
      <c r="BI176" s="1807">
        <f t="shared" ref="BI176:BI178" si="2584">IF(BK176=0,0,IF(BK176&gt;0,IF($J176=9,BK176,IF($J176=8,BK176,IF($J176=7,BK176,0)))))</f>
        <v>0</v>
      </c>
      <c r="BJ176" s="1806">
        <f t="shared" ref="BJ176:BJ178" si="2585">IF(BK176=0,0,IF(BK176&gt;0,IF($J176=12,BK176,IF($J176=11,BK176,IF($J176=10,BK176,0)))))</f>
        <v>0</v>
      </c>
      <c r="BK176" s="1791">
        <f t="shared" si="2192"/>
        <v>0</v>
      </c>
      <c r="BL176" s="1808">
        <f t="shared" ref="BL176:BL178" si="2586">IF(BP176=0,0,IF(BP176&gt;0,IF($J176=3,BP176,IF($J176=2,BP176,IF($J176=1,BP176,0)))))</f>
        <v>0</v>
      </c>
      <c r="BM176" s="1807">
        <f t="shared" ref="BM176:BM178" si="2587">IF(BP176=0,0,IF(BP176&gt;0,IF($J176=6,BP176,IF($J176=5,BP176,IF($J176=4,BP176,0)))))</f>
        <v>0</v>
      </c>
      <c r="BN176" s="1807">
        <f t="shared" ref="BN176:BN178" si="2588">IF(BP176=0,0,IF(BP176&gt;0,IF($J176=9,BP176,IF($J176=8,BP176,IF($J176=7,BP176,0)))))</f>
        <v>0</v>
      </c>
      <c r="BO176" s="1806">
        <f t="shared" ref="BO176:BO178" si="2589">IF(BP176=0,0,IF(BP176&gt;0,IF($J176=12,BP176,IF($J176=11,BP176,IF($J176=10,BP176,0)))))</f>
        <v>0</v>
      </c>
      <c r="BP176" s="1791">
        <f t="shared" si="2197"/>
        <v>0</v>
      </c>
      <c r="BQ176" s="1809"/>
      <c r="BR176" s="1791">
        <f t="shared" ref="BR176:BS178" si="2590">IF(AND(BQ176&lt;&gt;0,BQ$5=$H176),$I176*$E176-BQ176,IF(BR$5=$H176,$I176*$E176*(12-$J176+1)/12,0))</f>
        <v>0</v>
      </c>
      <c r="BS176" s="1791">
        <f t="shared" si="2590"/>
        <v>0</v>
      </c>
      <c r="BT176" s="1808">
        <f t="shared" ref="BT176:BT178" si="2591">IF($H176&lt;&gt;BX$5,0,IF(BX176&gt;0,IF($J176=1,$E176*$I176/12*3,IF($J176=2,$E176*$I176/12*2,IF($J176=3,$E176*$I176/12*1,0)))))+IF(BS$5&lt;&gt;$H176,0,IF(BS176&gt;0,IF($J176=1,$E176*$I176/12*0,IF($J176=2,$E176*$I176/12*1,IF($J176=3,$E176*$I176/12*2,IF($J176&gt;=4,$E176*$I176/12*3,0))))))</f>
        <v>0</v>
      </c>
      <c r="BU176" s="1807">
        <f t="shared" ref="BU176:BU178" si="2592">IF($H176&lt;&gt;BX$5,0,IF(BX176&gt;0,IF(OR($J176=1,$J176=2,$J176=3,$J176=4),$E176*$I176/12*3,IF($J176=5,$E176*$I176/12*2,IF($J176=6,$E176*$I176/12*1,0)))))+IF(BS$5&lt;&gt;$H176,0,IF(BS176&gt;0,IF($J176=4,$E176*$I176/12*0,IF($J176=5,$E176*$I176/12*1,IF($J176=6,$E176*$I176/12*2,IF($J176&gt;=7,$E176*$I176/12*3,0))))))</f>
        <v>0</v>
      </c>
      <c r="BV176" s="1807">
        <f t="shared" ref="BV176:BV178" si="2593">IF($H176&lt;&gt;BX$5,0,IF(BX176&gt;0,IF(OR($J176=1,$J176=2,$J176=3,$J176=4,$J176=5,$J176=6,$J176=7),$E176*$I176/12*3,IF($J176=8,$E176*$I176/12*2,IF($J176=9,$E176*$I176/12*1,0)))))+IF(BS$5&lt;&gt;$H176,0,IF(BS176&gt;0,IF($J176=7,$E176*$I176/12*0,IF($J176=8,$E176*$I176/12*1,IF($J176=9,$E176*$I176/12*2,IF($J176&gt;=10,$E176*$I176/12*3,0))))))</f>
        <v>0</v>
      </c>
      <c r="BW176" s="1806">
        <f t="shared" ref="BW176:BW178" si="2594">IF($H176&lt;&gt;BX$5,0,IF(BX176&gt;0,IF(OR($J176=1,$J176=2,$J176=3,$J176=4,$J176=5,$J176=6,$J176=7,$J176=8,$J176=9,$J176=10),$E176*$I176/12*3,IF($J176=11,$E176*$I176/12*2,IF($J176=12,$E176*$I176/12*1,0)))))+IF(BS$5&lt;&gt;$H176,0,IF(BS176&gt;0,IF($J176=10,$E176*$I176/12*0,IF($J176=11,$E176*$I176/12*1,IF($J176=12,$E176*$I176/12*2,0)))))</f>
        <v>0</v>
      </c>
      <c r="BX176" s="1791">
        <f t="shared" ref="BX176:BX178" si="2595">IF(AND(BS176&lt;&gt;0,BS$5=$H176),$I176*$E176-BS176,IF(BX$5=$H176,$I176*$E176*(12-$J176+1)/12,0))</f>
        <v>0</v>
      </c>
      <c r="BY176" s="1808">
        <f t="shared" ref="BY176:BY178" si="2596">IF($H176&lt;&gt;CC$5,0,IF(CC176&gt;0,IF($J176=1,$E176*$I176/12*3,IF($J176=2,$E176*$I176/12*2,IF($J176=3,$E176*$I176/12*1,0)))))+IF(BX$5&lt;&gt;$H176,0,IF(BX176&gt;0,IF($J176=1,$E176*$I176/12*0,IF($J176=2,$E176*$I176/12*1,IF($J176=3,$E176*$I176/12*2,IF($J176&gt;=4,$E176*$I176/12*3,0))))))</f>
        <v>0</v>
      </c>
      <c r="BZ176" s="1807">
        <f t="shared" ref="BZ176:BZ178" si="2597">IF($H176&lt;&gt;CC$5,0,IF(CC176&gt;0,IF(OR($J176=1,$J176=2,$J176=3,$J176=4),$E176*$I176/12*3,IF($J176=5,$E176*$I176/12*2,IF($J176=6,$E176*$I176/12*1,0)))))+IF(BX$5&lt;&gt;$H176,0,IF(BX176&gt;0,IF($J176=4,$E176*$I176/12*0,IF($J176=5,$E176*$I176/12*1,IF($J176=6,$E176*$I176/12*2,IF($J176&gt;=7,$E176*$I176/12*3,0))))))</f>
        <v>0</v>
      </c>
      <c r="CA176" s="1807">
        <f t="shared" ref="CA176:CA178" si="2598">IF($H176&lt;&gt;CC$5,0,IF(CC176&gt;0,IF(OR($J176=1,$J176=2,$J176=3,$J176=4,$J176=5,$J176=6,$J176=7),$E176*$I176/12*3,IF($J176=8,$E176*$I176/12*2,IF($J176=9,$E176*$I176/12*1,0)))))+IF(BX$5&lt;&gt;$H176,0,IF(BX176&gt;0,IF($J176=7,$E176*$I176/12*0,IF($J176=8,$E176*$I176/12*1,IF($J176=9,$E176*$I176/12*2,IF($J176&gt;=10,$E176*$I176/12*3,0))))))</f>
        <v>0</v>
      </c>
      <c r="CB176" s="1806">
        <f t="shared" ref="CB176:CB178" si="2599">IF($H176&lt;&gt;CC$5,0,IF(CC176&gt;0,IF(OR($J176=1,$J176=2,$J176=3,$J176=4,$J176=5,$J176=6,$J176=7,$J176=8,$J176=9,$J176=10),$E176*$I176/12*3,IF($J176=11,$E176*$I176/12*2,IF($J176=12,$E176*$I176/12*1,0)))))+IF(BX$5&lt;&gt;$H176,0,IF(BX176&gt;0,IF($J176=10,$E176*$I176/12*0,IF($J176=11,$E176*$I176/12*1,IF($J176=12,$E176*$I176/12*2,0)))))</f>
        <v>0</v>
      </c>
      <c r="CC176" s="1791">
        <f t="shared" ref="CC176:CC178" si="2600">IF(AND(BX176&lt;&gt;0,BX$5=$H176),$I176*$E176-BX176,IF(CC$5=$H176,$I176*$E176*(12-$J176+1)/12,0))</f>
        <v>0</v>
      </c>
      <c r="CD176" s="1808">
        <f t="shared" ref="CD176:CD178" si="2601">IF($H176&lt;&gt;CH$5,0,IF(CH176&gt;0,IF($J176=1,$E176*$I176/12*3,IF($J176=2,$E176*$I176/12*2,IF($J176=3,$E176*$I176/12*1,0)))))+IF(CC$5&lt;&gt;$H176,0,IF(CC176&gt;0,IF($J176=1,$E176*$I176/12*0,IF($J176=2,$E176*$I176/12*1,IF($J176=3,$E176*$I176/12*2,IF($J176&gt;=4,$E176*$I176/12*3,0))))))</f>
        <v>0</v>
      </c>
      <c r="CE176" s="1807">
        <f t="shared" ref="CE176:CE178" si="2602">IF($H176&lt;&gt;CH$5,0,IF(CH176&gt;0,IF(OR($J176=1,$J176=2,$J176=3,$J176=4),$E176*$I176/12*3,IF($J176=5,$E176*$I176/12*2,IF($J176=6,$E176*$I176/12*1,0)))))+IF(CC$5&lt;&gt;$H176,0,IF(CC176&gt;0,IF($J176=4,$E176*$I176/12*0,IF($J176=5,$E176*$I176/12*1,IF($J176=6,$E176*$I176/12*2,IF($J176&gt;=7,$E176*$I176/12*3,0))))))</f>
        <v>0</v>
      </c>
      <c r="CF176" s="1807">
        <f t="shared" ref="CF176:CF178" si="2603">IF($H176&lt;&gt;CH$5,0,IF(CH176&gt;0,IF(OR($J176=1,$J176=2,$J176=3,$J176=4,$J176=5,$J176=6,$J176=7),$E176*$I176/12*3,IF($J176=8,$E176*$I176/12*2,IF($J176=9,$E176*$I176/12*1,0)))))+IF(CC$5&lt;&gt;$H176,0,IF(CC176&gt;0,IF($J176=7,$E176*$I176/12*0,IF($J176=8,$E176*$I176/12*1,IF($J176=9,$E176*$I176/12*2,IF($J176&gt;=10,$E176*$I176/12*3,0))))))</f>
        <v>0</v>
      </c>
      <c r="CG176" s="1806">
        <f t="shared" ref="CG176:CG178" si="2604">IF($H176&lt;&gt;CH$5,0,IF(CH176&gt;0,IF(OR($J176=1,$J176=2,$J176=3,$J176=4,$J176=5,$J176=6,$J176=7,$J176=8,$J176=9,$J176=10),$E176*$I176/12*3,IF($J176=11,$E176*$I176/12*2,IF($J176=12,$E176*$I176/12*1,0)))))+IF(CC$5&lt;&gt;$H176,0,IF(CC176&gt;0,IF($J176=10,$E176*$I176/12*0,IF($J176=11,$E176*$I176/12*1,IF($J176=12,$E176*$I176/12*2,0)))))</f>
        <v>0</v>
      </c>
      <c r="CH176" s="1791">
        <f t="shared" ref="CH176:CH178" si="2605">IF(AND(CC176&lt;&gt;0,CC$5=$H176),$I176*$E176-CC176,IF(CH$5=$H176,$I176*$E176*(12-$J176+1)/12,0))</f>
        <v>0</v>
      </c>
      <c r="CI176" s="1808">
        <f t="shared" ref="CI176:CI178" si="2606">IF($H176&lt;&gt;CM$5,0,IF(CM176&gt;0,IF($J176=1,$E176*$I176/12*3,IF($J176=2,$E176*$I176/12*2,IF($J176=3,$E176*$I176/12*1,0)))))+IF(CH$5&lt;&gt;$H176,0,IF(CH176&gt;0,IF($J176=1,$E176*$I176/12*0,IF($J176=2,$E176*$I176/12*1,IF($J176=3,$E176*$I176/12*2,IF($J176&gt;=4,$E176*$I176/12*3,0))))))</f>
        <v>0</v>
      </c>
      <c r="CJ176" s="1807">
        <f t="shared" ref="CJ176:CJ178" si="2607">IF($H176&lt;&gt;CM$5,0,IF(CM176&gt;0,IF(OR($J176=1,$J176=2,$J176=3,$J176=4),$E176*$I176/12*3,IF($J176=5,$E176*$I176/12*2,IF($J176=6,$E176*$I176/12*1,0)))))+IF(CH$5&lt;&gt;$H176,0,IF(CH176&gt;0,IF($J176=4,$E176*$I176/12*0,IF($J176=5,$E176*$I176/12*1,IF($J176=6,$E176*$I176/12*2,IF($J176&gt;=7,$E176*$I176/12*3,0))))))</f>
        <v>0</v>
      </c>
      <c r="CK176" s="1807">
        <f t="shared" ref="CK176:CK178" si="2608">IF($H176&lt;&gt;CM$5,0,IF(CM176&gt;0,IF(OR($J176=1,$J176=2,$J176=3,$J176=4,$J176=5,$J176=6,$J176=7),$E176*$I176/12*3,IF($J176=8,$E176*$I176/12*2,IF($J176=9,$E176*$I176/12*1,0)))))+IF(CH$5&lt;&gt;$H176,0,IF(CH176&gt;0,IF($J176=7,$E176*$I176/12*0,IF($J176=8,$E176*$I176/12*1,IF($J176=9,$E176*$I176/12*2,IF($J176&gt;=10,$E176*$I176/12*3,0))))))</f>
        <v>0</v>
      </c>
      <c r="CL176" s="1806">
        <f t="shared" ref="CL176:CL178" si="2609">IF($H176&lt;&gt;CM$5,0,IF(CM176&gt;0,IF(OR($J176=1,$J176=2,$J176=3,$J176=4,$J176=5,$J176=6,$J176=7,$J176=8,$J176=9,$J176=10),$E176*$I176/12*3,IF($J176=11,$E176*$I176/12*2,IF($J176=12,$E176*$I176/12*1,0)))))+IF(CH$5&lt;&gt;$H176,0,IF(CH176&gt;0,IF($J176=10,$E176*$I176/12*0,IF($J176=11,$E176*$I176/12*1,IF($J176=12,$E176*$I176/12*2,0)))))</f>
        <v>0</v>
      </c>
      <c r="CM176" s="1791">
        <f t="shared" ref="CM176:CM178" si="2610">IF(AND(CH176&lt;&gt;0,CH$5=$H176),$I176*$E176-CH176,IF(CM$5=$H176,$I176*$E176*(12-$J176+1)/12,0))</f>
        <v>0</v>
      </c>
      <c r="CN176" s="1808">
        <f t="shared" ref="CN176:CN178" si="2611">IF($H176&lt;&gt;CR$5,0,IF(CR176&gt;0,IF($J176=1,$E176*$I176/12*3,IF($J176=2,$E176*$I176/12*2,IF($J176=3,$E176*$I176/12*1,0)))))+IF(CM$5&lt;&gt;$H176,0,IF(CM176&gt;0,IF($J176=1,$E176*$I176/12*0,IF($J176=2,$E176*$I176/12*1,IF($J176=3,$E176*$I176/12*2,IF($J176&gt;=4,$E176*$I176/12*3,0))))))</f>
        <v>0</v>
      </c>
      <c r="CO176" s="1807">
        <f t="shared" ref="CO176:CO178" si="2612">IF($H176&lt;&gt;CR$5,0,IF(CR176&gt;0,IF(OR($J176=1,$J176=2,$J176=3,$J176=4),$E176*$I176/12*3,IF($J176=5,$E176*$I176/12*2,IF($J176=6,$E176*$I176/12*1,0)))))+IF(CM$5&lt;&gt;$H176,0,IF(CM176&gt;0,IF($J176=4,$E176*$I176/12*0,IF($J176=5,$E176*$I176/12*1,IF($J176=6,$E176*$I176/12*2,IF($J176&gt;=7,$E176*$I176/12*3,0))))))</f>
        <v>0</v>
      </c>
      <c r="CP176" s="1807">
        <f t="shared" ref="CP176:CP178" si="2613">IF($H176&lt;&gt;CR$5,0,IF(CR176&gt;0,IF(OR($J176=1,$J176=2,$J176=3,$J176=4,$J176=5,$J176=6,$J176=7),$E176*$I176/12*3,IF($J176=8,$E176*$I176/12*2,IF($J176=9,$E176*$I176/12*1,0)))))+IF(CM$5&lt;&gt;$H176,0,IF(CM176&gt;0,IF($J176=7,$E176*$I176/12*0,IF($J176=8,$E176*$I176/12*1,IF($J176=9,$E176*$I176/12*2,IF($J176&gt;=10,$E176*$I176/12*3,0))))))</f>
        <v>0</v>
      </c>
      <c r="CQ176" s="1806">
        <f t="shared" ref="CQ176:CQ178" si="2614">IF($H176&lt;&gt;CR$5,0,IF(CR176&gt;0,IF(OR($J176=1,$J176=2,$J176=3,$J176=4,$J176=5,$J176=6,$J176=7,$J176=8,$J176=9,$J176=10),$E176*$I176/12*3,IF($J176=11,$E176*$I176/12*2,IF($J176=12,$E176*$I176/12*1,0)))))+IF(CM$5&lt;&gt;$H176,0,IF(CM176&gt;0,IF($J176=10,$E176*$I176/12*0,IF($J176=11,$E176*$I176/12*1,IF($J176=12,$E176*$I176/12*2,0)))))</f>
        <v>0</v>
      </c>
      <c r="CR176" s="1791">
        <f t="shared" ref="CR176:CR178" si="2615">IF(AND(CM176&lt;&gt;0,CM$5=$H176),$I176*$E176-CM176,IF(CR$5=$H176,$I176*$E176*(12-$J176+1)/12,0))</f>
        <v>0</v>
      </c>
      <c r="CS176" s="1808">
        <f t="shared" ref="CS176:CS178" si="2616">IF($H176&lt;&gt;CW$5,0,IF(CW176&gt;0,IF($J176=1,$E176*$I176/12*3,IF($J176=2,$E176*$I176/12*2,IF($J176=3,$E176*$I176/12*1,0)))))+IF(CR$5&lt;&gt;$H176,0,IF(CR176&gt;0,IF($J176=1,$E176*$I176/12*0,IF($J176=2,$E176*$I176/12*1,IF($J176=3,$E176*$I176/12*2,IF($J176&gt;=4,$E176*$I176/12*3,0))))))</f>
        <v>0</v>
      </c>
      <c r="CT176" s="1807">
        <f t="shared" ref="CT176:CT178" si="2617">IF($H176&lt;&gt;CW$5,0,IF(CW176&gt;0,IF(OR($J176=1,$J176=2,$J176=3,$J176=4),$E176*$I176/12*3,IF($J176=5,$E176*$I176/12*2,IF($J176=6,$E176*$I176/12*1,0)))))+IF(CR$5&lt;&gt;$H176,0,IF(CR176&gt;0,IF($J176=4,$E176*$I176/12*0,IF($J176=5,$E176*$I176/12*1,IF($J176=6,$E176*$I176/12*2,IF($J176&gt;=7,$E176*$I176/12*3,0))))))</f>
        <v>0</v>
      </c>
      <c r="CU176" s="1807">
        <f t="shared" ref="CU176:CU178" si="2618">IF($H176&lt;&gt;CW$5,0,IF(CW176&gt;0,IF(OR($J176=1,$J176=2,$J176=3,$J176=4,$J176=5,$J176=6,$J176=7),$E176*$I176/12*3,IF($J176=8,$E176*$I176/12*2,IF($J176=9,$E176*$I176/12*1,0)))))+IF(CR$5&lt;&gt;$H176,0,IF(CR176&gt;0,IF($J176=7,$E176*$I176/12*0,IF($J176=8,$E176*$I176/12*1,IF($J176=9,$E176*$I176/12*2,IF($J176&gt;=10,$E176*$I176/12*3,0))))))</f>
        <v>0</v>
      </c>
      <c r="CV176" s="1806">
        <f t="shared" ref="CV176:CV178" si="2619">IF($H176&lt;&gt;CW$5,0,IF(CW176&gt;0,IF(OR($J176=1,$J176=2,$J176=3,$J176=4,$J176=5,$J176=6,$J176=7,$J176=8,$J176=9,$J176=10),$E176*$I176/12*3,IF($J176=11,$E176*$I176/12*2,IF($J176=12,$E176*$I176/12*1,0)))))+IF(CR$5&lt;&gt;$H176,0,IF(CR176&gt;0,IF($J176=10,$E176*$I176/12*0,IF($J176=11,$E176*$I176/12*1,IF($J176=12,$E176*$I176/12*2,0)))))</f>
        <v>0</v>
      </c>
      <c r="CW176" s="1791">
        <f t="shared" ref="CW176:CW178" si="2620">IF(AND(CR176&lt;&gt;0,CR$5=$H176),$I176*$E176-CR176,IF(CW$5=$H176,$I176*$E176*(12-$J176+1)/12,0))</f>
        <v>0</v>
      </c>
      <c r="CX176" s="1808">
        <f t="shared" ref="CX176:CX178" si="2621">IF($H176&lt;&gt;DB$5,0,IF(DB176&gt;0,IF($J176=1,$E176*$I176/12*3,IF($J176=2,$E176*$I176/12*2,IF($J176=3,$E176*$I176/12*1,0)))))+IF(CW$5&lt;&gt;$H176,0,IF(CW176&gt;0,IF($J176=1,$E176*$I176/12*0,IF($J176=2,$E176*$I176/12*1,IF($J176=3,$E176*$I176/12*2,IF($J176&gt;=4,$E176*$I176/12*3,0))))))</f>
        <v>0</v>
      </c>
      <c r="CY176" s="1807">
        <f t="shared" ref="CY176:CY178" si="2622">IF($H176&lt;&gt;DB$5,0,IF(DB176&gt;0,IF(OR($J176=1,$J176=2,$J176=3,$J176=4),$E176*$I176/12*3,IF($J176=5,$E176*$I176/12*2,IF($J176=6,$E176*$I176/12*1,0)))))+IF(CW$5&lt;&gt;$H176,0,IF(CW176&gt;0,IF($J176=4,$E176*$I176/12*0,IF($J176=5,$E176*$I176/12*1,IF($J176=6,$E176*$I176/12*2,IF($J176&gt;=7,$E176*$I176/12*3,0))))))</f>
        <v>0</v>
      </c>
      <c r="CZ176" s="1807">
        <f t="shared" ref="CZ176:CZ178" si="2623">IF($H176&lt;&gt;DB$5,0,IF(DB176&gt;0,IF(OR($J176=1,$J176=2,$J176=3,$J176=4,$J176=5,$J176=6,$J176=7),$E176*$I176/12*3,IF($J176=8,$E176*$I176/12*2,IF($J176=9,$E176*$I176/12*1,0)))))+IF(CW$5&lt;&gt;$H176,0,IF(CW176&gt;0,IF($J176=7,$E176*$I176/12*0,IF($J176=8,$E176*$I176/12*1,IF($J176=9,$E176*$I176/12*2,IF($J176&gt;=10,$E176*$I176/12*3,0))))))</f>
        <v>0</v>
      </c>
      <c r="DA176" s="1806">
        <f t="shared" ref="DA176:DA178" si="2624">IF($H176&lt;&gt;DB$5,0,IF(DB176&gt;0,IF(OR($J176=1,$J176=2,$J176=3,$J176=4,$J176=5,$J176=6,$J176=7,$J176=8,$J176=9,$J176=10),$E176*$I176/12*3,IF($J176=11,$E176*$I176/12*2,IF($J176=12,$E176*$I176/12*1,0)))))+IF(CW$5&lt;&gt;$H176,0,IF(CW176&gt;0,IF($J176=10,$E176*$I176/12*0,IF($J176=11,$E176*$I176/12*1,IF($J176=12,$E176*$I176/12*2,0)))))</f>
        <v>0</v>
      </c>
      <c r="DB176" s="1791">
        <f t="shared" ref="DB176:DB178" si="2625">IF(AND(CW176&lt;&gt;0,CW$5=$H176),$I176*$E176-CW176,IF(DB$5=$H176,$I176*$E176*(12-$J176+1)/12,0))</f>
        <v>0</v>
      </c>
      <c r="DC176" s="1808">
        <f t="shared" ref="DC176:DC178" si="2626">IF($H176&lt;&gt;DG$5,0,IF(DG176&gt;0,IF($J176=1,$E176*$I176/12*3,IF($J176=2,$E176*$I176/12*2,IF($J176=3,$E176*$I176/12*1,0)))))+IF(DB$5&lt;&gt;$H176,0,IF(DB176&gt;0,IF($J176=1,$E176*$I176/12*0,IF($J176=2,$E176*$I176/12*1,IF($J176=3,$E176*$I176/12*2,IF($J176&gt;=4,$E176*$I176/12*3,0))))))</f>
        <v>0</v>
      </c>
      <c r="DD176" s="1807">
        <f t="shared" ref="DD176:DD178" si="2627">IF($H176&lt;&gt;DG$5,0,IF(DG176&gt;0,IF(OR($J176=1,$J176=2,$J176=3,$J176=4),$E176*$I176/12*3,IF($J176=5,$E176*$I176/12*2,IF($J176=6,$E176*$I176/12*1,0)))))+IF(DB$5&lt;&gt;$H176,0,IF(DB176&gt;0,IF($J176=4,$E176*$I176/12*0,IF($J176=5,$E176*$I176/12*1,IF($J176=6,$E176*$I176/12*2,IF($J176&gt;=7,$E176*$I176/12*3,0))))))</f>
        <v>37.5</v>
      </c>
      <c r="DE176" s="1807">
        <f t="shared" ref="DE176:DE178" si="2628">IF($H176&lt;&gt;DG$5,0,IF(DG176&gt;0,IF(OR($J176=1,$J176=2,$J176=3,$J176=4,$J176=5,$J176=6,$J176=7),$E176*$I176/12*3,IF($J176=8,$E176*$I176/12*2,IF($J176=9,$E176*$I176/12*1,0)))))+IF(DB$5&lt;&gt;$H176,0,IF(DB176&gt;0,IF($J176=7,$E176*$I176/12*0,IF($J176=8,$E176*$I176/12*1,IF($J176=9,$E176*$I176/12*2,IF($J176&gt;=10,$E176*$I176/12*3,0))))))</f>
        <v>37.5</v>
      </c>
      <c r="DF176" s="1806">
        <f t="shared" ref="DF176:DF178" si="2629">IF($H176&lt;&gt;DG$5,0,IF(DG176&gt;0,IF(OR($J176=1,$J176=2,$J176=3,$J176=4,$J176=5,$J176=6,$J176=7,$J176=8,$J176=9,$J176=10),$E176*$I176/12*3,IF($J176=11,$E176*$I176/12*2,IF($J176=12,$E176*$I176/12*1,0)))))+IF(DB$5&lt;&gt;$H176,0,IF(DB176&gt;0,IF($J176=10,$E176*$I176/12*0,IF($J176=11,$E176*$I176/12*1,IF($J176=12,$E176*$I176/12*2,0)))))</f>
        <v>37.5</v>
      </c>
      <c r="DG176" s="1791">
        <f t="shared" ref="DG176:DG178" si="2630">IF(AND(DB176&lt;&gt;0,DB$5=$H176),$I176*$E176-DB176,IF(DG$5=$H176,$I176*$E176*(12-$J176+1)/12,0))</f>
        <v>112.5</v>
      </c>
      <c r="DH176" s="1808">
        <f t="shared" ref="DH176:DH178" si="2631">IF($H176&lt;&gt;DL$5,0,IF(DL176&gt;0,IF($J176=1,$E176*$I176/12*3,IF($J176=2,$E176*$I176/12*2,IF($J176=3,$E176*$I176/12*1,0)))))+IF(DG$5&lt;&gt;$H176,0,IF(DG176&gt;0,IF($J176=1,$E176*$I176/12*0,IF($J176=2,$E176*$I176/12*1,IF($J176=3,$E176*$I176/12*2,IF($J176&gt;=4,$E176*$I176/12*3,0))))))</f>
        <v>37.5</v>
      </c>
      <c r="DI176" s="1807">
        <f t="shared" ref="DI176:DI178" si="2632">IF($H176&lt;&gt;DL$5,0,IF(DL176&gt;0,IF(OR($J176=1,$J176=2,$J176=3,$J176=4),$E176*$I176/12*3,IF($J176=5,$E176*$I176/12*2,IF($J176=6,$E176*$I176/12*1,0)))))+IF(DG$5&lt;&gt;$H176,0,IF(DG176&gt;0,IF($J176=4,$E176*$I176/12*0,IF($J176=5,$E176*$I176/12*1,IF($J176=6,$E176*$I176/12*2,IF($J176&gt;=7,$E176*$I176/12*3,0))))))</f>
        <v>0</v>
      </c>
      <c r="DJ176" s="1807">
        <f t="shared" ref="DJ176:DJ178" si="2633">IF($H176&lt;&gt;DL$5,0,IF(DL176&gt;0,IF(OR($J176=1,$J176=2,$J176=3,$J176=4,$J176=5,$J176=6,$J176=7),$E176*$I176/12*3,IF($J176=8,$E176*$I176/12*2,IF($J176=9,$E176*$I176/12*1,0)))))+IF(DG$5&lt;&gt;$H176,0,IF(DG176&gt;0,IF($J176=7,$E176*$I176/12*0,IF($J176=8,$E176*$I176/12*1,IF($J176=9,$E176*$I176/12*2,IF($J176&gt;=10,$E176*$I176/12*3,0))))))</f>
        <v>0</v>
      </c>
      <c r="DK176" s="1806">
        <f t="shared" ref="DK176:DK178" si="2634">IF($H176&lt;&gt;DL$5,0,IF(DL176&gt;0,IF(OR($J176=1,$J176=2,$J176=3,$J176=4,$J176=5,$J176=6,$J176=7,$J176=8,$J176=9,$J176=10),$E176*$I176/12*3,IF($J176=11,$E176*$I176/12*2,IF($J176=12,$E176*$I176/12*1,0)))))+IF(DG$5&lt;&gt;$H176,0,IF(DG176&gt;0,IF($J176=10,$E176*$I176/12*0,IF($J176=11,$E176*$I176/12*1,IF($J176=12,$E176*$I176/12*2,0)))))</f>
        <v>0</v>
      </c>
      <c r="DL176" s="1791">
        <f t="shared" ref="DL176:DL178" si="2635">IF(AND(DG176&lt;&gt;0,DG$5=$H176),$I176*$E176-DG176,IF(DL$5=$H176,$I176*$E176*(12-$J176+1)/12,0))</f>
        <v>37.5</v>
      </c>
      <c r="DM176" s="1808">
        <f t="shared" ref="DM176:DM178" si="2636">IF($H176&lt;&gt;DQ$5,0,IF(DQ176&gt;0,IF($J176=1,$E176*$I176/12*3,IF($J176=2,$E176*$I176/12*2,IF($J176=3,$E176*$I176/12*1,0)))))+IF(DL$5&lt;&gt;$H176,0,IF(DL176&gt;0,IF($J176=1,$E176*$I176/12*0,IF($J176=2,$E176*$I176/12*1,IF($J176=3,$E176*$I176/12*2,IF($J176&gt;=4,$E176*$I176/12*3,0))))))</f>
        <v>0</v>
      </c>
      <c r="DN176" s="1807">
        <f t="shared" ref="DN176:DN178" si="2637">IF($H176&lt;&gt;DQ$5,0,IF(DQ176&gt;0,IF(OR($J176=1,$J176=2,$J176=3,$J176=4),$E176*$I176/12*3,IF($J176=5,$E176*$I176/12*2,IF($J176=6,$E176*$I176/12*1,0)))))+IF(DL$5&lt;&gt;$H176,0,IF(DL176&gt;0,IF($J176=4,$E176*$I176/12*0,IF($J176=5,$E176*$I176/12*1,IF($J176=6,$E176*$I176/12*2,IF($J176&gt;=7,$E176*$I176/12*3,0))))))</f>
        <v>0</v>
      </c>
      <c r="DO176" s="1807">
        <f t="shared" ref="DO176:DO178" si="2638">IF($H176&lt;&gt;DQ$5,0,IF(DQ176&gt;0,IF(OR($J176=1,$J176=2,$J176=3,$J176=4,$J176=5,$J176=6,$J176=7),$E176*$I176/12*3,IF($J176=8,$E176*$I176/12*2,IF($J176=9,$E176*$I176/12*1,0)))))+IF(DL$5&lt;&gt;$H176,0,IF(DL176&gt;0,IF($J176=7,$E176*$I176/12*0,IF($J176=8,$E176*$I176/12*1,IF($J176=9,$E176*$I176/12*2,IF($J176&gt;=10,$E176*$I176/12*3,0))))))</f>
        <v>0</v>
      </c>
      <c r="DP176" s="1806">
        <f t="shared" ref="DP176:DP178" si="2639">IF($H176&lt;&gt;DQ$5,0,IF(DQ176&gt;0,IF(OR($J176=1,$J176=2,$J176=3,$J176=4,$J176=5,$J176=6,$J176=7,$J176=8,$J176=9,$J176=10),$E176*$I176/12*3,IF($J176=11,$E176*$I176/12*2,IF($J176=12,$E176*$I176/12*1,0)))))+IF(DL$5&lt;&gt;$H176,0,IF(DL176&gt;0,IF($J176=10,$E176*$I176/12*0,IF($J176=11,$E176*$I176/12*1,IF($J176=12,$E176*$I176/12*2,0)))))</f>
        <v>0</v>
      </c>
      <c r="DQ176" s="1791">
        <f t="shared" ref="DQ176:DQ178" si="2640">IF(AND(DL176&lt;&gt;0,DL$5=$H176),$I176*$E176-DL176,IF(DQ$5=$H176,$I176*$E176*(12-$J176+1)/12,0))</f>
        <v>0</v>
      </c>
      <c r="DR176" s="1808">
        <f t="shared" ref="DR176:DR178" si="2641">IF($H176&lt;&gt;DV$5,0,IF(DV176&gt;0,IF($J176=1,$E176*$I176/12*3,IF($J176=2,$E176*$I176/12*2,IF($J176=3,$E176*$I176/12*1,0)))))+IF(DQ$5&lt;&gt;$H176,0,IF(DQ176&gt;0,IF($J176=1,$E176*$I176/12*0,IF($J176=2,$E176*$I176/12*1,IF($J176=3,$E176*$I176/12*2,IF($J176&gt;=4,$E176*$I176/12*3,0))))))</f>
        <v>0</v>
      </c>
      <c r="DS176" s="1807">
        <f t="shared" ref="DS176:DS178" si="2642">IF($H176&lt;&gt;DV$5,0,IF(DV176&gt;0,IF(OR($J176=1,$J176=2,$J176=3,$J176=4),$E176*$I176/12*3,IF($J176=5,$E176*$I176/12*2,IF($J176=6,$E176*$I176/12*1,0)))))+IF(DQ$5&lt;&gt;$H176,0,IF(DQ176&gt;0,IF($J176=4,$E176*$I176/12*0,IF($J176=5,$E176*$I176/12*1,IF($J176=6,$E176*$I176/12*2,IF($J176&gt;=7,$E176*$I176/12*3,0))))))</f>
        <v>0</v>
      </c>
      <c r="DT176" s="1807">
        <f t="shared" ref="DT176:DT178" si="2643">IF($H176&lt;&gt;DV$5,0,IF(DV176&gt;0,IF(OR($J176=1,$J176=2,$J176=3,$J176=4,$J176=5,$J176=6,$J176=7),$E176*$I176/12*3,IF($J176=8,$E176*$I176/12*2,IF($J176=9,$E176*$I176/12*1,0)))))+IF(DQ$5&lt;&gt;$H176,0,IF(DQ176&gt;0,IF($J176=7,$E176*$I176/12*0,IF($J176=8,$E176*$I176/12*1,IF($J176=9,$E176*$I176/12*2,IF($J176&gt;=10,$E176*$I176/12*3,0))))))</f>
        <v>0</v>
      </c>
      <c r="DU176" s="1806">
        <f t="shared" ref="DU176:DU178" si="2644">IF($H176&lt;&gt;DV$5,0,IF(DV176&gt;0,IF(OR($J176=1,$J176=2,$J176=3,$J176=4,$J176=5,$J176=6,$J176=7,$J176=8,$J176=9,$J176=10),$E176*$I176/12*3,IF($J176=11,$E176*$I176/12*2,IF($J176=12,$E176*$I176/12*1,0)))))+IF(DQ$5&lt;&gt;$H176,0,IF(DQ176&gt;0,IF($J176=10,$E176*$I176/12*0,IF($J176=11,$E176*$I176/12*1,IF($J176=12,$E176*$I176/12*2,0)))))</f>
        <v>0</v>
      </c>
      <c r="DV176" s="1791">
        <f t="shared" ref="DV176:DV178" si="2645">IF(AND(DQ176&lt;&gt;0,DQ$5=$H176),$I176*$E176-DQ176,IF(DV$5=$H176,$I176*$E176*(12-$J176+1)/12,0))</f>
        <v>0</v>
      </c>
    </row>
    <row r="177" spans="1:127">
      <c r="A177" s="455"/>
      <c r="B177" s="455"/>
      <c r="C177" s="1678" t="s">
        <v>914</v>
      </c>
      <c r="D177" s="1815"/>
      <c r="E177" s="1814">
        <f>Utility!BG191</f>
        <v>1800</v>
      </c>
      <c r="F177" s="1840"/>
      <c r="G177" s="1840"/>
      <c r="H177" s="1813">
        <f>+H176+1</f>
        <v>2019</v>
      </c>
      <c r="I177" s="1812">
        <v>0.06</v>
      </c>
      <c r="J177" s="1811">
        <v>7</v>
      </c>
      <c r="K177" s="1792"/>
      <c r="L177" s="1810">
        <f t="shared" si="2142"/>
        <v>0</v>
      </c>
      <c r="M177" s="1791">
        <f t="shared" si="2142"/>
        <v>0</v>
      </c>
      <c r="N177" s="1808">
        <f t="shared" si="2546"/>
        <v>0</v>
      </c>
      <c r="O177" s="1807">
        <f t="shared" si="2547"/>
        <v>0</v>
      </c>
      <c r="P177" s="1807">
        <f t="shared" si="2548"/>
        <v>0</v>
      </c>
      <c r="Q177" s="1806">
        <f t="shared" si="2549"/>
        <v>0</v>
      </c>
      <c r="R177" s="1791">
        <f t="shared" si="2147"/>
        <v>0</v>
      </c>
      <c r="S177" s="1808">
        <f t="shared" si="2550"/>
        <v>0</v>
      </c>
      <c r="T177" s="1807">
        <f t="shared" si="2551"/>
        <v>0</v>
      </c>
      <c r="U177" s="1807">
        <f t="shared" si="2552"/>
        <v>0</v>
      </c>
      <c r="V177" s="1806">
        <f t="shared" si="2553"/>
        <v>0</v>
      </c>
      <c r="W177" s="1791">
        <f t="shared" si="2152"/>
        <v>0</v>
      </c>
      <c r="X177" s="1808">
        <f t="shared" si="2554"/>
        <v>0</v>
      </c>
      <c r="Y177" s="1807">
        <f t="shared" si="2555"/>
        <v>0</v>
      </c>
      <c r="Z177" s="1807">
        <f t="shared" si="2556"/>
        <v>0</v>
      </c>
      <c r="AA177" s="1806">
        <f t="shared" si="2557"/>
        <v>0</v>
      </c>
      <c r="AB177" s="1791">
        <f t="shared" si="2157"/>
        <v>0</v>
      </c>
      <c r="AC177" s="1808">
        <f t="shared" si="2558"/>
        <v>0</v>
      </c>
      <c r="AD177" s="1807">
        <f t="shared" si="2559"/>
        <v>0</v>
      </c>
      <c r="AE177" s="1807">
        <f t="shared" si="2560"/>
        <v>0</v>
      </c>
      <c r="AF177" s="1806">
        <f t="shared" si="2561"/>
        <v>0</v>
      </c>
      <c r="AG177" s="1791">
        <f t="shared" si="2162"/>
        <v>0</v>
      </c>
      <c r="AH177" s="1808">
        <f t="shared" si="2562"/>
        <v>0</v>
      </c>
      <c r="AI177" s="1807">
        <f t="shared" si="2563"/>
        <v>0</v>
      </c>
      <c r="AJ177" s="1807">
        <f t="shared" si="2564"/>
        <v>0</v>
      </c>
      <c r="AK177" s="1806">
        <f t="shared" si="2565"/>
        <v>0</v>
      </c>
      <c r="AL177" s="1791">
        <f t="shared" si="2167"/>
        <v>0</v>
      </c>
      <c r="AM177" s="1808">
        <f t="shared" si="2566"/>
        <v>0</v>
      </c>
      <c r="AN177" s="1807">
        <f t="shared" si="2567"/>
        <v>0</v>
      </c>
      <c r="AO177" s="1807">
        <f t="shared" si="2568"/>
        <v>0</v>
      </c>
      <c r="AP177" s="1806">
        <f t="shared" si="2569"/>
        <v>0</v>
      </c>
      <c r="AQ177" s="1791">
        <f t="shared" si="2172"/>
        <v>0</v>
      </c>
      <c r="AR177" s="1808">
        <f t="shared" si="2570"/>
        <v>0</v>
      </c>
      <c r="AS177" s="1807">
        <f t="shared" si="2571"/>
        <v>0</v>
      </c>
      <c r="AT177" s="1807">
        <f t="shared" si="2572"/>
        <v>0</v>
      </c>
      <c r="AU177" s="1806">
        <f t="shared" si="2573"/>
        <v>0</v>
      </c>
      <c r="AV177" s="1791">
        <f t="shared" si="2177"/>
        <v>0</v>
      </c>
      <c r="AW177" s="1808">
        <f t="shared" si="2574"/>
        <v>0</v>
      </c>
      <c r="AX177" s="1807">
        <f t="shared" si="2575"/>
        <v>0</v>
      </c>
      <c r="AY177" s="1807">
        <f t="shared" si="2576"/>
        <v>0</v>
      </c>
      <c r="AZ177" s="1806">
        <f t="shared" si="2577"/>
        <v>0</v>
      </c>
      <c r="BA177" s="1791">
        <f t="shared" si="2182"/>
        <v>0</v>
      </c>
      <c r="BB177" s="1808">
        <f t="shared" si="2578"/>
        <v>0</v>
      </c>
      <c r="BC177" s="1807">
        <f t="shared" si="2579"/>
        <v>0</v>
      </c>
      <c r="BD177" s="1807">
        <f t="shared" si="2580"/>
        <v>1800</v>
      </c>
      <c r="BE177" s="1806">
        <f t="shared" si="2581"/>
        <v>0</v>
      </c>
      <c r="BF177" s="1791">
        <f t="shared" si="2187"/>
        <v>1800</v>
      </c>
      <c r="BG177" s="1808">
        <f t="shared" si="2582"/>
        <v>0</v>
      </c>
      <c r="BH177" s="1807">
        <f t="shared" si="2583"/>
        <v>0</v>
      </c>
      <c r="BI177" s="1807">
        <f t="shared" si="2584"/>
        <v>0</v>
      </c>
      <c r="BJ177" s="1806">
        <f t="shared" si="2585"/>
        <v>0</v>
      </c>
      <c r="BK177" s="1791">
        <f t="shared" si="2192"/>
        <v>0</v>
      </c>
      <c r="BL177" s="1808">
        <f t="shared" si="2586"/>
        <v>0</v>
      </c>
      <c r="BM177" s="1807">
        <f t="shared" si="2587"/>
        <v>0</v>
      </c>
      <c r="BN177" s="1807">
        <f t="shared" si="2588"/>
        <v>0</v>
      </c>
      <c r="BO177" s="1806">
        <f t="shared" si="2589"/>
        <v>0</v>
      </c>
      <c r="BP177" s="1791">
        <f t="shared" si="2197"/>
        <v>0</v>
      </c>
      <c r="BQ177" s="1809"/>
      <c r="BR177" s="1791">
        <f t="shared" si="2590"/>
        <v>0</v>
      </c>
      <c r="BS177" s="1791">
        <f t="shared" si="2590"/>
        <v>0</v>
      </c>
      <c r="BT177" s="1808">
        <f t="shared" si="2591"/>
        <v>0</v>
      </c>
      <c r="BU177" s="1807">
        <f t="shared" si="2592"/>
        <v>0</v>
      </c>
      <c r="BV177" s="1807">
        <f t="shared" si="2593"/>
        <v>0</v>
      </c>
      <c r="BW177" s="1806">
        <f t="shared" si="2594"/>
        <v>0</v>
      </c>
      <c r="BX177" s="1791">
        <f t="shared" si="2595"/>
        <v>0</v>
      </c>
      <c r="BY177" s="1808">
        <f t="shared" si="2596"/>
        <v>0</v>
      </c>
      <c r="BZ177" s="1807">
        <f t="shared" si="2597"/>
        <v>0</v>
      </c>
      <c r="CA177" s="1807">
        <f t="shared" si="2598"/>
        <v>0</v>
      </c>
      <c r="CB177" s="1806">
        <f t="shared" si="2599"/>
        <v>0</v>
      </c>
      <c r="CC177" s="1791">
        <f t="shared" si="2600"/>
        <v>0</v>
      </c>
      <c r="CD177" s="1808">
        <f t="shared" si="2601"/>
        <v>0</v>
      </c>
      <c r="CE177" s="1807">
        <f t="shared" si="2602"/>
        <v>0</v>
      </c>
      <c r="CF177" s="1807">
        <f t="shared" si="2603"/>
        <v>0</v>
      </c>
      <c r="CG177" s="1806">
        <f t="shared" si="2604"/>
        <v>0</v>
      </c>
      <c r="CH177" s="1791">
        <f t="shared" si="2605"/>
        <v>0</v>
      </c>
      <c r="CI177" s="1808">
        <f t="shared" si="2606"/>
        <v>0</v>
      </c>
      <c r="CJ177" s="1807">
        <f t="shared" si="2607"/>
        <v>0</v>
      </c>
      <c r="CK177" s="1807">
        <f t="shared" si="2608"/>
        <v>0</v>
      </c>
      <c r="CL177" s="1806">
        <f t="shared" si="2609"/>
        <v>0</v>
      </c>
      <c r="CM177" s="1791">
        <f t="shared" si="2610"/>
        <v>0</v>
      </c>
      <c r="CN177" s="1808">
        <f t="shared" si="2611"/>
        <v>0</v>
      </c>
      <c r="CO177" s="1807">
        <f t="shared" si="2612"/>
        <v>0</v>
      </c>
      <c r="CP177" s="1807">
        <f t="shared" si="2613"/>
        <v>0</v>
      </c>
      <c r="CQ177" s="1806">
        <f t="shared" si="2614"/>
        <v>0</v>
      </c>
      <c r="CR177" s="1791">
        <f t="shared" si="2615"/>
        <v>0</v>
      </c>
      <c r="CS177" s="1808">
        <f t="shared" si="2616"/>
        <v>0</v>
      </c>
      <c r="CT177" s="1807">
        <f t="shared" si="2617"/>
        <v>0</v>
      </c>
      <c r="CU177" s="1807">
        <f t="shared" si="2618"/>
        <v>0</v>
      </c>
      <c r="CV177" s="1806">
        <f t="shared" si="2619"/>
        <v>0</v>
      </c>
      <c r="CW177" s="1791">
        <f t="shared" si="2620"/>
        <v>0</v>
      </c>
      <c r="CX177" s="1808">
        <f t="shared" si="2621"/>
        <v>0</v>
      </c>
      <c r="CY177" s="1807">
        <f t="shared" si="2622"/>
        <v>0</v>
      </c>
      <c r="CZ177" s="1807">
        <f t="shared" si="2623"/>
        <v>0</v>
      </c>
      <c r="DA177" s="1806">
        <f t="shared" si="2624"/>
        <v>0</v>
      </c>
      <c r="DB177" s="1791">
        <f t="shared" si="2625"/>
        <v>0</v>
      </c>
      <c r="DC177" s="1808">
        <f t="shared" si="2626"/>
        <v>0</v>
      </c>
      <c r="DD177" s="1807">
        <f t="shared" si="2627"/>
        <v>0</v>
      </c>
      <c r="DE177" s="1807">
        <f t="shared" si="2628"/>
        <v>0</v>
      </c>
      <c r="DF177" s="1806">
        <f t="shared" si="2629"/>
        <v>0</v>
      </c>
      <c r="DG177" s="1791">
        <f t="shared" si="2630"/>
        <v>0</v>
      </c>
      <c r="DH177" s="1808">
        <f t="shared" si="2631"/>
        <v>0</v>
      </c>
      <c r="DI177" s="1807">
        <f t="shared" si="2632"/>
        <v>0</v>
      </c>
      <c r="DJ177" s="1807">
        <f t="shared" si="2633"/>
        <v>27</v>
      </c>
      <c r="DK177" s="1806">
        <f t="shared" si="2634"/>
        <v>27</v>
      </c>
      <c r="DL177" s="1791">
        <f t="shared" si="2635"/>
        <v>54</v>
      </c>
      <c r="DM177" s="1808">
        <f t="shared" si="2636"/>
        <v>27</v>
      </c>
      <c r="DN177" s="1807">
        <f t="shared" si="2637"/>
        <v>27</v>
      </c>
      <c r="DO177" s="1807">
        <f t="shared" si="2638"/>
        <v>0</v>
      </c>
      <c r="DP177" s="1806">
        <f t="shared" si="2639"/>
        <v>0</v>
      </c>
      <c r="DQ177" s="1791">
        <f t="shared" si="2640"/>
        <v>54</v>
      </c>
      <c r="DR177" s="1808">
        <f t="shared" si="2641"/>
        <v>0</v>
      </c>
      <c r="DS177" s="1807">
        <f t="shared" si="2642"/>
        <v>0</v>
      </c>
      <c r="DT177" s="1807">
        <f t="shared" si="2643"/>
        <v>0</v>
      </c>
      <c r="DU177" s="1806">
        <f t="shared" si="2644"/>
        <v>0</v>
      </c>
      <c r="DV177" s="1791">
        <f t="shared" si="2645"/>
        <v>0</v>
      </c>
    </row>
    <row r="178" spans="1:127">
      <c r="A178" s="455"/>
      <c r="B178" s="455"/>
      <c r="C178" s="1678" t="s">
        <v>915</v>
      </c>
      <c r="D178" s="1815"/>
      <c r="E178" s="1814">
        <f>Utility!BL191</f>
        <v>1700</v>
      </c>
      <c r="F178" s="1840"/>
      <c r="G178" s="1840"/>
      <c r="H178" s="1813">
        <f>+H177+1</f>
        <v>2020</v>
      </c>
      <c r="I178" s="1812">
        <v>0.06</v>
      </c>
      <c r="J178" s="1811">
        <v>7</v>
      </c>
      <c r="K178" s="1792"/>
      <c r="L178" s="1810">
        <f t="shared" si="2142"/>
        <v>0</v>
      </c>
      <c r="M178" s="1791">
        <f t="shared" si="2142"/>
        <v>0</v>
      </c>
      <c r="N178" s="1808">
        <f t="shared" si="2546"/>
        <v>0</v>
      </c>
      <c r="O178" s="1807">
        <f t="shared" si="2547"/>
        <v>0</v>
      </c>
      <c r="P178" s="1807">
        <f t="shared" si="2548"/>
        <v>0</v>
      </c>
      <c r="Q178" s="1806">
        <f t="shared" si="2549"/>
        <v>0</v>
      </c>
      <c r="R178" s="1791">
        <f t="shared" si="2147"/>
        <v>0</v>
      </c>
      <c r="S178" s="1808">
        <f t="shared" si="2550"/>
        <v>0</v>
      </c>
      <c r="T178" s="1807">
        <f t="shared" si="2551"/>
        <v>0</v>
      </c>
      <c r="U178" s="1807">
        <f t="shared" si="2552"/>
        <v>0</v>
      </c>
      <c r="V178" s="1806">
        <f t="shared" si="2553"/>
        <v>0</v>
      </c>
      <c r="W178" s="1791">
        <f t="shared" si="2152"/>
        <v>0</v>
      </c>
      <c r="X178" s="1808">
        <f t="shared" si="2554"/>
        <v>0</v>
      </c>
      <c r="Y178" s="1807">
        <f t="shared" si="2555"/>
        <v>0</v>
      </c>
      <c r="Z178" s="1807">
        <f t="shared" si="2556"/>
        <v>0</v>
      </c>
      <c r="AA178" s="1806">
        <f t="shared" si="2557"/>
        <v>0</v>
      </c>
      <c r="AB178" s="1791">
        <f t="shared" si="2157"/>
        <v>0</v>
      </c>
      <c r="AC178" s="1808">
        <f t="shared" si="2558"/>
        <v>0</v>
      </c>
      <c r="AD178" s="1807">
        <f t="shared" si="2559"/>
        <v>0</v>
      </c>
      <c r="AE178" s="1807">
        <f t="shared" si="2560"/>
        <v>0</v>
      </c>
      <c r="AF178" s="1806">
        <f t="shared" si="2561"/>
        <v>0</v>
      </c>
      <c r="AG178" s="1791">
        <f t="shared" si="2162"/>
        <v>0</v>
      </c>
      <c r="AH178" s="1808">
        <f t="shared" si="2562"/>
        <v>0</v>
      </c>
      <c r="AI178" s="1807">
        <f t="shared" si="2563"/>
        <v>0</v>
      </c>
      <c r="AJ178" s="1807">
        <f t="shared" si="2564"/>
        <v>0</v>
      </c>
      <c r="AK178" s="1806">
        <f t="shared" si="2565"/>
        <v>0</v>
      </c>
      <c r="AL178" s="1791">
        <f t="shared" si="2167"/>
        <v>0</v>
      </c>
      <c r="AM178" s="1808">
        <f t="shared" si="2566"/>
        <v>0</v>
      </c>
      <c r="AN178" s="1807">
        <f t="shared" si="2567"/>
        <v>0</v>
      </c>
      <c r="AO178" s="1807">
        <f t="shared" si="2568"/>
        <v>0</v>
      </c>
      <c r="AP178" s="1806">
        <f t="shared" si="2569"/>
        <v>0</v>
      </c>
      <c r="AQ178" s="1791">
        <f t="shared" si="2172"/>
        <v>0</v>
      </c>
      <c r="AR178" s="1808">
        <f t="shared" si="2570"/>
        <v>0</v>
      </c>
      <c r="AS178" s="1807">
        <f t="shared" si="2571"/>
        <v>0</v>
      </c>
      <c r="AT178" s="1807">
        <f t="shared" si="2572"/>
        <v>0</v>
      </c>
      <c r="AU178" s="1806">
        <f t="shared" si="2573"/>
        <v>0</v>
      </c>
      <c r="AV178" s="1791">
        <f t="shared" si="2177"/>
        <v>0</v>
      </c>
      <c r="AW178" s="1808">
        <f t="shared" si="2574"/>
        <v>0</v>
      </c>
      <c r="AX178" s="1807">
        <f t="shared" si="2575"/>
        <v>0</v>
      </c>
      <c r="AY178" s="1807">
        <f t="shared" si="2576"/>
        <v>0</v>
      </c>
      <c r="AZ178" s="1806">
        <f t="shared" si="2577"/>
        <v>0</v>
      </c>
      <c r="BA178" s="1791">
        <f t="shared" si="2182"/>
        <v>0</v>
      </c>
      <c r="BB178" s="1808">
        <f t="shared" si="2578"/>
        <v>0</v>
      </c>
      <c r="BC178" s="1807">
        <f t="shared" si="2579"/>
        <v>0</v>
      </c>
      <c r="BD178" s="1807">
        <f t="shared" si="2580"/>
        <v>0</v>
      </c>
      <c r="BE178" s="1806">
        <f t="shared" si="2581"/>
        <v>0</v>
      </c>
      <c r="BF178" s="1791">
        <f t="shared" si="2187"/>
        <v>0</v>
      </c>
      <c r="BG178" s="1808">
        <f t="shared" si="2582"/>
        <v>0</v>
      </c>
      <c r="BH178" s="1807">
        <f t="shared" si="2583"/>
        <v>0</v>
      </c>
      <c r="BI178" s="1807">
        <f t="shared" si="2584"/>
        <v>1700</v>
      </c>
      <c r="BJ178" s="1806">
        <f t="shared" si="2585"/>
        <v>0</v>
      </c>
      <c r="BK178" s="1791">
        <f t="shared" si="2192"/>
        <v>1700</v>
      </c>
      <c r="BL178" s="1808">
        <f t="shared" si="2586"/>
        <v>0</v>
      </c>
      <c r="BM178" s="1807">
        <f t="shared" si="2587"/>
        <v>0</v>
      </c>
      <c r="BN178" s="1807">
        <f t="shared" si="2588"/>
        <v>0</v>
      </c>
      <c r="BO178" s="1806">
        <f t="shared" si="2589"/>
        <v>0</v>
      </c>
      <c r="BP178" s="1791">
        <f t="shared" si="2197"/>
        <v>0</v>
      </c>
      <c r="BQ178" s="1809"/>
      <c r="BR178" s="1791">
        <f t="shared" si="2590"/>
        <v>0</v>
      </c>
      <c r="BS178" s="1791">
        <f t="shared" si="2590"/>
        <v>0</v>
      </c>
      <c r="BT178" s="1808">
        <f t="shared" si="2591"/>
        <v>0</v>
      </c>
      <c r="BU178" s="1807">
        <f t="shared" si="2592"/>
        <v>0</v>
      </c>
      <c r="BV178" s="1807">
        <f t="shared" si="2593"/>
        <v>0</v>
      </c>
      <c r="BW178" s="1806">
        <f t="shared" si="2594"/>
        <v>0</v>
      </c>
      <c r="BX178" s="1791">
        <f t="shared" si="2595"/>
        <v>0</v>
      </c>
      <c r="BY178" s="1808">
        <f t="shared" si="2596"/>
        <v>0</v>
      </c>
      <c r="BZ178" s="1807">
        <f t="shared" si="2597"/>
        <v>0</v>
      </c>
      <c r="CA178" s="1807">
        <f t="shared" si="2598"/>
        <v>0</v>
      </c>
      <c r="CB178" s="1806">
        <f t="shared" si="2599"/>
        <v>0</v>
      </c>
      <c r="CC178" s="1791">
        <f t="shared" si="2600"/>
        <v>0</v>
      </c>
      <c r="CD178" s="1808">
        <f t="shared" si="2601"/>
        <v>0</v>
      </c>
      <c r="CE178" s="1807">
        <f t="shared" si="2602"/>
        <v>0</v>
      </c>
      <c r="CF178" s="1807">
        <f t="shared" si="2603"/>
        <v>0</v>
      </c>
      <c r="CG178" s="1806">
        <f t="shared" si="2604"/>
        <v>0</v>
      </c>
      <c r="CH178" s="1791">
        <f t="shared" si="2605"/>
        <v>0</v>
      </c>
      <c r="CI178" s="1808">
        <f t="shared" si="2606"/>
        <v>0</v>
      </c>
      <c r="CJ178" s="1807">
        <f t="shared" si="2607"/>
        <v>0</v>
      </c>
      <c r="CK178" s="1807">
        <f t="shared" si="2608"/>
        <v>0</v>
      </c>
      <c r="CL178" s="1806">
        <f t="shared" si="2609"/>
        <v>0</v>
      </c>
      <c r="CM178" s="1791">
        <f t="shared" si="2610"/>
        <v>0</v>
      </c>
      <c r="CN178" s="1808">
        <f t="shared" si="2611"/>
        <v>0</v>
      </c>
      <c r="CO178" s="1807">
        <f t="shared" si="2612"/>
        <v>0</v>
      </c>
      <c r="CP178" s="1807">
        <f t="shared" si="2613"/>
        <v>0</v>
      </c>
      <c r="CQ178" s="1806">
        <f t="shared" si="2614"/>
        <v>0</v>
      </c>
      <c r="CR178" s="1791">
        <f t="shared" si="2615"/>
        <v>0</v>
      </c>
      <c r="CS178" s="1808">
        <f t="shared" si="2616"/>
        <v>0</v>
      </c>
      <c r="CT178" s="1807">
        <f t="shared" si="2617"/>
        <v>0</v>
      </c>
      <c r="CU178" s="1807">
        <f t="shared" si="2618"/>
        <v>0</v>
      </c>
      <c r="CV178" s="1806">
        <f t="shared" si="2619"/>
        <v>0</v>
      </c>
      <c r="CW178" s="1791">
        <f t="shared" si="2620"/>
        <v>0</v>
      </c>
      <c r="CX178" s="1808">
        <f t="shared" si="2621"/>
        <v>0</v>
      </c>
      <c r="CY178" s="1807">
        <f t="shared" si="2622"/>
        <v>0</v>
      </c>
      <c r="CZ178" s="1807">
        <f t="shared" si="2623"/>
        <v>0</v>
      </c>
      <c r="DA178" s="1806">
        <f t="shared" si="2624"/>
        <v>0</v>
      </c>
      <c r="DB178" s="1791">
        <f t="shared" si="2625"/>
        <v>0</v>
      </c>
      <c r="DC178" s="1808">
        <f t="shared" si="2626"/>
        <v>0</v>
      </c>
      <c r="DD178" s="1807">
        <f t="shared" si="2627"/>
        <v>0</v>
      </c>
      <c r="DE178" s="1807">
        <f t="shared" si="2628"/>
        <v>0</v>
      </c>
      <c r="DF178" s="1806">
        <f t="shared" si="2629"/>
        <v>0</v>
      </c>
      <c r="DG178" s="1791">
        <f t="shared" si="2630"/>
        <v>0</v>
      </c>
      <c r="DH178" s="1808">
        <f t="shared" si="2631"/>
        <v>0</v>
      </c>
      <c r="DI178" s="1807">
        <f t="shared" si="2632"/>
        <v>0</v>
      </c>
      <c r="DJ178" s="1807">
        <f t="shared" si="2633"/>
        <v>0</v>
      </c>
      <c r="DK178" s="1806">
        <f t="shared" si="2634"/>
        <v>0</v>
      </c>
      <c r="DL178" s="1791">
        <f t="shared" si="2635"/>
        <v>0</v>
      </c>
      <c r="DM178" s="1808">
        <f t="shared" si="2636"/>
        <v>0</v>
      </c>
      <c r="DN178" s="1807">
        <f t="shared" si="2637"/>
        <v>0</v>
      </c>
      <c r="DO178" s="1807">
        <f t="shared" si="2638"/>
        <v>25.5</v>
      </c>
      <c r="DP178" s="1806">
        <f t="shared" si="2639"/>
        <v>25.5</v>
      </c>
      <c r="DQ178" s="1791">
        <f t="shared" si="2640"/>
        <v>51</v>
      </c>
      <c r="DR178" s="1808">
        <f t="shared" si="2641"/>
        <v>25.5</v>
      </c>
      <c r="DS178" s="1807">
        <f t="shared" si="2642"/>
        <v>25.5</v>
      </c>
      <c r="DT178" s="1807">
        <f t="shared" si="2643"/>
        <v>0</v>
      </c>
      <c r="DU178" s="1806">
        <f t="shared" si="2644"/>
        <v>0</v>
      </c>
      <c r="DV178" s="1791">
        <f t="shared" si="2645"/>
        <v>51</v>
      </c>
    </row>
    <row r="179" spans="1:127">
      <c r="A179" s="455"/>
      <c r="B179" s="455"/>
      <c r="C179" s="1678" t="s">
        <v>999</v>
      </c>
      <c r="D179" s="1815"/>
      <c r="E179" s="1814">
        <f>Utility!BQ191</f>
        <v>2100</v>
      </c>
      <c r="F179" s="1840"/>
      <c r="G179" s="1840"/>
      <c r="H179" s="1813">
        <f>+H178+1</f>
        <v>2021</v>
      </c>
      <c r="I179" s="1812">
        <v>0.06</v>
      </c>
      <c r="J179" s="1811">
        <v>7</v>
      </c>
      <c r="K179" s="1792"/>
      <c r="L179" s="1810">
        <f t="shared" si="2142"/>
        <v>0</v>
      </c>
      <c r="M179" s="1791">
        <f t="shared" si="2142"/>
        <v>0</v>
      </c>
      <c r="N179" s="1808">
        <f t="shared" ref="N179" si="2646">IF(R179=0,0,IF(R179&gt;0,IF($J179=3,R179,IF($J179=2,R179,IF($J179=1,R179,0)))))</f>
        <v>0</v>
      </c>
      <c r="O179" s="1807">
        <f t="shared" ref="O179" si="2647">IF(R179=0,0,IF(R179&gt;0,IF($J179=6,R179,IF($J179=5,R179,IF($J179=4,R179,0)))))</f>
        <v>0</v>
      </c>
      <c r="P179" s="1807">
        <f t="shared" ref="P179" si="2648">IF(R179=0,0,IF(R179&gt;0,IF($J179=9,R179,IF($J179=8,R179,IF($J179=7,R179,0)))))</f>
        <v>0</v>
      </c>
      <c r="Q179" s="1806">
        <f t="shared" ref="Q179" si="2649">IF(R179=0,0,IF(R179&gt;0,IF($J179=12,R179,IF($J179=11,R179,IF($J179=10,R179,0)))))</f>
        <v>0</v>
      </c>
      <c r="R179" s="1791">
        <f t="shared" si="2147"/>
        <v>0</v>
      </c>
      <c r="S179" s="1808">
        <f t="shared" ref="S179" si="2650">IF(W179=0,0,IF(W179&gt;0,IF($J179=3,W179,IF($J179=2,W179,IF($J179=1,W179,0)))))</f>
        <v>0</v>
      </c>
      <c r="T179" s="1807">
        <f t="shared" ref="T179" si="2651">IF(W179=0,0,IF(W179&gt;0,IF($J179=6,W179,IF($J179=5,W179,IF($J179=4,W179,0)))))</f>
        <v>0</v>
      </c>
      <c r="U179" s="1807">
        <f t="shared" ref="U179" si="2652">IF(W179=0,0,IF(W179&gt;0,IF($J179=9,W179,IF($J179=8,W179,IF($J179=7,W179,0)))))</f>
        <v>0</v>
      </c>
      <c r="V179" s="1806">
        <f t="shared" ref="V179" si="2653">IF(W179=0,0,IF(W179&gt;0,IF($J179=12,W179,IF($J179=11,W179,IF($J179=10,W179,0)))))</f>
        <v>0</v>
      </c>
      <c r="W179" s="1791">
        <f t="shared" si="2152"/>
        <v>0</v>
      </c>
      <c r="X179" s="1808">
        <f t="shared" ref="X179" si="2654">IF(AB179=0,0,IF(AB179&gt;0,IF($J179=3,AB179,IF($J179=2,AB179,IF($J179=1,AB179,0)))))</f>
        <v>0</v>
      </c>
      <c r="Y179" s="1807">
        <f t="shared" ref="Y179" si="2655">IF(AB179=0,0,IF(AB179&gt;0,IF($J179=6,AB179,IF($J179=5,AB179,IF($J179=4,AB179,0)))))</f>
        <v>0</v>
      </c>
      <c r="Z179" s="1807">
        <f t="shared" ref="Z179" si="2656">IF(AB179=0,0,IF(AB179&gt;0,IF($J179=9,AB179,IF($J179=8,AB179,IF($J179=7,AB179,0)))))</f>
        <v>0</v>
      </c>
      <c r="AA179" s="1806">
        <f t="shared" ref="AA179" si="2657">IF(AB179=0,0,IF(AB179&gt;0,IF($J179=12,AB179,IF($J179=11,AB179,IF($J179=10,AB179,0)))))</f>
        <v>0</v>
      </c>
      <c r="AB179" s="1791">
        <f t="shared" si="2157"/>
        <v>0</v>
      </c>
      <c r="AC179" s="1808">
        <f t="shared" ref="AC179" si="2658">IF(AG179=0,0,IF(AG179&gt;0,IF($J179=3,AG179,IF($J179=2,AG179,IF($J179=1,AG179,0)))))</f>
        <v>0</v>
      </c>
      <c r="AD179" s="1807">
        <f t="shared" ref="AD179" si="2659">IF(AG179=0,0,IF(AG179&gt;0,IF($J179=6,AG179,IF($J179=5,AG179,IF($J179=4,AG179,0)))))</f>
        <v>0</v>
      </c>
      <c r="AE179" s="1807">
        <f t="shared" ref="AE179" si="2660">IF(AG179=0,0,IF(AG179&gt;0,IF($J179=9,AG179,IF($J179=8,AG179,IF($J179=7,AG179,0)))))</f>
        <v>0</v>
      </c>
      <c r="AF179" s="1806">
        <f t="shared" ref="AF179" si="2661">IF(AG179=0,0,IF(AG179&gt;0,IF($J179=12,AG179,IF($J179=11,AG179,IF($J179=10,AG179,0)))))</f>
        <v>0</v>
      </c>
      <c r="AG179" s="1791">
        <f t="shared" si="2162"/>
        <v>0</v>
      </c>
      <c r="AH179" s="1808">
        <f t="shared" ref="AH179" si="2662">IF(AL179=0,0,IF(AL179&gt;0,IF($J179=3,AL179,IF($J179=2,AL179,IF($J179=1,AL179,0)))))</f>
        <v>0</v>
      </c>
      <c r="AI179" s="1807">
        <f t="shared" ref="AI179" si="2663">IF(AL179=0,0,IF(AL179&gt;0,IF($J179=6,AL179,IF($J179=5,AL179,IF($J179=4,AL179,0)))))</f>
        <v>0</v>
      </c>
      <c r="AJ179" s="1807">
        <f t="shared" ref="AJ179" si="2664">IF(AL179=0,0,IF(AL179&gt;0,IF($J179=9,AL179,IF($J179=8,AL179,IF($J179=7,AL179,0)))))</f>
        <v>0</v>
      </c>
      <c r="AK179" s="1806">
        <f t="shared" ref="AK179" si="2665">IF(AL179=0,0,IF(AL179&gt;0,IF($J179=12,AL179,IF($J179=11,AL179,IF($J179=10,AL179,0)))))</f>
        <v>0</v>
      </c>
      <c r="AL179" s="1791">
        <f t="shared" si="2167"/>
        <v>0</v>
      </c>
      <c r="AM179" s="1808">
        <f t="shared" ref="AM179" si="2666">IF(AQ179=0,0,IF(AQ179&gt;0,IF($J179=3,AQ179,IF($J179=2,AQ179,IF($J179=1,AQ179,0)))))</f>
        <v>0</v>
      </c>
      <c r="AN179" s="1807">
        <f t="shared" ref="AN179" si="2667">IF(AQ179=0,0,IF(AQ179&gt;0,IF($J179=6,AQ179,IF($J179=5,AQ179,IF($J179=4,AQ179,0)))))</f>
        <v>0</v>
      </c>
      <c r="AO179" s="1807">
        <f t="shared" ref="AO179" si="2668">IF(AQ179=0,0,IF(AQ179&gt;0,IF($J179=9,AQ179,IF($J179=8,AQ179,IF($J179=7,AQ179,0)))))</f>
        <v>0</v>
      </c>
      <c r="AP179" s="1806">
        <f t="shared" ref="AP179" si="2669">IF(AQ179=0,0,IF(AQ179&gt;0,IF($J179=12,AQ179,IF($J179=11,AQ179,IF($J179=10,AQ179,0)))))</f>
        <v>0</v>
      </c>
      <c r="AQ179" s="1791">
        <f t="shared" si="2172"/>
        <v>0</v>
      </c>
      <c r="AR179" s="1808">
        <f t="shared" ref="AR179" si="2670">IF(AV179=0,0,IF(AV179&gt;0,IF($J179=3,AV179,IF($J179=2,AV179,IF($J179=1,AV179,0)))))</f>
        <v>0</v>
      </c>
      <c r="AS179" s="1807">
        <f t="shared" si="2571"/>
        <v>0</v>
      </c>
      <c r="AT179" s="1807">
        <f t="shared" ref="AT179" si="2671">IF(AV179=0,0,IF(AV179&gt;0,IF($J179=9,AV179,IF($J179=8,AV179,IF($J179=7,AV179,0)))))</f>
        <v>0</v>
      </c>
      <c r="AU179" s="1806">
        <f t="shared" ref="AU179" si="2672">IF(AV179=0,0,IF(AV179&gt;0,IF($J179=12,AV179,IF($J179=11,AV179,IF($J179=10,AV179,0)))))</f>
        <v>0</v>
      </c>
      <c r="AV179" s="1791">
        <f t="shared" si="2177"/>
        <v>0</v>
      </c>
      <c r="AW179" s="1808">
        <f t="shared" ref="AW179" si="2673">IF(BA179=0,0,IF(BA179&gt;0,IF($J179=3,BA179,IF($J179=2,BA179,IF($J179=1,BA179,0)))))</f>
        <v>0</v>
      </c>
      <c r="AX179" s="1807">
        <f t="shared" ref="AX179" si="2674">IF(BA179=0,0,IF(BA179&gt;0,IF($J179=6,BA179,IF($J179=5,BA179,IF($J179=4,BA179,0)))))</f>
        <v>0</v>
      </c>
      <c r="AY179" s="1807">
        <f t="shared" ref="AY179" si="2675">IF(BA179=0,0,IF(BA179&gt;0,IF($J179=9,BA179,IF($J179=8,BA179,IF($J179=7,BA179,0)))))</f>
        <v>0</v>
      </c>
      <c r="AZ179" s="1806">
        <f t="shared" ref="AZ179" si="2676">IF(BA179=0,0,IF(BA179&gt;0,IF($J179=12,BA179,IF($J179=11,BA179,IF($J179=10,BA179,0)))))</f>
        <v>0</v>
      </c>
      <c r="BA179" s="1791">
        <f t="shared" si="2182"/>
        <v>0</v>
      </c>
      <c r="BB179" s="1808">
        <f t="shared" ref="BB179" si="2677">IF(BF179=0,0,IF(BF179&gt;0,IF($J179=3,BF179,IF($J179=2,BF179,IF($J179=1,BF179,0)))))</f>
        <v>0</v>
      </c>
      <c r="BC179" s="1807">
        <f t="shared" ref="BC179" si="2678">IF(BF179=0,0,IF(BF179&gt;0,IF($J179=6,BF179,IF($J179=5,BF179,IF($J179=4,BF179,0)))))</f>
        <v>0</v>
      </c>
      <c r="BD179" s="1807">
        <f t="shared" ref="BD179" si="2679">IF(BF179=0,0,IF(BF179&gt;0,IF($J179=9,BF179,IF($J179=8,BF179,IF($J179=7,BF179,0)))))</f>
        <v>0</v>
      </c>
      <c r="BE179" s="1806">
        <f t="shared" ref="BE179" si="2680">IF(BF179=0,0,IF(BF179&gt;0,IF($J179=12,BF179,IF($J179=11,BF179,IF($J179=10,BF179,0)))))</f>
        <v>0</v>
      </c>
      <c r="BF179" s="1791">
        <f t="shared" si="2187"/>
        <v>0</v>
      </c>
      <c r="BG179" s="1808">
        <f t="shared" ref="BG179" si="2681">IF(BK179=0,0,IF(BK179&gt;0,IF($J179=3,BK179,IF($J179=2,BK179,IF($J179=1,BK179,0)))))</f>
        <v>0</v>
      </c>
      <c r="BH179" s="1807">
        <f t="shared" ref="BH179" si="2682">IF(BK179=0,0,IF(BK179&gt;0,IF($J179=6,BK179,IF($J179=5,BK179,IF($J179=4,BK179,0)))))</f>
        <v>0</v>
      </c>
      <c r="BI179" s="1807">
        <f t="shared" ref="BI179" si="2683">IF(BK179=0,0,IF(BK179&gt;0,IF($J179=9,BK179,IF($J179=8,BK179,IF($J179=7,BK179,0)))))</f>
        <v>0</v>
      </c>
      <c r="BJ179" s="1806">
        <f t="shared" ref="BJ179" si="2684">IF(BK179=0,0,IF(BK179&gt;0,IF($J179=12,BK179,IF($J179=11,BK179,IF($J179=10,BK179,0)))))</f>
        <v>0</v>
      </c>
      <c r="BK179" s="1791">
        <f t="shared" si="2192"/>
        <v>0</v>
      </c>
      <c r="BL179" s="1808">
        <f t="shared" ref="BL179" si="2685">IF(BP179=0,0,IF(BP179&gt;0,IF($J179=3,BP179,IF($J179=2,BP179,IF($J179=1,BP179,0)))))</f>
        <v>0</v>
      </c>
      <c r="BM179" s="1807">
        <f t="shared" ref="BM179" si="2686">IF(BP179=0,0,IF(BP179&gt;0,IF($J179=6,BP179,IF($J179=5,BP179,IF($J179=4,BP179,0)))))</f>
        <v>0</v>
      </c>
      <c r="BN179" s="1807">
        <f t="shared" ref="BN179" si="2687">IF(BP179=0,0,IF(BP179&gt;0,IF($J179=9,BP179,IF($J179=8,BP179,IF($J179=7,BP179,0)))))</f>
        <v>2100</v>
      </c>
      <c r="BO179" s="1806">
        <f t="shared" ref="BO179" si="2688">IF(BP179=0,0,IF(BP179&gt;0,IF($J179=12,BP179,IF($J179=11,BP179,IF($J179=10,BP179,0)))))</f>
        <v>0</v>
      </c>
      <c r="BP179" s="1791">
        <f t="shared" si="2197"/>
        <v>2100</v>
      </c>
      <c r="BQ179" s="1809"/>
      <c r="BR179" s="1791">
        <f t="shared" ref="BR179" si="2689">IF(AND(BQ179&lt;&gt;0,BQ$5=$H179),$I179*$E179-BQ179,IF(BR$5=$H179,$I179*$E179*(12-$J179+1)/12,0))</f>
        <v>0</v>
      </c>
      <c r="BS179" s="1791">
        <f t="shared" ref="BS179" si="2690">IF(AND(BR179&lt;&gt;0,BR$5=$H179),$I179*$E179-BR179,IF(BS$5=$H179,$I179*$E179*(12-$J179+1)/12,0))</f>
        <v>0</v>
      </c>
      <c r="BT179" s="1808">
        <f t="shared" ref="BT179" si="2691">IF($H179&lt;&gt;BX$5,0,IF(BX179&gt;0,IF($J179=1,$E179*$I179/12*3,IF($J179=2,$E179*$I179/12*2,IF($J179=3,$E179*$I179/12*1,0)))))+IF(BS$5&lt;&gt;$H179,0,IF(BS179&gt;0,IF($J179=1,$E179*$I179/12*0,IF($J179=2,$E179*$I179/12*1,IF($J179=3,$E179*$I179/12*2,IF($J179&gt;=4,$E179*$I179/12*3,0))))))</f>
        <v>0</v>
      </c>
      <c r="BU179" s="1807">
        <f t="shared" ref="BU179" si="2692">IF($H179&lt;&gt;BX$5,0,IF(BX179&gt;0,IF(OR($J179=1,$J179=2,$J179=3,$J179=4),$E179*$I179/12*3,IF($J179=5,$E179*$I179/12*2,IF($J179=6,$E179*$I179/12*1,0)))))+IF(BS$5&lt;&gt;$H179,0,IF(BS179&gt;0,IF($J179=4,$E179*$I179/12*0,IF($J179=5,$E179*$I179/12*1,IF($J179=6,$E179*$I179/12*2,IF($J179&gt;=7,$E179*$I179/12*3,0))))))</f>
        <v>0</v>
      </c>
      <c r="BV179" s="1807">
        <f t="shared" ref="BV179" si="2693">IF($H179&lt;&gt;BX$5,0,IF(BX179&gt;0,IF(OR($J179=1,$J179=2,$J179=3,$J179=4,$J179=5,$J179=6,$J179=7),$E179*$I179/12*3,IF($J179=8,$E179*$I179/12*2,IF($J179=9,$E179*$I179/12*1,0)))))+IF(BS$5&lt;&gt;$H179,0,IF(BS179&gt;0,IF($J179=7,$E179*$I179/12*0,IF($J179=8,$E179*$I179/12*1,IF($J179=9,$E179*$I179/12*2,IF($J179&gt;=10,$E179*$I179/12*3,0))))))</f>
        <v>0</v>
      </c>
      <c r="BW179" s="1806">
        <f t="shared" ref="BW179" si="2694">IF($H179&lt;&gt;BX$5,0,IF(BX179&gt;0,IF(OR($J179=1,$J179=2,$J179=3,$J179=4,$J179=5,$J179=6,$J179=7,$J179=8,$J179=9,$J179=10),$E179*$I179/12*3,IF($J179=11,$E179*$I179/12*2,IF($J179=12,$E179*$I179/12*1,0)))))+IF(BS$5&lt;&gt;$H179,0,IF(BS179&gt;0,IF($J179=10,$E179*$I179/12*0,IF($J179=11,$E179*$I179/12*1,IF($J179=12,$E179*$I179/12*2,0)))))</f>
        <v>0</v>
      </c>
      <c r="BX179" s="1791">
        <f t="shared" ref="BX179" si="2695">IF(AND(BS179&lt;&gt;0,BS$5=$H179),$I179*$E179-BS179,IF(BX$5=$H179,$I179*$E179*(12-$J179+1)/12,0))</f>
        <v>0</v>
      </c>
      <c r="BY179" s="1808">
        <f t="shared" ref="BY179" si="2696">IF($H179&lt;&gt;CC$5,0,IF(CC179&gt;0,IF($J179=1,$E179*$I179/12*3,IF($J179=2,$E179*$I179/12*2,IF($J179=3,$E179*$I179/12*1,0)))))+IF(BX$5&lt;&gt;$H179,0,IF(BX179&gt;0,IF($J179=1,$E179*$I179/12*0,IF($J179=2,$E179*$I179/12*1,IF($J179=3,$E179*$I179/12*2,IF($J179&gt;=4,$E179*$I179/12*3,0))))))</f>
        <v>0</v>
      </c>
      <c r="BZ179" s="1807">
        <f t="shared" ref="BZ179" si="2697">IF($H179&lt;&gt;CC$5,0,IF(CC179&gt;0,IF(OR($J179=1,$J179=2,$J179=3,$J179=4),$E179*$I179/12*3,IF($J179=5,$E179*$I179/12*2,IF($J179=6,$E179*$I179/12*1,0)))))+IF(BX$5&lt;&gt;$H179,0,IF(BX179&gt;0,IF($J179=4,$E179*$I179/12*0,IF($J179=5,$E179*$I179/12*1,IF($J179=6,$E179*$I179/12*2,IF($J179&gt;=7,$E179*$I179/12*3,0))))))</f>
        <v>0</v>
      </c>
      <c r="CA179" s="1807">
        <f t="shared" ref="CA179" si="2698">IF($H179&lt;&gt;CC$5,0,IF(CC179&gt;0,IF(OR($J179=1,$J179=2,$J179=3,$J179=4,$J179=5,$J179=6,$J179=7),$E179*$I179/12*3,IF($J179=8,$E179*$I179/12*2,IF($J179=9,$E179*$I179/12*1,0)))))+IF(BX$5&lt;&gt;$H179,0,IF(BX179&gt;0,IF($J179=7,$E179*$I179/12*0,IF($J179=8,$E179*$I179/12*1,IF($J179=9,$E179*$I179/12*2,IF($J179&gt;=10,$E179*$I179/12*3,0))))))</f>
        <v>0</v>
      </c>
      <c r="CB179" s="1806">
        <f t="shared" ref="CB179" si="2699">IF($H179&lt;&gt;CC$5,0,IF(CC179&gt;0,IF(OR($J179=1,$J179=2,$J179=3,$J179=4,$J179=5,$J179=6,$J179=7,$J179=8,$J179=9,$J179=10),$E179*$I179/12*3,IF($J179=11,$E179*$I179/12*2,IF($J179=12,$E179*$I179/12*1,0)))))+IF(BX$5&lt;&gt;$H179,0,IF(BX179&gt;0,IF($J179=10,$E179*$I179/12*0,IF($J179=11,$E179*$I179/12*1,IF($J179=12,$E179*$I179/12*2,0)))))</f>
        <v>0</v>
      </c>
      <c r="CC179" s="1791">
        <f t="shared" ref="CC179" si="2700">IF(AND(BX179&lt;&gt;0,BX$5=$H179),$I179*$E179-BX179,IF(CC$5=$H179,$I179*$E179*(12-$J179+1)/12,0))</f>
        <v>0</v>
      </c>
      <c r="CD179" s="1808">
        <f t="shared" ref="CD179" si="2701">IF($H179&lt;&gt;CH$5,0,IF(CH179&gt;0,IF($J179=1,$E179*$I179/12*3,IF($J179=2,$E179*$I179/12*2,IF($J179=3,$E179*$I179/12*1,0)))))+IF(CC$5&lt;&gt;$H179,0,IF(CC179&gt;0,IF($J179=1,$E179*$I179/12*0,IF($J179=2,$E179*$I179/12*1,IF($J179=3,$E179*$I179/12*2,IF($J179&gt;=4,$E179*$I179/12*3,0))))))</f>
        <v>0</v>
      </c>
      <c r="CE179" s="1807">
        <f t="shared" ref="CE179" si="2702">IF($H179&lt;&gt;CH$5,0,IF(CH179&gt;0,IF(OR($J179=1,$J179=2,$J179=3,$J179=4),$E179*$I179/12*3,IF($J179=5,$E179*$I179/12*2,IF($J179=6,$E179*$I179/12*1,0)))))+IF(CC$5&lt;&gt;$H179,0,IF(CC179&gt;0,IF($J179=4,$E179*$I179/12*0,IF($J179=5,$E179*$I179/12*1,IF($J179=6,$E179*$I179/12*2,IF($J179&gt;=7,$E179*$I179/12*3,0))))))</f>
        <v>0</v>
      </c>
      <c r="CF179" s="1807">
        <f t="shared" ref="CF179" si="2703">IF($H179&lt;&gt;CH$5,0,IF(CH179&gt;0,IF(OR($J179=1,$J179=2,$J179=3,$J179=4,$J179=5,$J179=6,$J179=7),$E179*$I179/12*3,IF($J179=8,$E179*$I179/12*2,IF($J179=9,$E179*$I179/12*1,0)))))+IF(CC$5&lt;&gt;$H179,0,IF(CC179&gt;0,IF($J179=7,$E179*$I179/12*0,IF($J179=8,$E179*$I179/12*1,IF($J179=9,$E179*$I179/12*2,IF($J179&gt;=10,$E179*$I179/12*3,0))))))</f>
        <v>0</v>
      </c>
      <c r="CG179" s="1806">
        <f t="shared" ref="CG179" si="2704">IF($H179&lt;&gt;CH$5,0,IF(CH179&gt;0,IF(OR($J179=1,$J179=2,$J179=3,$J179=4,$J179=5,$J179=6,$J179=7,$J179=8,$J179=9,$J179=10),$E179*$I179/12*3,IF($J179=11,$E179*$I179/12*2,IF($J179=12,$E179*$I179/12*1,0)))))+IF(CC$5&lt;&gt;$H179,0,IF(CC179&gt;0,IF($J179=10,$E179*$I179/12*0,IF($J179=11,$E179*$I179/12*1,IF($J179=12,$E179*$I179/12*2,0)))))</f>
        <v>0</v>
      </c>
      <c r="CH179" s="1791">
        <f t="shared" ref="CH179" si="2705">IF(AND(CC179&lt;&gt;0,CC$5=$H179),$I179*$E179-CC179,IF(CH$5=$H179,$I179*$E179*(12-$J179+1)/12,0))</f>
        <v>0</v>
      </c>
      <c r="CI179" s="1808">
        <f t="shared" ref="CI179" si="2706">IF($H179&lt;&gt;CM$5,0,IF(CM179&gt;0,IF($J179=1,$E179*$I179/12*3,IF($J179=2,$E179*$I179/12*2,IF($J179=3,$E179*$I179/12*1,0)))))+IF(CH$5&lt;&gt;$H179,0,IF(CH179&gt;0,IF($J179=1,$E179*$I179/12*0,IF($J179=2,$E179*$I179/12*1,IF($J179=3,$E179*$I179/12*2,IF($J179&gt;=4,$E179*$I179/12*3,0))))))</f>
        <v>0</v>
      </c>
      <c r="CJ179" s="1807">
        <f t="shared" ref="CJ179" si="2707">IF($H179&lt;&gt;CM$5,0,IF(CM179&gt;0,IF(OR($J179=1,$J179=2,$J179=3,$J179=4),$E179*$I179/12*3,IF($J179=5,$E179*$I179/12*2,IF($J179=6,$E179*$I179/12*1,0)))))+IF(CH$5&lt;&gt;$H179,0,IF(CH179&gt;0,IF($J179=4,$E179*$I179/12*0,IF($J179=5,$E179*$I179/12*1,IF($J179=6,$E179*$I179/12*2,IF($J179&gt;=7,$E179*$I179/12*3,0))))))</f>
        <v>0</v>
      </c>
      <c r="CK179" s="1807">
        <f t="shared" ref="CK179" si="2708">IF($H179&lt;&gt;CM$5,0,IF(CM179&gt;0,IF(OR($J179=1,$J179=2,$J179=3,$J179=4,$J179=5,$J179=6,$J179=7),$E179*$I179/12*3,IF($J179=8,$E179*$I179/12*2,IF($J179=9,$E179*$I179/12*1,0)))))+IF(CH$5&lt;&gt;$H179,0,IF(CH179&gt;0,IF($J179=7,$E179*$I179/12*0,IF($J179=8,$E179*$I179/12*1,IF($J179=9,$E179*$I179/12*2,IF($J179&gt;=10,$E179*$I179/12*3,0))))))</f>
        <v>0</v>
      </c>
      <c r="CL179" s="1806">
        <f t="shared" ref="CL179" si="2709">IF($H179&lt;&gt;CM$5,0,IF(CM179&gt;0,IF(OR($J179=1,$J179=2,$J179=3,$J179=4,$J179=5,$J179=6,$J179=7,$J179=8,$J179=9,$J179=10),$E179*$I179/12*3,IF($J179=11,$E179*$I179/12*2,IF($J179=12,$E179*$I179/12*1,0)))))+IF(CH$5&lt;&gt;$H179,0,IF(CH179&gt;0,IF($J179=10,$E179*$I179/12*0,IF($J179=11,$E179*$I179/12*1,IF($J179=12,$E179*$I179/12*2,0)))))</f>
        <v>0</v>
      </c>
      <c r="CM179" s="1791">
        <f t="shared" ref="CM179" si="2710">IF(AND(CH179&lt;&gt;0,CH$5=$H179),$I179*$E179-CH179,IF(CM$5=$H179,$I179*$E179*(12-$J179+1)/12,0))</f>
        <v>0</v>
      </c>
      <c r="CN179" s="1808">
        <f t="shared" ref="CN179" si="2711">IF($H179&lt;&gt;CR$5,0,IF(CR179&gt;0,IF($J179=1,$E179*$I179/12*3,IF($J179=2,$E179*$I179/12*2,IF($J179=3,$E179*$I179/12*1,0)))))+IF(CM$5&lt;&gt;$H179,0,IF(CM179&gt;0,IF($J179=1,$E179*$I179/12*0,IF($J179=2,$E179*$I179/12*1,IF($J179=3,$E179*$I179/12*2,IF($J179&gt;=4,$E179*$I179/12*3,0))))))</f>
        <v>0</v>
      </c>
      <c r="CO179" s="1807">
        <f t="shared" ref="CO179" si="2712">IF($H179&lt;&gt;CR$5,0,IF(CR179&gt;0,IF(OR($J179=1,$J179=2,$J179=3,$J179=4),$E179*$I179/12*3,IF($J179=5,$E179*$I179/12*2,IF($J179=6,$E179*$I179/12*1,0)))))+IF(CM$5&lt;&gt;$H179,0,IF(CM179&gt;0,IF($J179=4,$E179*$I179/12*0,IF($J179=5,$E179*$I179/12*1,IF($J179=6,$E179*$I179/12*2,IF($J179&gt;=7,$E179*$I179/12*3,0))))))</f>
        <v>0</v>
      </c>
      <c r="CP179" s="1807">
        <f t="shared" ref="CP179" si="2713">IF($H179&lt;&gt;CR$5,0,IF(CR179&gt;0,IF(OR($J179=1,$J179=2,$J179=3,$J179=4,$J179=5,$J179=6,$J179=7),$E179*$I179/12*3,IF($J179=8,$E179*$I179/12*2,IF($J179=9,$E179*$I179/12*1,0)))))+IF(CM$5&lt;&gt;$H179,0,IF(CM179&gt;0,IF($J179=7,$E179*$I179/12*0,IF($J179=8,$E179*$I179/12*1,IF($J179=9,$E179*$I179/12*2,IF($J179&gt;=10,$E179*$I179/12*3,0))))))</f>
        <v>0</v>
      </c>
      <c r="CQ179" s="1806">
        <f t="shared" ref="CQ179" si="2714">IF($H179&lt;&gt;CR$5,0,IF(CR179&gt;0,IF(OR($J179=1,$J179=2,$J179=3,$J179=4,$J179=5,$J179=6,$J179=7,$J179=8,$J179=9,$J179=10),$E179*$I179/12*3,IF($J179=11,$E179*$I179/12*2,IF($J179=12,$E179*$I179/12*1,0)))))+IF(CM$5&lt;&gt;$H179,0,IF(CM179&gt;0,IF($J179=10,$E179*$I179/12*0,IF($J179=11,$E179*$I179/12*1,IF($J179=12,$E179*$I179/12*2,0)))))</f>
        <v>0</v>
      </c>
      <c r="CR179" s="1791">
        <f t="shared" ref="CR179" si="2715">IF(AND(CM179&lt;&gt;0,CM$5=$H179),$I179*$E179-CM179,IF(CR$5=$H179,$I179*$E179*(12-$J179+1)/12,0))</f>
        <v>0</v>
      </c>
      <c r="CS179" s="1808">
        <f t="shared" ref="CS179" si="2716">IF($H179&lt;&gt;CW$5,0,IF(CW179&gt;0,IF($J179=1,$E179*$I179/12*3,IF($J179=2,$E179*$I179/12*2,IF($J179=3,$E179*$I179/12*1,0)))))+IF(CR$5&lt;&gt;$H179,0,IF(CR179&gt;0,IF($J179=1,$E179*$I179/12*0,IF($J179=2,$E179*$I179/12*1,IF($J179=3,$E179*$I179/12*2,IF($J179&gt;=4,$E179*$I179/12*3,0))))))</f>
        <v>0</v>
      </c>
      <c r="CT179" s="1807">
        <f t="shared" ref="CT179" si="2717">IF($H179&lt;&gt;CW$5,0,IF(CW179&gt;0,IF(OR($J179=1,$J179=2,$J179=3,$J179=4),$E179*$I179/12*3,IF($J179=5,$E179*$I179/12*2,IF($J179=6,$E179*$I179/12*1,0)))))+IF(CR$5&lt;&gt;$H179,0,IF(CR179&gt;0,IF($J179=4,$E179*$I179/12*0,IF($J179=5,$E179*$I179/12*1,IF($J179=6,$E179*$I179/12*2,IF($J179&gt;=7,$E179*$I179/12*3,0))))))</f>
        <v>0</v>
      </c>
      <c r="CU179" s="1807">
        <f t="shared" ref="CU179" si="2718">IF($H179&lt;&gt;CW$5,0,IF(CW179&gt;0,IF(OR($J179=1,$J179=2,$J179=3,$J179=4,$J179=5,$J179=6,$J179=7),$E179*$I179/12*3,IF($J179=8,$E179*$I179/12*2,IF($J179=9,$E179*$I179/12*1,0)))))+IF(CR$5&lt;&gt;$H179,0,IF(CR179&gt;0,IF($J179=7,$E179*$I179/12*0,IF($J179=8,$E179*$I179/12*1,IF($J179=9,$E179*$I179/12*2,IF($J179&gt;=10,$E179*$I179/12*3,0))))))</f>
        <v>0</v>
      </c>
      <c r="CV179" s="1806">
        <f t="shared" ref="CV179" si="2719">IF($H179&lt;&gt;CW$5,0,IF(CW179&gt;0,IF(OR($J179=1,$J179=2,$J179=3,$J179=4,$J179=5,$J179=6,$J179=7,$J179=8,$J179=9,$J179=10),$E179*$I179/12*3,IF($J179=11,$E179*$I179/12*2,IF($J179=12,$E179*$I179/12*1,0)))))+IF(CR$5&lt;&gt;$H179,0,IF(CR179&gt;0,IF($J179=10,$E179*$I179/12*0,IF($J179=11,$E179*$I179/12*1,IF($J179=12,$E179*$I179/12*2,0)))))</f>
        <v>0</v>
      </c>
      <c r="CW179" s="1791">
        <f t="shared" ref="CW179" si="2720">IF(AND(CR179&lt;&gt;0,CR$5=$H179),$I179*$E179-CR179,IF(CW$5=$H179,$I179*$E179*(12-$J179+1)/12,0))</f>
        <v>0</v>
      </c>
      <c r="CX179" s="1808">
        <f t="shared" ref="CX179" si="2721">IF($H179&lt;&gt;DB$5,0,IF(DB179&gt;0,IF($J179=1,$E179*$I179/12*3,IF($J179=2,$E179*$I179/12*2,IF($J179=3,$E179*$I179/12*1,0)))))+IF(CW$5&lt;&gt;$H179,0,IF(CW179&gt;0,IF($J179=1,$E179*$I179/12*0,IF($J179=2,$E179*$I179/12*1,IF($J179=3,$E179*$I179/12*2,IF($J179&gt;=4,$E179*$I179/12*3,0))))))</f>
        <v>0</v>
      </c>
      <c r="CY179" s="1807">
        <f t="shared" ref="CY179" si="2722">IF($H179&lt;&gt;DB$5,0,IF(DB179&gt;0,IF(OR($J179=1,$J179=2,$J179=3,$J179=4),$E179*$I179/12*3,IF($J179=5,$E179*$I179/12*2,IF($J179=6,$E179*$I179/12*1,0)))))+IF(CW$5&lt;&gt;$H179,0,IF(CW179&gt;0,IF($J179=4,$E179*$I179/12*0,IF($J179=5,$E179*$I179/12*1,IF($J179=6,$E179*$I179/12*2,IF($J179&gt;=7,$E179*$I179/12*3,0))))))</f>
        <v>0</v>
      </c>
      <c r="CZ179" s="1807">
        <f t="shared" ref="CZ179" si="2723">IF($H179&lt;&gt;DB$5,0,IF(DB179&gt;0,IF(OR($J179=1,$J179=2,$J179=3,$J179=4,$J179=5,$J179=6,$J179=7),$E179*$I179/12*3,IF($J179=8,$E179*$I179/12*2,IF($J179=9,$E179*$I179/12*1,0)))))+IF(CW$5&lt;&gt;$H179,0,IF(CW179&gt;0,IF($J179=7,$E179*$I179/12*0,IF($J179=8,$E179*$I179/12*1,IF($J179=9,$E179*$I179/12*2,IF($J179&gt;=10,$E179*$I179/12*3,0))))))</f>
        <v>0</v>
      </c>
      <c r="DA179" s="1806">
        <f t="shared" ref="DA179" si="2724">IF($H179&lt;&gt;DB$5,0,IF(DB179&gt;0,IF(OR($J179=1,$J179=2,$J179=3,$J179=4,$J179=5,$J179=6,$J179=7,$J179=8,$J179=9,$J179=10),$E179*$I179/12*3,IF($J179=11,$E179*$I179/12*2,IF($J179=12,$E179*$I179/12*1,0)))))+IF(CW$5&lt;&gt;$H179,0,IF(CW179&gt;0,IF($J179=10,$E179*$I179/12*0,IF($J179=11,$E179*$I179/12*1,IF($J179=12,$E179*$I179/12*2,0)))))</f>
        <v>0</v>
      </c>
      <c r="DB179" s="1791">
        <f t="shared" ref="DB179" si="2725">IF(AND(CW179&lt;&gt;0,CW$5=$H179),$I179*$E179-CW179,IF(DB$5=$H179,$I179*$E179*(12-$J179+1)/12,0))</f>
        <v>0</v>
      </c>
      <c r="DC179" s="1808">
        <f t="shared" ref="DC179" si="2726">IF($H179&lt;&gt;DG$5,0,IF(DG179&gt;0,IF($J179=1,$E179*$I179/12*3,IF($J179=2,$E179*$I179/12*2,IF($J179=3,$E179*$I179/12*1,0)))))+IF(DB$5&lt;&gt;$H179,0,IF(DB179&gt;0,IF($J179=1,$E179*$I179/12*0,IF($J179=2,$E179*$I179/12*1,IF($J179=3,$E179*$I179/12*2,IF($J179&gt;=4,$E179*$I179/12*3,0))))))</f>
        <v>0</v>
      </c>
      <c r="DD179" s="1807">
        <f t="shared" ref="DD179" si="2727">IF($H179&lt;&gt;DG$5,0,IF(DG179&gt;0,IF(OR($J179=1,$J179=2,$J179=3,$J179=4),$E179*$I179/12*3,IF($J179=5,$E179*$I179/12*2,IF($J179=6,$E179*$I179/12*1,0)))))+IF(DB$5&lt;&gt;$H179,0,IF(DB179&gt;0,IF($J179=4,$E179*$I179/12*0,IF($J179=5,$E179*$I179/12*1,IF($J179=6,$E179*$I179/12*2,IF($J179&gt;=7,$E179*$I179/12*3,0))))))</f>
        <v>0</v>
      </c>
      <c r="DE179" s="1807">
        <f t="shared" ref="DE179" si="2728">IF($H179&lt;&gt;DG$5,0,IF(DG179&gt;0,IF(OR($J179=1,$J179=2,$J179=3,$J179=4,$J179=5,$J179=6,$J179=7),$E179*$I179/12*3,IF($J179=8,$E179*$I179/12*2,IF($J179=9,$E179*$I179/12*1,0)))))+IF(DB$5&lt;&gt;$H179,0,IF(DB179&gt;0,IF($J179=7,$E179*$I179/12*0,IF($J179=8,$E179*$I179/12*1,IF($J179=9,$E179*$I179/12*2,IF($J179&gt;=10,$E179*$I179/12*3,0))))))</f>
        <v>0</v>
      </c>
      <c r="DF179" s="1806">
        <f t="shared" ref="DF179" si="2729">IF($H179&lt;&gt;DG$5,0,IF(DG179&gt;0,IF(OR($J179=1,$J179=2,$J179=3,$J179=4,$J179=5,$J179=6,$J179=7,$J179=8,$J179=9,$J179=10),$E179*$I179/12*3,IF($J179=11,$E179*$I179/12*2,IF($J179=12,$E179*$I179/12*1,0)))))+IF(DB$5&lt;&gt;$H179,0,IF(DB179&gt;0,IF($J179=10,$E179*$I179/12*0,IF($J179=11,$E179*$I179/12*1,IF($J179=12,$E179*$I179/12*2,0)))))</f>
        <v>0</v>
      </c>
      <c r="DG179" s="1791">
        <f t="shared" ref="DG179" si="2730">IF(AND(DB179&lt;&gt;0,DB$5=$H179),$I179*$E179-DB179,IF(DG$5=$H179,$I179*$E179*(12-$J179+1)/12,0))</f>
        <v>0</v>
      </c>
      <c r="DH179" s="1808">
        <f t="shared" ref="DH179" si="2731">IF($H179&lt;&gt;DL$5,0,IF(DL179&gt;0,IF($J179=1,$E179*$I179/12*3,IF($J179=2,$E179*$I179/12*2,IF($J179=3,$E179*$I179/12*1,0)))))+IF(DG$5&lt;&gt;$H179,0,IF(DG179&gt;0,IF($J179=1,$E179*$I179/12*0,IF($J179=2,$E179*$I179/12*1,IF($J179=3,$E179*$I179/12*2,IF($J179&gt;=4,$E179*$I179/12*3,0))))))</f>
        <v>0</v>
      </c>
      <c r="DI179" s="1807">
        <f t="shared" ref="DI179" si="2732">IF($H179&lt;&gt;DL$5,0,IF(DL179&gt;0,IF(OR($J179=1,$J179=2,$J179=3,$J179=4),$E179*$I179/12*3,IF($J179=5,$E179*$I179/12*2,IF($J179=6,$E179*$I179/12*1,0)))))+IF(DG$5&lt;&gt;$H179,0,IF(DG179&gt;0,IF($J179=4,$E179*$I179/12*0,IF($J179=5,$E179*$I179/12*1,IF($J179=6,$E179*$I179/12*2,IF($J179&gt;=7,$E179*$I179/12*3,0))))))</f>
        <v>0</v>
      </c>
      <c r="DJ179" s="1807">
        <f t="shared" ref="DJ179" si="2733">IF($H179&lt;&gt;DL$5,0,IF(DL179&gt;0,IF(OR($J179=1,$J179=2,$J179=3,$J179=4,$J179=5,$J179=6,$J179=7),$E179*$I179/12*3,IF($J179=8,$E179*$I179/12*2,IF($J179=9,$E179*$I179/12*1,0)))))+IF(DG$5&lt;&gt;$H179,0,IF(DG179&gt;0,IF($J179=7,$E179*$I179/12*0,IF($J179=8,$E179*$I179/12*1,IF($J179=9,$E179*$I179/12*2,IF($J179&gt;=10,$E179*$I179/12*3,0))))))</f>
        <v>0</v>
      </c>
      <c r="DK179" s="1806">
        <f t="shared" ref="DK179" si="2734">IF($H179&lt;&gt;DL$5,0,IF(DL179&gt;0,IF(OR($J179=1,$J179=2,$J179=3,$J179=4,$J179=5,$J179=6,$J179=7,$J179=8,$J179=9,$J179=10),$E179*$I179/12*3,IF($J179=11,$E179*$I179/12*2,IF($J179=12,$E179*$I179/12*1,0)))))+IF(DG$5&lt;&gt;$H179,0,IF(DG179&gt;0,IF($J179=10,$E179*$I179/12*0,IF($J179=11,$E179*$I179/12*1,IF($J179=12,$E179*$I179/12*2,0)))))</f>
        <v>0</v>
      </c>
      <c r="DL179" s="1791">
        <f t="shared" ref="DL179" si="2735">IF(AND(DG179&lt;&gt;0,DG$5=$H179),$I179*$E179-DG179,IF(DL$5=$H179,$I179*$E179*(12-$J179+1)/12,0))</f>
        <v>0</v>
      </c>
      <c r="DM179" s="1808">
        <f t="shared" ref="DM179" si="2736">IF($H179&lt;&gt;DQ$5,0,IF(DQ179&gt;0,IF($J179=1,$E179*$I179/12*3,IF($J179=2,$E179*$I179/12*2,IF($J179=3,$E179*$I179/12*1,0)))))+IF(DL$5&lt;&gt;$H179,0,IF(DL179&gt;0,IF($J179=1,$E179*$I179/12*0,IF($J179=2,$E179*$I179/12*1,IF($J179=3,$E179*$I179/12*2,IF($J179&gt;=4,$E179*$I179/12*3,0))))))</f>
        <v>0</v>
      </c>
      <c r="DN179" s="1807">
        <f t="shared" ref="DN179" si="2737">IF($H179&lt;&gt;DQ$5,0,IF(DQ179&gt;0,IF(OR($J179=1,$J179=2,$J179=3,$J179=4),$E179*$I179/12*3,IF($J179=5,$E179*$I179/12*2,IF($J179=6,$E179*$I179/12*1,0)))))+IF(DL$5&lt;&gt;$H179,0,IF(DL179&gt;0,IF($J179=4,$E179*$I179/12*0,IF($J179=5,$E179*$I179/12*1,IF($J179=6,$E179*$I179/12*2,IF($J179&gt;=7,$E179*$I179/12*3,0))))))</f>
        <v>0</v>
      </c>
      <c r="DO179" s="1807">
        <f t="shared" ref="DO179" si="2738">IF($H179&lt;&gt;DQ$5,0,IF(DQ179&gt;0,IF(OR($J179=1,$J179=2,$J179=3,$J179=4,$J179=5,$J179=6,$J179=7),$E179*$I179/12*3,IF($J179=8,$E179*$I179/12*2,IF($J179=9,$E179*$I179/12*1,0)))))+IF(DL$5&lt;&gt;$H179,0,IF(DL179&gt;0,IF($J179=7,$E179*$I179/12*0,IF($J179=8,$E179*$I179/12*1,IF($J179=9,$E179*$I179/12*2,IF($J179&gt;=10,$E179*$I179/12*3,0))))))</f>
        <v>0</v>
      </c>
      <c r="DP179" s="1806">
        <f t="shared" ref="DP179" si="2739">IF($H179&lt;&gt;DQ$5,0,IF(DQ179&gt;0,IF(OR($J179=1,$J179=2,$J179=3,$J179=4,$J179=5,$J179=6,$J179=7,$J179=8,$J179=9,$J179=10),$E179*$I179/12*3,IF($J179=11,$E179*$I179/12*2,IF($J179=12,$E179*$I179/12*1,0)))))+IF(DL$5&lt;&gt;$H179,0,IF(DL179&gt;0,IF($J179=10,$E179*$I179/12*0,IF($J179=11,$E179*$I179/12*1,IF($J179=12,$E179*$I179/12*2,0)))))</f>
        <v>0</v>
      </c>
      <c r="DQ179" s="1791">
        <f t="shared" ref="DQ179" si="2740">IF(AND(DL179&lt;&gt;0,DL$5=$H179),$I179*$E179-DL179,IF(DQ$5=$H179,$I179*$E179*(12-$J179+1)/12,0))</f>
        <v>0</v>
      </c>
      <c r="DR179" s="1808">
        <f t="shared" ref="DR179" si="2741">IF($H179&lt;&gt;DV$5,0,IF(DV179&gt;0,IF($J179=1,$E179*$I179/12*3,IF($J179=2,$E179*$I179/12*2,IF($J179=3,$E179*$I179/12*1,0)))))+IF(DQ$5&lt;&gt;$H179,0,IF(DQ179&gt;0,IF($J179=1,$E179*$I179/12*0,IF($J179=2,$E179*$I179/12*1,IF($J179=3,$E179*$I179/12*2,IF($J179&gt;=4,$E179*$I179/12*3,0))))))</f>
        <v>0</v>
      </c>
      <c r="DS179" s="1807">
        <f t="shared" ref="DS179" si="2742">IF($H179&lt;&gt;DV$5,0,IF(DV179&gt;0,IF(OR($J179=1,$J179=2,$J179=3,$J179=4),$E179*$I179/12*3,IF($J179=5,$E179*$I179/12*2,IF($J179=6,$E179*$I179/12*1,0)))))+IF(DQ$5&lt;&gt;$H179,0,IF(DQ179&gt;0,IF($J179=4,$E179*$I179/12*0,IF($J179=5,$E179*$I179/12*1,IF($J179=6,$E179*$I179/12*2,IF($J179&gt;=7,$E179*$I179/12*3,0))))))</f>
        <v>0</v>
      </c>
      <c r="DT179" s="1807">
        <f t="shared" ref="DT179" si="2743">IF($H179&lt;&gt;DV$5,0,IF(DV179&gt;0,IF(OR($J179=1,$J179=2,$J179=3,$J179=4,$J179=5,$J179=6,$J179=7),$E179*$I179/12*3,IF($J179=8,$E179*$I179/12*2,IF($J179=9,$E179*$I179/12*1,0)))))+IF(DQ$5&lt;&gt;$H179,0,IF(DQ179&gt;0,IF($J179=7,$E179*$I179/12*0,IF($J179=8,$E179*$I179/12*1,IF($J179=9,$E179*$I179/12*2,IF($J179&gt;=10,$E179*$I179/12*3,0))))))</f>
        <v>31.5</v>
      </c>
      <c r="DU179" s="1806">
        <f t="shared" ref="DU179" si="2744">IF($H179&lt;&gt;DV$5,0,IF(DV179&gt;0,IF(OR($J179=1,$J179=2,$J179=3,$J179=4,$J179=5,$J179=6,$J179=7,$J179=8,$J179=9,$J179=10),$E179*$I179/12*3,IF($J179=11,$E179*$I179/12*2,IF($J179=12,$E179*$I179/12*1,0)))))+IF(DQ$5&lt;&gt;$H179,0,IF(DQ179&gt;0,IF($J179=10,$E179*$I179/12*0,IF($J179=11,$E179*$I179/12*1,IF($J179=12,$E179*$I179/12*2,0)))))</f>
        <v>31.5</v>
      </c>
      <c r="DV179" s="1791">
        <f t="shared" ref="DV179" si="2745">IF(AND(DQ179&lt;&gt;0,DQ$5=$H179),$I179*$E179-DQ179,IF(DV$5=$H179,$I179*$E179*(12-$J179+1)/12,0))</f>
        <v>63</v>
      </c>
    </row>
    <row r="180" spans="1:127">
      <c r="A180" s="455"/>
      <c r="B180" s="455"/>
      <c r="C180" s="1805"/>
      <c r="D180" s="470"/>
      <c r="E180" s="1804"/>
      <c r="F180" s="1803"/>
      <c r="G180" s="1803"/>
      <c r="H180" s="1352"/>
      <c r="I180" s="1336"/>
      <c r="J180" s="471"/>
      <c r="K180" s="79"/>
      <c r="L180" s="453"/>
      <c r="M180" s="80"/>
      <c r="N180" s="1802"/>
      <c r="O180" s="1801"/>
      <c r="P180" s="1801"/>
      <c r="Q180" s="1800"/>
      <c r="R180" s="80"/>
      <c r="S180" s="1802"/>
      <c r="T180" s="1801"/>
      <c r="U180" s="1801"/>
      <c r="V180" s="1800"/>
      <c r="W180" s="80"/>
      <c r="X180" s="1802"/>
      <c r="Y180" s="1801"/>
      <c r="Z180" s="1801"/>
      <c r="AA180" s="1800"/>
      <c r="AB180" s="80"/>
      <c r="AC180" s="1802"/>
      <c r="AD180" s="1801"/>
      <c r="AE180" s="1801"/>
      <c r="AF180" s="1800"/>
      <c r="AG180" s="80"/>
      <c r="AH180" s="1802"/>
      <c r="AI180" s="1801"/>
      <c r="AJ180" s="1801"/>
      <c r="AK180" s="1800"/>
      <c r="AL180" s="80"/>
      <c r="AM180" s="1802"/>
      <c r="AN180" s="1801"/>
      <c r="AO180" s="1801"/>
      <c r="AP180" s="1800"/>
      <c r="AQ180" s="80"/>
      <c r="AR180" s="1802"/>
      <c r="AS180" s="1801"/>
      <c r="AT180" s="1801"/>
      <c r="AU180" s="1800"/>
      <c r="AV180" s="80"/>
      <c r="AW180" s="1802"/>
      <c r="AX180" s="1801"/>
      <c r="AY180" s="1801"/>
      <c r="AZ180" s="1800"/>
      <c r="BA180" s="80"/>
      <c r="BB180" s="1802"/>
      <c r="BC180" s="1801"/>
      <c r="BD180" s="1801"/>
      <c r="BE180" s="1800"/>
      <c r="BF180" s="80"/>
      <c r="BG180" s="1802"/>
      <c r="BH180" s="1801"/>
      <c r="BI180" s="1801"/>
      <c r="BJ180" s="1800"/>
      <c r="BK180" s="80"/>
      <c r="BL180" s="1802"/>
      <c r="BM180" s="1801"/>
      <c r="BN180" s="1801"/>
      <c r="BO180" s="1800"/>
      <c r="BP180" s="80"/>
      <c r="BQ180" s="472"/>
      <c r="BR180" s="1799"/>
      <c r="BS180" s="1799"/>
      <c r="BT180" s="1802"/>
      <c r="BU180" s="1801"/>
      <c r="BV180" s="1801"/>
      <c r="BW180" s="1800"/>
      <c r="BX180" s="1799"/>
      <c r="BY180" s="1802"/>
      <c r="BZ180" s="1801"/>
      <c r="CA180" s="1801"/>
      <c r="CB180" s="1800"/>
      <c r="CC180" s="1799"/>
      <c r="CD180" s="1802"/>
      <c r="CE180" s="1801"/>
      <c r="CF180" s="1801"/>
      <c r="CG180" s="1800"/>
      <c r="CH180" s="1799"/>
      <c r="CI180" s="1802"/>
      <c r="CJ180" s="1801"/>
      <c r="CK180" s="1801"/>
      <c r="CL180" s="1800"/>
      <c r="CM180" s="1799"/>
      <c r="CN180" s="1802"/>
      <c r="CO180" s="1801"/>
      <c r="CP180" s="1801"/>
      <c r="CQ180" s="1800"/>
      <c r="CR180" s="1799"/>
      <c r="CS180" s="1802"/>
      <c r="CT180" s="1801"/>
      <c r="CU180" s="1801"/>
      <c r="CV180" s="1800"/>
      <c r="CW180" s="1799"/>
      <c r="CX180" s="1802"/>
      <c r="CY180" s="1801"/>
      <c r="CZ180" s="1801"/>
      <c r="DA180" s="1800"/>
      <c r="DB180" s="1799"/>
      <c r="DC180" s="1802"/>
      <c r="DD180" s="1801"/>
      <c r="DE180" s="1801"/>
      <c r="DF180" s="1800"/>
      <c r="DG180" s="1799"/>
      <c r="DH180" s="1802"/>
      <c r="DI180" s="1801"/>
      <c r="DJ180" s="1801"/>
      <c r="DK180" s="1800"/>
      <c r="DL180" s="1799"/>
      <c r="DM180" s="1802"/>
      <c r="DN180" s="1801"/>
      <c r="DO180" s="1801"/>
      <c r="DP180" s="1800"/>
      <c r="DQ180" s="1799"/>
      <c r="DR180" s="1802"/>
      <c r="DS180" s="1801"/>
      <c r="DT180" s="1801"/>
      <c r="DU180" s="1800"/>
      <c r="DV180" s="1799"/>
    </row>
    <row r="181" spans="1:127">
      <c r="A181" s="455"/>
      <c r="B181" s="459"/>
      <c r="C181" s="1798"/>
      <c r="D181" s="1824"/>
      <c r="E181" s="77">
        <f>SUM(E172:E180)</f>
        <v>9070</v>
      </c>
      <c r="F181" s="1817"/>
      <c r="G181" s="1817"/>
      <c r="H181" s="1348"/>
      <c r="I181" s="1333"/>
      <c r="J181" s="458"/>
      <c r="K181" s="81"/>
      <c r="L181" s="77">
        <f t="shared" ref="L181:AQ181" si="2746">SUM(L172:L180)</f>
        <v>0</v>
      </c>
      <c r="M181" s="73">
        <f t="shared" si="2746"/>
        <v>0</v>
      </c>
      <c r="N181" s="74">
        <f t="shared" si="2746"/>
        <v>0</v>
      </c>
      <c r="O181" s="75">
        <f t="shared" si="2746"/>
        <v>0</v>
      </c>
      <c r="P181" s="75">
        <f t="shared" si="2746"/>
        <v>0</v>
      </c>
      <c r="Q181" s="76">
        <f t="shared" si="2746"/>
        <v>0</v>
      </c>
      <c r="R181" s="73">
        <f t="shared" si="2746"/>
        <v>0</v>
      </c>
      <c r="S181" s="74">
        <f t="shared" si="2746"/>
        <v>0</v>
      </c>
      <c r="T181" s="75">
        <f t="shared" si="2746"/>
        <v>0</v>
      </c>
      <c r="U181" s="75">
        <f t="shared" si="2746"/>
        <v>0</v>
      </c>
      <c r="V181" s="76">
        <f t="shared" si="2746"/>
        <v>0</v>
      </c>
      <c r="W181" s="73">
        <f t="shared" si="2746"/>
        <v>0</v>
      </c>
      <c r="X181" s="74">
        <f t="shared" si="2746"/>
        <v>0</v>
      </c>
      <c r="Y181" s="75">
        <f t="shared" si="2746"/>
        <v>0</v>
      </c>
      <c r="Z181" s="75">
        <f t="shared" si="2746"/>
        <v>0</v>
      </c>
      <c r="AA181" s="76">
        <f t="shared" si="2746"/>
        <v>0</v>
      </c>
      <c r="AB181" s="73">
        <f t="shared" si="2746"/>
        <v>0</v>
      </c>
      <c r="AC181" s="74">
        <f t="shared" si="2746"/>
        <v>0</v>
      </c>
      <c r="AD181" s="75">
        <f t="shared" si="2746"/>
        <v>0</v>
      </c>
      <c r="AE181" s="75">
        <f t="shared" si="2746"/>
        <v>0</v>
      </c>
      <c r="AF181" s="76">
        <f t="shared" si="2746"/>
        <v>0</v>
      </c>
      <c r="AG181" s="73">
        <f t="shared" si="2746"/>
        <v>0</v>
      </c>
      <c r="AH181" s="74">
        <f t="shared" si="2746"/>
        <v>0</v>
      </c>
      <c r="AI181" s="75">
        <f t="shared" si="2746"/>
        <v>0</v>
      </c>
      <c r="AJ181" s="75">
        <f t="shared" si="2746"/>
        <v>0</v>
      </c>
      <c r="AK181" s="76">
        <f t="shared" si="2746"/>
        <v>0</v>
      </c>
      <c r="AL181" s="73">
        <f t="shared" si="2746"/>
        <v>0</v>
      </c>
      <c r="AM181" s="74">
        <f t="shared" si="2746"/>
        <v>0</v>
      </c>
      <c r="AN181" s="75">
        <f t="shared" si="2746"/>
        <v>0</v>
      </c>
      <c r="AO181" s="75">
        <f t="shared" si="2746"/>
        <v>0</v>
      </c>
      <c r="AP181" s="76">
        <f t="shared" si="2746"/>
        <v>0</v>
      </c>
      <c r="AQ181" s="73">
        <f t="shared" si="2746"/>
        <v>0</v>
      </c>
      <c r="AR181" s="74">
        <f t="shared" ref="AR181:BP181" si="2747">SUM(AR172:AR180)</f>
        <v>220</v>
      </c>
      <c r="AS181" s="75">
        <f t="shared" si="2747"/>
        <v>450</v>
      </c>
      <c r="AT181" s="75">
        <f t="shared" si="2747"/>
        <v>0</v>
      </c>
      <c r="AU181" s="76">
        <f t="shared" si="2747"/>
        <v>300</v>
      </c>
      <c r="AV181" s="73">
        <f t="shared" si="2747"/>
        <v>970</v>
      </c>
      <c r="AW181" s="74">
        <f t="shared" si="2747"/>
        <v>0</v>
      </c>
      <c r="AX181" s="75">
        <f t="shared" si="2747"/>
        <v>2500</v>
      </c>
      <c r="AY181" s="75">
        <f t="shared" si="2747"/>
        <v>0</v>
      </c>
      <c r="AZ181" s="76">
        <f t="shared" si="2747"/>
        <v>0</v>
      </c>
      <c r="BA181" s="73">
        <f t="shared" si="2747"/>
        <v>2500</v>
      </c>
      <c r="BB181" s="74">
        <f t="shared" si="2747"/>
        <v>0</v>
      </c>
      <c r="BC181" s="75">
        <f t="shared" si="2747"/>
        <v>0</v>
      </c>
      <c r="BD181" s="75">
        <f t="shared" si="2747"/>
        <v>1800</v>
      </c>
      <c r="BE181" s="76">
        <f t="shared" si="2747"/>
        <v>0</v>
      </c>
      <c r="BF181" s="73">
        <f t="shared" si="2747"/>
        <v>1800</v>
      </c>
      <c r="BG181" s="74">
        <f t="shared" si="2747"/>
        <v>0</v>
      </c>
      <c r="BH181" s="75">
        <f t="shared" si="2747"/>
        <v>0</v>
      </c>
      <c r="BI181" s="75">
        <f t="shared" si="2747"/>
        <v>1700</v>
      </c>
      <c r="BJ181" s="76">
        <f t="shared" si="2747"/>
        <v>0</v>
      </c>
      <c r="BK181" s="73">
        <f t="shared" si="2747"/>
        <v>1700</v>
      </c>
      <c r="BL181" s="74">
        <f t="shared" si="2747"/>
        <v>0</v>
      </c>
      <c r="BM181" s="75">
        <f t="shared" si="2747"/>
        <v>0</v>
      </c>
      <c r="BN181" s="75">
        <f t="shared" si="2747"/>
        <v>2100</v>
      </c>
      <c r="BO181" s="76">
        <f t="shared" si="2747"/>
        <v>0</v>
      </c>
      <c r="BP181" s="73">
        <f t="shared" si="2747"/>
        <v>2100</v>
      </c>
      <c r="BQ181" s="464"/>
      <c r="BR181" s="73">
        <f t="shared" ref="BR181:CW181" si="2748">SUM(BR172:BR180)</f>
        <v>0</v>
      </c>
      <c r="BS181" s="73">
        <f t="shared" si="2748"/>
        <v>0</v>
      </c>
      <c r="BT181" s="74">
        <f t="shared" si="2748"/>
        <v>0</v>
      </c>
      <c r="BU181" s="75">
        <f t="shared" si="2748"/>
        <v>0</v>
      </c>
      <c r="BV181" s="75">
        <f t="shared" si="2748"/>
        <v>0</v>
      </c>
      <c r="BW181" s="76">
        <f t="shared" si="2748"/>
        <v>0</v>
      </c>
      <c r="BX181" s="73">
        <f t="shared" si="2748"/>
        <v>0</v>
      </c>
      <c r="BY181" s="74">
        <f t="shared" si="2748"/>
        <v>0</v>
      </c>
      <c r="BZ181" s="75">
        <f t="shared" si="2748"/>
        <v>0</v>
      </c>
      <c r="CA181" s="75">
        <f t="shared" si="2748"/>
        <v>0</v>
      </c>
      <c r="CB181" s="76">
        <f t="shared" si="2748"/>
        <v>0</v>
      </c>
      <c r="CC181" s="73">
        <f t="shared" si="2748"/>
        <v>0</v>
      </c>
      <c r="CD181" s="74">
        <f t="shared" si="2748"/>
        <v>0</v>
      </c>
      <c r="CE181" s="75">
        <f t="shared" si="2748"/>
        <v>0</v>
      </c>
      <c r="CF181" s="75">
        <f t="shared" si="2748"/>
        <v>0</v>
      </c>
      <c r="CG181" s="76">
        <f t="shared" si="2748"/>
        <v>0</v>
      </c>
      <c r="CH181" s="73">
        <f t="shared" si="2748"/>
        <v>0</v>
      </c>
      <c r="CI181" s="74">
        <f t="shared" si="2748"/>
        <v>0</v>
      </c>
      <c r="CJ181" s="75">
        <f t="shared" si="2748"/>
        <v>0</v>
      </c>
      <c r="CK181" s="75">
        <f t="shared" si="2748"/>
        <v>0</v>
      </c>
      <c r="CL181" s="76">
        <f t="shared" si="2748"/>
        <v>0</v>
      </c>
      <c r="CM181" s="73">
        <f t="shared" si="2748"/>
        <v>0</v>
      </c>
      <c r="CN181" s="74">
        <f t="shared" si="2748"/>
        <v>0</v>
      </c>
      <c r="CO181" s="75">
        <f t="shared" si="2748"/>
        <v>0</v>
      </c>
      <c r="CP181" s="75">
        <f t="shared" si="2748"/>
        <v>0</v>
      </c>
      <c r="CQ181" s="76">
        <f t="shared" si="2748"/>
        <v>0</v>
      </c>
      <c r="CR181" s="73">
        <f t="shared" si="2748"/>
        <v>0</v>
      </c>
      <c r="CS181" s="74">
        <f t="shared" si="2748"/>
        <v>0</v>
      </c>
      <c r="CT181" s="75">
        <f t="shared" si="2748"/>
        <v>0</v>
      </c>
      <c r="CU181" s="75">
        <f t="shared" si="2748"/>
        <v>0</v>
      </c>
      <c r="CV181" s="76">
        <f t="shared" si="2748"/>
        <v>0</v>
      </c>
      <c r="CW181" s="73">
        <f t="shared" si="2748"/>
        <v>0</v>
      </c>
      <c r="CX181" s="74">
        <f t="shared" ref="CX181:DV181" si="2749">SUM(CX172:CX180)</f>
        <v>0.64166666666666672</v>
      </c>
      <c r="CY181" s="75">
        <f t="shared" si="2749"/>
        <v>3.0950000000000002</v>
      </c>
      <c r="CZ181" s="75">
        <f t="shared" si="2749"/>
        <v>5.4350000000000005</v>
      </c>
      <c r="DA181" s="76">
        <f t="shared" si="2749"/>
        <v>6.3037500000000009</v>
      </c>
      <c r="DB181" s="73">
        <f t="shared" si="2749"/>
        <v>15.475416666666668</v>
      </c>
      <c r="DC181" s="74">
        <f t="shared" si="2749"/>
        <v>7.3995833333333332</v>
      </c>
      <c r="DD181" s="75">
        <f t="shared" si="2749"/>
        <v>42.446249999999999</v>
      </c>
      <c r="DE181" s="75">
        <f t="shared" si="2749"/>
        <v>40.106250000000003</v>
      </c>
      <c r="DF181" s="76">
        <f t="shared" si="2749"/>
        <v>39.237499999999997</v>
      </c>
      <c r="DG181" s="73">
        <f t="shared" si="2749"/>
        <v>129.18958333333333</v>
      </c>
      <c r="DH181" s="74">
        <f t="shared" si="2749"/>
        <v>37.5</v>
      </c>
      <c r="DI181" s="75">
        <f t="shared" si="2749"/>
        <v>0</v>
      </c>
      <c r="DJ181" s="75">
        <f t="shared" si="2749"/>
        <v>27</v>
      </c>
      <c r="DK181" s="76">
        <f t="shared" si="2749"/>
        <v>27</v>
      </c>
      <c r="DL181" s="73">
        <f t="shared" si="2749"/>
        <v>91.5</v>
      </c>
      <c r="DM181" s="74">
        <f t="shared" si="2749"/>
        <v>27</v>
      </c>
      <c r="DN181" s="75">
        <f t="shared" si="2749"/>
        <v>27</v>
      </c>
      <c r="DO181" s="75">
        <f t="shared" si="2749"/>
        <v>25.5</v>
      </c>
      <c r="DP181" s="76">
        <f t="shared" si="2749"/>
        <v>25.5</v>
      </c>
      <c r="DQ181" s="73">
        <f t="shared" si="2749"/>
        <v>105</v>
      </c>
      <c r="DR181" s="74">
        <f t="shared" si="2749"/>
        <v>25.5</v>
      </c>
      <c r="DS181" s="75">
        <f t="shared" si="2749"/>
        <v>25.5</v>
      </c>
      <c r="DT181" s="75">
        <f t="shared" si="2749"/>
        <v>31.5</v>
      </c>
      <c r="DU181" s="76">
        <f t="shared" si="2749"/>
        <v>31.5</v>
      </c>
      <c r="DV181" s="73">
        <f t="shared" si="2749"/>
        <v>114</v>
      </c>
    </row>
    <row r="182" spans="1:127">
      <c r="A182" s="455"/>
      <c r="B182" s="455"/>
      <c r="C182" s="1798"/>
      <c r="D182" s="1824"/>
      <c r="E182" s="1818"/>
      <c r="F182" s="1817"/>
      <c r="G182" s="1817"/>
      <c r="H182" s="1667"/>
      <c r="I182" s="1794"/>
      <c r="J182" s="1817"/>
      <c r="K182" s="1792"/>
      <c r="L182" s="1810"/>
      <c r="M182" s="1791"/>
      <c r="N182" s="1808"/>
      <c r="O182" s="1807"/>
      <c r="P182" s="1807"/>
      <c r="Q182" s="1806"/>
      <c r="R182" s="1791"/>
      <c r="S182" s="1808"/>
      <c r="T182" s="1807"/>
      <c r="U182" s="1807"/>
      <c r="V182" s="1806"/>
      <c r="W182" s="1791"/>
      <c r="X182" s="1808"/>
      <c r="Y182" s="1807"/>
      <c r="Z182" s="1807"/>
      <c r="AA182" s="1806"/>
      <c r="AB182" s="1791"/>
      <c r="AC182" s="1808"/>
      <c r="AD182" s="1807"/>
      <c r="AE182" s="1807"/>
      <c r="AF182" s="1806"/>
      <c r="AG182" s="1791"/>
      <c r="AH182" s="1808"/>
      <c r="AI182" s="1807"/>
      <c r="AJ182" s="1807"/>
      <c r="AK182" s="1806"/>
      <c r="AL182" s="1791"/>
      <c r="AM182" s="1808"/>
      <c r="AN182" s="1807"/>
      <c r="AO182" s="1807"/>
      <c r="AP182" s="1806"/>
      <c r="AQ182" s="1791"/>
      <c r="AR182" s="1808"/>
      <c r="AS182" s="1807"/>
      <c r="AT182" s="1807"/>
      <c r="AU182" s="1806"/>
      <c r="AV182" s="1791"/>
      <c r="AW182" s="1808"/>
      <c r="AX182" s="1807"/>
      <c r="AY182" s="1807"/>
      <c r="AZ182" s="1806"/>
      <c r="BA182" s="1791"/>
      <c r="BB182" s="1808"/>
      <c r="BC182" s="1807"/>
      <c r="BD182" s="1807"/>
      <c r="BE182" s="1806"/>
      <c r="BF182" s="1791"/>
      <c r="BG182" s="1808"/>
      <c r="BH182" s="1807"/>
      <c r="BI182" s="1807"/>
      <c r="BJ182" s="1806"/>
      <c r="BK182" s="1791"/>
      <c r="BL182" s="1808"/>
      <c r="BM182" s="1807"/>
      <c r="BN182" s="1807"/>
      <c r="BO182" s="1806"/>
      <c r="BP182" s="1791"/>
      <c r="BQ182" s="1809"/>
      <c r="BR182" s="1791"/>
      <c r="BS182" s="1791"/>
      <c r="BT182" s="1808"/>
      <c r="BU182" s="1807"/>
      <c r="BV182" s="1807"/>
      <c r="BW182" s="1806"/>
      <c r="BX182" s="1791"/>
      <c r="BY182" s="1808"/>
      <c r="BZ182" s="1807"/>
      <c r="CA182" s="1807"/>
      <c r="CB182" s="1806"/>
      <c r="CC182" s="1791"/>
      <c r="CD182" s="1808"/>
      <c r="CE182" s="1807"/>
      <c r="CF182" s="1807"/>
      <c r="CG182" s="1806"/>
      <c r="CH182" s="1791"/>
      <c r="CI182" s="1808"/>
      <c r="CJ182" s="1807"/>
      <c r="CK182" s="1807"/>
      <c r="CL182" s="1806"/>
      <c r="CM182" s="1791"/>
      <c r="CN182" s="1808"/>
      <c r="CO182" s="1807"/>
      <c r="CP182" s="1807"/>
      <c r="CQ182" s="1806"/>
      <c r="CR182" s="1791"/>
      <c r="CS182" s="1808"/>
      <c r="CT182" s="1807"/>
      <c r="CU182" s="1807"/>
      <c r="CV182" s="1806"/>
      <c r="CW182" s="1791"/>
      <c r="CX182" s="1808"/>
      <c r="CY182" s="1807"/>
      <c r="CZ182" s="1807"/>
      <c r="DA182" s="1806"/>
      <c r="DB182" s="1791"/>
      <c r="DC182" s="1808"/>
      <c r="DD182" s="1807"/>
      <c r="DE182" s="1807"/>
      <c r="DF182" s="1806"/>
      <c r="DG182" s="1791"/>
      <c r="DH182" s="1808"/>
      <c r="DI182" s="1807"/>
      <c r="DJ182" s="1807"/>
      <c r="DK182" s="1806"/>
      <c r="DL182" s="1791"/>
      <c r="DM182" s="1808"/>
      <c r="DN182" s="1807"/>
      <c r="DO182" s="1807"/>
      <c r="DP182" s="1806"/>
      <c r="DQ182" s="1791"/>
      <c r="DR182" s="1808"/>
      <c r="DS182" s="1807"/>
      <c r="DT182" s="1807"/>
      <c r="DU182" s="1806"/>
      <c r="DV182" s="1791"/>
    </row>
    <row r="183" spans="1:127">
      <c r="A183" s="455"/>
      <c r="B183" s="455"/>
      <c r="C183" s="1357" t="s">
        <v>130</v>
      </c>
      <c r="D183" s="456"/>
      <c r="E183" s="457"/>
      <c r="F183" s="458"/>
      <c r="G183" s="458"/>
      <c r="H183" s="1348"/>
      <c r="I183" s="1333"/>
      <c r="J183" s="458"/>
      <c r="K183" s="81"/>
      <c r="L183" s="77">
        <f t="shared" ref="L183:AQ183" si="2750">+SUM(L181,L169)</f>
        <v>0</v>
      </c>
      <c r="M183" s="73">
        <f t="shared" si="2750"/>
        <v>0</v>
      </c>
      <c r="N183" s="74">
        <f t="shared" si="2750"/>
        <v>0</v>
      </c>
      <c r="O183" s="75">
        <f t="shared" si="2750"/>
        <v>0</v>
      </c>
      <c r="P183" s="75">
        <f t="shared" si="2750"/>
        <v>0</v>
      </c>
      <c r="Q183" s="76">
        <f t="shared" si="2750"/>
        <v>0</v>
      </c>
      <c r="R183" s="73">
        <f t="shared" si="2750"/>
        <v>0</v>
      </c>
      <c r="S183" s="74">
        <f t="shared" si="2750"/>
        <v>0</v>
      </c>
      <c r="T183" s="75">
        <f t="shared" si="2750"/>
        <v>0</v>
      </c>
      <c r="U183" s="75">
        <f t="shared" si="2750"/>
        <v>0</v>
      </c>
      <c r="V183" s="76">
        <f t="shared" si="2750"/>
        <v>0</v>
      </c>
      <c r="W183" s="73">
        <f t="shared" si="2750"/>
        <v>0</v>
      </c>
      <c r="X183" s="74">
        <f t="shared" si="2750"/>
        <v>0</v>
      </c>
      <c r="Y183" s="75">
        <f t="shared" si="2750"/>
        <v>0</v>
      </c>
      <c r="Z183" s="75">
        <f t="shared" si="2750"/>
        <v>0</v>
      </c>
      <c r="AA183" s="76">
        <f t="shared" si="2750"/>
        <v>0</v>
      </c>
      <c r="AB183" s="73">
        <f t="shared" si="2750"/>
        <v>0</v>
      </c>
      <c r="AC183" s="74">
        <f t="shared" si="2750"/>
        <v>0</v>
      </c>
      <c r="AD183" s="75">
        <f t="shared" si="2750"/>
        <v>0</v>
      </c>
      <c r="AE183" s="75">
        <f t="shared" si="2750"/>
        <v>0</v>
      </c>
      <c r="AF183" s="76">
        <f t="shared" si="2750"/>
        <v>0</v>
      </c>
      <c r="AG183" s="73">
        <f t="shared" si="2750"/>
        <v>0</v>
      </c>
      <c r="AH183" s="74">
        <f t="shared" si="2750"/>
        <v>0</v>
      </c>
      <c r="AI183" s="75">
        <f t="shared" si="2750"/>
        <v>0</v>
      </c>
      <c r="AJ183" s="75">
        <f t="shared" si="2750"/>
        <v>0</v>
      </c>
      <c r="AK183" s="76">
        <f t="shared" si="2750"/>
        <v>0</v>
      </c>
      <c r="AL183" s="73">
        <f t="shared" si="2750"/>
        <v>0</v>
      </c>
      <c r="AM183" s="74">
        <f t="shared" si="2750"/>
        <v>0</v>
      </c>
      <c r="AN183" s="75">
        <f t="shared" si="2750"/>
        <v>0</v>
      </c>
      <c r="AO183" s="75">
        <f t="shared" si="2750"/>
        <v>0</v>
      </c>
      <c r="AP183" s="76">
        <f t="shared" si="2750"/>
        <v>0</v>
      </c>
      <c r="AQ183" s="73">
        <f t="shared" si="2750"/>
        <v>0</v>
      </c>
      <c r="AR183" s="74">
        <f t="shared" ref="AR183:BP183" si="2751">+SUM(AR181,AR169)</f>
        <v>170</v>
      </c>
      <c r="AS183" s="75">
        <f t="shared" si="2751"/>
        <v>395.3</v>
      </c>
      <c r="AT183" s="75">
        <f t="shared" si="2751"/>
        <v>-275.19499999999999</v>
      </c>
      <c r="AU183" s="76">
        <f t="shared" si="2751"/>
        <v>216.416</v>
      </c>
      <c r="AV183" s="73">
        <f t="shared" si="2751"/>
        <v>506.52100000000002</v>
      </c>
      <c r="AW183" s="74">
        <f t="shared" si="2751"/>
        <v>0</v>
      </c>
      <c r="AX183" s="75">
        <f t="shared" si="2751"/>
        <v>2125</v>
      </c>
      <c r="AY183" s="75">
        <f t="shared" si="2751"/>
        <v>-300</v>
      </c>
      <c r="AZ183" s="76">
        <f t="shared" si="2751"/>
        <v>-85</v>
      </c>
      <c r="BA183" s="73">
        <f t="shared" si="2751"/>
        <v>1740</v>
      </c>
      <c r="BB183" s="74">
        <f t="shared" si="2751"/>
        <v>-500</v>
      </c>
      <c r="BC183" s="75">
        <f t="shared" si="2751"/>
        <v>0</v>
      </c>
      <c r="BD183" s="75">
        <f t="shared" si="2751"/>
        <v>1619.231</v>
      </c>
      <c r="BE183" s="76">
        <f t="shared" si="2751"/>
        <v>0</v>
      </c>
      <c r="BF183" s="73">
        <f t="shared" si="2751"/>
        <v>1119.231</v>
      </c>
      <c r="BG183" s="74">
        <f t="shared" si="2751"/>
        <v>0</v>
      </c>
      <c r="BH183" s="75">
        <f t="shared" si="2751"/>
        <v>0</v>
      </c>
      <c r="BI183" s="75">
        <f t="shared" si="2751"/>
        <v>1630</v>
      </c>
      <c r="BJ183" s="76">
        <f t="shared" si="2751"/>
        <v>-275</v>
      </c>
      <c r="BK183" s="73">
        <f t="shared" si="2751"/>
        <v>1355</v>
      </c>
      <c r="BL183" s="74">
        <f t="shared" si="2751"/>
        <v>-390</v>
      </c>
      <c r="BM183" s="75">
        <f t="shared" si="2751"/>
        <v>-449.22800000000001</v>
      </c>
      <c r="BN183" s="75">
        <f t="shared" si="2751"/>
        <v>1899.2359999999999</v>
      </c>
      <c r="BO183" s="76">
        <f t="shared" si="2751"/>
        <v>0</v>
      </c>
      <c r="BP183" s="73">
        <f t="shared" si="2751"/>
        <v>1060.008</v>
      </c>
      <c r="BQ183" s="464"/>
      <c r="BR183" s="73">
        <f t="shared" ref="BR183:CW183" si="2752">+SUM(BR181,BR169)</f>
        <v>0</v>
      </c>
      <c r="BS183" s="73">
        <f t="shared" si="2752"/>
        <v>0</v>
      </c>
      <c r="BT183" s="74">
        <f t="shared" si="2752"/>
        <v>0</v>
      </c>
      <c r="BU183" s="75">
        <f t="shared" si="2752"/>
        <v>0</v>
      </c>
      <c r="BV183" s="75">
        <f t="shared" si="2752"/>
        <v>0</v>
      </c>
      <c r="BW183" s="76">
        <f t="shared" si="2752"/>
        <v>0</v>
      </c>
      <c r="BX183" s="73">
        <f t="shared" si="2752"/>
        <v>0</v>
      </c>
      <c r="BY183" s="74">
        <f t="shared" si="2752"/>
        <v>0</v>
      </c>
      <c r="BZ183" s="75">
        <f t="shared" si="2752"/>
        <v>0</v>
      </c>
      <c r="CA183" s="75">
        <f t="shared" si="2752"/>
        <v>0</v>
      </c>
      <c r="CB183" s="76">
        <f t="shared" si="2752"/>
        <v>0</v>
      </c>
      <c r="CC183" s="73">
        <f t="shared" si="2752"/>
        <v>0</v>
      </c>
      <c r="CD183" s="74">
        <f t="shared" si="2752"/>
        <v>0</v>
      </c>
      <c r="CE183" s="75">
        <f t="shared" si="2752"/>
        <v>0</v>
      </c>
      <c r="CF183" s="75">
        <f t="shared" si="2752"/>
        <v>0</v>
      </c>
      <c r="CG183" s="76">
        <f t="shared" si="2752"/>
        <v>0</v>
      </c>
      <c r="CH183" s="73">
        <f t="shared" si="2752"/>
        <v>0</v>
      </c>
      <c r="CI183" s="74">
        <f t="shared" si="2752"/>
        <v>0</v>
      </c>
      <c r="CJ183" s="75">
        <f t="shared" si="2752"/>
        <v>0</v>
      </c>
      <c r="CK183" s="75">
        <f t="shared" si="2752"/>
        <v>0</v>
      </c>
      <c r="CL183" s="76">
        <f t="shared" si="2752"/>
        <v>0</v>
      </c>
      <c r="CM183" s="73">
        <f t="shared" si="2752"/>
        <v>0</v>
      </c>
      <c r="CN183" s="74">
        <f t="shared" si="2752"/>
        <v>0</v>
      </c>
      <c r="CO183" s="75">
        <f t="shared" si="2752"/>
        <v>0</v>
      </c>
      <c r="CP183" s="75">
        <f t="shared" si="2752"/>
        <v>0</v>
      </c>
      <c r="CQ183" s="76">
        <f t="shared" si="2752"/>
        <v>0</v>
      </c>
      <c r="CR183" s="73">
        <f t="shared" si="2752"/>
        <v>0</v>
      </c>
      <c r="CS183" s="74">
        <f t="shared" si="2752"/>
        <v>0</v>
      </c>
      <c r="CT183" s="75">
        <f t="shared" si="2752"/>
        <v>0</v>
      </c>
      <c r="CU183" s="75">
        <f t="shared" si="2752"/>
        <v>0</v>
      </c>
      <c r="CV183" s="76">
        <f t="shared" si="2752"/>
        <v>0</v>
      </c>
      <c r="CW183" s="73">
        <f t="shared" si="2752"/>
        <v>0</v>
      </c>
      <c r="CX183" s="74">
        <f t="shared" ref="CX183:DV183" si="2753">+SUM(CX181,CX169)</f>
        <v>0.30666666666666675</v>
      </c>
      <c r="CY183" s="75">
        <f t="shared" si="2753"/>
        <v>2.5218458333333338</v>
      </c>
      <c r="CZ183" s="75">
        <f t="shared" si="2753"/>
        <v>1.6940865000000005</v>
      </c>
      <c r="DA183" s="76">
        <f t="shared" si="2753"/>
        <v>2.0904581000000011</v>
      </c>
      <c r="DB183" s="73">
        <f t="shared" si="2753"/>
        <v>6.6130571000000025</v>
      </c>
      <c r="DC183" s="74">
        <f t="shared" si="2753"/>
        <v>3.2592914333333338</v>
      </c>
      <c r="DD183" s="75">
        <f t="shared" si="2753"/>
        <v>34.794112266666666</v>
      </c>
      <c r="DE183" s="75">
        <f t="shared" si="2753"/>
        <v>32.121871600000006</v>
      </c>
      <c r="DF183" s="76">
        <f t="shared" si="2753"/>
        <v>27.672249999999998</v>
      </c>
      <c r="DG183" s="73">
        <f t="shared" si="2753"/>
        <v>97.847525300000001</v>
      </c>
      <c r="DH183" s="74">
        <f t="shared" si="2753"/>
        <v>20.259250000000002</v>
      </c>
      <c r="DI183" s="75">
        <f t="shared" si="2753"/>
        <v>-16.459499999999998</v>
      </c>
      <c r="DJ183" s="75">
        <f t="shared" si="2753"/>
        <v>11.363321916666667</v>
      </c>
      <c r="DK183" s="76">
        <f t="shared" si="2753"/>
        <v>15.322982874999999</v>
      </c>
      <c r="DL183" s="73">
        <f t="shared" si="2753"/>
        <v>30.48605479166666</v>
      </c>
      <c r="DM183" s="74">
        <f t="shared" si="2753"/>
        <v>21.260482875000001</v>
      </c>
      <c r="DN183" s="75">
        <f t="shared" si="2753"/>
        <v>24.229232875000001</v>
      </c>
      <c r="DO183" s="75">
        <f t="shared" si="2753"/>
        <v>25.012077625</v>
      </c>
      <c r="DP183" s="76">
        <f t="shared" si="2753"/>
        <v>22.333500000000001</v>
      </c>
      <c r="DQ183" s="73">
        <f t="shared" si="2753"/>
        <v>92.835293374999992</v>
      </c>
      <c r="DR183" s="74">
        <f t="shared" si="2753"/>
        <v>19.672166666666669</v>
      </c>
      <c r="DS183" s="75">
        <f t="shared" si="2753"/>
        <v>16.358374900000001</v>
      </c>
      <c r="DT183" s="75">
        <f t="shared" si="2753"/>
        <v>19.759362700000004</v>
      </c>
      <c r="DU183" s="76">
        <f t="shared" si="2753"/>
        <v>21.950481699999997</v>
      </c>
      <c r="DV183" s="73">
        <f t="shared" si="2753"/>
        <v>77.740385966666665</v>
      </c>
    </row>
    <row r="184" spans="1:127">
      <c r="A184" s="455"/>
      <c r="B184" s="455"/>
      <c r="C184" s="1357"/>
      <c r="D184" s="456"/>
      <c r="E184" s="457"/>
      <c r="F184" s="458"/>
      <c r="G184" s="458"/>
      <c r="H184" s="1348"/>
      <c r="I184" s="1333"/>
      <c r="J184" s="458"/>
      <c r="K184" s="81"/>
      <c r="L184" s="77"/>
      <c r="M184" s="73"/>
      <c r="N184" s="74"/>
      <c r="O184" s="75"/>
      <c r="P184" s="75"/>
      <c r="Q184" s="76"/>
      <c r="R184" s="73"/>
      <c r="S184" s="74"/>
      <c r="T184" s="75"/>
      <c r="U184" s="75"/>
      <c r="V184" s="76"/>
      <c r="W184" s="73"/>
      <c r="X184" s="74"/>
      <c r="Y184" s="75"/>
      <c r="Z184" s="75"/>
      <c r="AA184" s="76"/>
      <c r="AB184" s="73"/>
      <c r="AC184" s="74"/>
      <c r="AD184" s="75"/>
      <c r="AE184" s="75"/>
      <c r="AF184" s="76"/>
      <c r="AG184" s="73"/>
      <c r="AH184" s="74"/>
      <c r="AI184" s="75"/>
      <c r="AJ184" s="75"/>
      <c r="AK184" s="76"/>
      <c r="AL184" s="73"/>
      <c r="AM184" s="74"/>
      <c r="AN184" s="75"/>
      <c r="AO184" s="75"/>
      <c r="AP184" s="76"/>
      <c r="AQ184" s="73"/>
      <c r="AR184" s="74"/>
      <c r="AS184" s="75"/>
      <c r="AT184" s="75"/>
      <c r="AU184" s="76"/>
      <c r="AV184" s="73"/>
      <c r="AW184" s="74"/>
      <c r="AX184" s="75"/>
      <c r="AY184" s="75"/>
      <c r="AZ184" s="76"/>
      <c r="BA184" s="73"/>
      <c r="BB184" s="74"/>
      <c r="BC184" s="75"/>
      <c r="BD184" s="75"/>
      <c r="BE184" s="76"/>
      <c r="BF184" s="73"/>
      <c r="BG184" s="74"/>
      <c r="BH184" s="75"/>
      <c r="BI184" s="75"/>
      <c r="BJ184" s="76"/>
      <c r="BK184" s="73"/>
      <c r="BL184" s="74"/>
      <c r="BM184" s="75"/>
      <c r="BN184" s="75"/>
      <c r="BO184" s="76"/>
      <c r="BP184" s="73"/>
      <c r="BQ184" s="464"/>
      <c r="BR184" s="73"/>
      <c r="BS184" s="73"/>
      <c r="BT184" s="74"/>
      <c r="BU184" s="75"/>
      <c r="BV184" s="75"/>
      <c r="BW184" s="76"/>
      <c r="BX184" s="73"/>
      <c r="BY184" s="74"/>
      <c r="BZ184" s="75"/>
      <c r="CA184" s="75"/>
      <c r="CB184" s="76"/>
      <c r="CC184" s="73"/>
      <c r="CD184" s="74"/>
      <c r="CE184" s="75"/>
      <c r="CF184" s="75"/>
      <c r="CG184" s="76"/>
      <c r="CH184" s="73"/>
      <c r="CI184" s="74"/>
      <c r="CJ184" s="75"/>
      <c r="CK184" s="75"/>
      <c r="CL184" s="76"/>
      <c r="CM184" s="73"/>
      <c r="CN184" s="74"/>
      <c r="CO184" s="75"/>
      <c r="CP184" s="75"/>
      <c r="CQ184" s="76"/>
      <c r="CR184" s="73"/>
      <c r="CS184" s="74"/>
      <c r="CT184" s="75"/>
      <c r="CU184" s="75"/>
      <c r="CV184" s="76"/>
      <c r="CW184" s="73"/>
      <c r="CX184" s="74"/>
      <c r="CY184" s="75"/>
      <c r="CZ184" s="75"/>
      <c r="DA184" s="76"/>
      <c r="DB184" s="73"/>
      <c r="DC184" s="74"/>
      <c r="DD184" s="75"/>
      <c r="DE184" s="75"/>
      <c r="DF184" s="76"/>
      <c r="DG184" s="73"/>
      <c r="DH184" s="74"/>
      <c r="DI184" s="75"/>
      <c r="DJ184" s="75"/>
      <c r="DK184" s="76"/>
      <c r="DL184" s="73"/>
      <c r="DM184" s="74"/>
      <c r="DN184" s="75"/>
      <c r="DO184" s="75"/>
      <c r="DP184" s="76"/>
      <c r="DQ184" s="73"/>
      <c r="DR184" s="74"/>
      <c r="DS184" s="75"/>
      <c r="DT184" s="75"/>
      <c r="DU184" s="76"/>
      <c r="DV184" s="73"/>
    </row>
    <row r="185" spans="1:127" ht="13.5" thickBot="1">
      <c r="A185" s="455"/>
      <c r="B185" s="477"/>
      <c r="C185" s="1368"/>
      <c r="D185" s="477"/>
      <c r="E185" s="1839"/>
      <c r="F185" s="1836"/>
      <c r="G185" s="1836"/>
      <c r="H185" s="1838"/>
      <c r="I185" s="1837"/>
      <c r="J185" s="1836"/>
      <c r="K185" s="2008"/>
      <c r="L185" s="1835"/>
      <c r="M185" s="1830"/>
      <c r="N185" s="1833"/>
      <c r="O185" s="1832"/>
      <c r="P185" s="1832"/>
      <c r="Q185" s="1831"/>
      <c r="R185" s="1830"/>
      <c r="S185" s="1833"/>
      <c r="T185" s="1832"/>
      <c r="U185" s="1832"/>
      <c r="V185" s="1831"/>
      <c r="W185" s="1830"/>
      <c r="X185" s="1833"/>
      <c r="Y185" s="1832"/>
      <c r="Z185" s="1832"/>
      <c r="AA185" s="1831"/>
      <c r="AB185" s="1830"/>
      <c r="AC185" s="1833"/>
      <c r="AD185" s="1832"/>
      <c r="AE185" s="1832"/>
      <c r="AF185" s="1831"/>
      <c r="AG185" s="1830"/>
      <c r="AH185" s="1833"/>
      <c r="AI185" s="1832"/>
      <c r="AJ185" s="1832"/>
      <c r="AK185" s="1831"/>
      <c r="AL185" s="1830"/>
      <c r="AM185" s="1833"/>
      <c r="AN185" s="1832"/>
      <c r="AO185" s="1832"/>
      <c r="AP185" s="1831"/>
      <c r="AQ185" s="1830"/>
      <c r="AR185" s="1833"/>
      <c r="AS185" s="1832"/>
      <c r="AT185" s="1832"/>
      <c r="AU185" s="1831"/>
      <c r="AV185" s="1830"/>
      <c r="AW185" s="1833"/>
      <c r="AX185" s="1832"/>
      <c r="AY185" s="1832"/>
      <c r="AZ185" s="1831"/>
      <c r="BA185" s="1830"/>
      <c r="BB185" s="1833"/>
      <c r="BC185" s="1832"/>
      <c r="BD185" s="1832"/>
      <c r="BE185" s="1831"/>
      <c r="BF185" s="1830"/>
      <c r="BG185" s="1833"/>
      <c r="BH185" s="1832"/>
      <c r="BI185" s="1832"/>
      <c r="BJ185" s="1831"/>
      <c r="BK185" s="1830"/>
      <c r="BL185" s="1833"/>
      <c r="BM185" s="1832"/>
      <c r="BN185" s="1832"/>
      <c r="BO185" s="1831"/>
      <c r="BP185" s="1830"/>
      <c r="BQ185" s="1834"/>
      <c r="BR185" s="1830"/>
      <c r="BS185" s="1830"/>
      <c r="BT185" s="1833"/>
      <c r="BU185" s="1832"/>
      <c r="BV185" s="1832"/>
      <c r="BW185" s="1831"/>
      <c r="BX185" s="1830"/>
      <c r="BY185" s="1833"/>
      <c r="BZ185" s="1832"/>
      <c r="CA185" s="1832"/>
      <c r="CB185" s="1831"/>
      <c r="CC185" s="1830"/>
      <c r="CD185" s="1833"/>
      <c r="CE185" s="1832"/>
      <c r="CF185" s="1832"/>
      <c r="CG185" s="1831"/>
      <c r="CH185" s="1830"/>
      <c r="CI185" s="1833"/>
      <c r="CJ185" s="1832"/>
      <c r="CK185" s="1832"/>
      <c r="CL185" s="1831"/>
      <c r="CM185" s="1830"/>
      <c r="CN185" s="1833"/>
      <c r="CO185" s="1832"/>
      <c r="CP185" s="1832"/>
      <c r="CQ185" s="1831"/>
      <c r="CR185" s="1830"/>
      <c r="CS185" s="1833"/>
      <c r="CT185" s="1832"/>
      <c r="CU185" s="1832"/>
      <c r="CV185" s="1831"/>
      <c r="CW185" s="1830"/>
      <c r="CX185" s="1833"/>
      <c r="CY185" s="1832"/>
      <c r="CZ185" s="1832"/>
      <c r="DA185" s="1831"/>
      <c r="DB185" s="1830"/>
      <c r="DC185" s="1833"/>
      <c r="DD185" s="1832"/>
      <c r="DE185" s="1832"/>
      <c r="DF185" s="1831"/>
      <c r="DG185" s="1830"/>
      <c r="DH185" s="1833"/>
      <c r="DI185" s="1832"/>
      <c r="DJ185" s="1832"/>
      <c r="DK185" s="1831"/>
      <c r="DL185" s="1830"/>
      <c r="DM185" s="1833"/>
      <c r="DN185" s="1832"/>
      <c r="DO185" s="1832"/>
      <c r="DP185" s="1831"/>
      <c r="DQ185" s="1830"/>
      <c r="DR185" s="1833"/>
      <c r="DS185" s="1832"/>
      <c r="DT185" s="1832"/>
      <c r="DU185" s="1831"/>
      <c r="DV185" s="1830"/>
    </row>
    <row r="186" spans="1:127">
      <c r="A186" s="455"/>
      <c r="B186" s="455"/>
      <c r="C186" s="1357"/>
      <c r="D186" s="456"/>
      <c r="E186" s="457"/>
      <c r="F186" s="458"/>
      <c r="G186" s="458"/>
      <c r="H186" s="1348"/>
      <c r="I186" s="1333"/>
      <c r="J186" s="458"/>
      <c r="K186" s="81"/>
      <c r="L186" s="77"/>
      <c r="M186" s="73"/>
      <c r="N186" s="74"/>
      <c r="O186" s="75"/>
      <c r="P186" s="75"/>
      <c r="Q186" s="76"/>
      <c r="R186" s="73"/>
      <c r="S186" s="74"/>
      <c r="T186" s="75"/>
      <c r="U186" s="75"/>
      <c r="V186" s="76"/>
      <c r="W186" s="73"/>
      <c r="X186" s="74"/>
      <c r="Y186" s="75"/>
      <c r="Z186" s="75"/>
      <c r="AA186" s="76"/>
      <c r="AB186" s="73"/>
      <c r="AC186" s="74"/>
      <c r="AD186" s="75"/>
      <c r="AE186" s="75"/>
      <c r="AF186" s="76"/>
      <c r="AG186" s="73"/>
      <c r="AH186" s="74"/>
      <c r="AI186" s="75"/>
      <c r="AJ186" s="75"/>
      <c r="AK186" s="76"/>
      <c r="AL186" s="73"/>
      <c r="AM186" s="74"/>
      <c r="AN186" s="75"/>
      <c r="AO186" s="75"/>
      <c r="AP186" s="76"/>
      <c r="AQ186" s="73"/>
      <c r="AR186" s="74"/>
      <c r="AS186" s="75"/>
      <c r="AT186" s="75"/>
      <c r="AU186" s="76"/>
      <c r="AV186" s="73"/>
      <c r="AW186" s="74"/>
      <c r="AX186" s="75"/>
      <c r="AY186" s="75"/>
      <c r="AZ186" s="76"/>
      <c r="BA186" s="73"/>
      <c r="BB186" s="74"/>
      <c r="BC186" s="75"/>
      <c r="BD186" s="75"/>
      <c r="BE186" s="76"/>
      <c r="BF186" s="73"/>
      <c r="BG186" s="74"/>
      <c r="BH186" s="75"/>
      <c r="BI186" s="75"/>
      <c r="BJ186" s="76"/>
      <c r="BK186" s="73"/>
      <c r="BL186" s="74"/>
      <c r="BM186" s="75"/>
      <c r="BN186" s="75"/>
      <c r="BO186" s="76"/>
      <c r="BP186" s="73"/>
      <c r="BQ186" s="464"/>
      <c r="BR186" s="73"/>
      <c r="BS186" s="73"/>
      <c r="BT186" s="74"/>
      <c r="BU186" s="75"/>
      <c r="BV186" s="75"/>
      <c r="BW186" s="76"/>
      <c r="BX186" s="73"/>
      <c r="BY186" s="74"/>
      <c r="BZ186" s="75"/>
      <c r="CA186" s="75"/>
      <c r="CB186" s="76"/>
      <c r="CC186" s="73"/>
      <c r="CD186" s="74"/>
      <c r="CE186" s="75"/>
      <c r="CF186" s="75"/>
      <c r="CG186" s="76"/>
      <c r="CH186" s="73"/>
      <c r="CI186" s="74"/>
      <c r="CJ186" s="75"/>
      <c r="CK186" s="75"/>
      <c r="CL186" s="76"/>
      <c r="CM186" s="73"/>
      <c r="CN186" s="74"/>
      <c r="CO186" s="75"/>
      <c r="CP186" s="75"/>
      <c r="CQ186" s="76"/>
      <c r="CR186" s="73"/>
      <c r="CS186" s="74"/>
      <c r="CT186" s="75"/>
      <c r="CU186" s="75"/>
      <c r="CV186" s="76"/>
      <c r="CW186" s="73"/>
      <c r="CX186" s="74"/>
      <c r="CY186" s="75"/>
      <c r="CZ186" s="75"/>
      <c r="DA186" s="76"/>
      <c r="DB186" s="73"/>
      <c r="DC186" s="74"/>
      <c r="DD186" s="75"/>
      <c r="DE186" s="75"/>
      <c r="DF186" s="76"/>
      <c r="DG186" s="73"/>
      <c r="DH186" s="74"/>
      <c r="DI186" s="75"/>
      <c r="DJ186" s="75"/>
      <c r="DK186" s="76"/>
      <c r="DL186" s="73"/>
      <c r="DM186" s="74"/>
      <c r="DN186" s="75"/>
      <c r="DO186" s="75"/>
      <c r="DP186" s="76"/>
      <c r="DQ186" s="73"/>
      <c r="DR186" s="74"/>
      <c r="DS186" s="75"/>
      <c r="DT186" s="75"/>
      <c r="DU186" s="76"/>
      <c r="DV186" s="73"/>
    </row>
    <row r="187" spans="1:127">
      <c r="A187" s="455"/>
      <c r="B187" s="466" t="s">
        <v>731</v>
      </c>
      <c r="C187" s="1356"/>
      <c r="D187" s="467"/>
      <c r="E187" s="1825"/>
      <c r="F187" s="1817"/>
      <c r="G187" s="1817"/>
      <c r="H187" s="1667"/>
      <c r="I187" s="1794"/>
      <c r="J187" s="1817"/>
      <c r="K187" s="2009"/>
      <c r="L187" s="1823"/>
      <c r="M187" s="1819"/>
      <c r="N187" s="1822"/>
      <c r="O187" s="1821"/>
      <c r="P187" s="1821"/>
      <c r="Q187" s="1820"/>
      <c r="R187" s="1819"/>
      <c r="S187" s="1822"/>
      <c r="T187" s="1821"/>
      <c r="U187" s="1821"/>
      <c r="V187" s="1820"/>
      <c r="W187" s="1819"/>
      <c r="X187" s="1822"/>
      <c r="Y187" s="1821"/>
      <c r="Z187" s="1821"/>
      <c r="AA187" s="1820"/>
      <c r="AB187" s="1819"/>
      <c r="AC187" s="1822"/>
      <c r="AD187" s="1821"/>
      <c r="AE187" s="1821"/>
      <c r="AF187" s="1820"/>
      <c r="AG187" s="1819"/>
      <c r="AH187" s="1822"/>
      <c r="AI187" s="1821"/>
      <c r="AJ187" s="1821"/>
      <c r="AK187" s="1820"/>
      <c r="AL187" s="1819"/>
      <c r="AM187" s="1822"/>
      <c r="AN187" s="1821"/>
      <c r="AO187" s="1821"/>
      <c r="AP187" s="1820"/>
      <c r="AQ187" s="1819"/>
      <c r="AR187" s="1822"/>
      <c r="AS187" s="1821"/>
      <c r="AT187" s="1821"/>
      <c r="AU187" s="1820"/>
      <c r="AV187" s="1819"/>
      <c r="AW187" s="1822"/>
      <c r="AX187" s="1821"/>
      <c r="AY187" s="1821"/>
      <c r="AZ187" s="1820"/>
      <c r="BA187" s="1819"/>
      <c r="BB187" s="1822"/>
      <c r="BC187" s="1821"/>
      <c r="BD187" s="1821"/>
      <c r="BE187" s="1820"/>
      <c r="BF187" s="1819"/>
      <c r="BG187" s="1822"/>
      <c r="BH187" s="1821"/>
      <c r="BI187" s="1821"/>
      <c r="BJ187" s="1820"/>
      <c r="BK187" s="1819"/>
      <c r="BL187" s="1822"/>
      <c r="BM187" s="1821"/>
      <c r="BN187" s="1821"/>
      <c r="BO187" s="1820"/>
      <c r="BP187" s="1819"/>
      <c r="BQ187" s="1871"/>
      <c r="BR187" s="1823"/>
      <c r="BS187" s="1819"/>
      <c r="BT187" s="1822"/>
      <c r="BU187" s="1821"/>
      <c r="BV187" s="1821"/>
      <c r="BW187" s="1820"/>
      <c r="BX187" s="1819"/>
      <c r="BY187" s="1822"/>
      <c r="BZ187" s="1821"/>
      <c r="CA187" s="1821"/>
      <c r="CB187" s="1820"/>
      <c r="CC187" s="1819"/>
      <c r="CD187" s="1822"/>
      <c r="CE187" s="1821"/>
      <c r="CF187" s="1821"/>
      <c r="CG187" s="1820"/>
      <c r="CH187" s="1819"/>
      <c r="CI187" s="1822"/>
      <c r="CJ187" s="1821"/>
      <c r="CK187" s="1821"/>
      <c r="CL187" s="1820"/>
      <c r="CM187" s="1819"/>
      <c r="CN187" s="1822"/>
      <c r="CO187" s="1821"/>
      <c r="CP187" s="1821"/>
      <c r="CQ187" s="1820"/>
      <c r="CR187" s="1819"/>
      <c r="CS187" s="1822"/>
      <c r="CT187" s="1821"/>
      <c r="CU187" s="1821"/>
      <c r="CV187" s="1820"/>
      <c r="CW187" s="1819"/>
      <c r="CX187" s="1822"/>
      <c r="CY187" s="1821"/>
      <c r="CZ187" s="1821"/>
      <c r="DA187" s="1820"/>
      <c r="DB187" s="1819"/>
      <c r="DC187" s="1822"/>
      <c r="DD187" s="1821"/>
      <c r="DE187" s="1821"/>
      <c r="DF187" s="1820"/>
      <c r="DG187" s="1819"/>
      <c r="DH187" s="1822"/>
      <c r="DI187" s="1821"/>
      <c r="DJ187" s="1821"/>
      <c r="DK187" s="1820"/>
      <c r="DL187" s="1819"/>
      <c r="DM187" s="1822"/>
      <c r="DN187" s="1821"/>
      <c r="DO187" s="1821"/>
      <c r="DP187" s="1820"/>
      <c r="DQ187" s="1819"/>
      <c r="DR187" s="1822"/>
      <c r="DS187" s="1821"/>
      <c r="DT187" s="1821"/>
      <c r="DU187" s="1820"/>
      <c r="DV187" s="1819"/>
    </row>
    <row r="188" spans="1:127">
      <c r="A188" s="455"/>
      <c r="B188" s="455"/>
      <c r="C188" s="1798"/>
      <c r="D188" s="1824"/>
      <c r="E188" s="1825"/>
      <c r="F188" s="1817"/>
      <c r="G188" s="1817"/>
      <c r="H188" s="1667"/>
      <c r="I188" s="1794"/>
      <c r="J188" s="1817"/>
      <c r="K188" s="2009"/>
      <c r="L188" s="1823"/>
      <c r="M188" s="1819"/>
      <c r="N188" s="1822"/>
      <c r="O188" s="1821"/>
      <c r="P188" s="1821"/>
      <c r="Q188" s="1820"/>
      <c r="R188" s="1819"/>
      <c r="S188" s="1822"/>
      <c r="T188" s="1821"/>
      <c r="U188" s="1821"/>
      <c r="V188" s="1820"/>
      <c r="W188" s="1819"/>
      <c r="X188" s="1822"/>
      <c r="Y188" s="1821"/>
      <c r="Z188" s="1821"/>
      <c r="AA188" s="1820"/>
      <c r="AB188" s="1819"/>
      <c r="AC188" s="1822"/>
      <c r="AD188" s="1821"/>
      <c r="AE188" s="1821"/>
      <c r="AF188" s="1820"/>
      <c r="AG188" s="1819"/>
      <c r="AH188" s="1822"/>
      <c r="AI188" s="1821"/>
      <c r="AJ188" s="1821"/>
      <c r="AK188" s="1820"/>
      <c r="AL188" s="1819"/>
      <c r="AM188" s="1822"/>
      <c r="AN188" s="1821"/>
      <c r="AO188" s="1821"/>
      <c r="AP188" s="1820"/>
      <c r="AQ188" s="1819"/>
      <c r="AR188" s="1822"/>
      <c r="AS188" s="1821"/>
      <c r="AT188" s="1821"/>
      <c r="AU188" s="1820"/>
      <c r="AV188" s="1819"/>
      <c r="AW188" s="1822"/>
      <c r="AX188" s="1821"/>
      <c r="AY188" s="1821"/>
      <c r="AZ188" s="1820"/>
      <c r="BA188" s="1819"/>
      <c r="BB188" s="1822"/>
      <c r="BC188" s="1821"/>
      <c r="BD188" s="1821"/>
      <c r="BE188" s="1820"/>
      <c r="BF188" s="1819"/>
      <c r="BG188" s="1822"/>
      <c r="BH188" s="1821"/>
      <c r="BI188" s="1821"/>
      <c r="BJ188" s="1820"/>
      <c r="BK188" s="1819"/>
      <c r="BL188" s="1822"/>
      <c r="BM188" s="1821"/>
      <c r="BN188" s="1821"/>
      <c r="BO188" s="1820"/>
      <c r="BP188" s="1819"/>
      <c r="BQ188" s="1871"/>
      <c r="BR188" s="1823"/>
      <c r="BS188" s="1819"/>
      <c r="BT188" s="1822"/>
      <c r="BU188" s="1821"/>
      <c r="BV188" s="1821"/>
      <c r="BW188" s="1820"/>
      <c r="BX188" s="1819"/>
      <c r="BY188" s="1822"/>
      <c r="BZ188" s="1821"/>
      <c r="CA188" s="1821"/>
      <c r="CB188" s="1820"/>
      <c r="CC188" s="1819"/>
      <c r="CD188" s="1822"/>
      <c r="CE188" s="1821"/>
      <c r="CF188" s="1821"/>
      <c r="CG188" s="1820"/>
      <c r="CH188" s="1819"/>
      <c r="CI188" s="1822"/>
      <c r="CJ188" s="1821"/>
      <c r="CK188" s="1821"/>
      <c r="CL188" s="1820"/>
      <c r="CM188" s="1819"/>
      <c r="CN188" s="1822"/>
      <c r="CO188" s="1821"/>
      <c r="CP188" s="1821"/>
      <c r="CQ188" s="1820"/>
      <c r="CR188" s="1819"/>
      <c r="CS188" s="1822"/>
      <c r="CT188" s="1821"/>
      <c r="CU188" s="1821"/>
      <c r="CV188" s="1820"/>
      <c r="CW188" s="1819"/>
      <c r="CX188" s="1822"/>
      <c r="CY188" s="1821"/>
      <c r="CZ188" s="1821"/>
      <c r="DA188" s="1820"/>
      <c r="DB188" s="1819"/>
      <c r="DC188" s="1822"/>
      <c r="DD188" s="1821"/>
      <c r="DE188" s="1821"/>
      <c r="DF188" s="1820"/>
      <c r="DG188" s="1819"/>
      <c r="DH188" s="1822"/>
      <c r="DI188" s="1821"/>
      <c r="DJ188" s="1821"/>
      <c r="DK188" s="1820"/>
      <c r="DL188" s="1819"/>
      <c r="DM188" s="1822"/>
      <c r="DN188" s="1821"/>
      <c r="DO188" s="1821"/>
      <c r="DP188" s="1820"/>
      <c r="DQ188" s="1819"/>
      <c r="DR188" s="1822"/>
      <c r="DS188" s="1821"/>
      <c r="DT188" s="1821"/>
      <c r="DU188" s="1820"/>
      <c r="DV188" s="1819"/>
    </row>
    <row r="189" spans="1:127">
      <c r="A189" s="455"/>
      <c r="B189" s="455"/>
      <c r="C189" s="1829" t="s">
        <v>614</v>
      </c>
      <c r="D189" s="94"/>
      <c r="E189" s="1817">
        <f>IF(F189=0,G189,F189)</f>
        <v>0</v>
      </c>
      <c r="F189" s="1828">
        <v>0</v>
      </c>
      <c r="G189" s="1828">
        <v>0</v>
      </c>
      <c r="H189" s="1601">
        <v>2014</v>
      </c>
      <c r="I189" s="1602">
        <v>4.8000000000000001E-2</v>
      </c>
      <c r="J189" s="1600">
        <v>6</v>
      </c>
      <c r="K189" s="1792"/>
      <c r="L189" s="1810">
        <f>IF(L$5=$H189,-$E189,0)</f>
        <v>0</v>
      </c>
      <c r="M189" s="1791">
        <f>IF(M$5=$H189,-$E189,0)</f>
        <v>0</v>
      </c>
      <c r="N189" s="1808">
        <f>IF(R189=0,0,IF(R189&lt;0,IF($J189=3,R189,IF($J189=2,R189,IF($J189=1,R189,0)))))</f>
        <v>0</v>
      </c>
      <c r="O189" s="1807">
        <f>IF(R189=0,0,IF(R189&lt;0,IF($J189=6,R189,IF($J189=5,R189,IF($J189=4,R189,0)))))</f>
        <v>0</v>
      </c>
      <c r="P189" s="1807">
        <f>IF(R189=0,0,IF(R189&lt;0,IF($J189=9,R189,IF($J189=8,R189,IF($J189=7,R189,0)))))</f>
        <v>0</v>
      </c>
      <c r="Q189" s="1806">
        <f>IF(R189=0,0,IF(R189&lt;0,IF($J189=12,R189,IF($J189=11,R189,IF($J189=10,R189,0)))))</f>
        <v>0</v>
      </c>
      <c r="R189" s="1791">
        <f>IF(R$5=$H189,-$E189,0)</f>
        <v>0</v>
      </c>
      <c r="S189" s="1808">
        <f>IF(W189=0,0,IF(W189&lt;0,IF($J189=3,W189,IF($J189=2,W189,IF($J189=1,W189,0)))))</f>
        <v>0</v>
      </c>
      <c r="T189" s="1807">
        <f>IF(W189=0,0,IF(W189&lt;0,IF($J189=6,W189,IF($J189=5,W189,IF($J189=4,W189,0)))))</f>
        <v>0</v>
      </c>
      <c r="U189" s="1807">
        <f>IF(W189=0,0,IF(W189&lt;0,IF($J189=9,W189,IF($J189=8,W189,IF($J189=7,W189,0)))))</f>
        <v>0</v>
      </c>
      <c r="V189" s="1806">
        <f>IF(W189=0,0,IF(W189&lt;0,IF($J189=12,W189,IF($J189=11,W189,IF($J189=10,W189,0)))))</f>
        <v>0</v>
      </c>
      <c r="W189" s="1791">
        <f>IF(W$5=$H189,-$E189,0)</f>
        <v>0</v>
      </c>
      <c r="X189" s="1808">
        <f>IF(AB189=0,0,IF(AB189&lt;0,IF($J189=3,AB189,IF($J189=2,AB189,IF($J189=1,AB189,0)))))</f>
        <v>0</v>
      </c>
      <c r="Y189" s="1807">
        <f>IF(AB189=0,0,IF(AB189&lt;0,IF($J189=6,AB189,IF($J189=5,AB189,IF($J189=4,AB189,0)))))</f>
        <v>0</v>
      </c>
      <c r="Z189" s="1807">
        <f>IF(AB189=0,0,IF(AB189&lt;0,IF($J189=9,AB189,IF($J189=8,AB189,IF($J189=7,AB189,0)))))</f>
        <v>0</v>
      </c>
      <c r="AA189" s="1806">
        <f>IF(AB189=0,0,IF(AB189&lt;0,IF($J189=12,AB189,IF($J189=11,AB189,IF($J189=10,AB189,0)))))</f>
        <v>0</v>
      </c>
      <c r="AB189" s="1791">
        <f>IF(AB$5=$H189,-$E189,0)</f>
        <v>0</v>
      </c>
      <c r="AC189" s="1808">
        <f>IF(AG189=0,0,IF(AG189&lt;0,IF($J189=3,AG189,IF($J189=2,AG189,IF($J189=1,AG189,0)))))</f>
        <v>0</v>
      </c>
      <c r="AD189" s="1807">
        <f>IF(AG189=0,0,IF(AG189&lt;0,IF($J189=6,AG189,IF($J189=5,AG189,IF($J189=4,AG189,0)))))</f>
        <v>0</v>
      </c>
      <c r="AE189" s="1807">
        <f>IF(AG189=0,0,IF(AG189&lt;0,IF($J189=9,AG189,IF($J189=8,AG189,IF($J189=7,AG189,0)))))</f>
        <v>0</v>
      </c>
      <c r="AF189" s="1806">
        <f>IF(AG189=0,0,IF(AG189&lt;0,IF($J189=12,AG189,IF($J189=11,AG189,IF($J189=10,AG189,0)))))</f>
        <v>0</v>
      </c>
      <c r="AG189" s="1791">
        <f>IF(AG$5=$H189,-$E189,0)</f>
        <v>0</v>
      </c>
      <c r="AH189" s="1808">
        <f>IF(AL189=0,0,IF(AL189&lt;0,IF($J189=3,AL189,IF($J189=2,AL189,IF($J189=1,AL189,0)))))</f>
        <v>0</v>
      </c>
      <c r="AI189" s="1807">
        <f>IF(AL189=0,0,IF(AL189&lt;0,IF($J189=6,AL189,IF($J189=5,AL189,IF($J189=4,AL189,0)))))</f>
        <v>0</v>
      </c>
      <c r="AJ189" s="1807">
        <f>IF(AL189=0,0,IF(AL189&lt;0,IF($J189=9,AL189,IF($J189=8,AL189,IF($J189=7,AL189,0)))))</f>
        <v>0</v>
      </c>
      <c r="AK189" s="1806">
        <f>IF(AL189=0,0,IF(AL189&lt;0,IF($J189=12,AL189,IF($J189=11,AL189,IF($J189=10,AL189,0)))))</f>
        <v>0</v>
      </c>
      <c r="AL189" s="1791">
        <f>IF(AL$5=$H189,-$E189,0)</f>
        <v>0</v>
      </c>
      <c r="AM189" s="1808">
        <f>IF(AQ189=0,0,IF(AQ189&lt;0,IF($J189=3,AQ189,IF($J189=2,AQ189,IF($J189=1,AQ189,0)))))</f>
        <v>0</v>
      </c>
      <c r="AN189" s="1807">
        <f>IF(AQ189=0,0,IF(AQ189&lt;0,IF($J189=6,AQ189,IF($J189=5,AQ189,IF($J189=4,AQ189,0)))))</f>
        <v>0</v>
      </c>
      <c r="AO189" s="1807">
        <f>IF(AQ189=0,0,IF(AQ189&lt;0,IF($J189=9,AQ189,IF($J189=8,AQ189,IF($J189=7,AQ189,0)))))</f>
        <v>0</v>
      </c>
      <c r="AP189" s="1806">
        <f>IF(AQ189=0,0,IF(AQ189&lt;0,IF($J189=12,AQ189,IF($J189=11,AQ189,IF($J189=10,AQ189,0)))))</f>
        <v>0</v>
      </c>
      <c r="AQ189" s="1791">
        <f>IF(AQ$5=$H189,-$E189,0)</f>
        <v>0</v>
      </c>
      <c r="AR189" s="1808">
        <f>IF(AV189=0,0,IF(AV189&lt;0,IF($J189=3,AV189,IF($J189=2,AV189,IF($J189=1,AV189,0)))))</f>
        <v>0</v>
      </c>
      <c r="AS189" s="1807">
        <f>IF(AV189=0,0,IF(AV189&lt;0,IF($J189=6,AV189,IF($J189=5,AV189,IF($J189=4,AV189,0)))))</f>
        <v>0</v>
      </c>
      <c r="AT189" s="1807">
        <f>IF(AV189=0,0,IF(AV189&lt;0,IF($J189=9,AV189,IF($J189=8,AV189,IF($J189=7,AV189,0)))))</f>
        <v>0</v>
      </c>
      <c r="AU189" s="1806">
        <f>IF(AV189=0,0,IF(AV189&lt;0,IF($J189=12,AV189,IF($J189=11,AV189,IF($J189=10,AV189,0)))))</f>
        <v>0</v>
      </c>
      <c r="AV189" s="1791">
        <f>IF(AV$5=$H189,-$E189,0)</f>
        <v>0</v>
      </c>
      <c r="AW189" s="1808">
        <f>IF(BA189=0,0,IF(BA189&lt;0,IF($J189=3,BA189,IF($J189=2,BA189,IF($J189=1,BA189,0)))))</f>
        <v>0</v>
      </c>
      <c r="AX189" s="1807">
        <f>IF(BA189=0,0,IF(BA189&lt;0,IF($J189=6,BA189,IF($J189=5,BA189,IF($J189=4,BA189,0)))))</f>
        <v>0</v>
      </c>
      <c r="AY189" s="1807">
        <f>IF(BA189=0,0,IF(BA189&lt;0,IF($J189=9,BA189,IF($J189=8,BA189,IF($J189=7,BA189,0)))))</f>
        <v>0</v>
      </c>
      <c r="AZ189" s="1806">
        <f>IF(BA189=0,0,IF(BA189&lt;0,IF($J189=12,BA189,IF($J189=11,BA189,IF($J189=10,BA189,0)))))</f>
        <v>0</v>
      </c>
      <c r="BA189" s="1791">
        <f>IF(BA$5=$H189,-$E189,0)</f>
        <v>0</v>
      </c>
      <c r="BB189" s="1808">
        <f>IF(BF189=0,0,IF(BF189&lt;0,IF($J189=3,BF189,IF($J189=2,BF189,IF($J189=1,BF189,0)))))</f>
        <v>0</v>
      </c>
      <c r="BC189" s="1807">
        <f>IF(BF189=0,0,IF(BF189&lt;0,IF($J189=6,BF189,IF($J189=5,BF189,IF($J189=4,BF189,0)))))</f>
        <v>0</v>
      </c>
      <c r="BD189" s="1807">
        <f>IF(BF189=0,0,IF(BF189&lt;0,IF($J189=9,BF189,IF($J189=8,BF189,IF($J189=7,BF189,0)))))</f>
        <v>0</v>
      </c>
      <c r="BE189" s="1806">
        <f>IF(BF189=0,0,IF(BF189&lt;0,IF($J189=12,BF189,IF($J189=11,BF189,IF($J189=10,BF189,0)))))</f>
        <v>0</v>
      </c>
      <c r="BF189" s="1791">
        <f>IF(BF$5=$H189,-$E189,0)</f>
        <v>0</v>
      </c>
      <c r="BG189" s="1808">
        <f>IF(BK189=0,0,IF(BK189&lt;0,IF($J189=3,BK189,IF($J189=2,BK189,IF($J189=1,BK189,0)))))</f>
        <v>0</v>
      </c>
      <c r="BH189" s="1807">
        <f>IF(BK189=0,0,IF(BK189&lt;0,IF($J189=6,BK189,IF($J189=5,BK189,IF($J189=4,BK189,0)))))</f>
        <v>0</v>
      </c>
      <c r="BI189" s="1807">
        <f>IF(BK189=0,0,IF(BK189&lt;0,IF($J189=9,BK189,IF($J189=8,BK189,IF($J189=7,BK189,0)))))</f>
        <v>0</v>
      </c>
      <c r="BJ189" s="1806">
        <f>IF(BK189=0,0,IF(BK189&lt;0,IF($J189=12,BK189,IF($J189=11,BK189,IF($J189=10,BK189,0)))))</f>
        <v>0</v>
      </c>
      <c r="BK189" s="1791">
        <f>IF(BK$5=$H189,-$E189,0)</f>
        <v>0</v>
      </c>
      <c r="BL189" s="1808">
        <f>IF(BP189=0,0,IF(BP189&lt;0,IF($J189=3,BP189,IF($J189=2,BP189,IF($J189=1,BP189,0)))))</f>
        <v>0</v>
      </c>
      <c r="BM189" s="1807">
        <f>IF(BP189=0,0,IF(BP189&lt;0,IF($J189=6,BP189,IF($J189=5,BP189,IF($J189=4,BP189,0)))))</f>
        <v>0</v>
      </c>
      <c r="BN189" s="1807">
        <f>IF(BP189=0,0,IF(BP189&lt;0,IF($J189=9,BP189,IF($J189=8,BP189,IF($J189=7,BP189,0)))))</f>
        <v>0</v>
      </c>
      <c r="BO189" s="1806">
        <f>IF(BP189=0,0,IF(BP189&lt;0,IF($J189=12,BP189,IF($J189=11,BP189,IF($J189=10,BP189,0)))))</f>
        <v>0</v>
      </c>
      <c r="BP189" s="1791">
        <f>IF(BP$5=$H189,-$E189,0)</f>
        <v>0</v>
      </c>
      <c r="BQ189" s="1827"/>
      <c r="BR189" s="1791">
        <f>IF(AND(BQ189&lt;&gt;0,BQ$5=$H189),-$I189*$E189-BQ189,IF(BR$5=$H189,-$I189*$E189*(12-$J189+1)/12,0))</f>
        <v>0</v>
      </c>
      <c r="BS189" s="1791">
        <f>IF(AND(BR189&lt;&gt;0,BR$5=$H189),-$I189*$E189-BR189,IF(BS$5=$H189,-$I189*$E189*(12-$J189+1)/12,0))</f>
        <v>0</v>
      </c>
      <c r="BT189" s="1808">
        <f>IF($H189&lt;&gt;BX$5,0,IF(BX189&lt;0,IF($J189=1,-$E189*$I189/12*3,IF($J189=2,-$E189*$I189/12*2,IF($J189=3,-$E189*$I189/12*1,0)))))+IF(BS$5&lt;&gt;$H189,0,IF(BS189&lt;0,IF($J189=1,-$E189*$I189/12*0,IF($J189=2,-$E189*$I189/12*1,IF($J189=3,-$E189*$I189/12*2,IF($J189&gt;=4,-$E189*$I189/12*3,0))))))</f>
        <v>0</v>
      </c>
      <c r="BU189" s="1807">
        <f>IF($H189&lt;&gt;BX$5,0,IF(BX189&lt;0,IF(OR($J189=1,$J189=2,$J189=3,$J189=4),-$E189*$I189/12*3,IF($J189=5,-$E189*$I189/12*2,IF($J189=6,-$E189*$I189/12*1,0)))))+IF(BS$5&lt;&gt;$H189,0,IF(BS189&lt;0,IF($J189=4,-$E189*$I189/12*0,IF($J189=5,-$E189*$I189/12*1,IF($J189=6,-$E189*$I189/12*2,IF($J189&gt;=7,-$E189*$I189/12*3,0))))))</f>
        <v>0</v>
      </c>
      <c r="BV189" s="1807">
        <f>IF($H189&lt;&gt;BX$5,0,IF(BX189&lt;0,IF(OR($J189=1,$J189=2,$J189=3,$J189=4,$J189=5,$J189=6,$J189=7),-$E189*$I189/12*3,IF($J189=8,-$E189*$I189/12*2,IF($J189=9,-$E189*$I189/12*1,0)))))+IF(BS$5&lt;&gt;$H189,0,IF(BS189&lt;0,IF($J189=7,-$E189*$I189/12*0,IF($J189=8,-$E189*$I189/12*1,IF($J189=9,-$E189*$I189/12*2,IF($J189&gt;=10,-$E189*$I189/12*3,0))))))</f>
        <v>0</v>
      </c>
      <c r="BW189" s="1806">
        <f>IF($H189&lt;&gt;BX$5,0,IF(BX189&lt;0,IF(OR($J189=1,$J189=2,$J189=3,$J189=4,$J189=5,$J189=6,$J189=7,$J189=8,$J189=9,$J189=10),-$E189*$I189/12*3,IF($J189=11,-$E189*$I189/12*2,IF($J189=12,-$E189*$I189/12*1,0)))))+IF(BS$5&lt;&gt;$H189,0,IF(BS189&lt;0,IF($J189=10,-$E189*$I189/12*0,IF($J189=11,-$E189*$I189/12*1,IF($J189=12,-$E189*$I189/12*2,0)))))</f>
        <v>0</v>
      </c>
      <c r="BX189" s="1791">
        <f>IF(AND(BS189&lt;&gt;0,BS$5=$H189),-$I189*$E189-BS189,IF(BX$5=$H189,-$I189*$E189*(12-$J189+1)/12,0))</f>
        <v>0</v>
      </c>
      <c r="BY189" s="1808">
        <f>IF($H189&lt;&gt;CC$5,0,IF(CC189&lt;0,IF($J189=1,-$E189*$I189/12*3,IF($J189=2,-$E189*$I189/12*2,IF($J189=3,-$E189*$I189/12*1,0)))))+IF(BX$5&lt;&gt;$H189,0,IF(BX189&lt;0,IF($J189=1,-$E189*$I189/12*0,IF($J189=2,-$E189*$I189/12*1,IF($J189=3,-$E189*$I189/12*2,IF($J189&gt;=4,-$E189*$I189/12*3,0))))))</f>
        <v>0</v>
      </c>
      <c r="BZ189" s="1807">
        <f>IF($H189&lt;&gt;CC$5,0,IF(CC189&lt;0,IF(OR($J189=1,$J189=2,$J189=3,$J189=4),-$E189*$I189/12*3,IF($J189=5,-$E189*$I189/12*2,IF($J189=6,-$E189*$I189/12*1,0)))))+IF(BX$5&lt;&gt;$H189,0,IF(BX189&lt;0,IF($J189=4,-$E189*$I189/12*0,IF($J189=5,-$E189*$I189/12*1,IF($J189=6,-$E189*$I189/12*2,IF($J189&gt;=7,-$E189*$I189/12*3,0))))))</f>
        <v>0</v>
      </c>
      <c r="CA189" s="1807">
        <f>IF($H189&lt;&gt;CC$5,0,IF(CC189&lt;0,IF(OR($J189=1,$J189=2,$J189=3,$J189=4,$J189=5,$J189=6,$J189=7),-$E189*$I189/12*3,IF($J189=8,-$E189*$I189/12*2,IF($J189=9,-$E189*$I189/12*1,0)))))+IF(BX$5&lt;&gt;$H189,0,IF(BX189&lt;0,IF($J189=7,-$E189*$I189/12*0,IF($J189=8,-$E189*$I189/12*1,IF($J189=9,-$E189*$I189/12*2,IF($J189&gt;=10,-$E189*$I189/12*3,0))))))</f>
        <v>0</v>
      </c>
      <c r="CB189" s="1806">
        <f>IF($H189&lt;&gt;CC$5,0,IF(CC189&lt;0,IF(OR($J189=1,$J189=2,$J189=3,$J189=4,$J189=5,$J189=6,$J189=7,$J189=8,$J189=9,$J189=10),-$E189*$I189/12*3,IF($J189=11,-$E189*$I189/12*2,IF($J189=12,-$E189*$I189/12*1,0)))))+IF(BX$5&lt;&gt;$H189,0,IF(BX189&lt;0,IF($J189=10,-$E189*$I189/12*0,IF($J189=11,-$E189*$I189/12*1,IF($J189=12,-$E189*$I189/12*2,0)))))</f>
        <v>0</v>
      </c>
      <c r="CC189" s="1791">
        <f>IF(AND(BX189&lt;&gt;0,BX$5=$H189),-$I189*$E189-BX189,IF(CC$5=$H189,-$I189*$E189*(12-$J189+1)/12,0))</f>
        <v>0</v>
      </c>
      <c r="CD189" s="1808">
        <f>IF($H189&lt;&gt;CH$5,0,IF(CH189&lt;0,IF($J189=1,-$E189*$I189/12*3,IF($J189=2,-$E189*$I189/12*2,IF($J189=3,-$E189*$I189/12*1,0)))))+IF(CC$5&lt;&gt;$H189,0,IF(CC189&lt;0,IF($J189=1,-$E189*$I189/12*0,IF($J189=2,-$E189*$I189/12*1,IF($J189=3,-$E189*$I189/12*2,IF($J189&gt;=4,-$E189*$I189/12*3,0))))))</f>
        <v>0</v>
      </c>
      <c r="CE189" s="1807">
        <f>IF($H189&lt;&gt;CH$5,0,IF(CH189&lt;0,IF(OR($J189=1,$J189=2,$J189=3,$J189=4),-$E189*$I189/12*3,IF($J189=5,-$E189*$I189/12*2,IF($J189=6,-$E189*$I189/12*1,0)))))+IF(CC$5&lt;&gt;$H189,0,IF(CC189&lt;0,IF($J189=4,-$E189*$I189/12*0,IF($J189=5,-$E189*$I189/12*1,IF($J189=6,-$E189*$I189/12*2,IF($J189&gt;=7,-$E189*$I189/12*3,0))))))</f>
        <v>0</v>
      </c>
      <c r="CF189" s="1807">
        <f>IF($H189&lt;&gt;CH$5,0,IF(CH189&lt;0,IF(OR($J189=1,$J189=2,$J189=3,$J189=4,$J189=5,$J189=6,$J189=7),-$E189*$I189/12*3,IF($J189=8,-$E189*$I189/12*2,IF($J189=9,-$E189*$I189/12*1,0)))))+IF(CC$5&lt;&gt;$H189,0,IF(CC189&lt;0,IF($J189=7,-$E189*$I189/12*0,IF($J189=8,-$E189*$I189/12*1,IF($J189=9,-$E189*$I189/12*2,IF($J189&gt;=10,-$E189*$I189/12*3,0))))))</f>
        <v>0</v>
      </c>
      <c r="CG189" s="1806">
        <f>IF($H189&lt;&gt;CH$5,0,IF(CH189&lt;0,IF(OR($J189=1,$J189=2,$J189=3,$J189=4,$J189=5,$J189=6,$J189=7,$J189=8,$J189=9,$J189=10),-$E189*$I189/12*3,IF($J189=11,-$E189*$I189/12*2,IF($J189=12,-$E189*$I189/12*1,0)))))+IF(CC$5&lt;&gt;$H189,0,IF(CC189&lt;0,IF($J189=10,-$E189*$I189/12*0,IF($J189=11,-$E189*$I189/12*1,IF($J189=12,-$E189*$I189/12*2,0)))))</f>
        <v>0</v>
      </c>
      <c r="CH189" s="1791">
        <f>IF(AND(CC189&lt;&gt;0,CC$5=$H189),-$I189*$E189-CC189,IF(CH$5=$H189,-$I189*$E189*(12-$J189+1)/12,0))</f>
        <v>0</v>
      </c>
      <c r="CI189" s="1808">
        <f>IF($H189&lt;&gt;CM$5,0,IF(CM189&lt;0,IF($J189=1,-$E189*$I189/12*3,IF($J189=2,-$E189*$I189/12*2,IF($J189=3,-$E189*$I189/12*1,0)))))+IF(CH$5&lt;&gt;$H189,0,IF(CH189&lt;0,IF($J189=1,-$E189*$I189/12*0,IF($J189=2,-$E189*$I189/12*1,IF($J189=3,-$E189*$I189/12*2,IF($J189&gt;=4,-$E189*$I189/12*3,0))))))</f>
        <v>0</v>
      </c>
      <c r="CJ189" s="1807">
        <f>IF($H189&lt;&gt;CM$5,0,IF(CM189&lt;0,IF(OR($J189=1,$J189=2,$J189=3,$J189=4),-$E189*$I189/12*3,IF($J189=5,-$E189*$I189/12*2,IF($J189=6,-$E189*$I189/12*1,0)))))+IF(CH$5&lt;&gt;$H189,0,IF(CH189&lt;0,IF($J189=4,-$E189*$I189/12*0,IF($J189=5,-$E189*$I189/12*1,IF($J189=6,-$E189*$I189/12*2,IF($J189&gt;=7,-$E189*$I189/12*3,0))))))</f>
        <v>0</v>
      </c>
      <c r="CK189" s="1807">
        <f>IF($H189&lt;&gt;CM$5,0,IF(CM189&lt;0,IF(OR($J189=1,$J189=2,$J189=3,$J189=4,$J189=5,$J189=6,$J189=7),-$E189*$I189/12*3,IF($J189=8,-$E189*$I189/12*2,IF($J189=9,-$E189*$I189/12*1,0)))))+IF(CH$5&lt;&gt;$H189,0,IF(CH189&lt;0,IF($J189=7,-$E189*$I189/12*0,IF($J189=8,-$E189*$I189/12*1,IF($J189=9,-$E189*$I189/12*2,IF($J189&gt;=10,-$E189*$I189/12*3,0))))))</f>
        <v>0</v>
      </c>
      <c r="CL189" s="1806">
        <f>IF($H189&lt;&gt;CM$5,0,IF(CM189&lt;0,IF(OR($J189=1,$J189=2,$J189=3,$J189=4,$J189=5,$J189=6,$J189=7,$J189=8,$J189=9,$J189=10),-$E189*$I189/12*3,IF($J189=11,-$E189*$I189/12*2,IF($J189=12,-$E189*$I189/12*1,0)))))+IF(CH$5&lt;&gt;$H189,0,IF(CH189&lt;0,IF($J189=10,-$E189*$I189/12*0,IF($J189=11,-$E189*$I189/12*1,IF($J189=12,-$E189*$I189/12*2,0)))))</f>
        <v>0</v>
      </c>
      <c r="CM189" s="1791">
        <f>IF(AND(CH189&lt;&gt;0,CH$5=$H189),-$I189*$E189-CH189,IF(CM$5=$H189,-$I189*$E189*(12-$J189+1)/12,0))</f>
        <v>0</v>
      </c>
      <c r="CN189" s="1808">
        <f>IF($H189&lt;&gt;CR$5,0,IF(CR189&lt;0,IF($J189=1,-$E189*$I189/12*3,IF($J189=2,-$E189*$I189/12*2,IF($J189=3,-$E189*$I189/12*1,0)))))+IF(CM$5&lt;&gt;$H189,0,IF(CM189&lt;0,IF($J189=1,-$E189*$I189/12*0,IF($J189=2,-$E189*$I189/12*1,IF($J189=3,-$E189*$I189/12*2,IF($J189&gt;=4,-$E189*$I189/12*3,0))))))</f>
        <v>0</v>
      </c>
      <c r="CO189" s="1807">
        <f>IF($H189&lt;&gt;CR$5,0,IF(CR189&lt;0,IF(OR($J189=1,$J189=2,$J189=3,$J189=4),-$E189*$I189/12*3,IF($J189=5,-$E189*$I189/12*2,IF($J189=6,-$E189*$I189/12*1,0)))))+IF(CM$5&lt;&gt;$H189,0,IF(CM189&lt;0,IF($J189=4,-$E189*$I189/12*0,IF($J189=5,-$E189*$I189/12*1,IF($J189=6,-$E189*$I189/12*2,IF($J189&gt;=7,-$E189*$I189/12*3,0))))))</f>
        <v>0</v>
      </c>
      <c r="CP189" s="1807">
        <f>IF($H189&lt;&gt;CR$5,0,IF(CR189&lt;0,IF(OR($J189=1,$J189=2,$J189=3,$J189=4,$J189=5,$J189=6,$J189=7),-$E189*$I189/12*3,IF($J189=8,-$E189*$I189/12*2,IF($J189=9,-$E189*$I189/12*1,0)))))+IF(CM$5&lt;&gt;$H189,0,IF(CM189&lt;0,IF($J189=7,-$E189*$I189/12*0,IF($J189=8,-$E189*$I189/12*1,IF($J189=9,-$E189*$I189/12*2,IF($J189&gt;=10,-$E189*$I189/12*3,0))))))</f>
        <v>0</v>
      </c>
      <c r="CQ189" s="1806">
        <f>IF($H189&lt;&gt;CR$5,0,IF(CR189&lt;0,IF(OR($J189=1,$J189=2,$J189=3,$J189=4,$J189=5,$J189=6,$J189=7,$J189=8,$J189=9,$J189=10),-$E189*$I189/12*3,IF($J189=11,-$E189*$I189/12*2,IF($J189=12,-$E189*$I189/12*1,0)))))+IF(CM$5&lt;&gt;$H189,0,IF(CM189&lt;0,IF($J189=10,-$E189*$I189/12*0,IF($J189=11,-$E189*$I189/12*1,IF($J189=12,-$E189*$I189/12*2,0)))))</f>
        <v>0</v>
      </c>
      <c r="CR189" s="1791">
        <f>IF(AND(CM189&lt;&gt;0,CM$5=$H189),-$I189*$E189-CM189,IF(CR$5=$H189,-$I189*$E189*(12-$J189+1)/12,0))</f>
        <v>0</v>
      </c>
      <c r="CS189" s="1808">
        <f>IF($H189&lt;&gt;CW$5,0,IF(CW189&lt;0,IF($J189=1,-$E189*$I189/12*3,IF($J189=2,-$E189*$I189/12*2,IF($J189=3,-$E189*$I189/12*1,0)))))+IF(CR$5&lt;&gt;$H189,0,IF(CR189&lt;0,IF($J189=1,-$E189*$I189/12*0,IF($J189=2,-$E189*$I189/12*1,IF($J189=3,-$E189*$I189/12*2,IF($J189&gt;=4,-$E189*$I189/12*3,0))))))</f>
        <v>0</v>
      </c>
      <c r="CT189" s="1807">
        <f>IF($H189&lt;&gt;CW$5,0,IF(CW189&lt;0,IF(OR($J189=1,$J189=2,$J189=3,$J189=4),-$E189*$I189/12*3,IF($J189=5,-$E189*$I189/12*2,IF($J189=6,-$E189*$I189/12*1,0)))))+IF(CR$5&lt;&gt;$H189,0,IF(CR189&lt;0,IF($J189=4,-$E189*$I189/12*0,IF($J189=5,-$E189*$I189/12*1,IF($J189=6,-$E189*$I189/12*2,IF($J189&gt;=7,-$E189*$I189/12*3,0))))))</f>
        <v>0</v>
      </c>
      <c r="CU189" s="1807">
        <f>IF($H189&lt;&gt;CW$5,0,IF(CW189&lt;0,IF(OR($J189=1,$J189=2,$J189=3,$J189=4,$J189=5,$J189=6,$J189=7),-$E189*$I189/12*3,IF($J189=8,-$E189*$I189/12*2,IF($J189=9,-$E189*$I189/12*1,0)))))+IF(CR$5&lt;&gt;$H189,0,IF(CR189&lt;0,IF($J189=7,-$E189*$I189/12*0,IF($J189=8,-$E189*$I189/12*1,IF($J189=9,-$E189*$I189/12*2,IF($J189&gt;=10,-$E189*$I189/12*3,0))))))</f>
        <v>0</v>
      </c>
      <c r="CV189" s="1806">
        <f>IF($H189&lt;&gt;CW$5,0,IF(CW189&lt;0,IF(OR($J189=1,$J189=2,$J189=3,$J189=4,$J189=5,$J189=6,$J189=7,$J189=8,$J189=9,$J189=10),-$E189*$I189/12*3,IF($J189=11,-$E189*$I189/12*2,IF($J189=12,-$E189*$I189/12*1,0)))))+IF(CR$5&lt;&gt;$H189,0,IF(CR189&lt;0,IF($J189=10,-$E189*$I189/12*0,IF($J189=11,-$E189*$I189/12*1,IF($J189=12,-$E189*$I189/12*2,0)))))</f>
        <v>0</v>
      </c>
      <c r="CW189" s="1791">
        <f>IF(AND(CR189&lt;&gt;0,CR$5=$H189),-$I189*$E189-CR189,IF(CW$5=$H189,-$I189*$E189*(12-$J189+1)/12,0))</f>
        <v>0</v>
      </c>
      <c r="CX189" s="1808">
        <f>IF($H189&lt;&gt;DB$5,0,IF(DB189&lt;0,IF($J189=1,-$E189*$I189/12*3,IF($J189=2,-$E189*$I189/12*2,IF($J189=3,-$E189*$I189/12*1,0)))))+IF(CW$5&lt;&gt;$H189,0,IF(CW189&lt;0,IF($J189=1,-$E189*$I189/12*0,IF($J189=2,-$E189*$I189/12*1,IF($J189=3,-$E189*$I189/12*2,IF($J189&gt;=4,-$E189*$I189/12*3,0))))))</f>
        <v>0</v>
      </c>
      <c r="CY189" s="1807">
        <f>IF($H189&lt;&gt;DB$5,0,IF(DB189&lt;0,IF(OR($J189=1,$J189=2,$J189=3,$J189=4),-$E189*$I189/12*3,IF($J189=5,-$E189*$I189/12*2,IF($J189=6,-$E189*$I189/12*1,0)))))+IF(CW$5&lt;&gt;$H189,0,IF(CW189&lt;0,IF($J189=4,-$E189*$I189/12*0,IF($J189=5,-$E189*$I189/12*1,IF($J189=6,-$E189*$I189/12*2,IF($J189&gt;=7,-$E189*$I189/12*3,0))))))</f>
        <v>0</v>
      </c>
      <c r="CZ189" s="1807">
        <f>IF($H189&lt;&gt;DB$5,0,IF(DB189&lt;0,IF(OR($J189=1,$J189=2,$J189=3,$J189=4,$J189=5,$J189=6,$J189=7),-$E189*$I189/12*3,IF($J189=8,-$E189*$I189/12*2,IF($J189=9,-$E189*$I189/12*1,0)))))+IF(CW$5&lt;&gt;$H189,0,IF(CW189&lt;0,IF($J189=7,-$E189*$I189/12*0,IF($J189=8,-$E189*$I189/12*1,IF($J189=9,-$E189*$I189/12*2,IF($J189&gt;=10,-$E189*$I189/12*3,0))))))</f>
        <v>0</v>
      </c>
      <c r="DA189" s="1806">
        <f>IF($H189&lt;&gt;DB$5,0,IF(DB189&lt;0,IF(OR($J189=1,$J189=2,$J189=3,$J189=4,$J189=5,$J189=6,$J189=7,$J189=8,$J189=9,$J189=10),-$E189*$I189/12*3,IF($J189=11,-$E189*$I189/12*2,IF($J189=12,-$E189*$I189/12*1,0)))))+IF(CW$5&lt;&gt;$H189,0,IF(CW189&lt;0,IF($J189=10,-$E189*$I189/12*0,IF($J189=11,-$E189*$I189/12*1,IF($J189=12,-$E189*$I189/12*2,0)))))</f>
        <v>0</v>
      </c>
      <c r="DB189" s="1791">
        <f>IF(AND(CW189&lt;&gt;0,CW$5=$H189),-$I189*$E189-CW189,IF(DB$5=$H189,-$I189*$E189*(12-$J189+1)/12,0))</f>
        <v>0</v>
      </c>
      <c r="DC189" s="1808">
        <f>IF($H189&lt;&gt;DG$5,0,IF(DG189&lt;0,IF($J189=1,-$E189*$I189/12*3,IF($J189=2,-$E189*$I189/12*2,IF($J189=3,-$E189*$I189/12*1,0)))))+IF(DB$5&lt;&gt;$H189,0,IF(DB189&lt;0,IF($J189=1,-$E189*$I189/12*0,IF($J189=2,-$E189*$I189/12*1,IF($J189=3,-$E189*$I189/12*2,IF($J189&gt;=4,-$E189*$I189/12*3,0))))))</f>
        <v>0</v>
      </c>
      <c r="DD189" s="1807">
        <f>IF($H189&lt;&gt;DG$5,0,IF(DG189&lt;0,IF(OR($J189=1,$J189=2,$J189=3,$J189=4),-$E189*$I189/12*3,IF($J189=5,-$E189*$I189/12*2,IF($J189=6,-$E189*$I189/12*1,0)))))+IF(DB$5&lt;&gt;$H189,0,IF(DB189&lt;0,IF($J189=4,-$E189*$I189/12*0,IF($J189=5,-$E189*$I189/12*1,IF($J189=6,-$E189*$I189/12*2,IF($J189&gt;=7,-$E189*$I189/12*3,0))))))</f>
        <v>0</v>
      </c>
      <c r="DE189" s="1807">
        <f>IF($H189&lt;&gt;DG$5,0,IF(DG189&lt;0,IF(OR($J189=1,$J189=2,$J189=3,$J189=4,$J189=5,$J189=6,$J189=7),-$E189*$I189/12*3,IF($J189=8,-$E189*$I189/12*2,IF($J189=9,-$E189*$I189/12*1,0)))))+IF(DB$5&lt;&gt;$H189,0,IF(DB189&lt;0,IF($J189=7,-$E189*$I189/12*0,IF($J189=8,-$E189*$I189/12*1,IF($J189=9,-$E189*$I189/12*2,IF($J189&gt;=10,-$E189*$I189/12*3,0))))))</f>
        <v>0</v>
      </c>
      <c r="DF189" s="1806">
        <f>IF($H189&lt;&gt;DG$5,0,IF(DG189&lt;0,IF(OR($J189=1,$J189=2,$J189=3,$J189=4,$J189=5,$J189=6,$J189=7,$J189=8,$J189=9,$J189=10),-$E189*$I189/12*3,IF($J189=11,-$E189*$I189/12*2,IF($J189=12,-$E189*$I189/12*1,0)))))+IF(DB$5&lt;&gt;$H189,0,IF(DB189&lt;0,IF($J189=10,-$E189*$I189/12*0,IF($J189=11,-$E189*$I189/12*1,IF($J189=12,-$E189*$I189/12*2,0)))))</f>
        <v>0</v>
      </c>
      <c r="DG189" s="1791">
        <f>IF(AND(DB189&lt;&gt;0,DB$5=$H189),-$I189*$E189-DB189,IF(DG$5=$H189,-$I189*$E189*(12-$J189+1)/12,0))</f>
        <v>0</v>
      </c>
      <c r="DH189" s="1808">
        <f>IF($H189&lt;&gt;DL$5,0,IF(DL189&lt;0,IF($J189=1,-$E189*$I189/12*3,IF($J189=2,-$E189*$I189/12*2,IF($J189=3,-$E189*$I189/12*1,0)))))+IF(DG$5&lt;&gt;$H189,0,IF(DG189&lt;0,IF($J189=1,-$E189*$I189/12*0,IF($J189=2,-$E189*$I189/12*1,IF($J189=3,-$E189*$I189/12*2,IF($J189&gt;=4,-$E189*$I189/12*3,0))))))</f>
        <v>0</v>
      </c>
      <c r="DI189" s="1807">
        <f>IF($H189&lt;&gt;DL$5,0,IF(DL189&lt;0,IF(OR($J189=1,$J189=2,$J189=3,$J189=4),-$E189*$I189/12*3,IF($J189=5,-$E189*$I189/12*2,IF($J189=6,-$E189*$I189/12*1,0)))))+IF(DG$5&lt;&gt;$H189,0,IF(DG189&lt;0,IF($J189=4,-$E189*$I189/12*0,IF($J189=5,-$E189*$I189/12*1,IF($J189=6,-$E189*$I189/12*2,IF($J189&gt;=7,-$E189*$I189/12*3,0))))))</f>
        <v>0</v>
      </c>
      <c r="DJ189" s="1807">
        <f>IF($H189&lt;&gt;DL$5,0,IF(DL189&lt;0,IF(OR($J189=1,$J189=2,$J189=3,$J189=4,$J189=5,$J189=6,$J189=7),-$E189*$I189/12*3,IF($J189=8,-$E189*$I189/12*2,IF($J189=9,-$E189*$I189/12*1,0)))))+IF(DG$5&lt;&gt;$H189,0,IF(DG189&lt;0,IF($J189=7,-$E189*$I189/12*0,IF($J189=8,-$E189*$I189/12*1,IF($J189=9,-$E189*$I189/12*2,IF($J189&gt;=10,-$E189*$I189/12*3,0))))))</f>
        <v>0</v>
      </c>
      <c r="DK189" s="1806">
        <f>IF($H189&lt;&gt;DL$5,0,IF(DL189&lt;0,IF(OR($J189=1,$J189=2,$J189=3,$J189=4,$J189=5,$J189=6,$J189=7,$J189=8,$J189=9,$J189=10),-$E189*$I189/12*3,IF($J189=11,-$E189*$I189/12*2,IF($J189=12,-$E189*$I189/12*1,0)))))+IF(DG$5&lt;&gt;$H189,0,IF(DG189&lt;0,IF($J189=10,-$E189*$I189/12*0,IF($J189=11,-$E189*$I189/12*1,IF($J189=12,-$E189*$I189/12*2,0)))))</f>
        <v>0</v>
      </c>
      <c r="DL189" s="1791">
        <f>IF(AND(DG189&lt;&gt;0,DG$5=$H189),-$I189*$E189-DG189,IF(DL$5=$H189,-$I189*$E189*(12-$J189+1)/12,0))</f>
        <v>0</v>
      </c>
      <c r="DM189" s="1808">
        <f>IF($H189&lt;&gt;DQ$5,0,IF(DQ189&lt;0,IF($J189=1,-$E189*$I189/12*3,IF($J189=2,-$E189*$I189/12*2,IF($J189=3,-$E189*$I189/12*1,0)))))+IF(DL$5&lt;&gt;$H189,0,IF(DL189&lt;0,IF($J189=1,-$E189*$I189/12*0,IF($J189=2,-$E189*$I189/12*1,IF($J189=3,-$E189*$I189/12*2,IF($J189&gt;=4,-$E189*$I189/12*3,0))))))</f>
        <v>0</v>
      </c>
      <c r="DN189" s="1807">
        <f>IF($H189&lt;&gt;DQ$5,0,IF(DQ189&lt;0,IF(OR($J189=1,$J189=2,$J189=3,$J189=4),-$E189*$I189/12*3,IF($J189=5,-$E189*$I189/12*2,IF($J189=6,-$E189*$I189/12*1,0)))))+IF(DL$5&lt;&gt;$H189,0,IF(DL189&lt;0,IF($J189=4,-$E189*$I189/12*0,IF($J189=5,-$E189*$I189/12*1,IF($J189=6,-$E189*$I189/12*2,IF($J189&gt;=7,-$E189*$I189/12*3,0))))))</f>
        <v>0</v>
      </c>
      <c r="DO189" s="1807">
        <f>IF($H189&lt;&gt;DQ$5,0,IF(DQ189&lt;0,IF(OR($J189=1,$J189=2,$J189=3,$J189=4,$J189=5,$J189=6,$J189=7),-$E189*$I189/12*3,IF($J189=8,-$E189*$I189/12*2,IF($J189=9,-$E189*$I189/12*1,0)))))+IF(DL$5&lt;&gt;$H189,0,IF(DL189&lt;0,IF($J189=7,-$E189*$I189/12*0,IF($J189=8,-$E189*$I189/12*1,IF($J189=9,-$E189*$I189/12*2,IF($J189&gt;=10,-$E189*$I189/12*3,0))))))</f>
        <v>0</v>
      </c>
      <c r="DP189" s="1806">
        <f>IF($H189&lt;&gt;DQ$5,0,IF(DQ189&lt;0,IF(OR($J189=1,$J189=2,$J189=3,$J189=4,$J189=5,$J189=6,$J189=7,$J189=8,$J189=9,$J189=10),-$E189*$I189/12*3,IF($J189=11,-$E189*$I189/12*2,IF($J189=12,-$E189*$I189/12*1,0)))))+IF(DL$5&lt;&gt;$H189,0,IF(DL189&lt;0,IF($J189=10,-$E189*$I189/12*0,IF($J189=11,-$E189*$I189/12*1,IF($J189=12,-$E189*$I189/12*2,0)))))</f>
        <v>0</v>
      </c>
      <c r="DQ189" s="1791">
        <f>IF(AND(DL189&lt;&gt;0,DL$5=$H189),-$I189*$E189-DL189,IF(DQ$5=$H189,-$I189*$E189*(12-$J189+1)/12,0))</f>
        <v>0</v>
      </c>
      <c r="DR189" s="1808">
        <f>IF($H189&lt;&gt;DV$5,0,IF(DV189&lt;0,IF($J189=1,-$E189*$I189/12*3,IF($J189=2,-$E189*$I189/12*2,IF($J189=3,-$E189*$I189/12*1,0)))))+IF(DQ$5&lt;&gt;$H189,0,IF(DQ189&lt;0,IF($J189=1,-$E189*$I189/12*0,IF($J189=2,-$E189*$I189/12*1,IF($J189=3,-$E189*$I189/12*2,IF($J189&gt;=4,-$E189*$I189/12*3,0))))))</f>
        <v>0</v>
      </c>
      <c r="DS189" s="1807">
        <f>IF($H189&lt;&gt;DV$5,0,IF(DV189&lt;0,IF(OR($J189=1,$J189=2,$J189=3,$J189=4),-$E189*$I189/12*3,IF($J189=5,-$E189*$I189/12*2,IF($J189=6,-$E189*$I189/12*1,0)))))+IF(DQ$5&lt;&gt;$H189,0,IF(DQ189&lt;0,IF($J189=4,-$E189*$I189/12*0,IF($J189=5,-$E189*$I189/12*1,IF($J189=6,-$E189*$I189/12*2,IF($J189&gt;=7,-$E189*$I189/12*3,0))))))</f>
        <v>0</v>
      </c>
      <c r="DT189" s="1807">
        <f>IF($H189&lt;&gt;DV$5,0,IF(DV189&lt;0,IF(OR($J189=1,$J189=2,$J189=3,$J189=4,$J189=5,$J189=6,$J189=7),-$E189*$I189/12*3,IF($J189=8,-$E189*$I189/12*2,IF($J189=9,-$E189*$I189/12*1,0)))))+IF(DQ$5&lt;&gt;$H189,0,IF(DQ189&lt;0,IF($J189=7,-$E189*$I189/12*0,IF($J189=8,-$E189*$I189/12*1,IF($J189=9,-$E189*$I189/12*2,IF($J189&gt;=10,-$E189*$I189/12*3,0))))))</f>
        <v>0</v>
      </c>
      <c r="DU189" s="1806">
        <f>IF($H189&lt;&gt;DV$5,0,IF(DV189&lt;0,IF(OR($J189=1,$J189=2,$J189=3,$J189=4,$J189=5,$J189=6,$J189=7,$J189=8,$J189=9,$J189=10),-$E189*$I189/12*3,IF($J189=11,-$E189*$I189/12*2,IF($J189=12,-$E189*$I189/12*1,0)))))+IF(DQ$5&lt;&gt;$H189,0,IF(DQ189&lt;0,IF($J189=10,-$E189*$I189/12*0,IF($J189=11,-$E189*$I189/12*1,IF($J189=12,-$E189*$I189/12*2,0)))))</f>
        <v>0</v>
      </c>
      <c r="DV189" s="1791">
        <f>IF(AND(DQ189&lt;&gt;0,DQ$5=$H189),-$I189*$E189-DQ189,IF(DV$5=$H189,-$I189*$E189*(12-$J189+1)/12,0))</f>
        <v>0</v>
      </c>
    </row>
    <row r="190" spans="1:127">
      <c r="A190" s="455"/>
      <c r="B190" s="455"/>
      <c r="C190" s="1805"/>
      <c r="D190" s="470"/>
      <c r="E190" s="1804"/>
      <c r="F190" s="1803"/>
      <c r="G190" s="1803"/>
      <c r="H190" s="1352"/>
      <c r="I190" s="1336"/>
      <c r="J190" s="471"/>
      <c r="K190" s="79"/>
      <c r="L190" s="453"/>
      <c r="M190" s="80"/>
      <c r="N190" s="1802"/>
      <c r="O190" s="1801"/>
      <c r="P190" s="1801"/>
      <c r="Q190" s="1800"/>
      <c r="R190" s="80"/>
      <c r="S190" s="1802"/>
      <c r="T190" s="1801"/>
      <c r="U190" s="1801"/>
      <c r="V190" s="1800"/>
      <c r="W190" s="80"/>
      <c r="X190" s="1802"/>
      <c r="Y190" s="1801"/>
      <c r="Z190" s="1801"/>
      <c r="AA190" s="1800"/>
      <c r="AB190" s="80"/>
      <c r="AC190" s="1802"/>
      <c r="AD190" s="1801"/>
      <c r="AE190" s="1801"/>
      <c r="AF190" s="1800"/>
      <c r="AG190" s="80"/>
      <c r="AH190" s="1802"/>
      <c r="AI190" s="1801"/>
      <c r="AJ190" s="1801"/>
      <c r="AK190" s="1800"/>
      <c r="AL190" s="80"/>
      <c r="AM190" s="1802"/>
      <c r="AN190" s="1801"/>
      <c r="AO190" s="1801"/>
      <c r="AP190" s="1800"/>
      <c r="AQ190" s="80"/>
      <c r="AR190" s="1802"/>
      <c r="AS190" s="1801"/>
      <c r="AT190" s="1801"/>
      <c r="AU190" s="1800"/>
      <c r="AV190" s="80"/>
      <c r="AW190" s="1802"/>
      <c r="AX190" s="1801"/>
      <c r="AY190" s="1801"/>
      <c r="AZ190" s="1800"/>
      <c r="BA190" s="80"/>
      <c r="BB190" s="1802"/>
      <c r="BC190" s="1801"/>
      <c r="BD190" s="1801"/>
      <c r="BE190" s="1800"/>
      <c r="BF190" s="80"/>
      <c r="BG190" s="1802"/>
      <c r="BH190" s="1801"/>
      <c r="BI190" s="1801"/>
      <c r="BJ190" s="1800"/>
      <c r="BK190" s="80"/>
      <c r="BL190" s="1802"/>
      <c r="BM190" s="1801"/>
      <c r="BN190" s="1801"/>
      <c r="BO190" s="1800"/>
      <c r="BP190" s="80"/>
      <c r="BQ190" s="472"/>
      <c r="BR190" s="1799"/>
      <c r="BS190" s="1799"/>
      <c r="BT190" s="1802"/>
      <c r="BU190" s="1801"/>
      <c r="BV190" s="1801"/>
      <c r="BW190" s="1800"/>
      <c r="BX190" s="1799"/>
      <c r="BY190" s="1802"/>
      <c r="BZ190" s="1801"/>
      <c r="CA190" s="1801"/>
      <c r="CB190" s="1800"/>
      <c r="CC190" s="1799"/>
      <c r="CD190" s="1802"/>
      <c r="CE190" s="1801"/>
      <c r="CF190" s="1801"/>
      <c r="CG190" s="1800"/>
      <c r="CH190" s="1799"/>
      <c r="CI190" s="1802"/>
      <c r="CJ190" s="1801"/>
      <c r="CK190" s="1801"/>
      <c r="CL190" s="1800"/>
      <c r="CM190" s="1799"/>
      <c r="CN190" s="1802"/>
      <c r="CO190" s="1801"/>
      <c r="CP190" s="1801"/>
      <c r="CQ190" s="1800"/>
      <c r="CR190" s="1799"/>
      <c r="CS190" s="1802"/>
      <c r="CT190" s="1801"/>
      <c r="CU190" s="1801"/>
      <c r="CV190" s="1800"/>
      <c r="CW190" s="1799"/>
      <c r="CX190" s="1802"/>
      <c r="CY190" s="1801"/>
      <c r="CZ190" s="1801"/>
      <c r="DA190" s="1800"/>
      <c r="DB190" s="1799"/>
      <c r="DC190" s="1802"/>
      <c r="DD190" s="1801"/>
      <c r="DE190" s="1801"/>
      <c r="DF190" s="1800"/>
      <c r="DG190" s="1799"/>
      <c r="DH190" s="1802"/>
      <c r="DI190" s="1801"/>
      <c r="DJ190" s="1801"/>
      <c r="DK190" s="1800"/>
      <c r="DL190" s="1799"/>
      <c r="DM190" s="1802"/>
      <c r="DN190" s="1801"/>
      <c r="DO190" s="1801"/>
      <c r="DP190" s="1800"/>
      <c r="DQ190" s="1799"/>
      <c r="DR190" s="1802"/>
      <c r="DS190" s="1801"/>
      <c r="DT190" s="1801"/>
      <c r="DU190" s="1800"/>
      <c r="DV190" s="1799"/>
    </row>
    <row r="191" spans="1:127">
      <c r="A191" s="455"/>
      <c r="B191" s="459"/>
      <c r="C191" s="1359" t="s">
        <v>617</v>
      </c>
      <c r="D191" s="473"/>
      <c r="E191" s="461">
        <f>SUM(E189)</f>
        <v>0</v>
      </c>
      <c r="F191" s="462">
        <f>SUM(F189)</f>
        <v>0</v>
      </c>
      <c r="G191" s="462">
        <f>SUM(G189)</f>
        <v>0</v>
      </c>
      <c r="H191" s="1351"/>
      <c r="I191" s="1333"/>
      <c r="J191" s="463"/>
      <c r="K191" s="81"/>
      <c r="L191" s="461">
        <f t="shared" ref="L191:AQ191" si="2754">SUM(L189)</f>
        <v>0</v>
      </c>
      <c r="M191" s="462">
        <f t="shared" si="2754"/>
        <v>0</v>
      </c>
      <c r="N191" s="478">
        <f t="shared" si="2754"/>
        <v>0</v>
      </c>
      <c r="O191" s="479">
        <f t="shared" si="2754"/>
        <v>0</v>
      </c>
      <c r="P191" s="479">
        <f t="shared" si="2754"/>
        <v>0</v>
      </c>
      <c r="Q191" s="480">
        <f t="shared" si="2754"/>
        <v>0</v>
      </c>
      <c r="R191" s="462">
        <f t="shared" si="2754"/>
        <v>0</v>
      </c>
      <c r="S191" s="478">
        <f t="shared" si="2754"/>
        <v>0</v>
      </c>
      <c r="T191" s="479">
        <f t="shared" si="2754"/>
        <v>0</v>
      </c>
      <c r="U191" s="479">
        <f t="shared" si="2754"/>
        <v>0</v>
      </c>
      <c r="V191" s="480">
        <f t="shared" si="2754"/>
        <v>0</v>
      </c>
      <c r="W191" s="462">
        <f t="shared" si="2754"/>
        <v>0</v>
      </c>
      <c r="X191" s="478">
        <f t="shared" si="2754"/>
        <v>0</v>
      </c>
      <c r="Y191" s="479">
        <f t="shared" si="2754"/>
        <v>0</v>
      </c>
      <c r="Z191" s="479">
        <f t="shared" si="2754"/>
        <v>0</v>
      </c>
      <c r="AA191" s="480">
        <f t="shared" si="2754"/>
        <v>0</v>
      </c>
      <c r="AB191" s="462">
        <f t="shared" si="2754"/>
        <v>0</v>
      </c>
      <c r="AC191" s="478">
        <f t="shared" si="2754"/>
        <v>0</v>
      </c>
      <c r="AD191" s="479">
        <f t="shared" si="2754"/>
        <v>0</v>
      </c>
      <c r="AE191" s="479">
        <f t="shared" si="2754"/>
        <v>0</v>
      </c>
      <c r="AF191" s="480">
        <f t="shared" si="2754"/>
        <v>0</v>
      </c>
      <c r="AG191" s="462">
        <f t="shared" si="2754"/>
        <v>0</v>
      </c>
      <c r="AH191" s="478">
        <f t="shared" si="2754"/>
        <v>0</v>
      </c>
      <c r="AI191" s="479">
        <f t="shared" si="2754"/>
        <v>0</v>
      </c>
      <c r="AJ191" s="479">
        <f t="shared" si="2754"/>
        <v>0</v>
      </c>
      <c r="AK191" s="480">
        <f t="shared" si="2754"/>
        <v>0</v>
      </c>
      <c r="AL191" s="462">
        <f t="shared" si="2754"/>
        <v>0</v>
      </c>
      <c r="AM191" s="478">
        <f t="shared" si="2754"/>
        <v>0</v>
      </c>
      <c r="AN191" s="479">
        <f t="shared" si="2754"/>
        <v>0</v>
      </c>
      <c r="AO191" s="479">
        <f t="shared" si="2754"/>
        <v>0</v>
      </c>
      <c r="AP191" s="480">
        <f t="shared" si="2754"/>
        <v>0</v>
      </c>
      <c r="AQ191" s="462">
        <f t="shared" si="2754"/>
        <v>0</v>
      </c>
      <c r="AR191" s="478">
        <f t="shared" ref="AR191:BK191" si="2755">SUM(AR189)</f>
        <v>0</v>
      </c>
      <c r="AS191" s="479">
        <f t="shared" si="2755"/>
        <v>0</v>
      </c>
      <c r="AT191" s="479">
        <f t="shared" si="2755"/>
        <v>0</v>
      </c>
      <c r="AU191" s="480">
        <f t="shared" si="2755"/>
        <v>0</v>
      </c>
      <c r="AV191" s="462">
        <f t="shared" si="2755"/>
        <v>0</v>
      </c>
      <c r="AW191" s="478">
        <f t="shared" si="2755"/>
        <v>0</v>
      </c>
      <c r="AX191" s="479">
        <f t="shared" si="2755"/>
        <v>0</v>
      </c>
      <c r="AY191" s="479">
        <f t="shared" si="2755"/>
        <v>0</v>
      </c>
      <c r="AZ191" s="480">
        <f t="shared" si="2755"/>
        <v>0</v>
      </c>
      <c r="BA191" s="462">
        <f t="shared" si="2755"/>
        <v>0</v>
      </c>
      <c r="BB191" s="478">
        <f t="shared" si="2755"/>
        <v>0</v>
      </c>
      <c r="BC191" s="479">
        <f t="shared" si="2755"/>
        <v>0</v>
      </c>
      <c r="BD191" s="479">
        <f t="shared" si="2755"/>
        <v>0</v>
      </c>
      <c r="BE191" s="480">
        <f t="shared" si="2755"/>
        <v>0</v>
      </c>
      <c r="BF191" s="462">
        <f t="shared" si="2755"/>
        <v>0</v>
      </c>
      <c r="BG191" s="478">
        <f t="shared" si="2755"/>
        <v>0</v>
      </c>
      <c r="BH191" s="479">
        <f t="shared" si="2755"/>
        <v>0</v>
      </c>
      <c r="BI191" s="479">
        <f t="shared" si="2755"/>
        <v>0</v>
      </c>
      <c r="BJ191" s="480">
        <f t="shared" si="2755"/>
        <v>0</v>
      </c>
      <c r="BK191" s="462">
        <f t="shared" si="2755"/>
        <v>0</v>
      </c>
      <c r="BL191" s="478">
        <f t="shared" ref="BL191:BP191" si="2756">SUM(BL189)</f>
        <v>0</v>
      </c>
      <c r="BM191" s="479">
        <f t="shared" si="2756"/>
        <v>0</v>
      </c>
      <c r="BN191" s="479">
        <f t="shared" si="2756"/>
        <v>0</v>
      </c>
      <c r="BO191" s="480">
        <f t="shared" si="2756"/>
        <v>0</v>
      </c>
      <c r="BP191" s="462">
        <f t="shared" si="2756"/>
        <v>0</v>
      </c>
      <c r="BQ191" s="2012"/>
      <c r="BR191" s="461">
        <f t="shared" ref="BR191:CW191" si="2757">SUM(BR189)</f>
        <v>0</v>
      </c>
      <c r="BS191" s="462">
        <f t="shared" si="2757"/>
        <v>0</v>
      </c>
      <c r="BT191" s="478">
        <f t="shared" si="2757"/>
        <v>0</v>
      </c>
      <c r="BU191" s="479">
        <f t="shared" si="2757"/>
        <v>0</v>
      </c>
      <c r="BV191" s="479">
        <f t="shared" si="2757"/>
        <v>0</v>
      </c>
      <c r="BW191" s="480">
        <f t="shared" si="2757"/>
        <v>0</v>
      </c>
      <c r="BX191" s="462">
        <f t="shared" si="2757"/>
        <v>0</v>
      </c>
      <c r="BY191" s="478">
        <f t="shared" si="2757"/>
        <v>0</v>
      </c>
      <c r="BZ191" s="479">
        <f t="shared" si="2757"/>
        <v>0</v>
      </c>
      <c r="CA191" s="479">
        <f t="shared" si="2757"/>
        <v>0</v>
      </c>
      <c r="CB191" s="480">
        <f t="shared" si="2757"/>
        <v>0</v>
      </c>
      <c r="CC191" s="462">
        <f t="shared" si="2757"/>
        <v>0</v>
      </c>
      <c r="CD191" s="478">
        <f t="shared" si="2757"/>
        <v>0</v>
      </c>
      <c r="CE191" s="479">
        <f t="shared" si="2757"/>
        <v>0</v>
      </c>
      <c r="CF191" s="479">
        <f t="shared" si="2757"/>
        <v>0</v>
      </c>
      <c r="CG191" s="480">
        <f t="shared" si="2757"/>
        <v>0</v>
      </c>
      <c r="CH191" s="462">
        <f t="shared" si="2757"/>
        <v>0</v>
      </c>
      <c r="CI191" s="478">
        <f t="shared" si="2757"/>
        <v>0</v>
      </c>
      <c r="CJ191" s="479">
        <f t="shared" si="2757"/>
        <v>0</v>
      </c>
      <c r="CK191" s="479">
        <f t="shared" si="2757"/>
        <v>0</v>
      </c>
      <c r="CL191" s="480">
        <f t="shared" si="2757"/>
        <v>0</v>
      </c>
      <c r="CM191" s="462">
        <f t="shared" si="2757"/>
        <v>0</v>
      </c>
      <c r="CN191" s="478">
        <f t="shared" si="2757"/>
        <v>0</v>
      </c>
      <c r="CO191" s="479">
        <f t="shared" si="2757"/>
        <v>0</v>
      </c>
      <c r="CP191" s="479">
        <f t="shared" si="2757"/>
        <v>0</v>
      </c>
      <c r="CQ191" s="480">
        <f t="shared" si="2757"/>
        <v>0</v>
      </c>
      <c r="CR191" s="462">
        <f t="shared" si="2757"/>
        <v>0</v>
      </c>
      <c r="CS191" s="478">
        <f t="shared" si="2757"/>
        <v>0</v>
      </c>
      <c r="CT191" s="479">
        <f t="shared" si="2757"/>
        <v>0</v>
      </c>
      <c r="CU191" s="479">
        <f t="shared" si="2757"/>
        <v>0</v>
      </c>
      <c r="CV191" s="480">
        <f t="shared" si="2757"/>
        <v>0</v>
      </c>
      <c r="CW191" s="462">
        <f t="shared" si="2757"/>
        <v>0</v>
      </c>
      <c r="CX191" s="478">
        <f t="shared" ref="CX191:DQ191" si="2758">SUM(CX189)</f>
        <v>0</v>
      </c>
      <c r="CY191" s="479">
        <f t="shared" si="2758"/>
        <v>0</v>
      </c>
      <c r="CZ191" s="479">
        <f t="shared" si="2758"/>
        <v>0</v>
      </c>
      <c r="DA191" s="480">
        <f t="shared" si="2758"/>
        <v>0</v>
      </c>
      <c r="DB191" s="462">
        <f t="shared" si="2758"/>
        <v>0</v>
      </c>
      <c r="DC191" s="478">
        <f t="shared" si="2758"/>
        <v>0</v>
      </c>
      <c r="DD191" s="479">
        <f t="shared" si="2758"/>
        <v>0</v>
      </c>
      <c r="DE191" s="479">
        <f t="shared" si="2758"/>
        <v>0</v>
      </c>
      <c r="DF191" s="480">
        <f t="shared" si="2758"/>
        <v>0</v>
      </c>
      <c r="DG191" s="462">
        <f t="shared" si="2758"/>
        <v>0</v>
      </c>
      <c r="DH191" s="478">
        <f t="shared" si="2758"/>
        <v>0</v>
      </c>
      <c r="DI191" s="479">
        <f t="shared" si="2758"/>
        <v>0</v>
      </c>
      <c r="DJ191" s="479">
        <f t="shared" si="2758"/>
        <v>0</v>
      </c>
      <c r="DK191" s="480">
        <f t="shared" si="2758"/>
        <v>0</v>
      </c>
      <c r="DL191" s="462">
        <f t="shared" si="2758"/>
        <v>0</v>
      </c>
      <c r="DM191" s="478">
        <f t="shared" si="2758"/>
        <v>0</v>
      </c>
      <c r="DN191" s="479">
        <f t="shared" si="2758"/>
        <v>0</v>
      </c>
      <c r="DO191" s="479">
        <f t="shared" si="2758"/>
        <v>0</v>
      </c>
      <c r="DP191" s="480">
        <f t="shared" si="2758"/>
        <v>0</v>
      </c>
      <c r="DQ191" s="462">
        <f t="shared" si="2758"/>
        <v>0</v>
      </c>
      <c r="DR191" s="478">
        <f t="shared" ref="DR191:DV191" si="2759">SUM(DR189)</f>
        <v>0</v>
      </c>
      <c r="DS191" s="479">
        <f t="shared" si="2759"/>
        <v>0</v>
      </c>
      <c r="DT191" s="479">
        <f t="shared" si="2759"/>
        <v>0</v>
      </c>
      <c r="DU191" s="480">
        <f t="shared" si="2759"/>
        <v>0</v>
      </c>
      <c r="DV191" s="462">
        <f t="shared" si="2759"/>
        <v>0</v>
      </c>
      <c r="DW191" s="37"/>
    </row>
    <row r="192" spans="1:127">
      <c r="A192" s="455"/>
      <c r="B192" s="455"/>
      <c r="C192" s="1798"/>
      <c r="D192" s="1824"/>
      <c r="E192" s="1825"/>
      <c r="F192" s="1817"/>
      <c r="G192" s="1817"/>
      <c r="H192" s="1667"/>
      <c r="I192" s="1794"/>
      <c r="J192" s="1817"/>
      <c r="K192" s="2009"/>
      <c r="L192" s="1823"/>
      <c r="M192" s="1819"/>
      <c r="N192" s="1822"/>
      <c r="O192" s="1821"/>
      <c r="P192" s="1821"/>
      <c r="Q192" s="1820"/>
      <c r="R192" s="1819"/>
      <c r="S192" s="1822"/>
      <c r="T192" s="1821"/>
      <c r="U192" s="1821"/>
      <c r="V192" s="1820"/>
      <c r="W192" s="1819"/>
      <c r="X192" s="1822"/>
      <c r="Y192" s="1821"/>
      <c r="Z192" s="1821"/>
      <c r="AA192" s="1820"/>
      <c r="AB192" s="1819"/>
      <c r="AC192" s="1822"/>
      <c r="AD192" s="1821"/>
      <c r="AE192" s="1821"/>
      <c r="AF192" s="1820"/>
      <c r="AG192" s="1819"/>
      <c r="AH192" s="1822"/>
      <c r="AI192" s="1821"/>
      <c r="AJ192" s="1821"/>
      <c r="AK192" s="1820"/>
      <c r="AL192" s="1819"/>
      <c r="AM192" s="1822"/>
      <c r="AN192" s="1821"/>
      <c r="AO192" s="1821"/>
      <c r="AP192" s="1820"/>
      <c r="AQ192" s="1819"/>
      <c r="AR192" s="1822"/>
      <c r="AS192" s="1821"/>
      <c r="AT192" s="1821"/>
      <c r="AU192" s="1820"/>
      <c r="AV192" s="1819"/>
      <c r="AW192" s="1822"/>
      <c r="AX192" s="1821"/>
      <c r="AY192" s="1821"/>
      <c r="AZ192" s="1820"/>
      <c r="BA192" s="1819"/>
      <c r="BB192" s="1822"/>
      <c r="BC192" s="1821"/>
      <c r="BD192" s="1821"/>
      <c r="BE192" s="1820"/>
      <c r="BF192" s="1819"/>
      <c r="BG192" s="1822"/>
      <c r="BH192" s="1821"/>
      <c r="BI192" s="1821"/>
      <c r="BJ192" s="1820"/>
      <c r="BK192" s="1819"/>
      <c r="BL192" s="1822"/>
      <c r="BM192" s="1821"/>
      <c r="BN192" s="1821"/>
      <c r="BO192" s="1820"/>
      <c r="BP192" s="1819"/>
      <c r="BQ192" s="1871"/>
      <c r="BR192" s="1823"/>
      <c r="BS192" s="1819"/>
      <c r="BT192" s="1822"/>
      <c r="BU192" s="1821"/>
      <c r="BV192" s="1821"/>
      <c r="BW192" s="1820"/>
      <c r="BX192" s="1819"/>
      <c r="BY192" s="1822"/>
      <c r="BZ192" s="1821"/>
      <c r="CA192" s="1821"/>
      <c r="CB192" s="1820"/>
      <c r="CC192" s="1819"/>
      <c r="CD192" s="1822"/>
      <c r="CE192" s="1821"/>
      <c r="CF192" s="1821"/>
      <c r="CG192" s="1820"/>
      <c r="CH192" s="1819"/>
      <c r="CI192" s="1822"/>
      <c r="CJ192" s="1821"/>
      <c r="CK192" s="1821"/>
      <c r="CL192" s="1820"/>
      <c r="CM192" s="1819"/>
      <c r="CN192" s="1822"/>
      <c r="CO192" s="1821"/>
      <c r="CP192" s="1821"/>
      <c r="CQ192" s="1820"/>
      <c r="CR192" s="1819"/>
      <c r="CS192" s="1822"/>
      <c r="CT192" s="1821"/>
      <c r="CU192" s="1821"/>
      <c r="CV192" s="1820"/>
      <c r="CW192" s="1819"/>
      <c r="CX192" s="1822"/>
      <c r="CY192" s="1821"/>
      <c r="CZ192" s="1821"/>
      <c r="DA192" s="1820"/>
      <c r="DB192" s="1819"/>
      <c r="DC192" s="1822"/>
      <c r="DD192" s="1821"/>
      <c r="DE192" s="1821"/>
      <c r="DF192" s="1820"/>
      <c r="DG192" s="1819"/>
      <c r="DH192" s="1822"/>
      <c r="DI192" s="1821"/>
      <c r="DJ192" s="1821"/>
      <c r="DK192" s="1820"/>
      <c r="DL192" s="1819"/>
      <c r="DM192" s="1822"/>
      <c r="DN192" s="1821"/>
      <c r="DO192" s="1821"/>
      <c r="DP192" s="1820"/>
      <c r="DQ192" s="1819"/>
      <c r="DR192" s="1822"/>
      <c r="DS192" s="1821"/>
      <c r="DT192" s="1821"/>
      <c r="DU192" s="1820"/>
      <c r="DV192" s="1819"/>
    </row>
    <row r="193" spans="1:127">
      <c r="A193" s="455"/>
      <c r="B193" s="455"/>
      <c r="C193" s="1367" t="s">
        <v>127</v>
      </c>
      <c r="D193" s="474"/>
      <c r="E193" s="1818"/>
      <c r="F193" s="1817"/>
      <c r="G193" s="1817"/>
      <c r="H193" s="1667"/>
      <c r="I193" s="1794"/>
      <c r="J193" s="1817"/>
      <c r="K193" s="1792"/>
      <c r="L193" s="1810"/>
      <c r="M193" s="1791"/>
      <c r="N193" s="1808"/>
      <c r="O193" s="1807"/>
      <c r="P193" s="1807"/>
      <c r="Q193" s="1806"/>
      <c r="R193" s="1791"/>
      <c r="S193" s="1808"/>
      <c r="T193" s="1807"/>
      <c r="U193" s="1807"/>
      <c r="V193" s="1806"/>
      <c r="W193" s="1791"/>
      <c r="X193" s="1808"/>
      <c r="Y193" s="1807"/>
      <c r="Z193" s="1807"/>
      <c r="AA193" s="1806"/>
      <c r="AB193" s="1791"/>
      <c r="AC193" s="1808"/>
      <c r="AD193" s="1807"/>
      <c r="AE193" s="1807"/>
      <c r="AF193" s="1806"/>
      <c r="AG193" s="1791"/>
      <c r="AH193" s="1808"/>
      <c r="AI193" s="1807"/>
      <c r="AJ193" s="1807"/>
      <c r="AK193" s="1806"/>
      <c r="AL193" s="1791"/>
      <c r="AM193" s="1808"/>
      <c r="AN193" s="1807"/>
      <c r="AO193" s="1807"/>
      <c r="AP193" s="1806"/>
      <c r="AQ193" s="1791"/>
      <c r="AR193" s="1808"/>
      <c r="AS193" s="1807"/>
      <c r="AT193" s="1807"/>
      <c r="AU193" s="1806"/>
      <c r="AV193" s="1791"/>
      <c r="AW193" s="1808"/>
      <c r="AX193" s="1807"/>
      <c r="AY193" s="1807"/>
      <c r="AZ193" s="1806"/>
      <c r="BA193" s="1791"/>
      <c r="BB193" s="1808"/>
      <c r="BC193" s="1807"/>
      <c r="BD193" s="1807"/>
      <c r="BE193" s="1806"/>
      <c r="BF193" s="1791"/>
      <c r="BG193" s="1808"/>
      <c r="BH193" s="1807"/>
      <c r="BI193" s="1807"/>
      <c r="BJ193" s="1806"/>
      <c r="BK193" s="1791"/>
      <c r="BL193" s="1808"/>
      <c r="BM193" s="1807"/>
      <c r="BN193" s="1807"/>
      <c r="BO193" s="1806"/>
      <c r="BP193" s="1791"/>
      <c r="BQ193" s="1809"/>
      <c r="BR193" s="1810"/>
      <c r="BS193" s="1791"/>
      <c r="BT193" s="1808"/>
      <c r="BU193" s="1807"/>
      <c r="BV193" s="1807"/>
      <c r="BW193" s="1806"/>
      <c r="BX193" s="1791"/>
      <c r="BY193" s="1808"/>
      <c r="BZ193" s="1807"/>
      <c r="CA193" s="1807"/>
      <c r="CB193" s="1806"/>
      <c r="CC193" s="1791"/>
      <c r="CD193" s="1808"/>
      <c r="CE193" s="1807"/>
      <c r="CF193" s="1807"/>
      <c r="CG193" s="1806"/>
      <c r="CH193" s="1791"/>
      <c r="CI193" s="1808"/>
      <c r="CJ193" s="1807"/>
      <c r="CK193" s="1807"/>
      <c r="CL193" s="1806"/>
      <c r="CM193" s="1791"/>
      <c r="CN193" s="1808"/>
      <c r="CO193" s="1807"/>
      <c r="CP193" s="1807"/>
      <c r="CQ193" s="1806"/>
      <c r="CR193" s="1791"/>
      <c r="CS193" s="1808"/>
      <c r="CT193" s="1807"/>
      <c r="CU193" s="1807"/>
      <c r="CV193" s="1806"/>
      <c r="CW193" s="1791"/>
      <c r="CX193" s="1808"/>
      <c r="CY193" s="1807"/>
      <c r="CZ193" s="1807"/>
      <c r="DA193" s="1806"/>
      <c r="DB193" s="1791"/>
      <c r="DC193" s="1808"/>
      <c r="DD193" s="1807"/>
      <c r="DE193" s="1807"/>
      <c r="DF193" s="1806"/>
      <c r="DG193" s="1791"/>
      <c r="DH193" s="1808"/>
      <c r="DI193" s="1807"/>
      <c r="DJ193" s="1807"/>
      <c r="DK193" s="1806"/>
      <c r="DL193" s="1791"/>
      <c r="DM193" s="1808"/>
      <c r="DN193" s="1807"/>
      <c r="DO193" s="1807"/>
      <c r="DP193" s="1806"/>
      <c r="DQ193" s="1791"/>
      <c r="DR193" s="1808"/>
      <c r="DS193" s="1807"/>
      <c r="DT193" s="1807"/>
      <c r="DU193" s="1806"/>
      <c r="DV193" s="1791"/>
    </row>
    <row r="194" spans="1:127">
      <c r="A194" s="455"/>
      <c r="B194" s="455"/>
      <c r="C194" s="1678" t="s">
        <v>287</v>
      </c>
      <c r="D194" s="1815"/>
      <c r="E194" s="1814">
        <f>EWC!BB441</f>
        <v>0</v>
      </c>
      <c r="F194" s="475"/>
      <c r="G194" s="475"/>
      <c r="H194" s="1813">
        <v>2018</v>
      </c>
      <c r="I194" s="1812">
        <v>0.06</v>
      </c>
      <c r="J194" s="1811">
        <v>7</v>
      </c>
      <c r="K194" s="1792"/>
      <c r="L194" s="1810">
        <f t="shared" ref="L194:M197" si="2760">IF(L$5=$H194,$E194,0)</f>
        <v>0</v>
      </c>
      <c r="M194" s="1791">
        <f t="shared" si="2760"/>
        <v>0</v>
      </c>
      <c r="N194" s="1808">
        <f t="shared" ref="N194:N197" si="2761">IF(R194=0,0,IF(R194&gt;0,IF($J194=3,R194,IF($J194=2,R194,IF($J194=1,R194,0)))))</f>
        <v>0</v>
      </c>
      <c r="O194" s="1807">
        <f t="shared" ref="O194:O197" si="2762">IF(R194=0,0,IF(R194&gt;0,IF($J194=6,R194,IF($J194=5,R194,IF($J194=4,R194,0)))))</f>
        <v>0</v>
      </c>
      <c r="P194" s="1807">
        <f t="shared" ref="P194:P197" si="2763">IF(R194=0,0,IF(R194&gt;0,IF($J194=9,R194,IF($J194=8,R194,IF($J194=7,R194,0)))))</f>
        <v>0</v>
      </c>
      <c r="Q194" s="1806">
        <f t="shared" ref="Q194:Q197" si="2764">IF(R194=0,0,IF(R194&gt;0,IF($J194=12,R194,IF($J194=11,R194,IF($J194=10,R194,0)))))</f>
        <v>0</v>
      </c>
      <c r="R194" s="1791">
        <f t="shared" ref="R194:R197" si="2765">IF(R$5=$H194,$E194,0)</f>
        <v>0</v>
      </c>
      <c r="S194" s="1808">
        <f t="shared" ref="S194:S197" si="2766">IF(W194=0,0,IF(W194&gt;0,IF($J194=3,W194,IF($J194=2,W194,IF($J194=1,W194,0)))))</f>
        <v>0</v>
      </c>
      <c r="T194" s="1807">
        <f t="shared" ref="T194:T197" si="2767">IF(W194=0,0,IF(W194&gt;0,IF($J194=6,W194,IF($J194=5,W194,IF($J194=4,W194,0)))))</f>
        <v>0</v>
      </c>
      <c r="U194" s="1807">
        <f t="shared" ref="U194:U197" si="2768">IF(W194=0,0,IF(W194&gt;0,IF($J194=9,W194,IF($J194=8,W194,IF($J194=7,W194,0)))))</f>
        <v>0</v>
      </c>
      <c r="V194" s="1806">
        <f t="shared" ref="V194:V197" si="2769">IF(W194=0,0,IF(W194&gt;0,IF($J194=12,W194,IF($J194=11,W194,IF($J194=10,W194,0)))))</f>
        <v>0</v>
      </c>
      <c r="W194" s="1791">
        <f t="shared" ref="W194:W197" si="2770">IF(W$5=$H194,$E194,0)</f>
        <v>0</v>
      </c>
      <c r="X194" s="1808">
        <f t="shared" ref="X194:X197" si="2771">IF(AB194=0,0,IF(AB194&gt;0,IF($J194=3,AB194,IF($J194=2,AB194,IF($J194=1,AB194,0)))))</f>
        <v>0</v>
      </c>
      <c r="Y194" s="1807">
        <f t="shared" ref="Y194:Y197" si="2772">IF(AB194=0,0,IF(AB194&gt;0,IF($J194=6,AB194,IF($J194=5,AB194,IF($J194=4,AB194,0)))))</f>
        <v>0</v>
      </c>
      <c r="Z194" s="1807">
        <f t="shared" ref="Z194:Z197" si="2773">IF(AB194=0,0,IF(AB194&gt;0,IF($J194=9,AB194,IF($J194=8,AB194,IF($J194=7,AB194,0)))))</f>
        <v>0</v>
      </c>
      <c r="AA194" s="1806">
        <f t="shared" ref="AA194:AA197" si="2774">IF(AB194=0,0,IF(AB194&gt;0,IF($J194=12,AB194,IF($J194=11,AB194,IF($J194=10,AB194,0)))))</f>
        <v>0</v>
      </c>
      <c r="AB194" s="1791">
        <f t="shared" ref="AB194:AB197" si="2775">IF(AB$5=$H194,$E194,0)</f>
        <v>0</v>
      </c>
      <c r="AC194" s="1808">
        <f t="shared" ref="AC194:AC197" si="2776">IF(AG194=0,0,IF(AG194&gt;0,IF($J194=3,AG194,IF($J194=2,AG194,IF($J194=1,AG194,0)))))</f>
        <v>0</v>
      </c>
      <c r="AD194" s="1807">
        <f t="shared" ref="AD194:AD197" si="2777">IF(AG194=0,0,IF(AG194&gt;0,IF($J194=6,AG194,IF($J194=5,AG194,IF($J194=4,AG194,0)))))</f>
        <v>0</v>
      </c>
      <c r="AE194" s="1807">
        <f t="shared" ref="AE194:AE197" si="2778">IF(AG194=0,0,IF(AG194&gt;0,IF($J194=9,AG194,IF($J194=8,AG194,IF($J194=7,AG194,0)))))</f>
        <v>0</v>
      </c>
      <c r="AF194" s="1806">
        <f t="shared" ref="AF194:AF197" si="2779">IF(AG194=0,0,IF(AG194&gt;0,IF($J194=12,AG194,IF($J194=11,AG194,IF($J194=10,AG194,0)))))</f>
        <v>0</v>
      </c>
      <c r="AG194" s="1791">
        <f t="shared" ref="AG194:AG197" si="2780">IF(AG$5=$H194,$E194,0)</f>
        <v>0</v>
      </c>
      <c r="AH194" s="1808">
        <f t="shared" ref="AH194:AH197" si="2781">IF(AL194=0,0,IF(AL194&gt;0,IF($J194=3,AL194,IF($J194=2,AL194,IF($J194=1,AL194,0)))))</f>
        <v>0</v>
      </c>
      <c r="AI194" s="1807">
        <f t="shared" ref="AI194:AI197" si="2782">IF(AL194=0,0,IF(AL194&gt;0,IF($J194=6,AL194,IF($J194=5,AL194,IF($J194=4,AL194,0)))))</f>
        <v>0</v>
      </c>
      <c r="AJ194" s="1807">
        <f t="shared" ref="AJ194:AJ197" si="2783">IF(AL194=0,0,IF(AL194&gt;0,IF($J194=9,AL194,IF($J194=8,AL194,IF($J194=7,AL194,0)))))</f>
        <v>0</v>
      </c>
      <c r="AK194" s="1806">
        <f t="shared" ref="AK194:AK197" si="2784">IF(AL194=0,0,IF(AL194&gt;0,IF($J194=12,AL194,IF($J194=11,AL194,IF($J194=10,AL194,0)))))</f>
        <v>0</v>
      </c>
      <c r="AL194" s="1791">
        <f t="shared" ref="AL194:AL197" si="2785">IF(AL$5=$H194,$E194,0)</f>
        <v>0</v>
      </c>
      <c r="AM194" s="1808">
        <f t="shared" ref="AM194:AM197" si="2786">IF(AQ194=0,0,IF(AQ194&gt;0,IF($J194=3,AQ194,IF($J194=2,AQ194,IF($J194=1,AQ194,0)))))</f>
        <v>0</v>
      </c>
      <c r="AN194" s="1807">
        <f t="shared" ref="AN194:AN197" si="2787">IF(AQ194=0,0,IF(AQ194&gt;0,IF($J194=6,AQ194,IF($J194=5,AQ194,IF($J194=4,AQ194,0)))))</f>
        <v>0</v>
      </c>
      <c r="AO194" s="1807">
        <f t="shared" ref="AO194:AO197" si="2788">IF(AQ194=0,0,IF(AQ194&gt;0,IF($J194=9,AQ194,IF($J194=8,AQ194,IF($J194=7,AQ194,0)))))</f>
        <v>0</v>
      </c>
      <c r="AP194" s="1806">
        <f t="shared" ref="AP194:AP197" si="2789">IF(AQ194=0,0,IF(AQ194&gt;0,IF($J194=12,AQ194,IF($J194=11,AQ194,IF($J194=10,AQ194,0)))))</f>
        <v>0</v>
      </c>
      <c r="AQ194" s="1791">
        <f t="shared" ref="AQ194:AQ197" si="2790">IF(AQ$5=$H194,$E194,0)</f>
        <v>0</v>
      </c>
      <c r="AR194" s="1808">
        <f t="shared" ref="AR194:AR197" si="2791">IF(AV194=0,0,IF(AV194&gt;0,IF($J194=3,AV194,IF($J194=2,AV194,IF($J194=1,AV194,0)))))</f>
        <v>0</v>
      </c>
      <c r="AS194" s="1807">
        <f t="shared" ref="AS194:AS197" si="2792">IF(AV194=0,0,IF(AV194&gt;0,IF($J194=6,AV194,IF($J194=5,AV194,IF($J194=4,AV194,0)))))</f>
        <v>0</v>
      </c>
      <c r="AT194" s="1807">
        <f t="shared" ref="AT194:AT197" si="2793">IF(AV194=0,0,IF(AV194&gt;0,IF($J194=9,AV194,IF($J194=8,AV194,IF($J194=7,AV194,0)))))</f>
        <v>0</v>
      </c>
      <c r="AU194" s="1806">
        <f t="shared" ref="AU194:AU197" si="2794">IF(AV194=0,0,IF(AV194&gt;0,IF($J194=12,AV194,IF($J194=11,AV194,IF($J194=10,AV194,0)))))</f>
        <v>0</v>
      </c>
      <c r="AV194" s="1791">
        <f t="shared" ref="AV194:AV197" si="2795">IF(AV$5=$H194,$E194,0)</f>
        <v>0</v>
      </c>
      <c r="AW194" s="1808">
        <f t="shared" ref="AW194:AW197" si="2796">IF(BA194=0,0,IF(BA194&gt;0,IF($J194=3,BA194,IF($J194=2,BA194,IF($J194=1,BA194,0)))))</f>
        <v>0</v>
      </c>
      <c r="AX194" s="1807">
        <f t="shared" ref="AX194:AX197" si="2797">IF(BA194=0,0,IF(BA194&gt;0,IF($J194=6,BA194,IF($J194=5,BA194,IF($J194=4,BA194,0)))))</f>
        <v>0</v>
      </c>
      <c r="AY194" s="1807">
        <f t="shared" ref="AY194:AY197" si="2798">IF(BA194=0,0,IF(BA194&gt;0,IF($J194=9,BA194,IF($J194=8,BA194,IF($J194=7,BA194,0)))))</f>
        <v>0</v>
      </c>
      <c r="AZ194" s="1806">
        <f t="shared" ref="AZ194:AZ197" si="2799">IF(BA194=0,0,IF(BA194&gt;0,IF($J194=12,BA194,IF($J194=11,BA194,IF($J194=10,BA194,0)))))</f>
        <v>0</v>
      </c>
      <c r="BA194" s="1791">
        <f t="shared" ref="BA194:BA197" si="2800">IF(BA$5=$H194,$E194,0)</f>
        <v>0</v>
      </c>
      <c r="BB194" s="1808">
        <f t="shared" ref="BB194:BB197" si="2801">IF(BF194=0,0,IF(BF194&gt;0,IF($J194=3,BF194,IF($J194=2,BF194,IF($J194=1,BF194,0)))))</f>
        <v>0</v>
      </c>
      <c r="BC194" s="1807">
        <f t="shared" ref="BC194:BC197" si="2802">IF(BF194=0,0,IF(BF194&gt;0,IF($J194=6,BF194,IF($J194=5,BF194,IF($J194=4,BF194,0)))))</f>
        <v>0</v>
      </c>
      <c r="BD194" s="1807">
        <f t="shared" ref="BD194:BD197" si="2803">IF(BF194=0,0,IF(BF194&gt;0,IF($J194=9,BF194,IF($J194=8,BF194,IF($J194=7,BF194,0)))))</f>
        <v>0</v>
      </c>
      <c r="BE194" s="1806">
        <f t="shared" ref="BE194:BE197" si="2804">IF(BF194=0,0,IF(BF194&gt;0,IF($J194=12,BF194,IF($J194=11,BF194,IF($J194=10,BF194,0)))))</f>
        <v>0</v>
      </c>
      <c r="BF194" s="1791">
        <f t="shared" ref="BF194:BF197" si="2805">IF(BF$5=$H194,$E194,0)</f>
        <v>0</v>
      </c>
      <c r="BG194" s="1808">
        <f t="shared" ref="BG194:BG197" si="2806">IF(BK194=0,0,IF(BK194&gt;0,IF($J194=3,BK194,IF($J194=2,BK194,IF($J194=1,BK194,0)))))</f>
        <v>0</v>
      </c>
      <c r="BH194" s="1807">
        <f t="shared" ref="BH194:BH197" si="2807">IF(BK194=0,0,IF(BK194&gt;0,IF($J194=6,BK194,IF($J194=5,BK194,IF($J194=4,BK194,0)))))</f>
        <v>0</v>
      </c>
      <c r="BI194" s="1807">
        <f t="shared" ref="BI194:BI197" si="2808">IF(BK194=0,0,IF(BK194&gt;0,IF($J194=9,BK194,IF($J194=8,BK194,IF($J194=7,BK194,0)))))</f>
        <v>0</v>
      </c>
      <c r="BJ194" s="1806">
        <f t="shared" ref="BJ194:BJ197" si="2809">IF(BK194=0,0,IF(BK194&gt;0,IF($J194=12,BK194,IF($J194=11,BK194,IF($J194=10,BK194,0)))))</f>
        <v>0</v>
      </c>
      <c r="BK194" s="1791">
        <f t="shared" ref="BK194:BK197" si="2810">IF(BK$5=$H194,$E194,0)</f>
        <v>0</v>
      </c>
      <c r="BL194" s="1808">
        <f t="shared" ref="BL194:BL197" si="2811">IF(BP194=0,0,IF(BP194&gt;0,IF($J194=3,BP194,IF($J194=2,BP194,IF($J194=1,BP194,0)))))</f>
        <v>0</v>
      </c>
      <c r="BM194" s="1807">
        <f t="shared" ref="BM194:BM197" si="2812">IF(BP194=0,0,IF(BP194&gt;0,IF($J194=6,BP194,IF($J194=5,BP194,IF($J194=4,BP194,0)))))</f>
        <v>0</v>
      </c>
      <c r="BN194" s="1807">
        <f t="shared" ref="BN194:BN197" si="2813">IF(BP194=0,0,IF(BP194&gt;0,IF($J194=9,BP194,IF($J194=8,BP194,IF($J194=7,BP194,0)))))</f>
        <v>0</v>
      </c>
      <c r="BO194" s="1806">
        <f t="shared" ref="BO194:BO197" si="2814">IF(BP194=0,0,IF(BP194&gt;0,IF($J194=12,BP194,IF($J194=11,BP194,IF($J194=10,BP194,0)))))</f>
        <v>0</v>
      </c>
      <c r="BP194" s="1791">
        <f t="shared" ref="BP194:BP197" si="2815">IF(BP$5=$H194,$E194,0)</f>
        <v>0</v>
      </c>
      <c r="BQ194" s="1809"/>
      <c r="BR194" s="1791">
        <f t="shared" ref="BR194:BS196" si="2816">IF(AND(BQ194&lt;&gt;0,BQ$5=$H194),$I194*$E194-BQ194,IF(BR$5=$H194,$I194*$E194*(12-$J194+1)/12,0))</f>
        <v>0</v>
      </c>
      <c r="BS194" s="1791">
        <f t="shared" si="2816"/>
        <v>0</v>
      </c>
      <c r="BT194" s="1808">
        <f t="shared" ref="BT194:BT197" si="2817">IF($H194&lt;&gt;BX$5,0,IF(BX194&gt;0,IF($J194=1,$E194*$I194/12*3,IF($J194=2,$E194*$I194/12*2,IF($J194=3,$E194*$I194/12*1,0)))))+IF(BS$5&lt;&gt;$H194,0,IF(BS194&gt;0,IF($J194=1,$E194*$I194/12*0,IF($J194=2,$E194*$I194/12*1,IF($J194=3,$E194*$I194/12*2,IF($J194&gt;=4,$E194*$I194/12*3,0))))))</f>
        <v>0</v>
      </c>
      <c r="BU194" s="1807">
        <f t="shared" ref="BU194:BU197" si="2818">IF($H194&lt;&gt;BX$5,0,IF(BX194&gt;0,IF(OR($J194=1,$J194=2,$J194=3,$J194=4),$E194*$I194/12*3,IF($J194=5,$E194*$I194/12*2,IF($J194=6,$E194*$I194/12*1,0)))))+IF(BS$5&lt;&gt;$H194,0,IF(BS194&gt;0,IF($J194=4,$E194*$I194/12*0,IF($J194=5,$E194*$I194/12*1,IF($J194=6,$E194*$I194/12*2,IF($J194&gt;=7,$E194*$I194/12*3,0))))))</f>
        <v>0</v>
      </c>
      <c r="BV194" s="1807">
        <f t="shared" ref="BV194:BV197" si="2819">IF($H194&lt;&gt;BX$5,0,IF(BX194&gt;0,IF(OR($J194=1,$J194=2,$J194=3,$J194=4,$J194=5,$J194=6,$J194=7),$E194*$I194/12*3,IF($J194=8,$E194*$I194/12*2,IF($J194=9,$E194*$I194/12*1,0)))))+IF(BS$5&lt;&gt;$H194,0,IF(BS194&gt;0,IF($J194=7,$E194*$I194/12*0,IF($J194=8,$E194*$I194/12*1,IF($J194=9,$E194*$I194/12*2,IF($J194&gt;=10,$E194*$I194/12*3,0))))))</f>
        <v>0</v>
      </c>
      <c r="BW194" s="1806">
        <f t="shared" ref="BW194:BW197" si="2820">IF($H194&lt;&gt;BX$5,0,IF(BX194&gt;0,IF(OR($J194=1,$J194=2,$J194=3,$J194=4,$J194=5,$J194=6,$J194=7,$J194=8,$J194=9,$J194=10),$E194*$I194/12*3,IF($J194=11,$E194*$I194/12*2,IF($J194=12,$E194*$I194/12*1,0)))))+IF(BS$5&lt;&gt;$H194,0,IF(BS194&gt;0,IF($J194=10,$E194*$I194/12*0,IF($J194=11,$E194*$I194/12*1,IF($J194=12,$E194*$I194/12*2,0)))))</f>
        <v>0</v>
      </c>
      <c r="BX194" s="1791">
        <f t="shared" ref="BX194:BX197" si="2821">IF(AND(BS194&lt;&gt;0,BS$5=$H194),$I194*$E194-BS194,IF(BX$5=$H194,$I194*$E194*(12-$J194+1)/12,0))</f>
        <v>0</v>
      </c>
      <c r="BY194" s="1808">
        <f t="shared" ref="BY194:BY197" si="2822">IF($H194&lt;&gt;CC$5,0,IF(CC194&gt;0,IF($J194=1,$E194*$I194/12*3,IF($J194=2,$E194*$I194/12*2,IF($J194=3,$E194*$I194/12*1,0)))))+IF(BX$5&lt;&gt;$H194,0,IF(BX194&gt;0,IF($J194=1,$E194*$I194/12*0,IF($J194=2,$E194*$I194/12*1,IF($J194=3,$E194*$I194/12*2,IF($J194&gt;=4,$E194*$I194/12*3,0))))))</f>
        <v>0</v>
      </c>
      <c r="BZ194" s="1807">
        <f t="shared" ref="BZ194:BZ197" si="2823">IF($H194&lt;&gt;CC$5,0,IF(CC194&gt;0,IF(OR($J194=1,$J194=2,$J194=3,$J194=4),$E194*$I194/12*3,IF($J194=5,$E194*$I194/12*2,IF($J194=6,$E194*$I194/12*1,0)))))+IF(BX$5&lt;&gt;$H194,0,IF(BX194&gt;0,IF($J194=4,$E194*$I194/12*0,IF($J194=5,$E194*$I194/12*1,IF($J194=6,$E194*$I194/12*2,IF($J194&gt;=7,$E194*$I194/12*3,0))))))</f>
        <v>0</v>
      </c>
      <c r="CA194" s="1807">
        <f t="shared" ref="CA194:CA197" si="2824">IF($H194&lt;&gt;CC$5,0,IF(CC194&gt;0,IF(OR($J194=1,$J194=2,$J194=3,$J194=4,$J194=5,$J194=6,$J194=7),$E194*$I194/12*3,IF($J194=8,$E194*$I194/12*2,IF($J194=9,$E194*$I194/12*1,0)))))+IF(BX$5&lt;&gt;$H194,0,IF(BX194&gt;0,IF($J194=7,$E194*$I194/12*0,IF($J194=8,$E194*$I194/12*1,IF($J194=9,$E194*$I194/12*2,IF($J194&gt;=10,$E194*$I194/12*3,0))))))</f>
        <v>0</v>
      </c>
      <c r="CB194" s="1806">
        <f t="shared" ref="CB194:CB197" si="2825">IF($H194&lt;&gt;CC$5,0,IF(CC194&gt;0,IF(OR($J194=1,$J194=2,$J194=3,$J194=4,$J194=5,$J194=6,$J194=7,$J194=8,$J194=9,$J194=10),$E194*$I194/12*3,IF($J194=11,$E194*$I194/12*2,IF($J194=12,$E194*$I194/12*1,0)))))+IF(BX$5&lt;&gt;$H194,0,IF(BX194&gt;0,IF($J194=10,$E194*$I194/12*0,IF($J194=11,$E194*$I194/12*1,IF($J194=12,$E194*$I194/12*2,0)))))</f>
        <v>0</v>
      </c>
      <c r="CC194" s="1791">
        <f t="shared" ref="CC194:CC197" si="2826">IF(AND(BX194&lt;&gt;0,BX$5=$H194),$I194*$E194-BX194,IF(CC$5=$H194,$I194*$E194*(12-$J194+1)/12,0))</f>
        <v>0</v>
      </c>
      <c r="CD194" s="1808">
        <f t="shared" ref="CD194:CD197" si="2827">IF($H194&lt;&gt;CH$5,0,IF(CH194&gt;0,IF($J194=1,$E194*$I194/12*3,IF($J194=2,$E194*$I194/12*2,IF($J194=3,$E194*$I194/12*1,0)))))+IF(CC$5&lt;&gt;$H194,0,IF(CC194&gt;0,IF($J194=1,$E194*$I194/12*0,IF($J194=2,$E194*$I194/12*1,IF($J194=3,$E194*$I194/12*2,IF($J194&gt;=4,$E194*$I194/12*3,0))))))</f>
        <v>0</v>
      </c>
      <c r="CE194" s="1807">
        <f t="shared" ref="CE194:CE197" si="2828">IF($H194&lt;&gt;CH$5,0,IF(CH194&gt;0,IF(OR($J194=1,$J194=2,$J194=3,$J194=4),$E194*$I194/12*3,IF($J194=5,$E194*$I194/12*2,IF($J194=6,$E194*$I194/12*1,0)))))+IF(CC$5&lt;&gt;$H194,0,IF(CC194&gt;0,IF($J194=4,$E194*$I194/12*0,IF($J194=5,$E194*$I194/12*1,IF($J194=6,$E194*$I194/12*2,IF($J194&gt;=7,$E194*$I194/12*3,0))))))</f>
        <v>0</v>
      </c>
      <c r="CF194" s="1807">
        <f t="shared" ref="CF194:CF197" si="2829">IF($H194&lt;&gt;CH$5,0,IF(CH194&gt;0,IF(OR($J194=1,$J194=2,$J194=3,$J194=4,$J194=5,$J194=6,$J194=7),$E194*$I194/12*3,IF($J194=8,$E194*$I194/12*2,IF($J194=9,$E194*$I194/12*1,0)))))+IF(CC$5&lt;&gt;$H194,0,IF(CC194&gt;0,IF($J194=7,$E194*$I194/12*0,IF($J194=8,$E194*$I194/12*1,IF($J194=9,$E194*$I194/12*2,IF($J194&gt;=10,$E194*$I194/12*3,0))))))</f>
        <v>0</v>
      </c>
      <c r="CG194" s="1806">
        <f t="shared" ref="CG194:CG197" si="2830">IF($H194&lt;&gt;CH$5,0,IF(CH194&gt;0,IF(OR($J194=1,$J194=2,$J194=3,$J194=4,$J194=5,$J194=6,$J194=7,$J194=8,$J194=9,$J194=10),$E194*$I194/12*3,IF($J194=11,$E194*$I194/12*2,IF($J194=12,$E194*$I194/12*1,0)))))+IF(CC$5&lt;&gt;$H194,0,IF(CC194&gt;0,IF($J194=10,$E194*$I194/12*0,IF($J194=11,$E194*$I194/12*1,IF($J194=12,$E194*$I194/12*2,0)))))</f>
        <v>0</v>
      </c>
      <c r="CH194" s="1791">
        <f t="shared" ref="CH194:CH197" si="2831">IF(AND(CC194&lt;&gt;0,CC$5=$H194),$I194*$E194-CC194,IF(CH$5=$H194,$I194*$E194*(12-$J194+1)/12,0))</f>
        <v>0</v>
      </c>
      <c r="CI194" s="1808">
        <f t="shared" ref="CI194:CI197" si="2832">IF($H194&lt;&gt;CM$5,0,IF(CM194&gt;0,IF($J194=1,$E194*$I194/12*3,IF($J194=2,$E194*$I194/12*2,IF($J194=3,$E194*$I194/12*1,0)))))+IF(CH$5&lt;&gt;$H194,0,IF(CH194&gt;0,IF($J194=1,$E194*$I194/12*0,IF($J194=2,$E194*$I194/12*1,IF($J194=3,$E194*$I194/12*2,IF($J194&gt;=4,$E194*$I194/12*3,0))))))</f>
        <v>0</v>
      </c>
      <c r="CJ194" s="1807">
        <f t="shared" ref="CJ194:CJ197" si="2833">IF($H194&lt;&gt;CM$5,0,IF(CM194&gt;0,IF(OR($J194=1,$J194=2,$J194=3,$J194=4),$E194*$I194/12*3,IF($J194=5,$E194*$I194/12*2,IF($J194=6,$E194*$I194/12*1,0)))))+IF(CH$5&lt;&gt;$H194,0,IF(CH194&gt;0,IF($J194=4,$E194*$I194/12*0,IF($J194=5,$E194*$I194/12*1,IF($J194=6,$E194*$I194/12*2,IF($J194&gt;=7,$E194*$I194/12*3,0))))))</f>
        <v>0</v>
      </c>
      <c r="CK194" s="1807">
        <f t="shared" ref="CK194:CK197" si="2834">IF($H194&lt;&gt;CM$5,0,IF(CM194&gt;0,IF(OR($J194=1,$J194=2,$J194=3,$J194=4,$J194=5,$J194=6,$J194=7),$E194*$I194/12*3,IF($J194=8,$E194*$I194/12*2,IF($J194=9,$E194*$I194/12*1,0)))))+IF(CH$5&lt;&gt;$H194,0,IF(CH194&gt;0,IF($J194=7,$E194*$I194/12*0,IF($J194=8,$E194*$I194/12*1,IF($J194=9,$E194*$I194/12*2,IF($J194&gt;=10,$E194*$I194/12*3,0))))))</f>
        <v>0</v>
      </c>
      <c r="CL194" s="1806">
        <f t="shared" ref="CL194:CL197" si="2835">IF($H194&lt;&gt;CM$5,0,IF(CM194&gt;0,IF(OR($J194=1,$J194=2,$J194=3,$J194=4,$J194=5,$J194=6,$J194=7,$J194=8,$J194=9,$J194=10),$E194*$I194/12*3,IF($J194=11,$E194*$I194/12*2,IF($J194=12,$E194*$I194/12*1,0)))))+IF(CH$5&lt;&gt;$H194,0,IF(CH194&gt;0,IF($J194=10,$E194*$I194/12*0,IF($J194=11,$E194*$I194/12*1,IF($J194=12,$E194*$I194/12*2,0)))))</f>
        <v>0</v>
      </c>
      <c r="CM194" s="1791">
        <f t="shared" ref="CM194:CM197" si="2836">IF(AND(CH194&lt;&gt;0,CH$5=$H194),$I194*$E194-CH194,IF(CM$5=$H194,$I194*$E194*(12-$J194+1)/12,0))</f>
        <v>0</v>
      </c>
      <c r="CN194" s="1808">
        <f t="shared" ref="CN194:CN197" si="2837">IF($H194&lt;&gt;CR$5,0,IF(CR194&gt;0,IF($J194=1,$E194*$I194/12*3,IF($J194=2,$E194*$I194/12*2,IF($J194=3,$E194*$I194/12*1,0)))))+IF(CM$5&lt;&gt;$H194,0,IF(CM194&gt;0,IF($J194=1,$E194*$I194/12*0,IF($J194=2,$E194*$I194/12*1,IF($J194=3,$E194*$I194/12*2,IF($J194&gt;=4,$E194*$I194/12*3,0))))))</f>
        <v>0</v>
      </c>
      <c r="CO194" s="1807">
        <f t="shared" ref="CO194:CO197" si="2838">IF($H194&lt;&gt;CR$5,0,IF(CR194&gt;0,IF(OR($J194=1,$J194=2,$J194=3,$J194=4),$E194*$I194/12*3,IF($J194=5,$E194*$I194/12*2,IF($J194=6,$E194*$I194/12*1,0)))))+IF(CM$5&lt;&gt;$H194,0,IF(CM194&gt;0,IF($J194=4,$E194*$I194/12*0,IF($J194=5,$E194*$I194/12*1,IF($J194=6,$E194*$I194/12*2,IF($J194&gt;=7,$E194*$I194/12*3,0))))))</f>
        <v>0</v>
      </c>
      <c r="CP194" s="1807">
        <f t="shared" ref="CP194:CP197" si="2839">IF($H194&lt;&gt;CR$5,0,IF(CR194&gt;0,IF(OR($J194=1,$J194=2,$J194=3,$J194=4,$J194=5,$J194=6,$J194=7),$E194*$I194/12*3,IF($J194=8,$E194*$I194/12*2,IF($J194=9,$E194*$I194/12*1,0)))))+IF(CM$5&lt;&gt;$H194,0,IF(CM194&gt;0,IF($J194=7,$E194*$I194/12*0,IF($J194=8,$E194*$I194/12*1,IF($J194=9,$E194*$I194/12*2,IF($J194&gt;=10,$E194*$I194/12*3,0))))))</f>
        <v>0</v>
      </c>
      <c r="CQ194" s="1806">
        <f t="shared" ref="CQ194:CQ197" si="2840">IF($H194&lt;&gt;CR$5,0,IF(CR194&gt;0,IF(OR($J194=1,$J194=2,$J194=3,$J194=4,$J194=5,$J194=6,$J194=7,$J194=8,$J194=9,$J194=10),$E194*$I194/12*3,IF($J194=11,$E194*$I194/12*2,IF($J194=12,$E194*$I194/12*1,0)))))+IF(CM$5&lt;&gt;$H194,0,IF(CM194&gt;0,IF($J194=10,$E194*$I194/12*0,IF($J194=11,$E194*$I194/12*1,IF($J194=12,$E194*$I194/12*2,0)))))</f>
        <v>0</v>
      </c>
      <c r="CR194" s="1791">
        <f t="shared" ref="CR194:CR197" si="2841">IF(AND(CM194&lt;&gt;0,CM$5=$H194),$I194*$E194-CM194,IF(CR$5=$H194,$I194*$E194*(12-$J194+1)/12,0))</f>
        <v>0</v>
      </c>
      <c r="CS194" s="1808">
        <f t="shared" ref="CS194:CS197" si="2842">IF($H194&lt;&gt;CW$5,0,IF(CW194&gt;0,IF($J194=1,$E194*$I194/12*3,IF($J194=2,$E194*$I194/12*2,IF($J194=3,$E194*$I194/12*1,0)))))+IF(CR$5&lt;&gt;$H194,0,IF(CR194&gt;0,IF($J194=1,$E194*$I194/12*0,IF($J194=2,$E194*$I194/12*1,IF($J194=3,$E194*$I194/12*2,IF($J194&gt;=4,$E194*$I194/12*3,0))))))</f>
        <v>0</v>
      </c>
      <c r="CT194" s="1807">
        <f t="shared" ref="CT194:CT197" si="2843">IF($H194&lt;&gt;CW$5,0,IF(CW194&gt;0,IF(OR($J194=1,$J194=2,$J194=3,$J194=4),$E194*$I194/12*3,IF($J194=5,$E194*$I194/12*2,IF($J194=6,$E194*$I194/12*1,0)))))+IF(CR$5&lt;&gt;$H194,0,IF(CR194&gt;0,IF($J194=4,$E194*$I194/12*0,IF($J194=5,$E194*$I194/12*1,IF($J194=6,$E194*$I194/12*2,IF($J194&gt;=7,$E194*$I194/12*3,0))))))</f>
        <v>0</v>
      </c>
      <c r="CU194" s="1807">
        <f t="shared" ref="CU194:CU197" si="2844">IF($H194&lt;&gt;CW$5,0,IF(CW194&gt;0,IF(OR($J194=1,$J194=2,$J194=3,$J194=4,$J194=5,$J194=6,$J194=7),$E194*$I194/12*3,IF($J194=8,$E194*$I194/12*2,IF($J194=9,$E194*$I194/12*1,0)))))+IF(CR$5&lt;&gt;$H194,0,IF(CR194&gt;0,IF($J194=7,$E194*$I194/12*0,IF($J194=8,$E194*$I194/12*1,IF($J194=9,$E194*$I194/12*2,IF($J194&gt;=10,$E194*$I194/12*3,0))))))</f>
        <v>0</v>
      </c>
      <c r="CV194" s="1806">
        <f t="shared" ref="CV194:CV197" si="2845">IF($H194&lt;&gt;CW$5,0,IF(CW194&gt;0,IF(OR($J194=1,$J194=2,$J194=3,$J194=4,$J194=5,$J194=6,$J194=7,$J194=8,$J194=9,$J194=10),$E194*$I194/12*3,IF($J194=11,$E194*$I194/12*2,IF($J194=12,$E194*$I194/12*1,0)))))+IF(CR$5&lt;&gt;$H194,0,IF(CR194&gt;0,IF($J194=10,$E194*$I194/12*0,IF($J194=11,$E194*$I194/12*1,IF($J194=12,$E194*$I194/12*2,0)))))</f>
        <v>0</v>
      </c>
      <c r="CW194" s="1791">
        <f t="shared" ref="CW194:CW197" si="2846">IF(AND(CR194&lt;&gt;0,CR$5=$H194),$I194*$E194-CR194,IF(CW$5=$H194,$I194*$E194*(12-$J194+1)/12,0))</f>
        <v>0</v>
      </c>
      <c r="CX194" s="1808">
        <f t="shared" ref="CX194:CX197" si="2847">IF($H194&lt;&gt;DB$5,0,IF(DB194&gt;0,IF($J194=1,$E194*$I194/12*3,IF($J194=2,$E194*$I194/12*2,IF($J194=3,$E194*$I194/12*1,0)))))+IF(CW$5&lt;&gt;$H194,0,IF(CW194&gt;0,IF($J194=1,$E194*$I194/12*0,IF($J194=2,$E194*$I194/12*1,IF($J194=3,$E194*$I194/12*2,IF($J194&gt;=4,$E194*$I194/12*3,0))))))</f>
        <v>0</v>
      </c>
      <c r="CY194" s="1807">
        <f t="shared" ref="CY194:CY197" si="2848">IF($H194&lt;&gt;DB$5,0,IF(DB194&gt;0,IF(OR($J194=1,$J194=2,$J194=3,$J194=4),$E194*$I194/12*3,IF($J194=5,$E194*$I194/12*2,IF($J194=6,$E194*$I194/12*1,0)))))+IF(CW$5&lt;&gt;$H194,0,IF(CW194&gt;0,IF($J194=4,$E194*$I194/12*0,IF($J194=5,$E194*$I194/12*1,IF($J194=6,$E194*$I194/12*2,IF($J194&gt;=7,$E194*$I194/12*3,0))))))</f>
        <v>0</v>
      </c>
      <c r="CZ194" s="1807">
        <f t="shared" ref="CZ194:CZ197" si="2849">IF($H194&lt;&gt;DB$5,0,IF(DB194&gt;0,IF(OR($J194=1,$J194=2,$J194=3,$J194=4,$J194=5,$J194=6,$J194=7),$E194*$I194/12*3,IF($J194=8,$E194*$I194/12*2,IF($J194=9,$E194*$I194/12*1,0)))))+IF(CW$5&lt;&gt;$H194,0,IF(CW194&gt;0,IF($J194=7,$E194*$I194/12*0,IF($J194=8,$E194*$I194/12*1,IF($J194=9,$E194*$I194/12*2,IF($J194&gt;=10,$E194*$I194/12*3,0))))))</f>
        <v>0</v>
      </c>
      <c r="DA194" s="1806">
        <f t="shared" ref="DA194:DA197" si="2850">IF($H194&lt;&gt;DB$5,0,IF(DB194&gt;0,IF(OR($J194=1,$J194=2,$J194=3,$J194=4,$J194=5,$J194=6,$J194=7,$J194=8,$J194=9,$J194=10),$E194*$I194/12*3,IF($J194=11,$E194*$I194/12*2,IF($J194=12,$E194*$I194/12*1,0)))))+IF(CW$5&lt;&gt;$H194,0,IF(CW194&gt;0,IF($J194=10,$E194*$I194/12*0,IF($J194=11,$E194*$I194/12*1,IF($J194=12,$E194*$I194/12*2,0)))))</f>
        <v>0</v>
      </c>
      <c r="DB194" s="1791">
        <f t="shared" ref="DB194:DB197" si="2851">IF(AND(CW194&lt;&gt;0,CW$5=$H194),$I194*$E194-CW194,IF(DB$5=$H194,$I194*$E194*(12-$J194+1)/12,0))</f>
        <v>0</v>
      </c>
      <c r="DC194" s="1808">
        <f t="shared" ref="DC194:DC197" si="2852">IF($H194&lt;&gt;DG$5,0,IF(DG194&gt;0,IF($J194=1,$E194*$I194/12*3,IF($J194=2,$E194*$I194/12*2,IF($J194=3,$E194*$I194/12*1,0)))))+IF(DB$5&lt;&gt;$H194,0,IF(DB194&gt;0,IF($J194=1,$E194*$I194/12*0,IF($J194=2,$E194*$I194/12*1,IF($J194=3,$E194*$I194/12*2,IF($J194&gt;=4,$E194*$I194/12*3,0))))))</f>
        <v>0</v>
      </c>
      <c r="DD194" s="1807">
        <f t="shared" ref="DD194:DD197" si="2853">IF($H194&lt;&gt;DG$5,0,IF(DG194&gt;0,IF(OR($J194=1,$J194=2,$J194=3,$J194=4),$E194*$I194/12*3,IF($J194=5,$E194*$I194/12*2,IF($J194=6,$E194*$I194/12*1,0)))))+IF(DB$5&lt;&gt;$H194,0,IF(DB194&gt;0,IF($J194=4,$E194*$I194/12*0,IF($J194=5,$E194*$I194/12*1,IF($J194=6,$E194*$I194/12*2,IF($J194&gt;=7,$E194*$I194/12*3,0))))))</f>
        <v>0</v>
      </c>
      <c r="DE194" s="1807">
        <f t="shared" ref="DE194:DE197" si="2854">IF($H194&lt;&gt;DG$5,0,IF(DG194&gt;0,IF(OR($J194=1,$J194=2,$J194=3,$J194=4,$J194=5,$J194=6,$J194=7),$E194*$I194/12*3,IF($J194=8,$E194*$I194/12*2,IF($J194=9,$E194*$I194/12*1,0)))))+IF(DB$5&lt;&gt;$H194,0,IF(DB194&gt;0,IF($J194=7,$E194*$I194/12*0,IF($J194=8,$E194*$I194/12*1,IF($J194=9,$E194*$I194/12*2,IF($J194&gt;=10,$E194*$I194/12*3,0))))))</f>
        <v>0</v>
      </c>
      <c r="DF194" s="1806">
        <f t="shared" ref="DF194:DF197" si="2855">IF($H194&lt;&gt;DG$5,0,IF(DG194&gt;0,IF(OR($J194=1,$J194=2,$J194=3,$J194=4,$J194=5,$J194=6,$J194=7,$J194=8,$J194=9,$J194=10),$E194*$I194/12*3,IF($J194=11,$E194*$I194/12*2,IF($J194=12,$E194*$I194/12*1,0)))))+IF(DB$5&lt;&gt;$H194,0,IF(DB194&gt;0,IF($J194=10,$E194*$I194/12*0,IF($J194=11,$E194*$I194/12*1,IF($J194=12,$E194*$I194/12*2,0)))))</f>
        <v>0</v>
      </c>
      <c r="DG194" s="1791">
        <f t="shared" ref="DG194:DG197" si="2856">IF(AND(DB194&lt;&gt;0,DB$5=$H194),$I194*$E194-DB194,IF(DG$5=$H194,$I194*$E194*(12-$J194+1)/12,0))</f>
        <v>0</v>
      </c>
      <c r="DH194" s="1808">
        <f t="shared" ref="DH194:DH197" si="2857">IF($H194&lt;&gt;DL$5,0,IF(DL194&gt;0,IF($J194=1,$E194*$I194/12*3,IF($J194=2,$E194*$I194/12*2,IF($J194=3,$E194*$I194/12*1,0)))))+IF(DG$5&lt;&gt;$H194,0,IF(DG194&gt;0,IF($J194=1,$E194*$I194/12*0,IF($J194=2,$E194*$I194/12*1,IF($J194=3,$E194*$I194/12*2,IF($J194&gt;=4,$E194*$I194/12*3,0))))))</f>
        <v>0</v>
      </c>
      <c r="DI194" s="1807">
        <f t="shared" ref="DI194:DI197" si="2858">IF($H194&lt;&gt;DL$5,0,IF(DL194&gt;0,IF(OR($J194=1,$J194=2,$J194=3,$J194=4),$E194*$I194/12*3,IF($J194=5,$E194*$I194/12*2,IF($J194=6,$E194*$I194/12*1,0)))))+IF(DG$5&lt;&gt;$H194,0,IF(DG194&gt;0,IF($J194=4,$E194*$I194/12*0,IF($J194=5,$E194*$I194/12*1,IF($J194=6,$E194*$I194/12*2,IF($J194&gt;=7,$E194*$I194/12*3,0))))))</f>
        <v>0</v>
      </c>
      <c r="DJ194" s="1807">
        <f t="shared" ref="DJ194:DJ197" si="2859">IF($H194&lt;&gt;DL$5,0,IF(DL194&gt;0,IF(OR($J194=1,$J194=2,$J194=3,$J194=4,$J194=5,$J194=6,$J194=7),$E194*$I194/12*3,IF($J194=8,$E194*$I194/12*2,IF($J194=9,$E194*$I194/12*1,0)))))+IF(DG$5&lt;&gt;$H194,0,IF(DG194&gt;0,IF($J194=7,$E194*$I194/12*0,IF($J194=8,$E194*$I194/12*1,IF($J194=9,$E194*$I194/12*2,IF($J194&gt;=10,$E194*$I194/12*3,0))))))</f>
        <v>0</v>
      </c>
      <c r="DK194" s="1806">
        <f t="shared" ref="DK194:DK197" si="2860">IF($H194&lt;&gt;DL$5,0,IF(DL194&gt;0,IF(OR($J194=1,$J194=2,$J194=3,$J194=4,$J194=5,$J194=6,$J194=7,$J194=8,$J194=9,$J194=10),$E194*$I194/12*3,IF($J194=11,$E194*$I194/12*2,IF($J194=12,$E194*$I194/12*1,0)))))+IF(DG$5&lt;&gt;$H194,0,IF(DG194&gt;0,IF($J194=10,$E194*$I194/12*0,IF($J194=11,$E194*$I194/12*1,IF($J194=12,$E194*$I194/12*2,0)))))</f>
        <v>0</v>
      </c>
      <c r="DL194" s="1791">
        <f t="shared" ref="DL194:DL197" si="2861">IF(AND(DG194&lt;&gt;0,DG$5=$H194),$I194*$E194-DG194,IF(DL$5=$H194,$I194*$E194*(12-$J194+1)/12,0))</f>
        <v>0</v>
      </c>
      <c r="DM194" s="1808">
        <f t="shared" ref="DM194:DM197" si="2862">IF($H194&lt;&gt;DQ$5,0,IF(DQ194&gt;0,IF($J194=1,$E194*$I194/12*3,IF($J194=2,$E194*$I194/12*2,IF($J194=3,$E194*$I194/12*1,0)))))+IF(DL$5&lt;&gt;$H194,0,IF(DL194&gt;0,IF($J194=1,$E194*$I194/12*0,IF($J194=2,$E194*$I194/12*1,IF($J194=3,$E194*$I194/12*2,IF($J194&gt;=4,$E194*$I194/12*3,0))))))</f>
        <v>0</v>
      </c>
      <c r="DN194" s="1807">
        <f t="shared" ref="DN194:DN197" si="2863">IF($H194&lt;&gt;DQ$5,0,IF(DQ194&gt;0,IF(OR($J194=1,$J194=2,$J194=3,$J194=4),$E194*$I194/12*3,IF($J194=5,$E194*$I194/12*2,IF($J194=6,$E194*$I194/12*1,0)))))+IF(DL$5&lt;&gt;$H194,0,IF(DL194&gt;0,IF($J194=4,$E194*$I194/12*0,IF($J194=5,$E194*$I194/12*1,IF($J194=6,$E194*$I194/12*2,IF($J194&gt;=7,$E194*$I194/12*3,0))))))</f>
        <v>0</v>
      </c>
      <c r="DO194" s="1807">
        <f t="shared" ref="DO194:DO197" si="2864">IF($H194&lt;&gt;DQ$5,0,IF(DQ194&gt;0,IF(OR($J194=1,$J194=2,$J194=3,$J194=4,$J194=5,$J194=6,$J194=7),$E194*$I194/12*3,IF($J194=8,$E194*$I194/12*2,IF($J194=9,$E194*$I194/12*1,0)))))+IF(DL$5&lt;&gt;$H194,0,IF(DL194&gt;0,IF($J194=7,$E194*$I194/12*0,IF($J194=8,$E194*$I194/12*1,IF($J194=9,$E194*$I194/12*2,IF($J194&gt;=10,$E194*$I194/12*3,0))))))</f>
        <v>0</v>
      </c>
      <c r="DP194" s="1806">
        <f t="shared" ref="DP194:DP197" si="2865">IF($H194&lt;&gt;DQ$5,0,IF(DQ194&gt;0,IF(OR($J194=1,$J194=2,$J194=3,$J194=4,$J194=5,$J194=6,$J194=7,$J194=8,$J194=9,$J194=10),$E194*$I194/12*3,IF($J194=11,$E194*$I194/12*2,IF($J194=12,$E194*$I194/12*1,0)))))+IF(DL$5&lt;&gt;$H194,0,IF(DL194&gt;0,IF($J194=10,$E194*$I194/12*0,IF($J194=11,$E194*$I194/12*1,IF($J194=12,$E194*$I194/12*2,0)))))</f>
        <v>0</v>
      </c>
      <c r="DQ194" s="1791">
        <f t="shared" ref="DQ194:DQ197" si="2866">IF(AND(DL194&lt;&gt;0,DL$5=$H194),$I194*$E194-DL194,IF(DQ$5=$H194,$I194*$E194*(12-$J194+1)/12,0))</f>
        <v>0</v>
      </c>
      <c r="DR194" s="1808">
        <f t="shared" ref="DR194:DR197" si="2867">IF($H194&lt;&gt;DV$5,0,IF(DV194&gt;0,IF($J194=1,$E194*$I194/12*3,IF($J194=2,$E194*$I194/12*2,IF($J194=3,$E194*$I194/12*1,0)))))+IF(DQ$5&lt;&gt;$H194,0,IF(DQ194&gt;0,IF($J194=1,$E194*$I194/12*0,IF($J194=2,$E194*$I194/12*1,IF($J194=3,$E194*$I194/12*2,IF($J194&gt;=4,$E194*$I194/12*3,0))))))</f>
        <v>0</v>
      </c>
      <c r="DS194" s="1807">
        <f t="shared" ref="DS194:DS197" si="2868">IF($H194&lt;&gt;DV$5,0,IF(DV194&gt;0,IF(OR($J194=1,$J194=2,$J194=3,$J194=4),$E194*$I194/12*3,IF($J194=5,$E194*$I194/12*2,IF($J194=6,$E194*$I194/12*1,0)))))+IF(DQ$5&lt;&gt;$H194,0,IF(DQ194&gt;0,IF($J194=4,$E194*$I194/12*0,IF($J194=5,$E194*$I194/12*1,IF($J194=6,$E194*$I194/12*2,IF($J194&gt;=7,$E194*$I194/12*3,0))))))</f>
        <v>0</v>
      </c>
      <c r="DT194" s="1807">
        <f t="shared" ref="DT194:DT197" si="2869">IF($H194&lt;&gt;DV$5,0,IF(DV194&gt;0,IF(OR($J194=1,$J194=2,$J194=3,$J194=4,$J194=5,$J194=6,$J194=7),$E194*$I194/12*3,IF($J194=8,$E194*$I194/12*2,IF($J194=9,$E194*$I194/12*1,0)))))+IF(DQ$5&lt;&gt;$H194,0,IF(DQ194&gt;0,IF($J194=7,$E194*$I194/12*0,IF($J194=8,$E194*$I194/12*1,IF($J194=9,$E194*$I194/12*2,IF($J194&gt;=10,$E194*$I194/12*3,0))))))</f>
        <v>0</v>
      </c>
      <c r="DU194" s="1806">
        <f t="shared" ref="DU194:DU197" si="2870">IF($H194&lt;&gt;DV$5,0,IF(DV194&gt;0,IF(OR($J194=1,$J194=2,$J194=3,$J194=4,$J194=5,$J194=6,$J194=7,$J194=8,$J194=9,$J194=10),$E194*$I194/12*3,IF($J194=11,$E194*$I194/12*2,IF($J194=12,$E194*$I194/12*1,0)))))+IF(DQ$5&lt;&gt;$H194,0,IF(DQ194&gt;0,IF($J194=10,$E194*$I194/12*0,IF($J194=11,$E194*$I194/12*1,IF($J194=12,$E194*$I194/12*2,0)))))</f>
        <v>0</v>
      </c>
      <c r="DV194" s="1791">
        <f t="shared" ref="DV194:DV197" si="2871">IF(AND(DQ194&lt;&gt;0,DQ$5=$H194),$I194*$E194-DQ194,IF(DV$5=$H194,$I194*$E194*(12-$J194+1)/12,0))</f>
        <v>0</v>
      </c>
    </row>
    <row r="195" spans="1:127">
      <c r="A195" s="455"/>
      <c r="B195" s="455"/>
      <c r="C195" s="1678" t="s">
        <v>914</v>
      </c>
      <c r="D195" s="1815"/>
      <c r="E195" s="1814">
        <f>EWC!BG441</f>
        <v>0</v>
      </c>
      <c r="F195" s="475"/>
      <c r="G195" s="475"/>
      <c r="H195" s="1813">
        <v>2019</v>
      </c>
      <c r="I195" s="1812">
        <v>0.06</v>
      </c>
      <c r="J195" s="1811">
        <v>7</v>
      </c>
      <c r="K195" s="1792"/>
      <c r="L195" s="1810">
        <f t="shared" si="2760"/>
        <v>0</v>
      </c>
      <c r="M195" s="1791">
        <f t="shared" si="2760"/>
        <v>0</v>
      </c>
      <c r="N195" s="1808">
        <f t="shared" si="2761"/>
        <v>0</v>
      </c>
      <c r="O195" s="1807">
        <f t="shared" si="2762"/>
        <v>0</v>
      </c>
      <c r="P195" s="1807">
        <f t="shared" si="2763"/>
        <v>0</v>
      </c>
      <c r="Q195" s="1806">
        <f t="shared" si="2764"/>
        <v>0</v>
      </c>
      <c r="R195" s="1791">
        <f t="shared" si="2765"/>
        <v>0</v>
      </c>
      <c r="S195" s="1808">
        <f t="shared" si="2766"/>
        <v>0</v>
      </c>
      <c r="T195" s="1807">
        <f t="shared" si="2767"/>
        <v>0</v>
      </c>
      <c r="U195" s="1807">
        <f t="shared" si="2768"/>
        <v>0</v>
      </c>
      <c r="V195" s="1806">
        <f t="shared" si="2769"/>
        <v>0</v>
      </c>
      <c r="W195" s="1791">
        <f t="shared" si="2770"/>
        <v>0</v>
      </c>
      <c r="X195" s="1808">
        <f t="shared" si="2771"/>
        <v>0</v>
      </c>
      <c r="Y195" s="1807">
        <f t="shared" si="2772"/>
        <v>0</v>
      </c>
      <c r="Z195" s="1807">
        <f t="shared" si="2773"/>
        <v>0</v>
      </c>
      <c r="AA195" s="1806">
        <f t="shared" si="2774"/>
        <v>0</v>
      </c>
      <c r="AB195" s="1791">
        <f t="shared" si="2775"/>
        <v>0</v>
      </c>
      <c r="AC195" s="1808">
        <f t="shared" si="2776"/>
        <v>0</v>
      </c>
      <c r="AD195" s="1807">
        <f t="shared" si="2777"/>
        <v>0</v>
      </c>
      <c r="AE195" s="1807">
        <f t="shared" si="2778"/>
        <v>0</v>
      </c>
      <c r="AF195" s="1806">
        <f t="shared" si="2779"/>
        <v>0</v>
      </c>
      <c r="AG195" s="1791">
        <f t="shared" si="2780"/>
        <v>0</v>
      </c>
      <c r="AH195" s="1808">
        <f t="shared" si="2781"/>
        <v>0</v>
      </c>
      <c r="AI195" s="1807">
        <f t="shared" si="2782"/>
        <v>0</v>
      </c>
      <c r="AJ195" s="1807">
        <f t="shared" si="2783"/>
        <v>0</v>
      </c>
      <c r="AK195" s="1806">
        <f t="shared" si="2784"/>
        <v>0</v>
      </c>
      <c r="AL195" s="1791">
        <f t="shared" si="2785"/>
        <v>0</v>
      </c>
      <c r="AM195" s="1808">
        <f t="shared" si="2786"/>
        <v>0</v>
      </c>
      <c r="AN195" s="1807">
        <f t="shared" si="2787"/>
        <v>0</v>
      </c>
      <c r="AO195" s="1807">
        <f t="shared" si="2788"/>
        <v>0</v>
      </c>
      <c r="AP195" s="1806">
        <f t="shared" si="2789"/>
        <v>0</v>
      </c>
      <c r="AQ195" s="1791">
        <f t="shared" si="2790"/>
        <v>0</v>
      </c>
      <c r="AR195" s="1808">
        <f t="shared" si="2791"/>
        <v>0</v>
      </c>
      <c r="AS195" s="1807">
        <f t="shared" si="2792"/>
        <v>0</v>
      </c>
      <c r="AT195" s="1807">
        <f t="shared" si="2793"/>
        <v>0</v>
      </c>
      <c r="AU195" s="1806">
        <f t="shared" si="2794"/>
        <v>0</v>
      </c>
      <c r="AV195" s="1791">
        <f t="shared" si="2795"/>
        <v>0</v>
      </c>
      <c r="AW195" s="1808">
        <f t="shared" si="2796"/>
        <v>0</v>
      </c>
      <c r="AX195" s="1807">
        <f t="shared" si="2797"/>
        <v>0</v>
      </c>
      <c r="AY195" s="1807">
        <f t="shared" si="2798"/>
        <v>0</v>
      </c>
      <c r="AZ195" s="1806">
        <f t="shared" si="2799"/>
        <v>0</v>
      </c>
      <c r="BA195" s="1791">
        <f t="shared" si="2800"/>
        <v>0</v>
      </c>
      <c r="BB195" s="1808">
        <f t="shared" si="2801"/>
        <v>0</v>
      </c>
      <c r="BC195" s="1807">
        <f t="shared" si="2802"/>
        <v>0</v>
      </c>
      <c r="BD195" s="1807">
        <f t="shared" si="2803"/>
        <v>0</v>
      </c>
      <c r="BE195" s="1806">
        <f t="shared" si="2804"/>
        <v>0</v>
      </c>
      <c r="BF195" s="1791">
        <f t="shared" si="2805"/>
        <v>0</v>
      </c>
      <c r="BG195" s="1808">
        <f t="shared" si="2806"/>
        <v>0</v>
      </c>
      <c r="BH195" s="1807">
        <f t="shared" si="2807"/>
        <v>0</v>
      </c>
      <c r="BI195" s="1807">
        <f t="shared" si="2808"/>
        <v>0</v>
      </c>
      <c r="BJ195" s="1806">
        <f t="shared" si="2809"/>
        <v>0</v>
      </c>
      <c r="BK195" s="1791">
        <f t="shared" si="2810"/>
        <v>0</v>
      </c>
      <c r="BL195" s="1808">
        <f t="shared" si="2811"/>
        <v>0</v>
      </c>
      <c r="BM195" s="1807">
        <f t="shared" si="2812"/>
        <v>0</v>
      </c>
      <c r="BN195" s="1807">
        <f t="shared" si="2813"/>
        <v>0</v>
      </c>
      <c r="BO195" s="1806">
        <f t="shared" si="2814"/>
        <v>0</v>
      </c>
      <c r="BP195" s="1791">
        <f t="shared" si="2815"/>
        <v>0</v>
      </c>
      <c r="BQ195" s="1809"/>
      <c r="BR195" s="1791">
        <f t="shared" si="2816"/>
        <v>0</v>
      </c>
      <c r="BS195" s="1791">
        <f t="shared" si="2816"/>
        <v>0</v>
      </c>
      <c r="BT195" s="1808">
        <f t="shared" si="2817"/>
        <v>0</v>
      </c>
      <c r="BU195" s="1807">
        <f t="shared" si="2818"/>
        <v>0</v>
      </c>
      <c r="BV195" s="1807">
        <f t="shared" si="2819"/>
        <v>0</v>
      </c>
      <c r="BW195" s="1806">
        <f t="shared" si="2820"/>
        <v>0</v>
      </c>
      <c r="BX195" s="1791">
        <f t="shared" si="2821"/>
        <v>0</v>
      </c>
      <c r="BY195" s="1808">
        <f t="shared" si="2822"/>
        <v>0</v>
      </c>
      <c r="BZ195" s="1807">
        <f t="shared" si="2823"/>
        <v>0</v>
      </c>
      <c r="CA195" s="1807">
        <f t="shared" si="2824"/>
        <v>0</v>
      </c>
      <c r="CB195" s="1806">
        <f t="shared" si="2825"/>
        <v>0</v>
      </c>
      <c r="CC195" s="1791">
        <f t="shared" si="2826"/>
        <v>0</v>
      </c>
      <c r="CD195" s="1808">
        <f t="shared" si="2827"/>
        <v>0</v>
      </c>
      <c r="CE195" s="1807">
        <f t="shared" si="2828"/>
        <v>0</v>
      </c>
      <c r="CF195" s="1807">
        <f t="shared" si="2829"/>
        <v>0</v>
      </c>
      <c r="CG195" s="1806">
        <f t="shared" si="2830"/>
        <v>0</v>
      </c>
      <c r="CH195" s="1791">
        <f t="shared" si="2831"/>
        <v>0</v>
      </c>
      <c r="CI195" s="1808">
        <f t="shared" si="2832"/>
        <v>0</v>
      </c>
      <c r="CJ195" s="1807">
        <f t="shared" si="2833"/>
        <v>0</v>
      </c>
      <c r="CK195" s="1807">
        <f t="shared" si="2834"/>
        <v>0</v>
      </c>
      <c r="CL195" s="1806">
        <f t="shared" si="2835"/>
        <v>0</v>
      </c>
      <c r="CM195" s="1791">
        <f t="shared" si="2836"/>
        <v>0</v>
      </c>
      <c r="CN195" s="1808">
        <f t="shared" si="2837"/>
        <v>0</v>
      </c>
      <c r="CO195" s="1807">
        <f t="shared" si="2838"/>
        <v>0</v>
      </c>
      <c r="CP195" s="1807">
        <f t="shared" si="2839"/>
        <v>0</v>
      </c>
      <c r="CQ195" s="1806">
        <f t="shared" si="2840"/>
        <v>0</v>
      </c>
      <c r="CR195" s="1791">
        <f t="shared" si="2841"/>
        <v>0</v>
      </c>
      <c r="CS195" s="1808">
        <f t="shared" si="2842"/>
        <v>0</v>
      </c>
      <c r="CT195" s="1807">
        <f t="shared" si="2843"/>
        <v>0</v>
      </c>
      <c r="CU195" s="1807">
        <f t="shared" si="2844"/>
        <v>0</v>
      </c>
      <c r="CV195" s="1806">
        <f t="shared" si="2845"/>
        <v>0</v>
      </c>
      <c r="CW195" s="1791">
        <f t="shared" si="2846"/>
        <v>0</v>
      </c>
      <c r="CX195" s="1808">
        <f t="shared" si="2847"/>
        <v>0</v>
      </c>
      <c r="CY195" s="1807">
        <f t="shared" si="2848"/>
        <v>0</v>
      </c>
      <c r="CZ195" s="1807">
        <f t="shared" si="2849"/>
        <v>0</v>
      </c>
      <c r="DA195" s="1806">
        <f t="shared" si="2850"/>
        <v>0</v>
      </c>
      <c r="DB195" s="1791">
        <f t="shared" si="2851"/>
        <v>0</v>
      </c>
      <c r="DC195" s="1808">
        <f t="shared" si="2852"/>
        <v>0</v>
      </c>
      <c r="DD195" s="1807">
        <f t="shared" si="2853"/>
        <v>0</v>
      </c>
      <c r="DE195" s="1807">
        <f t="shared" si="2854"/>
        <v>0</v>
      </c>
      <c r="DF195" s="1806">
        <f t="shared" si="2855"/>
        <v>0</v>
      </c>
      <c r="DG195" s="1791">
        <f t="shared" si="2856"/>
        <v>0</v>
      </c>
      <c r="DH195" s="1808">
        <f t="shared" si="2857"/>
        <v>0</v>
      </c>
      <c r="DI195" s="1807">
        <f t="shared" si="2858"/>
        <v>0</v>
      </c>
      <c r="DJ195" s="1807">
        <f t="shared" si="2859"/>
        <v>0</v>
      </c>
      <c r="DK195" s="1806">
        <f t="shared" si="2860"/>
        <v>0</v>
      </c>
      <c r="DL195" s="1791">
        <f t="shared" si="2861"/>
        <v>0</v>
      </c>
      <c r="DM195" s="1808">
        <f t="shared" si="2862"/>
        <v>0</v>
      </c>
      <c r="DN195" s="1807">
        <f t="shared" si="2863"/>
        <v>0</v>
      </c>
      <c r="DO195" s="1807">
        <f t="shared" si="2864"/>
        <v>0</v>
      </c>
      <c r="DP195" s="1806">
        <f t="shared" si="2865"/>
        <v>0</v>
      </c>
      <c r="DQ195" s="1791">
        <f t="shared" si="2866"/>
        <v>0</v>
      </c>
      <c r="DR195" s="1808">
        <f t="shared" si="2867"/>
        <v>0</v>
      </c>
      <c r="DS195" s="1807">
        <f t="shared" si="2868"/>
        <v>0</v>
      </c>
      <c r="DT195" s="1807">
        <f t="shared" si="2869"/>
        <v>0</v>
      </c>
      <c r="DU195" s="1806">
        <f t="shared" si="2870"/>
        <v>0</v>
      </c>
      <c r="DV195" s="1791">
        <f t="shared" si="2871"/>
        <v>0</v>
      </c>
    </row>
    <row r="196" spans="1:127">
      <c r="A196" s="455"/>
      <c r="B196" s="455"/>
      <c r="C196" s="1678" t="s">
        <v>915</v>
      </c>
      <c r="D196" s="1815"/>
      <c r="E196" s="1814">
        <f>EWC!BL441</f>
        <v>0</v>
      </c>
      <c r="F196" s="475"/>
      <c r="G196" s="475"/>
      <c r="H196" s="1813">
        <v>2020</v>
      </c>
      <c r="I196" s="1812">
        <v>0.06</v>
      </c>
      <c r="J196" s="1811">
        <v>7</v>
      </c>
      <c r="K196" s="1792"/>
      <c r="L196" s="1810">
        <f t="shared" si="2760"/>
        <v>0</v>
      </c>
      <c r="M196" s="1791">
        <f t="shared" si="2760"/>
        <v>0</v>
      </c>
      <c r="N196" s="1808">
        <f t="shared" si="2761"/>
        <v>0</v>
      </c>
      <c r="O196" s="1807">
        <f t="shared" si="2762"/>
        <v>0</v>
      </c>
      <c r="P196" s="1807">
        <f t="shared" si="2763"/>
        <v>0</v>
      </c>
      <c r="Q196" s="1806">
        <f t="shared" si="2764"/>
        <v>0</v>
      </c>
      <c r="R196" s="1791">
        <f t="shared" si="2765"/>
        <v>0</v>
      </c>
      <c r="S196" s="1808">
        <f t="shared" si="2766"/>
        <v>0</v>
      </c>
      <c r="T196" s="1807">
        <f t="shared" si="2767"/>
        <v>0</v>
      </c>
      <c r="U196" s="1807">
        <f t="shared" si="2768"/>
        <v>0</v>
      </c>
      <c r="V196" s="1806">
        <f t="shared" si="2769"/>
        <v>0</v>
      </c>
      <c r="W196" s="1791">
        <f t="shared" si="2770"/>
        <v>0</v>
      </c>
      <c r="X196" s="1808">
        <f t="shared" si="2771"/>
        <v>0</v>
      </c>
      <c r="Y196" s="1807">
        <f t="shared" si="2772"/>
        <v>0</v>
      </c>
      <c r="Z196" s="1807">
        <f t="shared" si="2773"/>
        <v>0</v>
      </c>
      <c r="AA196" s="1806">
        <f t="shared" si="2774"/>
        <v>0</v>
      </c>
      <c r="AB196" s="1791">
        <f t="shared" si="2775"/>
        <v>0</v>
      </c>
      <c r="AC196" s="1808">
        <f t="shared" si="2776"/>
        <v>0</v>
      </c>
      <c r="AD196" s="1807">
        <f t="shared" si="2777"/>
        <v>0</v>
      </c>
      <c r="AE196" s="1807">
        <f t="shared" si="2778"/>
        <v>0</v>
      </c>
      <c r="AF196" s="1806">
        <f t="shared" si="2779"/>
        <v>0</v>
      </c>
      <c r="AG196" s="1791">
        <f t="shared" si="2780"/>
        <v>0</v>
      </c>
      <c r="AH196" s="1808">
        <f t="shared" si="2781"/>
        <v>0</v>
      </c>
      <c r="AI196" s="1807">
        <f t="shared" si="2782"/>
        <v>0</v>
      </c>
      <c r="AJ196" s="1807">
        <f t="shared" si="2783"/>
        <v>0</v>
      </c>
      <c r="AK196" s="1806">
        <f t="shared" si="2784"/>
        <v>0</v>
      </c>
      <c r="AL196" s="1791">
        <f t="shared" si="2785"/>
        <v>0</v>
      </c>
      <c r="AM196" s="1808">
        <f t="shared" si="2786"/>
        <v>0</v>
      </c>
      <c r="AN196" s="1807">
        <f t="shared" si="2787"/>
        <v>0</v>
      </c>
      <c r="AO196" s="1807">
        <f t="shared" si="2788"/>
        <v>0</v>
      </c>
      <c r="AP196" s="1806">
        <f t="shared" si="2789"/>
        <v>0</v>
      </c>
      <c r="AQ196" s="1791">
        <f t="shared" si="2790"/>
        <v>0</v>
      </c>
      <c r="AR196" s="1808">
        <f t="shared" si="2791"/>
        <v>0</v>
      </c>
      <c r="AS196" s="1807">
        <f t="shared" si="2792"/>
        <v>0</v>
      </c>
      <c r="AT196" s="1807">
        <f t="shared" si="2793"/>
        <v>0</v>
      </c>
      <c r="AU196" s="1806">
        <f t="shared" si="2794"/>
        <v>0</v>
      </c>
      <c r="AV196" s="1791">
        <f t="shared" si="2795"/>
        <v>0</v>
      </c>
      <c r="AW196" s="1808">
        <f t="shared" si="2796"/>
        <v>0</v>
      </c>
      <c r="AX196" s="1807">
        <f t="shared" si="2797"/>
        <v>0</v>
      </c>
      <c r="AY196" s="1807">
        <f t="shared" si="2798"/>
        <v>0</v>
      </c>
      <c r="AZ196" s="1806">
        <f t="shared" si="2799"/>
        <v>0</v>
      </c>
      <c r="BA196" s="1791">
        <f t="shared" si="2800"/>
        <v>0</v>
      </c>
      <c r="BB196" s="1808">
        <f t="shared" si="2801"/>
        <v>0</v>
      </c>
      <c r="BC196" s="1807">
        <f t="shared" si="2802"/>
        <v>0</v>
      </c>
      <c r="BD196" s="1807">
        <f t="shared" si="2803"/>
        <v>0</v>
      </c>
      <c r="BE196" s="1806">
        <f t="shared" si="2804"/>
        <v>0</v>
      </c>
      <c r="BF196" s="1791">
        <f t="shared" si="2805"/>
        <v>0</v>
      </c>
      <c r="BG196" s="1808">
        <f t="shared" si="2806"/>
        <v>0</v>
      </c>
      <c r="BH196" s="1807">
        <f t="shared" si="2807"/>
        <v>0</v>
      </c>
      <c r="BI196" s="1807">
        <f t="shared" si="2808"/>
        <v>0</v>
      </c>
      <c r="BJ196" s="1806">
        <f t="shared" si="2809"/>
        <v>0</v>
      </c>
      <c r="BK196" s="1791">
        <f t="shared" si="2810"/>
        <v>0</v>
      </c>
      <c r="BL196" s="1808">
        <f t="shared" si="2811"/>
        <v>0</v>
      </c>
      <c r="BM196" s="1807">
        <f t="shared" si="2812"/>
        <v>0</v>
      </c>
      <c r="BN196" s="1807">
        <f t="shared" si="2813"/>
        <v>0</v>
      </c>
      <c r="BO196" s="1806">
        <f t="shared" si="2814"/>
        <v>0</v>
      </c>
      <c r="BP196" s="1791">
        <f t="shared" si="2815"/>
        <v>0</v>
      </c>
      <c r="BQ196" s="1809"/>
      <c r="BR196" s="1791">
        <f t="shared" si="2816"/>
        <v>0</v>
      </c>
      <c r="BS196" s="1791">
        <f t="shared" si="2816"/>
        <v>0</v>
      </c>
      <c r="BT196" s="1808">
        <f t="shared" si="2817"/>
        <v>0</v>
      </c>
      <c r="BU196" s="1807">
        <f t="shared" si="2818"/>
        <v>0</v>
      </c>
      <c r="BV196" s="1807">
        <f t="shared" si="2819"/>
        <v>0</v>
      </c>
      <c r="BW196" s="1806">
        <f t="shared" si="2820"/>
        <v>0</v>
      </c>
      <c r="BX196" s="1791">
        <f t="shared" si="2821"/>
        <v>0</v>
      </c>
      <c r="BY196" s="1808">
        <f t="shared" si="2822"/>
        <v>0</v>
      </c>
      <c r="BZ196" s="1807">
        <f t="shared" si="2823"/>
        <v>0</v>
      </c>
      <c r="CA196" s="1807">
        <f t="shared" si="2824"/>
        <v>0</v>
      </c>
      <c r="CB196" s="1806">
        <f t="shared" si="2825"/>
        <v>0</v>
      </c>
      <c r="CC196" s="1791">
        <f t="shared" si="2826"/>
        <v>0</v>
      </c>
      <c r="CD196" s="1808">
        <f t="shared" si="2827"/>
        <v>0</v>
      </c>
      <c r="CE196" s="1807">
        <f t="shared" si="2828"/>
        <v>0</v>
      </c>
      <c r="CF196" s="1807">
        <f t="shared" si="2829"/>
        <v>0</v>
      </c>
      <c r="CG196" s="1806">
        <f t="shared" si="2830"/>
        <v>0</v>
      </c>
      <c r="CH196" s="1791">
        <f t="shared" si="2831"/>
        <v>0</v>
      </c>
      <c r="CI196" s="1808">
        <f t="shared" si="2832"/>
        <v>0</v>
      </c>
      <c r="CJ196" s="1807">
        <f t="shared" si="2833"/>
        <v>0</v>
      </c>
      <c r="CK196" s="1807">
        <f t="shared" si="2834"/>
        <v>0</v>
      </c>
      <c r="CL196" s="1806">
        <f t="shared" si="2835"/>
        <v>0</v>
      </c>
      <c r="CM196" s="1791">
        <f t="shared" si="2836"/>
        <v>0</v>
      </c>
      <c r="CN196" s="1808">
        <f t="shared" si="2837"/>
        <v>0</v>
      </c>
      <c r="CO196" s="1807">
        <f t="shared" si="2838"/>
        <v>0</v>
      </c>
      <c r="CP196" s="1807">
        <f t="shared" si="2839"/>
        <v>0</v>
      </c>
      <c r="CQ196" s="1806">
        <f t="shared" si="2840"/>
        <v>0</v>
      </c>
      <c r="CR196" s="1791">
        <f t="shared" si="2841"/>
        <v>0</v>
      </c>
      <c r="CS196" s="1808">
        <f t="shared" si="2842"/>
        <v>0</v>
      </c>
      <c r="CT196" s="1807">
        <f t="shared" si="2843"/>
        <v>0</v>
      </c>
      <c r="CU196" s="1807">
        <f t="shared" si="2844"/>
        <v>0</v>
      </c>
      <c r="CV196" s="1806">
        <f t="shared" si="2845"/>
        <v>0</v>
      </c>
      <c r="CW196" s="1791">
        <f t="shared" si="2846"/>
        <v>0</v>
      </c>
      <c r="CX196" s="1808">
        <f t="shared" si="2847"/>
        <v>0</v>
      </c>
      <c r="CY196" s="1807">
        <f t="shared" si="2848"/>
        <v>0</v>
      </c>
      <c r="CZ196" s="1807">
        <f t="shared" si="2849"/>
        <v>0</v>
      </c>
      <c r="DA196" s="1806">
        <f t="shared" si="2850"/>
        <v>0</v>
      </c>
      <c r="DB196" s="1791">
        <f t="shared" si="2851"/>
        <v>0</v>
      </c>
      <c r="DC196" s="1808">
        <f t="shared" si="2852"/>
        <v>0</v>
      </c>
      <c r="DD196" s="1807">
        <f t="shared" si="2853"/>
        <v>0</v>
      </c>
      <c r="DE196" s="1807">
        <f t="shared" si="2854"/>
        <v>0</v>
      </c>
      <c r="DF196" s="1806">
        <f t="shared" si="2855"/>
        <v>0</v>
      </c>
      <c r="DG196" s="1791">
        <f t="shared" si="2856"/>
        <v>0</v>
      </c>
      <c r="DH196" s="1808">
        <f t="shared" si="2857"/>
        <v>0</v>
      </c>
      <c r="DI196" s="1807">
        <f t="shared" si="2858"/>
        <v>0</v>
      </c>
      <c r="DJ196" s="1807">
        <f t="shared" si="2859"/>
        <v>0</v>
      </c>
      <c r="DK196" s="1806">
        <f t="shared" si="2860"/>
        <v>0</v>
      </c>
      <c r="DL196" s="1791">
        <f t="shared" si="2861"/>
        <v>0</v>
      </c>
      <c r="DM196" s="1808">
        <f t="shared" si="2862"/>
        <v>0</v>
      </c>
      <c r="DN196" s="1807">
        <f t="shared" si="2863"/>
        <v>0</v>
      </c>
      <c r="DO196" s="1807">
        <f t="shared" si="2864"/>
        <v>0</v>
      </c>
      <c r="DP196" s="1806">
        <f t="shared" si="2865"/>
        <v>0</v>
      </c>
      <c r="DQ196" s="1791">
        <f t="shared" si="2866"/>
        <v>0</v>
      </c>
      <c r="DR196" s="1808">
        <f t="shared" si="2867"/>
        <v>0</v>
      </c>
      <c r="DS196" s="1807">
        <f t="shared" si="2868"/>
        <v>0</v>
      </c>
      <c r="DT196" s="1807">
        <f t="shared" si="2869"/>
        <v>0</v>
      </c>
      <c r="DU196" s="1806">
        <f t="shared" si="2870"/>
        <v>0</v>
      </c>
      <c r="DV196" s="1791">
        <f t="shared" si="2871"/>
        <v>0</v>
      </c>
    </row>
    <row r="197" spans="1:127">
      <c r="A197" s="455"/>
      <c r="B197" s="455"/>
      <c r="C197" s="1678" t="s">
        <v>999</v>
      </c>
      <c r="D197" s="1815"/>
      <c r="E197" s="1814">
        <f>EWC!BQ441</f>
        <v>0</v>
      </c>
      <c r="F197" s="475"/>
      <c r="G197" s="475"/>
      <c r="H197" s="1813">
        <v>2021</v>
      </c>
      <c r="I197" s="1812">
        <v>0.06</v>
      </c>
      <c r="J197" s="1811">
        <v>7</v>
      </c>
      <c r="K197" s="1792"/>
      <c r="L197" s="1810">
        <f t="shared" si="2760"/>
        <v>0</v>
      </c>
      <c r="M197" s="1791">
        <f t="shared" si="2760"/>
        <v>0</v>
      </c>
      <c r="N197" s="1808">
        <f t="shared" si="2761"/>
        <v>0</v>
      </c>
      <c r="O197" s="1807">
        <f t="shared" si="2762"/>
        <v>0</v>
      </c>
      <c r="P197" s="1807">
        <f t="shared" si="2763"/>
        <v>0</v>
      </c>
      <c r="Q197" s="1806">
        <f t="shared" si="2764"/>
        <v>0</v>
      </c>
      <c r="R197" s="1791">
        <f t="shared" si="2765"/>
        <v>0</v>
      </c>
      <c r="S197" s="1808">
        <f t="shared" si="2766"/>
        <v>0</v>
      </c>
      <c r="T197" s="1807">
        <f t="shared" si="2767"/>
        <v>0</v>
      </c>
      <c r="U197" s="1807">
        <f t="shared" si="2768"/>
        <v>0</v>
      </c>
      <c r="V197" s="1806">
        <f t="shared" si="2769"/>
        <v>0</v>
      </c>
      <c r="W197" s="1791">
        <f t="shared" si="2770"/>
        <v>0</v>
      </c>
      <c r="X197" s="1808">
        <f t="shared" si="2771"/>
        <v>0</v>
      </c>
      <c r="Y197" s="1807">
        <f t="shared" si="2772"/>
        <v>0</v>
      </c>
      <c r="Z197" s="1807">
        <f t="shared" si="2773"/>
        <v>0</v>
      </c>
      <c r="AA197" s="1806">
        <f t="shared" si="2774"/>
        <v>0</v>
      </c>
      <c r="AB197" s="1791">
        <f t="shared" si="2775"/>
        <v>0</v>
      </c>
      <c r="AC197" s="1808">
        <f t="shared" si="2776"/>
        <v>0</v>
      </c>
      <c r="AD197" s="1807">
        <f t="shared" si="2777"/>
        <v>0</v>
      </c>
      <c r="AE197" s="1807">
        <f t="shared" si="2778"/>
        <v>0</v>
      </c>
      <c r="AF197" s="1806">
        <f t="shared" si="2779"/>
        <v>0</v>
      </c>
      <c r="AG197" s="1791">
        <f t="shared" si="2780"/>
        <v>0</v>
      </c>
      <c r="AH197" s="1808">
        <f t="shared" si="2781"/>
        <v>0</v>
      </c>
      <c r="AI197" s="1807">
        <f t="shared" si="2782"/>
        <v>0</v>
      </c>
      <c r="AJ197" s="1807">
        <f t="shared" si="2783"/>
        <v>0</v>
      </c>
      <c r="AK197" s="1806">
        <f t="shared" si="2784"/>
        <v>0</v>
      </c>
      <c r="AL197" s="1791">
        <f t="shared" si="2785"/>
        <v>0</v>
      </c>
      <c r="AM197" s="1808">
        <f t="shared" si="2786"/>
        <v>0</v>
      </c>
      <c r="AN197" s="1807">
        <f t="shared" si="2787"/>
        <v>0</v>
      </c>
      <c r="AO197" s="1807">
        <f t="shared" si="2788"/>
        <v>0</v>
      </c>
      <c r="AP197" s="1806">
        <f t="shared" si="2789"/>
        <v>0</v>
      </c>
      <c r="AQ197" s="1791">
        <f t="shared" si="2790"/>
        <v>0</v>
      </c>
      <c r="AR197" s="1808">
        <f t="shared" si="2791"/>
        <v>0</v>
      </c>
      <c r="AS197" s="1807">
        <f t="shared" si="2792"/>
        <v>0</v>
      </c>
      <c r="AT197" s="1807">
        <f t="shared" si="2793"/>
        <v>0</v>
      </c>
      <c r="AU197" s="1806">
        <f t="shared" si="2794"/>
        <v>0</v>
      </c>
      <c r="AV197" s="1791">
        <f t="shared" si="2795"/>
        <v>0</v>
      </c>
      <c r="AW197" s="1808">
        <f t="shared" si="2796"/>
        <v>0</v>
      </c>
      <c r="AX197" s="1807">
        <f t="shared" si="2797"/>
        <v>0</v>
      </c>
      <c r="AY197" s="1807">
        <f t="shared" si="2798"/>
        <v>0</v>
      </c>
      <c r="AZ197" s="1806">
        <f t="shared" si="2799"/>
        <v>0</v>
      </c>
      <c r="BA197" s="1791">
        <f t="shared" si="2800"/>
        <v>0</v>
      </c>
      <c r="BB197" s="1808">
        <f t="shared" si="2801"/>
        <v>0</v>
      </c>
      <c r="BC197" s="1807">
        <f t="shared" si="2802"/>
        <v>0</v>
      </c>
      <c r="BD197" s="1807">
        <f t="shared" si="2803"/>
        <v>0</v>
      </c>
      <c r="BE197" s="1806">
        <f t="shared" si="2804"/>
        <v>0</v>
      </c>
      <c r="BF197" s="1791">
        <f t="shared" si="2805"/>
        <v>0</v>
      </c>
      <c r="BG197" s="1808">
        <f t="shared" si="2806"/>
        <v>0</v>
      </c>
      <c r="BH197" s="1807">
        <f t="shared" si="2807"/>
        <v>0</v>
      </c>
      <c r="BI197" s="1807">
        <f t="shared" si="2808"/>
        <v>0</v>
      </c>
      <c r="BJ197" s="1806">
        <f t="shared" si="2809"/>
        <v>0</v>
      </c>
      <c r="BK197" s="1791">
        <f t="shared" si="2810"/>
        <v>0</v>
      </c>
      <c r="BL197" s="1808">
        <f t="shared" si="2811"/>
        <v>0</v>
      </c>
      <c r="BM197" s="1807">
        <f t="shared" si="2812"/>
        <v>0</v>
      </c>
      <c r="BN197" s="1807">
        <f t="shared" si="2813"/>
        <v>0</v>
      </c>
      <c r="BO197" s="1806">
        <f t="shared" si="2814"/>
        <v>0</v>
      </c>
      <c r="BP197" s="1791">
        <f t="shared" si="2815"/>
        <v>0</v>
      </c>
      <c r="BQ197" s="1809"/>
      <c r="BR197" s="1791">
        <f t="shared" ref="BR197" si="2872">IF(AND(BQ197&lt;&gt;0,BQ$5=$H197),$I197*$E197-BQ197,IF(BR$5=$H197,$I197*$E197*(12-$J197+1)/12,0))</f>
        <v>0</v>
      </c>
      <c r="BS197" s="1791">
        <f t="shared" ref="BS197" si="2873">IF(AND(BR197&lt;&gt;0,BR$5=$H197),$I197*$E197-BR197,IF(BS$5=$H197,$I197*$E197*(12-$J197+1)/12,0))</f>
        <v>0</v>
      </c>
      <c r="BT197" s="1808">
        <f t="shared" si="2817"/>
        <v>0</v>
      </c>
      <c r="BU197" s="1807">
        <f t="shared" si="2818"/>
        <v>0</v>
      </c>
      <c r="BV197" s="1807">
        <f t="shared" si="2819"/>
        <v>0</v>
      </c>
      <c r="BW197" s="1806">
        <f t="shared" si="2820"/>
        <v>0</v>
      </c>
      <c r="BX197" s="1791">
        <f t="shared" si="2821"/>
        <v>0</v>
      </c>
      <c r="BY197" s="1808">
        <f t="shared" si="2822"/>
        <v>0</v>
      </c>
      <c r="BZ197" s="1807">
        <f t="shared" si="2823"/>
        <v>0</v>
      </c>
      <c r="CA197" s="1807">
        <f t="shared" si="2824"/>
        <v>0</v>
      </c>
      <c r="CB197" s="1806">
        <f t="shared" si="2825"/>
        <v>0</v>
      </c>
      <c r="CC197" s="1791">
        <f t="shared" si="2826"/>
        <v>0</v>
      </c>
      <c r="CD197" s="1808">
        <f t="shared" si="2827"/>
        <v>0</v>
      </c>
      <c r="CE197" s="1807">
        <f t="shared" si="2828"/>
        <v>0</v>
      </c>
      <c r="CF197" s="1807">
        <f t="shared" si="2829"/>
        <v>0</v>
      </c>
      <c r="CG197" s="1806">
        <f t="shared" si="2830"/>
        <v>0</v>
      </c>
      <c r="CH197" s="1791">
        <f t="shared" si="2831"/>
        <v>0</v>
      </c>
      <c r="CI197" s="1808">
        <f t="shared" si="2832"/>
        <v>0</v>
      </c>
      <c r="CJ197" s="1807">
        <f t="shared" si="2833"/>
        <v>0</v>
      </c>
      <c r="CK197" s="1807">
        <f t="shared" si="2834"/>
        <v>0</v>
      </c>
      <c r="CL197" s="1806">
        <f t="shared" si="2835"/>
        <v>0</v>
      </c>
      <c r="CM197" s="1791">
        <f t="shared" si="2836"/>
        <v>0</v>
      </c>
      <c r="CN197" s="1808">
        <f t="shared" si="2837"/>
        <v>0</v>
      </c>
      <c r="CO197" s="1807">
        <f t="shared" si="2838"/>
        <v>0</v>
      </c>
      <c r="CP197" s="1807">
        <f t="shared" si="2839"/>
        <v>0</v>
      </c>
      <c r="CQ197" s="1806">
        <f t="shared" si="2840"/>
        <v>0</v>
      </c>
      <c r="CR197" s="1791">
        <f t="shared" si="2841"/>
        <v>0</v>
      </c>
      <c r="CS197" s="1808">
        <f t="shared" si="2842"/>
        <v>0</v>
      </c>
      <c r="CT197" s="1807">
        <f t="shared" si="2843"/>
        <v>0</v>
      </c>
      <c r="CU197" s="1807">
        <f t="shared" si="2844"/>
        <v>0</v>
      </c>
      <c r="CV197" s="1806">
        <f t="shared" si="2845"/>
        <v>0</v>
      </c>
      <c r="CW197" s="1791">
        <f t="shared" si="2846"/>
        <v>0</v>
      </c>
      <c r="CX197" s="1808">
        <f t="shared" si="2847"/>
        <v>0</v>
      </c>
      <c r="CY197" s="1807">
        <f t="shared" si="2848"/>
        <v>0</v>
      </c>
      <c r="CZ197" s="1807">
        <f t="shared" si="2849"/>
        <v>0</v>
      </c>
      <c r="DA197" s="1806">
        <f t="shared" si="2850"/>
        <v>0</v>
      </c>
      <c r="DB197" s="1791">
        <f t="shared" si="2851"/>
        <v>0</v>
      </c>
      <c r="DC197" s="1808">
        <f t="shared" si="2852"/>
        <v>0</v>
      </c>
      <c r="DD197" s="1807">
        <f t="shared" si="2853"/>
        <v>0</v>
      </c>
      <c r="DE197" s="1807">
        <f t="shared" si="2854"/>
        <v>0</v>
      </c>
      <c r="DF197" s="1806">
        <f t="shared" si="2855"/>
        <v>0</v>
      </c>
      <c r="DG197" s="1791">
        <f t="shared" si="2856"/>
        <v>0</v>
      </c>
      <c r="DH197" s="1808">
        <f t="shared" si="2857"/>
        <v>0</v>
      </c>
      <c r="DI197" s="1807">
        <f t="shared" si="2858"/>
        <v>0</v>
      </c>
      <c r="DJ197" s="1807">
        <f t="shared" si="2859"/>
        <v>0</v>
      </c>
      <c r="DK197" s="1806">
        <f t="shared" si="2860"/>
        <v>0</v>
      </c>
      <c r="DL197" s="1791">
        <f t="shared" si="2861"/>
        <v>0</v>
      </c>
      <c r="DM197" s="1808">
        <f t="shared" si="2862"/>
        <v>0</v>
      </c>
      <c r="DN197" s="1807">
        <f t="shared" si="2863"/>
        <v>0</v>
      </c>
      <c r="DO197" s="1807">
        <f t="shared" si="2864"/>
        <v>0</v>
      </c>
      <c r="DP197" s="1806">
        <f t="shared" si="2865"/>
        <v>0</v>
      </c>
      <c r="DQ197" s="1791">
        <f t="shared" si="2866"/>
        <v>0</v>
      </c>
      <c r="DR197" s="1808">
        <f t="shared" si="2867"/>
        <v>0</v>
      </c>
      <c r="DS197" s="1807">
        <f t="shared" si="2868"/>
        <v>0</v>
      </c>
      <c r="DT197" s="1807">
        <f t="shared" si="2869"/>
        <v>0</v>
      </c>
      <c r="DU197" s="1806">
        <f t="shared" si="2870"/>
        <v>0</v>
      </c>
      <c r="DV197" s="1791">
        <f t="shared" si="2871"/>
        <v>0</v>
      </c>
    </row>
    <row r="198" spans="1:127">
      <c r="A198" s="455"/>
      <c r="B198" s="455"/>
      <c r="C198" s="1805"/>
      <c r="D198" s="470"/>
      <c r="E198" s="1804"/>
      <c r="F198" s="1803"/>
      <c r="G198" s="1803"/>
      <c r="H198" s="1352"/>
      <c r="I198" s="1336"/>
      <c r="J198" s="471"/>
      <c r="K198" s="79"/>
      <c r="L198" s="80"/>
      <c r="M198" s="80"/>
      <c r="N198" s="1802"/>
      <c r="O198" s="1801"/>
      <c r="P198" s="1801"/>
      <c r="Q198" s="1800"/>
      <c r="R198" s="80"/>
      <c r="S198" s="1802"/>
      <c r="T198" s="1801"/>
      <c r="U198" s="1801"/>
      <c r="V198" s="1800"/>
      <c r="W198" s="80"/>
      <c r="X198" s="1802"/>
      <c r="Y198" s="1801"/>
      <c r="Z198" s="1801"/>
      <c r="AA198" s="1800"/>
      <c r="AB198" s="80"/>
      <c r="AC198" s="1802"/>
      <c r="AD198" s="1801"/>
      <c r="AE198" s="1801"/>
      <c r="AF198" s="1800"/>
      <c r="AG198" s="80"/>
      <c r="AH198" s="1802"/>
      <c r="AI198" s="1801"/>
      <c r="AJ198" s="1801"/>
      <c r="AK198" s="1800"/>
      <c r="AL198" s="80"/>
      <c r="AM198" s="1802"/>
      <c r="AN198" s="1801"/>
      <c r="AO198" s="1801"/>
      <c r="AP198" s="1800"/>
      <c r="AQ198" s="80"/>
      <c r="AR198" s="1802"/>
      <c r="AS198" s="1801"/>
      <c r="AT198" s="1801"/>
      <c r="AU198" s="1800"/>
      <c r="AV198" s="80"/>
      <c r="AW198" s="1802"/>
      <c r="AX198" s="1801"/>
      <c r="AY198" s="1801"/>
      <c r="AZ198" s="1800"/>
      <c r="BA198" s="80"/>
      <c r="BB198" s="1802"/>
      <c r="BC198" s="1801"/>
      <c r="BD198" s="1801"/>
      <c r="BE198" s="1800"/>
      <c r="BF198" s="80"/>
      <c r="BG198" s="1802"/>
      <c r="BH198" s="1801"/>
      <c r="BI198" s="1801"/>
      <c r="BJ198" s="1800"/>
      <c r="BK198" s="80"/>
      <c r="BL198" s="1802"/>
      <c r="BM198" s="1801"/>
      <c r="BN198" s="1801"/>
      <c r="BO198" s="1800"/>
      <c r="BP198" s="80"/>
      <c r="BQ198" s="472"/>
      <c r="BR198" s="1799"/>
      <c r="BS198" s="1799"/>
      <c r="BT198" s="1802"/>
      <c r="BU198" s="1801"/>
      <c r="BV198" s="1801"/>
      <c r="BW198" s="1800"/>
      <c r="BX198" s="1799"/>
      <c r="BY198" s="1802"/>
      <c r="BZ198" s="1801"/>
      <c r="CA198" s="1801"/>
      <c r="CB198" s="1800"/>
      <c r="CC198" s="1799"/>
      <c r="CD198" s="1802"/>
      <c r="CE198" s="1801"/>
      <c r="CF198" s="1801"/>
      <c r="CG198" s="1800"/>
      <c r="CH198" s="1799"/>
      <c r="CI198" s="1802"/>
      <c r="CJ198" s="1801"/>
      <c r="CK198" s="1801"/>
      <c r="CL198" s="1800"/>
      <c r="CM198" s="1799"/>
      <c r="CN198" s="1802"/>
      <c r="CO198" s="1801"/>
      <c r="CP198" s="1801"/>
      <c r="CQ198" s="1800"/>
      <c r="CR198" s="1799"/>
      <c r="CS198" s="1802"/>
      <c r="CT198" s="1801"/>
      <c r="CU198" s="1801"/>
      <c r="CV198" s="1800"/>
      <c r="CW198" s="1799"/>
      <c r="CX198" s="1802"/>
      <c r="CY198" s="1801"/>
      <c r="CZ198" s="1801"/>
      <c r="DA198" s="1800"/>
      <c r="DB198" s="1799"/>
      <c r="DC198" s="1802"/>
      <c r="DD198" s="1801"/>
      <c r="DE198" s="1801"/>
      <c r="DF198" s="1800"/>
      <c r="DG198" s="1799"/>
      <c r="DH198" s="1802"/>
      <c r="DI198" s="1801"/>
      <c r="DJ198" s="1801"/>
      <c r="DK198" s="1800"/>
      <c r="DL198" s="1799"/>
      <c r="DM198" s="1802"/>
      <c r="DN198" s="1801"/>
      <c r="DO198" s="1801"/>
      <c r="DP198" s="1800"/>
      <c r="DQ198" s="1799"/>
      <c r="DR198" s="1802"/>
      <c r="DS198" s="1801"/>
      <c r="DT198" s="1801"/>
      <c r="DU198" s="1800"/>
      <c r="DV198" s="1799"/>
    </row>
    <row r="199" spans="1:127">
      <c r="A199" s="455"/>
      <c r="B199" s="455"/>
      <c r="C199" s="1359" t="s">
        <v>617</v>
      </c>
      <c r="D199" s="476"/>
      <c r="E199" s="461">
        <f>SUM(E194:E198)</f>
        <v>0</v>
      </c>
      <c r="F199" s="462">
        <f>SUM(F194:F198)</f>
        <v>0</v>
      </c>
      <c r="G199" s="462">
        <f>SUM(G194:G198)</f>
        <v>0</v>
      </c>
      <c r="H199" s="1348"/>
      <c r="I199" s="1333"/>
      <c r="J199" s="458"/>
      <c r="K199" s="81"/>
      <c r="L199" s="73">
        <f t="shared" ref="L199:AQ199" si="2874">SUM(L194:L198)</f>
        <v>0</v>
      </c>
      <c r="M199" s="73">
        <f t="shared" si="2874"/>
        <v>0</v>
      </c>
      <c r="N199" s="74">
        <f t="shared" si="2874"/>
        <v>0</v>
      </c>
      <c r="O199" s="75">
        <f t="shared" si="2874"/>
        <v>0</v>
      </c>
      <c r="P199" s="75">
        <f t="shared" si="2874"/>
        <v>0</v>
      </c>
      <c r="Q199" s="76">
        <f t="shared" si="2874"/>
        <v>0</v>
      </c>
      <c r="R199" s="73">
        <f t="shared" si="2874"/>
        <v>0</v>
      </c>
      <c r="S199" s="74">
        <f t="shared" si="2874"/>
        <v>0</v>
      </c>
      <c r="T199" s="75">
        <f t="shared" si="2874"/>
        <v>0</v>
      </c>
      <c r="U199" s="75">
        <f t="shared" si="2874"/>
        <v>0</v>
      </c>
      <c r="V199" s="76">
        <f t="shared" si="2874"/>
        <v>0</v>
      </c>
      <c r="W199" s="73">
        <f t="shared" si="2874"/>
        <v>0</v>
      </c>
      <c r="X199" s="74">
        <f t="shared" si="2874"/>
        <v>0</v>
      </c>
      <c r="Y199" s="75">
        <f t="shared" si="2874"/>
        <v>0</v>
      </c>
      <c r="Z199" s="75">
        <f t="shared" si="2874"/>
        <v>0</v>
      </c>
      <c r="AA199" s="76">
        <f t="shared" si="2874"/>
        <v>0</v>
      </c>
      <c r="AB199" s="73">
        <f t="shared" si="2874"/>
        <v>0</v>
      </c>
      <c r="AC199" s="74">
        <f t="shared" si="2874"/>
        <v>0</v>
      </c>
      <c r="AD199" s="75">
        <f t="shared" si="2874"/>
        <v>0</v>
      </c>
      <c r="AE199" s="75">
        <f t="shared" si="2874"/>
        <v>0</v>
      </c>
      <c r="AF199" s="76">
        <f t="shared" si="2874"/>
        <v>0</v>
      </c>
      <c r="AG199" s="73">
        <f t="shared" si="2874"/>
        <v>0</v>
      </c>
      <c r="AH199" s="74">
        <f t="shared" si="2874"/>
        <v>0</v>
      </c>
      <c r="AI199" s="75">
        <f t="shared" si="2874"/>
        <v>0</v>
      </c>
      <c r="AJ199" s="75">
        <f t="shared" si="2874"/>
        <v>0</v>
      </c>
      <c r="AK199" s="76">
        <f t="shared" si="2874"/>
        <v>0</v>
      </c>
      <c r="AL199" s="73">
        <f t="shared" si="2874"/>
        <v>0</v>
      </c>
      <c r="AM199" s="74">
        <f t="shared" si="2874"/>
        <v>0</v>
      </c>
      <c r="AN199" s="75">
        <f t="shared" si="2874"/>
        <v>0</v>
      </c>
      <c r="AO199" s="75">
        <f t="shared" si="2874"/>
        <v>0</v>
      </c>
      <c r="AP199" s="76">
        <f t="shared" si="2874"/>
        <v>0</v>
      </c>
      <c r="AQ199" s="73">
        <f t="shared" si="2874"/>
        <v>0</v>
      </c>
      <c r="AR199" s="74">
        <f t="shared" ref="AR199:BP199" si="2875">SUM(AR194:AR198)</f>
        <v>0</v>
      </c>
      <c r="AS199" s="75">
        <f t="shared" si="2875"/>
        <v>0</v>
      </c>
      <c r="AT199" s="75">
        <f t="shared" si="2875"/>
        <v>0</v>
      </c>
      <c r="AU199" s="76">
        <f t="shared" si="2875"/>
        <v>0</v>
      </c>
      <c r="AV199" s="73">
        <f t="shared" si="2875"/>
        <v>0</v>
      </c>
      <c r="AW199" s="74">
        <f t="shared" si="2875"/>
        <v>0</v>
      </c>
      <c r="AX199" s="75">
        <f t="shared" si="2875"/>
        <v>0</v>
      </c>
      <c r="AY199" s="75">
        <f t="shared" si="2875"/>
        <v>0</v>
      </c>
      <c r="AZ199" s="76">
        <f t="shared" si="2875"/>
        <v>0</v>
      </c>
      <c r="BA199" s="73">
        <f t="shared" si="2875"/>
        <v>0</v>
      </c>
      <c r="BB199" s="74">
        <f t="shared" si="2875"/>
        <v>0</v>
      </c>
      <c r="BC199" s="75">
        <f t="shared" si="2875"/>
        <v>0</v>
      </c>
      <c r="BD199" s="75">
        <f t="shared" si="2875"/>
        <v>0</v>
      </c>
      <c r="BE199" s="76">
        <f t="shared" si="2875"/>
        <v>0</v>
      </c>
      <c r="BF199" s="73">
        <f t="shared" si="2875"/>
        <v>0</v>
      </c>
      <c r="BG199" s="74">
        <f t="shared" si="2875"/>
        <v>0</v>
      </c>
      <c r="BH199" s="75">
        <f t="shared" si="2875"/>
        <v>0</v>
      </c>
      <c r="BI199" s="75">
        <f t="shared" si="2875"/>
        <v>0</v>
      </c>
      <c r="BJ199" s="76">
        <f t="shared" si="2875"/>
        <v>0</v>
      </c>
      <c r="BK199" s="73">
        <f t="shared" si="2875"/>
        <v>0</v>
      </c>
      <c r="BL199" s="74">
        <f t="shared" si="2875"/>
        <v>0</v>
      </c>
      <c r="BM199" s="75">
        <f t="shared" si="2875"/>
        <v>0</v>
      </c>
      <c r="BN199" s="75">
        <f t="shared" si="2875"/>
        <v>0</v>
      </c>
      <c r="BO199" s="76">
        <f t="shared" si="2875"/>
        <v>0</v>
      </c>
      <c r="BP199" s="73">
        <f t="shared" si="2875"/>
        <v>0</v>
      </c>
      <c r="BQ199" s="464"/>
      <c r="BR199" s="73">
        <f t="shared" ref="BR199:CW199" si="2876">SUM(BR194:BR198)</f>
        <v>0</v>
      </c>
      <c r="BS199" s="73">
        <f t="shared" si="2876"/>
        <v>0</v>
      </c>
      <c r="BT199" s="74">
        <f t="shared" si="2876"/>
        <v>0</v>
      </c>
      <c r="BU199" s="75">
        <f t="shared" si="2876"/>
        <v>0</v>
      </c>
      <c r="BV199" s="75">
        <f t="shared" si="2876"/>
        <v>0</v>
      </c>
      <c r="BW199" s="76">
        <f t="shared" si="2876"/>
        <v>0</v>
      </c>
      <c r="BX199" s="73">
        <f t="shared" si="2876"/>
        <v>0</v>
      </c>
      <c r="BY199" s="74">
        <f t="shared" si="2876"/>
        <v>0</v>
      </c>
      <c r="BZ199" s="75">
        <f t="shared" si="2876"/>
        <v>0</v>
      </c>
      <c r="CA199" s="75">
        <f t="shared" si="2876"/>
        <v>0</v>
      </c>
      <c r="CB199" s="76">
        <f t="shared" si="2876"/>
        <v>0</v>
      </c>
      <c r="CC199" s="73">
        <f t="shared" si="2876"/>
        <v>0</v>
      </c>
      <c r="CD199" s="74">
        <f t="shared" si="2876"/>
        <v>0</v>
      </c>
      <c r="CE199" s="75">
        <f t="shared" si="2876"/>
        <v>0</v>
      </c>
      <c r="CF199" s="75">
        <f t="shared" si="2876"/>
        <v>0</v>
      </c>
      <c r="CG199" s="76">
        <f t="shared" si="2876"/>
        <v>0</v>
      </c>
      <c r="CH199" s="73">
        <f t="shared" si="2876"/>
        <v>0</v>
      </c>
      <c r="CI199" s="74">
        <f t="shared" si="2876"/>
        <v>0</v>
      </c>
      <c r="CJ199" s="75">
        <f t="shared" si="2876"/>
        <v>0</v>
      </c>
      <c r="CK199" s="75">
        <f t="shared" si="2876"/>
        <v>0</v>
      </c>
      <c r="CL199" s="76">
        <f t="shared" si="2876"/>
        <v>0</v>
      </c>
      <c r="CM199" s="73">
        <f t="shared" si="2876"/>
        <v>0</v>
      </c>
      <c r="CN199" s="74">
        <f t="shared" si="2876"/>
        <v>0</v>
      </c>
      <c r="CO199" s="75">
        <f t="shared" si="2876"/>
        <v>0</v>
      </c>
      <c r="CP199" s="75">
        <f t="shared" si="2876"/>
        <v>0</v>
      </c>
      <c r="CQ199" s="76">
        <f t="shared" si="2876"/>
        <v>0</v>
      </c>
      <c r="CR199" s="73">
        <f t="shared" si="2876"/>
        <v>0</v>
      </c>
      <c r="CS199" s="74">
        <f t="shared" si="2876"/>
        <v>0</v>
      </c>
      <c r="CT199" s="75">
        <f t="shared" si="2876"/>
        <v>0</v>
      </c>
      <c r="CU199" s="75">
        <f t="shared" si="2876"/>
        <v>0</v>
      </c>
      <c r="CV199" s="76">
        <f t="shared" si="2876"/>
        <v>0</v>
      </c>
      <c r="CW199" s="73">
        <f t="shared" si="2876"/>
        <v>0</v>
      </c>
      <c r="CX199" s="74">
        <f t="shared" ref="CX199:DV199" si="2877">SUM(CX194:CX198)</f>
        <v>0</v>
      </c>
      <c r="CY199" s="75">
        <f t="shared" si="2877"/>
        <v>0</v>
      </c>
      <c r="CZ199" s="75">
        <f t="shared" si="2877"/>
        <v>0</v>
      </c>
      <c r="DA199" s="76">
        <f t="shared" si="2877"/>
        <v>0</v>
      </c>
      <c r="DB199" s="73">
        <f t="shared" si="2877"/>
        <v>0</v>
      </c>
      <c r="DC199" s="74">
        <f t="shared" si="2877"/>
        <v>0</v>
      </c>
      <c r="DD199" s="75">
        <f t="shared" si="2877"/>
        <v>0</v>
      </c>
      <c r="DE199" s="75">
        <f t="shared" si="2877"/>
        <v>0</v>
      </c>
      <c r="DF199" s="76">
        <f t="shared" si="2877"/>
        <v>0</v>
      </c>
      <c r="DG199" s="73">
        <f t="shared" si="2877"/>
        <v>0</v>
      </c>
      <c r="DH199" s="74">
        <f t="shared" si="2877"/>
        <v>0</v>
      </c>
      <c r="DI199" s="75">
        <f t="shared" si="2877"/>
        <v>0</v>
      </c>
      <c r="DJ199" s="75">
        <f t="shared" si="2877"/>
        <v>0</v>
      </c>
      <c r="DK199" s="76">
        <f t="shared" si="2877"/>
        <v>0</v>
      </c>
      <c r="DL199" s="73">
        <f t="shared" si="2877"/>
        <v>0</v>
      </c>
      <c r="DM199" s="74">
        <f t="shared" si="2877"/>
        <v>0</v>
      </c>
      <c r="DN199" s="75">
        <f t="shared" si="2877"/>
        <v>0</v>
      </c>
      <c r="DO199" s="75">
        <f t="shared" si="2877"/>
        <v>0</v>
      </c>
      <c r="DP199" s="76">
        <f t="shared" si="2877"/>
        <v>0</v>
      </c>
      <c r="DQ199" s="73">
        <f t="shared" si="2877"/>
        <v>0</v>
      </c>
      <c r="DR199" s="74">
        <f t="shared" si="2877"/>
        <v>0</v>
      </c>
      <c r="DS199" s="75">
        <f t="shared" si="2877"/>
        <v>0</v>
      </c>
      <c r="DT199" s="75">
        <f t="shared" si="2877"/>
        <v>0</v>
      </c>
      <c r="DU199" s="76">
        <f t="shared" si="2877"/>
        <v>0</v>
      </c>
      <c r="DV199" s="73">
        <f t="shared" si="2877"/>
        <v>0</v>
      </c>
    </row>
    <row r="200" spans="1:127">
      <c r="A200" s="455"/>
      <c r="B200" s="8"/>
      <c r="C200" s="1798"/>
      <c r="D200" s="1797"/>
      <c r="E200" s="1796"/>
      <c r="F200" s="1795"/>
      <c r="G200" s="1795"/>
      <c r="H200" s="1667"/>
      <c r="I200" s="1794"/>
      <c r="J200" s="1793"/>
      <c r="K200" s="1792"/>
      <c r="L200" s="1791"/>
      <c r="M200" s="1791"/>
      <c r="N200" s="1789"/>
      <c r="O200" s="1788"/>
      <c r="P200" s="1788"/>
      <c r="Q200" s="1787"/>
      <c r="R200" s="1791"/>
      <c r="S200" s="1789"/>
      <c r="T200" s="1788"/>
      <c r="U200" s="1788"/>
      <c r="V200" s="1787"/>
      <c r="W200" s="1791"/>
      <c r="X200" s="1789"/>
      <c r="Y200" s="1788"/>
      <c r="Z200" s="1788"/>
      <c r="AA200" s="1787"/>
      <c r="AB200" s="1791"/>
      <c r="AC200" s="1789"/>
      <c r="AD200" s="1788"/>
      <c r="AE200" s="1788"/>
      <c r="AF200" s="1787"/>
      <c r="AG200" s="1791"/>
      <c r="AH200" s="1789"/>
      <c r="AI200" s="1788"/>
      <c r="AJ200" s="1788"/>
      <c r="AK200" s="1787"/>
      <c r="AL200" s="1791"/>
      <c r="AM200" s="1789"/>
      <c r="AN200" s="1788"/>
      <c r="AO200" s="1788"/>
      <c r="AP200" s="1787"/>
      <c r="AQ200" s="1791"/>
      <c r="AR200" s="1789"/>
      <c r="AS200" s="1788"/>
      <c r="AT200" s="1788"/>
      <c r="AU200" s="1787"/>
      <c r="AV200" s="1791"/>
      <c r="AW200" s="1789"/>
      <c r="AX200" s="1788"/>
      <c r="AY200" s="1788"/>
      <c r="AZ200" s="1787"/>
      <c r="BA200" s="1791"/>
      <c r="BB200" s="1789"/>
      <c r="BC200" s="1788"/>
      <c r="BD200" s="1788"/>
      <c r="BE200" s="1787"/>
      <c r="BF200" s="1791"/>
      <c r="BG200" s="1789"/>
      <c r="BH200" s="1788"/>
      <c r="BI200" s="1788"/>
      <c r="BJ200" s="1787"/>
      <c r="BK200" s="1791"/>
      <c r="BL200" s="1789"/>
      <c r="BM200" s="1788"/>
      <c r="BN200" s="1788"/>
      <c r="BO200" s="1787"/>
      <c r="BP200" s="1791"/>
      <c r="BQ200" s="1790"/>
      <c r="BR200" s="1786"/>
      <c r="BS200" s="1786"/>
      <c r="BT200" s="1789"/>
      <c r="BU200" s="1788"/>
      <c r="BV200" s="1788"/>
      <c r="BW200" s="1787"/>
      <c r="BX200" s="1786"/>
      <c r="BY200" s="1789"/>
      <c r="BZ200" s="1788"/>
      <c r="CA200" s="1788"/>
      <c r="CB200" s="1787"/>
      <c r="CC200" s="1786"/>
      <c r="CD200" s="1789"/>
      <c r="CE200" s="1788"/>
      <c r="CF200" s="1788"/>
      <c r="CG200" s="1787"/>
      <c r="CH200" s="1786"/>
      <c r="CI200" s="1789"/>
      <c r="CJ200" s="1788"/>
      <c r="CK200" s="1788"/>
      <c r="CL200" s="1787"/>
      <c r="CM200" s="1786"/>
      <c r="CN200" s="1789"/>
      <c r="CO200" s="1788"/>
      <c r="CP200" s="1788"/>
      <c r="CQ200" s="1787"/>
      <c r="CR200" s="1786"/>
      <c r="CS200" s="1789"/>
      <c r="CT200" s="1788"/>
      <c r="CU200" s="1788"/>
      <c r="CV200" s="1787"/>
      <c r="CW200" s="1786"/>
      <c r="CX200" s="1789"/>
      <c r="CY200" s="1788"/>
      <c r="CZ200" s="1788"/>
      <c r="DA200" s="1787"/>
      <c r="DB200" s="1786"/>
      <c r="DC200" s="1789"/>
      <c r="DD200" s="1788"/>
      <c r="DE200" s="1788"/>
      <c r="DF200" s="1787"/>
      <c r="DG200" s="1786"/>
      <c r="DH200" s="1789"/>
      <c r="DI200" s="1788"/>
      <c r="DJ200" s="1788"/>
      <c r="DK200" s="1787"/>
      <c r="DL200" s="1786"/>
      <c r="DM200" s="1789"/>
      <c r="DN200" s="1788"/>
      <c r="DO200" s="1788"/>
      <c r="DP200" s="1787"/>
      <c r="DQ200" s="1786"/>
      <c r="DR200" s="1789"/>
      <c r="DS200" s="1788"/>
      <c r="DT200" s="1788"/>
      <c r="DU200" s="1787"/>
      <c r="DV200" s="1786"/>
    </row>
    <row r="201" spans="1:127" ht="13.5" thickBot="1">
      <c r="A201" s="455"/>
      <c r="B201" s="1050"/>
      <c r="C201" s="1369" t="s">
        <v>130</v>
      </c>
      <c r="D201" s="1051"/>
      <c r="E201" s="1052"/>
      <c r="F201" s="1053"/>
      <c r="G201" s="1053"/>
      <c r="H201" s="1353"/>
      <c r="I201" s="1338"/>
      <c r="J201" s="1054"/>
      <c r="K201" s="1055"/>
      <c r="L201" s="1056">
        <f t="shared" ref="L201:AQ201" si="2878">+SUM(L199,L191)</f>
        <v>0</v>
      </c>
      <c r="M201" s="1056">
        <f t="shared" si="2878"/>
        <v>0</v>
      </c>
      <c r="N201" s="1057">
        <f t="shared" si="2878"/>
        <v>0</v>
      </c>
      <c r="O201" s="1058">
        <f t="shared" si="2878"/>
        <v>0</v>
      </c>
      <c r="P201" s="1058">
        <f t="shared" si="2878"/>
        <v>0</v>
      </c>
      <c r="Q201" s="1059">
        <f t="shared" si="2878"/>
        <v>0</v>
      </c>
      <c r="R201" s="1056">
        <f t="shared" si="2878"/>
        <v>0</v>
      </c>
      <c r="S201" s="1057">
        <f t="shared" si="2878"/>
        <v>0</v>
      </c>
      <c r="T201" s="1058">
        <f t="shared" si="2878"/>
        <v>0</v>
      </c>
      <c r="U201" s="1058">
        <f t="shared" si="2878"/>
        <v>0</v>
      </c>
      <c r="V201" s="1059">
        <f t="shared" si="2878"/>
        <v>0</v>
      </c>
      <c r="W201" s="1056">
        <f t="shared" si="2878"/>
        <v>0</v>
      </c>
      <c r="X201" s="1057">
        <f t="shared" si="2878"/>
        <v>0</v>
      </c>
      <c r="Y201" s="1058">
        <f t="shared" si="2878"/>
        <v>0</v>
      </c>
      <c r="Z201" s="1058">
        <f t="shared" si="2878"/>
        <v>0</v>
      </c>
      <c r="AA201" s="1059">
        <f t="shared" si="2878"/>
        <v>0</v>
      </c>
      <c r="AB201" s="1056">
        <f t="shared" si="2878"/>
        <v>0</v>
      </c>
      <c r="AC201" s="1057">
        <f t="shared" si="2878"/>
        <v>0</v>
      </c>
      <c r="AD201" s="1058">
        <f t="shared" si="2878"/>
        <v>0</v>
      </c>
      <c r="AE201" s="1058">
        <f t="shared" si="2878"/>
        <v>0</v>
      </c>
      <c r="AF201" s="1059">
        <f t="shared" si="2878"/>
        <v>0</v>
      </c>
      <c r="AG201" s="1056">
        <f t="shared" si="2878"/>
        <v>0</v>
      </c>
      <c r="AH201" s="1057">
        <f t="shared" si="2878"/>
        <v>0</v>
      </c>
      <c r="AI201" s="1058">
        <f t="shared" si="2878"/>
        <v>0</v>
      </c>
      <c r="AJ201" s="1058">
        <f t="shared" si="2878"/>
        <v>0</v>
      </c>
      <c r="AK201" s="1059">
        <f t="shared" si="2878"/>
        <v>0</v>
      </c>
      <c r="AL201" s="1056">
        <f t="shared" si="2878"/>
        <v>0</v>
      </c>
      <c r="AM201" s="1057">
        <f t="shared" si="2878"/>
        <v>0</v>
      </c>
      <c r="AN201" s="1058">
        <f t="shared" si="2878"/>
        <v>0</v>
      </c>
      <c r="AO201" s="1058">
        <f t="shared" si="2878"/>
        <v>0</v>
      </c>
      <c r="AP201" s="1059">
        <f t="shared" si="2878"/>
        <v>0</v>
      </c>
      <c r="AQ201" s="1056">
        <f t="shared" si="2878"/>
        <v>0</v>
      </c>
      <c r="AR201" s="1057">
        <f t="shared" ref="AR201:BP201" si="2879">+SUM(AR199,AR191)</f>
        <v>0</v>
      </c>
      <c r="AS201" s="1058">
        <f t="shared" si="2879"/>
        <v>0</v>
      </c>
      <c r="AT201" s="1058">
        <f t="shared" si="2879"/>
        <v>0</v>
      </c>
      <c r="AU201" s="1059">
        <f t="shared" si="2879"/>
        <v>0</v>
      </c>
      <c r="AV201" s="1056">
        <f t="shared" si="2879"/>
        <v>0</v>
      </c>
      <c r="AW201" s="1057">
        <f t="shared" si="2879"/>
        <v>0</v>
      </c>
      <c r="AX201" s="1058">
        <f t="shared" si="2879"/>
        <v>0</v>
      </c>
      <c r="AY201" s="1058">
        <f t="shared" si="2879"/>
        <v>0</v>
      </c>
      <c r="AZ201" s="1059">
        <f t="shared" si="2879"/>
        <v>0</v>
      </c>
      <c r="BA201" s="1056">
        <f t="shared" si="2879"/>
        <v>0</v>
      </c>
      <c r="BB201" s="1057">
        <f t="shared" si="2879"/>
        <v>0</v>
      </c>
      <c r="BC201" s="1058">
        <f t="shared" si="2879"/>
        <v>0</v>
      </c>
      <c r="BD201" s="1058">
        <f t="shared" si="2879"/>
        <v>0</v>
      </c>
      <c r="BE201" s="1059">
        <f t="shared" si="2879"/>
        <v>0</v>
      </c>
      <c r="BF201" s="1056">
        <f t="shared" si="2879"/>
        <v>0</v>
      </c>
      <c r="BG201" s="1057">
        <f t="shared" si="2879"/>
        <v>0</v>
      </c>
      <c r="BH201" s="1058">
        <f t="shared" si="2879"/>
        <v>0</v>
      </c>
      <c r="BI201" s="1058">
        <f t="shared" si="2879"/>
        <v>0</v>
      </c>
      <c r="BJ201" s="1059">
        <f t="shared" si="2879"/>
        <v>0</v>
      </c>
      <c r="BK201" s="1056">
        <f t="shared" si="2879"/>
        <v>0</v>
      </c>
      <c r="BL201" s="1057">
        <f t="shared" si="2879"/>
        <v>0</v>
      </c>
      <c r="BM201" s="1058">
        <f t="shared" si="2879"/>
        <v>0</v>
      </c>
      <c r="BN201" s="1058">
        <f t="shared" si="2879"/>
        <v>0</v>
      </c>
      <c r="BO201" s="1059">
        <f t="shared" si="2879"/>
        <v>0</v>
      </c>
      <c r="BP201" s="1056">
        <f t="shared" si="2879"/>
        <v>0</v>
      </c>
      <c r="BQ201" s="1060"/>
      <c r="BR201" s="1061">
        <f t="shared" ref="BR201:CW201" si="2880">+SUM(BR199,BR191)</f>
        <v>0</v>
      </c>
      <c r="BS201" s="1061">
        <f t="shared" si="2880"/>
        <v>0</v>
      </c>
      <c r="BT201" s="1057">
        <f t="shared" si="2880"/>
        <v>0</v>
      </c>
      <c r="BU201" s="1058">
        <f t="shared" si="2880"/>
        <v>0</v>
      </c>
      <c r="BV201" s="1058">
        <f t="shared" si="2880"/>
        <v>0</v>
      </c>
      <c r="BW201" s="1059">
        <f t="shared" si="2880"/>
        <v>0</v>
      </c>
      <c r="BX201" s="1061">
        <f t="shared" si="2880"/>
        <v>0</v>
      </c>
      <c r="BY201" s="1057">
        <f t="shared" si="2880"/>
        <v>0</v>
      </c>
      <c r="BZ201" s="1058">
        <f t="shared" si="2880"/>
        <v>0</v>
      </c>
      <c r="CA201" s="1058">
        <f t="shared" si="2880"/>
        <v>0</v>
      </c>
      <c r="CB201" s="1059">
        <f t="shared" si="2880"/>
        <v>0</v>
      </c>
      <c r="CC201" s="1061">
        <f t="shared" si="2880"/>
        <v>0</v>
      </c>
      <c r="CD201" s="1057">
        <f t="shared" si="2880"/>
        <v>0</v>
      </c>
      <c r="CE201" s="1058">
        <f t="shared" si="2880"/>
        <v>0</v>
      </c>
      <c r="CF201" s="1058">
        <f t="shared" si="2880"/>
        <v>0</v>
      </c>
      <c r="CG201" s="1059">
        <f t="shared" si="2880"/>
        <v>0</v>
      </c>
      <c r="CH201" s="1061">
        <f t="shared" si="2880"/>
        <v>0</v>
      </c>
      <c r="CI201" s="1057">
        <f t="shared" si="2880"/>
        <v>0</v>
      </c>
      <c r="CJ201" s="1058">
        <f t="shared" si="2880"/>
        <v>0</v>
      </c>
      <c r="CK201" s="1058">
        <f t="shared" si="2880"/>
        <v>0</v>
      </c>
      <c r="CL201" s="1059">
        <f t="shared" si="2880"/>
        <v>0</v>
      </c>
      <c r="CM201" s="1061">
        <f t="shared" si="2880"/>
        <v>0</v>
      </c>
      <c r="CN201" s="1057">
        <f t="shared" si="2880"/>
        <v>0</v>
      </c>
      <c r="CO201" s="1058">
        <f t="shared" si="2880"/>
        <v>0</v>
      </c>
      <c r="CP201" s="1058">
        <f t="shared" si="2880"/>
        <v>0</v>
      </c>
      <c r="CQ201" s="1059">
        <f t="shared" si="2880"/>
        <v>0</v>
      </c>
      <c r="CR201" s="1061">
        <f t="shared" si="2880"/>
        <v>0</v>
      </c>
      <c r="CS201" s="1057">
        <f t="shared" si="2880"/>
        <v>0</v>
      </c>
      <c r="CT201" s="1058">
        <f t="shared" si="2880"/>
        <v>0</v>
      </c>
      <c r="CU201" s="1058">
        <f t="shared" si="2880"/>
        <v>0</v>
      </c>
      <c r="CV201" s="1059">
        <f t="shared" si="2880"/>
        <v>0</v>
      </c>
      <c r="CW201" s="1061">
        <f t="shared" si="2880"/>
        <v>0</v>
      </c>
      <c r="CX201" s="1057">
        <f t="shared" ref="CX201:DV201" si="2881">+SUM(CX199,CX191)</f>
        <v>0</v>
      </c>
      <c r="CY201" s="1058">
        <f t="shared" si="2881"/>
        <v>0</v>
      </c>
      <c r="CZ201" s="1058">
        <f t="shared" si="2881"/>
        <v>0</v>
      </c>
      <c r="DA201" s="1059">
        <f t="shared" si="2881"/>
        <v>0</v>
      </c>
      <c r="DB201" s="1061">
        <f t="shared" si="2881"/>
        <v>0</v>
      </c>
      <c r="DC201" s="1057">
        <f t="shared" si="2881"/>
        <v>0</v>
      </c>
      <c r="DD201" s="1058">
        <f t="shared" si="2881"/>
        <v>0</v>
      </c>
      <c r="DE201" s="1058">
        <f t="shared" si="2881"/>
        <v>0</v>
      </c>
      <c r="DF201" s="1059">
        <f t="shared" si="2881"/>
        <v>0</v>
      </c>
      <c r="DG201" s="1061">
        <f t="shared" si="2881"/>
        <v>0</v>
      </c>
      <c r="DH201" s="1057">
        <f t="shared" si="2881"/>
        <v>0</v>
      </c>
      <c r="DI201" s="1058">
        <f t="shared" si="2881"/>
        <v>0</v>
      </c>
      <c r="DJ201" s="1058">
        <f t="shared" si="2881"/>
        <v>0</v>
      </c>
      <c r="DK201" s="1059">
        <f t="shared" si="2881"/>
        <v>0</v>
      </c>
      <c r="DL201" s="1061">
        <f t="shared" si="2881"/>
        <v>0</v>
      </c>
      <c r="DM201" s="1057">
        <f t="shared" si="2881"/>
        <v>0</v>
      </c>
      <c r="DN201" s="1058">
        <f t="shared" si="2881"/>
        <v>0</v>
      </c>
      <c r="DO201" s="1058">
        <f t="shared" si="2881"/>
        <v>0</v>
      </c>
      <c r="DP201" s="1059">
        <f t="shared" si="2881"/>
        <v>0</v>
      </c>
      <c r="DQ201" s="1061">
        <f t="shared" si="2881"/>
        <v>0</v>
      </c>
      <c r="DR201" s="1057">
        <f t="shared" si="2881"/>
        <v>0</v>
      </c>
      <c r="DS201" s="1058">
        <f t="shared" si="2881"/>
        <v>0</v>
      </c>
      <c r="DT201" s="1058">
        <f t="shared" si="2881"/>
        <v>0</v>
      </c>
      <c r="DU201" s="1059">
        <f t="shared" si="2881"/>
        <v>0</v>
      </c>
      <c r="DV201" s="1061">
        <f t="shared" si="2881"/>
        <v>0</v>
      </c>
      <c r="DW201" s="37"/>
    </row>
    <row r="202" spans="1:127">
      <c r="A202" s="455"/>
      <c r="C202" s="1204"/>
      <c r="F202" s="1593"/>
      <c r="G202" s="1593"/>
      <c r="H202" s="1902"/>
      <c r="I202" s="1902"/>
      <c r="J202" s="1902"/>
    </row>
    <row r="203" spans="1:127">
      <c r="A203" s="455"/>
      <c r="C203" s="1204"/>
      <c r="F203" s="1593"/>
      <c r="G203" s="1593"/>
      <c r="H203" s="1902"/>
      <c r="I203" s="1902"/>
      <c r="J203" s="1902"/>
    </row>
    <row r="204" spans="1:127">
      <c r="A204" s="455"/>
      <c r="C204" s="1204"/>
      <c r="F204" s="1593"/>
      <c r="G204" s="1593"/>
      <c r="H204" s="1902"/>
      <c r="I204" s="1902"/>
      <c r="J204" s="1902"/>
    </row>
    <row r="205" spans="1:127">
      <c r="F205" s="1593"/>
      <c r="G205" s="1593"/>
      <c r="H205" s="1593"/>
      <c r="I205" s="1593"/>
      <c r="J205" s="1593"/>
    </row>
    <row r="206" spans="1:127">
      <c r="F206" s="1593"/>
      <c r="G206" s="1593"/>
      <c r="H206" s="1593"/>
      <c r="I206" s="1593"/>
      <c r="J206" s="1593"/>
    </row>
    <row r="207" spans="1:127">
      <c r="F207" s="1593"/>
      <c r="G207" s="1593"/>
      <c r="H207" s="1593"/>
      <c r="I207" s="1593"/>
      <c r="J207" s="1593"/>
    </row>
    <row r="208" spans="1:127">
      <c r="F208" s="1593"/>
      <c r="G208" s="1593"/>
      <c r="H208" s="1593"/>
      <c r="I208" s="1593"/>
      <c r="J208" s="1593"/>
    </row>
    <row r="209" spans="6:10">
      <c r="F209" s="1593"/>
      <c r="G209" s="1593"/>
      <c r="H209" s="1593"/>
      <c r="I209" s="1593"/>
      <c r="J209" s="1593"/>
    </row>
    <row r="210" spans="6:10">
      <c r="F210" s="1593"/>
      <c r="G210" s="1593"/>
      <c r="H210" s="1593"/>
      <c r="I210" s="1593"/>
      <c r="J210" s="1593"/>
    </row>
    <row r="211" spans="6:10">
      <c r="F211" s="1593"/>
      <c r="G211" s="1593"/>
      <c r="H211" s="1593"/>
      <c r="I211" s="1593"/>
      <c r="J211" s="1593"/>
    </row>
    <row r="212" spans="6:10">
      <c r="F212" s="1593"/>
      <c r="G212" s="1593"/>
      <c r="H212" s="1593"/>
      <c r="I212" s="1593"/>
      <c r="J212" s="1593"/>
    </row>
    <row r="213" spans="6:10">
      <c r="F213" s="1593"/>
      <c r="G213" s="1593"/>
      <c r="H213" s="1593"/>
      <c r="I213" s="1593"/>
      <c r="J213" s="1593"/>
    </row>
    <row r="214" spans="6:10">
      <c r="F214" s="1593"/>
      <c r="G214" s="1593"/>
      <c r="H214" s="1593"/>
      <c r="I214" s="1593"/>
      <c r="J214" s="1593"/>
    </row>
    <row r="215" spans="6:10">
      <c r="F215" s="1593"/>
      <c r="G215" s="1593"/>
      <c r="H215" s="1593"/>
      <c r="I215" s="1593"/>
      <c r="J215" s="1593"/>
    </row>
    <row r="216" spans="6:10">
      <c r="F216" s="1593"/>
      <c r="G216" s="1593"/>
      <c r="H216" s="1593"/>
      <c r="I216" s="1593"/>
      <c r="J216" s="1593"/>
    </row>
    <row r="217" spans="6:10">
      <c r="F217" s="1593"/>
      <c r="G217" s="1593"/>
      <c r="H217" s="1593"/>
      <c r="I217" s="1593"/>
      <c r="J217" s="1593"/>
    </row>
    <row r="218" spans="6:10">
      <c r="F218" s="1593"/>
      <c r="G218" s="1593"/>
      <c r="H218" s="1593"/>
      <c r="I218" s="1593"/>
      <c r="J218" s="1593"/>
    </row>
    <row r="219" spans="6:10">
      <c r="F219" s="1593"/>
      <c r="G219" s="1593"/>
      <c r="H219" s="1593"/>
      <c r="I219" s="1593"/>
      <c r="J219" s="1593"/>
    </row>
    <row r="220" spans="6:10">
      <c r="F220" s="1593"/>
      <c r="G220" s="1593"/>
      <c r="H220" s="1593"/>
      <c r="I220" s="1593"/>
      <c r="J220" s="1593"/>
    </row>
    <row r="221" spans="6:10">
      <c r="F221" s="1593"/>
      <c r="G221" s="1593"/>
      <c r="H221" s="1593"/>
      <c r="I221" s="1593"/>
      <c r="J221" s="1593"/>
    </row>
    <row r="222" spans="6:10">
      <c r="F222" s="1593"/>
      <c r="G222" s="1593"/>
      <c r="H222" s="1593"/>
      <c r="I222" s="1593"/>
      <c r="J222" s="1593"/>
    </row>
    <row r="223" spans="6:10">
      <c r="F223" s="1593"/>
      <c r="G223" s="1593"/>
      <c r="H223" s="1593"/>
      <c r="I223" s="1593"/>
      <c r="J223" s="1593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autoPageBreaks="0"/>
  </sheetPr>
  <dimension ref="A1:CZ512"/>
  <sheetViews>
    <sheetView zoomScale="80" workbookViewId="0">
      <pane xSplit="6" ySplit="4" topLeftCell="S5" activePane="bottomRight" state="frozen"/>
      <selection activeCell="I6" sqref="I6"/>
      <selection pane="topRight" activeCell="I6" sqref="I6"/>
      <selection pane="bottomLeft" activeCell="I6" sqref="I6"/>
      <selection pane="bottomRight" activeCell="S5" sqref="S5"/>
    </sheetView>
  </sheetViews>
  <sheetFormatPr defaultRowHeight="12.75" outlineLevelCol="1"/>
  <cols>
    <col min="1" max="2" width="2.7109375" style="580" customWidth="1"/>
    <col min="3" max="3" width="52.140625" style="580" bestFit="1" customWidth="1"/>
    <col min="4" max="4" width="5.28515625" style="580" customWidth="1"/>
    <col min="5" max="5" width="2.7109375" style="580" customWidth="1"/>
    <col min="6" max="6" width="20" style="1458" bestFit="1" customWidth="1"/>
    <col min="7" max="10" width="9.28515625" style="732" hidden="1" customWidth="1" outlineLevel="1"/>
    <col min="11" max="18" width="8.7109375" style="580" hidden="1" customWidth="1" outlineLevel="1"/>
    <col min="19" max="19" width="8.7109375" style="580" customWidth="1" collapsed="1"/>
    <col min="20" max="57" width="8.7109375" style="580" customWidth="1"/>
    <col min="58" max="58" width="9" style="580" customWidth="1"/>
    <col min="59" max="69" width="9.140625" style="627"/>
    <col min="70" max="73" width="9.140625" style="580"/>
    <col min="74" max="74" width="23.140625" style="580" bestFit="1" customWidth="1"/>
    <col min="75" max="16384" width="9.140625" style="580"/>
  </cols>
  <sheetData>
    <row r="1" spans="1:78" ht="18">
      <c r="A1" s="581"/>
      <c r="B1" s="572" t="s">
        <v>21</v>
      </c>
      <c r="C1" s="572"/>
      <c r="D1" s="572"/>
      <c r="E1" s="573"/>
      <c r="F1" s="1445"/>
      <c r="G1" s="574"/>
      <c r="H1" s="574"/>
      <c r="I1" s="574"/>
      <c r="J1" s="574"/>
      <c r="K1" s="575"/>
      <c r="L1" s="576"/>
      <c r="M1" s="576"/>
      <c r="N1" s="576"/>
      <c r="O1" s="576"/>
      <c r="P1" s="576"/>
      <c r="Q1" s="576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577"/>
      <c r="AZ1" s="577"/>
      <c r="BA1" s="577"/>
      <c r="BB1" s="577"/>
      <c r="BC1" s="577"/>
      <c r="BD1" s="577"/>
      <c r="BE1" s="577"/>
      <c r="BF1" s="577"/>
      <c r="BG1" s="577"/>
      <c r="BH1" s="577"/>
      <c r="BI1" s="577"/>
      <c r="BJ1" s="577"/>
      <c r="BK1" s="577"/>
      <c r="BL1" s="577"/>
      <c r="BM1" s="577"/>
      <c r="BN1" s="577"/>
      <c r="BO1" s="577"/>
      <c r="BP1" s="577"/>
      <c r="BQ1" s="578"/>
      <c r="BR1" s="578"/>
      <c r="BS1" s="578"/>
      <c r="BT1" s="578"/>
      <c r="BU1" s="579"/>
      <c r="BV1" s="579"/>
      <c r="BW1" s="578"/>
      <c r="BX1" s="578"/>
      <c r="BY1" s="578"/>
      <c r="BZ1" s="578"/>
    </row>
    <row r="2" spans="1:78" ht="15.75">
      <c r="A2" s="581"/>
      <c r="B2" s="582" t="s">
        <v>688</v>
      </c>
      <c r="C2" s="583"/>
      <c r="D2" s="583"/>
      <c r="E2" s="583"/>
      <c r="F2" s="1445"/>
      <c r="G2" s="584"/>
      <c r="H2" s="584"/>
      <c r="I2" s="584"/>
      <c r="J2" s="584"/>
      <c r="K2" s="585"/>
      <c r="L2" s="576"/>
      <c r="M2" s="576"/>
      <c r="N2" s="576"/>
      <c r="O2" s="576"/>
      <c r="P2" s="576"/>
      <c r="Q2" s="576"/>
      <c r="R2" s="577"/>
      <c r="S2" s="577"/>
      <c r="T2" s="577"/>
      <c r="U2" s="577"/>
      <c r="V2" s="577"/>
      <c r="W2" s="577"/>
      <c r="X2" s="577"/>
      <c r="Y2" s="577"/>
      <c r="Z2" s="577"/>
      <c r="AA2" s="577"/>
      <c r="AB2" s="577"/>
      <c r="AC2" s="577"/>
      <c r="AD2" s="577"/>
      <c r="AE2" s="577"/>
      <c r="AF2" s="577"/>
      <c r="AG2" s="577"/>
      <c r="AH2" s="577"/>
      <c r="AI2" s="577"/>
      <c r="AJ2" s="577"/>
      <c r="AK2" s="577"/>
      <c r="AL2" s="577"/>
      <c r="AM2" s="577"/>
      <c r="AN2" s="577"/>
      <c r="AO2" s="577"/>
      <c r="AP2" s="577"/>
      <c r="AQ2" s="577"/>
      <c r="AR2" s="577"/>
      <c r="AS2" s="577"/>
      <c r="AT2" s="577"/>
      <c r="AU2" s="577"/>
      <c r="AV2" s="577"/>
      <c r="AW2" s="577"/>
      <c r="AX2" s="577"/>
      <c r="AY2" s="577"/>
      <c r="AZ2" s="577"/>
      <c r="BA2" s="577"/>
      <c r="BB2" s="577"/>
      <c r="BC2" s="577"/>
      <c r="BD2" s="577"/>
      <c r="BE2" s="577"/>
      <c r="BF2" s="577"/>
      <c r="BG2" s="577"/>
      <c r="BH2" s="577"/>
      <c r="BI2" s="577"/>
      <c r="BJ2" s="577"/>
      <c r="BK2" s="577"/>
      <c r="BL2" s="577"/>
      <c r="BM2" s="577"/>
      <c r="BN2" s="577"/>
      <c r="BO2" s="577"/>
      <c r="BP2" s="577"/>
      <c r="BQ2" s="578"/>
      <c r="BR2" s="578"/>
      <c r="BS2" s="578"/>
      <c r="BT2" s="578"/>
      <c r="BU2" s="578"/>
      <c r="BV2" s="579" t="s">
        <v>689</v>
      </c>
      <c r="BW2" s="578"/>
      <c r="BX2" s="578"/>
      <c r="BY2" s="578"/>
      <c r="BZ2" s="578"/>
    </row>
    <row r="3" spans="1:78" ht="13.5" thickBot="1">
      <c r="A3" s="586"/>
      <c r="B3" s="587" t="s">
        <v>796</v>
      </c>
      <c r="C3" s="587"/>
      <c r="D3" s="588"/>
      <c r="E3" s="1446"/>
      <c r="F3" s="1982">
        <v>43199</v>
      </c>
      <c r="G3" s="589"/>
      <c r="H3" s="590"/>
      <c r="I3" s="590"/>
      <c r="J3" s="590"/>
      <c r="K3" s="589"/>
      <c r="L3" s="591"/>
      <c r="M3" s="591"/>
      <c r="N3" s="591"/>
      <c r="O3" s="591"/>
      <c r="P3" s="590"/>
      <c r="Q3" s="590"/>
      <c r="R3" s="590"/>
      <c r="S3" s="590"/>
      <c r="T3" s="590"/>
      <c r="U3" s="590"/>
      <c r="V3" s="590"/>
      <c r="W3" s="590"/>
      <c r="X3" s="590"/>
      <c r="Y3" s="590"/>
      <c r="Z3" s="590"/>
      <c r="AA3" s="590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590"/>
      <c r="AM3" s="590"/>
      <c r="AN3" s="590"/>
      <c r="AO3" s="590"/>
      <c r="AP3" s="590"/>
      <c r="AQ3" s="590"/>
      <c r="AR3" s="590"/>
      <c r="AS3" s="590"/>
      <c r="AT3" s="590"/>
      <c r="AU3" s="590"/>
      <c r="AV3" s="590"/>
      <c r="AW3" s="590"/>
      <c r="AX3" s="590"/>
      <c r="AY3" s="590"/>
      <c r="AZ3" s="590"/>
      <c r="BA3" s="590"/>
      <c r="BB3" s="590"/>
      <c r="BC3" s="590"/>
      <c r="BD3" s="590"/>
      <c r="BE3" s="590"/>
      <c r="BF3" s="590"/>
      <c r="BG3" s="590"/>
      <c r="BH3" s="590"/>
      <c r="BI3" s="590"/>
      <c r="BJ3" s="590"/>
      <c r="BK3" s="590"/>
      <c r="BL3" s="590"/>
      <c r="BM3" s="590"/>
      <c r="BN3" s="590"/>
      <c r="BO3" s="590"/>
      <c r="BP3" s="590"/>
      <c r="BQ3" s="592"/>
      <c r="BR3" s="592"/>
      <c r="BS3" s="592"/>
      <c r="BT3" s="592"/>
      <c r="BU3" s="592"/>
      <c r="BV3" s="592"/>
      <c r="BW3" s="592"/>
      <c r="BX3" s="592"/>
      <c r="BY3" s="592"/>
      <c r="BZ3" s="592"/>
    </row>
    <row r="4" spans="1:78" s="608" customFormat="1" ht="13.5" thickBot="1">
      <c r="A4" s="593"/>
      <c r="B4" s="594" t="s">
        <v>307</v>
      </c>
      <c r="C4" s="1447" t="s">
        <v>471</v>
      </c>
      <c r="D4" s="595" t="str">
        <f>Valuation!$CG$40</f>
        <v>Yes</v>
      </c>
      <c r="E4" s="596"/>
      <c r="F4" s="1448"/>
      <c r="G4" s="597" t="s">
        <v>758</v>
      </c>
      <c r="H4" s="598" t="s">
        <v>759</v>
      </c>
      <c r="I4" s="598" t="s">
        <v>760</v>
      </c>
      <c r="J4" s="599" t="s">
        <v>763</v>
      </c>
      <c r="K4" s="597" t="s">
        <v>403</v>
      </c>
      <c r="L4" s="598" t="s">
        <v>404</v>
      </c>
      <c r="M4" s="598" t="s">
        <v>405</v>
      </c>
      <c r="N4" s="599" t="s">
        <v>406</v>
      </c>
      <c r="O4" s="597" t="s">
        <v>407</v>
      </c>
      <c r="P4" s="598" t="s">
        <v>408</v>
      </c>
      <c r="Q4" s="598" t="s">
        <v>409</v>
      </c>
      <c r="R4" s="599" t="s">
        <v>410</v>
      </c>
      <c r="S4" s="597" t="s">
        <v>411</v>
      </c>
      <c r="T4" s="598" t="s">
        <v>412</v>
      </c>
      <c r="U4" s="598" t="s">
        <v>413</v>
      </c>
      <c r="V4" s="599" t="s">
        <v>414</v>
      </c>
      <c r="W4" s="598" t="s">
        <v>415</v>
      </c>
      <c r="X4" s="598" t="s">
        <v>416</v>
      </c>
      <c r="Y4" s="598" t="s">
        <v>417</v>
      </c>
      <c r="Z4" s="600" t="s">
        <v>418</v>
      </c>
      <c r="AA4" s="598" t="s">
        <v>645</v>
      </c>
      <c r="AB4" s="598" t="s">
        <v>646</v>
      </c>
      <c r="AC4" s="598" t="s">
        <v>647</v>
      </c>
      <c r="AD4" s="600" t="s">
        <v>648</v>
      </c>
      <c r="AE4" s="598" t="s">
        <v>27</v>
      </c>
      <c r="AF4" s="598" t="s">
        <v>28</v>
      </c>
      <c r="AG4" s="598" t="s">
        <v>29</v>
      </c>
      <c r="AH4" s="600" t="s">
        <v>30</v>
      </c>
      <c r="AI4" s="598" t="s">
        <v>764</v>
      </c>
      <c r="AJ4" s="598" t="s">
        <v>765</v>
      </c>
      <c r="AK4" s="598" t="s">
        <v>766</v>
      </c>
      <c r="AL4" s="600" t="s">
        <v>767</v>
      </c>
      <c r="AM4" s="598" t="s">
        <v>283</v>
      </c>
      <c r="AN4" s="598" t="s">
        <v>284</v>
      </c>
      <c r="AO4" s="598" t="s">
        <v>285</v>
      </c>
      <c r="AP4" s="600" t="s">
        <v>286</v>
      </c>
      <c r="AQ4" s="598" t="s">
        <v>896</v>
      </c>
      <c r="AR4" s="598" t="s">
        <v>897</v>
      </c>
      <c r="AS4" s="598" t="s">
        <v>898</v>
      </c>
      <c r="AT4" s="600" t="s">
        <v>899</v>
      </c>
      <c r="AU4" s="598" t="s">
        <v>900</v>
      </c>
      <c r="AV4" s="598" t="s">
        <v>901</v>
      </c>
      <c r="AW4" s="598" t="s">
        <v>902</v>
      </c>
      <c r="AX4" s="600" t="s">
        <v>903</v>
      </c>
      <c r="AY4" s="598" t="s">
        <v>994</v>
      </c>
      <c r="AZ4" s="598" t="s">
        <v>995</v>
      </c>
      <c r="BA4" s="598" t="s">
        <v>996</v>
      </c>
      <c r="BB4" s="600" t="s">
        <v>997</v>
      </c>
      <c r="BC4" s="601"/>
      <c r="BD4" s="602"/>
      <c r="BE4" s="603">
        <v>2010</v>
      </c>
      <c r="BF4" s="603">
        <v>2011</v>
      </c>
      <c r="BG4" s="603">
        <f t="shared" ref="BG4:BL4" si="0">+BF4+1</f>
        <v>2012</v>
      </c>
      <c r="BH4" s="603">
        <f t="shared" si="0"/>
        <v>2013</v>
      </c>
      <c r="BI4" s="603">
        <f t="shared" si="0"/>
        <v>2014</v>
      </c>
      <c r="BJ4" s="603">
        <f t="shared" si="0"/>
        <v>2015</v>
      </c>
      <c r="BK4" s="603">
        <f t="shared" si="0"/>
        <v>2016</v>
      </c>
      <c r="BL4" s="603">
        <f t="shared" si="0"/>
        <v>2017</v>
      </c>
      <c r="BM4" s="603">
        <f>+BL4+1</f>
        <v>2018</v>
      </c>
      <c r="BN4" s="603">
        <f>+BM4+1</f>
        <v>2019</v>
      </c>
      <c r="BO4" s="603">
        <f>+BN4+1</f>
        <v>2020</v>
      </c>
      <c r="BP4" s="603">
        <f>+BO4+1</f>
        <v>2021</v>
      </c>
      <c r="BQ4" s="605"/>
      <c r="BR4" s="606"/>
      <c r="BS4" s="607"/>
      <c r="BU4" s="609"/>
    </row>
    <row r="5" spans="1:78" ht="12.75" customHeight="1">
      <c r="A5" s="610"/>
      <c r="B5" s="611"/>
      <c r="C5" s="612"/>
      <c r="D5" s="612"/>
      <c r="E5" s="613"/>
      <c r="F5" s="1448"/>
      <c r="G5" s="597"/>
      <c r="H5" s="598"/>
      <c r="I5" s="598"/>
      <c r="J5" s="599"/>
      <c r="K5" s="597"/>
      <c r="L5" s="598"/>
      <c r="M5" s="598"/>
      <c r="N5" s="599"/>
      <c r="O5" s="597"/>
      <c r="P5" s="598"/>
      <c r="Q5" s="598"/>
      <c r="R5" s="599"/>
      <c r="S5" s="597"/>
      <c r="T5" s="598"/>
      <c r="U5" s="598"/>
      <c r="V5" s="599"/>
      <c r="W5" s="598"/>
      <c r="X5" s="598"/>
      <c r="Y5" s="598"/>
      <c r="Z5" s="600"/>
      <c r="AA5" s="598"/>
      <c r="AB5" s="598"/>
      <c r="AC5" s="598"/>
      <c r="AD5" s="600"/>
      <c r="AE5" s="598"/>
      <c r="AF5" s="598"/>
      <c r="AG5" s="598"/>
      <c r="AH5" s="600"/>
      <c r="AI5" s="598"/>
      <c r="AJ5" s="598"/>
      <c r="AK5" s="598"/>
      <c r="AL5" s="600"/>
      <c r="AM5" s="598"/>
      <c r="AN5" s="598"/>
      <c r="AO5" s="598"/>
      <c r="AP5" s="600"/>
      <c r="AQ5" s="598"/>
      <c r="AR5" s="598"/>
      <c r="AS5" s="598"/>
      <c r="AT5" s="600"/>
      <c r="AU5" s="598"/>
      <c r="AV5" s="598"/>
      <c r="AW5" s="598"/>
      <c r="AX5" s="600"/>
      <c r="AY5" s="598"/>
      <c r="AZ5" s="598"/>
      <c r="BA5" s="598"/>
      <c r="BB5" s="600"/>
      <c r="BC5" s="601"/>
      <c r="BD5" s="602"/>
      <c r="BE5" s="603"/>
      <c r="BF5" s="603"/>
      <c r="BG5" s="604"/>
      <c r="BH5" s="604"/>
      <c r="BI5" s="604"/>
      <c r="BJ5" s="604"/>
      <c r="BK5" s="604"/>
      <c r="BL5" s="604"/>
      <c r="BM5" s="604"/>
      <c r="BN5" s="604"/>
      <c r="BO5" s="604"/>
      <c r="BP5" s="604"/>
      <c r="BQ5" s="605"/>
      <c r="BR5" s="606"/>
      <c r="BS5" s="607"/>
      <c r="BT5" s="608"/>
      <c r="BU5" s="609"/>
      <c r="BV5" s="608"/>
      <c r="BW5" s="608"/>
      <c r="BX5" s="608"/>
      <c r="BY5" s="608"/>
      <c r="BZ5" s="608"/>
    </row>
    <row r="6" spans="1:78" ht="12.75" customHeight="1">
      <c r="A6" s="610"/>
      <c r="B6" s="611"/>
      <c r="C6" s="614" t="str">
        <f t="shared" ref="C6:AL6" si="1">IF(ISBLANK(C149),"",C149)</f>
        <v>Fuel Prices</v>
      </c>
      <c r="D6" s="615" t="str">
        <f t="shared" si="1"/>
        <v/>
      </c>
      <c r="E6" s="616" t="str">
        <f t="shared" si="1"/>
        <v/>
      </c>
      <c r="F6" s="1449" t="str">
        <f t="shared" si="1"/>
        <v/>
      </c>
      <c r="G6" s="617" t="str">
        <f t="shared" si="1"/>
        <v/>
      </c>
      <c r="H6" s="618" t="str">
        <f t="shared" si="1"/>
        <v/>
      </c>
      <c r="I6" s="618" t="str">
        <f t="shared" si="1"/>
        <v/>
      </c>
      <c r="J6" s="619" t="str">
        <f t="shared" si="1"/>
        <v/>
      </c>
      <c r="K6" s="617" t="str">
        <f t="shared" si="1"/>
        <v/>
      </c>
      <c r="L6" s="618" t="str">
        <f t="shared" si="1"/>
        <v/>
      </c>
      <c r="M6" s="618" t="str">
        <f t="shared" si="1"/>
        <v/>
      </c>
      <c r="N6" s="619" t="str">
        <f t="shared" si="1"/>
        <v/>
      </c>
      <c r="O6" s="617" t="str">
        <f t="shared" si="1"/>
        <v/>
      </c>
      <c r="P6" s="618" t="str">
        <f t="shared" si="1"/>
        <v/>
      </c>
      <c r="Q6" s="618" t="str">
        <f t="shared" si="1"/>
        <v/>
      </c>
      <c r="R6" s="619" t="str">
        <f t="shared" si="1"/>
        <v/>
      </c>
      <c r="S6" s="617" t="str">
        <f t="shared" si="1"/>
        <v/>
      </c>
      <c r="T6" s="618" t="str">
        <f t="shared" si="1"/>
        <v/>
      </c>
      <c r="U6" s="618" t="str">
        <f t="shared" si="1"/>
        <v/>
      </c>
      <c r="V6" s="619" t="str">
        <f t="shared" si="1"/>
        <v/>
      </c>
      <c r="W6" s="618" t="str">
        <f t="shared" si="1"/>
        <v/>
      </c>
      <c r="X6" s="618" t="str">
        <f t="shared" si="1"/>
        <v/>
      </c>
      <c r="Y6" s="618" t="str">
        <f t="shared" si="1"/>
        <v/>
      </c>
      <c r="Z6" s="620" t="str">
        <f t="shared" si="1"/>
        <v/>
      </c>
      <c r="AA6" s="621" t="str">
        <f t="shared" si="1"/>
        <v/>
      </c>
      <c r="AB6" s="621" t="str">
        <f t="shared" si="1"/>
        <v/>
      </c>
      <c r="AC6" s="621" t="str">
        <f t="shared" si="1"/>
        <v/>
      </c>
      <c r="AD6" s="620" t="str">
        <f t="shared" si="1"/>
        <v/>
      </c>
      <c r="AE6" s="621" t="str">
        <f t="shared" si="1"/>
        <v/>
      </c>
      <c r="AF6" s="621" t="str">
        <f t="shared" si="1"/>
        <v/>
      </c>
      <c r="AG6" s="621" t="str">
        <f t="shared" si="1"/>
        <v/>
      </c>
      <c r="AH6" s="620" t="str">
        <f t="shared" si="1"/>
        <v/>
      </c>
      <c r="AI6" s="621" t="str">
        <f t="shared" si="1"/>
        <v/>
      </c>
      <c r="AJ6" s="621" t="str">
        <f t="shared" si="1"/>
        <v/>
      </c>
      <c r="AK6" s="621" t="str">
        <f t="shared" si="1"/>
        <v/>
      </c>
      <c r="AL6" s="620" t="str">
        <f t="shared" si="1"/>
        <v/>
      </c>
      <c r="AM6" s="621" t="str">
        <f t="shared" ref="AM6:AP19" si="2">IF(ISBLANK(AM149),"",AM149)</f>
        <v/>
      </c>
      <c r="AN6" s="621" t="str">
        <f t="shared" si="2"/>
        <v/>
      </c>
      <c r="AO6" s="621" t="str">
        <f t="shared" si="2"/>
        <v/>
      </c>
      <c r="AP6" s="620" t="str">
        <f t="shared" si="2"/>
        <v/>
      </c>
      <c r="AQ6" s="621"/>
      <c r="AR6" s="621"/>
      <c r="AS6" s="621"/>
      <c r="AT6" s="633"/>
      <c r="AU6" s="635"/>
      <c r="AV6" s="621"/>
      <c r="AW6" s="621"/>
      <c r="AX6" s="620"/>
      <c r="AY6" s="635"/>
      <c r="AZ6" s="621"/>
      <c r="BA6" s="621"/>
      <c r="BB6" s="620"/>
      <c r="BC6" s="622"/>
      <c r="BD6" s="623"/>
      <c r="BE6" s="623"/>
      <c r="BF6" s="623"/>
      <c r="BG6" s="623"/>
      <c r="BH6" s="623"/>
      <c r="BI6" s="623"/>
      <c r="BJ6" s="623"/>
      <c r="BK6" s="623"/>
      <c r="BL6" s="623"/>
      <c r="BM6" s="623"/>
      <c r="BN6" s="623"/>
      <c r="BO6" s="623"/>
      <c r="BP6" s="623"/>
      <c r="BQ6" s="624"/>
      <c r="BR6" s="625"/>
      <c r="BS6" s="626"/>
      <c r="BU6" s="609"/>
      <c r="BV6" s="1450" t="s">
        <v>916</v>
      </c>
    </row>
    <row r="7" spans="1:78" ht="12.75" customHeight="1">
      <c r="A7" s="610"/>
      <c r="B7" s="611"/>
      <c r="C7" s="628" t="str">
        <f t="shared" ref="C7:E13" si="3">IF(ISBLANK(C150),"",C150)</f>
        <v/>
      </c>
      <c r="D7" s="629" t="str">
        <f t="shared" si="3"/>
        <v/>
      </c>
      <c r="E7" s="629" t="str">
        <f t="shared" si="3"/>
        <v/>
      </c>
      <c r="F7" s="1451"/>
      <c r="G7" s="630" t="str">
        <f t="shared" ref="G7:AL7" si="4">IF(ISBLANK(G150),"",G150)</f>
        <v/>
      </c>
      <c r="H7" s="631" t="str">
        <f t="shared" si="4"/>
        <v/>
      </c>
      <c r="I7" s="631" t="str">
        <f t="shared" si="4"/>
        <v/>
      </c>
      <c r="J7" s="632" t="str">
        <f t="shared" si="4"/>
        <v/>
      </c>
      <c r="K7" s="630" t="str">
        <f t="shared" si="4"/>
        <v/>
      </c>
      <c r="L7" s="631" t="str">
        <f t="shared" si="4"/>
        <v/>
      </c>
      <c r="M7" s="631" t="str">
        <f t="shared" si="4"/>
        <v/>
      </c>
      <c r="N7" s="632" t="str">
        <f t="shared" si="4"/>
        <v/>
      </c>
      <c r="O7" s="630" t="str">
        <f t="shared" si="4"/>
        <v/>
      </c>
      <c r="P7" s="631" t="str">
        <f t="shared" si="4"/>
        <v/>
      </c>
      <c r="Q7" s="631" t="str">
        <f t="shared" si="4"/>
        <v/>
      </c>
      <c r="R7" s="633" t="str">
        <f t="shared" si="4"/>
        <v/>
      </c>
      <c r="S7" s="634" t="str">
        <f t="shared" si="4"/>
        <v/>
      </c>
      <c r="T7" s="635" t="str">
        <f t="shared" si="4"/>
        <v/>
      </c>
      <c r="U7" s="635" t="str">
        <f t="shared" si="4"/>
        <v/>
      </c>
      <c r="V7" s="633" t="str">
        <f t="shared" si="4"/>
        <v/>
      </c>
      <c r="W7" s="635" t="str">
        <f t="shared" si="4"/>
        <v/>
      </c>
      <c r="X7" s="635" t="str">
        <f t="shared" si="4"/>
        <v/>
      </c>
      <c r="Y7" s="635" t="str">
        <f t="shared" si="4"/>
        <v/>
      </c>
      <c r="Z7" s="633" t="str">
        <f t="shared" si="4"/>
        <v/>
      </c>
      <c r="AA7" s="635" t="str">
        <f t="shared" si="4"/>
        <v/>
      </c>
      <c r="AB7" s="635" t="str">
        <f t="shared" si="4"/>
        <v/>
      </c>
      <c r="AC7" s="635" t="str">
        <f t="shared" si="4"/>
        <v/>
      </c>
      <c r="AD7" s="633" t="str">
        <f t="shared" si="4"/>
        <v/>
      </c>
      <c r="AE7" s="635" t="str">
        <f t="shared" si="4"/>
        <v/>
      </c>
      <c r="AF7" s="635" t="str">
        <f t="shared" si="4"/>
        <v/>
      </c>
      <c r="AG7" s="635" t="str">
        <f t="shared" si="4"/>
        <v/>
      </c>
      <c r="AH7" s="633" t="str">
        <f t="shared" si="4"/>
        <v/>
      </c>
      <c r="AI7" s="635" t="str">
        <f t="shared" si="4"/>
        <v/>
      </c>
      <c r="AJ7" s="635" t="str">
        <f t="shared" si="4"/>
        <v/>
      </c>
      <c r="AK7" s="635" t="str">
        <f t="shared" si="4"/>
        <v/>
      </c>
      <c r="AL7" s="633" t="str">
        <f t="shared" si="4"/>
        <v/>
      </c>
      <c r="AM7" s="635" t="str">
        <f t="shared" si="2"/>
        <v/>
      </c>
      <c r="AN7" s="635" t="str">
        <f t="shared" si="2"/>
        <v/>
      </c>
      <c r="AO7" s="635" t="str">
        <f t="shared" si="2"/>
        <v/>
      </c>
      <c r="AP7" s="633" t="str">
        <f t="shared" si="2"/>
        <v/>
      </c>
      <c r="AQ7" s="635"/>
      <c r="AR7" s="635"/>
      <c r="AS7" s="635"/>
      <c r="AT7" s="633"/>
      <c r="AU7" s="635"/>
      <c r="AV7" s="635"/>
      <c r="AW7" s="635"/>
      <c r="AX7" s="633"/>
      <c r="AY7" s="635"/>
      <c r="AZ7" s="635"/>
      <c r="BA7" s="635"/>
      <c r="BB7" s="633"/>
      <c r="BC7" s="636"/>
      <c r="BD7" s="636"/>
      <c r="BE7" s="636"/>
      <c r="BF7" s="636"/>
      <c r="BG7" s="636"/>
      <c r="BH7" s="636"/>
      <c r="BI7" s="636"/>
      <c r="BJ7" s="1452"/>
      <c r="BK7" s="636"/>
      <c r="BL7" s="636"/>
      <c r="BM7" s="636"/>
      <c r="BN7" s="636"/>
      <c r="BO7" s="636"/>
      <c r="BP7" s="636"/>
      <c r="BQ7" s="637"/>
      <c r="BR7" s="638"/>
      <c r="BU7" s="609"/>
      <c r="BV7" s="1684" t="s">
        <v>917</v>
      </c>
      <c r="BW7" s="1453">
        <f>BP8</f>
        <v>2.8552499999999994</v>
      </c>
    </row>
    <row r="8" spans="1:78" ht="12.75" customHeight="1">
      <c r="A8" s="610"/>
      <c r="B8" s="611"/>
      <c r="C8" s="628" t="str">
        <f t="shared" si="3"/>
        <v>NYMEX Natural Gas - HH</v>
      </c>
      <c r="D8" s="629" t="str">
        <f t="shared" si="3"/>
        <v/>
      </c>
      <c r="E8" s="629" t="str">
        <f t="shared" si="3"/>
        <v/>
      </c>
      <c r="F8" s="639"/>
      <c r="G8" s="640">
        <f t="shared" ref="G8:AL8" si="5">IF(ISBLANK(G151),"",G151)</f>
        <v>5.1241129032258064</v>
      </c>
      <c r="H8" s="641">
        <f t="shared" si="5"/>
        <v>4.3247460317460309</v>
      </c>
      <c r="I8" s="641">
        <f t="shared" si="5"/>
        <v>4.2905156250000003</v>
      </c>
      <c r="J8" s="642">
        <f t="shared" si="5"/>
        <v>3.8051846153846145</v>
      </c>
      <c r="K8" s="640">
        <f t="shared" si="5"/>
        <v>4.1753749999999998</v>
      </c>
      <c r="L8" s="641">
        <f t="shared" si="5"/>
        <v>4.3679218749999995</v>
      </c>
      <c r="M8" s="641">
        <f t="shared" si="5"/>
        <v>4.1250937499999987</v>
      </c>
      <c r="N8" s="642">
        <f t="shared" si="5"/>
        <v>3.3347142857142864</v>
      </c>
      <c r="O8" s="640">
        <f t="shared" si="5"/>
        <v>2.4596984126984123</v>
      </c>
      <c r="P8" s="641">
        <f t="shared" si="5"/>
        <v>2.2776984126984123</v>
      </c>
      <c r="Q8" s="641">
        <f t="shared" si="5"/>
        <v>2.8780317460317462</v>
      </c>
      <c r="R8" s="641">
        <f t="shared" si="5"/>
        <v>3.3929375000000004</v>
      </c>
      <c r="S8" s="643">
        <f t="shared" si="5"/>
        <v>3.4791000000000003</v>
      </c>
      <c r="T8" s="644">
        <f t="shared" si="5"/>
        <v>4.0243281250000011</v>
      </c>
      <c r="U8" s="644">
        <f t="shared" si="5"/>
        <v>3.5578281250000003</v>
      </c>
      <c r="V8" s="645">
        <f t="shared" si="5"/>
        <v>3.8364218749999996</v>
      </c>
      <c r="W8" s="644">
        <f t="shared" si="5"/>
        <v>5.1762950819672131</v>
      </c>
      <c r="X8" s="644">
        <f t="shared" si="5"/>
        <v>4.6069687499999992</v>
      </c>
      <c r="Y8" s="644">
        <f t="shared" si="5"/>
        <v>3.9690625000000006</v>
      </c>
      <c r="Z8" s="645">
        <f t="shared" si="5"/>
        <v>3.7758906249999988</v>
      </c>
      <c r="AA8" s="644">
        <f t="shared" si="5"/>
        <v>2.8932580645161292</v>
      </c>
      <c r="AB8" s="644">
        <f t="shared" si="5"/>
        <v>2.7407301587301576</v>
      </c>
      <c r="AC8" s="644">
        <f t="shared" si="5"/>
        <v>2.7644218749999996</v>
      </c>
      <c r="AD8" s="645">
        <f t="shared" si="5"/>
        <v>2.1331111111111114</v>
      </c>
      <c r="AE8" s="644">
        <f t="shared" si="5"/>
        <v>1.9876885245901643</v>
      </c>
      <c r="AF8" s="644">
        <f t="shared" si="5"/>
        <v>2.135984375</v>
      </c>
      <c r="AG8" s="644">
        <f t="shared" si="5"/>
        <v>2.8751562499999994</v>
      </c>
      <c r="AH8" s="645">
        <f t="shared" si="5"/>
        <v>3.0312419354838709</v>
      </c>
      <c r="AI8" s="644">
        <f t="shared" si="5"/>
        <v>3.0098387096774188</v>
      </c>
      <c r="AJ8" s="644">
        <f t="shared" si="5"/>
        <v>3.076171875</v>
      </c>
      <c r="AK8" s="644">
        <f t="shared" si="5"/>
        <v>2.9540158730158725</v>
      </c>
      <c r="AL8" s="645">
        <f t="shared" si="5"/>
        <v>2.8899677419354837</v>
      </c>
      <c r="AM8" s="644">
        <f t="shared" si="2"/>
        <v>3.1108032786885249</v>
      </c>
      <c r="AN8" s="644">
        <f t="shared" si="2"/>
        <v>2.6796666666666664</v>
      </c>
      <c r="AO8" s="644">
        <f t="shared" si="2"/>
        <v>2.8149999999999999</v>
      </c>
      <c r="AP8" s="645">
        <f t="shared" si="2"/>
        <v>2.9016666666666668</v>
      </c>
      <c r="AQ8" s="644">
        <f t="shared" ref="AQ8:AX8" si="6">IF(ISBLANK(AQ151),"",AQ151)</f>
        <v>2.9026943643004919</v>
      </c>
      <c r="AR8" s="644">
        <f t="shared" si="6"/>
        <v>2.5441789597993276</v>
      </c>
      <c r="AS8" s="644">
        <f t="shared" si="6"/>
        <v>2.5777897789713125</v>
      </c>
      <c r="AT8" s="645">
        <f t="shared" si="6"/>
        <v>3.0133368969288674</v>
      </c>
      <c r="AU8" s="644">
        <f t="shared" si="6"/>
        <v>2.9460848852381236</v>
      </c>
      <c r="AV8" s="644">
        <f t="shared" si="6"/>
        <v>2.5822102633295767</v>
      </c>
      <c r="AW8" s="644">
        <f t="shared" si="6"/>
        <v>2.6163235091335033</v>
      </c>
      <c r="AX8" s="645">
        <f t="shared" si="6"/>
        <v>3.0583813422987949</v>
      </c>
      <c r="AY8" s="644">
        <f t="shared" ref="AY8:BB8" si="7">IF(ISBLANK(AY151),"",AY151)</f>
        <v>3.0034129674466312</v>
      </c>
      <c r="AZ8" s="644">
        <f t="shared" si="7"/>
        <v>2.632457682539239</v>
      </c>
      <c r="BA8" s="644">
        <f t="shared" si="7"/>
        <v>2.6672347404993073</v>
      </c>
      <c r="BB8" s="645">
        <f t="shared" si="7"/>
        <v>3.117894609514821</v>
      </c>
      <c r="BC8" s="646"/>
      <c r="BD8" s="646"/>
      <c r="BE8" s="647">
        <f>AVERAGE(G8:J8)</f>
        <v>4.3861397938391136</v>
      </c>
      <c r="BF8" s="647">
        <f>AVERAGE(K8:N8)</f>
        <v>4.0007762276785712</v>
      </c>
      <c r="BG8" s="647">
        <f>AVERAGE(O8:R8)</f>
        <v>2.752091517857143</v>
      </c>
      <c r="BH8" s="647">
        <f>AVERAGE(S8:V8)</f>
        <v>3.7244195312500001</v>
      </c>
      <c r="BI8" s="647">
        <f>AVERAGE(W8:Z8)</f>
        <v>4.3820542392418025</v>
      </c>
      <c r="BJ8" s="647">
        <f>AVERAGE(AA8:AD8)</f>
        <v>2.6328803023393492</v>
      </c>
      <c r="BK8" s="647">
        <f>AVERAGE(AE8:AH8)</f>
        <v>2.5075177712685086</v>
      </c>
      <c r="BL8" s="647">
        <f>AVERAGE(AI8:AL8)</f>
        <v>2.9824985499071941</v>
      </c>
      <c r="BM8" s="647">
        <f>AVERAGE(AM8:AP8)</f>
        <v>2.8767841530054645</v>
      </c>
      <c r="BN8" s="647">
        <f>AVERAGE(AQ8:AT8)</f>
        <v>2.7594999999999996</v>
      </c>
      <c r="BO8" s="647">
        <f>AVERAGE(AU8:AX8)</f>
        <v>2.8007499999999994</v>
      </c>
      <c r="BP8" s="647">
        <f>AVERAGE(AY8:BB8)</f>
        <v>2.8552499999999994</v>
      </c>
      <c r="BQ8" s="637"/>
      <c r="BR8" s="638"/>
      <c r="BU8" s="609"/>
      <c r="BV8" s="1454" t="s">
        <v>472</v>
      </c>
      <c r="BW8" s="1455">
        <f>Valuation!$CG$36</f>
        <v>2.75</v>
      </c>
    </row>
    <row r="9" spans="1:78" ht="12.75" customHeight="1">
      <c r="A9" s="610"/>
      <c r="B9" s="611"/>
      <c r="C9" s="629" t="str">
        <f t="shared" si="3"/>
        <v>CAPP Coal</v>
      </c>
      <c r="D9" s="629" t="str">
        <f t="shared" si="3"/>
        <v/>
      </c>
      <c r="E9" s="629" t="str">
        <f t="shared" si="3"/>
        <v/>
      </c>
      <c r="F9" s="639"/>
      <c r="G9" s="640">
        <f t="shared" ref="G9:AL9" si="8">IF(ISBLANK(G152),"",G152)</f>
        <v>57.876923076923077</v>
      </c>
      <c r="H9" s="641">
        <f t="shared" si="8"/>
        <v>62.742307692307698</v>
      </c>
      <c r="I9" s="641">
        <f t="shared" si="8"/>
        <v>67.830769230769235</v>
      </c>
      <c r="J9" s="642">
        <f t="shared" si="8"/>
        <v>70.910714285714263</v>
      </c>
      <c r="K9" s="640">
        <f t="shared" si="8"/>
        <v>77.237500000000026</v>
      </c>
      <c r="L9" s="641">
        <f t="shared" si="8"/>
        <v>78.430769230769243</v>
      </c>
      <c r="M9" s="641">
        <f t="shared" si="8"/>
        <v>80.007142857142853</v>
      </c>
      <c r="N9" s="642">
        <f t="shared" si="8"/>
        <v>78.934615384615398</v>
      </c>
      <c r="O9" s="640">
        <f t="shared" si="8"/>
        <v>70.069230769230771</v>
      </c>
      <c r="P9" s="641">
        <f t="shared" si="8"/>
        <v>59.92307692307692</v>
      </c>
      <c r="Q9" s="641">
        <f t="shared" si="8"/>
        <v>61.334615384615397</v>
      </c>
      <c r="R9" s="641">
        <f t="shared" si="8"/>
        <v>66.634615384615373</v>
      </c>
      <c r="S9" s="650">
        <f t="shared" si="8"/>
        <v>66.511538461538478</v>
      </c>
      <c r="T9" s="651">
        <f t="shared" si="8"/>
        <v>66.914615384615374</v>
      </c>
      <c r="U9" s="651">
        <f t="shared" si="8"/>
        <v>64.0053846153846</v>
      </c>
      <c r="V9" s="652">
        <f t="shared" si="8"/>
        <v>62.446153846153841</v>
      </c>
      <c r="W9" s="651">
        <f t="shared" si="8"/>
        <v>63.813846153846164</v>
      </c>
      <c r="X9" s="651">
        <f t="shared" si="8"/>
        <v>60.582307692307708</v>
      </c>
      <c r="Y9" s="651">
        <f t="shared" si="8"/>
        <v>57.336923076923085</v>
      </c>
      <c r="Z9" s="652">
        <f t="shared" si="8"/>
        <v>56.106923076923081</v>
      </c>
      <c r="AA9" s="651">
        <f t="shared" si="8"/>
        <v>53.513846153846139</v>
      </c>
      <c r="AB9" s="651">
        <f t="shared" si="8"/>
        <v>52.858461538461547</v>
      </c>
      <c r="AC9" s="651">
        <f t="shared" si="8"/>
        <v>50.784615384615385</v>
      </c>
      <c r="AD9" s="652">
        <f t="shared" si="8"/>
        <v>46.303846153846159</v>
      </c>
      <c r="AE9" s="651">
        <f t="shared" si="8"/>
        <v>42.380769230769232</v>
      </c>
      <c r="AF9" s="651">
        <f t="shared" si="8"/>
        <v>41.192307692307693</v>
      </c>
      <c r="AG9" s="651">
        <f t="shared" si="8"/>
        <v>40.928571428571438</v>
      </c>
      <c r="AH9" s="652">
        <f t="shared" si="8"/>
        <v>44.896153846153844</v>
      </c>
      <c r="AI9" s="651">
        <f t="shared" si="8"/>
        <v>50.057692307692314</v>
      </c>
      <c r="AJ9" s="651">
        <f t="shared" si="8"/>
        <v>52.46153846153846</v>
      </c>
      <c r="AK9" s="651">
        <f t="shared" si="8"/>
        <v>52.98846153846155</v>
      </c>
      <c r="AL9" s="652">
        <f t="shared" si="8"/>
        <v>58.261538461538478</v>
      </c>
      <c r="AM9" s="651">
        <f t="shared" si="2"/>
        <v>60.850000000000009</v>
      </c>
      <c r="AN9" s="651">
        <f t="shared" si="2"/>
        <v>49</v>
      </c>
      <c r="AO9" s="651">
        <f t="shared" si="2"/>
        <v>49</v>
      </c>
      <c r="AP9" s="652">
        <f t="shared" si="2"/>
        <v>49</v>
      </c>
      <c r="AQ9" s="651">
        <f t="shared" ref="AQ9:AX9" si="9">IF(ISBLANK(AQ152),"",AQ152)</f>
        <v>48.154286333412259</v>
      </c>
      <c r="AR9" s="651">
        <f t="shared" si="9"/>
        <v>48.154286333412259</v>
      </c>
      <c r="AS9" s="651">
        <f t="shared" si="9"/>
        <v>48.154286333412259</v>
      </c>
      <c r="AT9" s="652">
        <f t="shared" si="9"/>
        <v>55.537140999763238</v>
      </c>
      <c r="AU9" s="651">
        <f t="shared" si="9"/>
        <v>48.154286333412259</v>
      </c>
      <c r="AV9" s="651">
        <f t="shared" si="9"/>
        <v>48.154286333412259</v>
      </c>
      <c r="AW9" s="651">
        <f t="shared" si="9"/>
        <v>48.154286333412259</v>
      </c>
      <c r="AX9" s="652">
        <f t="shared" si="9"/>
        <v>55.537140999763238</v>
      </c>
      <c r="AY9" s="651">
        <f t="shared" ref="AY9:BB9" si="10">IF(ISBLANK(AY152),"",AY152)</f>
        <v>48.154286333412259</v>
      </c>
      <c r="AZ9" s="651">
        <f t="shared" si="10"/>
        <v>48.154286333412259</v>
      </c>
      <c r="BA9" s="651">
        <f t="shared" si="10"/>
        <v>48.154286333412259</v>
      </c>
      <c r="BB9" s="652">
        <f t="shared" si="10"/>
        <v>55.537140999763238</v>
      </c>
      <c r="BC9" s="653"/>
      <c r="BD9" s="646"/>
      <c r="BE9" s="647">
        <f>AVERAGE(G9:J9)</f>
        <v>64.840178571428567</v>
      </c>
      <c r="BF9" s="647">
        <f>AVERAGE(K9:N9)</f>
        <v>78.652506868131894</v>
      </c>
      <c r="BG9" s="647">
        <f>AVERAGE(O9:R9)</f>
        <v>64.490384615384613</v>
      </c>
      <c r="BH9" s="647">
        <f>AVERAGE(S9:V9)</f>
        <v>64.969423076923078</v>
      </c>
      <c r="BI9" s="647">
        <f>AVERAGE(W9:Z9)</f>
        <v>59.460000000000008</v>
      </c>
      <c r="BJ9" s="647">
        <f>AVERAGE(AA9:AD9)</f>
        <v>50.865192307692311</v>
      </c>
      <c r="BK9" s="647">
        <f>AVERAGE(AE9:AH9)</f>
        <v>42.349450549450552</v>
      </c>
      <c r="BL9" s="647">
        <f>AVERAGE(AI9:AL9)</f>
        <v>53.442307692307693</v>
      </c>
      <c r="BM9" s="647">
        <f>AVERAGE(AM9:AP9)</f>
        <v>51.962500000000006</v>
      </c>
      <c r="BN9" s="647">
        <f t="shared" ref="BN9:BN12" si="11">AVERAGE(AQ9:AT9)</f>
        <v>50.000000000000007</v>
      </c>
      <c r="BO9" s="647">
        <f t="shared" ref="BO9:BO12" si="12">AVERAGE(AU9:AX9)</f>
        <v>50.000000000000007</v>
      </c>
      <c r="BP9" s="647">
        <f t="shared" ref="BP9:BP12" si="13">AVERAGE(AY9:BB9)</f>
        <v>50.000000000000007</v>
      </c>
      <c r="BQ9" s="637"/>
      <c r="BR9" s="638"/>
      <c r="BU9" s="609"/>
      <c r="BV9" s="648" t="s">
        <v>690</v>
      </c>
      <c r="BW9" s="1456">
        <f>(BW8-'Market Prices'!BW7)*75%+'Market Prices'!BW7</f>
        <v>2.7763125</v>
      </c>
      <c r="BX9" s="1457"/>
    </row>
    <row r="10" spans="1:78" ht="12.75" customHeight="1">
      <c r="A10" s="610"/>
      <c r="B10" s="611"/>
      <c r="C10" s="629" t="str">
        <f t="shared" si="3"/>
        <v>PRB Coal</v>
      </c>
      <c r="D10" s="629" t="str">
        <f t="shared" si="3"/>
        <v/>
      </c>
      <c r="E10" s="629" t="str">
        <f t="shared" si="3"/>
        <v/>
      </c>
      <c r="F10" s="639"/>
      <c r="G10" s="640">
        <f t="shared" ref="G10:AL10" si="14">IF(ISBLANK(G153),"",G153)</f>
        <v>10.753846153846155</v>
      </c>
      <c r="H10" s="641">
        <f t="shared" si="14"/>
        <v>12.153846153846153</v>
      </c>
      <c r="I10" s="641">
        <f t="shared" si="14"/>
        <v>14.249999999999998</v>
      </c>
      <c r="J10" s="642">
        <f t="shared" si="14"/>
        <v>13.750000000000002</v>
      </c>
      <c r="K10" s="640">
        <f t="shared" si="14"/>
        <v>13.887499999999998</v>
      </c>
      <c r="L10" s="641">
        <f t="shared" si="14"/>
        <v>12.738461538461538</v>
      </c>
      <c r="M10" s="641">
        <f t="shared" si="14"/>
        <v>14.228571428571428</v>
      </c>
      <c r="N10" s="642">
        <f t="shared" si="14"/>
        <v>13.626923076923076</v>
      </c>
      <c r="O10" s="640">
        <f t="shared" si="14"/>
        <v>9.8423076923076955</v>
      </c>
      <c r="P10" s="641">
        <f t="shared" si="14"/>
        <v>9.1000000000000014</v>
      </c>
      <c r="Q10" s="641">
        <f t="shared" si="14"/>
        <v>8.8346153846153861</v>
      </c>
      <c r="R10" s="641">
        <f t="shared" si="14"/>
        <v>10.123076923076923</v>
      </c>
      <c r="S10" s="650">
        <f t="shared" si="14"/>
        <v>10.238461538461538</v>
      </c>
      <c r="T10" s="651">
        <f t="shared" si="14"/>
        <v>10.513846153846153</v>
      </c>
      <c r="U10" s="651">
        <f t="shared" si="14"/>
        <v>10.403846153846152</v>
      </c>
      <c r="V10" s="652">
        <f t="shared" si="14"/>
        <v>10.982307692307691</v>
      </c>
      <c r="W10" s="651">
        <f t="shared" si="14"/>
        <v>12.356153846153846</v>
      </c>
      <c r="X10" s="651">
        <f t="shared" si="14"/>
        <v>12.986153846153845</v>
      </c>
      <c r="Y10" s="651">
        <f t="shared" si="14"/>
        <v>11.965384615384615</v>
      </c>
      <c r="Z10" s="652">
        <f t="shared" si="14"/>
        <v>11.526923076923076</v>
      </c>
      <c r="AA10" s="651">
        <f t="shared" si="14"/>
        <v>11.592307692307692</v>
      </c>
      <c r="AB10" s="651">
        <f t="shared" si="14"/>
        <v>11.55</v>
      </c>
      <c r="AC10" s="651">
        <f t="shared" si="14"/>
        <v>11.592307692307692</v>
      </c>
      <c r="AD10" s="652">
        <f t="shared" si="14"/>
        <v>11.342307692307694</v>
      </c>
      <c r="AE10" s="651">
        <f t="shared" si="14"/>
        <v>9.7807692307692307</v>
      </c>
      <c r="AF10" s="651">
        <f t="shared" si="14"/>
        <v>9.1807692307692292</v>
      </c>
      <c r="AG10" s="651">
        <f t="shared" si="14"/>
        <v>8.6428571428571441</v>
      </c>
      <c r="AH10" s="652">
        <f t="shared" si="14"/>
        <v>9.3461538461538467</v>
      </c>
      <c r="AI10" s="651">
        <f t="shared" si="14"/>
        <v>11.473076923076921</v>
      </c>
      <c r="AJ10" s="651">
        <f t="shared" si="14"/>
        <v>11.597692307692309</v>
      </c>
      <c r="AK10" s="651">
        <f t="shared" si="14"/>
        <v>11.516153846153847</v>
      </c>
      <c r="AL10" s="652">
        <f t="shared" si="14"/>
        <v>11.923076923076922</v>
      </c>
      <c r="AM10" s="651">
        <f t="shared" si="2"/>
        <v>12.296153846153848</v>
      </c>
      <c r="AN10" s="651">
        <f t="shared" si="2"/>
        <v>11</v>
      </c>
      <c r="AO10" s="651">
        <f t="shared" si="2"/>
        <v>11.35</v>
      </c>
      <c r="AP10" s="652">
        <f t="shared" si="2"/>
        <v>11.65</v>
      </c>
      <c r="AQ10" s="651">
        <f t="shared" ref="AQ10:AX10" si="15">IF(ISBLANK(AQ153),"",AQ153)</f>
        <v>11.728652443964354</v>
      </c>
      <c r="AR10" s="651">
        <f t="shared" si="15"/>
        <v>11.728652443964354</v>
      </c>
      <c r="AS10" s="651">
        <f t="shared" si="15"/>
        <v>11.728652443964354</v>
      </c>
      <c r="AT10" s="652">
        <f t="shared" si="15"/>
        <v>11.414042668106942</v>
      </c>
      <c r="AU10" s="651">
        <f t="shared" si="15"/>
        <v>11.728652443964354</v>
      </c>
      <c r="AV10" s="651">
        <f t="shared" si="15"/>
        <v>11.728652443964354</v>
      </c>
      <c r="AW10" s="651">
        <f t="shared" si="15"/>
        <v>11.728652443964354</v>
      </c>
      <c r="AX10" s="652">
        <f t="shared" si="15"/>
        <v>11.414042668106942</v>
      </c>
      <c r="AY10" s="651">
        <f t="shared" ref="AY10:BB10" si="16">IF(ISBLANK(AY153),"",AY153)</f>
        <v>11.728652443964354</v>
      </c>
      <c r="AZ10" s="651">
        <f t="shared" si="16"/>
        <v>11.728652443964354</v>
      </c>
      <c r="BA10" s="651">
        <f t="shared" si="16"/>
        <v>11.728652443964354</v>
      </c>
      <c r="BB10" s="652">
        <f t="shared" si="16"/>
        <v>11.414042668106942</v>
      </c>
      <c r="BC10" s="653"/>
      <c r="BD10" s="646"/>
      <c r="BE10" s="647">
        <f>AVERAGE(G10:J10)</f>
        <v>12.726923076923077</v>
      </c>
      <c r="BF10" s="647">
        <f>AVERAGE(K10:N10)</f>
        <v>13.620364010989011</v>
      </c>
      <c r="BG10" s="647">
        <f>AVERAGE(O10:R10)</f>
        <v>9.4750000000000014</v>
      </c>
      <c r="BH10" s="647">
        <f>AVERAGE(S10:V10)</f>
        <v>10.534615384615384</v>
      </c>
      <c r="BI10" s="647">
        <f>AVERAGE(W10:Z10)</f>
        <v>12.208653846153846</v>
      </c>
      <c r="BJ10" s="647">
        <f>AVERAGE(AA10:AD10)</f>
        <v>11.519230769230768</v>
      </c>
      <c r="BK10" s="647">
        <f>AVERAGE(AE10:AH10)</f>
        <v>9.2376373626373631</v>
      </c>
      <c r="BL10" s="647">
        <f>AVERAGE(AI10:AL10)</f>
        <v>11.6275</v>
      </c>
      <c r="BM10" s="647">
        <f>AVERAGE(AM10:AP10)</f>
        <v>11.574038461538462</v>
      </c>
      <c r="BN10" s="647">
        <f t="shared" si="11"/>
        <v>11.650000000000002</v>
      </c>
      <c r="BO10" s="647">
        <f t="shared" si="12"/>
        <v>11.650000000000002</v>
      </c>
      <c r="BP10" s="647">
        <f t="shared" si="13"/>
        <v>11.650000000000002</v>
      </c>
      <c r="BQ10" s="637"/>
      <c r="BR10" s="638"/>
      <c r="BU10" s="609"/>
      <c r="BV10" s="608"/>
      <c r="BW10" s="608"/>
      <c r="BX10" s="608"/>
    </row>
    <row r="11" spans="1:78" ht="12.75" customHeight="1">
      <c r="A11" s="610"/>
      <c r="B11" s="611"/>
      <c r="C11" s="629" t="str">
        <f t="shared" si="3"/>
        <v>NAPP</v>
      </c>
      <c r="D11" s="629" t="str">
        <f t="shared" si="3"/>
        <v/>
      </c>
      <c r="E11" s="629" t="str">
        <f t="shared" si="3"/>
        <v/>
      </c>
      <c r="F11" s="639"/>
      <c r="G11" s="640">
        <f t="shared" ref="G11:AL11" si="17">IF(ISBLANK(G154),"",G154)</f>
        <v>57.360769230769236</v>
      </c>
      <c r="H11" s="641">
        <f t="shared" si="17"/>
        <v>61.346153846153847</v>
      </c>
      <c r="I11" s="641">
        <f t="shared" si="17"/>
        <v>65.019230769230774</v>
      </c>
      <c r="J11" s="642">
        <f t="shared" si="17"/>
        <v>69.714285714285708</v>
      </c>
      <c r="K11" s="640">
        <f t="shared" si="17"/>
        <v>73.291666666666657</v>
      </c>
      <c r="L11" s="641">
        <f t="shared" si="17"/>
        <v>77.380769230769218</v>
      </c>
      <c r="M11" s="641">
        <f t="shared" si="17"/>
        <v>77.203571428571422</v>
      </c>
      <c r="N11" s="642">
        <f t="shared" si="17"/>
        <v>76.461538461538453</v>
      </c>
      <c r="O11" s="640">
        <f t="shared" si="17"/>
        <v>70.211538461538439</v>
      </c>
      <c r="P11" s="641">
        <f t="shared" si="17"/>
        <v>64.988461538461522</v>
      </c>
      <c r="Q11" s="641">
        <f t="shared" si="17"/>
        <v>64.992307692307705</v>
      </c>
      <c r="R11" s="641">
        <f t="shared" si="17"/>
        <v>64.276923076923083</v>
      </c>
      <c r="S11" s="650">
        <f t="shared" si="17"/>
        <v>62.246153846153859</v>
      </c>
      <c r="T11" s="651">
        <f t="shared" si="17"/>
        <v>64.961538461538467</v>
      </c>
      <c r="U11" s="651">
        <f t="shared" si="17"/>
        <v>68.230769230769226</v>
      </c>
      <c r="V11" s="652">
        <f t="shared" si="17"/>
        <v>68.615384615384613</v>
      </c>
      <c r="W11" s="651">
        <f t="shared" si="17"/>
        <v>68.453846153846143</v>
      </c>
      <c r="X11" s="651">
        <f t="shared" si="17"/>
        <v>67.120769230769227</v>
      </c>
      <c r="Y11" s="651">
        <f t="shared" si="17"/>
        <v>63.607692307692297</v>
      </c>
      <c r="Z11" s="652">
        <f t="shared" si="17"/>
        <v>53.301576923076922</v>
      </c>
      <c r="AA11" s="651">
        <f t="shared" si="17"/>
        <v>50.83815384615383</v>
      </c>
      <c r="AB11" s="651">
        <f t="shared" si="17"/>
        <v>50.215538461538465</v>
      </c>
      <c r="AC11" s="651">
        <f t="shared" si="17"/>
        <v>48.245384615384616</v>
      </c>
      <c r="AD11" s="652">
        <f t="shared" si="17"/>
        <v>43.988653846153852</v>
      </c>
      <c r="AE11" s="651">
        <f t="shared" si="17"/>
        <v>40.261730769230766</v>
      </c>
      <c r="AF11" s="651">
        <f t="shared" si="17"/>
        <v>39.132692307692309</v>
      </c>
      <c r="AG11" s="651">
        <f t="shared" si="17"/>
        <v>38.882142857142867</v>
      </c>
      <c r="AH11" s="652">
        <f t="shared" si="17"/>
        <v>42.651346153846148</v>
      </c>
      <c r="AI11" s="651">
        <f t="shared" si="17"/>
        <v>47.554807692307698</v>
      </c>
      <c r="AJ11" s="651">
        <f t="shared" si="17"/>
        <v>49.838461538461537</v>
      </c>
      <c r="AK11" s="651">
        <f t="shared" si="17"/>
        <v>50.339038461538472</v>
      </c>
      <c r="AL11" s="652">
        <f t="shared" si="17"/>
        <v>55.348461538461549</v>
      </c>
      <c r="AM11" s="651">
        <f t="shared" si="2"/>
        <v>57.807500000000005</v>
      </c>
      <c r="AN11" s="651">
        <f t="shared" si="2"/>
        <v>46.55</v>
      </c>
      <c r="AO11" s="651">
        <f t="shared" si="2"/>
        <v>46.55</v>
      </c>
      <c r="AP11" s="652">
        <f t="shared" si="2"/>
        <v>46.55</v>
      </c>
      <c r="AQ11" s="651">
        <f t="shared" ref="AQ11:AX11" si="18">IF(ISBLANK(AQ154),"",AQ154)</f>
        <v>45.746572016741645</v>
      </c>
      <c r="AR11" s="651">
        <f t="shared" si="18"/>
        <v>45.746572016741645</v>
      </c>
      <c r="AS11" s="651">
        <f t="shared" si="18"/>
        <v>45.746572016741645</v>
      </c>
      <c r="AT11" s="652">
        <f t="shared" si="18"/>
        <v>52.760283949775072</v>
      </c>
      <c r="AU11" s="651">
        <f t="shared" si="18"/>
        <v>45.746572016741645</v>
      </c>
      <c r="AV11" s="651">
        <f t="shared" si="18"/>
        <v>45.746572016741645</v>
      </c>
      <c r="AW11" s="651">
        <f t="shared" si="18"/>
        <v>45.746572016741645</v>
      </c>
      <c r="AX11" s="652">
        <f t="shared" si="18"/>
        <v>52.760283949775072</v>
      </c>
      <c r="AY11" s="651">
        <f t="shared" ref="AY11:BB11" si="19">IF(ISBLANK(AY154),"",AY154)</f>
        <v>45.746572016741645</v>
      </c>
      <c r="AZ11" s="651">
        <f t="shared" si="19"/>
        <v>45.746572016741645</v>
      </c>
      <c r="BA11" s="651">
        <f t="shared" si="19"/>
        <v>45.746572016741645</v>
      </c>
      <c r="BB11" s="652">
        <f t="shared" si="19"/>
        <v>52.760283949775072</v>
      </c>
      <c r="BC11" s="653"/>
      <c r="BD11" s="646"/>
      <c r="BE11" s="647">
        <f>AVERAGE(G11:J11)</f>
        <v>63.360109890109896</v>
      </c>
      <c r="BF11" s="647">
        <f>AVERAGE(K11:N11)</f>
        <v>76.084386446886441</v>
      </c>
      <c r="BG11" s="647">
        <f>AVERAGE(O11:R11)</f>
        <v>66.117307692307691</v>
      </c>
      <c r="BH11" s="647">
        <f>AVERAGE(S11:V11)</f>
        <v>66.013461538461542</v>
      </c>
      <c r="BI11" s="647">
        <f>AVERAGE(W11:Z11)</f>
        <v>63.120971153846142</v>
      </c>
      <c r="BJ11" s="647">
        <f>AVERAGE(AA11:AD11)</f>
        <v>48.321932692307691</v>
      </c>
      <c r="BK11" s="647">
        <f>AVERAGE(AE11:AH11)</f>
        <v>40.231978021978023</v>
      </c>
      <c r="BL11" s="647">
        <f>AVERAGE(AI11:AL11)</f>
        <v>50.770192307692312</v>
      </c>
      <c r="BM11" s="647">
        <f>AVERAGE(AM11:AP11)</f>
        <v>49.364374999999995</v>
      </c>
      <c r="BN11" s="647">
        <f t="shared" si="11"/>
        <v>47.5</v>
      </c>
      <c r="BO11" s="647">
        <f t="shared" si="12"/>
        <v>47.5</v>
      </c>
      <c r="BP11" s="647">
        <f t="shared" si="13"/>
        <v>47.5</v>
      </c>
      <c r="BQ11" s="637"/>
      <c r="BR11" s="638"/>
      <c r="BU11" s="609"/>
    </row>
    <row r="12" spans="1:78" ht="12.75" customHeight="1">
      <c r="A12" s="610"/>
      <c r="B12" s="611"/>
      <c r="C12" s="629" t="str">
        <f t="shared" si="3"/>
        <v>ILB</v>
      </c>
      <c r="D12" s="629" t="str">
        <f t="shared" si="3"/>
        <v/>
      </c>
      <c r="E12" s="629" t="str">
        <f t="shared" si="3"/>
        <v/>
      </c>
      <c r="F12" s="639"/>
      <c r="G12" s="640">
        <f t="shared" ref="G12:AL12" si="20">IF(ISBLANK(G155),"",G155)</f>
        <v>41.269230769230766</v>
      </c>
      <c r="H12" s="641">
        <f t="shared" si="20"/>
        <v>41.919230769230765</v>
      </c>
      <c r="I12" s="641">
        <f t="shared" si="20"/>
        <v>42.634615384615387</v>
      </c>
      <c r="J12" s="642">
        <f t="shared" si="20"/>
        <v>47.214285714285715</v>
      </c>
      <c r="K12" s="640">
        <f t="shared" si="20"/>
        <v>47.5</v>
      </c>
      <c r="L12" s="641">
        <f t="shared" si="20"/>
        <v>47.730769230769234</v>
      </c>
      <c r="M12" s="641">
        <f t="shared" si="20"/>
        <v>47.8</v>
      </c>
      <c r="N12" s="642">
        <f t="shared" si="20"/>
        <v>48.323076923076918</v>
      </c>
      <c r="O12" s="640">
        <f t="shared" si="20"/>
        <v>52.46153846153846</v>
      </c>
      <c r="P12" s="641">
        <f t="shared" si="20"/>
        <v>48.615384615384613</v>
      </c>
      <c r="Q12" s="641">
        <f t="shared" si="20"/>
        <v>47.42307692307692</v>
      </c>
      <c r="R12" s="641">
        <f t="shared" si="20"/>
        <v>47.888461538461527</v>
      </c>
      <c r="S12" s="650">
        <f t="shared" si="20"/>
        <v>46.630769230769218</v>
      </c>
      <c r="T12" s="651">
        <f t="shared" si="20"/>
        <v>45.149999999999984</v>
      </c>
      <c r="U12" s="651">
        <f t="shared" si="20"/>
        <v>45.534615384615371</v>
      </c>
      <c r="V12" s="652">
        <f t="shared" si="20"/>
        <v>46.149999999999984</v>
      </c>
      <c r="W12" s="651">
        <f t="shared" si="20"/>
        <v>46.578461538461518</v>
      </c>
      <c r="X12" s="651">
        <f t="shared" si="20"/>
        <v>46.272307692307692</v>
      </c>
      <c r="Y12" s="651">
        <f t="shared" si="20"/>
        <v>44.207692307692305</v>
      </c>
      <c r="Z12" s="652">
        <f t="shared" si="20"/>
        <v>39.274846153846156</v>
      </c>
      <c r="AA12" s="651">
        <f t="shared" si="20"/>
        <v>37.459692307692293</v>
      </c>
      <c r="AB12" s="651">
        <f t="shared" si="20"/>
        <v>37.00092307692308</v>
      </c>
      <c r="AC12" s="651">
        <f t="shared" si="20"/>
        <v>35.549230769230768</v>
      </c>
      <c r="AD12" s="652">
        <f t="shared" si="20"/>
        <v>32.412692307692311</v>
      </c>
      <c r="AE12" s="651">
        <f t="shared" si="20"/>
        <v>29.666538461538462</v>
      </c>
      <c r="AF12" s="651">
        <f t="shared" si="20"/>
        <v>28.834615384615383</v>
      </c>
      <c r="AG12" s="651">
        <f t="shared" si="20"/>
        <v>28.650000000000006</v>
      </c>
      <c r="AH12" s="652">
        <f t="shared" si="20"/>
        <v>31.427307692307689</v>
      </c>
      <c r="AI12" s="651">
        <f t="shared" si="20"/>
        <v>35.040384615384617</v>
      </c>
      <c r="AJ12" s="651">
        <f t="shared" si="20"/>
        <v>36.723076923076917</v>
      </c>
      <c r="AK12" s="651">
        <f t="shared" si="20"/>
        <v>37.091923076923081</v>
      </c>
      <c r="AL12" s="652">
        <f t="shared" si="20"/>
        <v>40.783076923076933</v>
      </c>
      <c r="AM12" s="651">
        <f t="shared" si="2"/>
        <v>42.595000000000006</v>
      </c>
      <c r="AN12" s="651">
        <f t="shared" si="2"/>
        <v>34.299999999999997</v>
      </c>
      <c r="AO12" s="651">
        <f t="shared" si="2"/>
        <v>34.299999999999997</v>
      </c>
      <c r="AP12" s="652">
        <f t="shared" si="2"/>
        <v>34.299999999999997</v>
      </c>
      <c r="AQ12" s="651">
        <f t="shared" ref="AQ12:AX12" si="21">IF(ISBLANK(AQ155),"",AQ155)</f>
        <v>33.708000433388577</v>
      </c>
      <c r="AR12" s="651">
        <f t="shared" si="21"/>
        <v>33.708000433388577</v>
      </c>
      <c r="AS12" s="651">
        <f t="shared" si="21"/>
        <v>33.708000433388577</v>
      </c>
      <c r="AT12" s="652">
        <f t="shared" si="21"/>
        <v>38.875998699834263</v>
      </c>
      <c r="AU12" s="651">
        <f t="shared" si="21"/>
        <v>33.708000433388577</v>
      </c>
      <c r="AV12" s="651">
        <f t="shared" si="21"/>
        <v>33.708000433388577</v>
      </c>
      <c r="AW12" s="651">
        <f t="shared" si="21"/>
        <v>33.708000433388577</v>
      </c>
      <c r="AX12" s="652">
        <f t="shared" si="21"/>
        <v>38.875998699834263</v>
      </c>
      <c r="AY12" s="651">
        <f t="shared" ref="AY12:BB12" si="22">IF(ISBLANK(AY155),"",AY155)</f>
        <v>33.708000433388577</v>
      </c>
      <c r="AZ12" s="651">
        <f t="shared" si="22"/>
        <v>33.708000433388577</v>
      </c>
      <c r="BA12" s="651">
        <f t="shared" si="22"/>
        <v>33.708000433388577</v>
      </c>
      <c r="BB12" s="652">
        <f t="shared" si="22"/>
        <v>38.875998699834263</v>
      </c>
      <c r="BC12" s="653"/>
      <c r="BD12" s="646"/>
      <c r="BE12" s="647">
        <f>AVERAGE(G12:J12)</f>
        <v>43.259340659340658</v>
      </c>
      <c r="BF12" s="647">
        <f>AVERAGE(K12:N12)</f>
        <v>47.838461538461537</v>
      </c>
      <c r="BG12" s="647">
        <f>AVERAGE(O12:R12)</f>
        <v>49.097115384615378</v>
      </c>
      <c r="BH12" s="647">
        <f>AVERAGE(S12:V12)</f>
        <v>45.866346153846138</v>
      </c>
      <c r="BI12" s="647">
        <f>AVERAGE(W12:Z12)</f>
        <v>44.08332692307691</v>
      </c>
      <c r="BJ12" s="647">
        <f>AVERAGE(AA12:AD12)</f>
        <v>35.605634615384616</v>
      </c>
      <c r="BK12" s="647">
        <f>AVERAGE(AE12:AH12)</f>
        <v>29.644615384615385</v>
      </c>
      <c r="BL12" s="647">
        <f>AVERAGE(AI12:AL12)</f>
        <v>37.409615384615392</v>
      </c>
      <c r="BM12" s="647">
        <f>AVERAGE(AM12:AP12)</f>
        <v>36.373750000000001</v>
      </c>
      <c r="BN12" s="647">
        <f t="shared" si="11"/>
        <v>35</v>
      </c>
      <c r="BO12" s="647">
        <f t="shared" si="12"/>
        <v>35</v>
      </c>
      <c r="BP12" s="647">
        <f t="shared" si="13"/>
        <v>35</v>
      </c>
      <c r="BQ12" s="637"/>
      <c r="BR12" s="638"/>
      <c r="BU12" s="609"/>
    </row>
    <row r="13" spans="1:78" ht="12.75" customHeight="1">
      <c r="A13" s="610"/>
      <c r="B13" s="611"/>
      <c r="C13" s="629" t="str">
        <f t="shared" si="3"/>
        <v/>
      </c>
      <c r="D13" s="629" t="str">
        <f t="shared" si="3"/>
        <v/>
      </c>
      <c r="E13" s="629" t="str">
        <f t="shared" si="3"/>
        <v/>
      </c>
      <c r="F13" s="654"/>
      <c r="G13" s="640" t="str">
        <f t="shared" ref="G13:AL13" si="23">IF(ISBLANK(G156),"",G156)</f>
        <v/>
      </c>
      <c r="H13" s="641" t="str">
        <f t="shared" si="23"/>
        <v/>
      </c>
      <c r="I13" s="641" t="str">
        <f t="shared" si="23"/>
        <v/>
      </c>
      <c r="J13" s="642" t="str">
        <f t="shared" si="23"/>
        <v/>
      </c>
      <c r="K13" s="640" t="str">
        <f t="shared" si="23"/>
        <v/>
      </c>
      <c r="L13" s="641" t="str">
        <f t="shared" si="23"/>
        <v/>
      </c>
      <c r="M13" s="641" t="str">
        <f t="shared" si="23"/>
        <v/>
      </c>
      <c r="N13" s="642" t="str">
        <f t="shared" si="23"/>
        <v/>
      </c>
      <c r="O13" s="640" t="str">
        <f t="shared" si="23"/>
        <v/>
      </c>
      <c r="P13" s="641" t="str">
        <f t="shared" si="23"/>
        <v/>
      </c>
      <c r="Q13" s="641" t="str">
        <f t="shared" si="23"/>
        <v/>
      </c>
      <c r="R13" s="645" t="str">
        <f t="shared" si="23"/>
        <v/>
      </c>
      <c r="S13" s="643" t="str">
        <f t="shared" si="23"/>
        <v/>
      </c>
      <c r="T13" s="644" t="str">
        <f t="shared" si="23"/>
        <v/>
      </c>
      <c r="U13" s="644" t="str">
        <f t="shared" si="23"/>
        <v/>
      </c>
      <c r="V13" s="645" t="str">
        <f t="shared" si="23"/>
        <v/>
      </c>
      <c r="W13" s="644" t="str">
        <f t="shared" si="23"/>
        <v/>
      </c>
      <c r="X13" s="644" t="str">
        <f t="shared" si="23"/>
        <v/>
      </c>
      <c r="Y13" s="644" t="str">
        <f t="shared" si="23"/>
        <v/>
      </c>
      <c r="Z13" s="645" t="str">
        <f t="shared" si="23"/>
        <v/>
      </c>
      <c r="AA13" s="644" t="str">
        <f t="shared" si="23"/>
        <v/>
      </c>
      <c r="AB13" s="644" t="str">
        <f t="shared" si="23"/>
        <v/>
      </c>
      <c r="AC13" s="644" t="str">
        <f t="shared" si="23"/>
        <v/>
      </c>
      <c r="AD13" s="645" t="str">
        <f t="shared" si="23"/>
        <v/>
      </c>
      <c r="AE13" s="644" t="str">
        <f t="shared" si="23"/>
        <v/>
      </c>
      <c r="AF13" s="644" t="str">
        <f t="shared" si="23"/>
        <v/>
      </c>
      <c r="AG13" s="644" t="str">
        <f t="shared" si="23"/>
        <v/>
      </c>
      <c r="AH13" s="645" t="str">
        <f t="shared" si="23"/>
        <v/>
      </c>
      <c r="AI13" s="644" t="str">
        <f t="shared" si="23"/>
        <v/>
      </c>
      <c r="AJ13" s="644" t="str">
        <f t="shared" si="23"/>
        <v/>
      </c>
      <c r="AK13" s="644" t="str">
        <f t="shared" si="23"/>
        <v/>
      </c>
      <c r="AL13" s="645" t="str">
        <f t="shared" si="23"/>
        <v/>
      </c>
      <c r="AM13" s="644" t="str">
        <f t="shared" si="2"/>
        <v/>
      </c>
      <c r="AN13" s="644" t="str">
        <f t="shared" si="2"/>
        <v/>
      </c>
      <c r="AO13" s="644" t="str">
        <f t="shared" si="2"/>
        <v/>
      </c>
      <c r="AP13" s="645" t="str">
        <f t="shared" si="2"/>
        <v/>
      </c>
      <c r="AQ13" s="644" t="str">
        <f t="shared" ref="AQ13:AX13" si="24">IF(ISBLANK(AQ156),"",AQ156)</f>
        <v/>
      </c>
      <c r="AR13" s="644" t="str">
        <f t="shared" si="24"/>
        <v/>
      </c>
      <c r="AS13" s="644" t="str">
        <f t="shared" si="24"/>
        <v/>
      </c>
      <c r="AT13" s="645" t="str">
        <f t="shared" si="24"/>
        <v/>
      </c>
      <c r="AU13" s="644" t="str">
        <f t="shared" si="24"/>
        <v/>
      </c>
      <c r="AV13" s="644" t="str">
        <f t="shared" si="24"/>
        <v/>
      </c>
      <c r="AW13" s="644" t="str">
        <f t="shared" si="24"/>
        <v/>
      </c>
      <c r="AX13" s="645" t="str">
        <f t="shared" si="24"/>
        <v/>
      </c>
      <c r="AY13" s="644" t="str">
        <f t="shared" ref="AY13:BB13" si="25">IF(ISBLANK(AY156),"",AY156)</f>
        <v/>
      </c>
      <c r="AZ13" s="644" t="str">
        <f t="shared" si="25"/>
        <v/>
      </c>
      <c r="BA13" s="644" t="str">
        <f t="shared" si="25"/>
        <v/>
      </c>
      <c r="BB13" s="645" t="str">
        <f t="shared" si="25"/>
        <v/>
      </c>
      <c r="BC13" s="646"/>
      <c r="BD13" s="646"/>
      <c r="BE13" s="655"/>
      <c r="BF13" s="655"/>
      <c r="BG13" s="655"/>
      <c r="BH13" s="655"/>
      <c r="BI13" s="655"/>
      <c r="BJ13" s="655"/>
      <c r="BK13" s="655"/>
      <c r="BL13" s="655"/>
      <c r="BM13" s="655"/>
      <c r="BN13" s="655"/>
      <c r="BO13" s="655"/>
      <c r="BP13" s="655"/>
      <c r="BQ13" s="656"/>
      <c r="BR13" s="657"/>
      <c r="BU13" s="609"/>
      <c r="BV13" s="1688"/>
      <c r="BW13" s="637"/>
      <c r="BX13" s="637"/>
      <c r="BY13" s="637"/>
    </row>
    <row r="14" spans="1:78" ht="12.75" customHeight="1">
      <c r="A14" s="610"/>
      <c r="B14" s="611"/>
      <c r="G14" s="661" t="str">
        <f t="shared" ref="G14:AL14" si="26">IF(ISBLANK(G157),"",G157)</f>
        <v/>
      </c>
      <c r="H14" s="662" t="str">
        <f t="shared" si="26"/>
        <v/>
      </c>
      <c r="I14" s="662" t="str">
        <f t="shared" si="26"/>
        <v/>
      </c>
      <c r="J14" s="663" t="str">
        <f t="shared" si="26"/>
        <v/>
      </c>
      <c r="K14" s="661" t="str">
        <f t="shared" si="26"/>
        <v/>
      </c>
      <c r="L14" s="662" t="str">
        <f t="shared" si="26"/>
        <v/>
      </c>
      <c r="M14" s="662" t="str">
        <f t="shared" si="26"/>
        <v/>
      </c>
      <c r="N14" s="663" t="str">
        <f t="shared" si="26"/>
        <v/>
      </c>
      <c r="O14" s="661" t="str">
        <f t="shared" si="26"/>
        <v/>
      </c>
      <c r="P14" s="662" t="str">
        <f t="shared" si="26"/>
        <v/>
      </c>
      <c r="Q14" s="662" t="str">
        <f t="shared" si="26"/>
        <v/>
      </c>
      <c r="R14" s="664" t="str">
        <f t="shared" si="26"/>
        <v/>
      </c>
      <c r="S14" s="665" t="str">
        <f t="shared" si="26"/>
        <v/>
      </c>
      <c r="T14" s="666" t="str">
        <f t="shared" si="26"/>
        <v/>
      </c>
      <c r="U14" s="666" t="str">
        <f t="shared" si="26"/>
        <v/>
      </c>
      <c r="V14" s="664" t="str">
        <f t="shared" si="26"/>
        <v/>
      </c>
      <c r="W14" s="666" t="str">
        <f t="shared" si="26"/>
        <v/>
      </c>
      <c r="X14" s="666" t="str">
        <f t="shared" si="26"/>
        <v/>
      </c>
      <c r="Y14" s="666" t="str">
        <f t="shared" si="26"/>
        <v/>
      </c>
      <c r="Z14" s="667" t="str">
        <f t="shared" si="26"/>
        <v/>
      </c>
      <c r="AA14" s="668" t="str">
        <f t="shared" si="26"/>
        <v/>
      </c>
      <c r="AB14" s="668" t="str">
        <f t="shared" si="26"/>
        <v/>
      </c>
      <c r="AC14" s="668" t="str">
        <f t="shared" si="26"/>
        <v/>
      </c>
      <c r="AD14" s="667" t="str">
        <f t="shared" si="26"/>
        <v/>
      </c>
      <c r="AE14" s="668" t="str">
        <f t="shared" si="26"/>
        <v/>
      </c>
      <c r="AF14" s="668" t="str">
        <f t="shared" si="26"/>
        <v/>
      </c>
      <c r="AG14" s="668" t="str">
        <f t="shared" si="26"/>
        <v/>
      </c>
      <c r="AH14" s="667" t="str">
        <f t="shared" si="26"/>
        <v/>
      </c>
      <c r="AI14" s="668" t="str">
        <f t="shared" si="26"/>
        <v/>
      </c>
      <c r="AJ14" s="668" t="str">
        <f t="shared" si="26"/>
        <v/>
      </c>
      <c r="AK14" s="668" t="str">
        <f t="shared" si="26"/>
        <v/>
      </c>
      <c r="AL14" s="667" t="str">
        <f t="shared" si="26"/>
        <v/>
      </c>
      <c r="AM14" s="668" t="str">
        <f t="shared" si="2"/>
        <v/>
      </c>
      <c r="AN14" s="668" t="str">
        <f t="shared" si="2"/>
        <v/>
      </c>
      <c r="AO14" s="668" t="str">
        <f t="shared" si="2"/>
        <v/>
      </c>
      <c r="AP14" s="667" t="str">
        <f t="shared" si="2"/>
        <v/>
      </c>
      <c r="AQ14" s="668" t="str">
        <f t="shared" ref="AQ14:AX14" si="27">IF(ISBLANK(AQ157),"",AQ157)</f>
        <v/>
      </c>
      <c r="AR14" s="668" t="str">
        <f t="shared" si="27"/>
        <v/>
      </c>
      <c r="AS14" s="668" t="str">
        <f t="shared" si="27"/>
        <v/>
      </c>
      <c r="AT14" s="667" t="str">
        <f t="shared" si="27"/>
        <v/>
      </c>
      <c r="AU14" s="668" t="str">
        <f t="shared" si="27"/>
        <v/>
      </c>
      <c r="AV14" s="668" t="str">
        <f t="shared" si="27"/>
        <v/>
      </c>
      <c r="AW14" s="668" t="str">
        <f t="shared" si="27"/>
        <v/>
      </c>
      <c r="AX14" s="667" t="str">
        <f t="shared" si="27"/>
        <v/>
      </c>
      <c r="AY14" s="668" t="str">
        <f t="shared" ref="AY14:BB14" si="28">IF(ISBLANK(AY157),"",AY157)</f>
        <v/>
      </c>
      <c r="AZ14" s="668" t="str">
        <f t="shared" si="28"/>
        <v/>
      </c>
      <c r="BA14" s="668" t="str">
        <f t="shared" si="28"/>
        <v/>
      </c>
      <c r="BB14" s="667" t="str">
        <f t="shared" si="28"/>
        <v/>
      </c>
      <c r="BC14" s="669"/>
      <c r="BD14" s="670"/>
      <c r="BE14" s="671"/>
      <c r="BF14" s="671"/>
      <c r="BG14" s="671"/>
      <c r="BH14" s="671"/>
      <c r="BI14" s="671"/>
      <c r="BJ14" s="671"/>
      <c r="BK14" s="671"/>
      <c r="BL14" s="671"/>
      <c r="BM14" s="671"/>
      <c r="BN14" s="671"/>
      <c r="BO14" s="671"/>
      <c r="BP14" s="671"/>
      <c r="BQ14" s="656"/>
      <c r="BR14" s="657"/>
      <c r="BU14" s="609"/>
      <c r="BV14" s="1689"/>
      <c r="BW14" s="1690"/>
      <c r="BX14" s="1690"/>
      <c r="BY14" s="1691"/>
    </row>
    <row r="15" spans="1:78" ht="12.75" customHeight="1">
      <c r="A15" s="610"/>
      <c r="B15" s="611"/>
      <c r="C15" s="659" t="str">
        <f t="shared" ref="C15:E34" si="29">IF(ISBLANK(C158),"",C158)</f>
        <v>On-Peak Regional Power Prices ($/MWh)</v>
      </c>
      <c r="D15" s="660" t="str">
        <f t="shared" si="29"/>
        <v/>
      </c>
      <c r="E15" s="660" t="str">
        <f t="shared" si="29"/>
        <v/>
      </c>
      <c r="F15" s="1459"/>
      <c r="G15" s="640" t="str">
        <f t="shared" ref="G15:AL15" si="30">IF(ISBLANK(G158),"",G158)</f>
        <v/>
      </c>
      <c r="H15" s="641" t="str">
        <f t="shared" si="30"/>
        <v/>
      </c>
      <c r="I15" s="641" t="str">
        <f t="shared" si="30"/>
        <v/>
      </c>
      <c r="J15" s="642" t="str">
        <f t="shared" si="30"/>
        <v/>
      </c>
      <c r="K15" s="640" t="str">
        <f t="shared" si="30"/>
        <v/>
      </c>
      <c r="L15" s="641" t="str">
        <f t="shared" si="30"/>
        <v/>
      </c>
      <c r="M15" s="641" t="str">
        <f t="shared" si="30"/>
        <v/>
      </c>
      <c r="N15" s="642" t="str">
        <f t="shared" si="30"/>
        <v/>
      </c>
      <c r="O15" s="640" t="str">
        <f t="shared" si="30"/>
        <v/>
      </c>
      <c r="P15" s="641" t="str">
        <f t="shared" si="30"/>
        <v/>
      </c>
      <c r="Q15" s="641" t="str">
        <f t="shared" si="30"/>
        <v/>
      </c>
      <c r="R15" s="645" t="str">
        <f t="shared" si="30"/>
        <v/>
      </c>
      <c r="S15" s="643" t="str">
        <f t="shared" si="30"/>
        <v/>
      </c>
      <c r="T15" s="644" t="str">
        <f t="shared" si="30"/>
        <v/>
      </c>
      <c r="U15" s="644" t="str">
        <f t="shared" si="30"/>
        <v/>
      </c>
      <c r="V15" s="645" t="str">
        <f t="shared" si="30"/>
        <v/>
      </c>
      <c r="W15" s="644" t="str">
        <f t="shared" si="30"/>
        <v/>
      </c>
      <c r="X15" s="644" t="str">
        <f t="shared" si="30"/>
        <v/>
      </c>
      <c r="Y15" s="644" t="str">
        <f t="shared" si="30"/>
        <v/>
      </c>
      <c r="Z15" s="645" t="str">
        <f t="shared" si="30"/>
        <v/>
      </c>
      <c r="AA15" s="644" t="str">
        <f t="shared" si="30"/>
        <v/>
      </c>
      <c r="AB15" s="644" t="str">
        <f t="shared" si="30"/>
        <v/>
      </c>
      <c r="AC15" s="644" t="str">
        <f t="shared" si="30"/>
        <v/>
      </c>
      <c r="AD15" s="645" t="str">
        <f t="shared" si="30"/>
        <v/>
      </c>
      <c r="AE15" s="644" t="str">
        <f t="shared" si="30"/>
        <v/>
      </c>
      <c r="AF15" s="644" t="str">
        <f t="shared" si="30"/>
        <v/>
      </c>
      <c r="AG15" s="644" t="str">
        <f t="shared" si="30"/>
        <v/>
      </c>
      <c r="AH15" s="645" t="str">
        <f t="shared" si="30"/>
        <v/>
      </c>
      <c r="AI15" s="644" t="str">
        <f t="shared" si="30"/>
        <v/>
      </c>
      <c r="AJ15" s="644" t="str">
        <f t="shared" si="30"/>
        <v/>
      </c>
      <c r="AK15" s="644" t="str">
        <f t="shared" si="30"/>
        <v/>
      </c>
      <c r="AL15" s="645" t="str">
        <f t="shared" si="30"/>
        <v/>
      </c>
      <c r="AM15" s="644" t="str">
        <f t="shared" si="2"/>
        <v/>
      </c>
      <c r="AN15" s="644" t="str">
        <f t="shared" si="2"/>
        <v/>
      </c>
      <c r="AO15" s="644" t="str">
        <f t="shared" si="2"/>
        <v/>
      </c>
      <c r="AP15" s="645" t="str">
        <f t="shared" si="2"/>
        <v/>
      </c>
      <c r="AQ15" s="644" t="str">
        <f t="shared" ref="AQ15:AX15" si="31">IF(ISBLANK(AQ158),"",AQ158)</f>
        <v/>
      </c>
      <c r="AR15" s="644" t="str">
        <f t="shared" si="31"/>
        <v/>
      </c>
      <c r="AS15" s="644" t="str">
        <f t="shared" si="31"/>
        <v/>
      </c>
      <c r="AT15" s="645" t="str">
        <f t="shared" si="31"/>
        <v/>
      </c>
      <c r="AU15" s="644" t="str">
        <f t="shared" si="31"/>
        <v/>
      </c>
      <c r="AV15" s="644" t="str">
        <f t="shared" si="31"/>
        <v/>
      </c>
      <c r="AW15" s="644" t="str">
        <f t="shared" si="31"/>
        <v/>
      </c>
      <c r="AX15" s="645" t="str">
        <f t="shared" si="31"/>
        <v/>
      </c>
      <c r="AY15" s="644" t="str">
        <f t="shared" ref="AY15:BB15" si="32">IF(ISBLANK(AY158),"",AY158)</f>
        <v/>
      </c>
      <c r="AZ15" s="644" t="str">
        <f t="shared" si="32"/>
        <v/>
      </c>
      <c r="BA15" s="644" t="str">
        <f t="shared" si="32"/>
        <v/>
      </c>
      <c r="BB15" s="645" t="str">
        <f t="shared" si="32"/>
        <v/>
      </c>
      <c r="BC15" s="646"/>
      <c r="BD15" s="646"/>
      <c r="BE15" s="655"/>
      <c r="BF15" s="655"/>
      <c r="BG15" s="655"/>
      <c r="BH15" s="672"/>
      <c r="BI15" s="1460"/>
      <c r="BJ15" s="672"/>
      <c r="BK15" s="672"/>
      <c r="BL15" s="672"/>
      <c r="BM15" s="672"/>
      <c r="BN15" s="672"/>
      <c r="BO15" s="672"/>
      <c r="BP15" s="672"/>
      <c r="BQ15" s="656"/>
      <c r="BR15" s="673"/>
      <c r="BS15" s="673"/>
      <c r="BU15" s="609"/>
      <c r="BV15" s="1689"/>
      <c r="BW15" s="674"/>
      <c r="BX15" s="674"/>
      <c r="BY15" s="1691"/>
    </row>
    <row r="16" spans="1:78" ht="12.75" customHeight="1">
      <c r="A16" s="610"/>
      <c r="B16" s="611"/>
      <c r="C16" s="629" t="str">
        <f t="shared" si="29"/>
        <v>Mass Hub</v>
      </c>
      <c r="D16" s="629" t="str">
        <f t="shared" si="29"/>
        <v/>
      </c>
      <c r="E16" s="675" t="str">
        <f t="shared" si="29"/>
        <v/>
      </c>
      <c r="F16" s="676"/>
      <c r="G16" s="640">
        <f t="shared" ref="G16:AL16" si="33">IF(ISBLANK(G159),"",G159)</f>
        <v>55.301269841269843</v>
      </c>
      <c r="H16" s="641">
        <f t="shared" si="33"/>
        <v>51.354570312500016</v>
      </c>
      <c r="I16" s="641">
        <f t="shared" si="33"/>
        <v>67.22877929687499</v>
      </c>
      <c r="J16" s="642">
        <f t="shared" si="33"/>
        <v>51.534971153846179</v>
      </c>
      <c r="K16" s="640">
        <f t="shared" si="33"/>
        <v>63.793710937500023</v>
      </c>
      <c r="L16" s="641">
        <f t="shared" si="33"/>
        <v>48.444853515625013</v>
      </c>
      <c r="M16" s="641">
        <f t="shared" si="33"/>
        <v>55.141689453125004</v>
      </c>
      <c r="N16" s="642">
        <f t="shared" si="33"/>
        <v>41.796567460317455</v>
      </c>
      <c r="O16" s="640">
        <f t="shared" si="33"/>
        <v>33.353476562500006</v>
      </c>
      <c r="P16" s="641">
        <f t="shared" si="33"/>
        <v>34.616933593750005</v>
      </c>
      <c r="Q16" s="641">
        <f t="shared" si="33"/>
        <v>46.289513888888905</v>
      </c>
      <c r="R16" s="641">
        <f t="shared" si="33"/>
        <v>50.846972656250003</v>
      </c>
      <c r="S16" s="643">
        <f t="shared" si="33"/>
        <v>89.765515873015843</v>
      </c>
      <c r="T16" s="644">
        <f t="shared" si="33"/>
        <v>45.063007812499997</v>
      </c>
      <c r="U16" s="644">
        <f t="shared" si="33"/>
        <v>54.984013671875012</v>
      </c>
      <c r="V16" s="645">
        <f t="shared" si="33"/>
        <v>67.341074218749995</v>
      </c>
      <c r="W16" s="644">
        <f t="shared" si="33"/>
        <v>167.3350595238096</v>
      </c>
      <c r="X16" s="644">
        <f t="shared" si="33"/>
        <v>44.335244140625001</v>
      </c>
      <c r="Y16" s="644">
        <f t="shared" si="33"/>
        <v>41.33302734374999</v>
      </c>
      <c r="Z16" s="645">
        <f t="shared" si="33"/>
        <v>48.027636718749996</v>
      </c>
      <c r="AA16" s="644">
        <f t="shared" si="33"/>
        <v>87.659980158730164</v>
      </c>
      <c r="AB16" s="644">
        <f t="shared" si="33"/>
        <v>28.370332031249998</v>
      </c>
      <c r="AC16" s="644">
        <f t="shared" si="33"/>
        <v>42.395605769230762</v>
      </c>
      <c r="AD16" s="645">
        <f t="shared" si="33"/>
        <v>33.065136718749997</v>
      </c>
      <c r="AE16" s="644">
        <f>IF(ISBLANK(AE159),"",AE159)</f>
        <v>30.31946289062499</v>
      </c>
      <c r="AF16" s="644">
        <f t="shared" si="33"/>
        <v>28.207148437500003</v>
      </c>
      <c r="AG16" s="644">
        <f t="shared" si="33"/>
        <v>42.730703124999998</v>
      </c>
      <c r="AH16" s="645">
        <f t="shared" si="33"/>
        <v>38.680972222222231</v>
      </c>
      <c r="AI16" s="644">
        <f t="shared" si="33"/>
        <v>33.978535156249983</v>
      </c>
      <c r="AJ16" s="644">
        <f t="shared" si="33"/>
        <v>33.298916015625018</v>
      </c>
      <c r="AK16" s="644">
        <f t="shared" si="33"/>
        <v>31.712827380952376</v>
      </c>
      <c r="AL16" s="645">
        <f t="shared" si="33"/>
        <v>52.552301587301585</v>
      </c>
      <c r="AM16" s="644">
        <f t="shared" si="2"/>
        <v>62.437333984375016</v>
      </c>
      <c r="AN16" s="644">
        <f t="shared" si="2"/>
        <v>32.65</v>
      </c>
      <c r="AO16" s="644">
        <f t="shared" si="2"/>
        <v>35.383333333333333</v>
      </c>
      <c r="AP16" s="645">
        <f t="shared" si="2"/>
        <v>42.35</v>
      </c>
      <c r="AQ16" s="644">
        <f t="shared" ref="AQ16:AX16" si="34">IF(ISBLANK(AQ159),"",AQ159)</f>
        <v>73.199444871908256</v>
      </c>
      <c r="AR16" s="644">
        <f t="shared" si="34"/>
        <v>31.598138616301913</v>
      </c>
      <c r="AS16" s="644">
        <f t="shared" si="34"/>
        <v>36.852856695587477</v>
      </c>
      <c r="AT16" s="645">
        <f t="shared" si="34"/>
        <v>38.566226482602346</v>
      </c>
      <c r="AU16" s="644">
        <f t="shared" si="34"/>
        <v>73.199444871908256</v>
      </c>
      <c r="AV16" s="644">
        <f t="shared" si="34"/>
        <v>31.598138616301913</v>
      </c>
      <c r="AW16" s="644">
        <f t="shared" si="34"/>
        <v>36.852856695587477</v>
      </c>
      <c r="AX16" s="645">
        <f t="shared" si="34"/>
        <v>38.566226482602346</v>
      </c>
      <c r="AY16" s="644">
        <f t="shared" ref="AY16:BB16" si="35">IF(ISBLANK(AY159),"",AY159)</f>
        <v>73.361914739375962</v>
      </c>
      <c r="AZ16" s="644">
        <f t="shared" si="35"/>
        <v>31.668272281962913</v>
      </c>
      <c r="BA16" s="644">
        <f t="shared" si="35"/>
        <v>36.934653473604257</v>
      </c>
      <c r="BB16" s="645">
        <f t="shared" si="35"/>
        <v>38.651826171456854</v>
      </c>
      <c r="BC16" s="646"/>
      <c r="BD16" s="646"/>
      <c r="BE16" s="655">
        <f t="shared" ref="BE16:BE31" si="36">AVERAGE(G16:J16)</f>
        <v>56.354897651122755</v>
      </c>
      <c r="BF16" s="655">
        <f t="shared" ref="BF16:BF31" si="37">AVERAGE(K16:N16)</f>
        <v>52.29420534164187</v>
      </c>
      <c r="BG16" s="655">
        <f t="shared" ref="BG16:BG31" si="38">AVERAGE(O16:R16)</f>
        <v>41.276724175347226</v>
      </c>
      <c r="BH16" s="672">
        <f t="shared" ref="BH16:BH31" si="39">AVERAGE(S16:V16)</f>
        <v>64.288402894035215</v>
      </c>
      <c r="BI16" s="672">
        <f t="shared" ref="BI16:BI31" si="40">AVERAGE(W16:Z16)</f>
        <v>75.257741931733648</v>
      </c>
      <c r="BJ16" s="672">
        <f t="shared" ref="BJ16:BJ31" si="41">AVERAGE(AA16:AD16)</f>
        <v>47.872763669490226</v>
      </c>
      <c r="BK16" s="672">
        <f t="shared" ref="BK16:BK31" si="42">AVERAGE(AE16:AH16)</f>
        <v>34.984571668836807</v>
      </c>
      <c r="BL16" s="672">
        <f t="shared" ref="BL16:BL31" si="43">AVERAGE(AI16:AL16)</f>
        <v>37.88564503503224</v>
      </c>
      <c r="BM16" s="672">
        <f>AVERAGE(AM16:AP16)</f>
        <v>43.205166829427085</v>
      </c>
      <c r="BN16" s="672">
        <f t="shared" ref="BN16:BN31" si="44">AVERAGE(AQ16:AT16)</f>
        <v>45.054166666599997</v>
      </c>
      <c r="BO16" s="672">
        <f t="shared" ref="BO16:BO31" si="45">AVERAGE(AU16:AX16)</f>
        <v>45.054166666599997</v>
      </c>
      <c r="BP16" s="672">
        <f t="shared" ref="BP16:BP31" si="46">AVERAGE(AY16:BB16)</f>
        <v>45.154166666599998</v>
      </c>
      <c r="BQ16" s="637"/>
      <c r="BR16" s="677"/>
      <c r="BS16" s="672"/>
      <c r="BU16" s="609"/>
      <c r="BV16" s="1689"/>
      <c r="BW16" s="674"/>
      <c r="BX16" s="674"/>
      <c r="BY16" s="1691"/>
    </row>
    <row r="17" spans="1:77" ht="12.75" customHeight="1">
      <c r="A17" s="610"/>
      <c r="B17" s="611"/>
      <c r="C17" s="629" t="str">
        <f t="shared" si="29"/>
        <v>NY Zone A</v>
      </c>
      <c r="D17" s="629" t="str">
        <f t="shared" si="29"/>
        <v/>
      </c>
      <c r="E17" s="675" t="str">
        <f t="shared" si="29"/>
        <v/>
      </c>
      <c r="F17" s="676"/>
      <c r="G17" s="640">
        <f t="shared" ref="G17:AL17" si="47">IF(ISBLANK(G160),"",G160)</f>
        <v>38.230565476190485</v>
      </c>
      <c r="H17" s="641">
        <f t="shared" si="47"/>
        <v>43.142958984374999</v>
      </c>
      <c r="I17" s="641">
        <f t="shared" si="47"/>
        <v>53.878339843750005</v>
      </c>
      <c r="J17" s="642">
        <f t="shared" si="47"/>
        <v>42.122894230769219</v>
      </c>
      <c r="K17" s="640">
        <f t="shared" si="47"/>
        <v>40.630429687500012</v>
      </c>
      <c r="L17" s="641">
        <f t="shared" si="47"/>
        <v>42.511806640624982</v>
      </c>
      <c r="M17" s="641">
        <f t="shared" si="47"/>
        <v>47.368398437499991</v>
      </c>
      <c r="N17" s="642">
        <f t="shared" si="47"/>
        <v>36.792847222222221</v>
      </c>
      <c r="O17" s="640">
        <f t="shared" si="47"/>
        <v>30.628144531250001</v>
      </c>
      <c r="P17" s="641">
        <f t="shared" si="47"/>
        <v>34.255439453125</v>
      </c>
      <c r="Q17" s="641">
        <f t="shared" si="47"/>
        <v>41.418353174603176</v>
      </c>
      <c r="R17" s="641">
        <f t="shared" si="47"/>
        <v>39.001152343749993</v>
      </c>
      <c r="S17" s="643">
        <f t="shared" si="47"/>
        <v>45.623531746031745</v>
      </c>
      <c r="T17" s="644">
        <f t="shared" si="47"/>
        <v>40.663671874999991</v>
      </c>
      <c r="U17" s="644">
        <f t="shared" si="47"/>
        <v>53.937705078124999</v>
      </c>
      <c r="V17" s="645">
        <f t="shared" si="47"/>
        <v>46.228017578124991</v>
      </c>
      <c r="W17" s="644">
        <f t="shared" si="47"/>
        <v>105.87010912698416</v>
      </c>
      <c r="X17" s="644">
        <f t="shared" si="47"/>
        <v>44.886210937499996</v>
      </c>
      <c r="Y17" s="644">
        <f t="shared" si="47"/>
        <v>43.024843750000009</v>
      </c>
      <c r="Z17" s="645">
        <f t="shared" si="47"/>
        <v>39.284560546874999</v>
      </c>
      <c r="AA17" s="644">
        <f t="shared" si="47"/>
        <v>53.16058531746031</v>
      </c>
      <c r="AB17" s="644">
        <f t="shared" si="47"/>
        <v>38.357529296875022</v>
      </c>
      <c r="AC17" s="644">
        <f t="shared" si="47"/>
        <v>40.580288461538458</v>
      </c>
      <c r="AD17" s="645">
        <f t="shared" si="47"/>
        <v>34.609042968749996</v>
      </c>
      <c r="AE17" s="644">
        <f t="shared" si="47"/>
        <v>30.752001953124992</v>
      </c>
      <c r="AF17" s="644">
        <f t="shared" si="47"/>
        <v>35.769550781249997</v>
      </c>
      <c r="AG17" s="644">
        <f t="shared" si="47"/>
        <v>46.082998046874998</v>
      </c>
      <c r="AH17" s="645">
        <f t="shared" si="47"/>
        <v>27.32274801587301</v>
      </c>
      <c r="AI17" s="644">
        <f t="shared" si="47"/>
        <v>27.648046875000006</v>
      </c>
      <c r="AJ17" s="644">
        <f t="shared" si="47"/>
        <v>33.630214843749989</v>
      </c>
      <c r="AK17" s="644">
        <f t="shared" si="47"/>
        <v>34.760575396825409</v>
      </c>
      <c r="AL17" s="645">
        <f t="shared" si="47"/>
        <v>35.233521825396821</v>
      </c>
      <c r="AM17" s="644">
        <f t="shared" si="2"/>
        <v>36.453183593749991</v>
      </c>
      <c r="AN17" s="644">
        <f t="shared" si="2"/>
        <v>37.466666666666661</v>
      </c>
      <c r="AO17" s="644">
        <f t="shared" si="2"/>
        <v>33.733333333333327</v>
      </c>
      <c r="AP17" s="645">
        <f t="shared" si="2"/>
        <v>37.766666666666666</v>
      </c>
      <c r="AQ17" s="644">
        <f t="shared" ref="AQ17:AX17" si="48">IF(ISBLANK(AQ160),"",AQ160)</f>
        <v>52.984877086683952</v>
      </c>
      <c r="AR17" s="644">
        <f t="shared" si="48"/>
        <v>34.892480032694301</v>
      </c>
      <c r="AS17" s="644">
        <f t="shared" si="48"/>
        <v>31.661694844481872</v>
      </c>
      <c r="AT17" s="645">
        <f t="shared" si="48"/>
        <v>28.460948036139868</v>
      </c>
      <c r="AU17" s="644">
        <f t="shared" si="48"/>
        <v>52.579137036825585</v>
      </c>
      <c r="AV17" s="644">
        <f t="shared" si="48"/>
        <v>34.625285365714404</v>
      </c>
      <c r="AW17" s="644">
        <f t="shared" si="48"/>
        <v>31.419240424444556</v>
      </c>
      <c r="AX17" s="645">
        <f t="shared" si="48"/>
        <v>28.243003839415444</v>
      </c>
      <c r="AY17" s="644">
        <f t="shared" ref="AY17:BB17" si="49">IF(ISBLANK(AY160),"",AY160)</f>
        <v>52.937142963086963</v>
      </c>
      <c r="AZ17" s="644">
        <f t="shared" si="49"/>
        <v>34.861045365935311</v>
      </c>
      <c r="BA17" s="644">
        <f t="shared" si="49"/>
        <v>31.633170795015378</v>
      </c>
      <c r="BB17" s="645">
        <f t="shared" si="49"/>
        <v>28.435307542362334</v>
      </c>
      <c r="BC17" s="646"/>
      <c r="BD17" s="646"/>
      <c r="BE17" s="655">
        <f t="shared" si="36"/>
        <v>44.343689633771177</v>
      </c>
      <c r="BF17" s="655">
        <f t="shared" si="37"/>
        <v>41.825870496961798</v>
      </c>
      <c r="BG17" s="655">
        <f t="shared" si="38"/>
        <v>36.325772375682043</v>
      </c>
      <c r="BH17" s="672">
        <f t="shared" si="39"/>
        <v>46.613231569320433</v>
      </c>
      <c r="BI17" s="672">
        <f t="shared" si="40"/>
        <v>58.266431090339793</v>
      </c>
      <c r="BJ17" s="672">
        <f t="shared" si="41"/>
        <v>41.676861511155948</v>
      </c>
      <c r="BK17" s="672">
        <f t="shared" si="42"/>
        <v>34.98182469928075</v>
      </c>
      <c r="BL17" s="672">
        <f t="shared" si="43"/>
        <v>32.818089735243056</v>
      </c>
      <c r="BM17" s="672">
        <f t="shared" ref="BM17:BM31" si="50">AVERAGE(AM17:AP17)</f>
        <v>36.354962565104159</v>
      </c>
      <c r="BN17" s="672">
        <f t="shared" si="44"/>
        <v>37</v>
      </c>
      <c r="BO17" s="672">
        <f t="shared" si="45"/>
        <v>36.716666666599998</v>
      </c>
      <c r="BP17" s="672">
        <f t="shared" si="46"/>
        <v>36.966666666599998</v>
      </c>
      <c r="BQ17" s="637"/>
      <c r="BR17" s="677"/>
      <c r="BS17" s="672"/>
      <c r="BU17" s="609"/>
      <c r="BV17" s="1689"/>
      <c r="BW17" s="1692"/>
      <c r="BX17" s="1692"/>
      <c r="BY17" s="1691"/>
    </row>
    <row r="18" spans="1:77" ht="12.75" customHeight="1">
      <c r="A18" s="610"/>
      <c r="B18" s="611"/>
      <c r="C18" s="629" t="str">
        <f t="shared" si="29"/>
        <v>NY Zone G</v>
      </c>
      <c r="D18" s="629" t="str">
        <f t="shared" si="29"/>
        <v/>
      </c>
      <c r="E18" s="675" t="str">
        <f t="shared" si="29"/>
        <v/>
      </c>
      <c r="F18" s="676"/>
      <c r="G18" s="640">
        <f t="shared" ref="G18:AL18" si="51">IF(ISBLANK(G161),"",G161)</f>
        <v>55.40223214285713</v>
      </c>
      <c r="H18" s="641">
        <f t="shared" si="51"/>
        <v>55.080830078125018</v>
      </c>
      <c r="I18" s="641">
        <f t="shared" si="51"/>
        <v>72.568281249999998</v>
      </c>
      <c r="J18" s="642">
        <f t="shared" si="51"/>
        <v>55.060048076923088</v>
      </c>
      <c r="K18" s="640">
        <f t="shared" si="51"/>
        <v>61.319755859375</v>
      </c>
      <c r="L18" s="641">
        <f t="shared" si="51"/>
        <v>56.261513671875008</v>
      </c>
      <c r="M18" s="641">
        <f t="shared" si="51"/>
        <v>64.744736328125001</v>
      </c>
      <c r="N18" s="642">
        <f t="shared" si="51"/>
        <v>42.035863095238099</v>
      </c>
      <c r="O18" s="640">
        <f t="shared" si="51"/>
        <v>35.479599609374993</v>
      </c>
      <c r="P18" s="641">
        <f t="shared" si="51"/>
        <v>42.463750000000005</v>
      </c>
      <c r="Q18" s="641">
        <f t="shared" si="51"/>
        <v>49.926091269841251</v>
      </c>
      <c r="R18" s="641">
        <f t="shared" si="51"/>
        <v>46.815820312500001</v>
      </c>
      <c r="S18" s="643">
        <f t="shared" si="51"/>
        <v>71.969464285714295</v>
      </c>
      <c r="T18" s="644">
        <f t="shared" si="51"/>
        <v>47.40742187499999</v>
      </c>
      <c r="U18" s="644">
        <f t="shared" si="51"/>
        <v>63.43471679687498</v>
      </c>
      <c r="V18" s="645">
        <f t="shared" si="51"/>
        <v>49.675136718749997</v>
      </c>
      <c r="W18" s="644">
        <f t="shared" si="51"/>
        <v>145.08544642857149</v>
      </c>
      <c r="X18" s="644">
        <f t="shared" si="51"/>
        <v>45.55554687499999</v>
      </c>
      <c r="Y18" s="644">
        <f t="shared" si="51"/>
        <v>40.321435546875001</v>
      </c>
      <c r="Z18" s="645">
        <f t="shared" si="51"/>
        <v>42.091767578124994</v>
      </c>
      <c r="AA18" s="644">
        <f t="shared" si="51"/>
        <v>77.999513888888885</v>
      </c>
      <c r="AB18" s="644">
        <f t="shared" si="51"/>
        <v>32.442470703124989</v>
      </c>
      <c r="AC18" s="644">
        <f t="shared" si="51"/>
        <v>38.379144230769235</v>
      </c>
      <c r="AD18" s="645">
        <f t="shared" si="51"/>
        <v>27.262890625000001</v>
      </c>
      <c r="AE18" s="644">
        <f t="shared" si="51"/>
        <v>30.82033203124999</v>
      </c>
      <c r="AF18" s="644">
        <f t="shared" si="51"/>
        <v>28.172070312500008</v>
      </c>
      <c r="AG18" s="644">
        <f t="shared" si="51"/>
        <v>39.596083984375014</v>
      </c>
      <c r="AH18" s="645">
        <f t="shared" si="51"/>
        <v>34.996567460317451</v>
      </c>
      <c r="AI18" s="644">
        <f t="shared" si="51"/>
        <v>34.973046875000001</v>
      </c>
      <c r="AJ18" s="644">
        <f t="shared" si="51"/>
        <v>33.375703125000008</v>
      </c>
      <c r="AK18" s="644">
        <f t="shared" si="51"/>
        <v>32.778422619047618</v>
      </c>
      <c r="AL18" s="645">
        <f t="shared" si="51"/>
        <v>41.835218253968264</v>
      </c>
      <c r="AM18" s="644">
        <f t="shared" si="2"/>
        <v>50.315361328125007</v>
      </c>
      <c r="AN18" s="644">
        <f t="shared" si="2"/>
        <v>37.133333333333333</v>
      </c>
      <c r="AO18" s="644">
        <f t="shared" si="2"/>
        <v>29.216666666666669</v>
      </c>
      <c r="AP18" s="645">
        <f t="shared" si="2"/>
        <v>41.81666666666667</v>
      </c>
      <c r="AQ18" s="644">
        <f t="shared" ref="AQ18:AX18" si="52">IF(ISBLANK(AQ161),"",AQ161)</f>
        <v>72.206176601284838</v>
      </c>
      <c r="AR18" s="644">
        <f t="shared" si="52"/>
        <v>35.335679660435538</v>
      </c>
      <c r="AS18" s="644">
        <f t="shared" si="52"/>
        <v>28.167385316684786</v>
      </c>
      <c r="AT18" s="645">
        <f t="shared" si="52"/>
        <v>29.507425087994822</v>
      </c>
      <c r="AU18" s="644">
        <f t="shared" si="52"/>
        <v>73.276922890037596</v>
      </c>
      <c r="AV18" s="644">
        <f t="shared" si="52"/>
        <v>35.859672892564298</v>
      </c>
      <c r="AW18" s="644">
        <f t="shared" si="52"/>
        <v>28.585079823046065</v>
      </c>
      <c r="AX18" s="645">
        <f t="shared" si="52"/>
        <v>29.944991060752034</v>
      </c>
      <c r="AY18" s="644">
        <f t="shared" ref="AY18:BB18" si="53">IF(ISBLANK(AY161),"",AY161)</f>
        <v>73.888777912182022</v>
      </c>
      <c r="AZ18" s="644">
        <f t="shared" si="53"/>
        <v>36.159097596637878</v>
      </c>
      <c r="BA18" s="644">
        <f t="shared" si="53"/>
        <v>28.823762398109654</v>
      </c>
      <c r="BB18" s="645">
        <f t="shared" si="53"/>
        <v>30.195028759470443</v>
      </c>
      <c r="BC18" s="646"/>
      <c r="BD18" s="646"/>
      <c r="BE18" s="655">
        <f t="shared" si="36"/>
        <v>59.527847886976311</v>
      </c>
      <c r="BF18" s="655">
        <f t="shared" si="37"/>
        <v>56.090467238653275</v>
      </c>
      <c r="BG18" s="655">
        <f t="shared" si="38"/>
        <v>43.671315297929063</v>
      </c>
      <c r="BH18" s="672">
        <f t="shared" si="39"/>
        <v>58.121684919084821</v>
      </c>
      <c r="BI18" s="672">
        <f t="shared" si="40"/>
        <v>68.263549107142865</v>
      </c>
      <c r="BJ18" s="672">
        <f t="shared" si="41"/>
        <v>44.021004861945784</v>
      </c>
      <c r="BK18" s="672">
        <f t="shared" si="42"/>
        <v>33.396263447110613</v>
      </c>
      <c r="BL18" s="672">
        <f t="shared" si="43"/>
        <v>35.740597718253973</v>
      </c>
      <c r="BM18" s="672">
        <f t="shared" si="50"/>
        <v>39.62050699869792</v>
      </c>
      <c r="BN18" s="672">
        <f t="shared" si="44"/>
        <v>41.304166666599997</v>
      </c>
      <c r="BO18" s="672">
        <f t="shared" si="45"/>
        <v>41.916666666600001</v>
      </c>
      <c r="BP18" s="672">
        <f t="shared" si="46"/>
        <v>42.266666666599995</v>
      </c>
      <c r="BQ18" s="637"/>
      <c r="BR18" s="677"/>
      <c r="BS18" s="672"/>
      <c r="BU18" s="609"/>
      <c r="BV18" s="637"/>
      <c r="BW18" s="637"/>
      <c r="BX18" s="637"/>
      <c r="BY18" s="637"/>
    </row>
    <row r="19" spans="1:77" ht="12.75" customHeight="1">
      <c r="A19" s="610"/>
      <c r="B19" s="611"/>
      <c r="C19" s="678" t="str">
        <f t="shared" si="29"/>
        <v>NY Zone J</v>
      </c>
      <c r="D19" s="629" t="str">
        <f t="shared" si="29"/>
        <v/>
      </c>
      <c r="E19" s="675" t="str">
        <f t="shared" si="29"/>
        <v/>
      </c>
      <c r="F19" s="676"/>
      <c r="G19" s="640">
        <f t="shared" ref="G19:AL19" si="54">IF(ISBLANK(G162),"",G162)</f>
        <v>60.907093253968256</v>
      </c>
      <c r="H19" s="641">
        <f t="shared" si="54"/>
        <v>64.299941406249999</v>
      </c>
      <c r="I19" s="641">
        <f t="shared" si="54"/>
        <v>80.573457031249987</v>
      </c>
      <c r="J19" s="642">
        <f t="shared" si="54"/>
        <v>59.753067307692298</v>
      </c>
      <c r="K19" s="640">
        <f t="shared" si="54"/>
        <v>70.866767578124993</v>
      </c>
      <c r="L19" s="641">
        <f t="shared" si="54"/>
        <v>61.81411132812498</v>
      </c>
      <c r="M19" s="641">
        <f t="shared" si="54"/>
        <v>68.602324218750013</v>
      </c>
      <c r="N19" s="642">
        <f t="shared" si="54"/>
        <v>45.84968253968254</v>
      </c>
      <c r="O19" s="640">
        <f t="shared" si="54"/>
        <v>40.598867187499984</v>
      </c>
      <c r="P19" s="641">
        <f t="shared" si="54"/>
        <v>44.787695312499999</v>
      </c>
      <c r="Q19" s="641">
        <f t="shared" si="54"/>
        <v>52.449682539682534</v>
      </c>
      <c r="R19" s="641">
        <f t="shared" si="54"/>
        <v>48.760292968750008</v>
      </c>
      <c r="S19" s="643">
        <f t="shared" si="54"/>
        <v>82.751825396825382</v>
      </c>
      <c r="T19" s="644">
        <f t="shared" si="54"/>
        <v>51.984208984375009</v>
      </c>
      <c r="U19" s="644">
        <f t="shared" si="54"/>
        <v>67.099775390625013</v>
      </c>
      <c r="V19" s="645">
        <f t="shared" si="54"/>
        <v>50.633037109375017</v>
      </c>
      <c r="W19" s="644">
        <f t="shared" si="54"/>
        <v>156.84135912698406</v>
      </c>
      <c r="X19" s="644">
        <f t="shared" si="54"/>
        <v>47.093769531249976</v>
      </c>
      <c r="Y19" s="644">
        <f t="shared" si="54"/>
        <v>41.267587890624995</v>
      </c>
      <c r="Z19" s="645">
        <f t="shared" si="54"/>
        <v>42.321269531250003</v>
      </c>
      <c r="AA19" s="644">
        <f t="shared" si="54"/>
        <v>80.378015873015883</v>
      </c>
      <c r="AB19" s="644">
        <f t="shared" si="54"/>
        <v>34.555751953125004</v>
      </c>
      <c r="AC19" s="644">
        <f t="shared" si="54"/>
        <v>41.128067307692319</v>
      </c>
      <c r="AD19" s="645">
        <f t="shared" si="54"/>
        <v>28.156972656249998</v>
      </c>
      <c r="AE19" s="644">
        <f t="shared" si="54"/>
        <v>32.810527343750003</v>
      </c>
      <c r="AF19" s="644">
        <f t="shared" si="54"/>
        <v>29.281435546875006</v>
      </c>
      <c r="AG19" s="644">
        <f t="shared" si="54"/>
        <v>42.594873046874994</v>
      </c>
      <c r="AH19" s="645">
        <f t="shared" si="54"/>
        <v>35.888214285714291</v>
      </c>
      <c r="AI19" s="644">
        <f t="shared" si="54"/>
        <v>35.824277343750005</v>
      </c>
      <c r="AJ19" s="644">
        <f t="shared" si="54"/>
        <v>38.990224609374998</v>
      </c>
      <c r="AK19" s="644">
        <f t="shared" si="54"/>
        <v>35.719781746031757</v>
      </c>
      <c r="AL19" s="645">
        <f t="shared" si="54"/>
        <v>42.862331349206364</v>
      </c>
      <c r="AM19" s="644">
        <f t="shared" si="2"/>
        <v>61.037626953124992</v>
      </c>
      <c r="AN19" s="644">
        <f t="shared" si="2"/>
        <v>41.31666666666667</v>
      </c>
      <c r="AO19" s="644">
        <f t="shared" si="2"/>
        <v>34.133333333333333</v>
      </c>
      <c r="AP19" s="645">
        <f t="shared" si="2"/>
        <v>45.383333333333333</v>
      </c>
      <c r="AQ19" s="644">
        <f t="shared" ref="AQ19:AX19" si="55">IF(ISBLANK(AQ162),"",AQ162)</f>
        <v>76.012753062656998</v>
      </c>
      <c r="AR19" s="644">
        <f t="shared" si="55"/>
        <v>38.217946206964925</v>
      </c>
      <c r="AS19" s="644">
        <f t="shared" si="55"/>
        <v>32.581730048010407</v>
      </c>
      <c r="AT19" s="645">
        <f t="shared" si="55"/>
        <v>37.154237348767644</v>
      </c>
      <c r="AU19" s="644">
        <f t="shared" si="55"/>
        <v>77.355612896616023</v>
      </c>
      <c r="AV19" s="644">
        <f t="shared" si="55"/>
        <v>38.893113765432851</v>
      </c>
      <c r="AW19" s="644">
        <f t="shared" si="55"/>
        <v>33.157326837226861</v>
      </c>
      <c r="AX19" s="645">
        <f t="shared" si="55"/>
        <v>37.810613167124252</v>
      </c>
      <c r="AY19" s="644">
        <f t="shared" ref="AY19:BB19" si="56">IF(ISBLANK(AY162),"",AY162)</f>
        <v>78.264625707295977</v>
      </c>
      <c r="AZ19" s="644">
        <f t="shared" si="56"/>
        <v>39.350150266549605</v>
      </c>
      <c r="BA19" s="644">
        <f t="shared" si="56"/>
        <v>33.546961586850315</v>
      </c>
      <c r="BB19" s="645">
        <f t="shared" si="56"/>
        <v>38.254929105704107</v>
      </c>
      <c r="BC19" s="646"/>
      <c r="BD19" s="646"/>
      <c r="BE19" s="655">
        <f t="shared" si="36"/>
        <v>66.383389749790126</v>
      </c>
      <c r="BF19" s="655">
        <f t="shared" si="37"/>
        <v>61.783221416170633</v>
      </c>
      <c r="BG19" s="655">
        <f t="shared" si="38"/>
        <v>46.649134502108133</v>
      </c>
      <c r="BH19" s="672">
        <f t="shared" si="39"/>
        <v>63.117211720300105</v>
      </c>
      <c r="BI19" s="672">
        <f t="shared" si="40"/>
        <v>71.880996520027253</v>
      </c>
      <c r="BJ19" s="672">
        <f t="shared" si="41"/>
        <v>46.054701947520797</v>
      </c>
      <c r="BK19" s="672">
        <f t="shared" si="42"/>
        <v>35.143762555803576</v>
      </c>
      <c r="BL19" s="672">
        <f t="shared" si="43"/>
        <v>38.349153762090779</v>
      </c>
      <c r="BM19" s="672">
        <f t="shared" si="50"/>
        <v>45.467740071614578</v>
      </c>
      <c r="BN19" s="672">
        <f t="shared" si="44"/>
        <v>45.991666666599997</v>
      </c>
      <c r="BO19" s="672">
        <f t="shared" si="45"/>
        <v>46.804166666599997</v>
      </c>
      <c r="BP19" s="672">
        <f t="shared" si="46"/>
        <v>47.354166666599994</v>
      </c>
      <c r="BQ19" s="637"/>
      <c r="BR19" s="677"/>
      <c r="BS19" s="672"/>
      <c r="BU19" s="609"/>
      <c r="BV19" s="679"/>
      <c r="BW19" s="637"/>
      <c r="BX19" s="1693"/>
      <c r="BY19" s="679"/>
    </row>
    <row r="20" spans="1:77" ht="12.75" customHeight="1">
      <c r="A20" s="610"/>
      <c r="B20" s="611"/>
      <c r="C20" s="678" t="str">
        <f t="shared" si="29"/>
        <v>PJM West</v>
      </c>
      <c r="D20" s="678" t="str">
        <f t="shared" si="29"/>
        <v/>
      </c>
      <c r="E20" s="675" t="str">
        <f t="shared" si="29"/>
        <v/>
      </c>
      <c r="F20" s="676"/>
      <c r="G20" s="640">
        <f t="shared" ref="G20:AH20" si="57">IF(ISBLANK(G163),"",G163)</f>
        <v>48.020902807539699</v>
      </c>
      <c r="H20" s="641">
        <f t="shared" si="57"/>
        <v>51.584562626953129</v>
      </c>
      <c r="I20" s="641">
        <f t="shared" si="57"/>
        <v>66.121800654296877</v>
      </c>
      <c r="J20" s="642">
        <f t="shared" si="57"/>
        <v>49.490597307692312</v>
      </c>
      <c r="K20" s="640">
        <f t="shared" si="57"/>
        <v>50.059908115234371</v>
      </c>
      <c r="L20" s="641">
        <f t="shared" si="57"/>
        <v>59.78809870117189</v>
      </c>
      <c r="M20" s="641">
        <f t="shared" si="57"/>
        <v>57.162939843749975</v>
      </c>
      <c r="N20" s="642">
        <f t="shared" si="57"/>
        <v>39.320604523809529</v>
      </c>
      <c r="O20" s="640">
        <f t="shared" si="57"/>
        <v>34.398327744140623</v>
      </c>
      <c r="P20" s="641">
        <f t="shared" si="57"/>
        <v>38.54343235351562</v>
      </c>
      <c r="Q20" s="641">
        <f t="shared" si="57"/>
        <v>48.952091091269828</v>
      </c>
      <c r="R20" s="641">
        <f t="shared" si="57"/>
        <v>41.477144667968737</v>
      </c>
      <c r="S20" s="643">
        <f t="shared" si="57"/>
        <v>41.997815863095234</v>
      </c>
      <c r="T20" s="644">
        <f t="shared" si="57"/>
        <v>45.530304316406237</v>
      </c>
      <c r="U20" s="644">
        <f t="shared" si="57"/>
        <v>48.136464199218764</v>
      </c>
      <c r="V20" s="645">
        <f t="shared" si="57"/>
        <v>40.193486718750002</v>
      </c>
      <c r="W20" s="644">
        <f t="shared" si="57"/>
        <v>113.57858770833333</v>
      </c>
      <c r="X20" s="644">
        <f t="shared" si="57"/>
        <v>50.488559589843774</v>
      </c>
      <c r="Y20" s="644">
        <f t="shared" si="57"/>
        <v>41.389708935546885</v>
      </c>
      <c r="Z20" s="645">
        <f t="shared" si="57"/>
        <v>40.371172851562484</v>
      </c>
      <c r="AA20" s="644">
        <f t="shared" si="57"/>
        <v>56.866776517857168</v>
      </c>
      <c r="AB20" s="644">
        <f t="shared" si="57"/>
        <v>39.147263818359377</v>
      </c>
      <c r="AC20" s="644">
        <f t="shared" si="57"/>
        <v>39.464831807692299</v>
      </c>
      <c r="AD20" s="645">
        <f t="shared" si="57"/>
        <v>31.895178447265625</v>
      </c>
      <c r="AE20" s="644">
        <f t="shared" si="57"/>
        <v>30.103148642578116</v>
      </c>
      <c r="AF20" s="644">
        <f t="shared" si="57"/>
        <v>32.701806339843749</v>
      </c>
      <c r="AG20" s="644">
        <f t="shared" si="57"/>
        <v>38.936782353515625</v>
      </c>
      <c r="AH20" s="645">
        <f t="shared" si="57"/>
        <v>33.269796091269853</v>
      </c>
      <c r="AI20" s="644">
        <f t="shared" ref="AI20:AL24" si="58">IF(ISBLANK(AI163),"",AI163)</f>
        <v>32.144072138671881</v>
      </c>
      <c r="AJ20" s="644">
        <f t="shared" si="58"/>
        <v>32.803312458984372</v>
      </c>
      <c r="AK20" s="644">
        <f t="shared" si="58"/>
        <v>35.491018034722238</v>
      </c>
      <c r="AL20" s="645">
        <f t="shared" si="58"/>
        <v>37.447859950396833</v>
      </c>
      <c r="AM20" s="644">
        <f t="shared" ref="AM20:AX20" si="59">IF(ISBLANK(AM163),"",AM163)</f>
        <v>48.149713212890617</v>
      </c>
      <c r="AN20" s="644">
        <f t="shared" si="59"/>
        <v>34.5</v>
      </c>
      <c r="AO20" s="644">
        <f t="shared" si="59"/>
        <v>36.9</v>
      </c>
      <c r="AP20" s="645">
        <f t="shared" si="59"/>
        <v>34.68333333333333</v>
      </c>
      <c r="AQ20" s="644">
        <f t="shared" si="59"/>
        <v>40.501333218824747</v>
      </c>
      <c r="AR20" s="644">
        <f t="shared" si="59"/>
        <v>29.678493986239484</v>
      </c>
      <c r="AS20" s="644">
        <f t="shared" si="59"/>
        <v>32.100602483050345</v>
      </c>
      <c r="AT20" s="645">
        <f t="shared" si="59"/>
        <v>39.002903645085446</v>
      </c>
      <c r="AU20" s="644">
        <f t="shared" si="59"/>
        <v>40.405777401430235</v>
      </c>
      <c r="AV20" s="644">
        <f t="shared" si="59"/>
        <v>29.608472766528742</v>
      </c>
      <c r="AW20" s="644">
        <f t="shared" si="59"/>
        <v>32.024866721648337</v>
      </c>
      <c r="AX20" s="645">
        <f t="shared" si="59"/>
        <v>38.910883110392696</v>
      </c>
      <c r="AY20" s="1406">
        <f t="shared" ref="AY20:BB20" si="60">IF(ISBLANK(AY163),"",IF(Uplift="Yes",AY82/1000*(AY57+AY$8),AY163))</f>
        <v>36.862798601018014</v>
      </c>
      <c r="AZ20" s="1406">
        <f t="shared" si="60"/>
        <v>30.037221358721993</v>
      </c>
      <c r="BA20" s="1406">
        <f t="shared" si="60"/>
        <v>30.677119225187251</v>
      </c>
      <c r="BB20" s="1407">
        <f t="shared" si="60"/>
        <v>38.969260815072701</v>
      </c>
      <c r="BC20" s="646"/>
      <c r="BD20" s="646"/>
      <c r="BE20" s="655">
        <f t="shared" si="36"/>
        <v>53.804465849120504</v>
      </c>
      <c r="BF20" s="655">
        <f t="shared" si="37"/>
        <v>51.582887795991439</v>
      </c>
      <c r="BG20" s="655">
        <f t="shared" si="38"/>
        <v>40.842748964223702</v>
      </c>
      <c r="BH20" s="672">
        <f t="shared" si="39"/>
        <v>43.964517774367557</v>
      </c>
      <c r="BI20" s="672">
        <f t="shared" si="40"/>
        <v>61.457007271321615</v>
      </c>
      <c r="BJ20" s="672">
        <f t="shared" si="41"/>
        <v>41.843512647793617</v>
      </c>
      <c r="BK20" s="672">
        <f t="shared" si="42"/>
        <v>33.752883356801831</v>
      </c>
      <c r="BL20" s="672">
        <f t="shared" si="43"/>
        <v>34.471565645693829</v>
      </c>
      <c r="BM20" s="672">
        <f t="shared" si="50"/>
        <v>38.55826163655599</v>
      </c>
      <c r="BN20" s="672">
        <f t="shared" si="44"/>
        <v>35.320833333300001</v>
      </c>
      <c r="BO20" s="672">
        <f t="shared" si="45"/>
        <v>35.237500000000004</v>
      </c>
      <c r="BP20" s="672">
        <f t="shared" si="46"/>
        <v>34.136599999999987</v>
      </c>
      <c r="BQ20" s="679"/>
      <c r="BR20" s="677"/>
      <c r="BS20" s="672"/>
      <c r="BU20" s="609"/>
      <c r="BV20" s="637"/>
      <c r="BW20" s="637"/>
      <c r="BX20" s="637"/>
      <c r="BY20" s="637"/>
    </row>
    <row r="21" spans="1:77" ht="12.75" customHeight="1">
      <c r="A21" s="610"/>
      <c r="B21" s="611"/>
      <c r="C21" s="678" t="str">
        <f t="shared" si="29"/>
        <v>PJM East</v>
      </c>
      <c r="D21" s="678" t="str">
        <f t="shared" si="29"/>
        <v/>
      </c>
      <c r="E21" s="675" t="str">
        <f t="shared" si="29"/>
        <v/>
      </c>
      <c r="F21" s="676"/>
      <c r="G21" s="640">
        <f t="shared" ref="G21:AH21" si="61">IF(ISBLANK(G164),"",G164)</f>
        <v>52.409421755952401</v>
      </c>
      <c r="H21" s="641">
        <f t="shared" si="61"/>
        <v>56.777662714843743</v>
      </c>
      <c r="I21" s="641">
        <f t="shared" si="61"/>
        <v>79.80542767578126</v>
      </c>
      <c r="J21" s="642">
        <f t="shared" si="61"/>
        <v>53.380955625000034</v>
      </c>
      <c r="K21" s="640">
        <f t="shared" si="61"/>
        <v>56.349727597656255</v>
      </c>
      <c r="L21" s="641">
        <f t="shared" si="61"/>
        <v>65.570403749999997</v>
      </c>
      <c r="M21" s="641">
        <f t="shared" si="61"/>
        <v>66.498248447265624</v>
      </c>
      <c r="N21" s="642">
        <f t="shared" si="61"/>
        <v>40.979681686507909</v>
      </c>
      <c r="O21" s="640">
        <f t="shared" si="61"/>
        <v>38.512803037109371</v>
      </c>
      <c r="P21" s="641">
        <f t="shared" si="61"/>
        <v>36.974501874023439</v>
      </c>
      <c r="Q21" s="641">
        <f t="shared" si="61"/>
        <v>55.885414017857158</v>
      </c>
      <c r="R21" s="641">
        <f t="shared" si="61"/>
        <v>46.126044788085935</v>
      </c>
      <c r="S21" s="643">
        <f t="shared" si="61"/>
        <v>42.607887670634931</v>
      </c>
      <c r="T21" s="644">
        <f t="shared" si="61"/>
        <v>47.166300820312507</v>
      </c>
      <c r="U21" s="644">
        <f t="shared" si="61"/>
        <v>55.200128388671871</v>
      </c>
      <c r="V21" s="645">
        <f t="shared" si="61"/>
        <v>42.192332373046867</v>
      </c>
      <c r="W21" s="644">
        <f t="shared" si="61"/>
        <v>132.34547472222224</v>
      </c>
      <c r="X21" s="644">
        <f t="shared" si="61"/>
        <v>53.88701666992187</v>
      </c>
      <c r="Y21" s="644">
        <f t="shared" si="61"/>
        <v>45.337472450195328</v>
      </c>
      <c r="Z21" s="645">
        <f t="shared" si="61"/>
        <v>49.12051941503907</v>
      </c>
      <c r="AA21" s="644">
        <f t="shared" si="61"/>
        <v>67.284598143849209</v>
      </c>
      <c r="AB21" s="644">
        <f t="shared" si="61"/>
        <v>36.819058058593754</v>
      </c>
      <c r="AC21" s="644">
        <f t="shared" si="61"/>
        <v>39.89850856153847</v>
      </c>
      <c r="AD21" s="645">
        <f t="shared" si="61"/>
        <v>30.041686161132823</v>
      </c>
      <c r="AE21" s="644">
        <f t="shared" si="61"/>
        <v>31.266320479492187</v>
      </c>
      <c r="AF21" s="644">
        <f t="shared" si="61"/>
        <v>28.707086242187497</v>
      </c>
      <c r="AG21" s="644">
        <f t="shared" si="61"/>
        <v>40.605906624023433</v>
      </c>
      <c r="AH21" s="645">
        <f t="shared" si="61"/>
        <v>28.828253920634918</v>
      </c>
      <c r="AI21" s="644">
        <f t="shared" si="58"/>
        <v>33.256564817382809</v>
      </c>
      <c r="AJ21" s="644">
        <f t="shared" si="58"/>
        <v>32.387231337890618</v>
      </c>
      <c r="AK21" s="644">
        <f t="shared" si="58"/>
        <v>34.354411583333331</v>
      </c>
      <c r="AL21" s="645">
        <f t="shared" si="58"/>
        <v>39.044797251984129</v>
      </c>
      <c r="AM21" s="644">
        <f t="shared" ref="AM21:AX21" si="62">IF(ISBLANK(AM164),"",AM164)</f>
        <v>49.504310380859373</v>
      </c>
      <c r="AN21" s="644">
        <f t="shared" si="62"/>
        <v>34.371333333333332</v>
      </c>
      <c r="AO21" s="644">
        <f t="shared" si="62"/>
        <v>38.062833333333337</v>
      </c>
      <c r="AP21" s="645">
        <f t="shared" si="62"/>
        <v>34.614333333333327</v>
      </c>
      <c r="AQ21" s="644">
        <f t="shared" si="62"/>
        <v>46.510944725679025</v>
      </c>
      <c r="AR21" s="644">
        <f t="shared" si="62"/>
        <v>30.296280173373429</v>
      </c>
      <c r="AS21" s="644">
        <f t="shared" si="62"/>
        <v>33.947384063861342</v>
      </c>
      <c r="AT21" s="645">
        <f t="shared" si="62"/>
        <v>36.41005770348621</v>
      </c>
      <c r="AU21" s="644">
        <f t="shared" si="62"/>
        <v>46.479340030218317</v>
      </c>
      <c r="AV21" s="644">
        <f t="shared" si="62"/>
        <v>30.275693519756327</v>
      </c>
      <c r="AW21" s="644">
        <f t="shared" si="62"/>
        <v>33.924316445231923</v>
      </c>
      <c r="AX21" s="645">
        <f t="shared" si="62"/>
        <v>36.385316671193436</v>
      </c>
      <c r="AY21" s="1406">
        <f t="shared" ref="AY21:BB21" si="63">IF(ISBLANK(AY164),"",IF(Uplift="Yes",AY83/1000*(AY58+AY$8),AY164))</f>
        <v>35.255632098347085</v>
      </c>
      <c r="AZ21" s="1406">
        <f t="shared" si="63"/>
        <v>28.727640484964986</v>
      </c>
      <c r="BA21" s="1406">
        <f t="shared" si="63"/>
        <v>29.339639698719566</v>
      </c>
      <c r="BB21" s="1407">
        <f t="shared" si="63"/>
        <v>37.270255503682641</v>
      </c>
      <c r="BC21" s="646"/>
      <c r="BD21" s="646"/>
      <c r="BE21" s="655">
        <f t="shared" si="36"/>
        <v>60.593366942894363</v>
      </c>
      <c r="BF21" s="655">
        <f t="shared" si="37"/>
        <v>57.349515370357445</v>
      </c>
      <c r="BG21" s="655">
        <f t="shared" si="38"/>
        <v>44.374690929268979</v>
      </c>
      <c r="BH21" s="672">
        <f t="shared" si="39"/>
        <v>46.791662313166547</v>
      </c>
      <c r="BI21" s="672">
        <f t="shared" si="40"/>
        <v>70.172620814344626</v>
      </c>
      <c r="BJ21" s="672">
        <f t="shared" si="41"/>
        <v>43.510962731278561</v>
      </c>
      <c r="BK21" s="672">
        <f t="shared" si="42"/>
        <v>32.351891816584505</v>
      </c>
      <c r="BL21" s="672">
        <f t="shared" si="43"/>
        <v>34.760751247647725</v>
      </c>
      <c r="BM21" s="672">
        <f t="shared" si="50"/>
        <v>39.138202595214842</v>
      </c>
      <c r="BN21" s="672">
        <f t="shared" si="44"/>
        <v>36.791166666600006</v>
      </c>
      <c r="BO21" s="672">
        <f t="shared" si="45"/>
        <v>36.7661666666</v>
      </c>
      <c r="BP21" s="672">
        <f t="shared" si="46"/>
        <v>32.648291946428571</v>
      </c>
      <c r="BQ21" s="679"/>
      <c r="BR21" s="677"/>
      <c r="BS21" s="672"/>
      <c r="BU21" s="609"/>
      <c r="BV21" s="1688"/>
      <c r="BW21" s="637"/>
      <c r="BX21" s="637"/>
      <c r="BY21" s="637"/>
    </row>
    <row r="22" spans="1:77" ht="12.75" customHeight="1">
      <c r="A22" s="610"/>
      <c r="B22" s="680"/>
      <c r="C22" s="678" t="str">
        <f t="shared" si="29"/>
        <v>AEP Dayton</v>
      </c>
      <c r="D22" s="629" t="str">
        <f t="shared" si="29"/>
        <v/>
      </c>
      <c r="E22" s="675" t="str">
        <f t="shared" si="29"/>
        <v/>
      </c>
      <c r="F22" s="676"/>
      <c r="G22" s="640">
        <f t="shared" ref="G22:AH22" si="64">IF(ISBLANK(G165),"",G165)</f>
        <v>42.318757033730158</v>
      </c>
      <c r="H22" s="641">
        <f t="shared" si="64"/>
        <v>43.07423765625002</v>
      </c>
      <c r="I22" s="641">
        <f t="shared" si="64"/>
        <v>51.328195917968742</v>
      </c>
      <c r="J22" s="642">
        <f t="shared" si="64"/>
        <v>38.933001861538465</v>
      </c>
      <c r="K22" s="640">
        <f t="shared" si="64"/>
        <v>41.451086953125014</v>
      </c>
      <c r="L22" s="641">
        <f t="shared" si="64"/>
        <v>51.097349746093769</v>
      </c>
      <c r="M22" s="641">
        <f t="shared" si="64"/>
        <v>50.310268931640643</v>
      </c>
      <c r="N22" s="642">
        <f t="shared" si="64"/>
        <v>37.410923978174601</v>
      </c>
      <c r="O22" s="640">
        <f t="shared" si="64"/>
        <v>32.153772558593758</v>
      </c>
      <c r="P22" s="641">
        <f t="shared" si="64"/>
        <v>34.709669501953115</v>
      </c>
      <c r="Q22" s="641">
        <f t="shared" si="64"/>
        <v>44.635360783730164</v>
      </c>
      <c r="R22" s="641">
        <f t="shared" si="64"/>
        <v>38.089502343749999</v>
      </c>
      <c r="S22" s="643">
        <f t="shared" si="64"/>
        <v>38.017161944444446</v>
      </c>
      <c r="T22" s="644">
        <f t="shared" si="64"/>
        <v>41.806956083984382</v>
      </c>
      <c r="U22" s="644">
        <f t="shared" si="64"/>
        <v>41.772417763671875</v>
      </c>
      <c r="V22" s="645">
        <f t="shared" si="64"/>
        <v>36.018476103515631</v>
      </c>
      <c r="W22" s="644">
        <f t="shared" si="64"/>
        <v>79.351583283730179</v>
      </c>
      <c r="X22" s="644">
        <f t="shared" si="64"/>
        <v>50.487840683593745</v>
      </c>
      <c r="Y22" s="644">
        <f t="shared" si="64"/>
        <v>38.234623320312501</v>
      </c>
      <c r="Z22" s="645">
        <f t="shared" si="64"/>
        <v>40.068190000000001</v>
      </c>
      <c r="AA22" s="644">
        <f t="shared" si="64"/>
        <v>43.107304533730151</v>
      </c>
      <c r="AB22" s="644">
        <f t="shared" si="64"/>
        <v>36.571755771484384</v>
      </c>
      <c r="AC22" s="644">
        <f t="shared" si="64"/>
        <v>35.906114451923074</v>
      </c>
      <c r="AD22" s="645">
        <f t="shared" si="64"/>
        <v>30.830603544921882</v>
      </c>
      <c r="AE22" s="644">
        <f t="shared" si="64"/>
        <v>27.466274697265614</v>
      </c>
      <c r="AF22" s="644">
        <f t="shared" si="64"/>
        <v>31.331062939453119</v>
      </c>
      <c r="AG22" s="644">
        <f t="shared" si="64"/>
        <v>37.764263886718759</v>
      </c>
      <c r="AH22" s="645">
        <f t="shared" si="64"/>
        <v>32.442105446428577</v>
      </c>
      <c r="AI22" s="644">
        <f t="shared" si="58"/>
        <v>30.987138056640639</v>
      </c>
      <c r="AJ22" s="644">
        <f t="shared" si="58"/>
        <v>33.05749094726562</v>
      </c>
      <c r="AK22" s="644">
        <f t="shared" si="58"/>
        <v>36.590803630952387</v>
      </c>
      <c r="AL22" s="645">
        <f t="shared" si="58"/>
        <v>32.10412905753968</v>
      </c>
      <c r="AM22" s="644">
        <f t="shared" ref="AM22:AX22" si="65">IF(ISBLANK(AM165),"",AM165)</f>
        <v>39.582188720703122</v>
      </c>
      <c r="AN22" s="644">
        <f t="shared" si="65"/>
        <v>35.416666666666664</v>
      </c>
      <c r="AO22" s="644">
        <f t="shared" si="65"/>
        <v>37.699999999999996</v>
      </c>
      <c r="AP22" s="645">
        <f t="shared" si="65"/>
        <v>34.06666666666667</v>
      </c>
      <c r="AQ22" s="644">
        <f t="shared" si="65"/>
        <v>37.104731797582915</v>
      </c>
      <c r="AR22" s="644">
        <f t="shared" si="65"/>
        <v>31.21709085897621</v>
      </c>
      <c r="AS22" s="644">
        <f t="shared" si="65"/>
        <v>33.846064219263162</v>
      </c>
      <c r="AT22" s="645">
        <f t="shared" si="65"/>
        <v>36.098779790577716</v>
      </c>
      <c r="AU22" s="644">
        <f t="shared" si="65"/>
        <v>36.757952834841539</v>
      </c>
      <c r="AV22" s="644">
        <f t="shared" si="65"/>
        <v>30.925337493207795</v>
      </c>
      <c r="AW22" s="644">
        <f t="shared" si="65"/>
        <v>33.52974060030094</v>
      </c>
      <c r="AX22" s="645">
        <f t="shared" si="65"/>
        <v>35.761402404849747</v>
      </c>
      <c r="AY22" s="1406">
        <f t="shared" ref="AY22:BB22" si="66">IF(ISBLANK(AY165),"",IF(Uplift="Yes",AY84/1000*(AY59+AY$8),AY165))</f>
        <v>39.021476073441761</v>
      </c>
      <c r="AZ22" s="1406">
        <f t="shared" si="66"/>
        <v>31.796194511658026</v>
      </c>
      <c r="BA22" s="1406">
        <f t="shared" si="66"/>
        <v>32.473564658075254</v>
      </c>
      <c r="BB22" s="1407">
        <f t="shared" si="66"/>
        <v>41.251292256824925</v>
      </c>
      <c r="BC22" s="646"/>
      <c r="BD22" s="646"/>
      <c r="BE22" s="655">
        <f t="shared" si="36"/>
        <v>43.913548117371846</v>
      </c>
      <c r="BF22" s="655">
        <f t="shared" si="37"/>
        <v>45.067407402258503</v>
      </c>
      <c r="BG22" s="655">
        <f t="shared" si="38"/>
        <v>37.397076297006763</v>
      </c>
      <c r="BH22" s="672">
        <f t="shared" si="39"/>
        <v>39.403752973904083</v>
      </c>
      <c r="BI22" s="672">
        <f t="shared" si="40"/>
        <v>52.035559321909105</v>
      </c>
      <c r="BJ22" s="672">
        <f t="shared" si="41"/>
        <v>36.603944575514873</v>
      </c>
      <c r="BK22" s="672">
        <f t="shared" si="42"/>
        <v>32.250926742466518</v>
      </c>
      <c r="BL22" s="672">
        <f t="shared" si="43"/>
        <v>33.184890423099588</v>
      </c>
      <c r="BM22" s="672">
        <f t="shared" si="50"/>
        <v>36.69138051350911</v>
      </c>
      <c r="BN22" s="672">
        <f t="shared" si="44"/>
        <v>34.5666666666</v>
      </c>
      <c r="BO22" s="672">
        <f t="shared" si="45"/>
        <v>34.243608333300003</v>
      </c>
      <c r="BP22" s="672">
        <f t="shared" si="46"/>
        <v>36.135631874999987</v>
      </c>
      <c r="BQ22" s="637"/>
      <c r="BR22" s="677"/>
      <c r="BS22" s="672"/>
      <c r="BU22" s="609"/>
      <c r="BV22" s="1689"/>
      <c r="BW22" s="1690"/>
      <c r="BX22" s="1690"/>
      <c r="BY22" s="1691"/>
    </row>
    <row r="23" spans="1:77" ht="12.75" customHeight="1">
      <c r="A23" s="610"/>
      <c r="B23" s="611"/>
      <c r="C23" s="678" t="str">
        <f t="shared" si="29"/>
        <v>Cinergy</v>
      </c>
      <c r="D23" s="629" t="str">
        <f t="shared" si="29"/>
        <v/>
      </c>
      <c r="E23" s="675" t="str">
        <f t="shared" si="29"/>
        <v/>
      </c>
      <c r="F23" s="676"/>
      <c r="G23" s="640">
        <f t="shared" ref="G23:AH23" si="67">IF(ISBLANK(G166),"",G166)</f>
        <v>42.324658253968252</v>
      </c>
      <c r="H23" s="641">
        <f t="shared" si="67"/>
        <v>43.262810498046875</v>
      </c>
      <c r="I23" s="641">
        <f t="shared" si="67"/>
        <v>51.606527089843752</v>
      </c>
      <c r="J23" s="642">
        <f t="shared" si="67"/>
        <v>38.918928847115382</v>
      </c>
      <c r="K23" s="640">
        <f t="shared" si="67"/>
        <v>41.488797080078136</v>
      </c>
      <c r="L23" s="641">
        <f t="shared" si="67"/>
        <v>50.985843300781255</v>
      </c>
      <c r="M23" s="641">
        <f t="shared" si="67"/>
        <v>50.268828780273431</v>
      </c>
      <c r="N23" s="642">
        <f t="shared" si="67"/>
        <v>37.525041934523813</v>
      </c>
      <c r="O23" s="640">
        <f t="shared" si="67"/>
        <v>32.221690878906244</v>
      </c>
      <c r="P23" s="641">
        <f t="shared" si="67"/>
        <v>34.827419687500004</v>
      </c>
      <c r="Q23" s="641">
        <f t="shared" si="67"/>
        <v>44.932445357142846</v>
      </c>
      <c r="R23" s="641">
        <f t="shared" si="67"/>
        <v>38.199312265625004</v>
      </c>
      <c r="S23" s="643">
        <f t="shared" si="67"/>
        <v>37.715632986111103</v>
      </c>
      <c r="T23" s="644">
        <f t="shared" si="67"/>
        <v>41.987925156249993</v>
      </c>
      <c r="U23" s="644">
        <f t="shared" si="67"/>
        <v>41.924110576171877</v>
      </c>
      <c r="V23" s="645">
        <f t="shared" si="67"/>
        <v>36.103588144531251</v>
      </c>
      <c r="W23" s="644">
        <f t="shared" si="67"/>
        <v>79.291454067460307</v>
      </c>
      <c r="X23" s="644">
        <f t="shared" si="67"/>
        <v>50.610264160156234</v>
      </c>
      <c r="Y23" s="644">
        <f t="shared" si="67"/>
        <v>38.224814638671887</v>
      </c>
      <c r="Z23" s="645">
        <f t="shared" si="67"/>
        <v>39.049467128906258</v>
      </c>
      <c r="AA23" s="644">
        <f t="shared" si="67"/>
        <v>42.983203065476189</v>
      </c>
      <c r="AB23" s="644">
        <f t="shared" si="67"/>
        <v>35.431994833984376</v>
      </c>
      <c r="AC23" s="644">
        <f t="shared" si="67"/>
        <v>35.234762865384596</v>
      </c>
      <c r="AD23" s="645">
        <f t="shared" si="67"/>
        <v>30.793894384765622</v>
      </c>
      <c r="AE23" s="644">
        <f t="shared" si="67"/>
        <v>27.255926289062497</v>
      </c>
      <c r="AF23" s="644">
        <f t="shared" si="67"/>
        <v>31.587512695312501</v>
      </c>
      <c r="AG23" s="644">
        <f t="shared" si="67"/>
        <v>38.382545029296871</v>
      </c>
      <c r="AH23" s="645">
        <f t="shared" si="67"/>
        <v>32.453721736111113</v>
      </c>
      <c r="AI23" s="644">
        <f t="shared" si="58"/>
        <v>31.073804345703124</v>
      </c>
      <c r="AJ23" s="644">
        <f t="shared" si="58"/>
        <v>33.234170273437506</v>
      </c>
      <c r="AK23" s="644">
        <f t="shared" si="58"/>
        <v>36.864877966269844</v>
      </c>
      <c r="AL23" s="645">
        <f t="shared" si="58"/>
        <v>32.037018710317462</v>
      </c>
      <c r="AM23" s="644">
        <f t="shared" ref="AM23:AX23" si="68">IF(ISBLANK(AM166),"",AM166)</f>
        <v>38.43211967773437</v>
      </c>
      <c r="AN23" s="644">
        <f t="shared" si="68"/>
        <v>33.833333333333336</v>
      </c>
      <c r="AO23" s="644">
        <f t="shared" si="68"/>
        <v>36.31666666666667</v>
      </c>
      <c r="AP23" s="645">
        <f t="shared" si="68"/>
        <v>33.616666666666667</v>
      </c>
      <c r="AQ23" s="644">
        <f t="shared" si="68"/>
        <v>34.505559751881279</v>
      </c>
      <c r="AR23" s="644">
        <f t="shared" si="68"/>
        <v>30.200278902105268</v>
      </c>
      <c r="AS23" s="644">
        <f t="shared" si="68"/>
        <v>33.302613632090925</v>
      </c>
      <c r="AT23" s="645">
        <f t="shared" si="68"/>
        <v>36.708214380322516</v>
      </c>
      <c r="AU23" s="644">
        <f t="shared" si="68"/>
        <v>34.591868474798638</v>
      </c>
      <c r="AV23" s="644">
        <f t="shared" si="68"/>
        <v>30.275818830236602</v>
      </c>
      <c r="AW23" s="644">
        <f t="shared" si="68"/>
        <v>33.385913427053367</v>
      </c>
      <c r="AX23" s="645">
        <f t="shared" si="68"/>
        <v>36.800032601111397</v>
      </c>
      <c r="AY23" s="1406">
        <f t="shared" ref="AY23:BB23" si="69">IF(ISBLANK(AY166),"",IF(Uplift="Yes",AY85/1000*(AY60+AY$8),AY166))</f>
        <v>50.817747409197004</v>
      </c>
      <c r="AZ23" s="1406">
        <f t="shared" si="69"/>
        <v>44.54118398856393</v>
      </c>
      <c r="BA23" s="1406">
        <f t="shared" si="69"/>
        <v>45.129611809248281</v>
      </c>
      <c r="BB23" s="1407">
        <f t="shared" si="69"/>
        <v>52.754776792990775</v>
      </c>
      <c r="BC23" s="646"/>
      <c r="BD23" s="646"/>
      <c r="BE23" s="655">
        <f t="shared" si="36"/>
        <v>44.028231172243565</v>
      </c>
      <c r="BF23" s="655">
        <f t="shared" si="37"/>
        <v>45.067127773914159</v>
      </c>
      <c r="BG23" s="655">
        <f t="shared" si="38"/>
        <v>37.545217047293526</v>
      </c>
      <c r="BH23" s="672">
        <f t="shared" si="39"/>
        <v>39.432814215766051</v>
      </c>
      <c r="BI23" s="672">
        <f t="shared" si="40"/>
        <v>51.793999998798668</v>
      </c>
      <c r="BJ23" s="672">
        <f t="shared" si="41"/>
        <v>36.110963787402696</v>
      </c>
      <c r="BK23" s="672">
        <f t="shared" si="42"/>
        <v>32.419926437445746</v>
      </c>
      <c r="BL23" s="672">
        <f t="shared" si="43"/>
        <v>33.302467823931984</v>
      </c>
      <c r="BM23" s="672">
        <f t="shared" si="50"/>
        <v>35.549696586100261</v>
      </c>
      <c r="BN23" s="672">
        <f t="shared" si="44"/>
        <v>33.679166666599997</v>
      </c>
      <c r="BO23" s="672">
        <f t="shared" si="45"/>
        <v>33.763408333300006</v>
      </c>
      <c r="BP23" s="672">
        <f t="shared" si="46"/>
        <v>48.310829999999996</v>
      </c>
      <c r="BQ23" s="637"/>
      <c r="BR23" s="677"/>
      <c r="BS23" s="672"/>
      <c r="BU23" s="609"/>
      <c r="BV23" s="1689"/>
      <c r="BW23" s="674"/>
      <c r="BX23" s="674"/>
      <c r="BY23" s="1691"/>
    </row>
    <row r="24" spans="1:77" ht="12.75" customHeight="1">
      <c r="A24" s="610"/>
      <c r="B24" s="611"/>
      <c r="C24" s="678" t="str">
        <f t="shared" si="29"/>
        <v>NI Hub</v>
      </c>
      <c r="D24" s="629" t="str">
        <f t="shared" si="29"/>
        <v/>
      </c>
      <c r="E24" s="675" t="str">
        <f t="shared" si="29"/>
        <v/>
      </c>
      <c r="F24" s="676"/>
      <c r="G24" s="640">
        <f t="shared" ref="G24:AH24" si="70">IF(ISBLANK(G167),"",G167)</f>
        <v>40.373286190476193</v>
      </c>
      <c r="H24" s="641">
        <f t="shared" si="70"/>
        <v>41.051071525390626</v>
      </c>
      <c r="I24" s="641">
        <f t="shared" si="70"/>
        <v>50.072542607421866</v>
      </c>
      <c r="J24" s="642">
        <f t="shared" si="70"/>
        <v>34.412752877884607</v>
      </c>
      <c r="K24" s="640">
        <f t="shared" si="70"/>
        <v>39.612896863281264</v>
      </c>
      <c r="L24" s="641">
        <f t="shared" si="70"/>
        <v>45.46599732519531</v>
      </c>
      <c r="M24" s="641">
        <f t="shared" si="70"/>
        <v>47.308313137695315</v>
      </c>
      <c r="N24" s="642">
        <f t="shared" si="70"/>
        <v>31.727422125992067</v>
      </c>
      <c r="O24" s="640">
        <f t="shared" si="70"/>
        <v>30.441801791015621</v>
      </c>
      <c r="P24" s="641">
        <f t="shared" si="70"/>
        <v>32.770161261718748</v>
      </c>
      <c r="Q24" s="641">
        <f t="shared" si="70"/>
        <v>44.877897271825397</v>
      </c>
      <c r="R24" s="641">
        <f t="shared" si="70"/>
        <v>35.019350765624992</v>
      </c>
      <c r="S24" s="643">
        <f t="shared" si="70"/>
        <v>34.838090073412694</v>
      </c>
      <c r="T24" s="644">
        <f t="shared" si="70"/>
        <v>39.428378864257809</v>
      </c>
      <c r="U24" s="644">
        <f t="shared" si="70"/>
        <v>41.11704862597658</v>
      </c>
      <c r="V24" s="645">
        <f t="shared" si="70"/>
        <v>34.355717211914069</v>
      </c>
      <c r="W24" s="644">
        <f t="shared" si="70"/>
        <v>72.99622284523808</v>
      </c>
      <c r="X24" s="644">
        <f t="shared" si="70"/>
        <v>48.442515457031263</v>
      </c>
      <c r="Y24" s="644">
        <f t="shared" si="70"/>
        <v>37.030601145507809</v>
      </c>
      <c r="Z24" s="645">
        <f t="shared" si="70"/>
        <v>38.673259170898433</v>
      </c>
      <c r="AA24" s="644">
        <f t="shared" si="70"/>
        <v>39.963556904761916</v>
      </c>
      <c r="AB24" s="644">
        <f t="shared" si="70"/>
        <v>30.605513267578125</v>
      </c>
      <c r="AC24" s="644">
        <f t="shared" si="70"/>
        <v>33.950207826923084</v>
      </c>
      <c r="AD24" s="645">
        <f t="shared" si="70"/>
        <v>29.947609584960937</v>
      </c>
      <c r="AE24" s="644">
        <f t="shared" si="70"/>
        <v>26.738570957031257</v>
      </c>
      <c r="AF24" s="644">
        <f t="shared" si="70"/>
        <v>29.587132090820305</v>
      </c>
      <c r="AG24" s="644">
        <f t="shared" si="70"/>
        <v>37.576820068359396</v>
      </c>
      <c r="AH24" s="645">
        <f t="shared" si="70"/>
        <v>31.571357599206348</v>
      </c>
      <c r="AI24" s="644">
        <f t="shared" si="58"/>
        <v>29.354624452148443</v>
      </c>
      <c r="AJ24" s="644">
        <f t="shared" si="58"/>
        <v>33.630935440429681</v>
      </c>
      <c r="AK24" s="644">
        <f t="shared" si="58"/>
        <v>34.552619896825405</v>
      </c>
      <c r="AL24" s="645">
        <f t="shared" si="58"/>
        <v>30.295690178571437</v>
      </c>
      <c r="AM24" s="644">
        <f t="shared" ref="AM24:AX24" si="71">IF(ISBLANK(AM167),"",AM167)</f>
        <v>31.943508934570318</v>
      </c>
      <c r="AN24" s="644">
        <f t="shared" si="71"/>
        <v>30.066666666666666</v>
      </c>
      <c r="AO24" s="644">
        <f t="shared" si="71"/>
        <v>34.6</v>
      </c>
      <c r="AP24" s="645">
        <f t="shared" si="71"/>
        <v>30.166666666666668</v>
      </c>
      <c r="AQ24" s="644">
        <f t="shared" si="71"/>
        <v>33.929172095569285</v>
      </c>
      <c r="AR24" s="644">
        <f t="shared" si="71"/>
        <v>28.660363159574629</v>
      </c>
      <c r="AS24" s="644">
        <f t="shared" si="71"/>
        <v>32.36321030654301</v>
      </c>
      <c r="AT24" s="645">
        <f t="shared" si="71"/>
        <v>28.947254438313074</v>
      </c>
      <c r="AU24" s="644">
        <f t="shared" si="71"/>
        <v>33.932622519850185</v>
      </c>
      <c r="AV24" s="644">
        <f t="shared" si="71"/>
        <v>28.663277772777295</v>
      </c>
      <c r="AW24" s="644">
        <f t="shared" si="71"/>
        <v>32.366501480472486</v>
      </c>
      <c r="AX24" s="645">
        <f t="shared" si="71"/>
        <v>28.950198226900017</v>
      </c>
      <c r="AY24" s="1406">
        <f t="shared" ref="AY24:BB24" si="72">IF(ISBLANK(AY167),"",IF(Uplift="Yes",AY86/1000*(AY61+AY$8),AY167))</f>
        <v>41.655345798863507</v>
      </c>
      <c r="AZ24" s="1406">
        <f t="shared" si="72"/>
        <v>36.510442038968577</v>
      </c>
      <c r="BA24" s="1406">
        <f t="shared" si="72"/>
        <v>36.992776766458732</v>
      </c>
      <c r="BB24" s="1407">
        <f t="shared" si="72"/>
        <v>43.243130242647922</v>
      </c>
      <c r="BC24" s="646"/>
      <c r="BD24" s="646"/>
      <c r="BE24" s="655">
        <f t="shared" si="36"/>
        <v>41.477413300293321</v>
      </c>
      <c r="BF24" s="655">
        <f t="shared" si="37"/>
        <v>41.028657363040985</v>
      </c>
      <c r="BG24" s="655">
        <f t="shared" si="38"/>
        <v>35.777302772546193</v>
      </c>
      <c r="BH24" s="672">
        <f t="shared" si="39"/>
        <v>37.43480869389029</v>
      </c>
      <c r="BI24" s="672">
        <f t="shared" si="40"/>
        <v>49.285649654668894</v>
      </c>
      <c r="BJ24" s="672">
        <f t="shared" si="41"/>
        <v>33.616721896056013</v>
      </c>
      <c r="BK24" s="672">
        <f t="shared" si="42"/>
        <v>31.368470178854327</v>
      </c>
      <c r="BL24" s="672">
        <f t="shared" si="43"/>
        <v>31.958467491993741</v>
      </c>
      <c r="BM24" s="672">
        <f t="shared" si="50"/>
        <v>31.694210566975915</v>
      </c>
      <c r="BN24" s="672">
        <f t="shared" si="44"/>
        <v>30.975000000000001</v>
      </c>
      <c r="BO24" s="672">
        <f t="shared" si="45"/>
        <v>30.978149999999996</v>
      </c>
      <c r="BP24" s="672">
        <f t="shared" si="46"/>
        <v>39.600423711734685</v>
      </c>
      <c r="BQ24" s="637"/>
      <c r="BR24" s="677"/>
      <c r="BS24" s="672"/>
      <c r="BU24" s="609"/>
      <c r="BV24" s="1689"/>
      <c r="BW24" s="674"/>
      <c r="BX24" s="674"/>
      <c r="BY24" s="1691"/>
    </row>
    <row r="25" spans="1:77" ht="12.75" customHeight="1">
      <c r="A25" s="610"/>
      <c r="B25" s="611"/>
      <c r="C25" s="678" t="str">
        <f t="shared" si="29"/>
        <v>ERCOT Houston</v>
      </c>
      <c r="D25" s="629" t="str">
        <f t="shared" si="29"/>
        <v/>
      </c>
      <c r="E25" s="675" t="str">
        <f t="shared" si="29"/>
        <v/>
      </c>
      <c r="F25" s="676"/>
      <c r="G25" s="640">
        <f t="shared" ref="G25:AL25" si="73">IF(ISBLANK(G168),"",G168)</f>
        <v>41.339221230158728</v>
      </c>
      <c r="H25" s="641">
        <f t="shared" si="73"/>
        <v>39.390153808593752</v>
      </c>
      <c r="I25" s="641">
        <f t="shared" si="73"/>
        <v>48.872324218750009</v>
      </c>
      <c r="J25" s="642">
        <f t="shared" si="73"/>
        <v>32.494792444029855</v>
      </c>
      <c r="K25" s="640">
        <f t="shared" si="73"/>
        <v>49.694167480468757</v>
      </c>
      <c r="L25" s="641">
        <f t="shared" si="73"/>
        <v>41.930664062500007</v>
      </c>
      <c r="M25" s="641">
        <f t="shared" si="73"/>
        <v>111.00009521484377</v>
      </c>
      <c r="N25" s="642">
        <f t="shared" si="73"/>
        <v>29.544866071428554</v>
      </c>
      <c r="O25" s="640">
        <f t="shared" si="73"/>
        <v>25.356325683593752</v>
      </c>
      <c r="P25" s="641">
        <f t="shared" si="73"/>
        <v>30.825715332031248</v>
      </c>
      <c r="Q25" s="641">
        <f t="shared" si="73"/>
        <v>31.618534226190476</v>
      </c>
      <c r="R25" s="641">
        <f t="shared" si="73"/>
        <v>27.927487792968755</v>
      </c>
      <c r="S25" s="643">
        <f t="shared" si="73"/>
        <v>28.835245535714289</v>
      </c>
      <c r="T25" s="644">
        <f t="shared" si="73"/>
        <v>36.626384277343753</v>
      </c>
      <c r="U25" s="644">
        <f t="shared" si="73"/>
        <v>43.148923339843755</v>
      </c>
      <c r="V25" s="645">
        <f t="shared" si="73"/>
        <v>36.768386230468735</v>
      </c>
      <c r="W25" s="644">
        <f t="shared" si="73"/>
        <v>57.726661706349176</v>
      </c>
      <c r="X25" s="644">
        <f t="shared" si="73"/>
        <v>44.823835449218755</v>
      </c>
      <c r="Y25" s="644">
        <f t="shared" si="73"/>
        <v>38.568947753906251</v>
      </c>
      <c r="Z25" s="645">
        <f t="shared" si="73"/>
        <v>33.674279785156259</v>
      </c>
      <c r="AA25" s="644">
        <f t="shared" si="73"/>
        <v>26.530957341269843</v>
      </c>
      <c r="AB25" s="644">
        <f t="shared" si="73"/>
        <v>27.875180664062505</v>
      </c>
      <c r="AC25" s="644">
        <f t="shared" si="73"/>
        <v>34.771600961538461</v>
      </c>
      <c r="AD25" s="645">
        <f t="shared" si="73"/>
        <v>23.322177734375007</v>
      </c>
      <c r="AE25" s="644">
        <f t="shared" si="73"/>
        <v>20.53059082031249</v>
      </c>
      <c r="AF25" s="644">
        <f t="shared" si="73"/>
        <v>24.409040527343741</v>
      </c>
      <c r="AG25" s="644">
        <f t="shared" si="73"/>
        <v>33.207656250000007</v>
      </c>
      <c r="AH25" s="645">
        <f t="shared" si="73"/>
        <v>29.754362599206353</v>
      </c>
      <c r="AI25" s="644">
        <f t="shared" si="73"/>
        <v>27.700273437500005</v>
      </c>
      <c r="AJ25" s="644">
        <f t="shared" si="73"/>
        <v>46.152717285156264</v>
      </c>
      <c r="AK25" s="644">
        <f t="shared" si="73"/>
        <v>33.043561507936509</v>
      </c>
      <c r="AL25" s="645">
        <f t="shared" si="73"/>
        <v>29.19860119047619</v>
      </c>
      <c r="AM25" s="644">
        <f t="shared" ref="AM25:AP50" si="74">IF(ISBLANK(AM168),"",AM168)</f>
        <v>33.29329345703124</v>
      </c>
      <c r="AN25" s="644">
        <f t="shared" si="74"/>
        <v>37.382000000000005</v>
      </c>
      <c r="AO25" s="644">
        <f t="shared" si="74"/>
        <v>118.87111666666665</v>
      </c>
      <c r="AP25" s="645">
        <f t="shared" si="74"/>
        <v>27.205766666666666</v>
      </c>
      <c r="AQ25" s="644">
        <f t="shared" ref="AQ25:AX25" si="75">IF(ISBLANK(AQ168),"",AQ168)</f>
        <v>24.525092123733586</v>
      </c>
      <c r="AR25" s="644">
        <f t="shared" si="75"/>
        <v>26.33436343081933</v>
      </c>
      <c r="AS25" s="644">
        <f t="shared" si="75"/>
        <v>72.001306158597217</v>
      </c>
      <c r="AT25" s="645">
        <f t="shared" si="75"/>
        <v>45.433288286849844</v>
      </c>
      <c r="AU25" s="644">
        <f t="shared" si="75"/>
        <v>22.536414554517716</v>
      </c>
      <c r="AV25" s="644">
        <f t="shared" si="75"/>
        <v>24.198976636338397</v>
      </c>
      <c r="AW25" s="644">
        <f t="shared" si="75"/>
        <v>66.162902706759411</v>
      </c>
      <c r="AX25" s="645">
        <f t="shared" si="75"/>
        <v>41.749218075984459</v>
      </c>
      <c r="AY25" s="644">
        <f t="shared" ref="AY25:BB25" si="76">IF(ISBLANK(AY168),"",AY168)</f>
        <v>21.446763815512227</v>
      </c>
      <c r="AZ25" s="644">
        <f t="shared" si="76"/>
        <v>23.028939907062984</v>
      </c>
      <c r="BA25" s="644">
        <f t="shared" si="76"/>
        <v>62.96388204378902</v>
      </c>
      <c r="BB25" s="645">
        <f t="shared" si="76"/>
        <v>39.730615417635761</v>
      </c>
      <c r="BC25" s="646"/>
      <c r="BD25" s="646"/>
      <c r="BE25" s="655">
        <f t="shared" si="36"/>
        <v>40.524122925383089</v>
      </c>
      <c r="BF25" s="655">
        <f t="shared" si="37"/>
        <v>58.042448207310272</v>
      </c>
      <c r="BG25" s="655">
        <f t="shared" si="38"/>
        <v>28.93201575869606</v>
      </c>
      <c r="BH25" s="672">
        <f t="shared" si="39"/>
        <v>36.34473484584263</v>
      </c>
      <c r="BI25" s="672">
        <f t="shared" si="40"/>
        <v>43.69843117365761</v>
      </c>
      <c r="BJ25" s="672">
        <f t="shared" si="41"/>
        <v>28.124979175311452</v>
      </c>
      <c r="BK25" s="672">
        <f t="shared" si="42"/>
        <v>26.975412549215648</v>
      </c>
      <c r="BL25" s="672">
        <f t="shared" si="43"/>
        <v>34.023788355267243</v>
      </c>
      <c r="BM25" s="672">
        <f t="shared" si="50"/>
        <v>54.188044197591147</v>
      </c>
      <c r="BN25" s="672">
        <f t="shared" si="44"/>
        <v>42.073512499999993</v>
      </c>
      <c r="BO25" s="672">
        <f t="shared" si="45"/>
        <v>38.661877993399997</v>
      </c>
      <c r="BP25" s="672">
        <f t="shared" si="46"/>
        <v>36.792550296000002</v>
      </c>
      <c r="BQ25" s="637"/>
      <c r="BR25" s="677"/>
      <c r="BS25" s="672"/>
      <c r="BU25" s="609"/>
      <c r="BV25" s="1689"/>
      <c r="BW25" s="1692"/>
      <c r="BX25" s="1692"/>
      <c r="BY25" s="1691"/>
    </row>
    <row r="26" spans="1:77" ht="12.75" customHeight="1">
      <c r="A26" s="610"/>
      <c r="B26" s="611"/>
      <c r="C26" s="629" t="str">
        <f t="shared" si="29"/>
        <v>ERCOT North</v>
      </c>
      <c r="D26" s="629" t="str">
        <f t="shared" si="29"/>
        <v/>
      </c>
      <c r="E26" s="675" t="str">
        <f t="shared" si="29"/>
        <v/>
      </c>
      <c r="F26" s="676"/>
      <c r="G26" s="640">
        <f t="shared" ref="G26:AL26" si="77">IF(ISBLANK(G169),"",G169)</f>
        <v>41.463162202380943</v>
      </c>
      <c r="H26" s="641">
        <f t="shared" si="77"/>
        <v>39.232558593749999</v>
      </c>
      <c r="I26" s="641">
        <f t="shared" si="77"/>
        <v>48.767795410156261</v>
      </c>
      <c r="J26" s="642">
        <f t="shared" si="77"/>
        <v>32.77672574626866</v>
      </c>
      <c r="K26" s="640">
        <f t="shared" si="77"/>
        <v>50.755690917968764</v>
      </c>
      <c r="L26" s="641">
        <f t="shared" si="77"/>
        <v>40.202160644531247</v>
      </c>
      <c r="M26" s="641">
        <f t="shared" si="77"/>
        <v>106.84378173828125</v>
      </c>
      <c r="N26" s="642">
        <f t="shared" si="77"/>
        <v>28.962276785714291</v>
      </c>
      <c r="O26" s="640">
        <f t="shared" si="77"/>
        <v>25.273820800781262</v>
      </c>
      <c r="P26" s="641">
        <f t="shared" si="77"/>
        <v>31.306391601562503</v>
      </c>
      <c r="Q26" s="641">
        <f t="shared" si="77"/>
        <v>32.226475694444453</v>
      </c>
      <c r="R26" s="641">
        <f t="shared" si="77"/>
        <v>28.259047851562507</v>
      </c>
      <c r="S26" s="643">
        <f t="shared" si="77"/>
        <v>29.044474206349211</v>
      </c>
      <c r="T26" s="644">
        <f t="shared" si="77"/>
        <v>35.193894042968758</v>
      </c>
      <c r="U26" s="644">
        <f t="shared" si="77"/>
        <v>38.431984863281251</v>
      </c>
      <c r="V26" s="645">
        <f t="shared" si="77"/>
        <v>35.855332031250001</v>
      </c>
      <c r="W26" s="644">
        <f t="shared" si="77"/>
        <v>60.188559027777771</v>
      </c>
      <c r="X26" s="644">
        <f t="shared" si="77"/>
        <v>40.574257812500001</v>
      </c>
      <c r="Y26" s="644">
        <f t="shared" si="77"/>
        <v>37.938735351562507</v>
      </c>
      <c r="Z26" s="645">
        <f t="shared" si="77"/>
        <v>34.462575683593748</v>
      </c>
      <c r="AA26" s="644">
        <f t="shared" si="77"/>
        <v>26.624528769841273</v>
      </c>
      <c r="AB26" s="644">
        <f t="shared" si="77"/>
        <v>27.696826171875006</v>
      </c>
      <c r="AC26" s="644">
        <f t="shared" si="77"/>
        <v>35.113086538461538</v>
      </c>
      <c r="AD26" s="645">
        <f t="shared" si="77"/>
        <v>20.858798828125007</v>
      </c>
      <c r="AE26" s="644">
        <f t="shared" si="77"/>
        <v>19.673029785156263</v>
      </c>
      <c r="AF26" s="644">
        <f t="shared" si="77"/>
        <v>22.350983886718744</v>
      </c>
      <c r="AG26" s="644">
        <f t="shared" si="77"/>
        <v>30.610273437499995</v>
      </c>
      <c r="AH26" s="645">
        <f t="shared" si="77"/>
        <v>25.720223214285713</v>
      </c>
      <c r="AI26" s="644">
        <f t="shared" si="77"/>
        <v>22.746433105468753</v>
      </c>
      <c r="AJ26" s="644">
        <f t="shared" si="77"/>
        <v>27.890290527343748</v>
      </c>
      <c r="AK26" s="644">
        <f t="shared" si="77"/>
        <v>29.419799107142854</v>
      </c>
      <c r="AL26" s="645">
        <f t="shared" si="77"/>
        <v>23.559124503968256</v>
      </c>
      <c r="AM26" s="644">
        <f t="shared" si="74"/>
        <v>31.786008300781262</v>
      </c>
      <c r="AN26" s="644">
        <f t="shared" si="74"/>
        <v>35.332000000000001</v>
      </c>
      <c r="AO26" s="644">
        <f t="shared" si="74"/>
        <v>118.57111666666667</v>
      </c>
      <c r="AP26" s="645">
        <f t="shared" si="74"/>
        <v>26.272433333333336</v>
      </c>
      <c r="AQ26" s="644">
        <f t="shared" ref="AQ26:AX26" si="78">IF(ISBLANK(AQ169),"",AQ169)</f>
        <v>23.582895883834407</v>
      </c>
      <c r="AR26" s="644">
        <f t="shared" si="78"/>
        <v>24.58750024208658</v>
      </c>
      <c r="AS26" s="644">
        <f t="shared" si="78"/>
        <v>70.499208350188795</v>
      </c>
      <c r="AT26" s="645">
        <f t="shared" si="78"/>
        <v>43.541112190290235</v>
      </c>
      <c r="AU26" s="644">
        <f t="shared" si="78"/>
        <v>21.356595924499164</v>
      </c>
      <c r="AV26" s="644">
        <f t="shared" si="78"/>
        <v>22.266362453973152</v>
      </c>
      <c r="AW26" s="644">
        <f t="shared" si="78"/>
        <v>63.843860107279404</v>
      </c>
      <c r="AX26" s="645">
        <f t="shared" si="78"/>
        <v>39.430693487848274</v>
      </c>
      <c r="AY26" s="644">
        <f t="shared" ref="AY26:BB26" si="79">IF(ISBLANK(AY169),"",AY169)</f>
        <v>20.153204665518864</v>
      </c>
      <c r="AZ26" s="644">
        <f t="shared" si="79"/>
        <v>21.011708105446548</v>
      </c>
      <c r="BA26" s="644">
        <f t="shared" si="79"/>
        <v>60.246416794484098</v>
      </c>
      <c r="BB26" s="645">
        <f t="shared" si="79"/>
        <v>37.208871618550496</v>
      </c>
      <c r="BC26" s="646"/>
      <c r="BD26" s="646"/>
      <c r="BE26" s="655">
        <f t="shared" si="36"/>
        <v>40.560060488138966</v>
      </c>
      <c r="BF26" s="655">
        <f t="shared" si="37"/>
        <v>56.690977521623886</v>
      </c>
      <c r="BG26" s="655">
        <f t="shared" si="38"/>
        <v>29.26643398708768</v>
      </c>
      <c r="BH26" s="672">
        <f t="shared" si="39"/>
        <v>34.631421285962304</v>
      </c>
      <c r="BI26" s="672">
        <f t="shared" si="40"/>
        <v>43.291031968858505</v>
      </c>
      <c r="BJ26" s="672">
        <f t="shared" si="41"/>
        <v>27.573310077075703</v>
      </c>
      <c r="BK26" s="672">
        <f t="shared" si="42"/>
        <v>24.58862758091518</v>
      </c>
      <c r="BL26" s="672">
        <f t="shared" si="43"/>
        <v>25.903911810980901</v>
      </c>
      <c r="BM26" s="672">
        <f t="shared" si="50"/>
        <v>52.990389575195316</v>
      </c>
      <c r="BN26" s="672">
        <f t="shared" si="44"/>
        <v>40.552679166600001</v>
      </c>
      <c r="BO26" s="672">
        <f t="shared" si="45"/>
        <v>36.724377993399997</v>
      </c>
      <c r="BP26" s="672">
        <f t="shared" si="46"/>
        <v>34.655050295999999</v>
      </c>
      <c r="BQ26" s="637"/>
      <c r="BR26" s="677"/>
      <c r="BS26" s="672"/>
      <c r="BU26" s="609"/>
      <c r="BV26" s="637"/>
      <c r="BW26" s="637"/>
      <c r="BX26" s="637"/>
      <c r="BY26" s="637"/>
    </row>
    <row r="27" spans="1:77" ht="12.75" customHeight="1">
      <c r="A27" s="610"/>
      <c r="B27" s="611"/>
      <c r="C27" s="629" t="str">
        <f t="shared" si="29"/>
        <v>ERCOT South</v>
      </c>
      <c r="D27" s="629" t="str">
        <f t="shared" si="29"/>
        <v/>
      </c>
      <c r="E27" s="675" t="str">
        <f t="shared" si="29"/>
        <v/>
      </c>
      <c r="F27" s="676"/>
      <c r="G27" s="640">
        <f t="shared" ref="G27:AL27" si="80">IF(ISBLANK(G170),"",G170)</f>
        <v>41.207070932539686</v>
      </c>
      <c r="H27" s="641">
        <f t="shared" si="80"/>
        <v>39.192001953125001</v>
      </c>
      <c r="I27" s="641">
        <f t="shared" si="80"/>
        <v>48.72686279296876</v>
      </c>
      <c r="J27" s="642">
        <f t="shared" si="80"/>
        <v>31.765543376865669</v>
      </c>
      <c r="K27" s="640">
        <f t="shared" si="80"/>
        <v>55.323972167968762</v>
      </c>
      <c r="L27" s="641">
        <f t="shared" si="80"/>
        <v>39.6252978515625</v>
      </c>
      <c r="M27" s="641">
        <f t="shared" si="80"/>
        <v>106.81442871093749</v>
      </c>
      <c r="N27" s="642">
        <f t="shared" si="80"/>
        <v>29.354828869047626</v>
      </c>
      <c r="O27" s="640">
        <f t="shared" si="80"/>
        <v>25.648288574218743</v>
      </c>
      <c r="P27" s="641">
        <f t="shared" si="80"/>
        <v>29.951386718749998</v>
      </c>
      <c r="Q27" s="641">
        <f t="shared" si="80"/>
        <v>31.210275297619049</v>
      </c>
      <c r="R27" s="641">
        <f t="shared" si="80"/>
        <v>28.586511230468751</v>
      </c>
      <c r="S27" s="643">
        <f t="shared" si="80"/>
        <v>28.708407738095232</v>
      </c>
      <c r="T27" s="644">
        <f t="shared" si="80"/>
        <v>36.230866699218758</v>
      </c>
      <c r="U27" s="644">
        <f t="shared" si="80"/>
        <v>40.352358398437502</v>
      </c>
      <c r="V27" s="645">
        <f t="shared" si="80"/>
        <v>36.304406738281251</v>
      </c>
      <c r="W27" s="644">
        <f t="shared" si="80"/>
        <v>59.069300595238097</v>
      </c>
      <c r="X27" s="644">
        <f t="shared" si="80"/>
        <v>41.673994140624984</v>
      </c>
      <c r="Y27" s="644">
        <f t="shared" si="80"/>
        <v>38.124675292968753</v>
      </c>
      <c r="Z27" s="645">
        <f t="shared" si="80"/>
        <v>34.437966308593751</v>
      </c>
      <c r="AA27" s="644">
        <f t="shared" si="80"/>
        <v>26.435344742063496</v>
      </c>
      <c r="AB27" s="644">
        <f t="shared" si="80"/>
        <v>27.865429687499994</v>
      </c>
      <c r="AC27" s="644">
        <f t="shared" si="80"/>
        <v>34.586947115384625</v>
      </c>
      <c r="AD27" s="645">
        <f t="shared" si="80"/>
        <v>23.201174316406249</v>
      </c>
      <c r="AE27" s="644">
        <f t="shared" si="80"/>
        <v>20.267778320312491</v>
      </c>
      <c r="AF27" s="644">
        <f t="shared" si="80"/>
        <v>22.831770019531245</v>
      </c>
      <c r="AG27" s="644">
        <f t="shared" si="80"/>
        <v>30.974855957031252</v>
      </c>
      <c r="AH27" s="645">
        <f t="shared" si="80"/>
        <v>28.905121527777784</v>
      </c>
      <c r="AI27" s="644">
        <f t="shared" si="80"/>
        <v>24.182224121093753</v>
      </c>
      <c r="AJ27" s="644">
        <f t="shared" si="80"/>
        <v>35.500275878906244</v>
      </c>
      <c r="AK27" s="644">
        <f t="shared" si="80"/>
        <v>30.679335317460314</v>
      </c>
      <c r="AL27" s="645">
        <f t="shared" si="80"/>
        <v>26.539970238095233</v>
      </c>
      <c r="AM27" s="644">
        <f t="shared" si="74"/>
        <v>33.080983886718748</v>
      </c>
      <c r="AN27" s="644">
        <f t="shared" si="74"/>
        <v>38.148666666666664</v>
      </c>
      <c r="AO27" s="644">
        <f t="shared" si="74"/>
        <v>119.77111666666667</v>
      </c>
      <c r="AP27" s="645">
        <f t="shared" si="74"/>
        <v>27.555766666666667</v>
      </c>
      <c r="AQ27" s="644">
        <f t="shared" ref="AQ27:AX27" si="81">IF(ISBLANK(AQ170),"",AQ170)</f>
        <v>25.311841025847244</v>
      </c>
      <c r="AR27" s="644">
        <f t="shared" si="81"/>
        <v>26.536363358265632</v>
      </c>
      <c r="AS27" s="644">
        <f t="shared" si="81"/>
        <v>72.644761515096988</v>
      </c>
      <c r="AT27" s="645">
        <f t="shared" si="81"/>
        <v>44.901084100790143</v>
      </c>
      <c r="AU27" s="644">
        <f t="shared" si="81"/>
        <v>23.143193839184796</v>
      </c>
      <c r="AV27" s="644">
        <f t="shared" si="81"/>
        <v>24.262802550010321</v>
      </c>
      <c r="AW27" s="644">
        <f t="shared" si="81"/>
        <v>66.420763129337274</v>
      </c>
      <c r="AX27" s="645">
        <f t="shared" si="81"/>
        <v>41.054085788267628</v>
      </c>
      <c r="AY27" s="644">
        <f t="shared" ref="AY27:BB27" si="82">IF(ISBLANK(AY170),"",AY170)</f>
        <v>21.966120391696254</v>
      </c>
      <c r="AZ27" s="644">
        <f t="shared" si="82"/>
        <v>23.028785290261158</v>
      </c>
      <c r="BA27" s="644">
        <f t="shared" si="82"/>
        <v>63.042572669337098</v>
      </c>
      <c r="BB27" s="645">
        <f t="shared" si="82"/>
        <v>38.966056165905499</v>
      </c>
      <c r="BC27" s="646"/>
      <c r="BD27" s="646"/>
      <c r="BE27" s="655">
        <f t="shared" si="36"/>
        <v>40.222869763874776</v>
      </c>
      <c r="BF27" s="655">
        <f t="shared" si="37"/>
        <v>57.779631899879099</v>
      </c>
      <c r="BG27" s="655">
        <f t="shared" si="38"/>
        <v>28.849115455264133</v>
      </c>
      <c r="BH27" s="672">
        <f t="shared" si="39"/>
        <v>35.399009893508186</v>
      </c>
      <c r="BI27" s="672">
        <f t="shared" si="40"/>
        <v>43.326484084356402</v>
      </c>
      <c r="BJ27" s="672">
        <f t="shared" si="41"/>
        <v>28.02222396533859</v>
      </c>
      <c r="BK27" s="672">
        <f t="shared" si="42"/>
        <v>25.744881456163192</v>
      </c>
      <c r="BL27" s="672">
        <f t="shared" si="43"/>
        <v>29.225451388888885</v>
      </c>
      <c r="BM27" s="672">
        <f t="shared" si="50"/>
        <v>54.639133471679685</v>
      </c>
      <c r="BN27" s="672">
        <f t="shared" si="44"/>
        <v>42.348512499999998</v>
      </c>
      <c r="BO27" s="672">
        <f t="shared" si="45"/>
        <v>38.720211326700003</v>
      </c>
      <c r="BP27" s="672">
        <f t="shared" si="46"/>
        <v>36.750883629300006</v>
      </c>
      <c r="BQ27" s="637"/>
      <c r="BR27" s="677"/>
      <c r="BS27" s="672"/>
      <c r="BU27" s="609"/>
      <c r="BV27" s="1688"/>
      <c r="BW27" s="637"/>
      <c r="BX27" s="637"/>
      <c r="BY27" s="637"/>
    </row>
    <row r="28" spans="1:77" ht="12.75" customHeight="1">
      <c r="A28" s="610"/>
      <c r="B28" s="611"/>
      <c r="C28" s="629" t="str">
        <f t="shared" si="29"/>
        <v>Palo Verde</v>
      </c>
      <c r="D28" s="629" t="str">
        <f t="shared" si="29"/>
        <v/>
      </c>
      <c r="E28" s="675" t="str">
        <f t="shared" si="29"/>
        <v/>
      </c>
      <c r="F28" s="676"/>
      <c r="G28" s="640">
        <f t="shared" ref="G28:AH28" si="83">IF(ISBLANK(G171),"",G171)</f>
        <v>44.912666666666681</v>
      </c>
      <c r="H28" s="641">
        <f t="shared" si="83"/>
        <v>35.874838709677434</v>
      </c>
      <c r="I28" s="641">
        <f t="shared" si="83"/>
        <v>40.575468749999999</v>
      </c>
      <c r="J28" s="642">
        <f t="shared" si="83"/>
        <v>34.270317460317472</v>
      </c>
      <c r="K28" s="640">
        <f t="shared" si="83"/>
        <v>32.430468750000003</v>
      </c>
      <c r="L28" s="641">
        <f t="shared" si="83"/>
        <v>36.866093749999997</v>
      </c>
      <c r="M28" s="641">
        <f t="shared" si="83"/>
        <v>42.871093750000007</v>
      </c>
      <c r="N28" s="642">
        <f t="shared" si="83"/>
        <v>33.560156250000006</v>
      </c>
      <c r="O28" s="640">
        <f t="shared" si="83"/>
        <v>25.353281250000002</v>
      </c>
      <c r="P28" s="641">
        <f t="shared" si="83"/>
        <v>25.953076923076935</v>
      </c>
      <c r="Q28" s="641">
        <f t="shared" si="83"/>
        <v>36.29349206349206</v>
      </c>
      <c r="R28" s="641">
        <f t="shared" si="83"/>
        <v>31.014769230769229</v>
      </c>
      <c r="S28" s="643">
        <f t="shared" si="83"/>
        <v>32.511999999999993</v>
      </c>
      <c r="T28" s="644">
        <f t="shared" si="83"/>
        <v>38.131384615384611</v>
      </c>
      <c r="U28" s="644">
        <f t="shared" si="83"/>
        <v>42.04296875</v>
      </c>
      <c r="V28" s="645">
        <f t="shared" si="83"/>
        <v>37.624062500000001</v>
      </c>
      <c r="W28" s="644">
        <f t="shared" si="83"/>
        <v>47.590967741935479</v>
      </c>
      <c r="X28" s="644">
        <f t="shared" si="83"/>
        <v>42.762769230769244</v>
      </c>
      <c r="Y28" s="644">
        <f t="shared" si="83"/>
        <v>43.211212121212121</v>
      </c>
      <c r="Z28" s="645">
        <f t="shared" si="83"/>
        <v>36.127031249999987</v>
      </c>
      <c r="AA28" s="644">
        <f t="shared" si="83"/>
        <v>25.419180327868858</v>
      </c>
      <c r="AB28" s="644">
        <f t="shared" si="83"/>
        <v>26.831111111111106</v>
      </c>
      <c r="AC28" s="644">
        <f t="shared" si="83"/>
        <v>33.160312500000011</v>
      </c>
      <c r="AD28" s="645">
        <f t="shared" si="83"/>
        <v>23.980158730158735</v>
      </c>
      <c r="AE28" s="644">
        <f t="shared" si="83"/>
        <v>19.007377049180324</v>
      </c>
      <c r="AF28" s="644">
        <f t="shared" si="83"/>
        <v>22.532187499999996</v>
      </c>
      <c r="AG28" s="644">
        <f t="shared" si="83"/>
        <v>34.896093749999999</v>
      </c>
      <c r="AH28" s="645">
        <f t="shared" si="83"/>
        <v>25.215322580645164</v>
      </c>
      <c r="AI28" s="644">
        <f t="shared" ref="AI28:AL50" si="84">IF(ISBLANK(AI171),"",AI171)</f>
        <v>23.400322580645167</v>
      </c>
      <c r="AJ28" s="644">
        <f t="shared" si="84"/>
        <v>32.938906250000002</v>
      </c>
      <c r="AK28" s="644">
        <f t="shared" si="84"/>
        <v>44.240952380952386</v>
      </c>
      <c r="AL28" s="645">
        <f t="shared" si="84"/>
        <v>30.908548387096779</v>
      </c>
      <c r="AM28" s="644">
        <f t="shared" si="74"/>
        <v>26.38622950819672</v>
      </c>
      <c r="AN28" s="644">
        <f t="shared" si="74"/>
        <v>27.183333333333334</v>
      </c>
      <c r="AO28" s="644">
        <f t="shared" si="74"/>
        <v>42.599999999999994</v>
      </c>
      <c r="AP28" s="645">
        <f t="shared" si="74"/>
        <v>25.099999999999998</v>
      </c>
      <c r="AQ28" s="644">
        <f t="shared" ref="AQ28:AX28" si="85">IF(ISBLANK(AQ171),"",AQ171)</f>
        <v>25.992977359392921</v>
      </c>
      <c r="AR28" s="644">
        <f t="shared" si="85"/>
        <v>25.589202953810119</v>
      </c>
      <c r="AS28" s="644">
        <f t="shared" si="85"/>
        <v>40.377440558280256</v>
      </c>
      <c r="AT28" s="645">
        <f t="shared" si="85"/>
        <v>30.457045794916699</v>
      </c>
      <c r="AU28" s="644">
        <f t="shared" si="85"/>
        <v>28.466645320489615</v>
      </c>
      <c r="AV28" s="644">
        <f t="shared" si="85"/>
        <v>28.024445004831527</v>
      </c>
      <c r="AW28" s="644">
        <f t="shared" si="85"/>
        <v>44.220031565809109</v>
      </c>
      <c r="AX28" s="645">
        <f t="shared" si="85"/>
        <v>33.355544775269749</v>
      </c>
      <c r="AY28" s="644">
        <f t="shared" ref="AY28:BB28" si="86">IF(ISBLANK(AY171),"",AY171)</f>
        <v>30.466105117398659</v>
      </c>
      <c r="AZ28" s="644">
        <f t="shared" si="86"/>
        <v>29.992845232079848</v>
      </c>
      <c r="BA28" s="644">
        <f t="shared" si="86"/>
        <v>47.325988531881407</v>
      </c>
      <c r="BB28" s="645">
        <f t="shared" si="86"/>
        <v>35.69839445184008</v>
      </c>
      <c r="BC28" s="646"/>
      <c r="BD28" s="646"/>
      <c r="BE28" s="655">
        <f t="shared" si="36"/>
        <v>38.908322896665396</v>
      </c>
      <c r="BF28" s="655">
        <f t="shared" si="37"/>
        <v>36.431953125</v>
      </c>
      <c r="BG28" s="655">
        <f t="shared" si="38"/>
        <v>29.653654866834557</v>
      </c>
      <c r="BH28" s="672">
        <f t="shared" si="39"/>
        <v>37.577603966346153</v>
      </c>
      <c r="BI28" s="672">
        <f t="shared" si="40"/>
        <v>42.42299508597921</v>
      </c>
      <c r="BJ28" s="672">
        <f t="shared" si="41"/>
        <v>27.347690667284677</v>
      </c>
      <c r="BK28" s="672">
        <f t="shared" si="42"/>
        <v>25.412745219956371</v>
      </c>
      <c r="BL28" s="672">
        <f t="shared" si="43"/>
        <v>32.872182399673584</v>
      </c>
      <c r="BM28" s="672">
        <f t="shared" si="50"/>
        <v>30.317390710382512</v>
      </c>
      <c r="BN28" s="672">
        <f t="shared" si="44"/>
        <v>30.604166666599998</v>
      </c>
      <c r="BO28" s="672">
        <f t="shared" si="45"/>
        <v>33.516666666600003</v>
      </c>
      <c r="BP28" s="672">
        <f t="shared" si="46"/>
        <v>35.870833333299998</v>
      </c>
      <c r="BQ28" s="637"/>
      <c r="BR28" s="677"/>
      <c r="BS28" s="672"/>
      <c r="BU28" s="609"/>
      <c r="BV28" s="1689"/>
      <c r="BW28" s="1690"/>
      <c r="BX28" s="1690"/>
      <c r="BY28" s="1691"/>
    </row>
    <row r="29" spans="1:77" ht="12.75" customHeight="1">
      <c r="A29" s="610"/>
      <c r="B29" s="611"/>
      <c r="C29" s="629" t="str">
        <f t="shared" si="29"/>
        <v>SP 15</v>
      </c>
      <c r="D29" s="629" t="str">
        <f t="shared" si="29"/>
        <v/>
      </c>
      <c r="E29" s="675" t="str">
        <f t="shared" si="29"/>
        <v/>
      </c>
      <c r="F29" s="676"/>
      <c r="G29" s="640">
        <f t="shared" ref="G29:AH29" si="87">IF(ISBLANK(G172),"",G172)</f>
        <v>60.128553647202374</v>
      </c>
      <c r="H29" s="641">
        <f t="shared" si="87"/>
        <v>31.946377822646106</v>
      </c>
      <c r="I29" s="641">
        <f t="shared" si="87"/>
        <v>37.433810982142873</v>
      </c>
      <c r="J29" s="642">
        <f t="shared" si="87"/>
        <v>33.962447284902595</v>
      </c>
      <c r="K29" s="640">
        <f t="shared" si="87"/>
        <v>30.515116445312522</v>
      </c>
      <c r="L29" s="641">
        <f t="shared" si="87"/>
        <v>33.011711513798716</v>
      </c>
      <c r="M29" s="641">
        <f t="shared" si="87"/>
        <v>42.068564527191569</v>
      </c>
      <c r="N29" s="642">
        <f t="shared" si="87"/>
        <v>32.950429456168834</v>
      </c>
      <c r="O29" s="640">
        <f t="shared" si="87"/>
        <v>25.307843413149342</v>
      </c>
      <c r="P29" s="641">
        <f t="shared" si="87"/>
        <v>22.80274092532467</v>
      </c>
      <c r="Q29" s="641">
        <f t="shared" si="87"/>
        <v>35.896205914884867</v>
      </c>
      <c r="R29" s="641">
        <f t="shared" si="87"/>
        <v>42.475329612418847</v>
      </c>
      <c r="S29" s="643">
        <f t="shared" si="87"/>
        <v>42.911978651315792</v>
      </c>
      <c r="T29" s="644">
        <f t="shared" si="87"/>
        <v>45.579805629058441</v>
      </c>
      <c r="U29" s="644">
        <f t="shared" si="87"/>
        <v>48.084160511363628</v>
      </c>
      <c r="V29" s="645">
        <f t="shared" si="87"/>
        <v>45.337906345373376</v>
      </c>
      <c r="W29" s="644">
        <f t="shared" si="87"/>
        <v>53.600572129934207</v>
      </c>
      <c r="X29" s="644">
        <f t="shared" si="87"/>
        <v>40.900113140016224</v>
      </c>
      <c r="Y29" s="644">
        <f t="shared" si="87"/>
        <v>46.183565756087653</v>
      </c>
      <c r="Z29" s="645">
        <f t="shared" si="87"/>
        <v>41.445947460091979</v>
      </c>
      <c r="AA29" s="644">
        <f t="shared" si="87"/>
        <v>28.829850453771133</v>
      </c>
      <c r="AB29" s="644">
        <f t="shared" si="87"/>
        <v>29.03807379386982</v>
      </c>
      <c r="AC29" s="644">
        <f t="shared" si="87"/>
        <v>35.943119470128089</v>
      </c>
      <c r="AD29" s="645">
        <f t="shared" si="87"/>
        <v>32.371010031004026</v>
      </c>
      <c r="AE29" s="644">
        <f t="shared" si="87"/>
        <v>21.909217117018397</v>
      </c>
      <c r="AF29" s="644">
        <f t="shared" si="87"/>
        <v>21.147224745129879</v>
      </c>
      <c r="AG29" s="644">
        <f t="shared" si="87"/>
        <v>35.217113687499996</v>
      </c>
      <c r="AH29" s="645">
        <f t="shared" si="87"/>
        <v>32.804729900021115</v>
      </c>
      <c r="AI29" s="644">
        <f t="shared" si="84"/>
        <v>27.142658075794955</v>
      </c>
      <c r="AJ29" s="644">
        <f t="shared" si="84"/>
        <v>32.083006007440474</v>
      </c>
      <c r="AK29" s="644">
        <f t="shared" si="84"/>
        <v>43.369349766774882</v>
      </c>
      <c r="AL29" s="645">
        <f t="shared" si="84"/>
        <v>48.204032704495603</v>
      </c>
      <c r="AM29" s="644">
        <f t="shared" si="74"/>
        <v>34.474168695211048</v>
      </c>
      <c r="AN29" s="644">
        <f t="shared" si="74"/>
        <v>27.633333333333336</v>
      </c>
      <c r="AO29" s="644">
        <f t="shared" si="74"/>
        <v>46.35</v>
      </c>
      <c r="AP29" s="645">
        <f t="shared" si="74"/>
        <v>39.75</v>
      </c>
      <c r="AQ29" s="644">
        <f t="shared" ref="AQ29:AX29" si="88">IF(ISBLANK(AQ172),"",AQ172)</f>
        <v>35.039319558003335</v>
      </c>
      <c r="AR29" s="644">
        <f t="shared" si="88"/>
        <v>25.220609132408999</v>
      </c>
      <c r="AS29" s="644">
        <f t="shared" si="88"/>
        <v>40.23746037155329</v>
      </c>
      <c r="AT29" s="645">
        <f t="shared" si="88"/>
        <v>42.319277604434383</v>
      </c>
      <c r="AU29" s="644">
        <f t="shared" si="88"/>
        <v>37.701310109094798</v>
      </c>
      <c r="AV29" s="644">
        <f t="shared" si="88"/>
        <v>27.136657276326481</v>
      </c>
      <c r="AW29" s="644">
        <f t="shared" si="88"/>
        <v>43.29436160879569</v>
      </c>
      <c r="AX29" s="645">
        <f t="shared" si="88"/>
        <v>45.534337672183035</v>
      </c>
      <c r="AY29" s="644">
        <f t="shared" ref="AY29:BB29" si="89">IF(ISBLANK(AY172),"",AY172)</f>
        <v>39.12839874558054</v>
      </c>
      <c r="AZ29" s="644">
        <f t="shared" si="89"/>
        <v>28.16384744874204</v>
      </c>
      <c r="BA29" s="644">
        <f t="shared" si="89"/>
        <v>44.93316119684799</v>
      </c>
      <c r="BB29" s="645">
        <f t="shared" si="89"/>
        <v>47.257925942029424</v>
      </c>
      <c r="BC29" s="646"/>
      <c r="BD29" s="646"/>
      <c r="BE29" s="655">
        <f t="shared" si="36"/>
        <v>40.867797434223483</v>
      </c>
      <c r="BF29" s="655">
        <f t="shared" si="37"/>
        <v>34.636455485617915</v>
      </c>
      <c r="BG29" s="655">
        <f t="shared" si="38"/>
        <v>31.62052996644443</v>
      </c>
      <c r="BH29" s="672">
        <f t="shared" si="39"/>
        <v>45.478462784277809</v>
      </c>
      <c r="BI29" s="672">
        <f t="shared" si="40"/>
        <v>45.532549621532517</v>
      </c>
      <c r="BJ29" s="672">
        <f t="shared" si="41"/>
        <v>31.545513437193271</v>
      </c>
      <c r="BK29" s="672">
        <f t="shared" si="42"/>
        <v>27.769571362417349</v>
      </c>
      <c r="BL29" s="672">
        <f t="shared" si="43"/>
        <v>37.699761638626477</v>
      </c>
      <c r="BM29" s="672">
        <f t="shared" si="50"/>
        <v>37.051875507136096</v>
      </c>
      <c r="BN29" s="672">
        <f t="shared" si="44"/>
        <v>35.704166666600003</v>
      </c>
      <c r="BO29" s="672">
        <f t="shared" si="45"/>
        <v>38.416666666600001</v>
      </c>
      <c r="BP29" s="672">
        <f t="shared" si="46"/>
        <v>39.870833333299998</v>
      </c>
      <c r="BQ29" s="637"/>
      <c r="BR29" s="677"/>
      <c r="BS29" s="672"/>
      <c r="BU29" s="609"/>
      <c r="BV29" s="1689"/>
      <c r="BW29" s="674"/>
      <c r="BX29" s="674"/>
      <c r="BY29" s="1691"/>
    </row>
    <row r="30" spans="1:77" ht="12.75" customHeight="1">
      <c r="A30" s="610"/>
      <c r="B30" s="611"/>
      <c r="C30" s="629" t="str">
        <f t="shared" si="29"/>
        <v>NP 15</v>
      </c>
      <c r="D30" s="629" t="str">
        <f t="shared" si="29"/>
        <v/>
      </c>
      <c r="E30" s="675" t="str">
        <f t="shared" si="29"/>
        <v/>
      </c>
      <c r="F30" s="676"/>
      <c r="G30" s="640">
        <f t="shared" ref="G30:AH30" si="90">IF(ISBLANK(G173),"",G173)</f>
        <v>45.136661350916356</v>
      </c>
      <c r="H30" s="641">
        <f t="shared" si="90"/>
        <v>31.276324283685071</v>
      </c>
      <c r="I30" s="641">
        <f t="shared" si="90"/>
        <v>35.895895022321419</v>
      </c>
      <c r="J30" s="642">
        <f t="shared" si="90"/>
        <v>34.310879216720778</v>
      </c>
      <c r="K30" s="640">
        <f t="shared" si="90"/>
        <v>30.24114454975328</v>
      </c>
      <c r="L30" s="641">
        <f t="shared" si="90"/>
        <v>31.702068581574675</v>
      </c>
      <c r="M30" s="641">
        <f t="shared" si="90"/>
        <v>41.130466008522738</v>
      </c>
      <c r="N30" s="642">
        <f t="shared" si="90"/>
        <v>32.790118090503235</v>
      </c>
      <c r="O30" s="640">
        <f t="shared" si="90"/>
        <v>25.843621564529215</v>
      </c>
      <c r="P30" s="641">
        <f t="shared" si="90"/>
        <v>26.883430413961047</v>
      </c>
      <c r="Q30" s="641">
        <f t="shared" si="90"/>
        <v>32.092331157483542</v>
      </c>
      <c r="R30" s="641">
        <f t="shared" si="90"/>
        <v>35.354487767857144</v>
      </c>
      <c r="S30" s="643">
        <f t="shared" si="90"/>
        <v>38.341412275904609</v>
      </c>
      <c r="T30" s="644">
        <f t="shared" si="90"/>
        <v>53.221846702516224</v>
      </c>
      <c r="U30" s="644">
        <f t="shared" si="90"/>
        <v>43.118555716314944</v>
      </c>
      <c r="V30" s="645">
        <f t="shared" si="90"/>
        <v>47.006490310470774</v>
      </c>
      <c r="W30" s="644">
        <f t="shared" si="90"/>
        <v>54.453317212171072</v>
      </c>
      <c r="X30" s="644">
        <f t="shared" si="90"/>
        <v>43.800113599161243</v>
      </c>
      <c r="Y30" s="644">
        <f t="shared" si="90"/>
        <v>46.219888831825891</v>
      </c>
      <c r="Z30" s="645">
        <f t="shared" si="90"/>
        <v>42.75064843777055</v>
      </c>
      <c r="AA30" s="644">
        <f t="shared" si="90"/>
        <v>30.826490857906492</v>
      </c>
      <c r="AB30" s="644">
        <f t="shared" si="90"/>
        <v>36.661938962643021</v>
      </c>
      <c r="AC30" s="644">
        <f t="shared" si="90"/>
        <v>36.175045137228835</v>
      </c>
      <c r="AD30" s="645">
        <f t="shared" si="90"/>
        <v>31.309796634826355</v>
      </c>
      <c r="AE30" s="644">
        <f t="shared" si="90"/>
        <v>23.238426047889615</v>
      </c>
      <c r="AF30" s="644">
        <f t="shared" si="90"/>
        <v>25.958117773133125</v>
      </c>
      <c r="AG30" s="644">
        <f t="shared" si="90"/>
        <v>35.980332387929025</v>
      </c>
      <c r="AH30" s="645">
        <f t="shared" si="90"/>
        <v>36.942520320092108</v>
      </c>
      <c r="AI30" s="644">
        <f t="shared" si="84"/>
        <v>29.92399809991776</v>
      </c>
      <c r="AJ30" s="644">
        <f t="shared" si="84"/>
        <v>36.316399976055195</v>
      </c>
      <c r="AK30" s="644">
        <f t="shared" si="84"/>
        <v>47.946497504058435</v>
      </c>
      <c r="AL30" s="645">
        <f t="shared" si="84"/>
        <v>48.663296223684213</v>
      </c>
      <c r="AM30" s="644">
        <f t="shared" si="74"/>
        <v>34.379404778409103</v>
      </c>
      <c r="AN30" s="644">
        <f t="shared" si="74"/>
        <v>28.966666666666669</v>
      </c>
      <c r="AO30" s="644">
        <f t="shared" si="74"/>
        <v>44.1</v>
      </c>
      <c r="AP30" s="645">
        <f t="shared" si="74"/>
        <v>40.25</v>
      </c>
      <c r="AQ30" s="644">
        <f t="shared" ref="AQ30:AX30" si="91">IF(ISBLANK(AQ173),"",AQ173)</f>
        <v>38.255538918101109</v>
      </c>
      <c r="AR30" s="644">
        <f t="shared" si="91"/>
        <v>29.023202192532711</v>
      </c>
      <c r="AS30" s="644">
        <f t="shared" si="91"/>
        <v>41.520011572445739</v>
      </c>
      <c r="AT30" s="645">
        <f t="shared" si="91"/>
        <v>42.017913983320447</v>
      </c>
      <c r="AU30" s="644">
        <f t="shared" si="91"/>
        <v>41.312092640925286</v>
      </c>
      <c r="AV30" s="644">
        <f t="shared" si="91"/>
        <v>31.342107616915317</v>
      </c>
      <c r="AW30" s="644">
        <f t="shared" si="91"/>
        <v>44.837391212950912</v>
      </c>
      <c r="AX30" s="645">
        <f t="shared" si="91"/>
        <v>45.375075195608474</v>
      </c>
      <c r="AY30" s="644">
        <f t="shared" ref="AY30:BB30" si="92">IF(ISBLANK(AY173),"",AY173)</f>
        <v>42.787524520994573</v>
      </c>
      <c r="AZ30" s="644">
        <f t="shared" si="92"/>
        <v>32.461468603261217</v>
      </c>
      <c r="BA30" s="644">
        <f t="shared" si="92"/>
        <v>46.438726613452779</v>
      </c>
      <c r="BB30" s="645">
        <f t="shared" si="92"/>
        <v>46.995613595491442</v>
      </c>
      <c r="BC30" s="646"/>
      <c r="BD30" s="646"/>
      <c r="BE30" s="655">
        <f t="shared" si="36"/>
        <v>36.654939968410901</v>
      </c>
      <c r="BF30" s="655">
        <f t="shared" si="37"/>
        <v>33.965949307588481</v>
      </c>
      <c r="BG30" s="655">
        <f t="shared" si="38"/>
        <v>30.04346772595774</v>
      </c>
      <c r="BH30" s="672">
        <f t="shared" si="39"/>
        <v>45.42207625130164</v>
      </c>
      <c r="BI30" s="672">
        <f t="shared" si="40"/>
        <v>46.805992020232196</v>
      </c>
      <c r="BJ30" s="672">
        <f t="shared" si="41"/>
        <v>33.743317898151176</v>
      </c>
      <c r="BK30" s="672">
        <f t="shared" si="42"/>
        <v>30.529849132260971</v>
      </c>
      <c r="BL30" s="672">
        <f t="shared" si="43"/>
        <v>40.712547950928908</v>
      </c>
      <c r="BM30" s="672">
        <f t="shared" si="50"/>
        <v>36.924017861268943</v>
      </c>
      <c r="BN30" s="672">
        <f t="shared" si="44"/>
        <v>37.704166666600003</v>
      </c>
      <c r="BO30" s="672">
        <f t="shared" si="45"/>
        <v>40.716666666599998</v>
      </c>
      <c r="BP30" s="672">
        <f t="shared" si="46"/>
        <v>42.170833333300003</v>
      </c>
      <c r="BQ30" s="637"/>
      <c r="BR30" s="677"/>
      <c r="BS30" s="672"/>
      <c r="BU30" s="609"/>
      <c r="BV30" s="1689"/>
      <c r="BW30" s="674"/>
      <c r="BX30" s="674"/>
      <c r="BY30" s="1691"/>
    </row>
    <row r="31" spans="1:77" ht="12.75" customHeight="1">
      <c r="A31" s="610"/>
      <c r="B31" s="611"/>
      <c r="C31" s="629" t="str">
        <f t="shared" si="29"/>
        <v>Mid C</v>
      </c>
      <c r="D31" s="629" t="str">
        <f t="shared" si="29"/>
        <v/>
      </c>
      <c r="E31" s="629" t="str">
        <f t="shared" si="29"/>
        <v/>
      </c>
      <c r="F31" s="676"/>
      <c r="G31" s="640">
        <f t="shared" ref="G31:AH31" si="93">IF(ISBLANK(G174),"",G174)</f>
        <v>43.829666666666668</v>
      </c>
      <c r="H31" s="641">
        <f t="shared" si="93"/>
        <v>28.54564516129032</v>
      </c>
      <c r="I31" s="641">
        <f t="shared" si="93"/>
        <v>38.119531250000001</v>
      </c>
      <c r="J31" s="642">
        <f t="shared" si="93"/>
        <v>33.579047619047621</v>
      </c>
      <c r="K31" s="640">
        <f t="shared" si="93"/>
        <v>26.340468749999999</v>
      </c>
      <c r="L31" s="641">
        <f t="shared" si="93"/>
        <v>27.286249999999995</v>
      </c>
      <c r="M31" s="641">
        <f t="shared" si="93"/>
        <v>33.397500000000015</v>
      </c>
      <c r="N31" s="642">
        <f t="shared" si="93"/>
        <v>30.906093749999997</v>
      </c>
      <c r="O31" s="640">
        <f t="shared" si="93"/>
        <v>23.229218750000008</v>
      </c>
      <c r="P31" s="641">
        <f t="shared" si="93"/>
        <v>12.017692307692307</v>
      </c>
      <c r="Q31" s="641">
        <f t="shared" si="93"/>
        <v>26.9057142857143</v>
      </c>
      <c r="R31" s="641">
        <f t="shared" si="93"/>
        <v>29.446000000000005</v>
      </c>
      <c r="S31" s="643">
        <f t="shared" si="93"/>
        <v>30.320000000000007</v>
      </c>
      <c r="T31" s="644">
        <f t="shared" si="93"/>
        <v>33.439538461538454</v>
      </c>
      <c r="U31" s="644">
        <f t="shared" si="93"/>
        <v>42.477500000000006</v>
      </c>
      <c r="V31" s="645">
        <f t="shared" si="93"/>
        <v>43.603750000000005</v>
      </c>
      <c r="W31" s="644">
        <f t="shared" si="93"/>
        <v>47.446612903225798</v>
      </c>
      <c r="X31" s="644">
        <f t="shared" si="93"/>
        <v>33.838307692307687</v>
      </c>
      <c r="Y31" s="644">
        <f t="shared" si="93"/>
        <v>40.372878787878776</v>
      </c>
      <c r="Z31" s="645">
        <f t="shared" si="93"/>
        <v>32.739843750000006</v>
      </c>
      <c r="AA31" s="644">
        <f t="shared" si="93"/>
        <v>20.717049180327873</v>
      </c>
      <c r="AB31" s="644">
        <f t="shared" si="93"/>
        <v>28.650317460317464</v>
      </c>
      <c r="AC31" s="644">
        <f t="shared" si="93"/>
        <v>33.344531250000003</v>
      </c>
      <c r="AD31" s="645">
        <f t="shared" si="93"/>
        <v>21.909841269841273</v>
      </c>
      <c r="AE31" s="644">
        <f t="shared" si="93"/>
        <v>17.523114754098362</v>
      </c>
      <c r="AF31" s="644">
        <f t="shared" si="93"/>
        <v>16.668125</v>
      </c>
      <c r="AG31" s="644">
        <f t="shared" si="93"/>
        <v>32.027968749999999</v>
      </c>
      <c r="AH31" s="645">
        <f t="shared" si="93"/>
        <v>25.693387096774195</v>
      </c>
      <c r="AI31" s="644">
        <f t="shared" si="84"/>
        <v>23.318548387096779</v>
      </c>
      <c r="AJ31" s="644">
        <f t="shared" si="84"/>
        <v>16.274843750000002</v>
      </c>
      <c r="AK31" s="644">
        <f t="shared" si="84"/>
        <v>38.276507936507947</v>
      </c>
      <c r="AL31" s="645">
        <f t="shared" si="84"/>
        <v>27.148064516129033</v>
      </c>
      <c r="AM31" s="644">
        <f t="shared" si="74"/>
        <v>21.811311475409838</v>
      </c>
      <c r="AN31" s="644">
        <f t="shared" si="74"/>
        <v>13.183333333333332</v>
      </c>
      <c r="AO31" s="644">
        <f t="shared" si="74"/>
        <v>28.649999999999995</v>
      </c>
      <c r="AP31" s="645">
        <f t="shared" si="74"/>
        <v>23.75</v>
      </c>
      <c r="AQ31" s="644">
        <f t="shared" ref="AQ31:AX31" si="94">IF(ISBLANK(AQ174),"",AQ174)</f>
        <v>27.40712890369376</v>
      </c>
      <c r="AR31" s="644">
        <f t="shared" si="94"/>
        <v>18.328876562466629</v>
      </c>
      <c r="AS31" s="644">
        <f t="shared" si="94"/>
        <v>32.290998834121375</v>
      </c>
      <c r="AT31" s="645">
        <f t="shared" si="94"/>
        <v>22.389662366118252</v>
      </c>
      <c r="AU31" s="644">
        <f t="shared" si="94"/>
        <v>30.859744810408912</v>
      </c>
      <c r="AV31" s="644">
        <f t="shared" si="94"/>
        <v>20.637858688765235</v>
      </c>
      <c r="AW31" s="644">
        <f t="shared" si="94"/>
        <v>36.358860761949288</v>
      </c>
      <c r="AX31" s="645">
        <f t="shared" si="94"/>
        <v>25.210202405276569</v>
      </c>
      <c r="AY31" s="644">
        <f t="shared" ref="AY31:BB31" si="95">IF(ISBLANK(AY174),"",AY174)</f>
        <v>33.047766221683759</v>
      </c>
      <c r="AZ31" s="644">
        <f t="shared" si="95"/>
        <v>22.101126676601996</v>
      </c>
      <c r="BA31" s="644">
        <f t="shared" si="95"/>
        <v>38.936781166847538</v>
      </c>
      <c r="BB31" s="645">
        <f t="shared" si="95"/>
        <v>26.997659268066712</v>
      </c>
      <c r="BC31" s="646"/>
      <c r="BD31" s="646"/>
      <c r="BE31" s="655">
        <f t="shared" si="36"/>
        <v>36.018472674251157</v>
      </c>
      <c r="BF31" s="655">
        <f t="shared" si="37"/>
        <v>29.482578125000003</v>
      </c>
      <c r="BG31" s="655">
        <f t="shared" si="38"/>
        <v>22.899656335851652</v>
      </c>
      <c r="BH31" s="672">
        <f t="shared" si="39"/>
        <v>37.460197115384616</v>
      </c>
      <c r="BI31" s="672">
        <f t="shared" si="40"/>
        <v>38.599410783353065</v>
      </c>
      <c r="BJ31" s="672">
        <f t="shared" si="41"/>
        <v>26.155434790121653</v>
      </c>
      <c r="BK31" s="672">
        <f t="shared" si="42"/>
        <v>22.978148900218137</v>
      </c>
      <c r="BL31" s="672">
        <f t="shared" si="43"/>
        <v>26.254491147433441</v>
      </c>
      <c r="BM31" s="672">
        <f t="shared" si="50"/>
        <v>21.848661202185792</v>
      </c>
      <c r="BN31" s="672">
        <f t="shared" si="44"/>
        <v>25.104166666600001</v>
      </c>
      <c r="BO31" s="672">
        <f t="shared" si="45"/>
        <v>28.266666666600003</v>
      </c>
      <c r="BP31" s="672">
        <f t="shared" si="46"/>
        <v>30.270833333300001</v>
      </c>
      <c r="BQ31" s="637"/>
      <c r="BR31" s="677"/>
      <c r="BS31" s="672"/>
      <c r="BU31" s="609"/>
      <c r="BV31" s="1689"/>
      <c r="BW31" s="1692"/>
      <c r="BX31" s="1692"/>
      <c r="BY31" s="1691"/>
    </row>
    <row r="32" spans="1:77" ht="12.75" customHeight="1">
      <c r="A32" s="610"/>
      <c r="B32" s="611"/>
      <c r="C32" s="629" t="str">
        <f t="shared" si="29"/>
        <v/>
      </c>
      <c r="D32" s="629" t="str">
        <f t="shared" si="29"/>
        <v/>
      </c>
      <c r="E32" s="629" t="str">
        <f t="shared" si="29"/>
        <v/>
      </c>
      <c r="F32" s="1461"/>
      <c r="G32" s="640">
        <f t="shared" ref="G32:Z32" si="96">IF(ISBLANK(G175),"",G175)</f>
        <v>0</v>
      </c>
      <c r="H32" s="641">
        <f t="shared" si="96"/>
        <v>0</v>
      </c>
      <c r="I32" s="641">
        <f t="shared" si="96"/>
        <v>0</v>
      </c>
      <c r="J32" s="642">
        <f t="shared" si="96"/>
        <v>26.057656249999997</v>
      </c>
      <c r="K32" s="640">
        <f t="shared" si="96"/>
        <v>44.045515136718748</v>
      </c>
      <c r="L32" s="641">
        <f t="shared" si="96"/>
        <v>32.527326660156241</v>
      </c>
      <c r="M32" s="641">
        <f t="shared" si="96"/>
        <v>107.99931884765626</v>
      </c>
      <c r="N32" s="642">
        <f t="shared" si="96"/>
        <v>25.141532738095243</v>
      </c>
      <c r="O32" s="640">
        <f t="shared" si="96"/>
        <v>22.386582031250001</v>
      </c>
      <c r="P32" s="641">
        <f t="shared" si="96"/>
        <v>30.746459960937493</v>
      </c>
      <c r="Q32" s="641">
        <f t="shared" si="96"/>
        <v>32.112728174603177</v>
      </c>
      <c r="R32" s="641">
        <f t="shared" si="96"/>
        <v>28.814428710937499</v>
      </c>
      <c r="S32" s="643">
        <f t="shared" si="96"/>
        <v>26.779603174603171</v>
      </c>
      <c r="T32" s="644">
        <f t="shared" si="96"/>
        <v>33.793859863281241</v>
      </c>
      <c r="U32" s="644">
        <f t="shared" si="96"/>
        <v>38.988039550781245</v>
      </c>
      <c r="V32" s="645">
        <f t="shared" si="96"/>
        <v>36.511301269531252</v>
      </c>
      <c r="W32" s="643">
        <f t="shared" si="96"/>
        <v>60.688715277777789</v>
      </c>
      <c r="X32" s="644">
        <f t="shared" si="96"/>
        <v>40.715671386718761</v>
      </c>
      <c r="Y32" s="644">
        <f t="shared" si="96"/>
        <v>37.175153808593763</v>
      </c>
      <c r="Z32" s="645">
        <f t="shared" si="96"/>
        <v>34.137402343750011</v>
      </c>
      <c r="AA32" s="1406"/>
      <c r="AB32" s="1406"/>
      <c r="AC32" s="1406"/>
      <c r="AD32" s="1407"/>
      <c r="AE32" s="644">
        <f t="shared" ref="AE32:AH50" si="97">IF(ISBLANK(AE175),"",AE175)</f>
        <v>18.654545898437501</v>
      </c>
      <c r="AF32" s="644">
        <f t="shared" si="97"/>
        <v>20.813508300781255</v>
      </c>
      <c r="AG32" s="644">
        <f t="shared" si="97"/>
        <v>30.13850830078125</v>
      </c>
      <c r="AH32" s="645">
        <f t="shared" si="97"/>
        <v>26.087876984126982</v>
      </c>
      <c r="AI32" s="644">
        <f t="shared" si="84"/>
        <v>21.219472656250005</v>
      </c>
      <c r="AJ32" s="644">
        <f t="shared" si="84"/>
        <v>26.678684082031253</v>
      </c>
      <c r="AK32" s="644">
        <f t="shared" si="84"/>
        <v>28.632579365079362</v>
      </c>
      <c r="AL32" s="645">
        <f t="shared" si="84"/>
        <v>23.46141865079365</v>
      </c>
      <c r="AM32" s="644">
        <f t="shared" si="74"/>
        <v>30.740278320312502</v>
      </c>
      <c r="AN32" s="644">
        <f t="shared" si="74"/>
        <v>33.448666666666668</v>
      </c>
      <c r="AO32" s="644">
        <f t="shared" si="74"/>
        <v>117.70445000000001</v>
      </c>
      <c r="AP32" s="645">
        <f t="shared" si="74"/>
        <v>24.139100000000003</v>
      </c>
      <c r="AQ32" s="644">
        <f t="shared" ref="AQ32:AX32" si="98">IF(ISBLANK(AQ175),"",AQ175)</f>
        <v>21.658071060828828</v>
      </c>
      <c r="AR32" s="644">
        <f t="shared" si="98"/>
        <v>22.479432962685426</v>
      </c>
      <c r="AS32" s="644">
        <f t="shared" si="98"/>
        <v>68.504257165159913</v>
      </c>
      <c r="AT32" s="645">
        <f t="shared" si="98"/>
        <v>41.785622144525846</v>
      </c>
      <c r="AU32" s="644">
        <f t="shared" si="98"/>
        <v>19.257985044248056</v>
      </c>
      <c r="AV32" s="644">
        <f t="shared" si="98"/>
        <v>19.988325949375007</v>
      </c>
      <c r="AW32" s="644">
        <f t="shared" si="98"/>
        <v>60.912809651825292</v>
      </c>
      <c r="AX32" s="645">
        <f t="shared" si="98"/>
        <v>37.155057994951648</v>
      </c>
      <c r="AY32" s="644">
        <f t="shared" ref="AY32:BB32" si="99">IF(ISBLANK(AY175),"",AY175)</f>
        <v>17.900765357978706</v>
      </c>
      <c r="AZ32" s="644">
        <f t="shared" si="99"/>
        <v>18.579634987588069</v>
      </c>
      <c r="BA32" s="644">
        <f t="shared" si="99"/>
        <v>56.619937670904982</v>
      </c>
      <c r="BB32" s="645">
        <f t="shared" si="99"/>
        <v>34.536529834328249</v>
      </c>
      <c r="BC32" s="646"/>
      <c r="BD32" s="646"/>
      <c r="BE32" s="655"/>
      <c r="BF32" s="655"/>
      <c r="BG32" s="655"/>
      <c r="BH32" s="672"/>
      <c r="BI32" s="672"/>
      <c r="BJ32" s="672"/>
      <c r="BK32" s="672"/>
      <c r="BL32" s="672"/>
      <c r="BM32" s="672"/>
      <c r="BN32" s="672"/>
      <c r="BO32" s="672"/>
      <c r="BP32" s="672"/>
      <c r="BQ32" s="637"/>
      <c r="BR32" s="682"/>
      <c r="BU32" s="609"/>
      <c r="BV32" s="1694"/>
      <c r="BW32" s="1694"/>
      <c r="BX32" s="1694"/>
      <c r="BY32" s="637"/>
    </row>
    <row r="33" spans="1:104" ht="12.75" customHeight="1">
      <c r="A33" s="610"/>
      <c r="B33" s="611"/>
      <c r="C33" s="659" t="str">
        <f t="shared" si="29"/>
        <v>Off-Peak Regional Power Prices ($/MWh)</v>
      </c>
      <c r="D33" s="683" t="str">
        <f t="shared" si="29"/>
        <v/>
      </c>
      <c r="E33" s="683" t="str">
        <f t="shared" si="29"/>
        <v/>
      </c>
      <c r="F33" s="1462"/>
      <c r="G33" s="661" t="str">
        <f t="shared" ref="G33:Z33" si="100">IF(ISBLANK(G176),"",G176)</f>
        <v/>
      </c>
      <c r="H33" s="662" t="str">
        <f t="shared" si="100"/>
        <v/>
      </c>
      <c r="I33" s="662" t="str">
        <f t="shared" si="100"/>
        <v/>
      </c>
      <c r="J33" s="663" t="str">
        <f t="shared" si="100"/>
        <v/>
      </c>
      <c r="K33" s="661" t="str">
        <f t="shared" si="100"/>
        <v/>
      </c>
      <c r="L33" s="662" t="str">
        <f t="shared" si="100"/>
        <v/>
      </c>
      <c r="M33" s="662" t="str">
        <f t="shared" si="100"/>
        <v/>
      </c>
      <c r="N33" s="663" t="str">
        <f t="shared" si="100"/>
        <v/>
      </c>
      <c r="O33" s="661" t="str">
        <f t="shared" si="100"/>
        <v/>
      </c>
      <c r="P33" s="662" t="str">
        <f t="shared" si="100"/>
        <v/>
      </c>
      <c r="Q33" s="662" t="str">
        <f t="shared" si="100"/>
        <v/>
      </c>
      <c r="R33" s="662" t="str">
        <f t="shared" si="100"/>
        <v/>
      </c>
      <c r="S33" s="665" t="str">
        <f t="shared" si="100"/>
        <v/>
      </c>
      <c r="T33" s="666" t="str">
        <f t="shared" si="100"/>
        <v/>
      </c>
      <c r="U33" s="666" t="str">
        <f t="shared" si="100"/>
        <v/>
      </c>
      <c r="V33" s="664" t="str">
        <f t="shared" si="100"/>
        <v/>
      </c>
      <c r="W33" s="666" t="str">
        <f t="shared" si="100"/>
        <v/>
      </c>
      <c r="X33" s="666" t="str">
        <f t="shared" si="100"/>
        <v/>
      </c>
      <c r="Y33" s="666" t="str">
        <f t="shared" si="100"/>
        <v/>
      </c>
      <c r="Z33" s="667" t="str">
        <f t="shared" si="100"/>
        <v/>
      </c>
      <c r="AA33" s="668" t="str">
        <f t="shared" ref="AA33:AD50" si="101">IF(ISBLANK(AA176),"",AA176)</f>
        <v/>
      </c>
      <c r="AB33" s="668" t="str">
        <f t="shared" si="101"/>
        <v/>
      </c>
      <c r="AC33" s="668" t="str">
        <f t="shared" si="101"/>
        <v/>
      </c>
      <c r="AD33" s="667" t="str">
        <f t="shared" si="101"/>
        <v/>
      </c>
      <c r="AE33" s="668" t="str">
        <f t="shared" si="97"/>
        <v/>
      </c>
      <c r="AF33" s="668" t="str">
        <f t="shared" si="97"/>
        <v/>
      </c>
      <c r="AG33" s="668" t="str">
        <f t="shared" si="97"/>
        <v/>
      </c>
      <c r="AH33" s="667" t="str">
        <f t="shared" si="97"/>
        <v/>
      </c>
      <c r="AI33" s="668" t="str">
        <f t="shared" si="84"/>
        <v/>
      </c>
      <c r="AJ33" s="668" t="str">
        <f t="shared" si="84"/>
        <v/>
      </c>
      <c r="AK33" s="668" t="str">
        <f t="shared" si="84"/>
        <v/>
      </c>
      <c r="AL33" s="667" t="str">
        <f t="shared" si="84"/>
        <v/>
      </c>
      <c r="AM33" s="668" t="str">
        <f t="shared" si="74"/>
        <v/>
      </c>
      <c r="AN33" s="668" t="str">
        <f t="shared" si="74"/>
        <v/>
      </c>
      <c r="AO33" s="668" t="str">
        <f t="shared" si="74"/>
        <v/>
      </c>
      <c r="AP33" s="667" t="str">
        <f t="shared" si="74"/>
        <v/>
      </c>
      <c r="AQ33" s="668" t="str">
        <f t="shared" ref="AQ33:AX33" si="102">IF(ISBLANK(AQ176),"",AQ176)</f>
        <v/>
      </c>
      <c r="AR33" s="668" t="str">
        <f t="shared" si="102"/>
        <v/>
      </c>
      <c r="AS33" s="668" t="str">
        <f t="shared" si="102"/>
        <v/>
      </c>
      <c r="AT33" s="667" t="str">
        <f t="shared" si="102"/>
        <v/>
      </c>
      <c r="AU33" s="668" t="str">
        <f t="shared" si="102"/>
        <v/>
      </c>
      <c r="AV33" s="668" t="str">
        <f t="shared" si="102"/>
        <v/>
      </c>
      <c r="AW33" s="668" t="str">
        <f t="shared" si="102"/>
        <v/>
      </c>
      <c r="AX33" s="667" t="str">
        <f t="shared" si="102"/>
        <v/>
      </c>
      <c r="AY33" s="668" t="str">
        <f t="shared" ref="AY33:BB33" si="103">IF(ISBLANK(AY176),"",AY176)</f>
        <v/>
      </c>
      <c r="AZ33" s="668" t="str">
        <f t="shared" si="103"/>
        <v/>
      </c>
      <c r="BA33" s="668" t="str">
        <f t="shared" si="103"/>
        <v/>
      </c>
      <c r="BB33" s="667" t="str">
        <f t="shared" si="103"/>
        <v/>
      </c>
      <c r="BC33" s="669"/>
      <c r="BD33" s="670"/>
      <c r="BE33" s="671"/>
      <c r="BF33" s="671"/>
      <c r="BG33" s="671"/>
      <c r="BH33" s="671"/>
      <c r="BI33" s="671"/>
      <c r="BJ33" s="1463"/>
      <c r="BK33" s="671"/>
      <c r="BL33" s="671"/>
      <c r="BM33" s="671"/>
      <c r="BN33" s="671"/>
      <c r="BO33" s="671"/>
      <c r="BP33" s="671"/>
      <c r="BQ33" s="637"/>
      <c r="BR33" s="682"/>
      <c r="BU33" s="609"/>
      <c r="BV33" s="608"/>
      <c r="BW33" s="608"/>
      <c r="BX33" s="608"/>
    </row>
    <row r="34" spans="1:104" ht="12.75" customHeight="1">
      <c r="A34" s="610"/>
      <c r="B34" s="611"/>
      <c r="C34" s="629" t="str">
        <f t="shared" si="29"/>
        <v>Mass Hub</v>
      </c>
      <c r="D34" s="629" t="str">
        <f t="shared" si="29"/>
        <v/>
      </c>
      <c r="E34" s="629" t="str">
        <f t="shared" si="29"/>
        <v/>
      </c>
      <c r="F34" s="676"/>
      <c r="G34" s="640">
        <f t="shared" ref="G34:Z34" si="104">IF(ISBLANK(G177),"",G177)</f>
        <v>44.804086956521751</v>
      </c>
      <c r="H34" s="641">
        <f t="shared" si="104"/>
        <v>38.409404761904753</v>
      </c>
      <c r="I34" s="641">
        <f t="shared" si="104"/>
        <v>41.222355072463778</v>
      </c>
      <c r="J34" s="642">
        <f t="shared" si="104"/>
        <v>42.090868115942037</v>
      </c>
      <c r="K34" s="640">
        <f t="shared" si="104"/>
        <v>51.30131863929148</v>
      </c>
      <c r="L34" s="641">
        <f t="shared" si="104"/>
        <v>37.850595238095231</v>
      </c>
      <c r="M34" s="641">
        <f t="shared" si="104"/>
        <v>39.460384963768135</v>
      </c>
      <c r="N34" s="642">
        <f t="shared" si="104"/>
        <v>32.516622101449258</v>
      </c>
      <c r="O34" s="640">
        <f t="shared" si="104"/>
        <v>27.601070632266282</v>
      </c>
      <c r="P34" s="641">
        <f t="shared" si="104"/>
        <v>22.926753663003662</v>
      </c>
      <c r="Q34" s="641">
        <f t="shared" si="104"/>
        <v>30.926911231884059</v>
      </c>
      <c r="R34" s="641">
        <f t="shared" si="104"/>
        <v>38.427999456521725</v>
      </c>
      <c r="S34" s="643">
        <f t="shared" si="104"/>
        <v>72.617844806763287</v>
      </c>
      <c r="T34" s="644">
        <f t="shared" si="104"/>
        <v>34.133154761904763</v>
      </c>
      <c r="U34" s="644">
        <f t="shared" si="104"/>
        <v>30.454148550724629</v>
      </c>
      <c r="V34" s="645">
        <f t="shared" si="104"/>
        <v>51.12213387681161</v>
      </c>
      <c r="W34" s="644">
        <f t="shared" si="104"/>
        <v>125.17613546698865</v>
      </c>
      <c r="X34" s="644">
        <f t="shared" si="104"/>
        <v>32.324491758241756</v>
      </c>
      <c r="Y34" s="644">
        <f t="shared" si="104"/>
        <v>26.776259057971</v>
      </c>
      <c r="Z34" s="645">
        <f t="shared" si="104"/>
        <v>31.050057065217377</v>
      </c>
      <c r="AA34" s="644">
        <f t="shared" si="101"/>
        <v>74.709404790660244</v>
      </c>
      <c r="AB34" s="644">
        <f t="shared" si="101"/>
        <v>18.747051282051284</v>
      </c>
      <c r="AC34" s="644">
        <f t="shared" si="101"/>
        <v>22.344044384057977</v>
      </c>
      <c r="AD34" s="645">
        <f t="shared" si="101"/>
        <v>20.198206884057964</v>
      </c>
      <c r="AE34" s="644">
        <f t="shared" si="97"/>
        <v>22.403306059882148</v>
      </c>
      <c r="AF34" s="644">
        <f t="shared" si="97"/>
        <v>18.611707875457874</v>
      </c>
      <c r="AG34" s="644">
        <f t="shared" si="97"/>
        <v>21.732721920289862</v>
      </c>
      <c r="AH34" s="645">
        <f t="shared" si="97"/>
        <v>28.745413949275392</v>
      </c>
      <c r="AI34" s="644">
        <f t="shared" si="84"/>
        <v>30.265937600644122</v>
      </c>
      <c r="AJ34" s="644">
        <f t="shared" si="84"/>
        <v>22.968333333333337</v>
      </c>
      <c r="AK34" s="644">
        <f t="shared" si="84"/>
        <v>19.421938405797103</v>
      </c>
      <c r="AL34" s="645">
        <f t="shared" si="84"/>
        <v>41.756125543478241</v>
      </c>
      <c r="AM34" s="644">
        <f t="shared" si="74"/>
        <v>55.496529991948492</v>
      </c>
      <c r="AN34" s="644">
        <f t="shared" si="74"/>
        <v>24.166666666666668</v>
      </c>
      <c r="AO34" s="644">
        <f t="shared" si="74"/>
        <v>23.3</v>
      </c>
      <c r="AP34" s="645">
        <f t="shared" si="74"/>
        <v>33.699999999999996</v>
      </c>
      <c r="AQ34" s="644">
        <f t="shared" ref="AQ34:AX34" si="105">IF(ISBLANK(AQ177),"",AQ177)</f>
        <v>56.863680246618699</v>
      </c>
      <c r="AR34" s="644">
        <f t="shared" si="105"/>
        <v>22.402357917897525</v>
      </c>
      <c r="AS34" s="644">
        <f t="shared" si="105"/>
        <v>23.701528116853666</v>
      </c>
      <c r="AT34" s="645">
        <f t="shared" si="105"/>
        <v>32.932400385030085</v>
      </c>
      <c r="AU34" s="644">
        <f t="shared" si="105"/>
        <v>56.696324969164479</v>
      </c>
      <c r="AV34" s="644">
        <f t="shared" si="105"/>
        <v>22.336425624934453</v>
      </c>
      <c r="AW34" s="644">
        <f t="shared" si="105"/>
        <v>23.631772241101658</v>
      </c>
      <c r="AX34" s="645">
        <f t="shared" si="105"/>
        <v>32.8354771647994</v>
      </c>
      <c r="AY34" s="644">
        <f t="shared" ref="AY34:BB34" si="106">IF(ISBLANK(AY177),"",AY177)</f>
        <v>57.030965787007425</v>
      </c>
      <c r="AZ34" s="644">
        <f t="shared" si="106"/>
        <v>22.468262736826301</v>
      </c>
      <c r="BA34" s="644">
        <f t="shared" si="106"/>
        <v>23.771254925281653</v>
      </c>
      <c r="BB34" s="645">
        <f t="shared" si="106"/>
        <v>33.0292832172846</v>
      </c>
      <c r="BC34" s="646"/>
      <c r="BD34" s="646"/>
      <c r="BE34" s="655">
        <f t="shared" ref="BE34:BE49" si="107">AVERAGE(G34:J34)</f>
        <v>41.631678726708081</v>
      </c>
      <c r="BF34" s="655">
        <f t="shared" ref="BF34:BF49" si="108">AVERAGE(K34:N34)</f>
        <v>40.282230235651021</v>
      </c>
      <c r="BG34" s="655">
        <f t="shared" ref="BG34:BG49" si="109">AVERAGE(O34:R34)</f>
        <v>29.970683745918933</v>
      </c>
      <c r="BH34" s="655">
        <f t="shared" ref="BH34:BH49" si="110">AVERAGE(S34:V34)</f>
        <v>47.081820499051069</v>
      </c>
      <c r="BI34" s="655">
        <f t="shared" ref="BI34:BI49" si="111">AVERAGE(W34:Z34)</f>
        <v>53.831735837104695</v>
      </c>
      <c r="BJ34" s="655">
        <f t="shared" ref="BJ34:BJ49" si="112">AVERAGE(AA34:AD34)</f>
        <v>33.99967683520687</v>
      </c>
      <c r="BK34" s="672">
        <f t="shared" ref="BK34:BK49" si="113">AVERAGE(AE34:AH34)</f>
        <v>22.873287451226318</v>
      </c>
      <c r="BL34" s="672">
        <f t="shared" ref="BL34:BL49" si="114">AVERAGE(AI34:AL34)</f>
        <v>28.603083720813203</v>
      </c>
      <c r="BM34" s="672">
        <f t="shared" ref="BM34:BM49" si="115">AVERAGE(AM34:AP34)</f>
        <v>34.165799164653791</v>
      </c>
      <c r="BN34" s="672">
        <f t="shared" ref="BN34:BN49" si="116">AVERAGE(AQ34:AT34)</f>
        <v>33.974991666599998</v>
      </c>
      <c r="BO34" s="672">
        <f t="shared" ref="BO34:BO49" si="117">AVERAGE(AU34:AX34)</f>
        <v>33.875</v>
      </c>
      <c r="BP34" s="672">
        <f t="shared" ref="BP34:BP49" si="118">AVERAGE(AY34:BB34)</f>
        <v>34.074941666599997</v>
      </c>
      <c r="BQ34" s="637"/>
      <c r="BR34" s="684"/>
      <c r="BS34" s="685"/>
      <c r="BU34" s="609"/>
      <c r="BV34" s="1450" t="s">
        <v>692</v>
      </c>
      <c r="BW34" s="608"/>
      <c r="BX34" s="608"/>
    </row>
    <row r="35" spans="1:104" ht="12.75" customHeight="1">
      <c r="A35" s="610"/>
      <c r="B35" s="611"/>
      <c r="C35" s="629" t="str">
        <f t="shared" ref="C35:E54" si="119">IF(ISBLANK(C178),"",C178)</f>
        <v>NY Zone A</v>
      </c>
      <c r="D35" s="629" t="str">
        <f t="shared" si="119"/>
        <v/>
      </c>
      <c r="E35" s="629" t="str">
        <f t="shared" si="119"/>
        <v/>
      </c>
      <c r="F35" s="676"/>
      <c r="G35" s="640">
        <f t="shared" ref="G35:Z35" si="120">IF(ISBLANK(G178),"",G178)</f>
        <v>30.611880233494375</v>
      </c>
      <c r="H35" s="641">
        <f t="shared" si="120"/>
        <v>32.835989010988996</v>
      </c>
      <c r="I35" s="641">
        <f t="shared" si="120"/>
        <v>38.537432065217374</v>
      </c>
      <c r="J35" s="642">
        <f t="shared" si="120"/>
        <v>34.208417028985515</v>
      </c>
      <c r="K35" s="640">
        <f t="shared" si="120"/>
        <v>35.779313405797105</v>
      </c>
      <c r="L35" s="641">
        <f t="shared" si="120"/>
        <v>31.184803113553112</v>
      </c>
      <c r="M35" s="641">
        <f t="shared" si="120"/>
        <v>33.652490942028983</v>
      </c>
      <c r="N35" s="642">
        <f t="shared" si="120"/>
        <v>27.712640036231885</v>
      </c>
      <c r="O35" s="640">
        <f t="shared" si="120"/>
        <v>23.968829033285562</v>
      </c>
      <c r="P35" s="641">
        <f t="shared" si="120"/>
        <v>20.569913003663</v>
      </c>
      <c r="Q35" s="641">
        <f t="shared" si="120"/>
        <v>27.271308876811592</v>
      </c>
      <c r="R35" s="641">
        <f t="shared" si="120"/>
        <v>30.6151650362319</v>
      </c>
      <c r="S35" s="643">
        <f t="shared" si="120"/>
        <v>35.609952294685982</v>
      </c>
      <c r="T35" s="644">
        <f t="shared" si="120"/>
        <v>28.352330586080591</v>
      </c>
      <c r="U35" s="644">
        <f t="shared" si="120"/>
        <v>26.087404891304349</v>
      </c>
      <c r="V35" s="645">
        <f t="shared" si="120"/>
        <v>29.252230615942018</v>
      </c>
      <c r="W35" s="644">
        <f t="shared" si="120"/>
        <v>74.738565619967801</v>
      </c>
      <c r="X35" s="644">
        <f t="shared" si="120"/>
        <v>27.261304945054935</v>
      </c>
      <c r="Y35" s="644">
        <f t="shared" si="120"/>
        <v>23.849180253623189</v>
      </c>
      <c r="Z35" s="645">
        <f t="shared" si="120"/>
        <v>21.799227355072471</v>
      </c>
      <c r="AA35" s="644">
        <f t="shared" si="101"/>
        <v>37.643325281803556</v>
      </c>
      <c r="AB35" s="644">
        <f t="shared" si="101"/>
        <v>18.227133699633701</v>
      </c>
      <c r="AC35" s="644">
        <f t="shared" si="101"/>
        <v>20.449230072463759</v>
      </c>
      <c r="AD35" s="645">
        <f t="shared" si="101"/>
        <v>14.298236956521748</v>
      </c>
      <c r="AE35" s="644">
        <f t="shared" si="97"/>
        <v>13.624288899506292</v>
      </c>
      <c r="AF35" s="644">
        <f t="shared" si="97"/>
        <v>15.5952152014652</v>
      </c>
      <c r="AG35" s="644">
        <f t="shared" si="97"/>
        <v>19.290855978260876</v>
      </c>
      <c r="AH35" s="645">
        <f t="shared" si="97"/>
        <v>17.244110869565226</v>
      </c>
      <c r="AI35" s="644">
        <f t="shared" si="84"/>
        <v>19.385393719806771</v>
      </c>
      <c r="AJ35" s="644">
        <f t="shared" si="84"/>
        <v>14.500613553113546</v>
      </c>
      <c r="AK35" s="644">
        <f t="shared" si="84"/>
        <v>17.318980978260868</v>
      </c>
      <c r="AL35" s="645">
        <f t="shared" si="84"/>
        <v>19.652653804347828</v>
      </c>
      <c r="AM35" s="644">
        <f t="shared" si="74"/>
        <v>32.735488727858289</v>
      </c>
      <c r="AN35" s="644">
        <f t="shared" si="74"/>
        <v>32.93333333333333</v>
      </c>
      <c r="AO35" s="644">
        <f t="shared" si="74"/>
        <v>29.3</v>
      </c>
      <c r="AP35" s="645">
        <f t="shared" si="74"/>
        <v>33.083333333333336</v>
      </c>
      <c r="AQ35" s="644">
        <f t="shared" ref="AQ35:AX35" si="121">IF(ISBLANK(AQ178),"",AQ178)</f>
        <v>50.208915257706202</v>
      </c>
      <c r="AR35" s="644">
        <f t="shared" si="121"/>
        <v>32.014743875122768</v>
      </c>
      <c r="AS35" s="644">
        <f t="shared" si="121"/>
        <v>27.396223447236203</v>
      </c>
      <c r="AT35" s="645">
        <f t="shared" si="121"/>
        <v>24.304750753134826</v>
      </c>
      <c r="AU35" s="644">
        <f t="shared" si="121"/>
        <v>49.683624405377643</v>
      </c>
      <c r="AV35" s="644">
        <f t="shared" si="121"/>
        <v>31.679802321198988</v>
      </c>
      <c r="AW35" s="644">
        <f t="shared" si="121"/>
        <v>27.109601330599784</v>
      </c>
      <c r="AX35" s="645">
        <f t="shared" si="121"/>
        <v>24.050471942823588</v>
      </c>
      <c r="AY35" s="644">
        <f t="shared" ref="AY35:BB35" si="122">IF(ISBLANK(AY178),"",AY178)</f>
        <v>49.75851777917272</v>
      </c>
      <c r="AZ35" s="644">
        <f t="shared" si="122"/>
        <v>31.727556632712918</v>
      </c>
      <c r="BA35" s="644">
        <f t="shared" si="122"/>
        <v>27.150466495534658</v>
      </c>
      <c r="BB35" s="645">
        <f t="shared" si="122"/>
        <v>24.0867257589797</v>
      </c>
      <c r="BC35" s="646"/>
      <c r="BD35" s="646"/>
      <c r="BE35" s="655">
        <f t="shared" si="107"/>
        <v>34.048429584671567</v>
      </c>
      <c r="BF35" s="655">
        <f t="shared" si="108"/>
        <v>32.08231187440277</v>
      </c>
      <c r="BG35" s="655">
        <f t="shared" si="109"/>
        <v>25.606303987498013</v>
      </c>
      <c r="BH35" s="655">
        <f t="shared" si="110"/>
        <v>29.825479597003238</v>
      </c>
      <c r="BI35" s="655">
        <f t="shared" si="111"/>
        <v>36.912069543429595</v>
      </c>
      <c r="BJ35" s="655">
        <f t="shared" si="112"/>
        <v>22.654481502605691</v>
      </c>
      <c r="BK35" s="672">
        <f t="shared" si="113"/>
        <v>16.438617737199401</v>
      </c>
      <c r="BL35" s="672">
        <f t="shared" si="114"/>
        <v>17.714410513882253</v>
      </c>
      <c r="BM35" s="672">
        <f t="shared" si="115"/>
        <v>32.01303884863124</v>
      </c>
      <c r="BN35" s="672">
        <f t="shared" si="116"/>
        <v>33.481158333300002</v>
      </c>
      <c r="BO35" s="672">
        <f t="shared" si="117"/>
        <v>33.130875000000003</v>
      </c>
      <c r="BP35" s="672">
        <f t="shared" si="118"/>
        <v>33.180816666600002</v>
      </c>
      <c r="BQ35" s="637"/>
      <c r="BR35" s="684"/>
      <c r="BS35" s="685"/>
      <c r="BU35" s="609"/>
      <c r="BV35" s="658" t="s">
        <v>693</v>
      </c>
      <c r="BW35" s="658"/>
      <c r="BX35" s="1635">
        <v>2021</v>
      </c>
      <c r="BY35" s="1635" t="s">
        <v>877</v>
      </c>
      <c r="BZ35" s="1635" t="s">
        <v>878</v>
      </c>
      <c r="CA35" s="1635" t="s">
        <v>879</v>
      </c>
      <c r="CB35" s="1635" t="s">
        <v>880</v>
      </c>
      <c r="CC35" s="1635" t="s">
        <v>881</v>
      </c>
    </row>
    <row r="36" spans="1:104" ht="12.75" customHeight="1">
      <c r="A36" s="610"/>
      <c r="B36" s="611"/>
      <c r="C36" s="629" t="str">
        <f t="shared" si="119"/>
        <v>NY Zone G</v>
      </c>
      <c r="D36" s="629" t="str">
        <f t="shared" si="119"/>
        <v/>
      </c>
      <c r="E36" s="629" t="str">
        <f t="shared" si="119"/>
        <v/>
      </c>
      <c r="F36" s="676"/>
      <c r="G36" s="640">
        <f t="shared" ref="G36:Z36" si="123">IF(ISBLANK(G179),"",G179)</f>
        <v>42.842352657004845</v>
      </c>
      <c r="H36" s="641">
        <f t="shared" si="123"/>
        <v>38.993859890109889</v>
      </c>
      <c r="I36" s="641">
        <f t="shared" si="123"/>
        <v>43.926820652173916</v>
      </c>
      <c r="J36" s="642">
        <f t="shared" si="123"/>
        <v>40.879857427536237</v>
      </c>
      <c r="K36" s="640">
        <f t="shared" si="123"/>
        <v>49.229429347826084</v>
      </c>
      <c r="L36" s="641">
        <f t="shared" si="123"/>
        <v>35.886799450549439</v>
      </c>
      <c r="M36" s="641">
        <f t="shared" si="123"/>
        <v>39.740421195652168</v>
      </c>
      <c r="N36" s="642">
        <f t="shared" si="123"/>
        <v>30.484731521739121</v>
      </c>
      <c r="O36" s="640">
        <f t="shared" si="123"/>
        <v>27.569314580347193</v>
      </c>
      <c r="P36" s="641">
        <f t="shared" si="123"/>
        <v>22.281291208791199</v>
      </c>
      <c r="Q36" s="641">
        <f t="shared" si="123"/>
        <v>30.822210144927531</v>
      </c>
      <c r="R36" s="641">
        <f t="shared" si="123"/>
        <v>36.205649818840577</v>
      </c>
      <c r="S36" s="643">
        <f t="shared" si="123"/>
        <v>56.707361111111105</v>
      </c>
      <c r="T36" s="644">
        <f t="shared" si="123"/>
        <v>33.444134615384613</v>
      </c>
      <c r="U36" s="644">
        <f t="shared" si="123"/>
        <v>31.241820652173907</v>
      </c>
      <c r="V36" s="645">
        <f t="shared" si="123"/>
        <v>36.510255434782614</v>
      </c>
      <c r="W36" s="644">
        <f t="shared" si="123"/>
        <v>104.25991747181963</v>
      </c>
      <c r="X36" s="644">
        <f t="shared" si="123"/>
        <v>30.387303113553116</v>
      </c>
      <c r="Y36" s="644">
        <f t="shared" si="123"/>
        <v>25.834510869565232</v>
      </c>
      <c r="Z36" s="645">
        <f t="shared" si="123"/>
        <v>26.259342210144922</v>
      </c>
      <c r="AA36" s="644">
        <f t="shared" si="101"/>
        <v>58.731627415458931</v>
      </c>
      <c r="AB36" s="644">
        <f t="shared" si="101"/>
        <v>19.32760989010988</v>
      </c>
      <c r="AC36" s="644">
        <f t="shared" si="101"/>
        <v>22.11728713768116</v>
      </c>
      <c r="AD36" s="645">
        <f t="shared" si="101"/>
        <v>17.28061014492754</v>
      </c>
      <c r="AE36" s="644">
        <f t="shared" si="97"/>
        <v>20.397999084249086</v>
      </c>
      <c r="AF36" s="644">
        <f t="shared" si="97"/>
        <v>19.320544871794873</v>
      </c>
      <c r="AG36" s="644">
        <f t="shared" si="97"/>
        <v>22.198464673913044</v>
      </c>
      <c r="AH36" s="645">
        <f t="shared" si="97"/>
        <v>25.744134963768118</v>
      </c>
      <c r="AI36" s="644">
        <f t="shared" si="84"/>
        <v>29.326884259259263</v>
      </c>
      <c r="AJ36" s="644">
        <f t="shared" si="84"/>
        <v>21.279184981684978</v>
      </c>
      <c r="AK36" s="644">
        <f t="shared" si="84"/>
        <v>19.207495471014489</v>
      </c>
      <c r="AL36" s="645">
        <f t="shared" si="84"/>
        <v>28.660226630434785</v>
      </c>
      <c r="AM36" s="644">
        <f t="shared" si="74"/>
        <v>44.676771739130423</v>
      </c>
      <c r="AN36" s="644">
        <f>IF(ISBLANK(AN179),"",AN179)</f>
        <v>38.200000000000003</v>
      </c>
      <c r="AO36" s="644">
        <f t="shared" si="74"/>
        <v>32.6</v>
      </c>
      <c r="AP36" s="645">
        <f t="shared" si="74"/>
        <v>41.800000000000004</v>
      </c>
      <c r="AQ36" s="644">
        <f t="shared" ref="AQ36:AX36" si="124">IF(ISBLANK(AQ179),"",AQ179)</f>
        <v>67.7166668198211</v>
      </c>
      <c r="AR36" s="644">
        <f t="shared" si="124"/>
        <v>38.042079509049643</v>
      </c>
      <c r="AS36" s="644">
        <f t="shared" si="124"/>
        <v>31.175086966580828</v>
      </c>
      <c r="AT36" s="645">
        <f t="shared" si="124"/>
        <v>28.982800037748426</v>
      </c>
      <c r="AU36" s="644">
        <f t="shared" si="124"/>
        <v>68.226851296430993</v>
      </c>
      <c r="AV36" s="644">
        <f t="shared" si="124"/>
        <v>38.328692529668608</v>
      </c>
      <c r="AW36" s="644">
        <f t="shared" si="124"/>
        <v>31.409963344498731</v>
      </c>
      <c r="AX36" s="645">
        <f t="shared" si="124"/>
        <v>29.201159495801665</v>
      </c>
      <c r="AY36" s="644">
        <f t="shared" ref="AY36:BB36" si="125">IF(ISBLANK(AY179),"",AY179)</f>
        <v>68.716520101812705</v>
      </c>
      <c r="AZ36" s="644">
        <f t="shared" si="125"/>
        <v>38.603780192754527</v>
      </c>
      <c r="BA36" s="644">
        <f t="shared" si="125"/>
        <v>31.635394812252667</v>
      </c>
      <c r="BB36" s="645">
        <f t="shared" si="125"/>
        <v>29.410738226380104</v>
      </c>
      <c r="BC36" s="646"/>
      <c r="BD36" s="646"/>
      <c r="BE36" s="655">
        <f t="shared" si="107"/>
        <v>41.660722656706227</v>
      </c>
      <c r="BF36" s="655">
        <f t="shared" si="108"/>
        <v>38.835345378941703</v>
      </c>
      <c r="BG36" s="655">
        <f t="shared" si="109"/>
        <v>29.219616438226623</v>
      </c>
      <c r="BH36" s="655">
        <f t="shared" si="110"/>
        <v>39.475892953363058</v>
      </c>
      <c r="BI36" s="655">
        <f t="shared" si="111"/>
        <v>46.685268416270723</v>
      </c>
      <c r="BJ36" s="655">
        <f t="shared" si="112"/>
        <v>29.364283647044378</v>
      </c>
      <c r="BK36" s="672">
        <f t="shared" si="113"/>
        <v>21.915285898431279</v>
      </c>
      <c r="BL36" s="672">
        <f t="shared" si="114"/>
        <v>24.618447835598374</v>
      </c>
      <c r="BM36" s="672">
        <f t="shared" si="115"/>
        <v>39.319192934782606</v>
      </c>
      <c r="BN36" s="672">
        <f t="shared" si="116"/>
        <v>41.479158333299999</v>
      </c>
      <c r="BO36" s="672">
        <f t="shared" si="117"/>
        <v>41.791666666600001</v>
      </c>
      <c r="BP36" s="672">
        <f t="shared" si="118"/>
        <v>42.091608333300002</v>
      </c>
      <c r="BQ36" s="637"/>
      <c r="BR36" s="684"/>
      <c r="BS36" s="685"/>
      <c r="BU36" s="609"/>
      <c r="BV36" s="678" t="s">
        <v>854</v>
      </c>
      <c r="BW36" s="608"/>
      <c r="BX36" s="852">
        <f>((BZ36*4/1000)+CB36)/CA36*1000</f>
        <v>18400</v>
      </c>
      <c r="BY36" s="1699">
        <f>HLOOKUP(CA36,$CB$53:$CZ$58,BZ54,TRUE)</f>
        <v>0.5</v>
      </c>
      <c r="BZ36" s="852">
        <v>11200</v>
      </c>
      <c r="CA36" s="1636">
        <f>$BW$8+$BX$58</f>
        <v>1.75</v>
      </c>
      <c r="CB36" s="1636">
        <f>BY36*(CA36-4)*BZ36/1000</f>
        <v>-12.6</v>
      </c>
      <c r="CC36" s="1636">
        <f>(BX36*CA36-4*BZ36)/1000</f>
        <v>-12.6</v>
      </c>
    </row>
    <row r="37" spans="1:104" ht="12.75" customHeight="1">
      <c r="A37" s="610"/>
      <c r="B37" s="611"/>
      <c r="C37" s="678" t="str">
        <f t="shared" si="119"/>
        <v>NY Zone J</v>
      </c>
      <c r="D37" s="629" t="str">
        <f t="shared" si="119"/>
        <v/>
      </c>
      <c r="E37" s="629" t="str">
        <f t="shared" si="119"/>
        <v/>
      </c>
      <c r="F37" s="676"/>
      <c r="G37" s="640">
        <f t="shared" ref="G37:Z37" si="126">IF(ISBLANK(G180),"",G180)</f>
        <v>43.763039855072456</v>
      </c>
      <c r="H37" s="641">
        <f t="shared" si="126"/>
        <v>41.705434981684988</v>
      </c>
      <c r="I37" s="641">
        <f t="shared" si="126"/>
        <v>47.003220108695643</v>
      </c>
      <c r="J37" s="642">
        <f t="shared" si="126"/>
        <v>41.219209057971007</v>
      </c>
      <c r="K37" s="640">
        <f t="shared" si="126"/>
        <v>51.080749798711743</v>
      </c>
      <c r="L37" s="641">
        <f t="shared" si="126"/>
        <v>37.080599816849826</v>
      </c>
      <c r="M37" s="641">
        <f t="shared" si="126"/>
        <v>42.037432065217381</v>
      </c>
      <c r="N37" s="642">
        <f t="shared" si="126"/>
        <v>30.768373369565197</v>
      </c>
      <c r="O37" s="640">
        <f t="shared" si="126"/>
        <v>28.248588549132045</v>
      </c>
      <c r="P37" s="641">
        <f t="shared" si="126"/>
        <v>22.741620879120877</v>
      </c>
      <c r="Q37" s="641">
        <f t="shared" si="126"/>
        <v>32.049044384057972</v>
      </c>
      <c r="R37" s="641">
        <f t="shared" si="126"/>
        <v>36.959637137681163</v>
      </c>
      <c r="S37" s="643">
        <f t="shared" si="126"/>
        <v>58.074166062801964</v>
      </c>
      <c r="T37" s="644">
        <f t="shared" si="126"/>
        <v>34.010100732600726</v>
      </c>
      <c r="U37" s="644">
        <f t="shared" si="126"/>
        <v>33.497015398550722</v>
      </c>
      <c r="V37" s="645">
        <f t="shared" si="126"/>
        <v>35.902980434782606</v>
      </c>
      <c r="W37" s="644">
        <f t="shared" si="126"/>
        <v>104.53095511272141</v>
      </c>
      <c r="X37" s="644">
        <f t="shared" si="126"/>
        <v>30.633470695970686</v>
      </c>
      <c r="Y37" s="644">
        <f t="shared" si="126"/>
        <v>26.27728260869565</v>
      </c>
      <c r="Z37" s="645">
        <f t="shared" si="126"/>
        <v>26.346719927536238</v>
      </c>
      <c r="AA37" s="644">
        <f t="shared" si="101"/>
        <v>59.086149154589357</v>
      </c>
      <c r="AB37" s="644">
        <f t="shared" si="101"/>
        <v>19.830306776556778</v>
      </c>
      <c r="AC37" s="644">
        <f t="shared" si="101"/>
        <v>23.797971014492759</v>
      </c>
      <c r="AD37" s="645">
        <f t="shared" si="101"/>
        <v>17.491895833333331</v>
      </c>
      <c r="AE37" s="644">
        <f t="shared" si="97"/>
        <v>21.25929785793916</v>
      </c>
      <c r="AF37" s="644">
        <f t="shared" si="97"/>
        <v>20.53872252747253</v>
      </c>
      <c r="AG37" s="644">
        <f t="shared" si="97"/>
        <v>24.140729166666659</v>
      </c>
      <c r="AH37" s="645">
        <f t="shared" si="97"/>
        <v>25.848853442028986</v>
      </c>
      <c r="AI37" s="644">
        <f t="shared" si="84"/>
        <v>29.471096215781014</v>
      </c>
      <c r="AJ37" s="644">
        <f t="shared" si="84"/>
        <v>22.852271062271065</v>
      </c>
      <c r="AK37" s="644">
        <f t="shared" si="84"/>
        <v>20.054769021739126</v>
      </c>
      <c r="AL37" s="645">
        <f t="shared" si="84"/>
        <v>29.040597463768133</v>
      </c>
      <c r="AM37" s="644">
        <f t="shared" si="74"/>
        <v>46.970595410628015</v>
      </c>
      <c r="AN37" s="644">
        <f t="shared" si="74"/>
        <v>39.85</v>
      </c>
      <c r="AO37" s="644">
        <f t="shared" si="74"/>
        <v>34.283333333333331</v>
      </c>
      <c r="AP37" s="645">
        <f t="shared" si="74"/>
        <v>43.066666666666663</v>
      </c>
      <c r="AQ37" s="644">
        <f t="shared" ref="AQ37:AX37" si="127">IF(ISBLANK(AQ180),"",AQ180)</f>
        <v>70.748332973984347</v>
      </c>
      <c r="AR37" s="644">
        <f t="shared" si="127"/>
        <v>40.060601265759729</v>
      </c>
      <c r="AS37" s="644">
        <f t="shared" si="127"/>
        <v>33.256854743843881</v>
      </c>
      <c r="AT37" s="645">
        <f t="shared" si="127"/>
        <v>29.784177682812054</v>
      </c>
      <c r="AU37" s="644">
        <f t="shared" si="127"/>
        <v>71.419814884174826</v>
      </c>
      <c r="AV37" s="644">
        <f t="shared" si="127"/>
        <v>40.440821801432321</v>
      </c>
      <c r="AW37" s="644">
        <f t="shared" si="127"/>
        <v>33.572500009415513</v>
      </c>
      <c r="AX37" s="645">
        <f t="shared" si="127"/>
        <v>30.066863304977336</v>
      </c>
      <c r="AY37" s="644">
        <f t="shared" ref="AY37:BB37" si="128">IF(ISBLANK(AY180),"",AY180)</f>
        <v>72.233620953267874</v>
      </c>
      <c r="AZ37" s="644">
        <f t="shared" si="128"/>
        <v>40.901632100009685</v>
      </c>
      <c r="BA37" s="644">
        <f t="shared" si="128"/>
        <v>33.955047966261908</v>
      </c>
      <c r="BB37" s="645">
        <f t="shared" si="128"/>
        <v>30.409465646860522</v>
      </c>
      <c r="BC37" s="646"/>
      <c r="BD37" s="646"/>
      <c r="BE37" s="655">
        <f t="shared" si="107"/>
        <v>43.422726000856024</v>
      </c>
      <c r="BF37" s="655">
        <f t="shared" si="108"/>
        <v>40.24178876258604</v>
      </c>
      <c r="BG37" s="655">
        <f t="shared" si="109"/>
        <v>29.999722737498018</v>
      </c>
      <c r="BH37" s="655">
        <f t="shared" si="110"/>
        <v>40.371065657184005</v>
      </c>
      <c r="BI37" s="655">
        <f t="shared" si="111"/>
        <v>46.947107086231</v>
      </c>
      <c r="BJ37" s="655">
        <f t="shared" si="112"/>
        <v>30.051580694743055</v>
      </c>
      <c r="BK37" s="672">
        <f t="shared" si="113"/>
        <v>22.946900748526833</v>
      </c>
      <c r="BL37" s="672">
        <f t="shared" si="114"/>
        <v>25.354683440889836</v>
      </c>
      <c r="BM37" s="672">
        <f t="shared" si="115"/>
        <v>41.042648852657003</v>
      </c>
      <c r="BN37" s="672">
        <f t="shared" si="116"/>
        <v>43.462491666600002</v>
      </c>
      <c r="BO37" s="672">
        <f t="shared" si="117"/>
        <v>43.875</v>
      </c>
      <c r="BP37" s="672">
        <f t="shared" si="118"/>
        <v>44.374941666599995</v>
      </c>
      <c r="BQ37" s="637"/>
      <c r="BR37" s="684"/>
      <c r="BS37" s="685"/>
      <c r="BU37" s="609"/>
      <c r="BV37" s="678" t="s">
        <v>149</v>
      </c>
      <c r="BW37" s="608"/>
      <c r="BX37" s="852">
        <f>((BZ37*4/1000)+CB37)/CA37*1000</f>
        <v>17597.785714285717</v>
      </c>
      <c r="BY37" s="1699">
        <f>HLOOKUP(CA37,$CB$53:$CZ$58,BZ55,TRUE)</f>
        <v>0.66499999999999992</v>
      </c>
      <c r="BZ37" s="852">
        <v>12300</v>
      </c>
      <c r="CA37" s="1636">
        <f>$BW$8+$BX$58</f>
        <v>1.75</v>
      </c>
      <c r="CB37" s="1636">
        <f>BY37*(CA37-4)*BZ37/1000</f>
        <v>-18.403874999999999</v>
      </c>
      <c r="CC37" s="1636">
        <f>(BX37*CA37-4*BZ37)/1000</f>
        <v>-18.403874999999992</v>
      </c>
    </row>
    <row r="38" spans="1:104" ht="12.75" customHeight="1">
      <c r="A38" s="610"/>
      <c r="B38" s="611"/>
      <c r="C38" s="678" t="str">
        <f t="shared" si="119"/>
        <v>PJM West</v>
      </c>
      <c r="D38" s="629" t="str">
        <f t="shared" si="119"/>
        <v/>
      </c>
      <c r="E38" s="629" t="str">
        <f t="shared" si="119"/>
        <v/>
      </c>
      <c r="F38" s="676"/>
      <c r="G38" s="640">
        <f t="shared" ref="G38:Z38" si="129">IF(ISBLANK(G181),"",G181)</f>
        <v>39.448182602375198</v>
      </c>
      <c r="H38" s="641">
        <f t="shared" si="129"/>
        <v>32.95930132783883</v>
      </c>
      <c r="I38" s="641">
        <f t="shared" si="129"/>
        <v>37.786714411684756</v>
      </c>
      <c r="J38" s="642">
        <f t="shared" si="129"/>
        <v>38.127121226902197</v>
      </c>
      <c r="K38" s="640">
        <f t="shared" si="129"/>
        <v>40.858928955797097</v>
      </c>
      <c r="L38" s="641">
        <f t="shared" si="129"/>
        <v>33.916098321428571</v>
      </c>
      <c r="M38" s="641">
        <f t="shared" si="129"/>
        <v>34.068597563405802</v>
      </c>
      <c r="N38" s="642">
        <f t="shared" si="129"/>
        <v>31.114616296105076</v>
      </c>
      <c r="O38" s="640">
        <f t="shared" si="129"/>
        <v>27.303063772177097</v>
      </c>
      <c r="P38" s="641">
        <f t="shared" si="129"/>
        <v>22.034301452838829</v>
      </c>
      <c r="Q38" s="641">
        <f t="shared" si="129"/>
        <v>26.919559772644931</v>
      </c>
      <c r="R38" s="641">
        <f t="shared" si="129"/>
        <v>30.869201327717395</v>
      </c>
      <c r="S38" s="643">
        <f t="shared" si="129"/>
        <v>33.486062323832535</v>
      </c>
      <c r="T38" s="644">
        <f t="shared" si="129"/>
        <v>29.612168522893782</v>
      </c>
      <c r="U38" s="644">
        <f t="shared" si="129"/>
        <v>28.466996774909425</v>
      </c>
      <c r="V38" s="645">
        <f t="shared" si="129"/>
        <v>31.005893446105066</v>
      </c>
      <c r="W38" s="644">
        <f t="shared" si="129"/>
        <v>78.280771197463764</v>
      </c>
      <c r="X38" s="644">
        <f t="shared" si="129"/>
        <v>30.680673397435903</v>
      </c>
      <c r="Y38" s="644">
        <f t="shared" si="129"/>
        <v>27.413026009963772</v>
      </c>
      <c r="Z38" s="645">
        <f t="shared" si="129"/>
        <v>29.952876293025369</v>
      </c>
      <c r="AA38" s="644">
        <f t="shared" si="101"/>
        <v>44.217764477254434</v>
      </c>
      <c r="AB38" s="644">
        <f t="shared" si="101"/>
        <v>25.028568056318672</v>
      </c>
      <c r="AC38" s="644">
        <f t="shared" si="101"/>
        <v>23.224815237318836</v>
      </c>
      <c r="AD38" s="645">
        <f t="shared" si="101"/>
        <v>22.109061745018124</v>
      </c>
      <c r="AE38" s="644">
        <f t="shared" si="97"/>
        <v>23.988923446826721</v>
      </c>
      <c r="AF38" s="644">
        <f t="shared" si="97"/>
        <v>21.266628026098903</v>
      </c>
      <c r="AG38" s="644">
        <f t="shared" si="97"/>
        <v>22.910100094655796</v>
      </c>
      <c r="AH38" s="645">
        <f t="shared" si="97"/>
        <v>25.259746692934794</v>
      </c>
      <c r="AI38" s="644">
        <f t="shared" si="84"/>
        <v>27.075569670692435</v>
      </c>
      <c r="AJ38" s="644">
        <f t="shared" si="84"/>
        <v>22.121270426282045</v>
      </c>
      <c r="AK38" s="644">
        <f t="shared" si="84"/>
        <v>21.948979516304348</v>
      </c>
      <c r="AL38" s="645">
        <f t="shared" si="84"/>
        <v>28.679605414130428</v>
      </c>
      <c r="AM38" s="644">
        <f t="shared" si="74"/>
        <v>43.803590137359109</v>
      </c>
      <c r="AN38" s="644">
        <f t="shared" si="74"/>
        <v>24.95</v>
      </c>
      <c r="AO38" s="644">
        <f t="shared" si="74"/>
        <v>24.783333333333331</v>
      </c>
      <c r="AP38" s="645">
        <f t="shared" si="74"/>
        <v>25.683333333333334</v>
      </c>
      <c r="AQ38" s="644">
        <f t="shared" ref="AQ38:AX38" si="130">IF(ISBLANK(AQ181),"",AQ181)</f>
        <v>32.710239316820804</v>
      </c>
      <c r="AR38" s="644">
        <f t="shared" si="130"/>
        <v>20.631697104333988</v>
      </c>
      <c r="AS38" s="644">
        <f t="shared" si="130"/>
        <v>20.527571740433242</v>
      </c>
      <c r="AT38" s="645">
        <f t="shared" si="130"/>
        <v>31.93845850481198</v>
      </c>
      <c r="AU38" s="644">
        <f t="shared" si="130"/>
        <v>32.33891227956417</v>
      </c>
      <c r="AV38" s="644">
        <f t="shared" si="130"/>
        <v>20.397485826173483</v>
      </c>
      <c r="AW38" s="644">
        <f t="shared" si="130"/>
        <v>20.29454249467874</v>
      </c>
      <c r="AX38" s="645">
        <f t="shared" si="130"/>
        <v>31.575892732783615</v>
      </c>
      <c r="AY38" s="644">
        <f t="shared" ref="AY38:BB38" si="131">IF(ISBLANK(AY181),"",AY181)</f>
        <v>32.400669590326544</v>
      </c>
      <c r="AZ38" s="644">
        <f t="shared" si="131"/>
        <v>20.436438709314643</v>
      </c>
      <c r="BA38" s="644">
        <f t="shared" si="131"/>
        <v>20.333298787926616</v>
      </c>
      <c r="BB38" s="645">
        <f t="shared" si="131"/>
        <v>31.636192912432207</v>
      </c>
      <c r="BC38" s="646"/>
      <c r="BD38" s="646"/>
      <c r="BE38" s="655">
        <f t="shared" si="107"/>
        <v>37.080329892200247</v>
      </c>
      <c r="BF38" s="655">
        <f t="shared" si="108"/>
        <v>34.989560284184137</v>
      </c>
      <c r="BG38" s="655">
        <f t="shared" si="109"/>
        <v>26.781531581344563</v>
      </c>
      <c r="BH38" s="655">
        <f t="shared" si="110"/>
        <v>30.642780266935201</v>
      </c>
      <c r="BI38" s="655">
        <f t="shared" si="111"/>
        <v>41.581836724472197</v>
      </c>
      <c r="BJ38" s="655">
        <f t="shared" si="112"/>
        <v>28.645052378977518</v>
      </c>
      <c r="BK38" s="672">
        <f t="shared" si="113"/>
        <v>23.356349565129054</v>
      </c>
      <c r="BL38" s="672">
        <f t="shared" si="114"/>
        <v>24.956356256852317</v>
      </c>
      <c r="BM38" s="672">
        <f t="shared" si="115"/>
        <v>29.805064201006445</v>
      </c>
      <c r="BN38" s="672">
        <f t="shared" si="116"/>
        <v>26.451991666600001</v>
      </c>
      <c r="BO38" s="672">
        <f t="shared" si="117"/>
        <v>26.1517083333</v>
      </c>
      <c r="BP38" s="672">
        <f t="shared" si="118"/>
        <v>26.201650000000004</v>
      </c>
      <c r="BQ38" s="637"/>
      <c r="BR38" s="684"/>
      <c r="BS38" s="685"/>
      <c r="BU38" s="609"/>
      <c r="BV38" s="678" t="s">
        <v>23</v>
      </c>
      <c r="BW38" s="1464"/>
      <c r="BX38" s="852">
        <f>((BZ38*4/1000)+CB38)/CA38*1000</f>
        <v>19477.5</v>
      </c>
      <c r="BY38" s="1699">
        <f>HLOOKUP(CA38,$CB$53:$CZ$58,BZ56,TRUE)</f>
        <v>0.33500000000000002</v>
      </c>
      <c r="BZ38" s="852">
        <v>10500</v>
      </c>
      <c r="CA38" s="1636">
        <f>$BW$8+$BX$58</f>
        <v>1.75</v>
      </c>
      <c r="CB38" s="1636">
        <f>BY38*(CA38-4)*BZ38/1000</f>
        <v>-7.9143749999999997</v>
      </c>
      <c r="CC38" s="1636">
        <f>(BX38*CA38-4*BZ38)/1000</f>
        <v>-7.9143749999999997</v>
      </c>
    </row>
    <row r="39" spans="1:104" ht="12.75" customHeight="1">
      <c r="A39" s="610"/>
      <c r="B39" s="611"/>
      <c r="C39" s="678" t="str">
        <f t="shared" si="119"/>
        <v>PJM East</v>
      </c>
      <c r="D39" s="629" t="str">
        <f t="shared" si="119"/>
        <v/>
      </c>
      <c r="E39" s="629" t="str">
        <f t="shared" si="119"/>
        <v/>
      </c>
      <c r="F39" s="676"/>
      <c r="G39" s="640">
        <f t="shared" ref="G39:Z39" si="132">IF(ISBLANK(G182),"",G182)</f>
        <v>43.12788123345409</v>
      </c>
      <c r="H39" s="641">
        <f t="shared" si="132"/>
        <v>35.696539456043951</v>
      </c>
      <c r="I39" s="641">
        <f t="shared" si="132"/>
        <v>41.941960537590575</v>
      </c>
      <c r="J39" s="642">
        <f t="shared" si="132"/>
        <v>39.099061662771746</v>
      </c>
      <c r="K39" s="640">
        <f t="shared" si="132"/>
        <v>45.558643104669883</v>
      </c>
      <c r="L39" s="641">
        <f t="shared" si="132"/>
        <v>35.489017982600728</v>
      </c>
      <c r="M39" s="641">
        <f t="shared" si="132"/>
        <v>37.110367609148561</v>
      </c>
      <c r="N39" s="642">
        <f t="shared" si="132"/>
        <v>30.853395797826089</v>
      </c>
      <c r="O39" s="640">
        <f t="shared" si="132"/>
        <v>28.838922174609813</v>
      </c>
      <c r="P39" s="641">
        <f t="shared" si="132"/>
        <v>21.591528022435909</v>
      </c>
      <c r="Q39" s="641">
        <f t="shared" si="132"/>
        <v>30.122786553894926</v>
      </c>
      <c r="R39" s="641">
        <f t="shared" si="132"/>
        <v>32.447619825815202</v>
      </c>
      <c r="S39" s="643">
        <f t="shared" si="132"/>
        <v>34.55972632302737</v>
      </c>
      <c r="T39" s="644">
        <f t="shared" si="132"/>
        <v>31.325106590201472</v>
      </c>
      <c r="U39" s="644">
        <f t="shared" si="132"/>
        <v>30.007325350543471</v>
      </c>
      <c r="V39" s="645">
        <f t="shared" si="132"/>
        <v>32.19676385769926</v>
      </c>
      <c r="W39" s="644">
        <f t="shared" si="132"/>
        <v>90.786707820652168</v>
      </c>
      <c r="X39" s="644">
        <f t="shared" si="132"/>
        <v>30.634786767857143</v>
      </c>
      <c r="Y39" s="644">
        <f t="shared" si="132"/>
        <v>26.507552103713767</v>
      </c>
      <c r="Z39" s="645">
        <f t="shared" si="132"/>
        <v>37.660706784782626</v>
      </c>
      <c r="AA39" s="644">
        <f t="shared" si="101"/>
        <v>52.91501483514493</v>
      </c>
      <c r="AB39" s="644">
        <f t="shared" si="101"/>
        <v>25.152664907509156</v>
      </c>
      <c r="AC39" s="644">
        <f t="shared" si="101"/>
        <v>20.837114357789854</v>
      </c>
      <c r="AD39" s="645">
        <f t="shared" si="101"/>
        <v>25.347991754166664</v>
      </c>
      <c r="AE39" s="644">
        <f t="shared" si="97"/>
        <v>25.346020121237455</v>
      </c>
      <c r="AF39" s="644">
        <f t="shared" si="97"/>
        <v>19.254250642399267</v>
      </c>
      <c r="AG39" s="644">
        <f t="shared" si="97"/>
        <v>21.072814450181166</v>
      </c>
      <c r="AH39" s="645">
        <f t="shared" si="97"/>
        <v>21.316599519927536</v>
      </c>
      <c r="AI39" s="644">
        <f t="shared" si="84"/>
        <v>29.336510980555559</v>
      </c>
      <c r="AJ39" s="644">
        <f t="shared" si="84"/>
        <v>21.736222810439564</v>
      </c>
      <c r="AK39" s="644">
        <f t="shared" si="84"/>
        <v>19.181085373188402</v>
      </c>
      <c r="AL39" s="645">
        <f t="shared" si="84"/>
        <v>33.856300585507235</v>
      </c>
      <c r="AM39" s="644">
        <f t="shared" si="74"/>
        <v>46.651077805173117</v>
      </c>
      <c r="AN39" s="644">
        <f t="shared" si="74"/>
        <v>25.158666666666665</v>
      </c>
      <c r="AO39" s="644">
        <f t="shared" si="74"/>
        <v>25.266666666666666</v>
      </c>
      <c r="AP39" s="645">
        <f t="shared" si="74"/>
        <v>25.499833333333331</v>
      </c>
      <c r="AQ39" s="644">
        <f t="shared" ref="AQ39:AX39" si="133">IF(ISBLANK(AQ182),"",AQ182)</f>
        <v>37.348531597794079</v>
      </c>
      <c r="AR39" s="644">
        <f t="shared" si="133"/>
        <v>20.745010650110846</v>
      </c>
      <c r="AS39" s="644">
        <f t="shared" si="133"/>
        <v>21.194398638146534</v>
      </c>
      <c r="AT39" s="645">
        <f t="shared" si="133"/>
        <v>30.991359113948537</v>
      </c>
      <c r="AU39" s="644">
        <f t="shared" si="133"/>
        <v>37.020764656216237</v>
      </c>
      <c r="AV39" s="644">
        <f t="shared" si="133"/>
        <v>20.562954531626438</v>
      </c>
      <c r="AW39" s="644">
        <f t="shared" si="133"/>
        <v>21.008398736061569</v>
      </c>
      <c r="AX39" s="645">
        <f t="shared" si="133"/>
        <v>30.719382076095741</v>
      </c>
      <c r="AY39" s="644">
        <f t="shared" ref="AY39:BB39" si="134">IF(ISBLANK(AY182),"",AY182)</f>
        <v>37.359357818581813</v>
      </c>
      <c r="AZ39" s="644">
        <f t="shared" si="134"/>
        <v>20.751024007421933</v>
      </c>
      <c r="BA39" s="644">
        <f t="shared" si="134"/>
        <v>21.200542259576977</v>
      </c>
      <c r="BB39" s="645">
        <f t="shared" si="134"/>
        <v>31.000342580819272</v>
      </c>
      <c r="BC39" s="646"/>
      <c r="BD39" s="646"/>
      <c r="BE39" s="655">
        <f t="shared" si="107"/>
        <v>39.96636072246509</v>
      </c>
      <c r="BF39" s="655">
        <f t="shared" si="108"/>
        <v>37.252856123561315</v>
      </c>
      <c r="BG39" s="655">
        <f t="shared" si="109"/>
        <v>28.250214144188959</v>
      </c>
      <c r="BH39" s="655">
        <f t="shared" si="110"/>
        <v>32.022230530367892</v>
      </c>
      <c r="BI39" s="655">
        <f t="shared" si="111"/>
        <v>46.397438369251432</v>
      </c>
      <c r="BJ39" s="655">
        <f t="shared" si="112"/>
        <v>31.063196463652652</v>
      </c>
      <c r="BK39" s="672">
        <f t="shared" si="113"/>
        <v>21.747421183436355</v>
      </c>
      <c r="BL39" s="672">
        <f t="shared" si="114"/>
        <v>26.027529937422692</v>
      </c>
      <c r="BM39" s="672">
        <f t="shared" si="115"/>
        <v>30.644061117959943</v>
      </c>
      <c r="BN39" s="672">
        <f t="shared" si="116"/>
        <v>27.569824999999998</v>
      </c>
      <c r="BO39" s="672">
        <f t="shared" si="117"/>
        <v>27.327874999999995</v>
      </c>
      <c r="BP39" s="672">
        <f t="shared" si="118"/>
        <v>27.5778166666</v>
      </c>
      <c r="BQ39" s="637"/>
      <c r="BR39" s="684"/>
      <c r="BS39" s="685"/>
      <c r="BU39" s="609"/>
      <c r="BV39" s="678" t="s">
        <v>402</v>
      </c>
      <c r="BW39" s="1464"/>
      <c r="BX39" s="852">
        <f>((BZ39*4.25/1000)+CB39)/CA39*1000</f>
        <v>16920</v>
      </c>
      <c r="BY39" s="1699">
        <f>HLOOKUP(CA39,$CB$53:$CZ$58,BZ57,TRUE)</f>
        <v>0.36250000000000004</v>
      </c>
      <c r="BZ39" s="852">
        <v>10800</v>
      </c>
      <c r="CA39" s="1636">
        <f>$BW$8+BX60</f>
        <v>2.25</v>
      </c>
      <c r="CB39" s="1636">
        <f>BY39*(CA39-4.25)*BZ39/1000</f>
        <v>-7.830000000000001</v>
      </c>
      <c r="CC39" s="1636">
        <f>(BX39*CA39-4.25*BZ39)/1000</f>
        <v>-7.83</v>
      </c>
    </row>
    <row r="40" spans="1:104" ht="12.75" customHeight="1">
      <c r="A40" s="610"/>
      <c r="B40" s="611"/>
      <c r="C40" s="678" t="str">
        <f t="shared" si="119"/>
        <v>AEP Dayton</v>
      </c>
      <c r="D40" s="629" t="str">
        <f t="shared" si="119"/>
        <v/>
      </c>
      <c r="E40" s="629" t="str">
        <f t="shared" si="119"/>
        <v/>
      </c>
      <c r="F40" s="676"/>
      <c r="G40" s="640">
        <f t="shared" ref="G40:Z40" si="135">IF(ISBLANK(G183),"",G183)</f>
        <v>33.65507139897344</v>
      </c>
      <c r="H40" s="641">
        <f t="shared" si="135"/>
        <v>27.940983067765572</v>
      </c>
      <c r="I40" s="641">
        <f t="shared" si="135"/>
        <v>31.064639944746379</v>
      </c>
      <c r="J40" s="642">
        <f t="shared" si="135"/>
        <v>31.179066678713756</v>
      </c>
      <c r="K40" s="640">
        <f t="shared" si="135"/>
        <v>33.366856885466987</v>
      </c>
      <c r="L40" s="641">
        <f t="shared" si="135"/>
        <v>30.988586447802195</v>
      </c>
      <c r="M40" s="641">
        <f t="shared" si="135"/>
        <v>31.983560708333318</v>
      </c>
      <c r="N40" s="642">
        <f t="shared" si="135"/>
        <v>30.553551319112341</v>
      </c>
      <c r="O40" s="640">
        <f t="shared" si="135"/>
        <v>25.678486559862229</v>
      </c>
      <c r="P40" s="641">
        <f t="shared" si="135"/>
        <v>21.65716656639195</v>
      </c>
      <c r="Q40" s="641">
        <f t="shared" si="135"/>
        <v>25.59958281884057</v>
      </c>
      <c r="R40" s="641">
        <f t="shared" si="135"/>
        <v>29.691809545561608</v>
      </c>
      <c r="S40" s="643">
        <f t="shared" si="135"/>
        <v>30.712843264895323</v>
      </c>
      <c r="T40" s="644">
        <f t="shared" si="135"/>
        <v>28.683858509157513</v>
      </c>
      <c r="U40" s="644">
        <f t="shared" si="135"/>
        <v>26.289797765398554</v>
      </c>
      <c r="V40" s="645">
        <f t="shared" si="135"/>
        <v>28.58454812028986</v>
      </c>
      <c r="W40" s="644">
        <f t="shared" si="135"/>
        <v>55.582024361513675</v>
      </c>
      <c r="X40" s="644">
        <f t="shared" si="135"/>
        <v>30.848939755952369</v>
      </c>
      <c r="Y40" s="644">
        <f t="shared" si="135"/>
        <v>26.474229680253622</v>
      </c>
      <c r="Z40" s="645">
        <f t="shared" si="135"/>
        <v>30.106497532518123</v>
      </c>
      <c r="AA40" s="644">
        <f t="shared" si="101"/>
        <v>33.672197658071667</v>
      </c>
      <c r="AB40" s="644">
        <f t="shared" si="101"/>
        <v>24.408332260531143</v>
      </c>
      <c r="AC40" s="644">
        <f t="shared" si="101"/>
        <v>22.758183921195638</v>
      </c>
      <c r="AD40" s="645">
        <f t="shared" si="101"/>
        <v>22.005480128297094</v>
      </c>
      <c r="AE40" s="644">
        <f t="shared" si="97"/>
        <v>21.940509499422674</v>
      </c>
      <c r="AF40" s="644">
        <f t="shared" si="97"/>
        <v>21.194626118131868</v>
      </c>
      <c r="AG40" s="644">
        <f t="shared" si="97"/>
        <v>22.397125852355067</v>
      </c>
      <c r="AH40" s="645">
        <f t="shared" si="97"/>
        <v>25.119274915036236</v>
      </c>
      <c r="AI40" s="644">
        <f t="shared" si="84"/>
        <v>25.609943032206107</v>
      </c>
      <c r="AJ40" s="644">
        <f t="shared" si="84"/>
        <v>22.558270758241754</v>
      </c>
      <c r="AK40" s="644">
        <f t="shared" si="84"/>
        <v>22.753793536231882</v>
      </c>
      <c r="AL40" s="645">
        <f t="shared" si="84"/>
        <v>26.193597912862309</v>
      </c>
      <c r="AM40" s="644">
        <f t="shared" si="74"/>
        <v>34.436698074516897</v>
      </c>
      <c r="AN40" s="644">
        <f t="shared" si="74"/>
        <v>25.55</v>
      </c>
      <c r="AO40" s="644">
        <f t="shared" si="74"/>
        <v>25.216666666666669</v>
      </c>
      <c r="AP40" s="645">
        <f t="shared" si="74"/>
        <v>25.316666666666663</v>
      </c>
      <c r="AQ40" s="644">
        <f t="shared" ref="AQ40:AX40" si="136">IF(ISBLANK(AQ183),"",AQ183)</f>
        <v>30.065523917280856</v>
      </c>
      <c r="AR40" s="644">
        <f t="shared" si="136"/>
        <v>21.597016408139439</v>
      </c>
      <c r="AS40" s="644">
        <f t="shared" si="136"/>
        <v>21.984059712944806</v>
      </c>
      <c r="AT40" s="645">
        <f t="shared" si="136"/>
        <v>28.678033294834901</v>
      </c>
      <c r="AU40" s="644">
        <f t="shared" si="136"/>
        <v>29.607950419373292</v>
      </c>
      <c r="AV40" s="644">
        <f t="shared" si="136"/>
        <v>21.268326897541574</v>
      </c>
      <c r="AW40" s="644">
        <f t="shared" si="136"/>
        <v>21.649479709325476</v>
      </c>
      <c r="AX40" s="645">
        <f t="shared" si="136"/>
        <v>28.241576306959669</v>
      </c>
      <c r="AY40" s="644">
        <f t="shared" ref="AY40:BB40" si="137">IF(ISBLANK(AY183),"",AY183)</f>
        <v>29.616706401032346</v>
      </c>
      <c r="AZ40" s="644">
        <f t="shared" si="137"/>
        <v>21.274616596004179</v>
      </c>
      <c r="BA40" s="644">
        <f t="shared" si="137"/>
        <v>21.65588212639852</v>
      </c>
      <c r="BB40" s="645">
        <f t="shared" si="137"/>
        <v>28.24992820976496</v>
      </c>
      <c r="BC40" s="646"/>
      <c r="BD40" s="646"/>
      <c r="BE40" s="655">
        <f t="shared" si="107"/>
        <v>30.959940272549787</v>
      </c>
      <c r="BF40" s="655">
        <f t="shared" si="108"/>
        <v>31.723138840178709</v>
      </c>
      <c r="BG40" s="655">
        <f t="shared" si="109"/>
        <v>25.656761372664089</v>
      </c>
      <c r="BH40" s="655">
        <f t="shared" si="110"/>
        <v>28.567761914935311</v>
      </c>
      <c r="BI40" s="655">
        <f t="shared" si="111"/>
        <v>35.752922832559449</v>
      </c>
      <c r="BJ40" s="655">
        <f t="shared" si="112"/>
        <v>25.711048492023885</v>
      </c>
      <c r="BK40" s="672">
        <f t="shared" si="113"/>
        <v>22.662884096236461</v>
      </c>
      <c r="BL40" s="672">
        <f t="shared" si="114"/>
        <v>24.278901309885512</v>
      </c>
      <c r="BM40" s="672">
        <f t="shared" si="115"/>
        <v>27.630007851962556</v>
      </c>
      <c r="BN40" s="672">
        <f t="shared" si="116"/>
        <v>25.581158333300003</v>
      </c>
      <c r="BO40" s="672">
        <f t="shared" si="117"/>
        <v>25.191833333300004</v>
      </c>
      <c r="BP40" s="672">
        <f t="shared" si="118"/>
        <v>25.199283333300002</v>
      </c>
      <c r="BQ40" s="637"/>
      <c r="BR40" s="684"/>
      <c r="BS40" s="685"/>
      <c r="BU40" s="609"/>
      <c r="BV40" s="678" t="s">
        <v>62</v>
      </c>
      <c r="BW40" s="1464"/>
      <c r="BX40" s="852">
        <f>((BZ40*4.25/1000)+CB40)/CA40*1000</f>
        <v>13869.336734693876</v>
      </c>
      <c r="BY40" s="1699">
        <f>HLOOKUP(CA40,$CB$53:$CZ$58,BZ58,TRUE)</f>
        <v>0.33124999999999999</v>
      </c>
      <c r="BZ40" s="852">
        <v>9300</v>
      </c>
      <c r="CA40" s="1636">
        <f>$BW$8+BX59</f>
        <v>2.4500000000000002</v>
      </c>
      <c r="CB40" s="1636">
        <f>BY40*(CA40-4.25)*BZ40/1000</f>
        <v>-5.5451249999999987</v>
      </c>
      <c r="CC40" s="1636">
        <f>(BX40*CA40-4.25*BZ40)/1000</f>
        <v>-5.5451249999999996</v>
      </c>
    </row>
    <row r="41" spans="1:104" ht="12.75" customHeight="1">
      <c r="A41" s="610"/>
      <c r="B41" s="611"/>
      <c r="C41" s="678" t="str">
        <f t="shared" si="119"/>
        <v>Cinergy</v>
      </c>
      <c r="D41" s="629" t="str">
        <f t="shared" si="119"/>
        <v/>
      </c>
      <c r="E41" s="629" t="str">
        <f t="shared" si="119"/>
        <v/>
      </c>
      <c r="F41" s="676"/>
      <c r="G41" s="640">
        <f t="shared" ref="G41:Z41" si="138">IF(ISBLANK(G184),"",G184)</f>
        <v>33.577120008313223</v>
      </c>
      <c r="H41" s="641">
        <f t="shared" si="138"/>
        <v>28.007368155677657</v>
      </c>
      <c r="I41" s="641">
        <f t="shared" si="138"/>
        <v>31.199241193840571</v>
      </c>
      <c r="J41" s="642">
        <f t="shared" si="138"/>
        <v>31.280175134510877</v>
      </c>
      <c r="K41" s="640">
        <f t="shared" si="138"/>
        <v>33.316046651227865</v>
      </c>
      <c r="L41" s="641">
        <f t="shared" si="138"/>
        <v>31.034006899725281</v>
      </c>
      <c r="M41" s="641">
        <f t="shared" si="138"/>
        <v>32.137521466938395</v>
      </c>
      <c r="N41" s="642">
        <f t="shared" si="138"/>
        <v>30.682761882608698</v>
      </c>
      <c r="O41" s="640">
        <f t="shared" si="138"/>
        <v>25.679288122073572</v>
      </c>
      <c r="P41" s="641">
        <f t="shared" si="138"/>
        <v>21.775065671703299</v>
      </c>
      <c r="Q41" s="641">
        <f t="shared" si="138"/>
        <v>25.7171560271739</v>
      </c>
      <c r="R41" s="641">
        <f t="shared" si="138"/>
        <v>29.781977215851452</v>
      </c>
      <c r="S41" s="643">
        <f t="shared" si="138"/>
        <v>30.59628365193236</v>
      </c>
      <c r="T41" s="644">
        <f t="shared" si="138"/>
        <v>28.85574062912087</v>
      </c>
      <c r="U41" s="644">
        <f t="shared" si="138"/>
        <v>26.426258410326099</v>
      </c>
      <c r="V41" s="645">
        <f t="shared" si="138"/>
        <v>28.631262306884061</v>
      </c>
      <c r="W41" s="644">
        <f t="shared" si="138"/>
        <v>55.245883308574896</v>
      </c>
      <c r="X41" s="644">
        <f t="shared" si="138"/>
        <v>31.092236393315009</v>
      </c>
      <c r="Y41" s="644">
        <f t="shared" si="138"/>
        <v>26.565221706068847</v>
      </c>
      <c r="Z41" s="645">
        <f t="shared" si="138"/>
        <v>29.935611420199269</v>
      </c>
      <c r="AA41" s="644">
        <f t="shared" si="101"/>
        <v>33.546102769424323</v>
      </c>
      <c r="AB41" s="644">
        <f t="shared" si="101"/>
        <v>24.350682732600731</v>
      </c>
      <c r="AC41" s="644">
        <f t="shared" si="101"/>
        <v>22.832639235507255</v>
      </c>
      <c r="AD41" s="645">
        <f t="shared" si="101"/>
        <v>21.995092569728257</v>
      </c>
      <c r="AE41" s="644">
        <f t="shared" si="97"/>
        <v>22.062136905279502</v>
      </c>
      <c r="AF41" s="644">
        <f t="shared" si="97"/>
        <v>21.344116594322344</v>
      </c>
      <c r="AG41" s="644">
        <f t="shared" si="97"/>
        <v>22.51157196376812</v>
      </c>
      <c r="AH41" s="645">
        <f t="shared" si="97"/>
        <v>25.05356571974637</v>
      </c>
      <c r="AI41" s="644">
        <f t="shared" si="84"/>
        <v>25.637689978663452</v>
      </c>
      <c r="AJ41" s="644">
        <f t="shared" si="84"/>
        <v>22.658216380036624</v>
      </c>
      <c r="AK41" s="644">
        <f t="shared" si="84"/>
        <v>22.877026026268119</v>
      </c>
      <c r="AL41" s="645">
        <f t="shared" si="84"/>
        <v>26.103430919021747</v>
      </c>
      <c r="AM41" s="644">
        <f t="shared" si="74"/>
        <v>33.49635729142512</v>
      </c>
      <c r="AN41" s="644">
        <f t="shared" si="74"/>
        <v>24.3</v>
      </c>
      <c r="AO41" s="644">
        <f t="shared" si="74"/>
        <v>24.716666666666669</v>
      </c>
      <c r="AP41" s="645">
        <f t="shared" si="74"/>
        <v>24.833333333333332</v>
      </c>
      <c r="AQ41" s="644">
        <f t="shared" ref="AQ41:AX41" si="139">IF(ISBLANK(AQ184),"",AQ184)</f>
        <v>26.535204784504245</v>
      </c>
      <c r="AR41" s="644">
        <f t="shared" si="139"/>
        <v>20.510009202701678</v>
      </c>
      <c r="AS41" s="644">
        <f t="shared" si="139"/>
        <v>20.875172571295771</v>
      </c>
      <c r="AT41" s="645">
        <f t="shared" si="139"/>
        <v>29.770913441498301</v>
      </c>
      <c r="AU41" s="644">
        <f t="shared" si="139"/>
        <v>26.434034268000321</v>
      </c>
      <c r="AV41" s="644">
        <f t="shared" si="139"/>
        <v>20.43181089063328</v>
      </c>
      <c r="AW41" s="644">
        <f t="shared" si="139"/>
        <v>20.795582004413099</v>
      </c>
      <c r="AX41" s="645">
        <f t="shared" si="139"/>
        <v>29.657406170153298</v>
      </c>
      <c r="AY41" s="644">
        <f t="shared" ref="AY41:BB41" si="140">IF(ISBLANK(AY184),"",AY184)</f>
        <v>26.496453235293</v>
      </c>
      <c r="AZ41" s="644">
        <f t="shared" si="140"/>
        <v>20.480056743792986</v>
      </c>
      <c r="BA41" s="644">
        <f t="shared" si="140"/>
        <v>20.844686834186923</v>
      </c>
      <c r="BB41" s="645">
        <f t="shared" si="140"/>
        <v>29.727436519927089</v>
      </c>
      <c r="BC41" s="646"/>
      <c r="BD41" s="646"/>
      <c r="BE41" s="655">
        <f t="shared" si="107"/>
        <v>31.015976123085579</v>
      </c>
      <c r="BF41" s="655">
        <f t="shared" si="108"/>
        <v>31.792584225125061</v>
      </c>
      <c r="BG41" s="655">
        <f t="shared" si="109"/>
        <v>25.738371759200557</v>
      </c>
      <c r="BH41" s="655">
        <f t="shared" si="110"/>
        <v>28.627386249565845</v>
      </c>
      <c r="BI41" s="655">
        <f t="shared" si="111"/>
        <v>35.709738207039507</v>
      </c>
      <c r="BJ41" s="655">
        <f t="shared" si="112"/>
        <v>25.681129326815142</v>
      </c>
      <c r="BK41" s="672">
        <f t="shared" si="113"/>
        <v>22.742847795779085</v>
      </c>
      <c r="BL41" s="672">
        <f t="shared" si="114"/>
        <v>24.319090825997485</v>
      </c>
      <c r="BM41" s="672">
        <f t="shared" si="115"/>
        <v>26.83658932285628</v>
      </c>
      <c r="BN41" s="672">
        <f t="shared" si="116"/>
        <v>24.422824999999996</v>
      </c>
      <c r="BO41" s="672">
        <f t="shared" si="117"/>
        <v>24.329708333300001</v>
      </c>
      <c r="BP41" s="672">
        <f t="shared" si="118"/>
        <v>24.3871583333</v>
      </c>
      <c r="BQ41" s="637"/>
      <c r="BR41" s="684"/>
      <c r="BS41" s="685"/>
      <c r="BU41" s="609"/>
      <c r="BV41" s="608"/>
      <c r="BW41" s="608"/>
    </row>
    <row r="42" spans="1:104" ht="12.75" customHeight="1">
      <c r="A42" s="610"/>
      <c r="B42" s="611"/>
      <c r="C42" s="678" t="str">
        <f t="shared" si="119"/>
        <v>NI Hub</v>
      </c>
      <c r="D42" s="629" t="str">
        <f t="shared" si="119"/>
        <v/>
      </c>
      <c r="E42" s="629" t="str">
        <f t="shared" si="119"/>
        <v/>
      </c>
      <c r="F42" s="676"/>
      <c r="G42" s="640">
        <f t="shared" ref="G42:Z42" si="141">IF(ISBLANK(G185),"",G185)</f>
        <v>27.647922274134451</v>
      </c>
      <c r="H42" s="641">
        <f t="shared" si="141"/>
        <v>22.058756606684991</v>
      </c>
      <c r="I42" s="641">
        <f t="shared" si="141"/>
        <v>25.77205439356884</v>
      </c>
      <c r="J42" s="642">
        <f t="shared" si="141"/>
        <v>20.233505312028988</v>
      </c>
      <c r="K42" s="640">
        <f t="shared" si="141"/>
        <v>28.117182428522533</v>
      </c>
      <c r="L42" s="641">
        <f t="shared" si="141"/>
        <v>24.030010341117219</v>
      </c>
      <c r="M42" s="641">
        <f t="shared" si="141"/>
        <v>25.858050654891304</v>
      </c>
      <c r="N42" s="642">
        <f t="shared" si="141"/>
        <v>19.96068864096015</v>
      </c>
      <c r="O42" s="640">
        <f t="shared" si="141"/>
        <v>23.311520222746449</v>
      </c>
      <c r="P42" s="641">
        <f t="shared" si="141"/>
        <v>18.617785842032969</v>
      </c>
      <c r="Q42" s="641">
        <f t="shared" si="141"/>
        <v>23.770870774456522</v>
      </c>
      <c r="R42" s="641">
        <f t="shared" si="141"/>
        <v>21.751328907065218</v>
      </c>
      <c r="S42" s="643">
        <f t="shared" si="141"/>
        <v>27.102873879810776</v>
      </c>
      <c r="T42" s="644">
        <f t="shared" si="141"/>
        <v>23.983492510531136</v>
      </c>
      <c r="U42" s="644">
        <f t="shared" si="141"/>
        <v>24.337539511322465</v>
      </c>
      <c r="V42" s="645">
        <f t="shared" si="141"/>
        <v>25.034081106974629</v>
      </c>
      <c r="W42" s="644">
        <f t="shared" si="141"/>
        <v>46.659030578200486</v>
      </c>
      <c r="X42" s="644">
        <f t="shared" si="141"/>
        <v>25.040844436355307</v>
      </c>
      <c r="Y42" s="644">
        <f t="shared" si="141"/>
        <v>24.573567941576091</v>
      </c>
      <c r="Z42" s="645">
        <f t="shared" si="141"/>
        <v>25.868583025362319</v>
      </c>
      <c r="AA42" s="644">
        <f t="shared" si="101"/>
        <v>29.701038306400971</v>
      </c>
      <c r="AB42" s="644">
        <f t="shared" si="101"/>
        <v>18.405672966575075</v>
      </c>
      <c r="AC42" s="644">
        <f t="shared" si="101"/>
        <v>21.186602595561595</v>
      </c>
      <c r="AD42" s="645">
        <f t="shared" si="101"/>
        <v>19.679295579764492</v>
      </c>
      <c r="AE42" s="644">
        <f t="shared" si="97"/>
        <v>19.228153737279026</v>
      </c>
      <c r="AF42" s="644">
        <f t="shared" si="97"/>
        <v>18.306781789377293</v>
      </c>
      <c r="AG42" s="644">
        <f t="shared" si="97"/>
        <v>21.426197764039859</v>
      </c>
      <c r="AH42" s="645">
        <f t="shared" si="97"/>
        <v>22.45641746277175</v>
      </c>
      <c r="AI42" s="644">
        <f t="shared" si="84"/>
        <v>23.077807067310793</v>
      </c>
      <c r="AJ42" s="644">
        <f t="shared" si="84"/>
        <v>19.554939797619053</v>
      </c>
      <c r="AK42" s="644">
        <f t="shared" si="84"/>
        <v>18.802316540760863</v>
      </c>
      <c r="AL42" s="645">
        <f t="shared" si="84"/>
        <v>22.818591313496391</v>
      </c>
      <c r="AM42" s="644">
        <f t="shared" si="74"/>
        <v>25.592786000905793</v>
      </c>
      <c r="AN42" s="644">
        <f t="shared" si="74"/>
        <v>19.816666666666666</v>
      </c>
      <c r="AO42" s="644">
        <f t="shared" si="74"/>
        <v>21.45</v>
      </c>
      <c r="AP42" s="645">
        <f t="shared" si="74"/>
        <v>20.516666666666669</v>
      </c>
      <c r="AQ42" s="644">
        <f t="shared" ref="AQ42:AX42" si="142">IF(ISBLANK(AQ185),"",AQ185)</f>
        <v>27.334808227990884</v>
      </c>
      <c r="AR42" s="644">
        <f t="shared" si="142"/>
        <v>19.223933699175628</v>
      </c>
      <c r="AS42" s="644">
        <f t="shared" si="142"/>
        <v>19.937159884736072</v>
      </c>
      <c r="AT42" s="645">
        <f t="shared" si="142"/>
        <v>20.328731521297417</v>
      </c>
      <c r="AU42" s="644">
        <f t="shared" si="142"/>
        <v>27.753990948397757</v>
      </c>
      <c r="AV42" s="644">
        <f t="shared" si="142"/>
        <v>19.518735139073424</v>
      </c>
      <c r="AW42" s="644">
        <f t="shared" si="142"/>
        <v>20.242898737848368</v>
      </c>
      <c r="AX42" s="645">
        <f t="shared" si="142"/>
        <v>20.640475174680446</v>
      </c>
      <c r="AY42" s="644">
        <f t="shared" ref="AY42:BB42" si="143">IF(ISBLANK(AY185),"",AY185)</f>
        <v>27.7633728168137</v>
      </c>
      <c r="AZ42" s="644">
        <f t="shared" si="143"/>
        <v>19.52533318852371</v>
      </c>
      <c r="BA42" s="644">
        <f t="shared" si="143"/>
        <v>20.24974158119543</v>
      </c>
      <c r="BB42" s="645">
        <f t="shared" si="143"/>
        <v>20.647452413467164</v>
      </c>
      <c r="BC42" s="646"/>
      <c r="BD42" s="646"/>
      <c r="BE42" s="655">
        <f t="shared" si="107"/>
        <v>23.928059646604318</v>
      </c>
      <c r="BF42" s="655">
        <f t="shared" si="108"/>
        <v>24.491483016372804</v>
      </c>
      <c r="BG42" s="655">
        <f t="shared" si="109"/>
        <v>21.862876436575288</v>
      </c>
      <c r="BH42" s="655">
        <f t="shared" si="110"/>
        <v>25.114496752159749</v>
      </c>
      <c r="BI42" s="655">
        <f t="shared" si="111"/>
        <v>30.535506495373554</v>
      </c>
      <c r="BJ42" s="655">
        <f t="shared" si="112"/>
        <v>22.243152362075534</v>
      </c>
      <c r="BK42" s="672">
        <f t="shared" si="113"/>
        <v>20.354387688366984</v>
      </c>
      <c r="BL42" s="672">
        <f t="shared" si="114"/>
        <v>21.063413679796774</v>
      </c>
      <c r="BM42" s="672">
        <f t="shared" si="115"/>
        <v>21.84402983355978</v>
      </c>
      <c r="BN42" s="672">
        <f t="shared" si="116"/>
        <v>21.706158333299999</v>
      </c>
      <c r="BO42" s="672">
        <f t="shared" si="117"/>
        <v>22.039024999999999</v>
      </c>
      <c r="BP42" s="672">
        <f t="shared" si="118"/>
        <v>22.046475000000001</v>
      </c>
      <c r="BQ42" s="637"/>
      <c r="BR42" s="684"/>
      <c r="BS42" s="685"/>
      <c r="BU42" s="609"/>
      <c r="BV42" s="658" t="s">
        <v>694</v>
      </c>
      <c r="BW42" s="658"/>
      <c r="BX42" s="658"/>
    </row>
    <row r="43" spans="1:104" ht="12.75" customHeight="1">
      <c r="A43" s="610"/>
      <c r="B43" s="611"/>
      <c r="C43" s="678" t="str">
        <f t="shared" si="119"/>
        <v>ERCOT Houston</v>
      </c>
      <c r="D43" s="629" t="str">
        <f t="shared" si="119"/>
        <v/>
      </c>
      <c r="E43" s="629" t="str">
        <f t="shared" si="119"/>
        <v/>
      </c>
      <c r="F43" s="676"/>
      <c r="G43" s="640">
        <f t="shared" ref="G43:Z43" si="144">IF(ISBLANK(G186),"",G186)</f>
        <v>35.104179045893723</v>
      </c>
      <c r="H43" s="641">
        <f t="shared" si="144"/>
        <v>28.634282280219779</v>
      </c>
      <c r="I43" s="641">
        <f t="shared" si="144"/>
        <v>31.990215126811602</v>
      </c>
      <c r="J43" s="642">
        <f t="shared" si="144"/>
        <v>25.825695788043475</v>
      </c>
      <c r="K43" s="640">
        <f t="shared" si="144"/>
        <v>29.660326036634473</v>
      </c>
      <c r="L43" s="641">
        <f t="shared" si="144"/>
        <v>28.345022893772899</v>
      </c>
      <c r="M43" s="641">
        <f t="shared" si="144"/>
        <v>31.569142889492749</v>
      </c>
      <c r="N43" s="642">
        <f t="shared" si="144"/>
        <v>23.404596059782612</v>
      </c>
      <c r="O43" s="640">
        <f t="shared" si="144"/>
        <v>19.561595895046977</v>
      </c>
      <c r="P43" s="641">
        <f t="shared" si="144"/>
        <v>17.118434065934071</v>
      </c>
      <c r="Q43" s="641">
        <f t="shared" si="144"/>
        <v>21.168782835144924</v>
      </c>
      <c r="R43" s="641">
        <f t="shared" si="144"/>
        <v>22.251092119565214</v>
      </c>
      <c r="S43" s="643">
        <f t="shared" si="144"/>
        <v>23.22272348027375</v>
      </c>
      <c r="T43" s="644">
        <f t="shared" si="144"/>
        <v>26.715190018315013</v>
      </c>
      <c r="U43" s="644">
        <f t="shared" si="144"/>
        <v>25.701721014492755</v>
      </c>
      <c r="V43" s="645">
        <f t="shared" si="144"/>
        <v>27.180492210144916</v>
      </c>
      <c r="W43" s="644">
        <f t="shared" si="144"/>
        <v>31.78499773550724</v>
      </c>
      <c r="X43" s="644">
        <f t="shared" si="144"/>
        <v>31.412413003663001</v>
      </c>
      <c r="Y43" s="644">
        <f t="shared" si="144"/>
        <v>28.854929800724651</v>
      </c>
      <c r="Z43" s="645">
        <f t="shared" si="144"/>
        <v>25.233000181159419</v>
      </c>
      <c r="AA43" s="644">
        <f t="shared" si="101"/>
        <v>22.140641555958133</v>
      </c>
      <c r="AB43" s="644">
        <f t="shared" si="101"/>
        <v>21.621235119047622</v>
      </c>
      <c r="AC43" s="644">
        <f t="shared" si="101"/>
        <v>20.30612658514492</v>
      </c>
      <c r="AD43" s="645">
        <f t="shared" si="101"/>
        <v>16.061473550724639</v>
      </c>
      <c r="AE43" s="644">
        <f t="shared" si="97"/>
        <v>13.842845198279973</v>
      </c>
      <c r="AF43" s="644">
        <f t="shared" si="97"/>
        <v>14.911001602564097</v>
      </c>
      <c r="AG43" s="644">
        <f t="shared" si="97"/>
        <v>23.475191349637686</v>
      </c>
      <c r="AH43" s="645">
        <f t="shared" si="97"/>
        <v>18.614083197463771</v>
      </c>
      <c r="AI43" s="644">
        <f t="shared" si="84"/>
        <v>19.355630787037047</v>
      </c>
      <c r="AJ43" s="644">
        <f t="shared" si="84"/>
        <v>24.49456959706961</v>
      </c>
      <c r="AK43" s="644">
        <f t="shared" si="84"/>
        <v>22.786469655797116</v>
      </c>
      <c r="AL43" s="645">
        <f t="shared" si="84"/>
        <v>20.007914900362312</v>
      </c>
      <c r="AM43" s="644">
        <f t="shared" si="74"/>
        <v>20.159236262077297</v>
      </c>
      <c r="AN43" s="644">
        <f t="shared" si="74"/>
        <v>22.893873333333332</v>
      </c>
      <c r="AO43" s="644">
        <f t="shared" si="74"/>
        <v>28.907523333333334</v>
      </c>
      <c r="AP43" s="645">
        <f t="shared" si="74"/>
        <v>20.204750000000001</v>
      </c>
      <c r="AQ43" s="644">
        <f t="shared" ref="AQ43:AX43" si="145">IF(ISBLANK(AQ186),"",AQ186)</f>
        <v>20.922026845642609</v>
      </c>
      <c r="AR43" s="644">
        <f t="shared" si="145"/>
        <v>19.193142488186361</v>
      </c>
      <c r="AS43" s="644">
        <f t="shared" si="145"/>
        <v>23.750424272466308</v>
      </c>
      <c r="AT43" s="645">
        <f t="shared" si="145"/>
        <v>20.145536393704717</v>
      </c>
      <c r="AU43" s="644">
        <f t="shared" si="145"/>
        <v>21.12106749399333</v>
      </c>
      <c r="AV43" s="644">
        <f t="shared" si="145"/>
        <v>19.375735482303082</v>
      </c>
      <c r="AW43" s="644">
        <f t="shared" si="145"/>
        <v>23.97637273724332</v>
      </c>
      <c r="AX43" s="645">
        <f t="shared" si="145"/>
        <v>20.337189939260277</v>
      </c>
      <c r="AY43" s="644">
        <f t="shared" ref="AY43:BB43" si="146">IF(ISBLANK(AY186),"",AY186)</f>
        <v>20.82675586398943</v>
      </c>
      <c r="AZ43" s="644">
        <f t="shared" si="146"/>
        <v>19.105744190719797</v>
      </c>
      <c r="BA43" s="644">
        <f t="shared" si="146"/>
        <v>23.642273840779588</v>
      </c>
      <c r="BB43" s="645">
        <f t="shared" si="146"/>
        <v>20.053801255311189</v>
      </c>
      <c r="BC43" s="646"/>
      <c r="BD43" s="646"/>
      <c r="BE43" s="655">
        <f t="shared" si="107"/>
        <v>30.388593060242144</v>
      </c>
      <c r="BF43" s="655">
        <f t="shared" si="108"/>
        <v>28.244771969920684</v>
      </c>
      <c r="BG43" s="655">
        <f t="shared" si="109"/>
        <v>20.024976228922796</v>
      </c>
      <c r="BH43" s="655">
        <f t="shared" si="110"/>
        <v>25.705031680806609</v>
      </c>
      <c r="BI43" s="655">
        <f t="shared" si="111"/>
        <v>29.321335180263574</v>
      </c>
      <c r="BJ43" s="655">
        <f t="shared" si="112"/>
        <v>20.032369202718829</v>
      </c>
      <c r="BK43" s="672">
        <f t="shared" si="113"/>
        <v>17.710780336986382</v>
      </c>
      <c r="BL43" s="672">
        <f t="shared" si="114"/>
        <v>21.661146235066521</v>
      </c>
      <c r="BM43" s="672">
        <f t="shared" si="115"/>
        <v>23.041345732185992</v>
      </c>
      <c r="BN43" s="672">
        <f t="shared" si="116"/>
        <v>21.002782499999999</v>
      </c>
      <c r="BO43" s="672">
        <f t="shared" si="117"/>
        <v>21.202591413200004</v>
      </c>
      <c r="BP43" s="672">
        <f t="shared" si="118"/>
        <v>20.907143787700001</v>
      </c>
      <c r="BQ43" s="637"/>
      <c r="BR43" s="684"/>
      <c r="BS43" s="685"/>
      <c r="BU43" s="609"/>
      <c r="BV43" s="678" t="s">
        <v>854</v>
      </c>
      <c r="BW43" s="1465"/>
      <c r="BX43" s="1465">
        <f>+BP225</f>
        <v>13963.315871403218</v>
      </c>
      <c r="BY43" s="611"/>
    </row>
    <row r="44" spans="1:104" ht="12.75" customHeight="1">
      <c r="A44" s="610"/>
      <c r="B44" s="611"/>
      <c r="C44" s="629" t="str">
        <f t="shared" si="119"/>
        <v>ERCOT North</v>
      </c>
      <c r="D44" s="629" t="str">
        <f t="shared" si="119"/>
        <v/>
      </c>
      <c r="E44" s="629" t="str">
        <f t="shared" si="119"/>
        <v/>
      </c>
      <c r="F44" s="676"/>
      <c r="G44" s="640">
        <f t="shared" ref="G44:Z44" si="147">IF(ISBLANK(G187),"",G187)</f>
        <v>35.080230324074073</v>
      </c>
      <c r="H44" s="641">
        <f t="shared" si="147"/>
        <v>28.455611263736266</v>
      </c>
      <c r="I44" s="641">
        <f t="shared" si="147"/>
        <v>31.678466938405812</v>
      </c>
      <c r="J44" s="642">
        <f t="shared" si="147"/>
        <v>25.7597316576087</v>
      </c>
      <c r="K44" s="640">
        <f t="shared" si="147"/>
        <v>30.071405696457326</v>
      </c>
      <c r="L44" s="641">
        <f t="shared" si="147"/>
        <v>28.042996794871794</v>
      </c>
      <c r="M44" s="641">
        <f t="shared" si="147"/>
        <v>31.24979846014493</v>
      </c>
      <c r="N44" s="642">
        <f t="shared" si="147"/>
        <v>23.630269338768127</v>
      </c>
      <c r="O44" s="640">
        <f t="shared" si="147"/>
        <v>19.53850324494346</v>
      </c>
      <c r="P44" s="641">
        <f t="shared" si="147"/>
        <v>17.141556776556776</v>
      </c>
      <c r="Q44" s="641">
        <f t="shared" si="147"/>
        <v>20.815947690217392</v>
      </c>
      <c r="R44" s="641">
        <f t="shared" si="147"/>
        <v>22.887461865942033</v>
      </c>
      <c r="S44" s="643">
        <f t="shared" si="147"/>
        <v>23.199066475442827</v>
      </c>
      <c r="T44" s="644">
        <f t="shared" si="147"/>
        <v>26.300711996337007</v>
      </c>
      <c r="U44" s="644">
        <f t="shared" si="147"/>
        <v>25.430877490942027</v>
      </c>
      <c r="V44" s="645">
        <f t="shared" si="147"/>
        <v>26.785470153985496</v>
      </c>
      <c r="W44" s="644">
        <f t="shared" si="147"/>
        <v>32.004984551127215</v>
      </c>
      <c r="X44" s="644">
        <f t="shared" si="147"/>
        <v>31.26213713369965</v>
      </c>
      <c r="Y44" s="644">
        <f t="shared" si="147"/>
        <v>28.32578691123188</v>
      </c>
      <c r="Z44" s="645">
        <f t="shared" si="147"/>
        <v>25.307324320652167</v>
      </c>
      <c r="AA44" s="644">
        <f t="shared" si="101"/>
        <v>22.17571215780999</v>
      </c>
      <c r="AB44" s="644">
        <f t="shared" si="101"/>
        <v>19.319275412087915</v>
      </c>
      <c r="AC44" s="644">
        <f t="shared" si="101"/>
        <v>19.897398097826084</v>
      </c>
      <c r="AD44" s="645">
        <f t="shared" si="101"/>
        <v>15.149004076086959</v>
      </c>
      <c r="AE44" s="644">
        <f t="shared" si="97"/>
        <v>13.804743092052874</v>
      </c>
      <c r="AF44" s="644">
        <f t="shared" si="97"/>
        <v>14.6552048992674</v>
      </c>
      <c r="AG44" s="644">
        <f t="shared" si="97"/>
        <v>20.848108016304352</v>
      </c>
      <c r="AH44" s="645">
        <f t="shared" si="97"/>
        <v>18.255682925724642</v>
      </c>
      <c r="AI44" s="644">
        <f t="shared" si="84"/>
        <v>17.694403532608696</v>
      </c>
      <c r="AJ44" s="644">
        <f t="shared" si="84"/>
        <v>19.575868818681322</v>
      </c>
      <c r="AK44" s="644">
        <f t="shared" si="84"/>
        <v>21.74405457427536</v>
      </c>
      <c r="AL44" s="645">
        <f t="shared" si="84"/>
        <v>18.065305072463772</v>
      </c>
      <c r="AM44" s="644">
        <f t="shared" si="74"/>
        <v>19.286005585748793</v>
      </c>
      <c r="AN44" s="644">
        <f t="shared" si="74"/>
        <v>20.677206666666667</v>
      </c>
      <c r="AO44" s="644">
        <f t="shared" si="74"/>
        <v>28.640856666666668</v>
      </c>
      <c r="AP44" s="645">
        <f t="shared" si="74"/>
        <v>19.388083333333331</v>
      </c>
      <c r="AQ44" s="644">
        <f t="shared" ref="AQ44:AX44" si="148">IF(ISBLANK(AQ187),"",AQ187)</f>
        <v>20.204147210285914</v>
      </c>
      <c r="AR44" s="644">
        <f t="shared" si="148"/>
        <v>17.911730019517361</v>
      </c>
      <c r="AS44" s="644">
        <f t="shared" si="148"/>
        <v>23.181362548745142</v>
      </c>
      <c r="AT44" s="645">
        <f t="shared" si="148"/>
        <v>18.447223554651586</v>
      </c>
      <c r="AU44" s="644">
        <f t="shared" si="148"/>
        <v>20.13301243857838</v>
      </c>
      <c r="AV44" s="644">
        <f t="shared" si="148"/>
        <v>17.848666391413492</v>
      </c>
      <c r="AW44" s="644">
        <f t="shared" si="148"/>
        <v>23.099745595769516</v>
      </c>
      <c r="AX44" s="645">
        <f t="shared" si="148"/>
        <v>18.382274560638621</v>
      </c>
      <c r="AY44" s="644">
        <f t="shared" ref="AY44:BB44" si="149">IF(ISBLANK(AY187),"",AY187)</f>
        <v>19.630903760724049</v>
      </c>
      <c r="AZ44" s="644">
        <f t="shared" si="149"/>
        <v>17.403528322254854</v>
      </c>
      <c r="BA44" s="644">
        <f t="shared" si="149"/>
        <v>22.523647867958136</v>
      </c>
      <c r="BB44" s="645">
        <f t="shared" si="149"/>
        <v>17.923828533062963</v>
      </c>
      <c r="BC44" s="646"/>
      <c r="BD44" s="646"/>
      <c r="BE44" s="655">
        <f t="shared" si="107"/>
        <v>30.24351004595621</v>
      </c>
      <c r="BF44" s="655">
        <f t="shared" si="108"/>
        <v>28.248617572560544</v>
      </c>
      <c r="BG44" s="655">
        <f t="shared" si="109"/>
        <v>20.095867394414917</v>
      </c>
      <c r="BH44" s="655">
        <f t="shared" si="110"/>
        <v>25.429031529176839</v>
      </c>
      <c r="BI44" s="655">
        <f t="shared" si="111"/>
        <v>29.22505822917773</v>
      </c>
      <c r="BJ44" s="655">
        <f t="shared" si="112"/>
        <v>19.135347435952735</v>
      </c>
      <c r="BK44" s="672">
        <f t="shared" si="113"/>
        <v>16.890934733337318</v>
      </c>
      <c r="BL44" s="672">
        <f t="shared" si="114"/>
        <v>19.269907999507289</v>
      </c>
      <c r="BM44" s="672">
        <f t="shared" si="115"/>
        <v>21.998038063103863</v>
      </c>
      <c r="BN44" s="672">
        <f t="shared" si="116"/>
        <v>19.936115833300001</v>
      </c>
      <c r="BO44" s="672">
        <f t="shared" si="117"/>
        <v>19.865924746600001</v>
      </c>
      <c r="BP44" s="672">
        <f t="shared" si="118"/>
        <v>19.370477121</v>
      </c>
      <c r="BQ44" s="637"/>
      <c r="BR44" s="684"/>
      <c r="BS44" s="685"/>
      <c r="BU44" s="609"/>
      <c r="BV44" s="678" t="s">
        <v>149</v>
      </c>
      <c r="BW44" s="1465"/>
      <c r="BX44" s="1465">
        <f>+BP226</f>
        <v>14645.816247987277</v>
      </c>
      <c r="BZ44" s="1695"/>
      <c r="CA44" s="1696" t="s">
        <v>918</v>
      </c>
      <c r="CB44" s="1695"/>
      <c r="CC44" s="1695"/>
      <c r="CD44" s="1695"/>
      <c r="CE44" s="1697"/>
      <c r="CF44" s="1697"/>
      <c r="CG44" s="1697"/>
      <c r="CH44" s="1697"/>
      <c r="CI44" s="1695"/>
      <c r="CJ44" s="1695"/>
      <c r="CK44" s="1695"/>
      <c r="CL44" s="1695"/>
      <c r="CM44" s="1695"/>
      <c r="CN44" s="1695"/>
      <c r="CO44" s="1695"/>
      <c r="CP44" s="1695"/>
      <c r="CQ44" s="1695"/>
      <c r="CR44" s="1695"/>
      <c r="CS44" s="1695"/>
      <c r="CT44" s="1695"/>
      <c r="CU44"/>
      <c r="CV44"/>
      <c r="CW44"/>
      <c r="CX44"/>
      <c r="CY44"/>
      <c r="CZ44"/>
    </row>
    <row r="45" spans="1:104" ht="12.75" customHeight="1">
      <c r="A45" s="610"/>
      <c r="B45" s="611"/>
      <c r="C45" s="629" t="str">
        <f t="shared" si="119"/>
        <v>ERCOT South</v>
      </c>
      <c r="D45" s="629" t="str">
        <f t="shared" si="119"/>
        <v/>
      </c>
      <c r="E45" s="629" t="str">
        <f t="shared" si="119"/>
        <v/>
      </c>
      <c r="F45" s="676"/>
      <c r="G45" s="640">
        <f t="shared" ref="G45:Z45" si="150">IF(ISBLANK(G188),"",G188)</f>
        <v>35.000784722222228</v>
      </c>
      <c r="H45" s="641">
        <f t="shared" si="150"/>
        <v>28.382862866300375</v>
      </c>
      <c r="I45" s="641">
        <f t="shared" si="150"/>
        <v>31.812933650362325</v>
      </c>
      <c r="J45" s="642">
        <f t="shared" si="150"/>
        <v>25.415262409420293</v>
      </c>
      <c r="K45" s="640">
        <f t="shared" si="150"/>
        <v>29.8071865942029</v>
      </c>
      <c r="L45" s="641">
        <f t="shared" si="150"/>
        <v>27.334835164835152</v>
      </c>
      <c r="M45" s="641">
        <f t="shared" si="150"/>
        <v>31.034110054347821</v>
      </c>
      <c r="N45" s="642">
        <f t="shared" si="150"/>
        <v>23.925171286231883</v>
      </c>
      <c r="O45" s="640">
        <f t="shared" si="150"/>
        <v>19.365880564182188</v>
      </c>
      <c r="P45" s="641">
        <f t="shared" si="150"/>
        <v>16.926233974358968</v>
      </c>
      <c r="Q45" s="641">
        <f t="shared" si="150"/>
        <v>21.107855525362321</v>
      </c>
      <c r="R45" s="641">
        <f t="shared" si="150"/>
        <v>22.343847056159426</v>
      </c>
      <c r="S45" s="643">
        <f t="shared" si="150"/>
        <v>23.143879981884069</v>
      </c>
      <c r="T45" s="644">
        <f t="shared" si="150"/>
        <v>26.316911630036625</v>
      </c>
      <c r="U45" s="644">
        <f t="shared" si="150"/>
        <v>25.562675498188408</v>
      </c>
      <c r="V45" s="645">
        <f t="shared" si="150"/>
        <v>26.801473958333329</v>
      </c>
      <c r="W45" s="644">
        <f t="shared" si="150"/>
        <v>31.796791113123987</v>
      </c>
      <c r="X45" s="644">
        <f t="shared" si="150"/>
        <v>30.898569139194134</v>
      </c>
      <c r="Y45" s="644">
        <f t="shared" si="150"/>
        <v>28.542640398550727</v>
      </c>
      <c r="Z45" s="645">
        <f t="shared" si="150"/>
        <v>25.265815081521733</v>
      </c>
      <c r="AA45" s="644">
        <f t="shared" si="101"/>
        <v>22.23049803743962</v>
      </c>
      <c r="AB45" s="644">
        <f t="shared" si="101"/>
        <v>20.495057234432235</v>
      </c>
      <c r="AC45" s="644">
        <f t="shared" si="101"/>
        <v>20.106205842391308</v>
      </c>
      <c r="AD45" s="645">
        <f t="shared" si="101"/>
        <v>15.567165081521738</v>
      </c>
      <c r="AE45" s="644">
        <f t="shared" si="97"/>
        <v>13.567103589345434</v>
      </c>
      <c r="AF45" s="644">
        <f t="shared" si="97"/>
        <v>14.551979166666674</v>
      </c>
      <c r="AG45" s="644">
        <f t="shared" si="97"/>
        <v>21.434193840579709</v>
      </c>
      <c r="AH45" s="645">
        <f t="shared" si="97"/>
        <v>18.581885235507244</v>
      </c>
      <c r="AI45" s="644">
        <f t="shared" si="84"/>
        <v>17.745814764492753</v>
      </c>
      <c r="AJ45" s="644">
        <f t="shared" si="84"/>
        <v>21.731801739926734</v>
      </c>
      <c r="AK45" s="644">
        <f t="shared" si="84"/>
        <v>23.207665307971009</v>
      </c>
      <c r="AL45" s="645">
        <f t="shared" si="84"/>
        <v>19.342823505434787</v>
      </c>
      <c r="AM45" s="644">
        <f t="shared" si="74"/>
        <v>19.624934933574881</v>
      </c>
      <c r="AN45" s="644">
        <f t="shared" si="74"/>
        <v>22.243873333333337</v>
      </c>
      <c r="AO45" s="644">
        <f t="shared" si="74"/>
        <v>29.724189999999997</v>
      </c>
      <c r="AP45" s="645">
        <f t="shared" si="74"/>
        <v>20.288083333333333</v>
      </c>
      <c r="AQ45" s="644">
        <f t="shared" ref="AQ45:AX45" si="151">IF(ISBLANK(AQ188),"",AQ188)</f>
        <v>21.213743053469752</v>
      </c>
      <c r="AR45" s="644">
        <f t="shared" si="151"/>
        <v>19.267514968052225</v>
      </c>
      <c r="AS45" s="644">
        <f t="shared" si="151"/>
        <v>24.088177775796659</v>
      </c>
      <c r="AT45" s="645">
        <f t="shared" si="151"/>
        <v>19.651694202681362</v>
      </c>
      <c r="AU45" s="644">
        <f t="shared" si="151"/>
        <v>21.193400009991446</v>
      </c>
      <c r="AV45" s="644">
        <f t="shared" si="151"/>
        <v>19.249038271425608</v>
      </c>
      <c r="AW45" s="644">
        <f t="shared" si="151"/>
        <v>24.065078276261332</v>
      </c>
      <c r="AX45" s="645">
        <f t="shared" si="151"/>
        <v>19.632849095121614</v>
      </c>
      <c r="AY45" s="644">
        <f t="shared" ref="AY45:BB45" si="152">IF(ISBLANK(AY188),"",AY188)</f>
        <v>20.81512679245602</v>
      </c>
      <c r="AZ45" s="644">
        <f t="shared" si="152"/>
        <v>18.905469252865018</v>
      </c>
      <c r="BA45" s="644">
        <f t="shared" si="152"/>
        <v>23.635549527428598</v>
      </c>
      <c r="BB45" s="645">
        <f t="shared" si="152"/>
        <v>19.282429578050358</v>
      </c>
      <c r="BC45" s="646"/>
      <c r="BD45" s="646"/>
      <c r="BE45" s="655">
        <f t="shared" si="107"/>
        <v>30.152960912076306</v>
      </c>
      <c r="BF45" s="655">
        <f t="shared" si="108"/>
        <v>28.025325774904438</v>
      </c>
      <c r="BG45" s="655">
        <f t="shared" si="109"/>
        <v>19.935954280015729</v>
      </c>
      <c r="BH45" s="655">
        <f t="shared" si="110"/>
        <v>25.45623526711061</v>
      </c>
      <c r="BI45" s="655">
        <f t="shared" si="111"/>
        <v>29.125953933097648</v>
      </c>
      <c r="BJ45" s="655">
        <f t="shared" si="112"/>
        <v>19.599731548946224</v>
      </c>
      <c r="BK45" s="672">
        <f t="shared" si="113"/>
        <v>17.033790458024765</v>
      </c>
      <c r="BL45" s="672">
        <f t="shared" si="114"/>
        <v>20.507026329456323</v>
      </c>
      <c r="BM45" s="672">
        <f t="shared" si="115"/>
        <v>22.970270400060386</v>
      </c>
      <c r="BN45" s="672">
        <f t="shared" si="116"/>
        <v>21.055282500000004</v>
      </c>
      <c r="BO45" s="672">
        <f t="shared" si="117"/>
        <v>21.0350914132</v>
      </c>
      <c r="BP45" s="672">
        <f t="shared" si="118"/>
        <v>20.659643787699999</v>
      </c>
      <c r="BQ45" s="637"/>
      <c r="BR45" s="684"/>
      <c r="BS45" s="685"/>
      <c r="BU45" s="609"/>
      <c r="BV45" s="678" t="s">
        <v>23</v>
      </c>
      <c r="BW45" s="1465"/>
      <c r="BX45" s="1465">
        <f>+BP227</f>
        <v>12041.10747540348</v>
      </c>
      <c r="BZ45" s="1695">
        <v>1</v>
      </c>
      <c r="CA45" s="1695" t="s">
        <v>919</v>
      </c>
      <c r="CB45" s="1636">
        <f t="shared" ref="CB45:CI45" si="153">CC45-0.25</f>
        <v>0</v>
      </c>
      <c r="CC45" s="1636">
        <f t="shared" si="153"/>
        <v>0.25</v>
      </c>
      <c r="CD45" s="1636">
        <f t="shared" si="153"/>
        <v>0.5</v>
      </c>
      <c r="CE45" s="1636">
        <f t="shared" si="153"/>
        <v>0.75</v>
      </c>
      <c r="CF45" s="1636">
        <f t="shared" si="153"/>
        <v>1</v>
      </c>
      <c r="CG45" s="1636">
        <f t="shared" si="153"/>
        <v>1.25</v>
      </c>
      <c r="CH45" s="1636">
        <f t="shared" si="153"/>
        <v>1.5</v>
      </c>
      <c r="CI45" s="1636">
        <f t="shared" si="153"/>
        <v>1.75</v>
      </c>
      <c r="CJ45" s="1636">
        <v>2</v>
      </c>
      <c r="CK45" s="1636">
        <f t="shared" ref="CK45:CZ45" si="154">CJ45+0.25</f>
        <v>2.25</v>
      </c>
      <c r="CL45" s="1636">
        <f t="shared" si="154"/>
        <v>2.5</v>
      </c>
      <c r="CM45" s="1636">
        <f t="shared" si="154"/>
        <v>2.75</v>
      </c>
      <c r="CN45" s="1636">
        <f t="shared" si="154"/>
        <v>3</v>
      </c>
      <c r="CO45" s="1636">
        <f t="shared" si="154"/>
        <v>3.25</v>
      </c>
      <c r="CP45" s="1636">
        <f t="shared" si="154"/>
        <v>3.5</v>
      </c>
      <c r="CQ45" s="1636">
        <f t="shared" si="154"/>
        <v>3.75</v>
      </c>
      <c r="CR45" s="1636">
        <f t="shared" si="154"/>
        <v>4</v>
      </c>
      <c r="CS45" s="1636">
        <f t="shared" si="154"/>
        <v>4.25</v>
      </c>
      <c r="CT45" s="1636">
        <f t="shared" si="154"/>
        <v>4.5</v>
      </c>
      <c r="CU45" s="1636">
        <f t="shared" si="154"/>
        <v>4.75</v>
      </c>
      <c r="CV45" s="1636">
        <f t="shared" si="154"/>
        <v>5</v>
      </c>
      <c r="CW45" s="1636">
        <f t="shared" si="154"/>
        <v>5.25</v>
      </c>
      <c r="CX45" s="1636">
        <f t="shared" si="154"/>
        <v>5.5</v>
      </c>
      <c r="CY45" s="1636">
        <f t="shared" si="154"/>
        <v>5.75</v>
      </c>
      <c r="CZ45" s="1636">
        <f t="shared" si="154"/>
        <v>6</v>
      </c>
    </row>
    <row r="46" spans="1:104" ht="12.75" customHeight="1">
      <c r="A46" s="610"/>
      <c r="B46" s="611"/>
      <c r="C46" s="629" t="str">
        <f t="shared" si="119"/>
        <v>Palo Verde</v>
      </c>
      <c r="D46" s="629" t="str">
        <f t="shared" si="119"/>
        <v/>
      </c>
      <c r="E46" s="629" t="str">
        <f t="shared" si="119"/>
        <v/>
      </c>
      <c r="F46" s="676"/>
      <c r="G46" s="640">
        <f t="shared" ref="G46:Z46" si="155">IF(ISBLANK(G189),"",G189)</f>
        <v>33.530322580645155</v>
      </c>
      <c r="H46" s="641">
        <f t="shared" si="155"/>
        <v>26.094333333333331</v>
      </c>
      <c r="I46" s="641">
        <f t="shared" si="155"/>
        <v>27.91</v>
      </c>
      <c r="J46" s="642">
        <f t="shared" si="155"/>
        <v>25.807647058823527</v>
      </c>
      <c r="K46" s="640">
        <f t="shared" si="155"/>
        <v>20.458235294117642</v>
      </c>
      <c r="L46" s="641">
        <f t="shared" si="155"/>
        <v>15.988181818181818</v>
      </c>
      <c r="M46" s="641">
        <f t="shared" si="155"/>
        <v>24.526097560975611</v>
      </c>
      <c r="N46" s="642">
        <f t="shared" si="155"/>
        <v>24.08657894736842</v>
      </c>
      <c r="O46" s="640">
        <f t="shared" si="155"/>
        <v>19.836734693877553</v>
      </c>
      <c r="P46" s="641">
        <f t="shared" si="155"/>
        <v>16.344545454545454</v>
      </c>
      <c r="Q46" s="641">
        <f t="shared" si="155"/>
        <v>20.018333333333338</v>
      </c>
      <c r="R46" s="641">
        <f t="shared" si="155"/>
        <v>25.022727272727277</v>
      </c>
      <c r="S46" s="643">
        <f t="shared" si="155"/>
        <v>27.013333333333335</v>
      </c>
      <c r="T46" s="644">
        <f t="shared" si="155"/>
        <v>26.58642857142857</v>
      </c>
      <c r="U46" s="644">
        <f t="shared" si="155"/>
        <v>24.336666666666662</v>
      </c>
      <c r="V46" s="645">
        <f t="shared" si="155"/>
        <v>29.902142857142856</v>
      </c>
      <c r="W46" s="644">
        <f t="shared" si="155"/>
        <v>37.216206896551725</v>
      </c>
      <c r="X46" s="644">
        <f t="shared" si="155"/>
        <v>31.198387096774194</v>
      </c>
      <c r="Y46" s="644">
        <f t="shared" si="155"/>
        <v>31.499310344827585</v>
      </c>
      <c r="Z46" s="645">
        <f t="shared" si="155"/>
        <v>26.848387096774196</v>
      </c>
      <c r="AA46" s="644">
        <f t="shared" si="101"/>
        <v>21.951388888888893</v>
      </c>
      <c r="AB46" s="644">
        <f t="shared" si="101"/>
        <v>21.208409090909093</v>
      </c>
      <c r="AC46" s="644">
        <f t="shared" si="101"/>
        <v>23.832173913043476</v>
      </c>
      <c r="AD46" s="645">
        <f t="shared" si="101"/>
        <v>19.805555555555557</v>
      </c>
      <c r="AE46" s="644">
        <f t="shared" si="97"/>
        <v>16.825681818181817</v>
      </c>
      <c r="AF46" s="644">
        <f t="shared" si="97"/>
        <v>16.068333333333332</v>
      </c>
      <c r="AG46" s="644">
        <f t="shared" si="97"/>
        <v>22.099565217391302</v>
      </c>
      <c r="AH46" s="645">
        <f t="shared" si="97"/>
        <v>21.735135135135135</v>
      </c>
      <c r="AI46" s="644">
        <f t="shared" si="84"/>
        <v>20.877073170731702</v>
      </c>
      <c r="AJ46" s="644">
        <f t="shared" si="84"/>
        <v>21.894222222222222</v>
      </c>
      <c r="AK46" s="644">
        <f t="shared" si="84"/>
        <v>23.702653061224492</v>
      </c>
      <c r="AL46" s="645">
        <f t="shared" si="84"/>
        <v>23.66375</v>
      </c>
      <c r="AM46" s="644">
        <f t="shared" si="74"/>
        <v>23.66375</v>
      </c>
      <c r="AN46" s="644">
        <f t="shared" si="74"/>
        <v>21.866666666666664</v>
      </c>
      <c r="AO46" s="644">
        <f t="shared" si="74"/>
        <v>25.5</v>
      </c>
      <c r="AP46" s="645">
        <f t="shared" si="74"/>
        <v>21.55</v>
      </c>
      <c r="AQ46" s="644">
        <f t="shared" ref="AQ46:AX46" si="156">IF(ISBLANK(AQ189),"",AQ189)</f>
        <v>24.836427915484958</v>
      </c>
      <c r="AR46" s="644">
        <f t="shared" si="156"/>
        <v>21.765546372753509</v>
      </c>
      <c r="AS46" s="644">
        <f t="shared" si="156"/>
        <v>25.429054178110412</v>
      </c>
      <c r="AT46" s="645">
        <f t="shared" si="156"/>
        <v>25.75230486685113</v>
      </c>
      <c r="AU46" s="644">
        <f t="shared" si="156"/>
        <v>28.091790633507216</v>
      </c>
      <c r="AV46" s="644">
        <f t="shared" si="156"/>
        <v>24.61840220372709</v>
      </c>
      <c r="AW46" s="644">
        <f t="shared" si="156"/>
        <v>28.762093663807821</v>
      </c>
      <c r="AX46" s="645">
        <f t="shared" si="156"/>
        <v>29.127713498557874</v>
      </c>
      <c r="AY46" s="644">
        <f t="shared" ref="AY46:BB46" si="157">IF(ISBLANK(AY189),"",AY189)</f>
        <v>30.585169880556695</v>
      </c>
      <c r="AZ46" s="644">
        <f t="shared" si="157"/>
        <v>26.803489439749491</v>
      </c>
      <c r="BA46" s="644">
        <f t="shared" si="157"/>
        <v>31.314967860353057</v>
      </c>
      <c r="BB46" s="645">
        <f t="shared" si="157"/>
        <v>31.713039485740765</v>
      </c>
      <c r="BC46" s="646"/>
      <c r="BD46" s="646"/>
      <c r="BE46" s="655">
        <f t="shared" si="107"/>
        <v>28.335575743200501</v>
      </c>
      <c r="BF46" s="655">
        <f t="shared" si="108"/>
        <v>21.264773405160874</v>
      </c>
      <c r="BG46" s="655">
        <f t="shared" si="109"/>
        <v>20.305585188620906</v>
      </c>
      <c r="BH46" s="655">
        <f t="shared" si="110"/>
        <v>26.959642857142853</v>
      </c>
      <c r="BI46" s="655">
        <f t="shared" si="111"/>
        <v>31.690572858731926</v>
      </c>
      <c r="BJ46" s="655">
        <f t="shared" si="112"/>
        <v>21.699381862099255</v>
      </c>
      <c r="BK46" s="672">
        <f t="shared" si="113"/>
        <v>19.182178876010397</v>
      </c>
      <c r="BL46" s="672">
        <f t="shared" si="114"/>
        <v>22.534424613544601</v>
      </c>
      <c r="BM46" s="672">
        <f t="shared" si="115"/>
        <v>23.145104166666666</v>
      </c>
      <c r="BN46" s="672">
        <f t="shared" si="116"/>
        <v>24.445833333300005</v>
      </c>
      <c r="BO46" s="672">
        <f t="shared" si="117"/>
        <v>27.649999999899997</v>
      </c>
      <c r="BP46" s="672">
        <f t="shared" si="118"/>
        <v>30.104166666600005</v>
      </c>
      <c r="BQ46" s="637"/>
      <c r="BR46" s="684"/>
      <c r="BS46" s="685"/>
      <c r="BU46" s="609"/>
      <c r="BV46" s="678" t="s">
        <v>402</v>
      </c>
      <c r="BW46" s="1465"/>
      <c r="BX46" s="1465">
        <f>+BP228</f>
        <v>11910.971532855161</v>
      </c>
      <c r="BZ46" s="1695">
        <v>2</v>
      </c>
      <c r="CA46" s="1698" t="s">
        <v>854</v>
      </c>
      <c r="CB46" s="1699">
        <v>0.3</v>
      </c>
      <c r="CC46" s="1699">
        <v>0.3</v>
      </c>
      <c r="CD46" s="1699">
        <v>0.3</v>
      </c>
      <c r="CE46" s="1699">
        <v>0.35</v>
      </c>
      <c r="CF46" s="1699">
        <v>0.35</v>
      </c>
      <c r="CG46" s="1699">
        <v>0.35</v>
      </c>
      <c r="CH46" s="1699">
        <v>0.4</v>
      </c>
      <c r="CI46" s="1699">
        <v>0.4</v>
      </c>
      <c r="CJ46" s="1699">
        <v>0.4</v>
      </c>
      <c r="CK46" s="1699">
        <v>0.45</v>
      </c>
      <c r="CL46" s="1699">
        <v>0.45</v>
      </c>
      <c r="CM46" s="1699">
        <v>0.5</v>
      </c>
      <c r="CN46" s="1699">
        <v>0.5</v>
      </c>
      <c r="CO46" s="1699">
        <v>0.5</v>
      </c>
      <c r="CP46" s="1699">
        <v>0.55000000000000004</v>
      </c>
      <c r="CQ46" s="1699">
        <v>0.6</v>
      </c>
      <c r="CR46" s="1699">
        <v>0.65</v>
      </c>
      <c r="CS46" s="1699">
        <v>0.65</v>
      </c>
      <c r="CT46" s="1699">
        <v>0.65</v>
      </c>
      <c r="CU46" s="1699">
        <v>0.65</v>
      </c>
      <c r="CV46" s="1699">
        <v>0.65</v>
      </c>
      <c r="CW46" s="1699">
        <v>0.65</v>
      </c>
      <c r="CX46" s="1699">
        <v>0.65</v>
      </c>
      <c r="CY46" s="1699">
        <v>0.65</v>
      </c>
      <c r="CZ46" s="1699">
        <v>0.65</v>
      </c>
    </row>
    <row r="47" spans="1:104" ht="12.75" customHeight="1">
      <c r="A47" s="610"/>
      <c r="B47" s="611"/>
      <c r="C47" s="629" t="str">
        <f t="shared" si="119"/>
        <v>SP 15</v>
      </c>
      <c r="D47" s="629" t="str">
        <f t="shared" si="119"/>
        <v/>
      </c>
      <c r="E47" s="629" t="str">
        <f t="shared" si="119"/>
        <v/>
      </c>
      <c r="F47" s="676"/>
      <c r="G47" s="640">
        <f t="shared" ref="G47:Z47" si="158">IF(ISBLANK(G190),"",G190)</f>
        <v>39.792162207161546</v>
      </c>
      <c r="H47" s="641">
        <f t="shared" si="158"/>
        <v>18.396992540064101</v>
      </c>
      <c r="I47" s="641">
        <f t="shared" si="158"/>
        <v>24.471085883152178</v>
      </c>
      <c r="J47" s="642">
        <f t="shared" si="158"/>
        <v>26.837953423097826</v>
      </c>
      <c r="K47" s="640">
        <f t="shared" si="158"/>
        <v>18.974865649255229</v>
      </c>
      <c r="L47" s="641">
        <f t="shared" si="158"/>
        <v>10.592114644001832</v>
      </c>
      <c r="M47" s="641">
        <f t="shared" si="158"/>
        <v>23.428638822463746</v>
      </c>
      <c r="N47" s="642">
        <f t="shared" si="158"/>
        <v>24.040611232563403</v>
      </c>
      <c r="O47" s="640">
        <f t="shared" si="158"/>
        <v>19.574844206780533</v>
      </c>
      <c r="P47" s="641">
        <f t="shared" si="158"/>
        <v>14.132461858974361</v>
      </c>
      <c r="Q47" s="641">
        <f t="shared" si="158"/>
        <v>19.690949210824268</v>
      </c>
      <c r="R47" s="641">
        <f t="shared" si="158"/>
        <v>27.320213811911241</v>
      </c>
      <c r="S47" s="643">
        <f t="shared" si="158"/>
        <v>34.906394377365146</v>
      </c>
      <c r="T47" s="644">
        <f t="shared" si="158"/>
        <v>29.51015124084249</v>
      </c>
      <c r="U47" s="644">
        <f t="shared" si="158"/>
        <v>32.575099427083344</v>
      </c>
      <c r="V47" s="645">
        <f t="shared" si="158"/>
        <v>37.361519796557985</v>
      </c>
      <c r="W47" s="644">
        <f t="shared" si="158"/>
        <v>42.627117423409828</v>
      </c>
      <c r="X47" s="644">
        <f t="shared" si="158"/>
        <v>21.235009505690744</v>
      </c>
      <c r="Y47" s="644">
        <f t="shared" si="158"/>
        <v>33.125406867559512</v>
      </c>
      <c r="Z47" s="645">
        <f t="shared" si="158"/>
        <v>32.544144284297367</v>
      </c>
      <c r="AA47" s="644">
        <f t="shared" si="101"/>
        <v>24.552941132037905</v>
      </c>
      <c r="AB47" s="644">
        <f t="shared" si="101"/>
        <v>25.405648776654878</v>
      </c>
      <c r="AC47" s="644">
        <f t="shared" si="101"/>
        <v>28.41391110280798</v>
      </c>
      <c r="AD47" s="645">
        <f t="shared" si="101"/>
        <v>25.53134713495729</v>
      </c>
      <c r="AE47" s="644">
        <f t="shared" si="97"/>
        <v>20.780798292565343</v>
      </c>
      <c r="AF47" s="644">
        <f t="shared" si="97"/>
        <v>18.439791219093404</v>
      </c>
      <c r="AG47" s="644">
        <f t="shared" si="97"/>
        <v>27.717085095270448</v>
      </c>
      <c r="AH47" s="645">
        <f t="shared" si="97"/>
        <v>27.225998677746944</v>
      </c>
      <c r="AI47" s="644">
        <f t="shared" si="84"/>
        <v>23.502615202110384</v>
      </c>
      <c r="AJ47" s="644">
        <f t="shared" si="84"/>
        <v>22.058978634484564</v>
      </c>
      <c r="AK47" s="644">
        <f t="shared" si="84"/>
        <v>29.16276689554218</v>
      </c>
      <c r="AL47" s="645">
        <f t="shared" si="84"/>
        <v>31.166413735261386</v>
      </c>
      <c r="AM47" s="644">
        <f t="shared" si="74"/>
        <v>27.79077055530394</v>
      </c>
      <c r="AN47" s="644">
        <f t="shared" si="74"/>
        <v>23.866666666666671</v>
      </c>
      <c r="AO47" s="644">
        <f t="shared" si="74"/>
        <v>32.4</v>
      </c>
      <c r="AP47" s="645">
        <f t="shared" si="74"/>
        <v>31.849999999999998</v>
      </c>
      <c r="AQ47" s="644">
        <f t="shared" ref="AQ47:AX47" si="159">IF(ISBLANK(AQ190),"",AQ190)</f>
        <v>32.001911923859012</v>
      </c>
      <c r="AR47" s="644">
        <f t="shared" si="159"/>
        <v>23.464576991634761</v>
      </c>
      <c r="AS47" s="644">
        <f t="shared" si="159"/>
        <v>31.792406772147991</v>
      </c>
      <c r="AT47" s="645">
        <f t="shared" si="159"/>
        <v>34.124437645558224</v>
      </c>
      <c r="AU47" s="644">
        <f t="shared" si="159"/>
        <v>35.011840479141661</v>
      </c>
      <c r="AV47" s="644">
        <f t="shared" si="159"/>
        <v>25.671529516621057</v>
      </c>
      <c r="AW47" s="644">
        <f t="shared" si="159"/>
        <v>34.782630394171832</v>
      </c>
      <c r="AX47" s="645">
        <f t="shared" si="159"/>
        <v>37.333999610065447</v>
      </c>
      <c r="AY47" s="644">
        <f t="shared" ref="AY47:BB47" si="160">IF(ISBLANK(AY190),"",AY190)</f>
        <v>36.703552148808996</v>
      </c>
      <c r="AZ47" s="644">
        <f t="shared" si="160"/>
        <v>26.911933490452423</v>
      </c>
      <c r="BA47" s="644">
        <f t="shared" si="160"/>
        <v>36.46326702835853</v>
      </c>
      <c r="BB47" s="645">
        <f t="shared" si="160"/>
        <v>39.137913998780029</v>
      </c>
      <c r="BC47" s="646"/>
      <c r="BD47" s="646"/>
      <c r="BE47" s="655">
        <f t="shared" si="107"/>
        <v>27.374548513368911</v>
      </c>
      <c r="BF47" s="655">
        <f t="shared" si="108"/>
        <v>19.259057587071052</v>
      </c>
      <c r="BG47" s="655">
        <f t="shared" si="109"/>
        <v>20.179617272122602</v>
      </c>
      <c r="BH47" s="655">
        <f t="shared" si="110"/>
        <v>33.588291210462245</v>
      </c>
      <c r="BI47" s="655">
        <f t="shared" si="111"/>
        <v>32.382919520239362</v>
      </c>
      <c r="BJ47" s="655">
        <f t="shared" si="112"/>
        <v>25.975962036614511</v>
      </c>
      <c r="BK47" s="672">
        <f t="shared" si="113"/>
        <v>23.540918321169034</v>
      </c>
      <c r="BL47" s="672">
        <f t="shared" si="114"/>
        <v>26.472693616849629</v>
      </c>
      <c r="BM47" s="672">
        <f t="shared" si="115"/>
        <v>28.976859305492653</v>
      </c>
      <c r="BN47" s="672">
        <f t="shared" si="116"/>
        <v>30.3458333333</v>
      </c>
      <c r="BO47" s="672">
        <f t="shared" si="117"/>
        <v>33.200000000000003</v>
      </c>
      <c r="BP47" s="672">
        <f t="shared" si="118"/>
        <v>34.804166666599997</v>
      </c>
      <c r="BQ47" s="637"/>
      <c r="BR47" s="684"/>
      <c r="BS47" s="685"/>
      <c r="BU47" s="609"/>
      <c r="BV47" s="678" t="s">
        <v>62</v>
      </c>
      <c r="BW47" s="1465"/>
      <c r="BX47" s="1465">
        <f>+BP229</f>
        <v>10978.293662399825</v>
      </c>
      <c r="BZ47" s="1695">
        <v>3</v>
      </c>
      <c r="CA47" s="1698" t="s">
        <v>149</v>
      </c>
      <c r="CB47" s="1699">
        <v>0.35</v>
      </c>
      <c r="CC47" s="1699">
        <v>0.35</v>
      </c>
      <c r="CD47" s="1699">
        <v>0.35</v>
      </c>
      <c r="CE47" s="1699">
        <v>0.35</v>
      </c>
      <c r="CF47" s="1699">
        <v>0.4</v>
      </c>
      <c r="CG47" s="1699">
        <v>0.45</v>
      </c>
      <c r="CH47" s="1699">
        <v>0.5</v>
      </c>
      <c r="CI47" s="1699">
        <v>0.5</v>
      </c>
      <c r="CJ47" s="1699">
        <v>0.55000000000000004</v>
      </c>
      <c r="CK47" s="1699">
        <v>0.6</v>
      </c>
      <c r="CL47" s="1699">
        <v>0.65</v>
      </c>
      <c r="CM47" s="1699">
        <v>0.65</v>
      </c>
      <c r="CN47" s="1699">
        <v>0.7</v>
      </c>
      <c r="CO47" s="1699">
        <v>0.75</v>
      </c>
      <c r="CP47" s="1699">
        <v>0.75</v>
      </c>
      <c r="CQ47" s="1699">
        <v>0.75</v>
      </c>
      <c r="CR47" s="1699">
        <v>0.75</v>
      </c>
      <c r="CS47" s="1699">
        <v>0.75</v>
      </c>
      <c r="CT47" s="1699">
        <v>0.8</v>
      </c>
      <c r="CU47" s="1699">
        <v>0.8</v>
      </c>
      <c r="CV47" s="1699">
        <v>0.8</v>
      </c>
      <c r="CW47" s="1699">
        <v>0.8</v>
      </c>
      <c r="CX47" s="1699">
        <v>0.8</v>
      </c>
      <c r="CY47" s="1699">
        <v>0.8</v>
      </c>
      <c r="CZ47" s="1699">
        <v>0.8</v>
      </c>
    </row>
    <row r="48" spans="1:104" ht="12.75" customHeight="1">
      <c r="A48" s="610"/>
      <c r="B48" s="611"/>
      <c r="C48" s="629" t="str">
        <f t="shared" si="119"/>
        <v>NP 15</v>
      </c>
      <c r="D48" s="629" t="str">
        <f t="shared" si="119"/>
        <v/>
      </c>
      <c r="E48" s="629" t="str">
        <f t="shared" si="119"/>
        <v/>
      </c>
      <c r="F48" s="676"/>
      <c r="G48" s="640">
        <f t="shared" ref="G48:Z48" si="161">IF(ISBLANK(G191),"",G191)</f>
        <v>37.117594064527246</v>
      </c>
      <c r="H48" s="641">
        <f t="shared" si="161"/>
        <v>19.113250432692308</v>
      </c>
      <c r="I48" s="641">
        <f t="shared" si="161"/>
        <v>25.547545279664849</v>
      </c>
      <c r="J48" s="642">
        <f t="shared" si="161"/>
        <v>27.749613651449284</v>
      </c>
      <c r="K48" s="640">
        <f t="shared" si="161"/>
        <v>18.722317882447662</v>
      </c>
      <c r="L48" s="641">
        <f t="shared" si="161"/>
        <v>9.3984892651098875</v>
      </c>
      <c r="M48" s="641">
        <f t="shared" si="161"/>
        <v>23.640035421195652</v>
      </c>
      <c r="N48" s="642">
        <f t="shared" si="161"/>
        <v>25.15623199827899</v>
      </c>
      <c r="O48" s="640">
        <f t="shared" si="161"/>
        <v>20.248332309583525</v>
      </c>
      <c r="P48" s="641">
        <f t="shared" si="161"/>
        <v>12.638521983745417</v>
      </c>
      <c r="Q48" s="641">
        <f t="shared" si="161"/>
        <v>18.538177578124998</v>
      </c>
      <c r="R48" s="641">
        <f t="shared" si="161"/>
        <v>27.611688596331518</v>
      </c>
      <c r="S48" s="643">
        <f t="shared" si="161"/>
        <v>32.535625475191225</v>
      </c>
      <c r="T48" s="644">
        <f t="shared" si="161"/>
        <v>29.389078711080582</v>
      </c>
      <c r="U48" s="644">
        <f t="shared" si="161"/>
        <v>33.408651492300713</v>
      </c>
      <c r="V48" s="645">
        <f t="shared" si="161"/>
        <v>39.111093514039872</v>
      </c>
      <c r="W48" s="644">
        <f t="shared" si="161"/>
        <v>43.573062782256443</v>
      </c>
      <c r="X48" s="644">
        <f t="shared" si="161"/>
        <v>25.133060753891947</v>
      </c>
      <c r="Y48" s="644">
        <f t="shared" si="161"/>
        <v>33.672098231107654</v>
      </c>
      <c r="Z48" s="645">
        <f t="shared" si="161"/>
        <v>32.79430912681805</v>
      </c>
      <c r="AA48" s="644">
        <f t="shared" si="101"/>
        <v>25.992472138601332</v>
      </c>
      <c r="AB48" s="644">
        <f t="shared" si="101"/>
        <v>27.16867147632129</v>
      </c>
      <c r="AC48" s="644">
        <f t="shared" si="101"/>
        <v>27.614825502717384</v>
      </c>
      <c r="AD48" s="645">
        <f t="shared" si="101"/>
        <v>26.110869571577393</v>
      </c>
      <c r="AE48" s="644">
        <f t="shared" si="97"/>
        <v>20.11139374158903</v>
      </c>
      <c r="AF48" s="644">
        <f t="shared" si="97"/>
        <v>21.2270874957483</v>
      </c>
      <c r="AG48" s="644">
        <f t="shared" si="97"/>
        <v>29.189901377458604</v>
      </c>
      <c r="AH48" s="645">
        <f t="shared" si="97"/>
        <v>28.44518337338728</v>
      </c>
      <c r="AI48" s="644">
        <f t="shared" si="84"/>
        <v>24.123383839646465</v>
      </c>
      <c r="AJ48" s="644">
        <f t="shared" si="84"/>
        <v>20.910626551641812</v>
      </c>
      <c r="AK48" s="644">
        <f t="shared" si="84"/>
        <v>30.198757360248454</v>
      </c>
      <c r="AL48" s="645">
        <f t="shared" si="84"/>
        <v>30.953927045121635</v>
      </c>
      <c r="AM48" s="644">
        <f t="shared" si="74"/>
        <v>29.637675953200478</v>
      </c>
      <c r="AN48" s="644">
        <f t="shared" si="74"/>
        <v>24.700000000000003</v>
      </c>
      <c r="AO48" s="644">
        <f t="shared" si="74"/>
        <v>32.199999999999996</v>
      </c>
      <c r="AP48" s="645">
        <f t="shared" si="74"/>
        <v>32.1</v>
      </c>
      <c r="AQ48" s="644">
        <f t="shared" ref="AQ48:AX48" si="162">IF(ISBLANK(AQ191),"",AQ191)</f>
        <v>32.382642291161041</v>
      </c>
      <c r="AR48" s="644">
        <f t="shared" si="162"/>
        <v>24.129274044874869</v>
      </c>
      <c r="AS48" s="644">
        <f t="shared" si="162"/>
        <v>32.172365393166494</v>
      </c>
      <c r="AT48" s="645">
        <f t="shared" si="162"/>
        <v>36.099051603997601</v>
      </c>
      <c r="AU48" s="644">
        <f t="shared" si="162"/>
        <v>35.345392387291405</v>
      </c>
      <c r="AV48" s="644">
        <f t="shared" si="162"/>
        <v>26.336907639231747</v>
      </c>
      <c r="AW48" s="644">
        <f t="shared" si="162"/>
        <v>35.115876852309</v>
      </c>
      <c r="AX48" s="645">
        <f t="shared" si="162"/>
        <v>39.401823121167837</v>
      </c>
      <c r="AY48" s="644">
        <f t="shared" ref="AY48:BB48" si="163">IF(ISBLANK(AY191),"",AY191)</f>
        <v>37.010587696706686</v>
      </c>
      <c r="AZ48" s="644">
        <f t="shared" si="163"/>
        <v>27.577694403877224</v>
      </c>
      <c r="BA48" s="644">
        <f t="shared" si="163"/>
        <v>36.770259205169637</v>
      </c>
      <c r="BB48" s="645">
        <f t="shared" si="163"/>
        <v>41.258125360646446</v>
      </c>
      <c r="BC48" s="646"/>
      <c r="BD48" s="646"/>
      <c r="BE48" s="655">
        <f t="shared" si="107"/>
        <v>27.382000857083419</v>
      </c>
      <c r="BF48" s="655">
        <f t="shared" si="108"/>
        <v>19.229268641758047</v>
      </c>
      <c r="BG48" s="655">
        <f t="shared" si="109"/>
        <v>19.759180116946364</v>
      </c>
      <c r="BH48" s="655">
        <f t="shared" si="110"/>
        <v>33.611112298153103</v>
      </c>
      <c r="BI48" s="655">
        <f t="shared" si="111"/>
        <v>33.793132723518525</v>
      </c>
      <c r="BJ48" s="655">
        <f t="shared" si="112"/>
        <v>26.72170967230435</v>
      </c>
      <c r="BK48" s="672">
        <f t="shared" si="113"/>
        <v>24.743391497045803</v>
      </c>
      <c r="BL48" s="672">
        <f t="shared" si="114"/>
        <v>26.54667369916459</v>
      </c>
      <c r="BM48" s="672">
        <f t="shared" si="115"/>
        <v>29.659418988300118</v>
      </c>
      <c r="BN48" s="672">
        <f t="shared" si="116"/>
        <v>31.195833333300001</v>
      </c>
      <c r="BO48" s="672">
        <f t="shared" si="117"/>
        <v>34.049999999999997</v>
      </c>
      <c r="BP48" s="672">
        <f t="shared" si="118"/>
        <v>35.654166666599998</v>
      </c>
      <c r="BQ48" s="637"/>
      <c r="BR48" s="684"/>
      <c r="BS48" s="685"/>
      <c r="BU48" s="609"/>
      <c r="BV48" s="608"/>
      <c r="BW48" s="608"/>
      <c r="BZ48" s="1695">
        <v>4</v>
      </c>
      <c r="CA48" s="1698" t="s">
        <v>23</v>
      </c>
      <c r="CB48" s="1699">
        <v>0.2</v>
      </c>
      <c r="CC48" s="1699">
        <v>0.2</v>
      </c>
      <c r="CD48" s="1699">
        <v>0.2</v>
      </c>
      <c r="CE48" s="1699">
        <v>0.2</v>
      </c>
      <c r="CF48" s="1699">
        <v>0.2</v>
      </c>
      <c r="CG48" s="1699">
        <v>0.2</v>
      </c>
      <c r="CH48" s="1699">
        <v>0.2</v>
      </c>
      <c r="CI48" s="1699">
        <v>0.2</v>
      </c>
      <c r="CJ48" s="1699">
        <v>0.25</v>
      </c>
      <c r="CK48" s="1699">
        <v>0.25</v>
      </c>
      <c r="CL48" s="1699">
        <v>0.25</v>
      </c>
      <c r="CM48" s="1699">
        <v>0.35</v>
      </c>
      <c r="CN48" s="1699">
        <v>0.35</v>
      </c>
      <c r="CO48" s="1699">
        <v>0.4</v>
      </c>
      <c r="CP48" s="1699">
        <v>0.4</v>
      </c>
      <c r="CQ48" s="1699">
        <v>0.45</v>
      </c>
      <c r="CR48" s="1699">
        <v>0.45</v>
      </c>
      <c r="CS48" s="1699">
        <v>0.5</v>
      </c>
      <c r="CT48" s="1699">
        <v>0.5</v>
      </c>
      <c r="CU48" s="1699">
        <v>0.5</v>
      </c>
      <c r="CV48" s="1699">
        <v>0.5</v>
      </c>
      <c r="CW48" s="1699">
        <v>0.55000000000000004</v>
      </c>
      <c r="CX48" s="1699">
        <v>0.55000000000000004</v>
      </c>
      <c r="CY48" s="1699">
        <v>0.55000000000000004</v>
      </c>
      <c r="CZ48" s="1699">
        <v>0.55000000000000004</v>
      </c>
    </row>
    <row r="49" spans="1:104" ht="13.5" customHeight="1">
      <c r="A49" s="610"/>
      <c r="B49" s="611"/>
      <c r="C49" s="629" t="str">
        <f t="shared" si="119"/>
        <v>Mid C</v>
      </c>
      <c r="D49" s="629" t="str">
        <f t="shared" si="119"/>
        <v/>
      </c>
      <c r="E49" s="629" t="str">
        <f t="shared" si="119"/>
        <v/>
      </c>
      <c r="F49" s="676"/>
      <c r="G49" s="686">
        <f t="shared" ref="G49:Z49" si="164">IF(ISBLANK(G192),"",G192)</f>
        <v>37.893934426229499</v>
      </c>
      <c r="H49" s="687">
        <f t="shared" si="164"/>
        <v>20.846551724137928</v>
      </c>
      <c r="I49" s="687">
        <f t="shared" si="164"/>
        <v>25.973666666666677</v>
      </c>
      <c r="J49" s="688">
        <f t="shared" si="164"/>
        <v>29.371206896551723</v>
      </c>
      <c r="K49" s="686">
        <f t="shared" si="164"/>
        <v>16.248095238095239</v>
      </c>
      <c r="L49" s="687">
        <f t="shared" si="164"/>
        <v>8.8706896551724146</v>
      </c>
      <c r="M49" s="687">
        <f t="shared" si="164"/>
        <v>19.931132075471702</v>
      </c>
      <c r="N49" s="688">
        <f t="shared" si="164"/>
        <v>27.305689655172419</v>
      </c>
      <c r="O49" s="686">
        <f t="shared" si="164"/>
        <v>19.371833333333331</v>
      </c>
      <c r="P49" s="687">
        <f t="shared" si="164"/>
        <v>7.370967741935433E-2</v>
      </c>
      <c r="Q49" s="687">
        <f t="shared" si="164"/>
        <v>13.051400000000001</v>
      </c>
      <c r="R49" s="687">
        <f t="shared" si="164"/>
        <v>25.025692307692317</v>
      </c>
      <c r="S49" s="689">
        <f t="shared" si="164"/>
        <v>26.816410256410261</v>
      </c>
      <c r="T49" s="690">
        <f t="shared" si="164"/>
        <v>17.528181818181817</v>
      </c>
      <c r="U49" s="690">
        <f t="shared" si="164"/>
        <v>23.521739130434778</v>
      </c>
      <c r="V49" s="691">
        <f t="shared" si="164"/>
        <v>37.909999999999997</v>
      </c>
      <c r="W49" s="690">
        <f t="shared" si="164"/>
        <v>24.855277777777776</v>
      </c>
      <c r="X49" s="690">
        <f t="shared" si="164"/>
        <v>13.964473684210526</v>
      </c>
      <c r="Y49" s="690">
        <f t="shared" si="164"/>
        <v>27.640666666666668</v>
      </c>
      <c r="Z49" s="691">
        <f t="shared" si="164"/>
        <v>27.14555555555555</v>
      </c>
      <c r="AA49" s="690">
        <f t="shared" si="101"/>
        <v>15.056279069767442</v>
      </c>
      <c r="AB49" s="690">
        <f t="shared" si="101"/>
        <v>22.67235294117647</v>
      </c>
      <c r="AC49" s="690">
        <f t="shared" si="101"/>
        <v>22.541666666666668</v>
      </c>
      <c r="AD49" s="691">
        <f t="shared" si="101"/>
        <v>19.292727272727276</v>
      </c>
      <c r="AE49" s="690">
        <f t="shared" si="97"/>
        <v>14.811363636363636</v>
      </c>
      <c r="AF49" s="690">
        <f t="shared" si="97"/>
        <v>10.678222222222219</v>
      </c>
      <c r="AG49" s="690">
        <f t="shared" si="97"/>
        <v>23.4837037037037</v>
      </c>
      <c r="AH49" s="691">
        <f t="shared" si="97"/>
        <v>18.550377358490564</v>
      </c>
      <c r="AI49" s="690">
        <f t="shared" si="84"/>
        <v>17.034905660377362</v>
      </c>
      <c r="AJ49" s="690">
        <f t="shared" si="84"/>
        <v>3.7259375000000001</v>
      </c>
      <c r="AK49" s="690">
        <f t="shared" si="84"/>
        <v>23.68</v>
      </c>
      <c r="AL49" s="691">
        <f t="shared" si="84"/>
        <v>22.81</v>
      </c>
      <c r="AM49" s="690">
        <f t="shared" si="74"/>
        <v>17.439166666666669</v>
      </c>
      <c r="AN49" s="690">
        <f t="shared" si="74"/>
        <v>5.3999999999999995</v>
      </c>
      <c r="AO49" s="690">
        <f t="shared" si="74"/>
        <v>17.400000000000002</v>
      </c>
      <c r="AP49" s="691">
        <f t="shared" si="74"/>
        <v>20.55</v>
      </c>
      <c r="AQ49" s="690">
        <f t="shared" ref="AQ49:AX49" si="165">IF(ISBLANK(AQ192),"",AQ192)</f>
        <v>24.123736367380481</v>
      </c>
      <c r="AR49" s="690">
        <f t="shared" si="165"/>
        <v>9.8099081391649516</v>
      </c>
      <c r="AS49" s="690">
        <f t="shared" si="165"/>
        <v>22.519600445252877</v>
      </c>
      <c r="AT49" s="691">
        <f t="shared" si="165"/>
        <v>19.730088381401686</v>
      </c>
      <c r="AU49" s="690">
        <f t="shared" si="165"/>
        <v>28.308843114166567</v>
      </c>
      <c r="AV49" s="690">
        <f t="shared" si="165"/>
        <v>11.511780192205842</v>
      </c>
      <c r="AW49" s="690">
        <f t="shared" si="165"/>
        <v>26.426413648774417</v>
      </c>
      <c r="AX49" s="691">
        <f t="shared" si="165"/>
        <v>23.152963044853177</v>
      </c>
      <c r="AY49" s="690">
        <f t="shared" ref="AY49:BB49" si="166">IF(ISBLANK(AY192),"",AY192)</f>
        <v>30.974011975501607</v>
      </c>
      <c r="AZ49" s="690">
        <f t="shared" si="166"/>
        <v>12.59557008722444</v>
      </c>
      <c r="BA49" s="690">
        <f t="shared" si="166"/>
        <v>28.914359005263648</v>
      </c>
      <c r="BB49" s="691">
        <f t="shared" si="166"/>
        <v>25.332725598410299</v>
      </c>
      <c r="BC49" s="646"/>
      <c r="BD49" s="646"/>
      <c r="BE49" s="655">
        <f t="shared" si="107"/>
        <v>28.521339928396458</v>
      </c>
      <c r="BF49" s="655">
        <f t="shared" si="108"/>
        <v>18.088901655977942</v>
      </c>
      <c r="BG49" s="655">
        <f t="shared" si="109"/>
        <v>14.380658829611251</v>
      </c>
      <c r="BH49" s="655">
        <f t="shared" si="110"/>
        <v>26.444082801256712</v>
      </c>
      <c r="BI49" s="655">
        <f t="shared" si="111"/>
        <v>23.401493421052628</v>
      </c>
      <c r="BJ49" s="655">
        <f t="shared" si="112"/>
        <v>19.890756487584465</v>
      </c>
      <c r="BK49" s="672">
        <f t="shared" si="113"/>
        <v>16.880916730195029</v>
      </c>
      <c r="BL49" s="672">
        <f t="shared" si="114"/>
        <v>16.812710790094339</v>
      </c>
      <c r="BM49" s="672">
        <f t="shared" si="115"/>
        <v>15.197291666666668</v>
      </c>
      <c r="BN49" s="672">
        <f t="shared" si="116"/>
        <v>19.045833333299999</v>
      </c>
      <c r="BO49" s="672">
        <f t="shared" si="117"/>
        <v>22.35</v>
      </c>
      <c r="BP49" s="672">
        <f t="shared" si="118"/>
        <v>24.454166666599995</v>
      </c>
      <c r="BQ49" s="637"/>
      <c r="BR49" s="684"/>
      <c r="BS49" s="685"/>
      <c r="BU49" s="609"/>
      <c r="BV49" s="658" t="s">
        <v>695</v>
      </c>
      <c r="BW49" s="658"/>
      <c r="BX49" s="658"/>
      <c r="BZ49" s="1695">
        <v>5</v>
      </c>
      <c r="CA49" s="1698" t="s">
        <v>402</v>
      </c>
      <c r="CB49" s="1699">
        <v>0.2</v>
      </c>
      <c r="CC49" s="1699">
        <v>0.2</v>
      </c>
      <c r="CD49" s="1699">
        <v>0.2</v>
      </c>
      <c r="CE49" s="1699">
        <v>0.2</v>
      </c>
      <c r="CF49" s="1699">
        <v>0.2</v>
      </c>
      <c r="CG49" s="1699">
        <v>0.2</v>
      </c>
      <c r="CH49" s="1699">
        <v>0.2</v>
      </c>
      <c r="CI49" s="1699">
        <v>0.2</v>
      </c>
      <c r="CJ49" s="1699">
        <v>0.25</v>
      </c>
      <c r="CK49" s="1699">
        <v>0.25</v>
      </c>
      <c r="CL49" s="1699">
        <v>0.25</v>
      </c>
      <c r="CM49" s="1699">
        <v>0.35</v>
      </c>
      <c r="CN49" s="1699">
        <v>0.35</v>
      </c>
      <c r="CO49" s="1699">
        <v>0.4</v>
      </c>
      <c r="CP49" s="1699">
        <v>0.4</v>
      </c>
      <c r="CQ49" s="1699">
        <v>0.45</v>
      </c>
      <c r="CR49" s="1699">
        <v>0.45</v>
      </c>
      <c r="CS49" s="1699">
        <v>0.5</v>
      </c>
      <c r="CT49" s="1699">
        <v>0.5</v>
      </c>
      <c r="CU49" s="1699">
        <v>0.5</v>
      </c>
      <c r="CV49" s="1699">
        <v>0.5</v>
      </c>
      <c r="CW49" s="1699">
        <v>0.55000000000000004</v>
      </c>
      <c r="CX49" s="1699">
        <v>0.55000000000000004</v>
      </c>
      <c r="CY49" s="1699">
        <v>0.55000000000000004</v>
      </c>
      <c r="CZ49" s="1699">
        <v>0.55000000000000004</v>
      </c>
    </row>
    <row r="50" spans="1:104" ht="13.5" customHeight="1">
      <c r="A50" s="610"/>
      <c r="B50" s="611"/>
      <c r="C50" s="629" t="str">
        <f t="shared" si="119"/>
        <v/>
      </c>
      <c r="D50" s="629" t="str">
        <f t="shared" si="119"/>
        <v/>
      </c>
      <c r="E50" s="629" t="str">
        <f t="shared" si="119"/>
        <v/>
      </c>
      <c r="F50" s="1461"/>
      <c r="G50" s="640">
        <f t="shared" ref="G50:Z50" si="167">IF(ISBLANK(G193),"",G193)</f>
        <v>0</v>
      </c>
      <c r="H50" s="641">
        <f t="shared" si="167"/>
        <v>0</v>
      </c>
      <c r="I50" s="641">
        <f t="shared" si="167"/>
        <v>0</v>
      </c>
      <c r="J50" s="642">
        <f t="shared" si="167"/>
        <v>18.965745967741935</v>
      </c>
      <c r="K50" s="640">
        <f t="shared" si="167"/>
        <v>21.679500452898552</v>
      </c>
      <c r="L50" s="641">
        <f t="shared" si="167"/>
        <v>15.42058035714286</v>
      </c>
      <c r="M50" s="641">
        <f t="shared" si="167"/>
        <v>30.891255661231888</v>
      </c>
      <c r="N50" s="642">
        <f t="shared" si="167"/>
        <v>16.763071376811602</v>
      </c>
      <c r="O50" s="640">
        <f t="shared" si="167"/>
        <v>13.916985188724318</v>
      </c>
      <c r="P50" s="641">
        <f t="shared" si="167"/>
        <v>13.258952609890109</v>
      </c>
      <c r="Q50" s="641">
        <f t="shared" si="167"/>
        <v>19.372339221014496</v>
      </c>
      <c r="R50" s="641">
        <f t="shared" si="167"/>
        <v>20.709261096014483</v>
      </c>
      <c r="S50" s="643">
        <f t="shared" si="167"/>
        <v>20.440848782206118</v>
      </c>
      <c r="T50" s="644">
        <f t="shared" si="167"/>
        <v>23.552954441391933</v>
      </c>
      <c r="U50" s="644">
        <f t="shared" si="167"/>
        <v>25.64189198369565</v>
      </c>
      <c r="V50" s="645">
        <f t="shared" si="167"/>
        <v>26.4882361865942</v>
      </c>
      <c r="W50" s="643">
        <f t="shared" si="167"/>
        <v>32.272174315619957</v>
      </c>
      <c r="X50" s="644">
        <f t="shared" si="167"/>
        <v>31.134892399267407</v>
      </c>
      <c r="Y50" s="644">
        <f t="shared" si="167"/>
        <v>28.14129528985508</v>
      </c>
      <c r="Z50" s="645">
        <f t="shared" si="167"/>
        <v>25.026826811594209</v>
      </c>
      <c r="AA50" s="643">
        <f t="shared" si="101"/>
        <v>22.267231833735906</v>
      </c>
      <c r="AB50" s="644">
        <f t="shared" si="101"/>
        <v>19.322938415750922</v>
      </c>
      <c r="AC50" s="644">
        <f t="shared" si="101"/>
        <v>19.883229166666666</v>
      </c>
      <c r="AD50" s="645">
        <f t="shared" si="101"/>
        <v>14.538071105072467</v>
      </c>
      <c r="AE50" s="643">
        <f t="shared" si="97"/>
        <v>13.415166079391629</v>
      </c>
      <c r="AF50" s="644">
        <f t="shared" si="97"/>
        <v>13.686976877289379</v>
      </c>
      <c r="AG50" s="644">
        <f t="shared" si="97"/>
        <v>20.563768115942029</v>
      </c>
      <c r="AH50" s="645">
        <f t="shared" si="97"/>
        <v>17.754754528985508</v>
      </c>
      <c r="AI50" s="643">
        <f t="shared" si="84"/>
        <v>15.114614834943641</v>
      </c>
      <c r="AJ50" s="644">
        <f t="shared" si="84"/>
        <v>18.580832188644688</v>
      </c>
      <c r="AK50" s="644">
        <f t="shared" si="84"/>
        <v>21.66212522644927</v>
      </c>
      <c r="AL50" s="645">
        <f t="shared" si="84"/>
        <v>17.263756521739129</v>
      </c>
      <c r="AM50" s="643">
        <f t="shared" si="74"/>
        <v>17.088877969001611</v>
      </c>
      <c r="AN50" s="644">
        <f t="shared" si="74"/>
        <v>18.510540000000002</v>
      </c>
      <c r="AO50" s="644">
        <f t="shared" si="74"/>
        <v>27.807523333333336</v>
      </c>
      <c r="AP50" s="645">
        <f t="shared" si="74"/>
        <v>17.338083333333334</v>
      </c>
      <c r="AQ50" s="643">
        <f t="shared" ref="AQ50:AX53" si="168">IF(ISBLANK(AQ193),"",AQ193)</f>
        <v>16.957303958202534</v>
      </c>
      <c r="AR50" s="644">
        <f t="shared" si="168"/>
        <v>14.649290816252094</v>
      </c>
      <c r="AS50" s="644">
        <f t="shared" si="168"/>
        <v>20.911155316984395</v>
      </c>
      <c r="AT50" s="645">
        <f t="shared" si="168"/>
        <v>16.626713241760964</v>
      </c>
      <c r="AU50" s="643">
        <f t="shared" si="168"/>
        <v>16.447007807315547</v>
      </c>
      <c r="AV50" s="644">
        <f t="shared" si="168"/>
        <v>14.208449705236832</v>
      </c>
      <c r="AW50" s="644">
        <f t="shared" si="168"/>
        <v>20.281875916487753</v>
      </c>
      <c r="AX50" s="645">
        <f t="shared" si="168"/>
        <v>16.126365557359861</v>
      </c>
      <c r="AY50" s="643">
        <f t="shared" ref="AY50:BB51" si="169">IF(ISBLANK(AY193),"",AY193)</f>
        <v>15.71573988720429</v>
      </c>
      <c r="AZ50" s="644">
        <f t="shared" si="169"/>
        <v>13.576712699595451</v>
      </c>
      <c r="BA50" s="644">
        <f t="shared" si="169"/>
        <v>19.380101843588751</v>
      </c>
      <c r="BB50" s="645">
        <f t="shared" si="169"/>
        <v>15.409354053611498</v>
      </c>
      <c r="BC50" s="646"/>
      <c r="BD50" s="646"/>
      <c r="BE50" s="655"/>
      <c r="BF50" s="655"/>
      <c r="BG50" s="655"/>
      <c r="BH50" s="655"/>
      <c r="BI50" s="655"/>
      <c r="BJ50" s="655"/>
      <c r="BK50" s="655"/>
      <c r="BL50" s="655"/>
      <c r="BM50" s="655"/>
      <c r="BN50" s="655"/>
      <c r="BO50" s="655"/>
      <c r="BP50" s="655"/>
      <c r="BQ50" s="637"/>
      <c r="BR50" s="638"/>
      <c r="BU50" s="609"/>
      <c r="BV50" s="678" t="s">
        <v>854</v>
      </c>
      <c r="BW50" s="1465"/>
      <c r="BX50" s="1465">
        <f>+BX36-BX43</f>
        <v>4436.6841285967821</v>
      </c>
      <c r="BZ50" s="1695">
        <v>6</v>
      </c>
      <c r="CA50" s="1698" t="s">
        <v>62</v>
      </c>
      <c r="CB50" s="1699">
        <v>0.2</v>
      </c>
      <c r="CC50" s="1699">
        <v>0.2</v>
      </c>
      <c r="CD50" s="1699">
        <v>0.2</v>
      </c>
      <c r="CE50" s="1699">
        <v>0.2</v>
      </c>
      <c r="CF50" s="1699">
        <v>0.2</v>
      </c>
      <c r="CG50" s="1699">
        <v>0.2</v>
      </c>
      <c r="CH50" s="1699">
        <v>0.2</v>
      </c>
      <c r="CI50" s="1699">
        <v>0.2</v>
      </c>
      <c r="CJ50" s="1699">
        <v>0.25</v>
      </c>
      <c r="CK50" s="1699">
        <v>0.25</v>
      </c>
      <c r="CL50" s="1699">
        <v>0.3</v>
      </c>
      <c r="CM50" s="1699">
        <v>0.3</v>
      </c>
      <c r="CN50" s="1699">
        <v>0.3</v>
      </c>
      <c r="CO50" s="1699">
        <v>0.35</v>
      </c>
      <c r="CP50" s="1699">
        <v>0.35</v>
      </c>
      <c r="CQ50" s="1699">
        <v>0.4</v>
      </c>
      <c r="CR50" s="1699">
        <v>0.4</v>
      </c>
      <c r="CS50" s="1699">
        <v>0.4</v>
      </c>
      <c r="CT50" s="1699">
        <v>0.45</v>
      </c>
      <c r="CU50" s="1699">
        <v>0.5</v>
      </c>
      <c r="CV50" s="1699">
        <v>0.5</v>
      </c>
      <c r="CW50" s="1699">
        <v>0.5</v>
      </c>
      <c r="CX50" s="1699">
        <v>0.5</v>
      </c>
      <c r="CY50" s="1699">
        <v>0.5</v>
      </c>
      <c r="CZ50" s="1699">
        <v>0.5</v>
      </c>
    </row>
    <row r="51" spans="1:104" ht="12.75" customHeight="1">
      <c r="B51" s="611"/>
      <c r="C51" s="659" t="str">
        <f t="shared" si="119"/>
        <v>Natural Gas Basis/Coal Delivery Cost Assumptions</v>
      </c>
      <c r="D51" s="693" t="str">
        <f t="shared" si="119"/>
        <v/>
      </c>
      <c r="E51" s="693" t="str">
        <f t="shared" si="119"/>
        <v/>
      </c>
      <c r="F51" s="1466"/>
      <c r="G51" s="640" t="str">
        <f t="shared" ref="G51:G82" si="170">IF(ISBLANK(G194),"",G194)</f>
        <v/>
      </c>
      <c r="H51" s="662"/>
      <c r="I51" s="662"/>
      <c r="J51" s="663"/>
      <c r="K51" s="661"/>
      <c r="L51" s="662"/>
      <c r="M51" s="662"/>
      <c r="N51" s="663"/>
      <c r="O51" s="661"/>
      <c r="P51" s="662"/>
      <c r="Q51" s="662"/>
      <c r="R51" s="662"/>
      <c r="S51" s="665"/>
      <c r="T51" s="666"/>
      <c r="U51" s="666"/>
      <c r="V51" s="664"/>
      <c r="W51" s="666"/>
      <c r="X51" s="666"/>
      <c r="Y51" s="666"/>
      <c r="Z51" s="667"/>
      <c r="AA51" s="668"/>
      <c r="AB51" s="668"/>
      <c r="AC51" s="668"/>
      <c r="AD51" s="667"/>
      <c r="AE51" s="668"/>
      <c r="AF51" s="668"/>
      <c r="AG51" s="668"/>
      <c r="AH51" s="667"/>
      <c r="AI51" s="668"/>
      <c r="AJ51" s="668"/>
      <c r="AK51" s="668"/>
      <c r="AL51" s="667" t="str">
        <f t="shared" ref="AL51:AX56" si="171">IF(ISBLANK(AL194),"",AL194)</f>
        <v/>
      </c>
      <c r="AM51" s="668"/>
      <c r="AN51" s="668"/>
      <c r="AO51" s="668"/>
      <c r="AP51" s="645" t="str">
        <f t="shared" ref="AP51:AS56" si="172">IF(ISBLANK(AP194),"",AP194)</f>
        <v/>
      </c>
      <c r="AQ51" s="668"/>
      <c r="AR51" s="668"/>
      <c r="AS51" s="668"/>
      <c r="AT51" s="645" t="str">
        <f t="shared" si="168"/>
        <v/>
      </c>
      <c r="AU51" s="668"/>
      <c r="AV51" s="668"/>
      <c r="AW51" s="668"/>
      <c r="AX51" s="645" t="str">
        <f t="shared" ref="AX51" si="173">IF(ISBLANK(AX194),"",AX194)</f>
        <v/>
      </c>
      <c r="AY51" s="668"/>
      <c r="AZ51" s="668"/>
      <c r="BA51" s="668"/>
      <c r="BB51" s="645" t="str">
        <f t="shared" si="169"/>
        <v/>
      </c>
      <c r="BC51" s="646"/>
      <c r="BD51" s="670"/>
      <c r="BE51" s="554"/>
      <c r="BF51" s="554"/>
      <c r="BG51" s="554"/>
      <c r="BH51" s="554"/>
      <c r="BI51" s="554"/>
      <c r="BJ51" s="554"/>
      <c r="BK51" s="554"/>
      <c r="BL51" s="554"/>
      <c r="BM51" s="554"/>
      <c r="BN51" s="554"/>
      <c r="BO51" s="554"/>
      <c r="BP51" s="554"/>
      <c r="BQ51" s="637"/>
      <c r="BR51" s="682"/>
      <c r="BU51" s="609"/>
      <c r="BV51" s="678" t="s">
        <v>149</v>
      </c>
      <c r="BW51" s="1465"/>
      <c r="BX51" s="1465">
        <f>+BX37-BX44</f>
        <v>2951.9694662984402</v>
      </c>
    </row>
    <row r="52" spans="1:104" ht="13.5" customHeight="1">
      <c r="A52" s="610"/>
      <c r="B52" s="611"/>
      <c r="C52" s="692" t="str">
        <f t="shared" si="119"/>
        <v>$ / mmbtu (Basis Differential to Henry Hub)</v>
      </c>
      <c r="D52" s="629" t="str">
        <f t="shared" si="119"/>
        <v/>
      </c>
      <c r="E52" s="629" t="str">
        <f t="shared" si="119"/>
        <v/>
      </c>
      <c r="F52" s="1461"/>
      <c r="G52" s="640" t="str">
        <f t="shared" si="170"/>
        <v/>
      </c>
      <c r="H52" s="641" t="str">
        <f t="shared" ref="H52:AK52" si="174">IF(ISBLANK(H195),"",H195)</f>
        <v/>
      </c>
      <c r="I52" s="641" t="str">
        <f t="shared" si="174"/>
        <v/>
      </c>
      <c r="J52" s="642" t="str">
        <f t="shared" si="174"/>
        <v/>
      </c>
      <c r="K52" s="640" t="str">
        <f t="shared" si="174"/>
        <v/>
      </c>
      <c r="L52" s="641" t="str">
        <f t="shared" si="174"/>
        <v/>
      </c>
      <c r="M52" s="641" t="str">
        <f t="shared" si="174"/>
        <v/>
      </c>
      <c r="N52" s="642" t="str">
        <f t="shared" si="174"/>
        <v/>
      </c>
      <c r="O52" s="640" t="str">
        <f t="shared" si="174"/>
        <v/>
      </c>
      <c r="P52" s="641" t="str">
        <f t="shared" si="174"/>
        <v/>
      </c>
      <c r="Q52" s="641" t="str">
        <f t="shared" si="174"/>
        <v/>
      </c>
      <c r="R52" s="641" t="str">
        <f t="shared" si="174"/>
        <v/>
      </c>
      <c r="S52" s="643" t="str">
        <f t="shared" si="174"/>
        <v/>
      </c>
      <c r="T52" s="644" t="str">
        <f t="shared" si="174"/>
        <v/>
      </c>
      <c r="U52" s="644" t="str">
        <f t="shared" si="174"/>
        <v/>
      </c>
      <c r="V52" s="645" t="str">
        <f t="shared" si="174"/>
        <v/>
      </c>
      <c r="W52" s="644" t="str">
        <f t="shared" si="174"/>
        <v/>
      </c>
      <c r="X52" s="644" t="str">
        <f t="shared" si="174"/>
        <v/>
      </c>
      <c r="Y52" s="644" t="str">
        <f t="shared" si="174"/>
        <v/>
      </c>
      <c r="Z52" s="645" t="str">
        <f t="shared" si="174"/>
        <v/>
      </c>
      <c r="AA52" s="644" t="str">
        <f t="shared" si="174"/>
        <v/>
      </c>
      <c r="AB52" s="644" t="str">
        <f t="shared" si="174"/>
        <v/>
      </c>
      <c r="AC52" s="644" t="str">
        <f t="shared" si="174"/>
        <v/>
      </c>
      <c r="AD52" s="645" t="str">
        <f t="shared" si="174"/>
        <v/>
      </c>
      <c r="AE52" s="644" t="str">
        <f t="shared" si="174"/>
        <v/>
      </c>
      <c r="AF52" s="644" t="str">
        <f t="shared" si="174"/>
        <v/>
      </c>
      <c r="AG52" s="644" t="str">
        <f t="shared" si="174"/>
        <v/>
      </c>
      <c r="AH52" s="645" t="str">
        <f t="shared" si="174"/>
        <v/>
      </c>
      <c r="AI52" s="644" t="str">
        <f t="shared" si="174"/>
        <v/>
      </c>
      <c r="AJ52" s="644" t="str">
        <f t="shared" si="174"/>
        <v/>
      </c>
      <c r="AK52" s="644" t="str">
        <f t="shared" si="174"/>
        <v/>
      </c>
      <c r="AL52" s="645" t="str">
        <f t="shared" si="171"/>
        <v/>
      </c>
      <c r="AM52" s="644" t="str">
        <f t="shared" si="171"/>
        <v/>
      </c>
      <c r="AN52" s="644" t="str">
        <f t="shared" si="171"/>
        <v/>
      </c>
      <c r="AO52" s="644" t="str">
        <f t="shared" si="171"/>
        <v/>
      </c>
      <c r="AP52" s="645" t="str">
        <f t="shared" si="172"/>
        <v/>
      </c>
      <c r="AQ52" s="644" t="str">
        <f t="shared" si="172"/>
        <v/>
      </c>
      <c r="AR52" s="644" t="str">
        <f t="shared" si="172"/>
        <v/>
      </c>
      <c r="AS52" s="644" t="str">
        <f t="shared" si="172"/>
        <v/>
      </c>
      <c r="AT52" s="645" t="str">
        <f t="shared" si="168"/>
        <v/>
      </c>
      <c r="AU52" s="644" t="str">
        <f t="shared" si="168"/>
        <v/>
      </c>
      <c r="AV52" s="644" t="str">
        <f t="shared" si="168"/>
        <v/>
      </c>
      <c r="AW52" s="644" t="str">
        <f t="shared" si="168"/>
        <v/>
      </c>
      <c r="AX52" s="645" t="str">
        <f t="shared" si="168"/>
        <v/>
      </c>
      <c r="AY52" s="644" t="str">
        <f t="shared" ref="AY52:BB52" si="175">IF(ISBLANK(AY195),"",AY195)</f>
        <v/>
      </c>
      <c r="AZ52" s="644" t="str">
        <f t="shared" si="175"/>
        <v/>
      </c>
      <c r="BA52" s="644" t="str">
        <f t="shared" si="175"/>
        <v/>
      </c>
      <c r="BB52" s="645" t="str">
        <f t="shared" si="175"/>
        <v/>
      </c>
      <c r="BC52" s="646"/>
      <c r="BD52" s="646"/>
      <c r="BE52" s="655"/>
      <c r="BF52" s="655"/>
      <c r="BG52" s="655"/>
      <c r="BH52" s="672"/>
      <c r="BI52" s="672"/>
      <c r="BJ52" s="672"/>
      <c r="BK52" s="672"/>
      <c r="BL52" s="672"/>
      <c r="BM52" s="672"/>
      <c r="BN52" s="672"/>
      <c r="BO52" s="672"/>
      <c r="BP52" s="672"/>
      <c r="BQ52" s="637"/>
      <c r="BR52" s="682"/>
      <c r="BU52" s="609"/>
      <c r="BV52" s="678" t="s">
        <v>23</v>
      </c>
      <c r="BW52" s="1465"/>
      <c r="BX52" s="1465">
        <f>+BX38-BX45</f>
        <v>7436.3925245965202</v>
      </c>
    </row>
    <row r="53" spans="1:104" ht="13.5" customHeight="1">
      <c r="A53" s="610"/>
      <c r="B53" s="611"/>
      <c r="C53" s="629" t="str">
        <f t="shared" si="119"/>
        <v>Mass Hub / Transco Z6</v>
      </c>
      <c r="D53" s="629" t="str">
        <f t="shared" si="119"/>
        <v/>
      </c>
      <c r="E53" s="629" t="str">
        <f t="shared" si="119"/>
        <v/>
      </c>
      <c r="F53" s="1461"/>
      <c r="G53" s="640">
        <f t="shared" si="170"/>
        <v>1.3604838709677409</v>
      </c>
      <c r="H53" s="641">
        <f t="shared" ref="H53:AK53" si="176">IF(ISBLANK(H196),"",H196)</f>
        <v>0.36958730158730102</v>
      </c>
      <c r="I53" s="641">
        <f t="shared" si="176"/>
        <v>0.37103124999999881</v>
      </c>
      <c r="J53" s="642">
        <f t="shared" si="176"/>
        <v>2.0107384615384656</v>
      </c>
      <c r="K53" s="640">
        <f t="shared" si="176"/>
        <v>2.7836406250000012</v>
      </c>
      <c r="L53" s="641">
        <f t="shared" si="176"/>
        <v>0.38664062500000007</v>
      </c>
      <c r="M53" s="641">
        <f t="shared" si="176"/>
        <v>0.58382812500000192</v>
      </c>
      <c r="N53" s="642">
        <f t="shared" si="176"/>
        <v>0.35206349206349286</v>
      </c>
      <c r="O53" s="640">
        <f t="shared" si="176"/>
        <v>0.80777777777777793</v>
      </c>
      <c r="P53" s="641">
        <f t="shared" si="176"/>
        <v>0.20609523809523767</v>
      </c>
      <c r="Q53" s="641">
        <f t="shared" si="176"/>
        <v>0.18090476190476101</v>
      </c>
      <c r="R53" s="641">
        <f t="shared" si="176"/>
        <v>0.52926562499999807</v>
      </c>
      <c r="S53" s="643">
        <f t="shared" si="176"/>
        <v>4.3436166666666658</v>
      </c>
      <c r="T53" s="644">
        <f t="shared" si="176"/>
        <v>0.30776562499999827</v>
      </c>
      <c r="U53" s="644">
        <f t="shared" si="176"/>
        <v>0.20923437499999897</v>
      </c>
      <c r="V53" s="645">
        <f t="shared" si="176"/>
        <v>0.48042187499999889</v>
      </c>
      <c r="W53" s="644">
        <f t="shared" si="176"/>
        <v>11.865918032786885</v>
      </c>
      <c r="X53" s="644">
        <f t="shared" si="176"/>
        <v>-0.87728124999999935</v>
      </c>
      <c r="Y53" s="644">
        <f t="shared" si="176"/>
        <v>-1.3732187500000017</v>
      </c>
      <c r="Z53" s="645">
        <f t="shared" si="176"/>
        <v>-0.57965624999999754</v>
      </c>
      <c r="AA53" s="644">
        <f t="shared" si="176"/>
        <v>6.0189193548387117</v>
      </c>
      <c r="AB53" s="644">
        <f t="shared" si="176"/>
        <v>-0.25368253968253818</v>
      </c>
      <c r="AC53" s="644">
        <f t="shared" si="176"/>
        <v>-0.4931562499999993</v>
      </c>
      <c r="AD53" s="645">
        <f t="shared" si="176"/>
        <v>-0.2235238095238099</v>
      </c>
      <c r="AE53" s="644">
        <f>IF(ISBLANK(AE196),"",AE196)</f>
        <v>0.49621311475409802</v>
      </c>
      <c r="AF53" s="644">
        <f t="shared" si="176"/>
        <v>-0.43893749999999998</v>
      </c>
      <c r="AG53" s="644">
        <f t="shared" si="176"/>
        <v>-0.95798437499999922</v>
      </c>
      <c r="AH53" s="645">
        <f t="shared" si="176"/>
        <v>-0.3514999999999997</v>
      </c>
      <c r="AI53" s="644">
        <f t="shared" si="176"/>
        <v>0.30054838709677556</v>
      </c>
      <c r="AJ53" s="644">
        <f t="shared" si="176"/>
        <v>-0.38845312499999896</v>
      </c>
      <c r="AK53" s="644">
        <f t="shared" si="176"/>
        <v>-0.54298412698412557</v>
      </c>
      <c r="AL53" s="645">
        <f t="shared" si="171"/>
        <v>0.63106451612903358</v>
      </c>
      <c r="AM53" s="644">
        <f t="shared" si="171"/>
        <v>4.698950819672131</v>
      </c>
      <c r="AN53" s="644">
        <f t="shared" si="171"/>
        <v>-0.19166666666666643</v>
      </c>
      <c r="AO53" s="644">
        <f t="shared" si="171"/>
        <v>-0.30999999999999961</v>
      </c>
      <c r="AP53" s="645">
        <f t="shared" si="172"/>
        <v>0.25666666666666638</v>
      </c>
      <c r="AQ53" s="644">
        <f t="shared" si="172"/>
        <v>1.637734667576852</v>
      </c>
      <c r="AR53" s="644">
        <f t="shared" si="172"/>
        <v>-0.69677150590554215</v>
      </c>
      <c r="AS53" s="644">
        <f t="shared" si="172"/>
        <v>-0.82532002718121711</v>
      </c>
      <c r="AT53" s="645">
        <f t="shared" si="168"/>
        <v>1.5445568651099078</v>
      </c>
      <c r="AU53" s="644">
        <f t="shared" si="168"/>
        <v>1.6691288195742207</v>
      </c>
      <c r="AV53" s="644">
        <f t="shared" si="168"/>
        <v>-0.704374459769459</v>
      </c>
      <c r="AW53" s="644">
        <f t="shared" si="168"/>
        <v>-0.83498911122825525</v>
      </c>
      <c r="AX53" s="645">
        <f t="shared" si="168"/>
        <v>1.5745847514234943</v>
      </c>
      <c r="AY53" s="644">
        <f t="shared" ref="AY53:BB53" si="177">IF(ISBLANK(AY196),"",AY196)</f>
        <v>1.7632770950378909</v>
      </c>
      <c r="AZ53" s="644">
        <f t="shared" si="177"/>
        <v>-0.69298925565485447</v>
      </c>
      <c r="BA53" s="644">
        <f t="shared" si="177"/>
        <v>-0.82743500086795607</v>
      </c>
      <c r="BB53" s="645">
        <f t="shared" si="177"/>
        <v>1.6671304946849221</v>
      </c>
      <c r="BC53" s="646"/>
      <c r="BD53" s="646"/>
      <c r="BE53" s="655">
        <f t="shared" ref="BE53:BE68" si="178">AVERAGE(G53:J53)</f>
        <v>1.0279602210233767</v>
      </c>
      <c r="BF53" s="655">
        <f t="shared" ref="BF53:BF68" si="179">AVERAGE(K53:N53)</f>
        <v>1.0265432167658739</v>
      </c>
      <c r="BG53" s="655">
        <f t="shared" ref="BG53:BG68" si="180">AVERAGE(O53:R53)</f>
        <v>0.43101085069444367</v>
      </c>
      <c r="BH53" s="672">
        <f t="shared" ref="BH53:BH68" si="181">AVERAGE(S53:V53)</f>
        <v>1.3352596354166657</v>
      </c>
      <c r="BI53" s="672">
        <f t="shared" ref="BI53:BI68" si="182">AVERAGE(W53:Z53)</f>
        <v>2.2589404456967217</v>
      </c>
      <c r="BJ53" s="672">
        <f t="shared" ref="BJ53:BJ68" si="183">AVERAGE(AA53:AD53)</f>
        <v>1.2621391889080911</v>
      </c>
      <c r="BK53" s="672">
        <f t="shared" ref="BK53:BK68" si="184">AVERAGE(AE53:AH53)</f>
        <v>-0.31305219006147522</v>
      </c>
      <c r="BL53" s="672">
        <f t="shared" ref="BL53:BL68" si="185">AVERAGE(AI53:AL53)</f>
        <v>4.3912810421153914E-5</v>
      </c>
      <c r="BM53" s="672">
        <f t="shared" ref="BM53:BM68" si="186">AVERAGE(AM53:AP53)</f>
        <v>1.113487704918033</v>
      </c>
      <c r="BN53" s="672">
        <f t="shared" ref="BN53:BN68" si="187">AVERAGE(AQ53:AT53)</f>
        <v>0.41504999990000013</v>
      </c>
      <c r="BO53" s="672">
        <f t="shared" ref="BO53:BO68" si="188">AVERAGE(AU53:AX53)</f>
        <v>0.42608750000000017</v>
      </c>
      <c r="BP53" s="672">
        <f t="shared" ref="BP53:BP68" si="189">AVERAGE(AY53:BB53)</f>
        <v>0.47749583330000062</v>
      </c>
      <c r="BQ53" s="637"/>
      <c r="BR53" s="684"/>
      <c r="BS53" s="685"/>
      <c r="BU53" s="609"/>
      <c r="BV53" s="678" t="s">
        <v>402</v>
      </c>
      <c r="BW53" s="1465"/>
      <c r="BX53" s="1465">
        <f>+BX39-BX46</f>
        <v>5009.0284671448389</v>
      </c>
      <c r="BZ53" s="1695">
        <v>1</v>
      </c>
      <c r="CA53" s="1695" t="s">
        <v>919</v>
      </c>
      <c r="CB53" s="1636">
        <f t="shared" ref="CB53:CI53" si="190">CC53-0.25</f>
        <v>0</v>
      </c>
      <c r="CC53" s="1636">
        <f t="shared" si="190"/>
        <v>0.25</v>
      </c>
      <c r="CD53" s="1636">
        <f t="shared" si="190"/>
        <v>0.5</v>
      </c>
      <c r="CE53" s="1636">
        <f t="shared" si="190"/>
        <v>0.75</v>
      </c>
      <c r="CF53" s="1636">
        <f t="shared" si="190"/>
        <v>1</v>
      </c>
      <c r="CG53" s="1636">
        <f t="shared" si="190"/>
        <v>1.25</v>
      </c>
      <c r="CH53" s="1636">
        <f t="shared" si="190"/>
        <v>1.5</v>
      </c>
      <c r="CI53" s="1636">
        <f t="shared" si="190"/>
        <v>1.75</v>
      </c>
      <c r="CJ53" s="1636">
        <v>2</v>
      </c>
      <c r="CK53" s="1636">
        <f t="shared" ref="CK53:CZ53" si="191">CJ53+0.25</f>
        <v>2.25</v>
      </c>
      <c r="CL53" s="1636">
        <f t="shared" si="191"/>
        <v>2.5</v>
      </c>
      <c r="CM53" s="1636">
        <f t="shared" si="191"/>
        <v>2.75</v>
      </c>
      <c r="CN53" s="1636">
        <f t="shared" si="191"/>
        <v>3</v>
      </c>
      <c r="CO53" s="1636">
        <f t="shared" si="191"/>
        <v>3.25</v>
      </c>
      <c r="CP53" s="1636">
        <f t="shared" si="191"/>
        <v>3.5</v>
      </c>
      <c r="CQ53" s="1636">
        <f t="shared" si="191"/>
        <v>3.75</v>
      </c>
      <c r="CR53" s="1636">
        <f t="shared" si="191"/>
        <v>4</v>
      </c>
      <c r="CS53" s="1636">
        <f t="shared" si="191"/>
        <v>4.25</v>
      </c>
      <c r="CT53" s="1636">
        <f t="shared" si="191"/>
        <v>4.5</v>
      </c>
      <c r="CU53" s="1636">
        <f t="shared" si="191"/>
        <v>4.75</v>
      </c>
      <c r="CV53" s="1636">
        <f t="shared" si="191"/>
        <v>5</v>
      </c>
      <c r="CW53" s="1636">
        <f t="shared" si="191"/>
        <v>5.25</v>
      </c>
      <c r="CX53" s="1636">
        <f t="shared" si="191"/>
        <v>5.5</v>
      </c>
      <c r="CY53" s="1636">
        <f t="shared" si="191"/>
        <v>5.75</v>
      </c>
      <c r="CZ53" s="1636">
        <f t="shared" si="191"/>
        <v>6</v>
      </c>
    </row>
    <row r="54" spans="1:104" ht="13.5" customHeight="1">
      <c r="A54" s="610"/>
      <c r="B54" s="611"/>
      <c r="C54" s="629" t="str">
        <f t="shared" si="119"/>
        <v>NY Zone A / Tetco M3</v>
      </c>
      <c r="D54" s="629" t="str">
        <f t="shared" si="119"/>
        <v/>
      </c>
      <c r="E54" s="629" t="str">
        <f t="shared" si="119"/>
        <v/>
      </c>
      <c r="F54" s="1461"/>
      <c r="G54" s="640">
        <f t="shared" si="170"/>
        <v>0.89172580645161226</v>
      </c>
      <c r="H54" s="641">
        <f t="shared" ref="H54:AO54" si="192">IF(ISBLANK(H197),"",H197)</f>
        <v>0.34730158730158944</v>
      </c>
      <c r="I54" s="641">
        <f t="shared" si="192"/>
        <v>0.35659375000000004</v>
      </c>
      <c r="J54" s="642">
        <f t="shared" si="192"/>
        <v>1.4691538461538483</v>
      </c>
      <c r="K54" s="640">
        <f t="shared" si="192"/>
        <v>1.7646250000000014</v>
      </c>
      <c r="L54" s="641">
        <f t="shared" si="192"/>
        <v>0.28798437500000063</v>
      </c>
      <c r="M54" s="641">
        <f t="shared" si="192"/>
        <v>0.25414062500000068</v>
      </c>
      <c r="N54" s="642">
        <f t="shared" si="192"/>
        <v>0.24365079365079412</v>
      </c>
      <c r="O54" s="640">
        <f t="shared" si="192"/>
        <v>0.31452380952380965</v>
      </c>
      <c r="P54" s="641">
        <f t="shared" si="192"/>
        <v>0.1599206349206348</v>
      </c>
      <c r="Q54" s="641">
        <f t="shared" si="192"/>
        <v>0.16882539682539655</v>
      </c>
      <c r="R54" s="641">
        <f t="shared" si="192"/>
        <v>0.26892187499999887</v>
      </c>
      <c r="S54" s="643">
        <f t="shared" si="192"/>
        <v>0.819599999999999</v>
      </c>
      <c r="T54" s="644">
        <f t="shared" si="192"/>
        <v>0.11882812499999851</v>
      </c>
      <c r="U54" s="644">
        <f t="shared" si="192"/>
        <v>-1.3265625000001169E-2</v>
      </c>
      <c r="V54" s="645">
        <f t="shared" si="192"/>
        <v>0.14118750000000091</v>
      </c>
      <c r="W54" s="644">
        <f t="shared" si="192"/>
        <v>7.5181639344262283</v>
      </c>
      <c r="X54" s="644">
        <f t="shared" si="192"/>
        <v>-0.89420312500000065</v>
      </c>
      <c r="Y54" s="644">
        <f t="shared" si="192"/>
        <v>-1.4395156250000012</v>
      </c>
      <c r="Z54" s="645">
        <f t="shared" si="192"/>
        <v>-1.017578125</v>
      </c>
      <c r="AA54" s="644">
        <f t="shared" si="192"/>
        <v>3.554258064516127</v>
      </c>
      <c r="AB54" s="644">
        <f t="shared" si="192"/>
        <v>-1.1179206349206339</v>
      </c>
      <c r="AC54" s="644">
        <f t="shared" si="192"/>
        <v>-1.3916093749999998</v>
      </c>
      <c r="AD54" s="645">
        <f t="shared" si="192"/>
        <v>-0.84366666666666723</v>
      </c>
      <c r="AE54" s="644">
        <f t="shared" si="192"/>
        <v>-0.15401639344262286</v>
      </c>
      <c r="AF54" s="644">
        <f t="shared" si="192"/>
        <v>-0.55339062499999958</v>
      </c>
      <c r="AG54" s="644">
        <f t="shared" si="192"/>
        <v>-1.5273593749999999</v>
      </c>
      <c r="AH54" s="645">
        <f t="shared" si="192"/>
        <v>-0.79788709677419334</v>
      </c>
      <c r="AI54" s="644">
        <f t="shared" si="192"/>
        <v>-1.6838709677418517E-2</v>
      </c>
      <c r="AJ54" s="644">
        <f t="shared" si="192"/>
        <v>-0.56160937500000019</v>
      </c>
      <c r="AK54" s="644">
        <f t="shared" si="192"/>
        <v>-1.2109841269841268</v>
      </c>
      <c r="AL54" s="645">
        <f t="shared" si="171"/>
        <v>-0.13975806451612982</v>
      </c>
      <c r="AM54" s="644">
        <f t="shared" si="192"/>
        <v>3.4441967213114757</v>
      </c>
      <c r="AN54" s="644">
        <f t="shared" si="192"/>
        <v>-0.46333333333333293</v>
      </c>
      <c r="AO54" s="644">
        <f t="shared" si="192"/>
        <v>-0.59499999999999975</v>
      </c>
      <c r="AP54" s="645">
        <f t="shared" si="171"/>
        <v>-0.21666666666666679</v>
      </c>
      <c r="AQ54" s="644">
        <f t="shared" si="171"/>
        <v>0.74457975965344758</v>
      </c>
      <c r="AR54" s="644">
        <f t="shared" si="171"/>
        <v>-0.76430483819771866</v>
      </c>
      <c r="AS54" s="644">
        <f t="shared" si="171"/>
        <v>-0.78296558457066712</v>
      </c>
      <c r="AT54" s="645">
        <f t="shared" si="171"/>
        <v>0.8235214539149398</v>
      </c>
      <c r="AU54" s="644">
        <f t="shared" si="171"/>
        <v>0.64485745238273218</v>
      </c>
      <c r="AV54" s="644">
        <f t="shared" si="171"/>
        <v>-0.82982612063011629</v>
      </c>
      <c r="AW54" s="644">
        <f t="shared" si="171"/>
        <v>-0.84922019602346377</v>
      </c>
      <c r="AX54" s="645">
        <f t="shared" si="171"/>
        <v>0.71921711267084909</v>
      </c>
      <c r="AY54" s="1406">
        <f t="shared" ref="AY54:BB55" si="193">IF(ISBLANK(AY197),"",IF(Uplift="Yes",$BX$66,AY197))</f>
        <v>0</v>
      </c>
      <c r="AZ54" s="1406">
        <f t="shared" si="193"/>
        <v>0</v>
      </c>
      <c r="BA54" s="1406">
        <f t="shared" si="193"/>
        <v>0</v>
      </c>
      <c r="BB54" s="1407">
        <f t="shared" si="193"/>
        <v>0</v>
      </c>
      <c r="BC54" s="646"/>
      <c r="BD54" s="646"/>
      <c r="BE54" s="655">
        <f t="shared" si="178"/>
        <v>0.7661937474767625</v>
      </c>
      <c r="BF54" s="655">
        <f t="shared" si="179"/>
        <v>0.63760019841269922</v>
      </c>
      <c r="BG54" s="655">
        <f t="shared" si="180"/>
        <v>0.22804792906745996</v>
      </c>
      <c r="BH54" s="672">
        <f t="shared" si="181"/>
        <v>0.26658749999999931</v>
      </c>
      <c r="BI54" s="672">
        <f t="shared" si="182"/>
        <v>1.0417167648565566</v>
      </c>
      <c r="BJ54" s="672">
        <f t="shared" si="183"/>
        <v>5.0265346982206582E-2</v>
      </c>
      <c r="BK54" s="672">
        <f t="shared" si="184"/>
        <v>-0.75816337255420385</v>
      </c>
      <c r="BL54" s="672">
        <f t="shared" si="185"/>
        <v>-0.48229756904441884</v>
      </c>
      <c r="BM54" s="672">
        <f t="shared" si="186"/>
        <v>0.54229918032786906</v>
      </c>
      <c r="BN54" s="672">
        <f t="shared" si="187"/>
        <v>5.2076977000004021E-3</v>
      </c>
      <c r="BO54" s="672">
        <f t="shared" si="188"/>
        <v>-7.8742937899999699E-2</v>
      </c>
      <c r="BP54" s="672">
        <f t="shared" si="189"/>
        <v>0</v>
      </c>
      <c r="BQ54" s="637"/>
      <c r="BR54" s="638"/>
      <c r="BU54" s="609"/>
      <c r="BV54" s="678" t="s">
        <v>62</v>
      </c>
      <c r="BW54" s="1465"/>
      <c r="BX54" s="1465">
        <f>+BX40-BX47</f>
        <v>2891.0430722940509</v>
      </c>
      <c r="BZ54" s="1695">
        <v>2</v>
      </c>
      <c r="CA54" s="1698" t="s">
        <v>854</v>
      </c>
      <c r="CB54" s="1700">
        <f>AVERAGE(CB46:$CR46)</f>
        <v>0.43235294117647055</v>
      </c>
      <c r="CC54" s="1700">
        <f>AVERAGE(CC46:$CR46)</f>
        <v>0.44062499999999999</v>
      </c>
      <c r="CD54" s="1700">
        <f>AVERAGE(CD46:$CR46)</f>
        <v>0.45</v>
      </c>
      <c r="CE54" s="1700">
        <f>AVERAGE(CE46:$CR46)</f>
        <v>0.46071428571428574</v>
      </c>
      <c r="CF54" s="1700">
        <f>AVERAGE(CF46:$CR46)</f>
        <v>0.46923076923076928</v>
      </c>
      <c r="CG54" s="1700">
        <f>AVERAGE(CG46:$CR46)</f>
        <v>0.47916666666666669</v>
      </c>
      <c r="CH54" s="1700">
        <f>AVERAGE(CH46:$CR46)</f>
        <v>0.49090909090909096</v>
      </c>
      <c r="CI54" s="1700">
        <f>AVERAGE(CI46:$CR46)</f>
        <v>0.5</v>
      </c>
      <c r="CJ54" s="1700">
        <f>AVERAGE(CJ46:$CR46)</f>
        <v>0.51111111111111107</v>
      </c>
      <c r="CK54" s="1700">
        <f>AVERAGE(CK46:$CR46)</f>
        <v>0.52500000000000002</v>
      </c>
      <c r="CL54" s="1700">
        <f>AVERAGE(CL46:$CR46)</f>
        <v>0.5357142857142857</v>
      </c>
      <c r="CM54" s="1700">
        <f>AVERAGE(CM46:$CR46)</f>
        <v>0.54999999999999993</v>
      </c>
      <c r="CN54" s="1700">
        <f>AVERAGE(CN46:$CR46)</f>
        <v>0.55999999999999994</v>
      </c>
      <c r="CO54" s="1700">
        <f>AVERAGE(CO46:$CR46)</f>
        <v>0.57499999999999996</v>
      </c>
      <c r="CP54" s="1700">
        <f>AVERAGE(CP46:$CR46)</f>
        <v>0.6</v>
      </c>
      <c r="CQ54" s="1700">
        <f>AVERAGE(CQ46:$CR46)</f>
        <v>0.625</v>
      </c>
      <c r="CR54" s="1700">
        <f>AVERAGE(CR46:$CR46)</f>
        <v>0.65</v>
      </c>
      <c r="CS54" s="1700">
        <f>AVERAGE($CR46:CS46)</f>
        <v>0.65</v>
      </c>
      <c r="CT54" s="1700">
        <f>AVERAGE($CR46:CT46)</f>
        <v>0.65</v>
      </c>
      <c r="CU54" s="1700">
        <f>AVERAGE($CR46:CU46)</f>
        <v>0.65</v>
      </c>
      <c r="CV54" s="1700">
        <f>AVERAGE($CR46:CV46)</f>
        <v>0.65</v>
      </c>
      <c r="CW54" s="1700">
        <f>AVERAGE($CR46:CW46)</f>
        <v>0.65</v>
      </c>
      <c r="CX54" s="1700">
        <f>AVERAGE($CR46:CX46)</f>
        <v>0.65</v>
      </c>
      <c r="CY54" s="1700">
        <f>AVERAGE($CR46:CY46)</f>
        <v>0.65</v>
      </c>
      <c r="CZ54" s="1700">
        <f>AVERAGE($CR46:CZ46)</f>
        <v>0.65</v>
      </c>
    </row>
    <row r="55" spans="1:104" ht="12.75" customHeight="1">
      <c r="A55" s="610"/>
      <c r="B55" s="611"/>
      <c r="C55" s="629" t="str">
        <f t="shared" ref="C55:E69" si="194">IF(ISBLANK(C198),"",C198)</f>
        <v>NY Zone G / Transco Z6</v>
      </c>
      <c r="D55" s="629" t="str">
        <f t="shared" si="194"/>
        <v/>
      </c>
      <c r="E55" s="629" t="str">
        <f t="shared" si="194"/>
        <v/>
      </c>
      <c r="F55" s="1461"/>
      <c r="G55" s="640">
        <f t="shared" si="170"/>
        <v>1.3604838709677409</v>
      </c>
      <c r="H55" s="641">
        <f t="shared" ref="H55:AK55" si="195">IF(ISBLANK(H198),"",H198)</f>
        <v>0.36958730158730102</v>
      </c>
      <c r="I55" s="641">
        <f t="shared" si="195"/>
        <v>0.37103124999999881</v>
      </c>
      <c r="J55" s="642">
        <f t="shared" si="195"/>
        <v>2.0107384615384656</v>
      </c>
      <c r="K55" s="640">
        <f t="shared" si="195"/>
        <v>2.7836406250000012</v>
      </c>
      <c r="L55" s="641">
        <f t="shared" si="195"/>
        <v>0.38664062500000007</v>
      </c>
      <c r="M55" s="641">
        <f t="shared" si="195"/>
        <v>0.58382812500000192</v>
      </c>
      <c r="N55" s="642">
        <f t="shared" si="195"/>
        <v>0.35206349206349286</v>
      </c>
      <c r="O55" s="640">
        <f t="shared" si="195"/>
        <v>0.80777777777777793</v>
      </c>
      <c r="P55" s="641">
        <f t="shared" si="195"/>
        <v>0.20609523809523767</v>
      </c>
      <c r="Q55" s="641">
        <f t="shared" si="195"/>
        <v>0.18090476190476101</v>
      </c>
      <c r="R55" s="641">
        <f t="shared" si="195"/>
        <v>0.52926562499999807</v>
      </c>
      <c r="S55" s="643">
        <f t="shared" si="195"/>
        <v>4.3436166666666658</v>
      </c>
      <c r="T55" s="644">
        <f t="shared" si="195"/>
        <v>0.30776562499999827</v>
      </c>
      <c r="U55" s="644">
        <f t="shared" si="195"/>
        <v>0.20923437499999897</v>
      </c>
      <c r="V55" s="645">
        <f t="shared" si="195"/>
        <v>0.48042187499999889</v>
      </c>
      <c r="W55" s="644">
        <f t="shared" si="195"/>
        <v>11.865918032786885</v>
      </c>
      <c r="X55" s="644">
        <f t="shared" si="195"/>
        <v>-0.87728124999999935</v>
      </c>
      <c r="Y55" s="644">
        <f t="shared" si="195"/>
        <v>-1.3732187500000017</v>
      </c>
      <c r="Z55" s="645">
        <f t="shared" si="195"/>
        <v>-0.57965624999999754</v>
      </c>
      <c r="AA55" s="644">
        <f t="shared" si="195"/>
        <v>6.0189193548387117</v>
      </c>
      <c r="AB55" s="644">
        <f t="shared" si="195"/>
        <v>-0.25368253968253818</v>
      </c>
      <c r="AC55" s="644">
        <f t="shared" si="195"/>
        <v>-0.4931562499999993</v>
      </c>
      <c r="AD55" s="645">
        <f t="shared" si="195"/>
        <v>-0.2235238095238099</v>
      </c>
      <c r="AE55" s="644">
        <f t="shared" si="195"/>
        <v>0.49621311475409802</v>
      </c>
      <c r="AF55" s="644">
        <f t="shared" si="195"/>
        <v>-0.43893749999999998</v>
      </c>
      <c r="AG55" s="644">
        <f t="shared" si="195"/>
        <v>-0.95798437499999922</v>
      </c>
      <c r="AH55" s="645">
        <f t="shared" si="195"/>
        <v>-0.3514999999999997</v>
      </c>
      <c r="AI55" s="644">
        <f t="shared" si="195"/>
        <v>0.30054838709677556</v>
      </c>
      <c r="AJ55" s="644">
        <f t="shared" si="195"/>
        <v>-0.38845312499999896</v>
      </c>
      <c r="AK55" s="644">
        <f t="shared" si="195"/>
        <v>-0.54298412698412557</v>
      </c>
      <c r="AL55" s="645">
        <f t="shared" si="171"/>
        <v>0.63106451612903358</v>
      </c>
      <c r="AM55" s="644">
        <f t="shared" si="171"/>
        <v>4.698950819672131</v>
      </c>
      <c r="AN55" s="644">
        <f t="shared" si="171"/>
        <v>-0.19166666666666643</v>
      </c>
      <c r="AO55" s="644">
        <f t="shared" si="171"/>
        <v>-0.30999999999999961</v>
      </c>
      <c r="AP55" s="645">
        <f t="shared" si="172"/>
        <v>0.25666666666666638</v>
      </c>
      <c r="AQ55" s="644">
        <f t="shared" ref="AQ55:AX55" si="196">IF(ISBLANK(AQ198),"",AQ198)</f>
        <v>1.637734667576852</v>
      </c>
      <c r="AR55" s="644">
        <f t="shared" si="196"/>
        <v>-0.69677150590554215</v>
      </c>
      <c r="AS55" s="644">
        <f t="shared" si="196"/>
        <v>-0.82532002718121711</v>
      </c>
      <c r="AT55" s="645">
        <f t="shared" si="196"/>
        <v>1.5445568651099078</v>
      </c>
      <c r="AU55" s="644">
        <f t="shared" si="196"/>
        <v>1.6691288195742207</v>
      </c>
      <c r="AV55" s="644">
        <f t="shared" si="196"/>
        <v>-0.704374459769459</v>
      </c>
      <c r="AW55" s="644">
        <f t="shared" si="196"/>
        <v>-0.83498911122825525</v>
      </c>
      <c r="AX55" s="645">
        <f t="shared" si="196"/>
        <v>1.5745847514234943</v>
      </c>
      <c r="AY55" s="1406">
        <f t="shared" si="193"/>
        <v>0</v>
      </c>
      <c r="AZ55" s="1406">
        <f t="shared" si="193"/>
        <v>0</v>
      </c>
      <c r="BA55" s="1406">
        <f t="shared" si="193"/>
        <v>0</v>
      </c>
      <c r="BB55" s="1407">
        <f t="shared" si="193"/>
        <v>0</v>
      </c>
      <c r="BC55" s="646"/>
      <c r="BD55" s="646"/>
      <c r="BE55" s="655">
        <f t="shared" si="178"/>
        <v>1.0279602210233767</v>
      </c>
      <c r="BF55" s="655">
        <f t="shared" si="179"/>
        <v>1.0265432167658739</v>
      </c>
      <c r="BG55" s="655">
        <f t="shared" si="180"/>
        <v>0.43101085069444367</v>
      </c>
      <c r="BH55" s="672">
        <f t="shared" si="181"/>
        <v>1.3352596354166657</v>
      </c>
      <c r="BI55" s="672">
        <f t="shared" si="182"/>
        <v>2.2589404456967217</v>
      </c>
      <c r="BJ55" s="672">
        <f t="shared" si="183"/>
        <v>1.2621391889080911</v>
      </c>
      <c r="BK55" s="672">
        <f t="shared" si="184"/>
        <v>-0.31305219006147522</v>
      </c>
      <c r="BL55" s="672">
        <f t="shared" si="185"/>
        <v>4.3912810421153914E-5</v>
      </c>
      <c r="BM55" s="672">
        <f t="shared" si="186"/>
        <v>1.113487704918033</v>
      </c>
      <c r="BN55" s="672">
        <f>AVERAGE(AQ55:AT55)</f>
        <v>0.41504999990000013</v>
      </c>
      <c r="BO55" s="672">
        <f>AVERAGE(AU55:AX55)</f>
        <v>0.42608750000000017</v>
      </c>
      <c r="BP55" s="672">
        <f t="shared" si="189"/>
        <v>0</v>
      </c>
      <c r="BQ55" s="637"/>
      <c r="BR55" s="638"/>
      <c r="BU55" s="609"/>
      <c r="BV55" s="608"/>
      <c r="BW55" s="608"/>
      <c r="BX55" s="608"/>
      <c r="BZ55" s="1695">
        <v>3</v>
      </c>
      <c r="CA55" s="1698" t="s">
        <v>149</v>
      </c>
      <c r="CB55" s="1700">
        <f>AVERAGE(CB47:$CR47)</f>
        <v>0.55294117647058827</v>
      </c>
      <c r="CC55" s="1700">
        <f>AVERAGE(CC47:$CR47)</f>
        <v>0.56562500000000004</v>
      </c>
      <c r="CD55" s="1700">
        <f>AVERAGE(CD47:$CR47)</f>
        <v>0.57999999999999996</v>
      </c>
      <c r="CE55" s="1700">
        <f>AVERAGE(CE47:$CR47)</f>
        <v>0.59642857142857153</v>
      </c>
      <c r="CF55" s="1700">
        <f>AVERAGE(CF47:$CR47)</f>
        <v>0.61538461538461542</v>
      </c>
      <c r="CG55" s="1700">
        <f>AVERAGE(CG47:$CR47)</f>
        <v>0.6333333333333333</v>
      </c>
      <c r="CH55" s="1700">
        <f>AVERAGE(CH47:$CR47)</f>
        <v>0.64999999999999991</v>
      </c>
      <c r="CI55" s="1700">
        <f>AVERAGE(CI47:$CR47)</f>
        <v>0.66499999999999992</v>
      </c>
      <c r="CJ55" s="1700">
        <f>AVERAGE(CJ47:$CR47)</f>
        <v>0.68333333333333324</v>
      </c>
      <c r="CK55" s="1700">
        <f>AVERAGE(CK47:$CR47)</f>
        <v>0.7</v>
      </c>
      <c r="CL55" s="1700">
        <f>AVERAGE(CL47:$CR47)</f>
        <v>0.7142857142857143</v>
      </c>
      <c r="CM55" s="1700">
        <f>AVERAGE(CM47:$CR47)</f>
        <v>0.72499999999999998</v>
      </c>
      <c r="CN55" s="1700">
        <f>AVERAGE(CN47:$CR47)</f>
        <v>0.74</v>
      </c>
      <c r="CO55" s="1700">
        <f>AVERAGE(CO47:$CR47)</f>
        <v>0.75</v>
      </c>
      <c r="CP55" s="1700">
        <f>AVERAGE(CP47:$CR47)</f>
        <v>0.75</v>
      </c>
      <c r="CQ55" s="1700">
        <f>AVERAGE(CQ47:$CR47)</f>
        <v>0.75</v>
      </c>
      <c r="CR55" s="1700">
        <f>AVERAGE(CR47:$CR47)</f>
        <v>0.75</v>
      </c>
      <c r="CS55" s="1700">
        <f>AVERAGE($CR47:CS47)</f>
        <v>0.75</v>
      </c>
      <c r="CT55" s="1700">
        <f>AVERAGE($CR47:CT47)</f>
        <v>0.76666666666666661</v>
      </c>
      <c r="CU55" s="1700">
        <f>AVERAGE($CR47:CU47)</f>
        <v>0.77499999999999991</v>
      </c>
      <c r="CV55" s="1700">
        <f>AVERAGE($CR47:CV47)</f>
        <v>0.77999999999999992</v>
      </c>
      <c r="CW55" s="1700">
        <f>AVERAGE($CR47:CW47)</f>
        <v>0.78333333333333321</v>
      </c>
      <c r="CX55" s="1700">
        <f>AVERAGE($CR47:CX47)</f>
        <v>0.78571428571428559</v>
      </c>
      <c r="CY55" s="1700">
        <f>AVERAGE($CR47:CY47)</f>
        <v>0.78749999999999987</v>
      </c>
      <c r="CZ55" s="1700">
        <f>AVERAGE($CR47:CZ47)</f>
        <v>0.78888888888888875</v>
      </c>
    </row>
    <row r="56" spans="1:104" ht="12.75" customHeight="1">
      <c r="A56" s="610"/>
      <c r="B56" s="611"/>
      <c r="C56" s="629" t="str">
        <f t="shared" si="194"/>
        <v>NY Zone J / Transco Z6</v>
      </c>
      <c r="D56" s="629" t="str">
        <f t="shared" si="194"/>
        <v/>
      </c>
      <c r="E56" s="629" t="str">
        <f t="shared" si="194"/>
        <v/>
      </c>
      <c r="F56" s="1461"/>
      <c r="G56" s="640">
        <f t="shared" si="170"/>
        <v>1.3604838709677409</v>
      </c>
      <c r="H56" s="641">
        <f t="shared" ref="H56:AK56" si="197">IF(ISBLANK(H199),"",H199)</f>
        <v>0.36958730158730102</v>
      </c>
      <c r="I56" s="641">
        <f t="shared" si="197"/>
        <v>0.37103124999999881</v>
      </c>
      <c r="J56" s="642">
        <f t="shared" si="197"/>
        <v>2.0107384615384656</v>
      </c>
      <c r="K56" s="640">
        <f t="shared" si="197"/>
        <v>2.7836406250000012</v>
      </c>
      <c r="L56" s="641">
        <f t="shared" si="197"/>
        <v>0.38664062500000007</v>
      </c>
      <c r="M56" s="641">
        <f t="shared" si="197"/>
        <v>0.58382812500000192</v>
      </c>
      <c r="N56" s="642">
        <f t="shared" si="197"/>
        <v>0.35206349206349286</v>
      </c>
      <c r="O56" s="640">
        <f t="shared" si="197"/>
        <v>0.80777777777777793</v>
      </c>
      <c r="P56" s="641">
        <f t="shared" si="197"/>
        <v>0.20609523809523767</v>
      </c>
      <c r="Q56" s="641">
        <f t="shared" si="197"/>
        <v>0.18090476190476101</v>
      </c>
      <c r="R56" s="641">
        <f t="shared" si="197"/>
        <v>0.52926562499999807</v>
      </c>
      <c r="S56" s="643">
        <f t="shared" si="197"/>
        <v>4.3436166666666658</v>
      </c>
      <c r="T56" s="644">
        <f t="shared" si="197"/>
        <v>0.30776562499999827</v>
      </c>
      <c r="U56" s="644">
        <f t="shared" si="197"/>
        <v>0.20923437499999897</v>
      </c>
      <c r="V56" s="645">
        <f t="shared" si="197"/>
        <v>0.48042187499999889</v>
      </c>
      <c r="W56" s="644">
        <f t="shared" si="197"/>
        <v>11.865918032786885</v>
      </c>
      <c r="X56" s="644">
        <f t="shared" si="197"/>
        <v>-0.87728124999999935</v>
      </c>
      <c r="Y56" s="644">
        <f t="shared" si="197"/>
        <v>-1.3732187500000017</v>
      </c>
      <c r="Z56" s="645">
        <f t="shared" si="197"/>
        <v>-0.57965624999999754</v>
      </c>
      <c r="AA56" s="644">
        <f t="shared" si="197"/>
        <v>6.0189193548387117</v>
      </c>
      <c r="AB56" s="644">
        <f t="shared" si="197"/>
        <v>-0.25368253968253818</v>
      </c>
      <c r="AC56" s="644">
        <f t="shared" si="197"/>
        <v>-0.4931562499999993</v>
      </c>
      <c r="AD56" s="645">
        <f t="shared" si="197"/>
        <v>-0.2235238095238099</v>
      </c>
      <c r="AE56" s="644">
        <f t="shared" si="197"/>
        <v>0.49621311475409802</v>
      </c>
      <c r="AF56" s="644">
        <f t="shared" si="197"/>
        <v>-0.43893749999999998</v>
      </c>
      <c r="AG56" s="644">
        <f t="shared" si="197"/>
        <v>-0.95798437499999922</v>
      </c>
      <c r="AH56" s="645">
        <f t="shared" si="197"/>
        <v>-0.3514999999999997</v>
      </c>
      <c r="AI56" s="644">
        <f t="shared" si="197"/>
        <v>0.30054838709677556</v>
      </c>
      <c r="AJ56" s="644">
        <f t="shared" si="197"/>
        <v>-0.38845312499999896</v>
      </c>
      <c r="AK56" s="644">
        <f t="shared" si="197"/>
        <v>-0.54298412698412557</v>
      </c>
      <c r="AL56" s="645">
        <f t="shared" si="171"/>
        <v>0.63106451612903358</v>
      </c>
      <c r="AM56" s="644">
        <f t="shared" si="171"/>
        <v>4.698950819672131</v>
      </c>
      <c r="AN56" s="644">
        <f t="shared" si="171"/>
        <v>-0.19166666666666643</v>
      </c>
      <c r="AO56" s="644">
        <f t="shared" si="171"/>
        <v>-0.30999999999999961</v>
      </c>
      <c r="AP56" s="645">
        <f t="shared" si="172"/>
        <v>0.25666666666666638</v>
      </c>
      <c r="AQ56" s="644">
        <f t="shared" ref="AQ56:AX56" si="198">IF(ISBLANK(AQ199),"",AQ199)</f>
        <v>1.637734667576852</v>
      </c>
      <c r="AR56" s="644">
        <f t="shared" si="198"/>
        <v>-0.69677150590554215</v>
      </c>
      <c r="AS56" s="644">
        <f t="shared" si="198"/>
        <v>-0.82532002718121711</v>
      </c>
      <c r="AT56" s="645">
        <f t="shared" si="198"/>
        <v>1.5445568651099078</v>
      </c>
      <c r="AU56" s="644">
        <f t="shared" si="198"/>
        <v>1.6691288195742207</v>
      </c>
      <c r="AV56" s="644">
        <f t="shared" si="198"/>
        <v>-0.704374459769459</v>
      </c>
      <c r="AW56" s="644">
        <f t="shared" si="198"/>
        <v>-0.83498911122825525</v>
      </c>
      <c r="AX56" s="645">
        <f t="shared" si="198"/>
        <v>1.5745847514234943</v>
      </c>
      <c r="AY56" s="644">
        <f t="shared" ref="AY56:BB56" si="199">IF(ISBLANK(AY199),"",AY199)</f>
        <v>1.7632770950378909</v>
      </c>
      <c r="AZ56" s="644">
        <f t="shared" si="199"/>
        <v>-0.69298925565485447</v>
      </c>
      <c r="BA56" s="644">
        <f t="shared" si="199"/>
        <v>-0.82743500086795607</v>
      </c>
      <c r="BB56" s="645">
        <f t="shared" si="199"/>
        <v>1.6671304946849221</v>
      </c>
      <c r="BC56" s="646"/>
      <c r="BD56" s="646"/>
      <c r="BE56" s="655">
        <f t="shared" si="178"/>
        <v>1.0279602210233767</v>
      </c>
      <c r="BF56" s="655">
        <f t="shared" si="179"/>
        <v>1.0265432167658739</v>
      </c>
      <c r="BG56" s="655">
        <f t="shared" si="180"/>
        <v>0.43101085069444367</v>
      </c>
      <c r="BH56" s="672">
        <f t="shared" si="181"/>
        <v>1.3352596354166657</v>
      </c>
      <c r="BI56" s="672">
        <f t="shared" si="182"/>
        <v>2.2589404456967217</v>
      </c>
      <c r="BJ56" s="672">
        <f t="shared" si="183"/>
        <v>1.2621391889080911</v>
      </c>
      <c r="BK56" s="672">
        <f t="shared" si="184"/>
        <v>-0.31305219006147522</v>
      </c>
      <c r="BL56" s="672">
        <f t="shared" si="185"/>
        <v>4.3912810421153914E-5</v>
      </c>
      <c r="BM56" s="672">
        <f t="shared" si="186"/>
        <v>1.113487704918033</v>
      </c>
      <c r="BN56" s="672">
        <f t="shared" si="187"/>
        <v>0.41504999990000013</v>
      </c>
      <c r="BO56" s="672">
        <f t="shared" si="188"/>
        <v>0.42608750000000017</v>
      </c>
      <c r="BP56" s="672">
        <f t="shared" si="189"/>
        <v>0.47749583330000062</v>
      </c>
      <c r="BQ56" s="637"/>
      <c r="BR56" s="638"/>
      <c r="BU56" s="609"/>
      <c r="BV56" s="608"/>
      <c r="BW56" s="608"/>
      <c r="BX56" s="608"/>
      <c r="BZ56" s="1695">
        <v>4</v>
      </c>
      <c r="CA56" s="1698" t="s">
        <v>23</v>
      </c>
      <c r="CB56" s="1700">
        <f>AVERAGE(CB48:$CR48)</f>
        <v>0.27941176470588236</v>
      </c>
      <c r="CC56" s="1700">
        <f>AVERAGE(CC48:$CR48)</f>
        <v>0.28437499999999999</v>
      </c>
      <c r="CD56" s="1700">
        <f>AVERAGE(CD48:$CR48)</f>
        <v>0.28999999999999998</v>
      </c>
      <c r="CE56" s="1700">
        <f>AVERAGE(CE48:$CR48)</f>
        <v>0.29642857142857143</v>
      </c>
      <c r="CF56" s="1700">
        <f>AVERAGE(CF48:$CR48)</f>
        <v>0.30384615384615388</v>
      </c>
      <c r="CG56" s="1700">
        <f>AVERAGE(CG48:$CR48)</f>
        <v>0.31250000000000006</v>
      </c>
      <c r="CH56" s="1700">
        <f>AVERAGE(CH48:$CR48)</f>
        <v>0.32272727272727275</v>
      </c>
      <c r="CI56" s="1700">
        <f>AVERAGE(CI48:$CR48)</f>
        <v>0.33500000000000002</v>
      </c>
      <c r="CJ56" s="1700">
        <f>AVERAGE(CJ48:$CR48)</f>
        <v>0.35000000000000003</v>
      </c>
      <c r="CK56" s="1700">
        <f>AVERAGE(CK48:$CR48)</f>
        <v>0.36250000000000004</v>
      </c>
      <c r="CL56" s="1700">
        <f>AVERAGE(CL48:$CR48)</f>
        <v>0.37857142857142861</v>
      </c>
      <c r="CM56" s="1700">
        <f>AVERAGE(CM48:$CR48)</f>
        <v>0.39999999999999997</v>
      </c>
      <c r="CN56" s="1700">
        <f>AVERAGE(CN48:$CR48)</f>
        <v>0.41</v>
      </c>
      <c r="CO56" s="1700">
        <f>AVERAGE(CO48:$CR48)</f>
        <v>0.42499999999999999</v>
      </c>
      <c r="CP56" s="1700">
        <f>AVERAGE(CP48:$CR48)</f>
        <v>0.43333333333333335</v>
      </c>
      <c r="CQ56" s="1700">
        <f>AVERAGE(CQ48:$CR48)</f>
        <v>0.45</v>
      </c>
      <c r="CR56" s="1700">
        <f>AVERAGE(CR48:$CR48)</f>
        <v>0.45</v>
      </c>
      <c r="CS56" s="1700">
        <f>AVERAGE($CR48:CS48)</f>
        <v>0.47499999999999998</v>
      </c>
      <c r="CT56" s="1700">
        <f>AVERAGE($CR48:CT48)</f>
        <v>0.48333333333333334</v>
      </c>
      <c r="CU56" s="1700">
        <f>AVERAGE($CR48:CU48)</f>
        <v>0.48749999999999999</v>
      </c>
      <c r="CV56" s="1700">
        <f>AVERAGE($CR48:CV48)</f>
        <v>0.49000000000000005</v>
      </c>
      <c r="CW56" s="1700">
        <f>AVERAGE($CR48:CW48)</f>
        <v>0.5</v>
      </c>
      <c r="CX56" s="1700">
        <f>AVERAGE($CR48:CX48)</f>
        <v>0.50714285714285712</v>
      </c>
      <c r="CY56" s="1700">
        <f>AVERAGE($CR48:CY48)</f>
        <v>0.51249999999999996</v>
      </c>
      <c r="CZ56" s="1700">
        <f>AVERAGE($CR48:CZ48)</f>
        <v>0.51666666666666661</v>
      </c>
    </row>
    <row r="57" spans="1:104" ht="12.75" customHeight="1">
      <c r="A57" s="610"/>
      <c r="B57" s="611"/>
      <c r="C57" s="678" t="str">
        <f t="shared" si="194"/>
        <v>PJM West / Tetco M3</v>
      </c>
      <c r="D57" s="675" t="str">
        <f t="shared" si="194"/>
        <v/>
      </c>
      <c r="E57" s="675" t="str">
        <f t="shared" si="194"/>
        <v/>
      </c>
      <c r="F57" s="1469"/>
      <c r="G57" s="640">
        <f t="shared" si="170"/>
        <v>0.89172580645161226</v>
      </c>
      <c r="H57" s="641">
        <f t="shared" ref="H57:AH57" si="200">IF(ISBLANK(H200),"",H200)</f>
        <v>0.34730158730158944</v>
      </c>
      <c r="I57" s="641">
        <f t="shared" si="200"/>
        <v>0.35659375000000004</v>
      </c>
      <c r="J57" s="642">
        <f t="shared" si="200"/>
        <v>1.4691538461538483</v>
      </c>
      <c r="K57" s="640">
        <f t="shared" si="200"/>
        <v>1.7646250000000014</v>
      </c>
      <c r="L57" s="641">
        <f t="shared" si="200"/>
        <v>0.28798437500000063</v>
      </c>
      <c r="M57" s="641">
        <f t="shared" si="200"/>
        <v>0.25414062500000068</v>
      </c>
      <c r="N57" s="642">
        <f t="shared" si="200"/>
        <v>0.24365079365079412</v>
      </c>
      <c r="O57" s="640">
        <f t="shared" si="200"/>
        <v>0.31452380952380965</v>
      </c>
      <c r="P57" s="641">
        <f t="shared" si="200"/>
        <v>0.1599206349206348</v>
      </c>
      <c r="Q57" s="641">
        <f t="shared" si="200"/>
        <v>0.16882539682539655</v>
      </c>
      <c r="R57" s="641">
        <f t="shared" si="200"/>
        <v>0.26892187499999887</v>
      </c>
      <c r="S57" s="643">
        <f t="shared" si="200"/>
        <v>0.819599999999999</v>
      </c>
      <c r="T57" s="644">
        <f t="shared" si="200"/>
        <v>0.11882812499999851</v>
      </c>
      <c r="U57" s="644">
        <f t="shared" si="200"/>
        <v>-1.3265625000001169E-2</v>
      </c>
      <c r="V57" s="645">
        <f t="shared" si="200"/>
        <v>0.14118750000000091</v>
      </c>
      <c r="W57" s="644">
        <f t="shared" si="200"/>
        <v>7.5181639344262283</v>
      </c>
      <c r="X57" s="644">
        <f t="shared" si="200"/>
        <v>-0.89420312500000065</v>
      </c>
      <c r="Y57" s="644">
        <f t="shared" si="200"/>
        <v>-1.4395156250000012</v>
      </c>
      <c r="Z57" s="645">
        <f t="shared" si="200"/>
        <v>-1.017578125</v>
      </c>
      <c r="AA57" s="644">
        <f t="shared" si="200"/>
        <v>3.554258064516127</v>
      </c>
      <c r="AB57" s="644">
        <f t="shared" si="200"/>
        <v>-1.1179206349206339</v>
      </c>
      <c r="AC57" s="644">
        <f t="shared" si="200"/>
        <v>-1.3916093749999998</v>
      </c>
      <c r="AD57" s="645">
        <f t="shared" si="200"/>
        <v>-0.84366666666666723</v>
      </c>
      <c r="AE57" s="644">
        <f t="shared" si="200"/>
        <v>-0.15401639344262286</v>
      </c>
      <c r="AF57" s="644">
        <f t="shared" si="200"/>
        <v>-0.55339062499999958</v>
      </c>
      <c r="AG57" s="644">
        <f t="shared" si="200"/>
        <v>-1.5273593749999999</v>
      </c>
      <c r="AH57" s="645">
        <f t="shared" si="200"/>
        <v>-0.79788709677419334</v>
      </c>
      <c r="AI57" s="644">
        <f t="shared" ref="AI57:AL59" si="201">IF(ISBLANK(AI200),"",AI200)</f>
        <v>-1.6838709677418517E-2</v>
      </c>
      <c r="AJ57" s="644">
        <f t="shared" si="201"/>
        <v>-0.56160937500000019</v>
      </c>
      <c r="AK57" s="644">
        <f t="shared" si="201"/>
        <v>-1.2109841269841268</v>
      </c>
      <c r="AL57" s="645">
        <f t="shared" si="201"/>
        <v>-0.13975806451612982</v>
      </c>
      <c r="AM57" s="644">
        <f t="shared" ref="AM57:AX57" si="202">IF(ISBLANK(AM200),"",AM200)</f>
        <v>3.4441967213114757</v>
      </c>
      <c r="AN57" s="644">
        <f t="shared" si="202"/>
        <v>-0.46333333333333293</v>
      </c>
      <c r="AO57" s="644">
        <f t="shared" si="202"/>
        <v>-0.59499999999999975</v>
      </c>
      <c r="AP57" s="645">
        <f t="shared" si="202"/>
        <v>-0.21666666666666679</v>
      </c>
      <c r="AQ57" s="644">
        <f t="shared" si="202"/>
        <v>0.74457975965344758</v>
      </c>
      <c r="AR57" s="644">
        <f t="shared" si="202"/>
        <v>-0.76430483819771866</v>
      </c>
      <c r="AS57" s="644">
        <f t="shared" si="202"/>
        <v>-0.78296558457066712</v>
      </c>
      <c r="AT57" s="645">
        <f t="shared" si="202"/>
        <v>0.8235214539149398</v>
      </c>
      <c r="AU57" s="644">
        <f t="shared" si="202"/>
        <v>0.64485745238273218</v>
      </c>
      <c r="AV57" s="644">
        <f t="shared" si="202"/>
        <v>-0.82982612063011629</v>
      </c>
      <c r="AW57" s="644">
        <f t="shared" si="202"/>
        <v>-0.84922019602346377</v>
      </c>
      <c r="AX57" s="645">
        <f t="shared" si="202"/>
        <v>0.71921711267084909</v>
      </c>
      <c r="AY57" s="1406">
        <f t="shared" ref="AY57:BB59" si="203">IF(ISBLANK(AY200),"",IF(Uplift="Yes",$BX$58,AY200))</f>
        <v>-1</v>
      </c>
      <c r="AZ57" s="1406">
        <f t="shared" si="203"/>
        <v>-1</v>
      </c>
      <c r="BA57" s="1406">
        <f t="shared" si="203"/>
        <v>-1</v>
      </c>
      <c r="BB57" s="1407">
        <f t="shared" si="203"/>
        <v>-1</v>
      </c>
      <c r="BC57" s="646"/>
      <c r="BD57" s="646"/>
      <c r="BE57" s="655">
        <f t="shared" si="178"/>
        <v>0.7661937474767625</v>
      </c>
      <c r="BF57" s="655">
        <f t="shared" si="179"/>
        <v>0.63760019841269922</v>
      </c>
      <c r="BG57" s="655">
        <f t="shared" si="180"/>
        <v>0.22804792906745996</v>
      </c>
      <c r="BH57" s="672">
        <f t="shared" si="181"/>
        <v>0.26658749999999931</v>
      </c>
      <c r="BI57" s="672">
        <f t="shared" si="182"/>
        <v>1.0417167648565566</v>
      </c>
      <c r="BJ57" s="672">
        <f t="shared" si="183"/>
        <v>5.0265346982206582E-2</v>
      </c>
      <c r="BK57" s="672">
        <f t="shared" si="184"/>
        <v>-0.75816337255420385</v>
      </c>
      <c r="BL57" s="672">
        <f t="shared" si="185"/>
        <v>-0.48229756904441884</v>
      </c>
      <c r="BM57" s="672">
        <f t="shared" si="186"/>
        <v>0.54229918032786906</v>
      </c>
      <c r="BN57" s="672">
        <f t="shared" si="187"/>
        <v>5.2076977000004021E-3</v>
      </c>
      <c r="BO57" s="672">
        <f t="shared" si="188"/>
        <v>-7.8742937899999699E-2</v>
      </c>
      <c r="BP57" s="672">
        <f t="shared" si="189"/>
        <v>-1</v>
      </c>
      <c r="BQ57" s="637"/>
      <c r="BR57" s="638"/>
      <c r="BU57" s="609"/>
      <c r="BV57" s="1450" t="s">
        <v>696</v>
      </c>
      <c r="BW57" s="608"/>
      <c r="BX57" s="608"/>
      <c r="BZ57" s="1695">
        <v>5</v>
      </c>
      <c r="CA57" s="1698" t="s">
        <v>402</v>
      </c>
      <c r="CB57" s="1700">
        <f>AVERAGE(CB49:$CR49)</f>
        <v>0.27941176470588236</v>
      </c>
      <c r="CC57" s="1700">
        <f>AVERAGE(CC49:$CR49)</f>
        <v>0.28437499999999999</v>
      </c>
      <c r="CD57" s="1700">
        <f>AVERAGE(CD49:$CR49)</f>
        <v>0.28999999999999998</v>
      </c>
      <c r="CE57" s="1700">
        <f>AVERAGE(CE49:$CR49)</f>
        <v>0.29642857142857143</v>
      </c>
      <c r="CF57" s="1700">
        <f>AVERAGE(CF49:$CR49)</f>
        <v>0.30384615384615388</v>
      </c>
      <c r="CG57" s="1700">
        <f>AVERAGE(CG49:$CR49)</f>
        <v>0.31250000000000006</v>
      </c>
      <c r="CH57" s="1700">
        <f>AVERAGE(CH49:$CR49)</f>
        <v>0.32272727272727275</v>
      </c>
      <c r="CI57" s="1700">
        <f>AVERAGE(CI49:$CR49)</f>
        <v>0.33500000000000002</v>
      </c>
      <c r="CJ57" s="1700">
        <f>AVERAGE(CJ49:$CR49)</f>
        <v>0.35000000000000003</v>
      </c>
      <c r="CK57" s="1700">
        <f>AVERAGE(CK49:$CR49)</f>
        <v>0.36250000000000004</v>
      </c>
      <c r="CL57" s="1700">
        <f>AVERAGE(CL49:$CR49)</f>
        <v>0.37857142857142861</v>
      </c>
      <c r="CM57" s="1700">
        <f>AVERAGE(CM49:$CR49)</f>
        <v>0.39999999999999997</v>
      </c>
      <c r="CN57" s="1700">
        <f>AVERAGE(CN49:$CR49)</f>
        <v>0.41</v>
      </c>
      <c r="CO57" s="1700">
        <f>AVERAGE(CO49:$CR49)</f>
        <v>0.42499999999999999</v>
      </c>
      <c r="CP57" s="1700">
        <f>AVERAGE(CP49:$CR49)</f>
        <v>0.43333333333333335</v>
      </c>
      <c r="CQ57" s="1700">
        <f>AVERAGE(CQ49:$CR49)</f>
        <v>0.45</v>
      </c>
      <c r="CR57" s="1700">
        <f>AVERAGE(CR49:$CR49)</f>
        <v>0.45</v>
      </c>
      <c r="CS57" s="1700">
        <f>AVERAGE($CR49:CS49)</f>
        <v>0.47499999999999998</v>
      </c>
      <c r="CT57" s="1700">
        <f>AVERAGE($CR49:CT49)</f>
        <v>0.48333333333333334</v>
      </c>
      <c r="CU57" s="1700">
        <f>AVERAGE($CR49:CU49)</f>
        <v>0.48749999999999999</v>
      </c>
      <c r="CV57" s="1700">
        <f>AVERAGE($CR49:CV49)</f>
        <v>0.49000000000000005</v>
      </c>
      <c r="CW57" s="1700">
        <f>AVERAGE($CR49:CW49)</f>
        <v>0.5</v>
      </c>
      <c r="CX57" s="1700">
        <f>AVERAGE($CR49:CX49)</f>
        <v>0.50714285714285712</v>
      </c>
      <c r="CY57" s="1700">
        <f>AVERAGE($CR49:CY49)</f>
        <v>0.51249999999999996</v>
      </c>
      <c r="CZ57" s="1700">
        <f>AVERAGE($CR49:CZ49)</f>
        <v>0.51666666666666661</v>
      </c>
    </row>
    <row r="58" spans="1:104" ht="12.75" customHeight="1">
      <c r="A58" s="610"/>
      <c r="B58" s="611"/>
      <c r="C58" s="678" t="str">
        <f t="shared" si="194"/>
        <v>PJM East / Tetco M3</v>
      </c>
      <c r="D58" s="675" t="str">
        <f t="shared" si="194"/>
        <v/>
      </c>
      <c r="E58" s="675" t="str">
        <f t="shared" si="194"/>
        <v/>
      </c>
      <c r="F58" s="1469"/>
      <c r="G58" s="640">
        <f t="shared" si="170"/>
        <v>0.89172580645161226</v>
      </c>
      <c r="H58" s="641">
        <f t="shared" ref="H58:AH58" si="204">IF(ISBLANK(H201),"",H201)</f>
        <v>0.34730158730158944</v>
      </c>
      <c r="I58" s="641">
        <f t="shared" si="204"/>
        <v>0.35659375000000004</v>
      </c>
      <c r="J58" s="642">
        <f t="shared" si="204"/>
        <v>1.4691538461538483</v>
      </c>
      <c r="K58" s="640">
        <f t="shared" si="204"/>
        <v>1.7646250000000014</v>
      </c>
      <c r="L58" s="641">
        <f t="shared" si="204"/>
        <v>0.28798437500000063</v>
      </c>
      <c r="M58" s="641">
        <f t="shared" si="204"/>
        <v>0.25414062500000068</v>
      </c>
      <c r="N58" s="642">
        <f t="shared" si="204"/>
        <v>0.24365079365079412</v>
      </c>
      <c r="O58" s="640">
        <f t="shared" si="204"/>
        <v>0.31452380952380965</v>
      </c>
      <c r="P58" s="641">
        <f t="shared" si="204"/>
        <v>0.1599206349206348</v>
      </c>
      <c r="Q58" s="641">
        <f t="shared" si="204"/>
        <v>0.16882539682539655</v>
      </c>
      <c r="R58" s="641">
        <f t="shared" si="204"/>
        <v>0.26892187499999887</v>
      </c>
      <c r="S58" s="643">
        <f t="shared" si="204"/>
        <v>0.819599999999999</v>
      </c>
      <c r="T58" s="644">
        <f t="shared" si="204"/>
        <v>0.11882812499999851</v>
      </c>
      <c r="U58" s="644">
        <f t="shared" si="204"/>
        <v>-1.3265625000001169E-2</v>
      </c>
      <c r="V58" s="645">
        <f t="shared" si="204"/>
        <v>0.14118750000000091</v>
      </c>
      <c r="W58" s="644">
        <f t="shared" si="204"/>
        <v>7.5181639344262283</v>
      </c>
      <c r="X58" s="644">
        <f t="shared" si="204"/>
        <v>-0.89420312500000065</v>
      </c>
      <c r="Y58" s="644">
        <f t="shared" si="204"/>
        <v>-1.4395156250000012</v>
      </c>
      <c r="Z58" s="645">
        <f t="shared" si="204"/>
        <v>-1.017578125</v>
      </c>
      <c r="AA58" s="644">
        <f t="shared" si="204"/>
        <v>3.554258064516127</v>
      </c>
      <c r="AB58" s="644">
        <f t="shared" si="204"/>
        <v>-1.1179206349206339</v>
      </c>
      <c r="AC58" s="644">
        <f t="shared" si="204"/>
        <v>-1.3916093749999998</v>
      </c>
      <c r="AD58" s="645">
        <f t="shared" si="204"/>
        <v>-0.84366666666666723</v>
      </c>
      <c r="AE58" s="644">
        <f t="shared" si="204"/>
        <v>-0.15401639344262286</v>
      </c>
      <c r="AF58" s="644">
        <f t="shared" si="204"/>
        <v>-0.55339062499999958</v>
      </c>
      <c r="AG58" s="644">
        <f t="shared" si="204"/>
        <v>-1.5273593749999999</v>
      </c>
      <c r="AH58" s="645">
        <f t="shared" si="204"/>
        <v>-0.79788709677419334</v>
      </c>
      <c r="AI58" s="644">
        <f t="shared" si="201"/>
        <v>-1.6838709677418517E-2</v>
      </c>
      <c r="AJ58" s="644">
        <f t="shared" si="201"/>
        <v>-0.56160937500000019</v>
      </c>
      <c r="AK58" s="644">
        <f t="shared" si="201"/>
        <v>-1.2109841269841268</v>
      </c>
      <c r="AL58" s="645">
        <f t="shared" si="201"/>
        <v>-0.13975806451612982</v>
      </c>
      <c r="AM58" s="644">
        <f t="shared" ref="AM58:AX58" si="205">IF(ISBLANK(AM201),"",AM201)</f>
        <v>3.4441967213114757</v>
      </c>
      <c r="AN58" s="644">
        <f t="shared" si="205"/>
        <v>-0.46333333333333293</v>
      </c>
      <c r="AO58" s="644">
        <f t="shared" si="205"/>
        <v>-0.59499999999999975</v>
      </c>
      <c r="AP58" s="645">
        <f t="shared" si="205"/>
        <v>-0.21666666666666679</v>
      </c>
      <c r="AQ58" s="644">
        <f t="shared" si="205"/>
        <v>0.74457975965344758</v>
      </c>
      <c r="AR58" s="644">
        <f t="shared" si="205"/>
        <v>-0.76430483819771866</v>
      </c>
      <c r="AS58" s="644">
        <f t="shared" si="205"/>
        <v>-0.78296558457066712</v>
      </c>
      <c r="AT58" s="645">
        <f t="shared" si="205"/>
        <v>0.8235214539149398</v>
      </c>
      <c r="AU58" s="644">
        <f t="shared" si="205"/>
        <v>0.64485745238273218</v>
      </c>
      <c r="AV58" s="644">
        <f t="shared" si="205"/>
        <v>-0.82982612063011629</v>
      </c>
      <c r="AW58" s="644">
        <f t="shared" si="205"/>
        <v>-0.84922019602346377</v>
      </c>
      <c r="AX58" s="645">
        <f t="shared" si="205"/>
        <v>0.71921711267084909</v>
      </c>
      <c r="AY58" s="1406">
        <f t="shared" si="203"/>
        <v>-1</v>
      </c>
      <c r="AZ58" s="1406">
        <f t="shared" si="203"/>
        <v>-1</v>
      </c>
      <c r="BA58" s="1406">
        <f t="shared" si="203"/>
        <v>-1</v>
      </c>
      <c r="BB58" s="1407">
        <f t="shared" si="203"/>
        <v>-1</v>
      </c>
      <c r="BC58" s="646"/>
      <c r="BD58" s="646"/>
      <c r="BE58" s="655">
        <f t="shared" si="178"/>
        <v>0.7661937474767625</v>
      </c>
      <c r="BF58" s="655">
        <f t="shared" si="179"/>
        <v>0.63760019841269922</v>
      </c>
      <c r="BG58" s="655">
        <f t="shared" si="180"/>
        <v>0.22804792906745996</v>
      </c>
      <c r="BH58" s="672">
        <f t="shared" si="181"/>
        <v>0.26658749999999931</v>
      </c>
      <c r="BI58" s="672">
        <f t="shared" si="182"/>
        <v>1.0417167648565566</v>
      </c>
      <c r="BJ58" s="672">
        <f t="shared" si="183"/>
        <v>5.0265346982206582E-2</v>
      </c>
      <c r="BK58" s="672">
        <f t="shared" si="184"/>
        <v>-0.75816337255420385</v>
      </c>
      <c r="BL58" s="672">
        <f t="shared" si="185"/>
        <v>-0.48229756904441884</v>
      </c>
      <c r="BM58" s="672">
        <f t="shared" si="186"/>
        <v>0.54229918032786906</v>
      </c>
      <c r="BN58" s="672">
        <f t="shared" si="187"/>
        <v>5.2076977000004021E-3</v>
      </c>
      <c r="BO58" s="672">
        <f t="shared" si="188"/>
        <v>-7.8742937899999699E-2</v>
      </c>
      <c r="BP58" s="672">
        <f t="shared" si="189"/>
        <v>-1</v>
      </c>
      <c r="BQ58" s="637"/>
      <c r="BR58" s="638"/>
      <c r="BU58" s="609"/>
      <c r="BV58" s="1467" t="s">
        <v>697</v>
      </c>
      <c r="BW58" s="658"/>
      <c r="BX58" s="1468">
        <v>-1</v>
      </c>
      <c r="BY58" s="1468"/>
      <c r="BZ58" s="1695">
        <v>6</v>
      </c>
      <c r="CA58" s="1698" t="s">
        <v>62</v>
      </c>
      <c r="CB58" s="1700">
        <f>AVERAGE(CB50:$CR50)</f>
        <v>0.26470588235294118</v>
      </c>
      <c r="CC58" s="1700">
        <f>AVERAGE(CC50:$CR50)</f>
        <v>0.26874999999999999</v>
      </c>
      <c r="CD58" s="1700">
        <f>AVERAGE(CD50:$CR50)</f>
        <v>0.27333333333333332</v>
      </c>
      <c r="CE58" s="1700">
        <f>AVERAGE(CE50:$CR50)</f>
        <v>0.27857142857142858</v>
      </c>
      <c r="CF58" s="1700">
        <f>AVERAGE(CF50:$CR50)</f>
        <v>0.2846153846153846</v>
      </c>
      <c r="CG58" s="1700">
        <f>AVERAGE(CG50:$CR50)</f>
        <v>0.29166666666666669</v>
      </c>
      <c r="CH58" s="1700">
        <f>AVERAGE(CH50:$CR50)</f>
        <v>0.3</v>
      </c>
      <c r="CI58" s="1700">
        <f>AVERAGE(CI50:$CR50)</f>
        <v>0.31</v>
      </c>
      <c r="CJ58" s="1700">
        <f>AVERAGE(CJ50:$CR50)</f>
        <v>0.32222222222222219</v>
      </c>
      <c r="CK58" s="1700">
        <f>AVERAGE(CK50:$CR50)</f>
        <v>0.33124999999999999</v>
      </c>
      <c r="CL58" s="1700">
        <f>AVERAGE(CL50:$CR50)</f>
        <v>0.34285714285714286</v>
      </c>
      <c r="CM58" s="1700">
        <f>AVERAGE(CM50:$CR50)</f>
        <v>0.34999999999999992</v>
      </c>
      <c r="CN58" s="1700">
        <f>AVERAGE(CN50:$CR50)</f>
        <v>0.36</v>
      </c>
      <c r="CO58" s="1700">
        <f>AVERAGE(CO50:$CR50)</f>
        <v>0.375</v>
      </c>
      <c r="CP58" s="1700">
        <f>AVERAGE(CP50:$CR50)</f>
        <v>0.3833333333333333</v>
      </c>
      <c r="CQ58" s="1700">
        <f>AVERAGE(CQ50:$CR50)</f>
        <v>0.4</v>
      </c>
      <c r="CR58" s="1700">
        <f>AVERAGE(CR50:$CR50)</f>
        <v>0.4</v>
      </c>
      <c r="CS58" s="1700">
        <f>AVERAGE($CR50:CS50)</f>
        <v>0.4</v>
      </c>
      <c r="CT58" s="1700">
        <f>AVERAGE($CR50:CT50)</f>
        <v>0.41666666666666669</v>
      </c>
      <c r="CU58" s="1700">
        <f>AVERAGE($CR50:CU50)</f>
        <v>0.4375</v>
      </c>
      <c r="CV58" s="1700">
        <f>AVERAGE($CR50:CV50)</f>
        <v>0.45</v>
      </c>
      <c r="CW58" s="1700">
        <f>AVERAGE($CR50:CW50)</f>
        <v>0.45833333333333331</v>
      </c>
      <c r="CX58" s="1700">
        <f>AVERAGE($CR50:CX50)</f>
        <v>0.4642857142857143</v>
      </c>
      <c r="CY58" s="1700">
        <f>AVERAGE($CR50:CY50)</f>
        <v>0.46875</v>
      </c>
      <c r="CZ58" s="1700">
        <f>AVERAGE($CR50:CZ50)</f>
        <v>0.47222222222222221</v>
      </c>
    </row>
    <row r="59" spans="1:104" ht="12.75" customHeight="1">
      <c r="A59" s="610"/>
      <c r="B59" s="611"/>
      <c r="C59" s="1492" t="s">
        <v>430</v>
      </c>
      <c r="D59" s="629" t="str">
        <f t="shared" si="194"/>
        <v/>
      </c>
      <c r="E59" s="629" t="str">
        <f t="shared" si="194"/>
        <v/>
      </c>
      <c r="F59" s="1461"/>
      <c r="G59" s="640">
        <f t="shared" si="170"/>
        <v>0.89172580645161226</v>
      </c>
      <c r="H59" s="641">
        <f t="shared" ref="H59:AH59" si="206">IF(ISBLANK(H202),"",H202)</f>
        <v>0.34730158730158944</v>
      </c>
      <c r="I59" s="641">
        <f t="shared" si="206"/>
        <v>0.35659375000000004</v>
      </c>
      <c r="J59" s="642">
        <f t="shared" si="206"/>
        <v>1.4691538461538483</v>
      </c>
      <c r="K59" s="640">
        <f t="shared" si="206"/>
        <v>1.7646250000000014</v>
      </c>
      <c r="L59" s="641">
        <f t="shared" si="206"/>
        <v>0.28798437500000063</v>
      </c>
      <c r="M59" s="641">
        <f t="shared" si="206"/>
        <v>0.25414062500000068</v>
      </c>
      <c r="N59" s="642">
        <f t="shared" si="206"/>
        <v>0.24365079365079412</v>
      </c>
      <c r="O59" s="640">
        <f t="shared" si="206"/>
        <v>0.31452380952380965</v>
      </c>
      <c r="P59" s="641">
        <f t="shared" si="206"/>
        <v>0.1599206349206348</v>
      </c>
      <c r="Q59" s="641">
        <f t="shared" si="206"/>
        <v>0.16882539682539655</v>
      </c>
      <c r="R59" s="641">
        <f t="shared" si="206"/>
        <v>0.26892187499999887</v>
      </c>
      <c r="S59" s="643">
        <f t="shared" si="206"/>
        <v>0.819599999999999</v>
      </c>
      <c r="T59" s="644">
        <f t="shared" si="206"/>
        <v>0.11882812499999851</v>
      </c>
      <c r="U59" s="644">
        <f t="shared" si="206"/>
        <v>-1.3265625000001169E-2</v>
      </c>
      <c r="V59" s="645">
        <f t="shared" si="206"/>
        <v>0.14118750000000091</v>
      </c>
      <c r="W59" s="644">
        <f t="shared" si="206"/>
        <v>7.5181639344262283</v>
      </c>
      <c r="X59" s="644">
        <f t="shared" si="206"/>
        <v>-0.89420312500000065</v>
      </c>
      <c r="Y59" s="644">
        <f t="shared" si="206"/>
        <v>-1.4395156250000012</v>
      </c>
      <c r="Z59" s="645">
        <f t="shared" si="206"/>
        <v>-1.017578125</v>
      </c>
      <c r="AA59" s="644">
        <f t="shared" si="206"/>
        <v>3.554258064516127</v>
      </c>
      <c r="AB59" s="644">
        <f t="shared" si="206"/>
        <v>-1.1179206349206339</v>
      </c>
      <c r="AC59" s="644">
        <f t="shared" si="206"/>
        <v>-1.3916093749999998</v>
      </c>
      <c r="AD59" s="645">
        <f t="shared" si="206"/>
        <v>-0.84366666666666723</v>
      </c>
      <c r="AE59" s="644">
        <f t="shared" si="206"/>
        <v>-0.15401639344262286</v>
      </c>
      <c r="AF59" s="644">
        <f t="shared" si="206"/>
        <v>-0.55339062499999958</v>
      </c>
      <c r="AG59" s="644">
        <f t="shared" si="206"/>
        <v>-1.5273593749999999</v>
      </c>
      <c r="AH59" s="645">
        <f t="shared" si="206"/>
        <v>-0.79788709677419334</v>
      </c>
      <c r="AI59" s="644">
        <f t="shared" si="201"/>
        <v>-1.6838709677418517E-2</v>
      </c>
      <c r="AJ59" s="644">
        <f t="shared" si="201"/>
        <v>-0.56160937500000019</v>
      </c>
      <c r="AK59" s="644">
        <f t="shared" si="201"/>
        <v>-1.2109841269841268</v>
      </c>
      <c r="AL59" s="645">
        <f t="shared" si="201"/>
        <v>-0.13975806451612982</v>
      </c>
      <c r="AM59" s="644">
        <f t="shared" ref="AM59:AX59" si="207">IF(ISBLANK(AM202),"",AM202)</f>
        <v>3.4441967213114757</v>
      </c>
      <c r="AN59" s="644">
        <f t="shared" si="207"/>
        <v>0</v>
      </c>
      <c r="AO59" s="644">
        <f t="shared" si="207"/>
        <v>0</v>
      </c>
      <c r="AP59" s="645">
        <f t="shared" si="207"/>
        <v>0</v>
      </c>
      <c r="AQ59" s="644">
        <f t="shared" si="207"/>
        <v>0</v>
      </c>
      <c r="AR59" s="644">
        <f t="shared" si="207"/>
        <v>0</v>
      </c>
      <c r="AS59" s="644">
        <f t="shared" si="207"/>
        <v>0</v>
      </c>
      <c r="AT59" s="645">
        <f t="shared" si="207"/>
        <v>0</v>
      </c>
      <c r="AU59" s="644">
        <f t="shared" si="207"/>
        <v>0</v>
      </c>
      <c r="AV59" s="644">
        <f t="shared" si="207"/>
        <v>0</v>
      </c>
      <c r="AW59" s="644">
        <f t="shared" si="207"/>
        <v>0</v>
      </c>
      <c r="AX59" s="645">
        <f t="shared" si="207"/>
        <v>0</v>
      </c>
      <c r="AY59" s="1406">
        <f t="shared" si="203"/>
        <v>-1</v>
      </c>
      <c r="AZ59" s="1406">
        <f t="shared" si="203"/>
        <v>-1</v>
      </c>
      <c r="BA59" s="1406">
        <f t="shared" si="203"/>
        <v>-1</v>
      </c>
      <c r="BB59" s="1407">
        <f t="shared" si="203"/>
        <v>-1</v>
      </c>
      <c r="BC59" s="646"/>
      <c r="BD59" s="646"/>
      <c r="BE59" s="655">
        <f t="shared" si="178"/>
        <v>0.7661937474767625</v>
      </c>
      <c r="BF59" s="655">
        <f t="shared" si="179"/>
        <v>0.63760019841269922</v>
      </c>
      <c r="BG59" s="655">
        <f t="shared" si="180"/>
        <v>0.22804792906745996</v>
      </c>
      <c r="BH59" s="672">
        <f t="shared" si="181"/>
        <v>0.26658749999999931</v>
      </c>
      <c r="BI59" s="672">
        <f t="shared" si="182"/>
        <v>1.0417167648565566</v>
      </c>
      <c r="BJ59" s="672">
        <f t="shared" si="183"/>
        <v>5.0265346982206582E-2</v>
      </c>
      <c r="BK59" s="672">
        <f t="shared" si="184"/>
        <v>-0.75816337255420385</v>
      </c>
      <c r="BL59" s="672">
        <f t="shared" si="185"/>
        <v>-0.48229756904441884</v>
      </c>
      <c r="BM59" s="672">
        <f t="shared" si="186"/>
        <v>0.86104918032786892</v>
      </c>
      <c r="BN59" s="672">
        <f t="shared" si="187"/>
        <v>0</v>
      </c>
      <c r="BO59" s="672">
        <f t="shared" si="188"/>
        <v>0</v>
      </c>
      <c r="BP59" s="672">
        <f t="shared" si="189"/>
        <v>-1</v>
      </c>
      <c r="BQ59" s="637"/>
      <c r="BR59" s="638"/>
      <c r="BU59" s="609"/>
      <c r="BV59" t="s">
        <v>921</v>
      </c>
      <c r="BW59"/>
      <c r="BX59" s="1707">
        <v>-0.3</v>
      </c>
    </row>
    <row r="60" spans="1:104" ht="12.75" customHeight="1">
      <c r="A60" s="610"/>
      <c r="B60" s="611"/>
      <c r="C60" s="629" t="str">
        <f t="shared" si="194"/>
        <v>Cinergy / HH</v>
      </c>
      <c r="D60" s="629" t="str">
        <f t="shared" si="194"/>
        <v/>
      </c>
      <c r="E60" s="629" t="str">
        <f t="shared" si="194"/>
        <v/>
      </c>
      <c r="F60" s="1461"/>
      <c r="G60" s="640">
        <f t="shared" si="170"/>
        <v>0</v>
      </c>
      <c r="H60" s="641">
        <f t="shared" ref="H60:AH60" si="208">IF(ISBLANK(H203),"",H203)</f>
        <v>0</v>
      </c>
      <c r="I60" s="641">
        <f t="shared" si="208"/>
        <v>0</v>
      </c>
      <c r="J60" s="642">
        <f t="shared" si="208"/>
        <v>0</v>
      </c>
      <c r="K60" s="640">
        <f t="shared" si="208"/>
        <v>0</v>
      </c>
      <c r="L60" s="641">
        <f t="shared" si="208"/>
        <v>0</v>
      </c>
      <c r="M60" s="641">
        <f t="shared" si="208"/>
        <v>0</v>
      </c>
      <c r="N60" s="642">
        <f t="shared" si="208"/>
        <v>0</v>
      </c>
      <c r="O60" s="640">
        <f t="shared" si="208"/>
        <v>0</v>
      </c>
      <c r="P60" s="641">
        <f t="shared" si="208"/>
        <v>0</v>
      </c>
      <c r="Q60" s="641">
        <f t="shared" si="208"/>
        <v>0</v>
      </c>
      <c r="R60" s="641">
        <f t="shared" si="208"/>
        <v>0</v>
      </c>
      <c r="S60" s="643">
        <f t="shared" si="208"/>
        <v>0</v>
      </c>
      <c r="T60" s="644">
        <f t="shared" si="208"/>
        <v>0</v>
      </c>
      <c r="U60" s="644">
        <f t="shared" si="208"/>
        <v>0</v>
      </c>
      <c r="V60" s="645">
        <f t="shared" si="208"/>
        <v>0</v>
      </c>
      <c r="W60" s="644">
        <f t="shared" si="208"/>
        <v>0</v>
      </c>
      <c r="X60" s="644">
        <f t="shared" si="208"/>
        <v>0</v>
      </c>
      <c r="Y60" s="644">
        <f t="shared" si="208"/>
        <v>0</v>
      </c>
      <c r="Z60" s="645">
        <f t="shared" si="208"/>
        <v>0</v>
      </c>
      <c r="AA60" s="644">
        <f t="shared" si="208"/>
        <v>0</v>
      </c>
      <c r="AB60" s="644">
        <f t="shared" si="208"/>
        <v>0</v>
      </c>
      <c r="AC60" s="644">
        <f t="shared" si="208"/>
        <v>0</v>
      </c>
      <c r="AD60" s="645">
        <f t="shared" si="208"/>
        <v>0</v>
      </c>
      <c r="AE60" s="644">
        <f t="shared" si="208"/>
        <v>0</v>
      </c>
      <c r="AF60" s="644">
        <f t="shared" si="208"/>
        <v>0</v>
      </c>
      <c r="AG60" s="644">
        <f t="shared" si="208"/>
        <v>0</v>
      </c>
      <c r="AH60" s="645">
        <f t="shared" si="208"/>
        <v>0</v>
      </c>
      <c r="AI60" s="644">
        <f t="shared" ref="AI60:AL81" si="209">IF(ISBLANK(AI203),"",AI203)</f>
        <v>0</v>
      </c>
      <c r="AJ60" s="644">
        <f t="shared" si="209"/>
        <v>0</v>
      </c>
      <c r="AK60" s="644">
        <f t="shared" si="209"/>
        <v>0</v>
      </c>
      <c r="AL60" s="645">
        <f t="shared" si="209"/>
        <v>0</v>
      </c>
      <c r="AM60" s="644">
        <f t="shared" ref="AM60:AT81" si="210">IF(ISBLANK(AM203),"",AM203)</f>
        <v>0</v>
      </c>
      <c r="AN60" s="644">
        <f t="shared" si="210"/>
        <v>0</v>
      </c>
      <c r="AO60" s="644">
        <f t="shared" si="210"/>
        <v>0</v>
      </c>
      <c r="AP60" s="645">
        <f t="shared" si="210"/>
        <v>0</v>
      </c>
      <c r="AQ60" s="644">
        <f t="shared" ref="AQ60:AX60" si="211">IF(ISBLANK(AQ203),"",AQ203)</f>
        <v>0</v>
      </c>
      <c r="AR60" s="644">
        <f t="shared" si="211"/>
        <v>0</v>
      </c>
      <c r="AS60" s="644">
        <f t="shared" si="211"/>
        <v>0</v>
      </c>
      <c r="AT60" s="645">
        <f t="shared" si="211"/>
        <v>0</v>
      </c>
      <c r="AU60" s="644">
        <f t="shared" si="211"/>
        <v>0</v>
      </c>
      <c r="AV60" s="644">
        <f t="shared" si="211"/>
        <v>0</v>
      </c>
      <c r="AW60" s="644">
        <f t="shared" si="211"/>
        <v>0</v>
      </c>
      <c r="AX60" s="645">
        <f t="shared" si="211"/>
        <v>0</v>
      </c>
      <c r="AY60" s="644">
        <f t="shared" ref="AY60:BB60" si="212">IF(ISBLANK(AY203),"",AY203)</f>
        <v>0</v>
      </c>
      <c r="AZ60" s="644">
        <f t="shared" si="212"/>
        <v>0</v>
      </c>
      <c r="BA60" s="644">
        <f t="shared" si="212"/>
        <v>0</v>
      </c>
      <c r="BB60" s="645">
        <f t="shared" si="212"/>
        <v>0</v>
      </c>
      <c r="BC60" s="646"/>
      <c r="BD60" s="646"/>
      <c r="BE60" s="655">
        <f t="shared" si="178"/>
        <v>0</v>
      </c>
      <c r="BF60" s="655">
        <f t="shared" si="179"/>
        <v>0</v>
      </c>
      <c r="BG60" s="655">
        <f t="shared" si="180"/>
        <v>0</v>
      </c>
      <c r="BH60" s="672">
        <f t="shared" si="181"/>
        <v>0</v>
      </c>
      <c r="BI60" s="672">
        <f t="shared" si="182"/>
        <v>0</v>
      </c>
      <c r="BJ60" s="672">
        <f t="shared" si="183"/>
        <v>0</v>
      </c>
      <c r="BK60" s="672">
        <f t="shared" si="184"/>
        <v>0</v>
      </c>
      <c r="BL60" s="672">
        <f t="shared" si="185"/>
        <v>0</v>
      </c>
      <c r="BM60" s="672">
        <f t="shared" si="186"/>
        <v>0</v>
      </c>
      <c r="BN60" s="672">
        <f t="shared" si="187"/>
        <v>0</v>
      </c>
      <c r="BO60" s="672">
        <f t="shared" si="188"/>
        <v>0</v>
      </c>
      <c r="BP60" s="672">
        <f t="shared" si="189"/>
        <v>0</v>
      </c>
      <c r="BQ60" s="637"/>
      <c r="BR60" s="638"/>
      <c r="BU60" s="609"/>
      <c r="BV60" s="1708" t="s">
        <v>922</v>
      </c>
      <c r="BW60"/>
      <c r="BX60" s="1707">
        <v>-0.5</v>
      </c>
    </row>
    <row r="61" spans="1:104" ht="12.75" customHeight="1">
      <c r="A61" s="610"/>
      <c r="B61" s="611"/>
      <c r="C61" s="629" t="str">
        <f t="shared" si="194"/>
        <v>NI Hub / HH</v>
      </c>
      <c r="D61" s="629" t="str">
        <f t="shared" si="194"/>
        <v/>
      </c>
      <c r="E61" s="629" t="str">
        <f t="shared" si="194"/>
        <v/>
      </c>
      <c r="F61" s="1461"/>
      <c r="G61" s="640">
        <f t="shared" si="170"/>
        <v>0</v>
      </c>
      <c r="H61" s="641">
        <f t="shared" ref="H61:AH61" si="213">IF(ISBLANK(H204),"",H204)</f>
        <v>0</v>
      </c>
      <c r="I61" s="641">
        <f t="shared" si="213"/>
        <v>0</v>
      </c>
      <c r="J61" s="642">
        <f t="shared" si="213"/>
        <v>0</v>
      </c>
      <c r="K61" s="640">
        <f t="shared" si="213"/>
        <v>0</v>
      </c>
      <c r="L61" s="641">
        <f t="shared" si="213"/>
        <v>0</v>
      </c>
      <c r="M61" s="641">
        <f t="shared" si="213"/>
        <v>0</v>
      </c>
      <c r="N61" s="642">
        <f t="shared" si="213"/>
        <v>0</v>
      </c>
      <c r="O61" s="640">
        <f t="shared" si="213"/>
        <v>0</v>
      </c>
      <c r="P61" s="641">
        <f t="shared" si="213"/>
        <v>0</v>
      </c>
      <c r="Q61" s="641">
        <f t="shared" si="213"/>
        <v>0</v>
      </c>
      <c r="R61" s="641">
        <f t="shared" si="213"/>
        <v>0</v>
      </c>
      <c r="S61" s="643">
        <f t="shared" si="213"/>
        <v>0</v>
      </c>
      <c r="T61" s="644">
        <f t="shared" si="213"/>
        <v>0</v>
      </c>
      <c r="U61" s="644">
        <f t="shared" si="213"/>
        <v>0</v>
      </c>
      <c r="V61" s="645">
        <f t="shared" si="213"/>
        <v>0</v>
      </c>
      <c r="W61" s="644">
        <f t="shared" si="213"/>
        <v>0</v>
      </c>
      <c r="X61" s="644">
        <f t="shared" si="213"/>
        <v>0</v>
      </c>
      <c r="Y61" s="644">
        <f t="shared" si="213"/>
        <v>0</v>
      </c>
      <c r="Z61" s="645">
        <f t="shared" si="213"/>
        <v>0</v>
      </c>
      <c r="AA61" s="644">
        <f t="shared" si="213"/>
        <v>0</v>
      </c>
      <c r="AB61" s="644">
        <f t="shared" si="213"/>
        <v>0</v>
      </c>
      <c r="AC61" s="644">
        <f t="shared" si="213"/>
        <v>0</v>
      </c>
      <c r="AD61" s="645">
        <f t="shared" si="213"/>
        <v>0</v>
      </c>
      <c r="AE61" s="644">
        <f t="shared" si="213"/>
        <v>0</v>
      </c>
      <c r="AF61" s="644">
        <f t="shared" si="213"/>
        <v>0</v>
      </c>
      <c r="AG61" s="644">
        <f t="shared" si="213"/>
        <v>0</v>
      </c>
      <c r="AH61" s="645">
        <f t="shared" si="213"/>
        <v>0</v>
      </c>
      <c r="AI61" s="644">
        <f t="shared" si="209"/>
        <v>0</v>
      </c>
      <c r="AJ61" s="644">
        <f t="shared" si="209"/>
        <v>0</v>
      </c>
      <c r="AK61" s="644">
        <f t="shared" si="209"/>
        <v>0</v>
      </c>
      <c r="AL61" s="645">
        <f t="shared" si="209"/>
        <v>0</v>
      </c>
      <c r="AM61" s="644">
        <f t="shared" si="210"/>
        <v>0</v>
      </c>
      <c r="AN61" s="644">
        <f t="shared" si="210"/>
        <v>0</v>
      </c>
      <c r="AO61" s="644">
        <f t="shared" si="210"/>
        <v>0</v>
      </c>
      <c r="AP61" s="645">
        <f t="shared" si="210"/>
        <v>0</v>
      </c>
      <c r="AQ61" s="644">
        <f t="shared" ref="AQ61:AX61" si="214">IF(ISBLANK(AQ204),"",AQ204)</f>
        <v>0</v>
      </c>
      <c r="AR61" s="644">
        <f t="shared" si="214"/>
        <v>0</v>
      </c>
      <c r="AS61" s="644">
        <f t="shared" si="214"/>
        <v>0</v>
      </c>
      <c r="AT61" s="645">
        <f t="shared" si="214"/>
        <v>0</v>
      </c>
      <c r="AU61" s="644">
        <f t="shared" si="214"/>
        <v>0</v>
      </c>
      <c r="AV61" s="644">
        <f t="shared" si="214"/>
        <v>0</v>
      </c>
      <c r="AW61" s="644">
        <f t="shared" si="214"/>
        <v>0</v>
      </c>
      <c r="AX61" s="645">
        <f t="shared" si="214"/>
        <v>0</v>
      </c>
      <c r="AY61" s="644">
        <f t="shared" ref="AY61:BB61" si="215">IF(ISBLANK(AY204),"",AY204)</f>
        <v>0</v>
      </c>
      <c r="AZ61" s="644">
        <f t="shared" si="215"/>
        <v>0</v>
      </c>
      <c r="BA61" s="644">
        <f t="shared" si="215"/>
        <v>0</v>
      </c>
      <c r="BB61" s="645">
        <f t="shared" si="215"/>
        <v>0</v>
      </c>
      <c r="BC61" s="646"/>
      <c r="BD61" s="646"/>
      <c r="BE61" s="655">
        <f t="shared" si="178"/>
        <v>0</v>
      </c>
      <c r="BF61" s="655">
        <f t="shared" si="179"/>
        <v>0</v>
      </c>
      <c r="BG61" s="655">
        <f t="shared" si="180"/>
        <v>0</v>
      </c>
      <c r="BH61" s="672">
        <f t="shared" si="181"/>
        <v>0</v>
      </c>
      <c r="BI61" s="672">
        <f t="shared" si="182"/>
        <v>0</v>
      </c>
      <c r="BJ61" s="672">
        <f t="shared" si="183"/>
        <v>0</v>
      </c>
      <c r="BK61" s="672">
        <f t="shared" si="184"/>
        <v>0</v>
      </c>
      <c r="BL61" s="672">
        <f t="shared" si="185"/>
        <v>0</v>
      </c>
      <c r="BM61" s="672">
        <f t="shared" si="186"/>
        <v>0</v>
      </c>
      <c r="BN61" s="672">
        <f t="shared" si="187"/>
        <v>0</v>
      </c>
      <c r="BO61" s="672">
        <f t="shared" si="188"/>
        <v>0</v>
      </c>
      <c r="BP61" s="672">
        <f t="shared" si="189"/>
        <v>0</v>
      </c>
      <c r="BQ61" s="637"/>
      <c r="BR61" s="638"/>
      <c r="BU61" s="609"/>
      <c r="BV61" s="1467" t="s">
        <v>698</v>
      </c>
      <c r="BW61" s="608"/>
      <c r="BX61" s="1470">
        <f>+BP200</f>
        <v>-9.0416666699999593E-2</v>
      </c>
      <c r="BY61" s="1685"/>
    </row>
    <row r="62" spans="1:104" ht="12.75" customHeight="1">
      <c r="A62" s="610"/>
      <c r="B62" s="611"/>
      <c r="C62" s="629" t="str">
        <f t="shared" si="194"/>
        <v>ERCOT Houston / HH</v>
      </c>
      <c r="D62" s="629" t="str">
        <f t="shared" si="194"/>
        <v/>
      </c>
      <c r="E62" s="629" t="str">
        <f t="shared" si="194"/>
        <v/>
      </c>
      <c r="F62" s="1461"/>
      <c r="G62" s="640">
        <f t="shared" si="170"/>
        <v>0</v>
      </c>
      <c r="H62" s="641">
        <f t="shared" ref="H62:AH62" si="216">IF(ISBLANK(H205),"",H205)</f>
        <v>0</v>
      </c>
      <c r="I62" s="641">
        <f t="shared" si="216"/>
        <v>0</v>
      </c>
      <c r="J62" s="642">
        <f t="shared" si="216"/>
        <v>0</v>
      </c>
      <c r="K62" s="640">
        <f t="shared" si="216"/>
        <v>0</v>
      </c>
      <c r="L62" s="641">
        <f t="shared" si="216"/>
        <v>0</v>
      </c>
      <c r="M62" s="641">
        <f t="shared" si="216"/>
        <v>0</v>
      </c>
      <c r="N62" s="642">
        <f t="shared" si="216"/>
        <v>0</v>
      </c>
      <c r="O62" s="640">
        <f t="shared" si="216"/>
        <v>0</v>
      </c>
      <c r="P62" s="641">
        <f t="shared" si="216"/>
        <v>0</v>
      </c>
      <c r="Q62" s="641">
        <f t="shared" si="216"/>
        <v>0</v>
      </c>
      <c r="R62" s="641">
        <f t="shared" si="216"/>
        <v>0</v>
      </c>
      <c r="S62" s="643">
        <f t="shared" si="216"/>
        <v>0</v>
      </c>
      <c r="T62" s="644">
        <f t="shared" si="216"/>
        <v>0</v>
      </c>
      <c r="U62" s="644">
        <f t="shared" si="216"/>
        <v>0</v>
      </c>
      <c r="V62" s="645">
        <f t="shared" si="216"/>
        <v>0</v>
      </c>
      <c r="W62" s="644">
        <f t="shared" si="216"/>
        <v>0</v>
      </c>
      <c r="X62" s="644">
        <f t="shared" si="216"/>
        <v>0</v>
      </c>
      <c r="Y62" s="644">
        <f t="shared" si="216"/>
        <v>0</v>
      </c>
      <c r="Z62" s="645">
        <f t="shared" si="216"/>
        <v>0</v>
      </c>
      <c r="AA62" s="644">
        <f t="shared" si="216"/>
        <v>0</v>
      </c>
      <c r="AB62" s="644">
        <f t="shared" si="216"/>
        <v>0</v>
      </c>
      <c r="AC62" s="644">
        <f t="shared" si="216"/>
        <v>0</v>
      </c>
      <c r="AD62" s="645">
        <f t="shared" si="216"/>
        <v>0</v>
      </c>
      <c r="AE62" s="644">
        <f t="shared" si="216"/>
        <v>0</v>
      </c>
      <c r="AF62" s="644">
        <f t="shared" si="216"/>
        <v>0</v>
      </c>
      <c r="AG62" s="644">
        <f t="shared" si="216"/>
        <v>0</v>
      </c>
      <c r="AH62" s="645">
        <f t="shared" si="216"/>
        <v>0</v>
      </c>
      <c r="AI62" s="644">
        <f t="shared" si="209"/>
        <v>0</v>
      </c>
      <c r="AJ62" s="644">
        <f t="shared" si="209"/>
        <v>0</v>
      </c>
      <c r="AK62" s="644">
        <f t="shared" si="209"/>
        <v>0</v>
      </c>
      <c r="AL62" s="645">
        <f t="shared" si="209"/>
        <v>0</v>
      </c>
      <c r="AM62" s="644">
        <f t="shared" si="210"/>
        <v>0</v>
      </c>
      <c r="AN62" s="644">
        <f t="shared" si="210"/>
        <v>0</v>
      </c>
      <c r="AO62" s="644">
        <f t="shared" si="210"/>
        <v>0</v>
      </c>
      <c r="AP62" s="645">
        <f t="shared" si="210"/>
        <v>0</v>
      </c>
      <c r="AQ62" s="644">
        <f t="shared" ref="AQ62:AX62" si="217">IF(ISBLANK(AQ205),"",AQ205)</f>
        <v>0</v>
      </c>
      <c r="AR62" s="644">
        <f t="shared" si="217"/>
        <v>0</v>
      </c>
      <c r="AS62" s="644">
        <f t="shared" si="217"/>
        <v>0</v>
      </c>
      <c r="AT62" s="645">
        <f t="shared" si="217"/>
        <v>0</v>
      </c>
      <c r="AU62" s="644">
        <f t="shared" si="217"/>
        <v>0</v>
      </c>
      <c r="AV62" s="644">
        <f t="shared" si="217"/>
        <v>0</v>
      </c>
      <c r="AW62" s="644">
        <f t="shared" si="217"/>
        <v>0</v>
      </c>
      <c r="AX62" s="645">
        <f t="shared" si="217"/>
        <v>0</v>
      </c>
      <c r="AY62" s="644">
        <f t="shared" ref="AY62:BB62" si="218">IF(ISBLANK(AY205),"",AY205)</f>
        <v>0</v>
      </c>
      <c r="AZ62" s="644">
        <f t="shared" si="218"/>
        <v>0</v>
      </c>
      <c r="BA62" s="644">
        <f t="shared" si="218"/>
        <v>0</v>
      </c>
      <c r="BB62" s="645">
        <f t="shared" si="218"/>
        <v>0</v>
      </c>
      <c r="BC62" s="646"/>
      <c r="BD62" s="646"/>
      <c r="BE62" s="655">
        <f t="shared" si="178"/>
        <v>0</v>
      </c>
      <c r="BF62" s="655">
        <f t="shared" si="179"/>
        <v>0</v>
      </c>
      <c r="BG62" s="655">
        <f t="shared" si="180"/>
        <v>0</v>
      </c>
      <c r="BH62" s="672">
        <f t="shared" si="181"/>
        <v>0</v>
      </c>
      <c r="BI62" s="672">
        <f t="shared" si="182"/>
        <v>0</v>
      </c>
      <c r="BJ62" s="672">
        <f t="shared" si="183"/>
        <v>0</v>
      </c>
      <c r="BK62" s="672">
        <f t="shared" si="184"/>
        <v>0</v>
      </c>
      <c r="BL62" s="672">
        <f t="shared" si="185"/>
        <v>0</v>
      </c>
      <c r="BM62" s="672">
        <f t="shared" si="186"/>
        <v>0</v>
      </c>
      <c r="BN62" s="672">
        <f t="shared" si="187"/>
        <v>0</v>
      </c>
      <c r="BO62" s="672">
        <f t="shared" si="188"/>
        <v>0</v>
      </c>
      <c r="BP62" s="672">
        <f t="shared" si="189"/>
        <v>0</v>
      </c>
      <c r="BQ62" s="637"/>
      <c r="BR62" s="638"/>
      <c r="BU62" s="609"/>
      <c r="BV62" s="658" t="s">
        <v>699</v>
      </c>
      <c r="BW62" s="608"/>
      <c r="BX62" s="1471">
        <f>+BX58-BX61</f>
        <v>-0.90958333330000041</v>
      </c>
    </row>
    <row r="63" spans="1:104" ht="12.75" customHeight="1">
      <c r="A63" s="610"/>
      <c r="B63" s="611"/>
      <c r="C63" s="629" t="str">
        <f t="shared" si="194"/>
        <v>ERCOT North / HH</v>
      </c>
      <c r="D63" s="629" t="str">
        <f t="shared" si="194"/>
        <v/>
      </c>
      <c r="E63" s="629" t="str">
        <f t="shared" si="194"/>
        <v/>
      </c>
      <c r="F63" s="1461"/>
      <c r="G63" s="640">
        <f t="shared" si="170"/>
        <v>0</v>
      </c>
      <c r="H63" s="641">
        <f t="shared" ref="H63:AH63" si="219">IF(ISBLANK(H206),"",H206)</f>
        <v>0</v>
      </c>
      <c r="I63" s="641">
        <f t="shared" si="219"/>
        <v>0</v>
      </c>
      <c r="J63" s="642">
        <f t="shared" si="219"/>
        <v>0</v>
      </c>
      <c r="K63" s="640">
        <f t="shared" si="219"/>
        <v>0</v>
      </c>
      <c r="L63" s="641">
        <f t="shared" si="219"/>
        <v>0</v>
      </c>
      <c r="M63" s="641">
        <f t="shared" si="219"/>
        <v>0</v>
      </c>
      <c r="N63" s="642">
        <f t="shared" si="219"/>
        <v>0</v>
      </c>
      <c r="O63" s="640">
        <f t="shared" si="219"/>
        <v>0</v>
      </c>
      <c r="P63" s="641">
        <f t="shared" si="219"/>
        <v>0</v>
      </c>
      <c r="Q63" s="641">
        <f t="shared" si="219"/>
        <v>0</v>
      </c>
      <c r="R63" s="641">
        <f t="shared" si="219"/>
        <v>0</v>
      </c>
      <c r="S63" s="643">
        <f t="shared" si="219"/>
        <v>0</v>
      </c>
      <c r="T63" s="644">
        <f t="shared" si="219"/>
        <v>0</v>
      </c>
      <c r="U63" s="644">
        <f t="shared" si="219"/>
        <v>0</v>
      </c>
      <c r="V63" s="645">
        <f t="shared" si="219"/>
        <v>0</v>
      </c>
      <c r="W63" s="644">
        <f t="shared" si="219"/>
        <v>0</v>
      </c>
      <c r="X63" s="644">
        <f t="shared" si="219"/>
        <v>0</v>
      </c>
      <c r="Y63" s="644">
        <f t="shared" si="219"/>
        <v>0</v>
      </c>
      <c r="Z63" s="645">
        <f t="shared" si="219"/>
        <v>0</v>
      </c>
      <c r="AA63" s="644">
        <f t="shared" si="219"/>
        <v>0</v>
      </c>
      <c r="AB63" s="644">
        <f t="shared" si="219"/>
        <v>0</v>
      </c>
      <c r="AC63" s="644">
        <f t="shared" si="219"/>
        <v>0</v>
      </c>
      <c r="AD63" s="645">
        <f t="shared" si="219"/>
        <v>0</v>
      </c>
      <c r="AE63" s="644">
        <f t="shared" si="219"/>
        <v>0</v>
      </c>
      <c r="AF63" s="644">
        <f t="shared" si="219"/>
        <v>0</v>
      </c>
      <c r="AG63" s="644">
        <f t="shared" si="219"/>
        <v>0</v>
      </c>
      <c r="AH63" s="645">
        <f t="shared" si="219"/>
        <v>0</v>
      </c>
      <c r="AI63" s="644">
        <f t="shared" si="209"/>
        <v>0</v>
      </c>
      <c r="AJ63" s="644">
        <f t="shared" si="209"/>
        <v>0</v>
      </c>
      <c r="AK63" s="644">
        <f t="shared" si="209"/>
        <v>0</v>
      </c>
      <c r="AL63" s="645">
        <f t="shared" si="209"/>
        <v>0</v>
      </c>
      <c r="AM63" s="644">
        <f t="shared" si="210"/>
        <v>0</v>
      </c>
      <c r="AN63" s="644">
        <f t="shared" si="210"/>
        <v>0</v>
      </c>
      <c r="AO63" s="644">
        <f t="shared" si="210"/>
        <v>0</v>
      </c>
      <c r="AP63" s="645">
        <f t="shared" si="210"/>
        <v>0</v>
      </c>
      <c r="AQ63" s="644">
        <f t="shared" ref="AQ63:AX63" si="220">IF(ISBLANK(AQ206),"",AQ206)</f>
        <v>0</v>
      </c>
      <c r="AR63" s="644">
        <f t="shared" si="220"/>
        <v>0</v>
      </c>
      <c r="AS63" s="644">
        <f t="shared" si="220"/>
        <v>0</v>
      </c>
      <c r="AT63" s="645">
        <f t="shared" si="220"/>
        <v>0</v>
      </c>
      <c r="AU63" s="644">
        <f t="shared" si="220"/>
        <v>0</v>
      </c>
      <c r="AV63" s="644">
        <f t="shared" si="220"/>
        <v>0</v>
      </c>
      <c r="AW63" s="644">
        <f t="shared" si="220"/>
        <v>0</v>
      </c>
      <c r="AX63" s="645">
        <f t="shared" si="220"/>
        <v>0</v>
      </c>
      <c r="AY63" s="644">
        <f t="shared" ref="AY63:BB63" si="221">IF(ISBLANK(AY206),"",AY206)</f>
        <v>0</v>
      </c>
      <c r="AZ63" s="644">
        <f t="shared" si="221"/>
        <v>0</v>
      </c>
      <c r="BA63" s="644">
        <f t="shared" si="221"/>
        <v>0</v>
      </c>
      <c r="BB63" s="645">
        <f t="shared" si="221"/>
        <v>0</v>
      </c>
      <c r="BC63" s="646"/>
      <c r="BD63" s="646"/>
      <c r="BE63" s="655">
        <f t="shared" si="178"/>
        <v>0</v>
      </c>
      <c r="BF63" s="655">
        <f t="shared" si="179"/>
        <v>0</v>
      </c>
      <c r="BG63" s="655">
        <f t="shared" si="180"/>
        <v>0</v>
      </c>
      <c r="BH63" s="672">
        <f t="shared" si="181"/>
        <v>0</v>
      </c>
      <c r="BI63" s="672">
        <f t="shared" si="182"/>
        <v>0</v>
      </c>
      <c r="BJ63" s="672">
        <f t="shared" si="183"/>
        <v>0</v>
      </c>
      <c r="BK63" s="672">
        <f t="shared" si="184"/>
        <v>0</v>
      </c>
      <c r="BL63" s="672">
        <f t="shared" si="185"/>
        <v>0</v>
      </c>
      <c r="BM63" s="672">
        <f t="shared" si="186"/>
        <v>0</v>
      </c>
      <c r="BN63" s="672">
        <f t="shared" si="187"/>
        <v>0</v>
      </c>
      <c r="BO63" s="672">
        <f t="shared" si="188"/>
        <v>0</v>
      </c>
      <c r="BP63" s="672">
        <f t="shared" si="189"/>
        <v>0</v>
      </c>
      <c r="BQ63" s="637"/>
      <c r="BR63" s="638"/>
      <c r="BU63" s="609"/>
      <c r="BV63" s="608"/>
      <c r="BW63" s="608"/>
      <c r="BX63" s="608"/>
    </row>
    <row r="64" spans="1:104" ht="12.75" customHeight="1">
      <c r="A64" s="610"/>
      <c r="B64" s="611"/>
      <c r="C64" s="629" t="str">
        <f t="shared" si="194"/>
        <v>ERCOT South / HH</v>
      </c>
      <c r="D64" s="629" t="str">
        <f t="shared" si="194"/>
        <v/>
      </c>
      <c r="E64" s="629" t="str">
        <f t="shared" si="194"/>
        <v/>
      </c>
      <c r="F64" s="1461"/>
      <c r="G64" s="640">
        <f t="shared" si="170"/>
        <v>0</v>
      </c>
      <c r="H64" s="641">
        <f t="shared" ref="H64:AH64" si="222">IF(ISBLANK(H207),"",H207)</f>
        <v>0</v>
      </c>
      <c r="I64" s="641">
        <f t="shared" si="222"/>
        <v>0</v>
      </c>
      <c r="J64" s="642">
        <f t="shared" si="222"/>
        <v>0</v>
      </c>
      <c r="K64" s="640">
        <f t="shared" si="222"/>
        <v>0</v>
      </c>
      <c r="L64" s="641">
        <f t="shared" si="222"/>
        <v>0</v>
      </c>
      <c r="M64" s="641">
        <f t="shared" si="222"/>
        <v>0</v>
      </c>
      <c r="N64" s="642">
        <f t="shared" si="222"/>
        <v>0</v>
      </c>
      <c r="O64" s="640">
        <f t="shared" si="222"/>
        <v>0</v>
      </c>
      <c r="P64" s="641">
        <f t="shared" si="222"/>
        <v>0</v>
      </c>
      <c r="Q64" s="641">
        <f t="shared" si="222"/>
        <v>0</v>
      </c>
      <c r="R64" s="641">
        <f t="shared" si="222"/>
        <v>0</v>
      </c>
      <c r="S64" s="643">
        <f t="shared" si="222"/>
        <v>0</v>
      </c>
      <c r="T64" s="644">
        <f t="shared" si="222"/>
        <v>0</v>
      </c>
      <c r="U64" s="644">
        <f t="shared" si="222"/>
        <v>0</v>
      </c>
      <c r="V64" s="645">
        <f t="shared" si="222"/>
        <v>0</v>
      </c>
      <c r="W64" s="644">
        <f t="shared" si="222"/>
        <v>0</v>
      </c>
      <c r="X64" s="644">
        <f t="shared" si="222"/>
        <v>0</v>
      </c>
      <c r="Y64" s="644">
        <f t="shared" si="222"/>
        <v>0</v>
      </c>
      <c r="Z64" s="645">
        <f t="shared" si="222"/>
        <v>0</v>
      </c>
      <c r="AA64" s="644">
        <f t="shared" si="222"/>
        <v>0</v>
      </c>
      <c r="AB64" s="644">
        <f t="shared" si="222"/>
        <v>0</v>
      </c>
      <c r="AC64" s="644">
        <f t="shared" si="222"/>
        <v>0</v>
      </c>
      <c r="AD64" s="645">
        <f t="shared" si="222"/>
        <v>0</v>
      </c>
      <c r="AE64" s="644">
        <f t="shared" si="222"/>
        <v>0</v>
      </c>
      <c r="AF64" s="644">
        <f t="shared" si="222"/>
        <v>0</v>
      </c>
      <c r="AG64" s="644">
        <f t="shared" si="222"/>
        <v>0</v>
      </c>
      <c r="AH64" s="645">
        <f t="shared" si="222"/>
        <v>0</v>
      </c>
      <c r="AI64" s="644">
        <f t="shared" si="209"/>
        <v>0</v>
      </c>
      <c r="AJ64" s="644">
        <f t="shared" si="209"/>
        <v>0</v>
      </c>
      <c r="AK64" s="644">
        <f t="shared" si="209"/>
        <v>0</v>
      </c>
      <c r="AL64" s="645">
        <f t="shared" si="209"/>
        <v>0</v>
      </c>
      <c r="AM64" s="644">
        <f t="shared" si="210"/>
        <v>0</v>
      </c>
      <c r="AN64" s="644">
        <f t="shared" si="210"/>
        <v>0</v>
      </c>
      <c r="AO64" s="644">
        <f t="shared" si="210"/>
        <v>0</v>
      </c>
      <c r="AP64" s="645">
        <f t="shared" si="210"/>
        <v>0</v>
      </c>
      <c r="AQ64" s="644">
        <f t="shared" ref="AQ64:AX64" si="223">IF(ISBLANK(AQ207),"",AQ207)</f>
        <v>0</v>
      </c>
      <c r="AR64" s="644">
        <f t="shared" si="223"/>
        <v>0</v>
      </c>
      <c r="AS64" s="644">
        <f t="shared" si="223"/>
        <v>0</v>
      </c>
      <c r="AT64" s="645">
        <f t="shared" si="223"/>
        <v>0</v>
      </c>
      <c r="AU64" s="644">
        <f t="shared" si="223"/>
        <v>0</v>
      </c>
      <c r="AV64" s="644">
        <f t="shared" si="223"/>
        <v>0</v>
      </c>
      <c r="AW64" s="644">
        <f t="shared" si="223"/>
        <v>0</v>
      </c>
      <c r="AX64" s="645">
        <f t="shared" si="223"/>
        <v>0</v>
      </c>
      <c r="AY64" s="644">
        <f t="shared" ref="AY64:BB64" si="224">IF(ISBLANK(AY207),"",AY207)</f>
        <v>0</v>
      </c>
      <c r="AZ64" s="644">
        <f t="shared" si="224"/>
        <v>0</v>
      </c>
      <c r="BA64" s="644">
        <f t="shared" si="224"/>
        <v>0</v>
      </c>
      <c r="BB64" s="645">
        <f t="shared" si="224"/>
        <v>0</v>
      </c>
      <c r="BC64" s="646"/>
      <c r="BD64" s="646"/>
      <c r="BE64" s="655">
        <f t="shared" si="178"/>
        <v>0</v>
      </c>
      <c r="BF64" s="655">
        <f t="shared" si="179"/>
        <v>0</v>
      </c>
      <c r="BG64" s="655">
        <f t="shared" si="180"/>
        <v>0</v>
      </c>
      <c r="BH64" s="672">
        <f t="shared" si="181"/>
        <v>0</v>
      </c>
      <c r="BI64" s="672">
        <f t="shared" si="182"/>
        <v>0</v>
      </c>
      <c r="BJ64" s="672">
        <f t="shared" si="183"/>
        <v>0</v>
      </c>
      <c r="BK64" s="672">
        <f t="shared" si="184"/>
        <v>0</v>
      </c>
      <c r="BL64" s="672">
        <f t="shared" si="185"/>
        <v>0</v>
      </c>
      <c r="BM64" s="672">
        <f t="shared" si="186"/>
        <v>0</v>
      </c>
      <c r="BN64" s="672">
        <f t="shared" si="187"/>
        <v>0</v>
      </c>
      <c r="BO64" s="672">
        <f t="shared" si="188"/>
        <v>0</v>
      </c>
      <c r="BP64" s="672">
        <f t="shared" si="189"/>
        <v>0</v>
      </c>
      <c r="BQ64" s="637"/>
      <c r="BR64" s="638"/>
      <c r="BU64" s="609"/>
      <c r="BV64" s="1467" t="s">
        <v>701</v>
      </c>
      <c r="BW64" s="608"/>
      <c r="BX64" s="1470">
        <f>+BP202</f>
        <v>0</v>
      </c>
      <c r="BY64" s="1685"/>
    </row>
    <row r="65" spans="1:78" ht="12.75" customHeight="1">
      <c r="A65" s="610"/>
      <c r="B65" s="611"/>
      <c r="C65" s="629" t="str">
        <f t="shared" si="194"/>
        <v>Palo Verde / SCAL</v>
      </c>
      <c r="D65" s="629" t="str">
        <f t="shared" si="194"/>
        <v/>
      </c>
      <c r="E65" s="629" t="str">
        <f t="shared" si="194"/>
        <v/>
      </c>
      <c r="F65" s="1461"/>
      <c r="G65" s="640">
        <f t="shared" si="170"/>
        <v>-5.9550084889643529E-3</v>
      </c>
      <c r="H65" s="641">
        <f t="shared" ref="H65:AH65" si="225">IF(ISBLANK(H208),"",H208)</f>
        <v>-0.1638730158730155</v>
      </c>
      <c r="I65" s="641">
        <f t="shared" si="225"/>
        <v>-0.31553124999999982</v>
      </c>
      <c r="J65" s="642">
        <f t="shared" si="225"/>
        <v>2.7430769230770924E-2</v>
      </c>
      <c r="K65" s="640">
        <f t="shared" si="225"/>
        <v>-4.0562500000001833E-2</v>
      </c>
      <c r="L65" s="641">
        <f t="shared" si="225"/>
        <v>2.5078125000001172E-2</v>
      </c>
      <c r="M65" s="641">
        <f t="shared" si="225"/>
        <v>0.14203125000000227</v>
      </c>
      <c r="N65" s="642">
        <f t="shared" si="225"/>
        <v>0.29906349206349114</v>
      </c>
      <c r="O65" s="640">
        <f t="shared" si="225"/>
        <v>0.31830158730158775</v>
      </c>
      <c r="P65" s="641">
        <f t="shared" si="225"/>
        <v>0.28319047619047666</v>
      </c>
      <c r="Q65" s="641">
        <f t="shared" si="225"/>
        <v>0.20952380952380834</v>
      </c>
      <c r="R65" s="641">
        <f t="shared" si="225"/>
        <v>0.32709374999999907</v>
      </c>
      <c r="S65" s="643">
        <f t="shared" si="225"/>
        <v>0.26973333333333294</v>
      </c>
      <c r="T65" s="644">
        <f t="shared" si="225"/>
        <v>0.15754687499999775</v>
      </c>
      <c r="U65" s="644">
        <f t="shared" si="225"/>
        <v>0.23087499999999972</v>
      </c>
      <c r="V65" s="645">
        <f t="shared" si="225"/>
        <v>0.29959375000000188</v>
      </c>
      <c r="W65" s="644">
        <f t="shared" si="225"/>
        <v>0.30404918032786998</v>
      </c>
      <c r="X65" s="644">
        <f t="shared" si="225"/>
        <v>0.30642187499999984</v>
      </c>
      <c r="Y65" s="644">
        <f t="shared" si="225"/>
        <v>0.50754687499999829</v>
      </c>
      <c r="Z65" s="645">
        <f t="shared" si="225"/>
        <v>0.25204687500000134</v>
      </c>
      <c r="AA65" s="644">
        <f t="shared" si="225"/>
        <v>-3.7548387096775215E-2</v>
      </c>
      <c r="AB65" s="644">
        <f t="shared" si="225"/>
        <v>6.8507936507938183E-2</v>
      </c>
      <c r="AC65" s="644">
        <f t="shared" si="225"/>
        <v>0.26343749999999932</v>
      </c>
      <c r="AD65" s="645">
        <f t="shared" si="225"/>
        <v>0.35907936507936444</v>
      </c>
      <c r="AE65" s="644">
        <f t="shared" si="225"/>
        <v>0.10468852459016342</v>
      </c>
      <c r="AF65" s="644">
        <f t="shared" si="225"/>
        <v>7.9562500000000203E-2</v>
      </c>
      <c r="AG65" s="644">
        <f t="shared" si="225"/>
        <v>3.6515625000000718E-2</v>
      </c>
      <c r="AH65" s="645">
        <f t="shared" si="225"/>
        <v>4.9693548387096609E-2</v>
      </c>
      <c r="AI65" s="644">
        <f t="shared" si="209"/>
        <v>0.15672580645161371</v>
      </c>
      <c r="AJ65" s="644">
        <f t="shared" si="209"/>
        <v>0.10859375000000027</v>
      </c>
      <c r="AK65" s="644">
        <f t="shared" si="209"/>
        <v>0.25880952380952404</v>
      </c>
      <c r="AL65" s="645">
        <f t="shared" si="209"/>
        <v>1.4901290322580647</v>
      </c>
      <c r="AM65" s="644">
        <f t="shared" si="210"/>
        <v>0.7802950819672132</v>
      </c>
      <c r="AN65" s="644">
        <f t="shared" si="210"/>
        <v>-0.66499999999999959</v>
      </c>
      <c r="AO65" s="644">
        <f t="shared" si="210"/>
        <v>-0.37199999999999989</v>
      </c>
      <c r="AP65" s="645">
        <f t="shared" si="210"/>
        <v>-0.49500000000000055</v>
      </c>
      <c r="AQ65" s="644">
        <f t="shared" ref="AQ65:AX65" si="226">IF(ISBLANK(AQ208),"",AQ208)</f>
        <v>-0.30713417480557936</v>
      </c>
      <c r="AR65" s="644">
        <f t="shared" si="226"/>
        <v>-0.75064523540322092</v>
      </c>
      <c r="AS65" s="644">
        <f t="shared" si="226"/>
        <v>-0.53237727470099783</v>
      </c>
      <c r="AT65" s="645">
        <f t="shared" si="226"/>
        <v>-0.20050998189020053</v>
      </c>
      <c r="AU65" s="644">
        <f t="shared" si="226"/>
        <v>-0.26491667997570767</v>
      </c>
      <c r="AV65" s="644">
        <f t="shared" si="226"/>
        <v>-0.72952134616272168</v>
      </c>
      <c r="AW65" s="644">
        <f t="shared" si="226"/>
        <v>-0.50344822491097485</v>
      </c>
      <c r="AX65" s="645">
        <f t="shared" si="226"/>
        <v>-0.15278041575059387</v>
      </c>
      <c r="AY65" s="644">
        <f t="shared" ref="AY65:BB65" si="227">IF(ISBLANK(AY208),"",AY208)</f>
        <v>-0.18976284925876685</v>
      </c>
      <c r="AZ65" s="644">
        <f t="shared" si="227"/>
        <v>-0.6882236801665047</v>
      </c>
      <c r="BA65" s="644">
        <f t="shared" si="227"/>
        <v>-0.44995803943269674</v>
      </c>
      <c r="BB65" s="645">
        <f t="shared" si="227"/>
        <v>-6.8722097942030214E-2</v>
      </c>
      <c r="BC65" s="646"/>
      <c r="BD65" s="646"/>
      <c r="BE65" s="655">
        <f t="shared" si="178"/>
        <v>-0.11448212628280219</v>
      </c>
      <c r="BF65" s="655">
        <f t="shared" si="179"/>
        <v>0.10640259176587319</v>
      </c>
      <c r="BG65" s="655">
        <f t="shared" si="180"/>
        <v>0.28452740575396795</v>
      </c>
      <c r="BH65" s="672">
        <f t="shared" si="181"/>
        <v>0.23943723958333307</v>
      </c>
      <c r="BI65" s="672">
        <f t="shared" si="182"/>
        <v>0.34251620133196736</v>
      </c>
      <c r="BJ65" s="672">
        <f t="shared" si="183"/>
        <v>0.16336910362263168</v>
      </c>
      <c r="BK65" s="672">
        <f t="shared" si="184"/>
        <v>6.7615049494315238E-2</v>
      </c>
      <c r="BL65" s="672">
        <f t="shared" si="185"/>
        <v>0.50356452812980068</v>
      </c>
      <c r="BM65" s="672">
        <f t="shared" si="186"/>
        <v>-0.18792622950819671</v>
      </c>
      <c r="BN65" s="672">
        <f t="shared" si="187"/>
        <v>-0.44766666669999966</v>
      </c>
      <c r="BO65" s="672">
        <f t="shared" si="188"/>
        <v>-0.41266666669999952</v>
      </c>
      <c r="BP65" s="672">
        <f t="shared" si="189"/>
        <v>-0.34916666669999963</v>
      </c>
      <c r="BQ65" s="637"/>
      <c r="BR65" s="638"/>
      <c r="BU65" s="609"/>
      <c r="BV65" s="658" t="s">
        <v>702</v>
      </c>
      <c r="BW65" s="608"/>
      <c r="BX65" s="1471">
        <f>+BX58-BX64</f>
        <v>-1</v>
      </c>
    </row>
    <row r="66" spans="1:78" ht="12.75" customHeight="1">
      <c r="A66" s="610"/>
      <c r="B66" s="611"/>
      <c r="C66" s="629" t="str">
        <f t="shared" si="194"/>
        <v>SP 15 / SCAL</v>
      </c>
      <c r="D66" s="629" t="str">
        <f t="shared" si="194"/>
        <v/>
      </c>
      <c r="E66" s="629" t="str">
        <f t="shared" si="194"/>
        <v/>
      </c>
      <c r="F66" s="1461"/>
      <c r="G66" s="640">
        <f t="shared" si="170"/>
        <v>-5.9550084889643529E-3</v>
      </c>
      <c r="H66" s="641">
        <f t="shared" ref="H66:AH66" si="228">IF(ISBLANK(H209),"",H209)</f>
        <v>-0.1638730158730155</v>
      </c>
      <c r="I66" s="641">
        <f t="shared" si="228"/>
        <v>-0.31553124999999982</v>
      </c>
      <c r="J66" s="642">
        <f t="shared" si="228"/>
        <v>2.7430769230770924E-2</v>
      </c>
      <c r="K66" s="640">
        <f t="shared" si="228"/>
        <v>-4.0562500000001833E-2</v>
      </c>
      <c r="L66" s="641">
        <f t="shared" si="228"/>
        <v>2.5078125000001172E-2</v>
      </c>
      <c r="M66" s="641">
        <f t="shared" si="228"/>
        <v>0.14203125000000227</v>
      </c>
      <c r="N66" s="642">
        <f t="shared" si="228"/>
        <v>0.29906349206349114</v>
      </c>
      <c r="O66" s="640">
        <f t="shared" si="228"/>
        <v>0.31830158730158775</v>
      </c>
      <c r="P66" s="641">
        <f t="shared" si="228"/>
        <v>0.28319047619047666</v>
      </c>
      <c r="Q66" s="641">
        <f t="shared" si="228"/>
        <v>0.20952380952380834</v>
      </c>
      <c r="R66" s="641">
        <f t="shared" si="228"/>
        <v>0.32709374999999907</v>
      </c>
      <c r="S66" s="643">
        <f t="shared" si="228"/>
        <v>0.26973333333333294</v>
      </c>
      <c r="T66" s="644">
        <f t="shared" si="228"/>
        <v>0.15754687499999775</v>
      </c>
      <c r="U66" s="644">
        <f t="shared" si="228"/>
        <v>0.23087499999999972</v>
      </c>
      <c r="V66" s="645">
        <f t="shared" si="228"/>
        <v>0.29959375000000188</v>
      </c>
      <c r="W66" s="644">
        <f t="shared" si="228"/>
        <v>0.30404918032786998</v>
      </c>
      <c r="X66" s="644">
        <f t="shared" si="228"/>
        <v>0.30642187499999984</v>
      </c>
      <c r="Y66" s="644">
        <f t="shared" si="228"/>
        <v>0.50754687499999829</v>
      </c>
      <c r="Z66" s="645">
        <f t="shared" si="228"/>
        <v>0.25204687500000134</v>
      </c>
      <c r="AA66" s="644">
        <f t="shared" si="228"/>
        <v>-3.7548387096775215E-2</v>
      </c>
      <c r="AB66" s="644">
        <f t="shared" si="228"/>
        <v>6.8507936507938183E-2</v>
      </c>
      <c r="AC66" s="644">
        <f t="shared" si="228"/>
        <v>0.26343749999999932</v>
      </c>
      <c r="AD66" s="645">
        <f t="shared" si="228"/>
        <v>0.35907936507936444</v>
      </c>
      <c r="AE66" s="644">
        <f t="shared" si="228"/>
        <v>0.10468852459016342</v>
      </c>
      <c r="AF66" s="644">
        <f t="shared" si="228"/>
        <v>7.9562500000000203E-2</v>
      </c>
      <c r="AG66" s="644">
        <f t="shared" si="228"/>
        <v>3.6515625000000718E-2</v>
      </c>
      <c r="AH66" s="645">
        <f t="shared" si="228"/>
        <v>4.9693548387096609E-2</v>
      </c>
      <c r="AI66" s="644">
        <f t="shared" si="209"/>
        <v>0.15672580645161371</v>
      </c>
      <c r="AJ66" s="644">
        <f t="shared" si="209"/>
        <v>0.10859375000000027</v>
      </c>
      <c r="AK66" s="644">
        <f t="shared" si="209"/>
        <v>0.25880952380952404</v>
      </c>
      <c r="AL66" s="645">
        <f t="shared" si="209"/>
        <v>1.4901290322580647</v>
      </c>
      <c r="AM66" s="644">
        <f t="shared" si="210"/>
        <v>0.7802950819672132</v>
      </c>
      <c r="AN66" s="644">
        <f t="shared" si="210"/>
        <v>-0.66499999999999959</v>
      </c>
      <c r="AO66" s="644">
        <f t="shared" si="210"/>
        <v>-0.37199999999999989</v>
      </c>
      <c r="AP66" s="645">
        <f t="shared" si="210"/>
        <v>-0.49500000000000055</v>
      </c>
      <c r="AQ66" s="644">
        <f t="shared" ref="AQ66:AX66" si="229">IF(ISBLANK(AQ209),"",AQ209)</f>
        <v>-0.30713417480557936</v>
      </c>
      <c r="AR66" s="644">
        <f t="shared" si="229"/>
        <v>-0.75064523540322092</v>
      </c>
      <c r="AS66" s="644">
        <f t="shared" si="229"/>
        <v>-0.53237727470099783</v>
      </c>
      <c r="AT66" s="645">
        <f t="shared" si="229"/>
        <v>-0.20050998189020053</v>
      </c>
      <c r="AU66" s="644">
        <f t="shared" si="229"/>
        <v>-0.26491667997570767</v>
      </c>
      <c r="AV66" s="644">
        <f t="shared" si="229"/>
        <v>-0.72952134616272168</v>
      </c>
      <c r="AW66" s="644">
        <f t="shared" si="229"/>
        <v>-0.50344822491097485</v>
      </c>
      <c r="AX66" s="645">
        <f t="shared" si="229"/>
        <v>-0.15278041575059387</v>
      </c>
      <c r="AY66" s="644">
        <f t="shared" ref="AY66:BB66" si="230">IF(ISBLANK(AY209),"",AY209)</f>
        <v>-0.18976284925876685</v>
      </c>
      <c r="AZ66" s="644">
        <f t="shared" si="230"/>
        <v>-0.6882236801665047</v>
      </c>
      <c r="BA66" s="644">
        <f t="shared" si="230"/>
        <v>-0.44995803943269674</v>
      </c>
      <c r="BB66" s="645">
        <f t="shared" si="230"/>
        <v>-6.8722097942030214E-2</v>
      </c>
      <c r="BC66" s="646"/>
      <c r="BD66" s="646"/>
      <c r="BE66" s="655">
        <f t="shared" si="178"/>
        <v>-0.11448212628280219</v>
      </c>
      <c r="BF66" s="655">
        <f t="shared" si="179"/>
        <v>0.10640259176587319</v>
      </c>
      <c r="BG66" s="655">
        <f t="shared" si="180"/>
        <v>0.28452740575396795</v>
      </c>
      <c r="BH66" s="672">
        <f t="shared" si="181"/>
        <v>0.23943723958333307</v>
      </c>
      <c r="BI66" s="672">
        <f t="shared" si="182"/>
        <v>0.34251620133196736</v>
      </c>
      <c r="BJ66" s="672">
        <f t="shared" si="183"/>
        <v>0.16336910362263168</v>
      </c>
      <c r="BK66" s="672">
        <f t="shared" si="184"/>
        <v>6.7615049494315238E-2</v>
      </c>
      <c r="BL66" s="672">
        <f t="shared" si="185"/>
        <v>0.50356452812980068</v>
      </c>
      <c r="BM66" s="672">
        <f t="shared" si="186"/>
        <v>-0.18792622950819671</v>
      </c>
      <c r="BN66" s="672">
        <f t="shared" si="187"/>
        <v>-0.44766666669999966</v>
      </c>
      <c r="BO66" s="672">
        <f t="shared" si="188"/>
        <v>-0.41266666669999952</v>
      </c>
      <c r="BP66" s="672">
        <f t="shared" si="189"/>
        <v>-0.34916666669999963</v>
      </c>
      <c r="BQ66" s="637"/>
      <c r="BR66" s="638"/>
      <c r="BU66" s="609"/>
      <c r="BV66" s="1653" t="s">
        <v>890</v>
      </c>
      <c r="BX66" s="1468">
        <f>Valuation!$CG$37</f>
        <v>0</v>
      </c>
    </row>
    <row r="67" spans="1:78" ht="12.75" customHeight="1">
      <c r="A67" s="610"/>
      <c r="B67" s="611"/>
      <c r="C67" s="629" t="str">
        <f t="shared" si="194"/>
        <v>NP 15 / SCAL</v>
      </c>
      <c r="D67" s="629" t="str">
        <f t="shared" si="194"/>
        <v/>
      </c>
      <c r="E67" s="629" t="str">
        <f t="shared" si="194"/>
        <v/>
      </c>
      <c r="F67" s="1461"/>
      <c r="G67" s="640">
        <f t="shared" si="170"/>
        <v>-5.9550084889643529E-3</v>
      </c>
      <c r="H67" s="641">
        <f t="shared" ref="H67:AH67" si="231">IF(ISBLANK(H210),"",H210)</f>
        <v>-0.1638730158730155</v>
      </c>
      <c r="I67" s="641">
        <f t="shared" si="231"/>
        <v>-0.31553124999999982</v>
      </c>
      <c r="J67" s="642">
        <f t="shared" si="231"/>
        <v>2.7430769230770924E-2</v>
      </c>
      <c r="K67" s="640">
        <f t="shared" si="231"/>
        <v>-4.0562500000001833E-2</v>
      </c>
      <c r="L67" s="641">
        <f t="shared" si="231"/>
        <v>2.5078125000001172E-2</v>
      </c>
      <c r="M67" s="641">
        <f t="shared" si="231"/>
        <v>0.14203125000000227</v>
      </c>
      <c r="N67" s="642">
        <f t="shared" si="231"/>
        <v>0.29906349206349114</v>
      </c>
      <c r="O67" s="640">
        <f t="shared" si="231"/>
        <v>0.31830158730158775</v>
      </c>
      <c r="P67" s="641">
        <f t="shared" si="231"/>
        <v>0.28319047619047666</v>
      </c>
      <c r="Q67" s="641">
        <f t="shared" si="231"/>
        <v>0.20952380952380834</v>
      </c>
      <c r="R67" s="641">
        <f t="shared" si="231"/>
        <v>0.32709374999999907</v>
      </c>
      <c r="S67" s="643">
        <f t="shared" si="231"/>
        <v>0.26973333333333294</v>
      </c>
      <c r="T67" s="644">
        <f t="shared" si="231"/>
        <v>0.15754687499999775</v>
      </c>
      <c r="U67" s="644">
        <f t="shared" si="231"/>
        <v>0.23087499999999972</v>
      </c>
      <c r="V67" s="645">
        <f t="shared" si="231"/>
        <v>0.29959375000000188</v>
      </c>
      <c r="W67" s="644">
        <f t="shared" si="231"/>
        <v>0.30404918032786998</v>
      </c>
      <c r="X67" s="644">
        <f t="shared" si="231"/>
        <v>0.30642187499999984</v>
      </c>
      <c r="Y67" s="644">
        <f t="shared" si="231"/>
        <v>0.50754687499999829</v>
      </c>
      <c r="Z67" s="645">
        <f t="shared" si="231"/>
        <v>0.25204687500000134</v>
      </c>
      <c r="AA67" s="644">
        <f t="shared" si="231"/>
        <v>-3.7548387096775215E-2</v>
      </c>
      <c r="AB67" s="644">
        <f t="shared" si="231"/>
        <v>6.8507936507938183E-2</v>
      </c>
      <c r="AC67" s="644">
        <f t="shared" si="231"/>
        <v>0.26343749999999932</v>
      </c>
      <c r="AD67" s="645">
        <f t="shared" si="231"/>
        <v>0.35907936507936444</v>
      </c>
      <c r="AE67" s="644">
        <f t="shared" si="231"/>
        <v>0.10468852459016342</v>
      </c>
      <c r="AF67" s="644">
        <f t="shared" si="231"/>
        <v>7.9562500000000203E-2</v>
      </c>
      <c r="AG67" s="644">
        <f t="shared" si="231"/>
        <v>3.6515625000000718E-2</v>
      </c>
      <c r="AH67" s="645">
        <f t="shared" si="231"/>
        <v>4.9693548387096609E-2</v>
      </c>
      <c r="AI67" s="644">
        <f t="shared" si="209"/>
        <v>0.15672580645161371</v>
      </c>
      <c r="AJ67" s="644">
        <f t="shared" si="209"/>
        <v>0.10859375000000027</v>
      </c>
      <c r="AK67" s="644">
        <f t="shared" si="209"/>
        <v>0.25880952380952404</v>
      </c>
      <c r="AL67" s="645">
        <f t="shared" si="209"/>
        <v>1.4901290322580647</v>
      </c>
      <c r="AM67" s="644">
        <f t="shared" si="210"/>
        <v>0.7802950819672132</v>
      </c>
      <c r="AN67" s="644">
        <f t="shared" si="210"/>
        <v>-0.66499999999999959</v>
      </c>
      <c r="AO67" s="644">
        <f t="shared" si="210"/>
        <v>-0.37199999999999989</v>
      </c>
      <c r="AP67" s="645">
        <f t="shared" si="210"/>
        <v>-0.49500000000000055</v>
      </c>
      <c r="AQ67" s="644">
        <f t="shared" ref="AQ67:AX67" si="232">IF(ISBLANK(AQ210),"",AQ210)</f>
        <v>-0.30713417480557936</v>
      </c>
      <c r="AR67" s="644">
        <f t="shared" si="232"/>
        <v>-0.75064523540322092</v>
      </c>
      <c r="AS67" s="644">
        <f t="shared" si="232"/>
        <v>-0.53237727470099783</v>
      </c>
      <c r="AT67" s="645">
        <f t="shared" si="232"/>
        <v>-0.20050998189020053</v>
      </c>
      <c r="AU67" s="644">
        <f t="shared" si="232"/>
        <v>-0.26491667997570767</v>
      </c>
      <c r="AV67" s="644">
        <f t="shared" si="232"/>
        <v>-0.72952134616272168</v>
      </c>
      <c r="AW67" s="644">
        <f t="shared" si="232"/>
        <v>-0.50344822491097485</v>
      </c>
      <c r="AX67" s="645">
        <f t="shared" si="232"/>
        <v>-0.15278041575059387</v>
      </c>
      <c r="AY67" s="644">
        <f t="shared" ref="AY67:BB67" si="233">IF(ISBLANK(AY210),"",AY210)</f>
        <v>-0.18976284925876685</v>
      </c>
      <c r="AZ67" s="644">
        <f t="shared" si="233"/>
        <v>-0.6882236801665047</v>
      </c>
      <c r="BA67" s="644">
        <f t="shared" si="233"/>
        <v>-0.44995803943269674</v>
      </c>
      <c r="BB67" s="645">
        <f t="shared" si="233"/>
        <v>-6.8722097942030214E-2</v>
      </c>
      <c r="BC67" s="646"/>
      <c r="BD67" s="646"/>
      <c r="BE67" s="655">
        <f t="shared" si="178"/>
        <v>-0.11448212628280219</v>
      </c>
      <c r="BF67" s="655">
        <f t="shared" si="179"/>
        <v>0.10640259176587319</v>
      </c>
      <c r="BG67" s="655">
        <f t="shared" si="180"/>
        <v>0.28452740575396795</v>
      </c>
      <c r="BH67" s="672">
        <f t="shared" si="181"/>
        <v>0.23943723958333307</v>
      </c>
      <c r="BI67" s="672">
        <f t="shared" si="182"/>
        <v>0.34251620133196736</v>
      </c>
      <c r="BJ67" s="672">
        <f t="shared" si="183"/>
        <v>0.16336910362263168</v>
      </c>
      <c r="BK67" s="672">
        <f t="shared" si="184"/>
        <v>6.7615049494315238E-2</v>
      </c>
      <c r="BL67" s="672">
        <f t="shared" si="185"/>
        <v>0.50356452812980068</v>
      </c>
      <c r="BM67" s="672">
        <f t="shared" si="186"/>
        <v>-0.18792622950819671</v>
      </c>
      <c r="BN67" s="672">
        <f t="shared" si="187"/>
        <v>-0.44766666669999966</v>
      </c>
      <c r="BO67" s="672">
        <f t="shared" si="188"/>
        <v>-0.41266666669999952</v>
      </c>
      <c r="BP67" s="672">
        <f t="shared" si="189"/>
        <v>-0.34916666669999963</v>
      </c>
      <c r="BQ67" s="637"/>
      <c r="BR67" s="638"/>
      <c r="BU67" s="609"/>
      <c r="BV67" s="608"/>
      <c r="BW67" s="608"/>
      <c r="BX67" s="608"/>
    </row>
    <row r="68" spans="1:78" ht="12.75" customHeight="1">
      <c r="A68" s="610"/>
      <c r="B68" s="611"/>
      <c r="C68" s="629" t="str">
        <f t="shared" si="194"/>
        <v>Mid C / SCAL</v>
      </c>
      <c r="D68" s="629" t="str">
        <f t="shared" si="194"/>
        <v/>
      </c>
      <c r="E68" s="629" t="str">
        <f t="shared" si="194"/>
        <v/>
      </c>
      <c r="F68" s="1461"/>
      <c r="G68" s="640">
        <f t="shared" si="170"/>
        <v>-5.9550084889643529E-3</v>
      </c>
      <c r="H68" s="641">
        <f t="shared" ref="H68:AH68" si="234">IF(ISBLANK(H211),"",H211)</f>
        <v>-0.1638730158730155</v>
      </c>
      <c r="I68" s="641">
        <f t="shared" si="234"/>
        <v>-0.31553124999999982</v>
      </c>
      <c r="J68" s="642">
        <f t="shared" si="234"/>
        <v>2.7430769230770924E-2</v>
      </c>
      <c r="K68" s="640">
        <f t="shared" si="234"/>
        <v>-4.0562500000001833E-2</v>
      </c>
      <c r="L68" s="641">
        <f t="shared" si="234"/>
        <v>2.5078125000001172E-2</v>
      </c>
      <c r="M68" s="641">
        <f t="shared" si="234"/>
        <v>0.14203125000000227</v>
      </c>
      <c r="N68" s="642">
        <f t="shared" si="234"/>
        <v>0.29906349206349114</v>
      </c>
      <c r="O68" s="640">
        <f t="shared" si="234"/>
        <v>0.31830158730158775</v>
      </c>
      <c r="P68" s="641">
        <f t="shared" si="234"/>
        <v>0.28319047619047666</v>
      </c>
      <c r="Q68" s="641">
        <f t="shared" si="234"/>
        <v>0.20952380952380834</v>
      </c>
      <c r="R68" s="641">
        <f t="shared" si="234"/>
        <v>0.32709374999999907</v>
      </c>
      <c r="S68" s="643">
        <f t="shared" si="234"/>
        <v>0.26973333333333294</v>
      </c>
      <c r="T68" s="644">
        <f t="shared" si="234"/>
        <v>0.15754687499999775</v>
      </c>
      <c r="U68" s="644">
        <f t="shared" si="234"/>
        <v>0.23087499999999972</v>
      </c>
      <c r="V68" s="645">
        <f t="shared" si="234"/>
        <v>0.29959375000000188</v>
      </c>
      <c r="W68" s="644">
        <f t="shared" si="234"/>
        <v>0.30404918032786998</v>
      </c>
      <c r="X68" s="644">
        <f t="shared" si="234"/>
        <v>0.30642187499999984</v>
      </c>
      <c r="Y68" s="644">
        <f t="shared" si="234"/>
        <v>0.50754687499999829</v>
      </c>
      <c r="Z68" s="645">
        <f t="shared" si="234"/>
        <v>0.25204687500000134</v>
      </c>
      <c r="AA68" s="644">
        <f t="shared" si="234"/>
        <v>-3.7548387096775215E-2</v>
      </c>
      <c r="AB68" s="644">
        <f t="shared" si="234"/>
        <v>6.8507936507938183E-2</v>
      </c>
      <c r="AC68" s="644">
        <f t="shared" si="234"/>
        <v>0.26343749999999932</v>
      </c>
      <c r="AD68" s="645">
        <f t="shared" si="234"/>
        <v>0.35907936507936444</v>
      </c>
      <c r="AE68" s="644">
        <f t="shared" si="234"/>
        <v>0.10468852459016342</v>
      </c>
      <c r="AF68" s="644">
        <f t="shared" si="234"/>
        <v>7.9562500000000203E-2</v>
      </c>
      <c r="AG68" s="644">
        <f t="shared" si="234"/>
        <v>3.6515625000000718E-2</v>
      </c>
      <c r="AH68" s="645">
        <f t="shared" si="234"/>
        <v>4.9693548387096609E-2</v>
      </c>
      <c r="AI68" s="644">
        <f t="shared" si="209"/>
        <v>0.15672580645161371</v>
      </c>
      <c r="AJ68" s="644">
        <f t="shared" si="209"/>
        <v>0.10859375000000027</v>
      </c>
      <c r="AK68" s="644">
        <f t="shared" si="209"/>
        <v>0.25880952380952404</v>
      </c>
      <c r="AL68" s="645">
        <f t="shared" si="209"/>
        <v>1.4901290322580647</v>
      </c>
      <c r="AM68" s="644">
        <f t="shared" si="210"/>
        <v>0.7802950819672132</v>
      </c>
      <c r="AN68" s="644">
        <f t="shared" si="210"/>
        <v>-0.66499999999999959</v>
      </c>
      <c r="AO68" s="644">
        <f t="shared" si="210"/>
        <v>-0.37199999999999989</v>
      </c>
      <c r="AP68" s="645">
        <f t="shared" si="210"/>
        <v>-0.49500000000000055</v>
      </c>
      <c r="AQ68" s="644">
        <f t="shared" ref="AQ68:AX68" si="235">IF(ISBLANK(AQ211),"",AQ211)</f>
        <v>-0.30713417480557936</v>
      </c>
      <c r="AR68" s="644">
        <f t="shared" si="235"/>
        <v>-0.75064523540322092</v>
      </c>
      <c r="AS68" s="644">
        <f t="shared" si="235"/>
        <v>-0.53237727470099783</v>
      </c>
      <c r="AT68" s="645">
        <f t="shared" si="235"/>
        <v>-0.20050998189020053</v>
      </c>
      <c r="AU68" s="644">
        <f t="shared" si="235"/>
        <v>-0.26491667997570767</v>
      </c>
      <c r="AV68" s="644">
        <f t="shared" si="235"/>
        <v>-0.72952134616272168</v>
      </c>
      <c r="AW68" s="644">
        <f t="shared" si="235"/>
        <v>-0.50344822491097485</v>
      </c>
      <c r="AX68" s="645">
        <f t="shared" si="235"/>
        <v>-0.15278041575059387</v>
      </c>
      <c r="AY68" s="644">
        <f t="shared" ref="AY68:BB68" si="236">IF(ISBLANK(AY211),"",AY211)</f>
        <v>-0.18976284925876685</v>
      </c>
      <c r="AZ68" s="644">
        <f t="shared" si="236"/>
        <v>-0.6882236801665047</v>
      </c>
      <c r="BA68" s="644">
        <f t="shared" si="236"/>
        <v>-0.44995803943269674</v>
      </c>
      <c r="BB68" s="645">
        <f t="shared" si="236"/>
        <v>-6.8722097942030214E-2</v>
      </c>
      <c r="BC68" s="646"/>
      <c r="BD68" s="646"/>
      <c r="BE68" s="655">
        <f t="shared" si="178"/>
        <v>-0.11448212628280219</v>
      </c>
      <c r="BF68" s="655">
        <f t="shared" si="179"/>
        <v>0.10640259176587319</v>
      </c>
      <c r="BG68" s="655">
        <f t="shared" si="180"/>
        <v>0.28452740575396795</v>
      </c>
      <c r="BH68" s="672">
        <f t="shared" si="181"/>
        <v>0.23943723958333307</v>
      </c>
      <c r="BI68" s="672">
        <f t="shared" si="182"/>
        <v>0.34251620133196736</v>
      </c>
      <c r="BJ68" s="672">
        <f t="shared" si="183"/>
        <v>0.16336910362263168</v>
      </c>
      <c r="BK68" s="672">
        <f t="shared" si="184"/>
        <v>6.7615049494315238E-2</v>
      </c>
      <c r="BL68" s="672">
        <f t="shared" si="185"/>
        <v>0.50356452812980068</v>
      </c>
      <c r="BM68" s="672">
        <f t="shared" si="186"/>
        <v>-0.18792622950819671</v>
      </c>
      <c r="BN68" s="672">
        <f t="shared" si="187"/>
        <v>-0.44766666669999966</v>
      </c>
      <c r="BO68" s="672">
        <f t="shared" si="188"/>
        <v>-0.41266666669999952</v>
      </c>
      <c r="BP68" s="672">
        <f t="shared" si="189"/>
        <v>-0.34916666669999963</v>
      </c>
      <c r="BQ68" s="637"/>
      <c r="BR68" s="638"/>
      <c r="BU68" s="609"/>
      <c r="BV68" s="1450" t="s">
        <v>703</v>
      </c>
      <c r="BW68" s="1472" t="s">
        <v>119</v>
      </c>
      <c r="BX68" s="1472" t="s">
        <v>704</v>
      </c>
      <c r="BY68" s="1472" t="s">
        <v>705</v>
      </c>
    </row>
    <row r="69" spans="1:78" ht="12.75" customHeight="1">
      <c r="A69" s="610"/>
      <c r="B69" s="611"/>
      <c r="C69" s="629" t="str">
        <f t="shared" si="194"/>
        <v/>
      </c>
      <c r="D69" s="629" t="str">
        <f t="shared" si="194"/>
        <v/>
      </c>
      <c r="E69" s="629" t="str">
        <f t="shared" si="194"/>
        <v/>
      </c>
      <c r="F69" s="654"/>
      <c r="G69" s="640">
        <f t="shared" si="170"/>
        <v>-8.7661290322580854E-2</v>
      </c>
      <c r="H69" s="641">
        <f t="shared" ref="H69:AH69" si="237">IF(ISBLANK(H212),"",H212)</f>
        <v>-0.16344444444444317</v>
      </c>
      <c r="I69" s="641">
        <f t="shared" si="237"/>
        <v>-0.26625000000000032</v>
      </c>
      <c r="J69" s="642">
        <f t="shared" si="237"/>
        <v>-0.10644615384615275</v>
      </c>
      <c r="K69" s="640">
        <f t="shared" si="237"/>
        <v>-3.8796875000000064E-2</v>
      </c>
      <c r="L69" s="641">
        <f t="shared" si="237"/>
        <v>-0.11246874999999878</v>
      </c>
      <c r="M69" s="641">
        <f t="shared" si="237"/>
        <v>-8.0437500000000384E-2</v>
      </c>
      <c r="N69" s="642">
        <f t="shared" si="237"/>
        <v>-7.6968253968253908E-2</v>
      </c>
      <c r="O69" s="640">
        <f t="shared" si="237"/>
        <v>-6.4174603174603106E-2</v>
      </c>
      <c r="P69" s="641">
        <f t="shared" si="237"/>
        <v>-5.0873015873015071E-2</v>
      </c>
      <c r="Q69" s="641">
        <f t="shared" si="237"/>
        <v>-6.5730158730158195E-2</v>
      </c>
      <c r="R69" s="641">
        <f t="shared" si="237"/>
        <v>-7.0828125000001574E-2</v>
      </c>
      <c r="S69" s="643">
        <f t="shared" si="237"/>
        <v>-6.5516666666667334E-2</v>
      </c>
      <c r="T69" s="644">
        <f t="shared" si="237"/>
        <v>-0.10400000000000054</v>
      </c>
      <c r="U69" s="644">
        <f t="shared" si="237"/>
        <v>-6.8781250000001126E-2</v>
      </c>
      <c r="V69" s="645">
        <f t="shared" si="237"/>
        <v>-4.9484375000000469E-2</v>
      </c>
      <c r="W69" s="644">
        <f t="shared" si="237"/>
        <v>0.13100000000000023</v>
      </c>
      <c r="X69" s="644">
        <f t="shared" si="237"/>
        <v>-0.1406093749999977</v>
      </c>
      <c r="Y69" s="644">
        <f t="shared" si="237"/>
        <v>-8.2046874999999631E-2</v>
      </c>
      <c r="Z69" s="645">
        <f t="shared" si="237"/>
        <v>-0.13220312499999887</v>
      </c>
      <c r="AA69" s="644">
        <f t="shared" si="237"/>
        <v>-0.18638709677419296</v>
      </c>
      <c r="AB69" s="644">
        <f t="shared" si="237"/>
        <v>-0.1698571428571416</v>
      </c>
      <c r="AC69" s="644">
        <f t="shared" si="237"/>
        <v>-9.4734374999999815E-2</v>
      </c>
      <c r="AD69" s="645">
        <f t="shared" si="237"/>
        <v>-7.3825396825397682E-2</v>
      </c>
      <c r="AE69" s="644">
        <f t="shared" si="237"/>
        <v>-0.13737704918032856</v>
      </c>
      <c r="AF69" s="644">
        <f t="shared" si="237"/>
        <v>-0.15981249999999947</v>
      </c>
      <c r="AG69" s="644">
        <f t="shared" si="237"/>
        <v>-0.16378125000000088</v>
      </c>
      <c r="AH69" s="645">
        <f t="shared" si="237"/>
        <v>-0.1974516129032251</v>
      </c>
      <c r="AI69" s="644">
        <f t="shared" si="209"/>
        <v>-0.2175806451612905</v>
      </c>
      <c r="AJ69" s="644">
        <f t="shared" si="209"/>
        <v>-0.31395312499999983</v>
      </c>
      <c r="AK69" s="644">
        <f t="shared" si="209"/>
        <v>-0.23814285714285521</v>
      </c>
      <c r="AL69" s="645">
        <f t="shared" si="209"/>
        <v>-0.332435483870968</v>
      </c>
      <c r="AM69" s="644">
        <f t="shared" si="210"/>
        <v>-0.44990163934426253</v>
      </c>
      <c r="AN69" s="644">
        <f t="shared" si="210"/>
        <v>-0.37966666666666615</v>
      </c>
      <c r="AO69" s="644">
        <f t="shared" si="210"/>
        <v>-0.39166666666666661</v>
      </c>
      <c r="AP69" s="645">
        <f t="shared" si="210"/>
        <v>-0.37166666666666703</v>
      </c>
      <c r="AQ69" s="644">
        <f t="shared" ref="AQ69:AX69" si="238">IF(ISBLANK(AQ212),"",AQ212)</f>
        <v>-0.19602769763382533</v>
      </c>
      <c r="AR69" s="644">
        <f t="shared" si="238"/>
        <v>-0.300845626465994</v>
      </c>
      <c r="AS69" s="644">
        <f t="shared" si="238"/>
        <v>-0.18112311230464595</v>
      </c>
      <c r="AT69" s="645">
        <f t="shared" si="238"/>
        <v>-0.4933368969288674</v>
      </c>
      <c r="AU69" s="644">
        <f t="shared" si="238"/>
        <v>-0.21941821857145705</v>
      </c>
      <c r="AV69" s="644">
        <f t="shared" si="238"/>
        <v>-0.28887692999624326</v>
      </c>
      <c r="AW69" s="644">
        <f t="shared" si="238"/>
        <v>-0.1563235091335029</v>
      </c>
      <c r="AX69" s="645">
        <f t="shared" si="238"/>
        <v>-0.48504800896546163</v>
      </c>
      <c r="AY69" s="644">
        <f t="shared" ref="AY69:BB69" si="239">IF(ISBLANK(AY212),"",AY212)</f>
        <v>-0.2167463007799646</v>
      </c>
      <c r="AZ69" s="644">
        <f t="shared" si="239"/>
        <v>-0.28245768253923886</v>
      </c>
      <c r="BA69" s="644">
        <f t="shared" si="239"/>
        <v>-0.14056807383264047</v>
      </c>
      <c r="BB69" s="645">
        <f t="shared" si="239"/>
        <v>-0.47456127618148791</v>
      </c>
      <c r="BC69" s="646"/>
      <c r="BD69" s="646"/>
      <c r="BE69" s="655"/>
      <c r="BF69" s="655"/>
      <c r="BG69" s="655"/>
      <c r="BH69" s="672"/>
      <c r="BI69" s="672"/>
      <c r="BJ69" s="672"/>
      <c r="BK69" s="672"/>
      <c r="BL69" s="672"/>
      <c r="BM69" s="672"/>
      <c r="BN69" s="672"/>
      <c r="BO69" s="672"/>
      <c r="BP69" s="672"/>
      <c r="BQ69" s="637"/>
      <c r="BR69" s="682"/>
      <c r="BU69" s="609"/>
      <c r="BV69" s="1467" t="str">
        <f>+C82</f>
        <v>PJM West</v>
      </c>
      <c r="BW69" s="1465">
        <f>+BP82</f>
        <v>18400</v>
      </c>
      <c r="BX69" s="1473">
        <f>+BX36</f>
        <v>18400</v>
      </c>
      <c r="BY69" s="1473">
        <f t="shared" ref="BY69:BY73" si="240">+BW69-BX69</f>
        <v>0</v>
      </c>
      <c r="BZ69" s="1685"/>
    </row>
    <row r="70" spans="1:78" ht="12.75" customHeight="1">
      <c r="A70" s="610"/>
      <c r="B70" s="611"/>
      <c r="G70" s="640" t="str">
        <f t="shared" si="170"/>
        <v/>
      </c>
      <c r="H70" s="641" t="str">
        <f t="shared" ref="H70:AH70" si="241">IF(ISBLANK(H213),"",H213)</f>
        <v/>
      </c>
      <c r="I70" s="641" t="str">
        <f t="shared" si="241"/>
        <v/>
      </c>
      <c r="J70" s="642" t="str">
        <f t="shared" si="241"/>
        <v/>
      </c>
      <c r="K70" s="640" t="str">
        <f t="shared" si="241"/>
        <v/>
      </c>
      <c r="L70" s="641" t="str">
        <f t="shared" si="241"/>
        <v/>
      </c>
      <c r="M70" s="641" t="str">
        <f t="shared" si="241"/>
        <v/>
      </c>
      <c r="N70" s="642" t="str">
        <f t="shared" si="241"/>
        <v/>
      </c>
      <c r="O70" s="640" t="str">
        <f t="shared" si="241"/>
        <v/>
      </c>
      <c r="P70" s="641" t="str">
        <f t="shared" si="241"/>
        <v/>
      </c>
      <c r="Q70" s="641" t="str">
        <f t="shared" si="241"/>
        <v/>
      </c>
      <c r="R70" s="641" t="str">
        <f t="shared" si="241"/>
        <v/>
      </c>
      <c r="S70" s="643" t="str">
        <f t="shared" si="241"/>
        <v/>
      </c>
      <c r="T70" s="644" t="str">
        <f t="shared" si="241"/>
        <v/>
      </c>
      <c r="U70" s="644" t="str">
        <f t="shared" si="241"/>
        <v/>
      </c>
      <c r="V70" s="645" t="str">
        <f t="shared" si="241"/>
        <v/>
      </c>
      <c r="W70" s="644" t="str">
        <f t="shared" si="241"/>
        <v/>
      </c>
      <c r="X70" s="644" t="str">
        <f t="shared" si="241"/>
        <v/>
      </c>
      <c r="Y70" s="644" t="str">
        <f t="shared" si="241"/>
        <v/>
      </c>
      <c r="Z70" s="645" t="str">
        <f t="shared" si="241"/>
        <v/>
      </c>
      <c r="AA70" s="644" t="str">
        <f t="shared" si="241"/>
        <v/>
      </c>
      <c r="AB70" s="644" t="str">
        <f t="shared" si="241"/>
        <v/>
      </c>
      <c r="AC70" s="644" t="str">
        <f t="shared" si="241"/>
        <v/>
      </c>
      <c r="AD70" s="645" t="str">
        <f t="shared" si="241"/>
        <v/>
      </c>
      <c r="AE70" s="644" t="str">
        <f t="shared" si="241"/>
        <v/>
      </c>
      <c r="AF70" s="644" t="str">
        <f t="shared" si="241"/>
        <v/>
      </c>
      <c r="AG70" s="644" t="str">
        <f t="shared" si="241"/>
        <v/>
      </c>
      <c r="AH70" s="645" t="str">
        <f t="shared" si="241"/>
        <v/>
      </c>
      <c r="AI70" s="644" t="str">
        <f t="shared" si="209"/>
        <v/>
      </c>
      <c r="AJ70" s="644" t="str">
        <f t="shared" si="209"/>
        <v/>
      </c>
      <c r="AK70" s="644" t="str">
        <f t="shared" si="209"/>
        <v/>
      </c>
      <c r="AL70" s="645" t="str">
        <f t="shared" si="209"/>
        <v/>
      </c>
      <c r="AM70" s="644" t="str">
        <f t="shared" si="210"/>
        <v/>
      </c>
      <c r="AN70" s="644" t="str">
        <f t="shared" si="210"/>
        <v/>
      </c>
      <c r="AO70" s="644" t="str">
        <f t="shared" si="210"/>
        <v/>
      </c>
      <c r="AP70" s="645" t="str">
        <f t="shared" si="210"/>
        <v/>
      </c>
      <c r="AQ70" s="644" t="str">
        <f t="shared" ref="AQ70:AX70" si="242">IF(ISBLANK(AQ213),"",AQ213)</f>
        <v/>
      </c>
      <c r="AR70" s="644" t="str">
        <f t="shared" si="242"/>
        <v/>
      </c>
      <c r="AS70" s="644" t="str">
        <f t="shared" si="242"/>
        <v/>
      </c>
      <c r="AT70" s="645" t="str">
        <f t="shared" si="242"/>
        <v/>
      </c>
      <c r="AU70" s="644" t="str">
        <f t="shared" si="242"/>
        <v/>
      </c>
      <c r="AV70" s="644" t="str">
        <f t="shared" si="242"/>
        <v/>
      </c>
      <c r="AW70" s="644" t="str">
        <f t="shared" si="242"/>
        <v/>
      </c>
      <c r="AX70" s="645" t="str">
        <f t="shared" si="242"/>
        <v/>
      </c>
      <c r="AY70" s="644" t="str">
        <f t="shared" ref="AY70:BB70" si="243">IF(ISBLANK(AY213),"",AY213)</f>
        <v/>
      </c>
      <c r="AZ70" s="644" t="str">
        <f t="shared" si="243"/>
        <v/>
      </c>
      <c r="BA70" s="644" t="str">
        <f t="shared" si="243"/>
        <v/>
      </c>
      <c r="BB70" s="645" t="str">
        <f t="shared" si="243"/>
        <v/>
      </c>
      <c r="BC70" s="646"/>
      <c r="BD70" s="646"/>
      <c r="BE70" s="655"/>
      <c r="BF70" s="655"/>
      <c r="BG70" s="655"/>
      <c r="BH70" s="672"/>
      <c r="BI70" s="672"/>
      <c r="BJ70" s="672"/>
      <c r="BK70" s="672"/>
      <c r="BL70" s="672"/>
      <c r="BM70" s="672"/>
      <c r="BN70" s="672"/>
      <c r="BO70" s="672"/>
      <c r="BP70" s="672"/>
      <c r="BQ70" s="637"/>
      <c r="BR70" s="638"/>
      <c r="BU70" s="609"/>
      <c r="BV70" s="1467" t="str">
        <f>+C83</f>
        <v>PJM East</v>
      </c>
      <c r="BW70" s="1465">
        <f>+BP83</f>
        <v>17597.785714285717</v>
      </c>
      <c r="BX70" s="1473">
        <f>+BX37</f>
        <v>17597.785714285717</v>
      </c>
      <c r="BY70" s="1473">
        <f t="shared" si="240"/>
        <v>0</v>
      </c>
      <c r="BZ70" s="1685"/>
    </row>
    <row r="71" spans="1:78" ht="12.75" customHeight="1">
      <c r="A71" s="610"/>
      <c r="B71" s="611"/>
      <c r="C71" s="659" t="str">
        <f t="shared" ref="C71:E75" si="244">IF(ISBLANK(C214),"",C214)</f>
        <v>Coal Delivery Costs</v>
      </c>
      <c r="D71" s="693" t="str">
        <f t="shared" si="244"/>
        <v/>
      </c>
      <c r="E71" s="693" t="str">
        <f t="shared" si="244"/>
        <v/>
      </c>
      <c r="F71" s="1466"/>
      <c r="G71" s="640" t="str">
        <f t="shared" si="170"/>
        <v/>
      </c>
      <c r="H71" s="641" t="str">
        <f t="shared" ref="H71:AH71" si="245">IF(ISBLANK(H214),"",H214)</f>
        <v/>
      </c>
      <c r="I71" s="641" t="str">
        <f t="shared" si="245"/>
        <v/>
      </c>
      <c r="J71" s="642" t="str">
        <f t="shared" si="245"/>
        <v/>
      </c>
      <c r="K71" s="640" t="str">
        <f t="shared" si="245"/>
        <v/>
      </c>
      <c r="L71" s="641" t="str">
        <f t="shared" si="245"/>
        <v/>
      </c>
      <c r="M71" s="641" t="str">
        <f t="shared" si="245"/>
        <v/>
      </c>
      <c r="N71" s="642" t="str">
        <f t="shared" si="245"/>
        <v/>
      </c>
      <c r="O71" s="640" t="str">
        <f t="shared" si="245"/>
        <v/>
      </c>
      <c r="P71" s="641" t="str">
        <f t="shared" si="245"/>
        <v/>
      </c>
      <c r="Q71" s="641" t="str">
        <f t="shared" si="245"/>
        <v/>
      </c>
      <c r="R71" s="641" t="str">
        <f t="shared" si="245"/>
        <v/>
      </c>
      <c r="S71" s="643" t="str">
        <f t="shared" si="245"/>
        <v/>
      </c>
      <c r="T71" s="644" t="str">
        <f t="shared" si="245"/>
        <v/>
      </c>
      <c r="U71" s="644" t="str">
        <f t="shared" si="245"/>
        <v/>
      </c>
      <c r="V71" s="645" t="str">
        <f t="shared" si="245"/>
        <v/>
      </c>
      <c r="W71" s="644" t="str">
        <f t="shared" si="245"/>
        <v/>
      </c>
      <c r="X71" s="644" t="str">
        <f t="shared" si="245"/>
        <v/>
      </c>
      <c r="Y71" s="644" t="str">
        <f t="shared" si="245"/>
        <v/>
      </c>
      <c r="Z71" s="645" t="str">
        <f t="shared" si="245"/>
        <v/>
      </c>
      <c r="AA71" s="644" t="str">
        <f t="shared" si="245"/>
        <v/>
      </c>
      <c r="AB71" s="644" t="str">
        <f t="shared" si="245"/>
        <v/>
      </c>
      <c r="AC71" s="644" t="str">
        <f t="shared" si="245"/>
        <v/>
      </c>
      <c r="AD71" s="645" t="str">
        <f t="shared" si="245"/>
        <v/>
      </c>
      <c r="AE71" s="644" t="str">
        <f t="shared" si="245"/>
        <v/>
      </c>
      <c r="AF71" s="644" t="str">
        <f t="shared" si="245"/>
        <v/>
      </c>
      <c r="AG71" s="644" t="str">
        <f t="shared" si="245"/>
        <v/>
      </c>
      <c r="AH71" s="645" t="str">
        <f t="shared" si="245"/>
        <v/>
      </c>
      <c r="AI71" s="644" t="str">
        <f t="shared" si="209"/>
        <v/>
      </c>
      <c r="AJ71" s="644" t="str">
        <f t="shared" si="209"/>
        <v/>
      </c>
      <c r="AK71" s="644" t="str">
        <f t="shared" si="209"/>
        <v/>
      </c>
      <c r="AL71" s="645" t="str">
        <f t="shared" si="209"/>
        <v/>
      </c>
      <c r="AM71" s="644" t="str">
        <f t="shared" si="210"/>
        <v/>
      </c>
      <c r="AN71" s="644" t="str">
        <f t="shared" si="210"/>
        <v/>
      </c>
      <c r="AO71" s="644" t="str">
        <f t="shared" si="210"/>
        <v/>
      </c>
      <c r="AP71" s="645" t="str">
        <f t="shared" si="210"/>
        <v/>
      </c>
      <c r="AQ71" s="644" t="str">
        <f t="shared" ref="AQ71:AX71" si="246">IF(ISBLANK(AQ214),"",AQ214)</f>
        <v/>
      </c>
      <c r="AR71" s="644" t="str">
        <f t="shared" si="246"/>
        <v/>
      </c>
      <c r="AS71" s="644" t="str">
        <f t="shared" si="246"/>
        <v/>
      </c>
      <c r="AT71" s="645" t="str">
        <f t="shared" si="246"/>
        <v/>
      </c>
      <c r="AU71" s="644" t="str">
        <f t="shared" si="246"/>
        <v/>
      </c>
      <c r="AV71" s="644" t="str">
        <f t="shared" si="246"/>
        <v/>
      </c>
      <c r="AW71" s="644" t="str">
        <f t="shared" si="246"/>
        <v/>
      </c>
      <c r="AX71" s="645" t="str">
        <f t="shared" si="246"/>
        <v/>
      </c>
      <c r="AY71" s="644" t="str">
        <f t="shared" ref="AY71:BB71" si="247">IF(ISBLANK(AY214),"",AY214)</f>
        <v/>
      </c>
      <c r="AZ71" s="644" t="str">
        <f t="shared" si="247"/>
        <v/>
      </c>
      <c r="BA71" s="644" t="str">
        <f t="shared" si="247"/>
        <v/>
      </c>
      <c r="BB71" s="645" t="str">
        <f t="shared" si="247"/>
        <v/>
      </c>
      <c r="BC71" s="646"/>
      <c r="BD71" s="646"/>
      <c r="BE71" s="655"/>
      <c r="BF71" s="655"/>
      <c r="BG71" s="655"/>
      <c r="BH71" s="655"/>
      <c r="BI71" s="655"/>
      <c r="BJ71" s="655"/>
      <c r="BK71" s="655"/>
      <c r="BL71" s="655"/>
      <c r="BM71" s="655"/>
      <c r="BN71" s="655"/>
      <c r="BO71" s="655"/>
      <c r="BP71" s="655"/>
      <c r="BQ71" s="637"/>
      <c r="BR71" s="638"/>
      <c r="BU71" s="609"/>
      <c r="BV71" s="1467" t="str">
        <f>+C84</f>
        <v>AEP Dayton</v>
      </c>
      <c r="BW71" s="1465">
        <f>+BP84</f>
        <v>19477.5</v>
      </c>
      <c r="BX71" s="1473">
        <f>+BX38</f>
        <v>19477.5</v>
      </c>
      <c r="BY71" s="1473">
        <f t="shared" si="240"/>
        <v>0</v>
      </c>
      <c r="BZ71" s="1685"/>
    </row>
    <row r="72" spans="1:78" ht="12.75" customHeight="1">
      <c r="A72" s="610"/>
      <c r="B72" s="611"/>
      <c r="C72" s="629" t="str">
        <f t="shared" si="244"/>
        <v>Coal (Delivery Cost $/t)</v>
      </c>
      <c r="D72" s="629" t="str">
        <f t="shared" si="244"/>
        <v/>
      </c>
      <c r="E72" s="629" t="str">
        <f t="shared" si="244"/>
        <v/>
      </c>
      <c r="F72" s="654"/>
      <c r="G72" s="643">
        <f t="shared" si="170"/>
        <v>5</v>
      </c>
      <c r="H72" s="644">
        <f t="shared" ref="H72:AH72" si="248">IF(ISBLANK(H215),"",H215)</f>
        <v>5</v>
      </c>
      <c r="I72" s="644">
        <f t="shared" si="248"/>
        <v>5</v>
      </c>
      <c r="J72" s="645">
        <f t="shared" si="248"/>
        <v>5</v>
      </c>
      <c r="K72" s="643">
        <f t="shared" si="248"/>
        <v>5</v>
      </c>
      <c r="L72" s="644">
        <f t="shared" si="248"/>
        <v>5</v>
      </c>
      <c r="M72" s="644">
        <f t="shared" si="248"/>
        <v>5</v>
      </c>
      <c r="N72" s="645">
        <f t="shared" si="248"/>
        <v>5</v>
      </c>
      <c r="O72" s="643">
        <f t="shared" si="248"/>
        <v>5</v>
      </c>
      <c r="P72" s="644">
        <f t="shared" si="248"/>
        <v>5</v>
      </c>
      <c r="Q72" s="644">
        <f t="shared" si="248"/>
        <v>5</v>
      </c>
      <c r="R72" s="644">
        <f t="shared" si="248"/>
        <v>5</v>
      </c>
      <c r="S72" s="643">
        <f t="shared" si="248"/>
        <v>5</v>
      </c>
      <c r="T72" s="644">
        <f t="shared" si="248"/>
        <v>5</v>
      </c>
      <c r="U72" s="644">
        <f t="shared" si="248"/>
        <v>5</v>
      </c>
      <c r="V72" s="645">
        <f t="shared" si="248"/>
        <v>5</v>
      </c>
      <c r="W72" s="644">
        <f t="shared" si="248"/>
        <v>5</v>
      </c>
      <c r="X72" s="644">
        <f t="shared" si="248"/>
        <v>5</v>
      </c>
      <c r="Y72" s="644">
        <f t="shared" si="248"/>
        <v>5</v>
      </c>
      <c r="Z72" s="645">
        <f t="shared" si="248"/>
        <v>5</v>
      </c>
      <c r="AA72" s="644">
        <f t="shared" si="248"/>
        <v>5</v>
      </c>
      <c r="AB72" s="644">
        <f t="shared" si="248"/>
        <v>5</v>
      </c>
      <c r="AC72" s="644">
        <f t="shared" si="248"/>
        <v>5</v>
      </c>
      <c r="AD72" s="645">
        <f t="shared" si="248"/>
        <v>5</v>
      </c>
      <c r="AE72" s="644">
        <f t="shared" si="248"/>
        <v>5</v>
      </c>
      <c r="AF72" s="644">
        <f t="shared" si="248"/>
        <v>5</v>
      </c>
      <c r="AG72" s="644">
        <f t="shared" si="248"/>
        <v>5</v>
      </c>
      <c r="AH72" s="645">
        <f t="shared" si="248"/>
        <v>5</v>
      </c>
      <c r="AI72" s="644">
        <f t="shared" si="209"/>
        <v>5</v>
      </c>
      <c r="AJ72" s="644">
        <f t="shared" si="209"/>
        <v>5</v>
      </c>
      <c r="AK72" s="644">
        <f t="shared" si="209"/>
        <v>5</v>
      </c>
      <c r="AL72" s="645">
        <f t="shared" si="209"/>
        <v>5</v>
      </c>
      <c r="AM72" s="644">
        <f t="shared" si="210"/>
        <v>5</v>
      </c>
      <c r="AN72" s="644">
        <f t="shared" si="210"/>
        <v>5</v>
      </c>
      <c r="AO72" s="644">
        <f t="shared" si="210"/>
        <v>5</v>
      </c>
      <c r="AP72" s="645">
        <f t="shared" si="210"/>
        <v>5</v>
      </c>
      <c r="AQ72" s="644">
        <f t="shared" ref="AQ72:AX72" si="249">IF(ISBLANK(AQ215),"",AQ215)</f>
        <v>5</v>
      </c>
      <c r="AR72" s="644">
        <f t="shared" si="249"/>
        <v>5</v>
      </c>
      <c r="AS72" s="644">
        <f t="shared" si="249"/>
        <v>5</v>
      </c>
      <c r="AT72" s="645">
        <f t="shared" si="249"/>
        <v>5</v>
      </c>
      <c r="AU72" s="644">
        <f t="shared" si="249"/>
        <v>5</v>
      </c>
      <c r="AV72" s="644">
        <f t="shared" si="249"/>
        <v>5</v>
      </c>
      <c r="AW72" s="644">
        <f t="shared" si="249"/>
        <v>5</v>
      </c>
      <c r="AX72" s="645">
        <f t="shared" si="249"/>
        <v>5</v>
      </c>
      <c r="AY72" s="644">
        <f t="shared" ref="AY72:BB72" si="250">IF(ISBLANK(AY215),"",AY215)</f>
        <v>5</v>
      </c>
      <c r="AZ72" s="644">
        <f t="shared" si="250"/>
        <v>5</v>
      </c>
      <c r="BA72" s="644">
        <f t="shared" si="250"/>
        <v>5</v>
      </c>
      <c r="BB72" s="645">
        <f t="shared" si="250"/>
        <v>5</v>
      </c>
      <c r="BC72" s="646"/>
      <c r="BD72" s="646"/>
      <c r="BE72" s="655">
        <f>AVERAGE(G72:J72)</f>
        <v>5</v>
      </c>
      <c r="BF72" s="655">
        <f>AVERAGE(K72:N72)</f>
        <v>5</v>
      </c>
      <c r="BG72" s="655">
        <f>AVERAGE(O72:R72)</f>
        <v>5</v>
      </c>
      <c r="BH72" s="655">
        <f>AVERAGE(S72:V72)</f>
        <v>5</v>
      </c>
      <c r="BI72" s="655">
        <f>AVERAGE(W72:Z72)</f>
        <v>5</v>
      </c>
      <c r="BJ72" s="655">
        <f>AVERAGE(AA72:AD72)</f>
        <v>5</v>
      </c>
      <c r="BK72" s="655">
        <f>AVERAGE(AE72:AH72)</f>
        <v>5</v>
      </c>
      <c r="BL72" s="655">
        <f>AVERAGE(AI72:AL72)</f>
        <v>5</v>
      </c>
      <c r="BM72" s="672">
        <f>AVERAGE(AM72:AP72)</f>
        <v>5</v>
      </c>
      <c r="BN72" s="672">
        <f t="shared" ref="BN72:BN74" si="251">AVERAGE(AQ72:AT72)</f>
        <v>5</v>
      </c>
      <c r="BO72" s="672">
        <f t="shared" ref="BO72:BO74" si="252">AVERAGE(AU72:AX72)</f>
        <v>5</v>
      </c>
      <c r="BP72" s="672">
        <f t="shared" ref="BP72:BP74" si="253">AVERAGE(AY72:BB72)</f>
        <v>5</v>
      </c>
      <c r="BQ72" s="637"/>
      <c r="BR72" s="638"/>
      <c r="BU72" s="609"/>
      <c r="BV72" s="1467" t="str">
        <f>+C85</f>
        <v>Cinergy</v>
      </c>
      <c r="BW72" s="1465">
        <f>+BP85</f>
        <v>16920</v>
      </c>
      <c r="BX72" s="1473">
        <f>+BX39</f>
        <v>16920</v>
      </c>
      <c r="BY72" s="1473">
        <f t="shared" si="240"/>
        <v>0</v>
      </c>
      <c r="BZ72" s="1685"/>
    </row>
    <row r="73" spans="1:78" ht="12.75" customHeight="1">
      <c r="A73" s="610"/>
      <c r="B73" s="611"/>
      <c r="C73" s="629" t="str">
        <f t="shared" si="244"/>
        <v>CAPP Coal (Delivery Cost $/t)</v>
      </c>
      <c r="D73" s="629" t="str">
        <f t="shared" si="244"/>
        <v/>
      </c>
      <c r="E73" s="629" t="str">
        <f t="shared" si="244"/>
        <v/>
      </c>
      <c r="F73" s="654"/>
      <c r="G73" s="643">
        <f t="shared" si="170"/>
        <v>15</v>
      </c>
      <c r="H73" s="644">
        <f t="shared" ref="H73:AH73" si="254">IF(ISBLANK(H216),"",H216)</f>
        <v>15</v>
      </c>
      <c r="I73" s="644">
        <f t="shared" si="254"/>
        <v>15</v>
      </c>
      <c r="J73" s="645">
        <f t="shared" si="254"/>
        <v>15</v>
      </c>
      <c r="K73" s="643">
        <f t="shared" si="254"/>
        <v>15</v>
      </c>
      <c r="L73" s="644">
        <f t="shared" si="254"/>
        <v>15</v>
      </c>
      <c r="M73" s="644">
        <f t="shared" si="254"/>
        <v>15</v>
      </c>
      <c r="N73" s="645">
        <f t="shared" si="254"/>
        <v>15</v>
      </c>
      <c r="O73" s="643">
        <f t="shared" si="254"/>
        <v>15</v>
      </c>
      <c r="P73" s="644">
        <f t="shared" si="254"/>
        <v>15</v>
      </c>
      <c r="Q73" s="644">
        <f t="shared" si="254"/>
        <v>15</v>
      </c>
      <c r="R73" s="644">
        <f t="shared" si="254"/>
        <v>15</v>
      </c>
      <c r="S73" s="643">
        <f t="shared" si="254"/>
        <v>15</v>
      </c>
      <c r="T73" s="644">
        <f t="shared" si="254"/>
        <v>15</v>
      </c>
      <c r="U73" s="644">
        <f t="shared" si="254"/>
        <v>15</v>
      </c>
      <c r="V73" s="645">
        <f t="shared" si="254"/>
        <v>15</v>
      </c>
      <c r="W73" s="644">
        <f t="shared" si="254"/>
        <v>15</v>
      </c>
      <c r="X73" s="644">
        <f t="shared" si="254"/>
        <v>15</v>
      </c>
      <c r="Y73" s="644">
        <f t="shared" si="254"/>
        <v>15</v>
      </c>
      <c r="Z73" s="645">
        <f t="shared" si="254"/>
        <v>15</v>
      </c>
      <c r="AA73" s="644">
        <f t="shared" si="254"/>
        <v>15</v>
      </c>
      <c r="AB73" s="644">
        <f t="shared" si="254"/>
        <v>15</v>
      </c>
      <c r="AC73" s="644">
        <f t="shared" si="254"/>
        <v>15</v>
      </c>
      <c r="AD73" s="645">
        <f t="shared" si="254"/>
        <v>15</v>
      </c>
      <c r="AE73" s="644">
        <f t="shared" si="254"/>
        <v>15</v>
      </c>
      <c r="AF73" s="644">
        <f t="shared" si="254"/>
        <v>15</v>
      </c>
      <c r="AG73" s="644">
        <f t="shared" si="254"/>
        <v>15</v>
      </c>
      <c r="AH73" s="645">
        <f t="shared" si="254"/>
        <v>15</v>
      </c>
      <c r="AI73" s="644">
        <f t="shared" si="209"/>
        <v>15</v>
      </c>
      <c r="AJ73" s="644">
        <f t="shared" si="209"/>
        <v>15</v>
      </c>
      <c r="AK73" s="644">
        <f t="shared" si="209"/>
        <v>15</v>
      </c>
      <c r="AL73" s="645">
        <f t="shared" si="209"/>
        <v>15</v>
      </c>
      <c r="AM73" s="644">
        <f t="shared" si="210"/>
        <v>15</v>
      </c>
      <c r="AN73" s="644">
        <f t="shared" si="210"/>
        <v>15</v>
      </c>
      <c r="AO73" s="644">
        <f t="shared" si="210"/>
        <v>15</v>
      </c>
      <c r="AP73" s="645">
        <f t="shared" si="210"/>
        <v>15</v>
      </c>
      <c r="AQ73" s="644">
        <f t="shared" ref="AQ73:AX73" si="255">IF(ISBLANK(AQ216),"",AQ216)</f>
        <v>15</v>
      </c>
      <c r="AR73" s="644">
        <f t="shared" si="255"/>
        <v>15</v>
      </c>
      <c r="AS73" s="644">
        <f t="shared" si="255"/>
        <v>15</v>
      </c>
      <c r="AT73" s="645">
        <f t="shared" si="255"/>
        <v>15</v>
      </c>
      <c r="AU73" s="644">
        <f t="shared" si="255"/>
        <v>15</v>
      </c>
      <c r="AV73" s="644">
        <f t="shared" si="255"/>
        <v>15</v>
      </c>
      <c r="AW73" s="644">
        <f t="shared" si="255"/>
        <v>15</v>
      </c>
      <c r="AX73" s="645">
        <f t="shared" si="255"/>
        <v>15</v>
      </c>
      <c r="AY73" s="644">
        <f t="shared" ref="AY73:BB73" si="256">IF(ISBLANK(AY216),"",AY216)</f>
        <v>15</v>
      </c>
      <c r="AZ73" s="644">
        <f t="shared" si="256"/>
        <v>15</v>
      </c>
      <c r="BA73" s="644">
        <f t="shared" si="256"/>
        <v>15</v>
      </c>
      <c r="BB73" s="645">
        <f t="shared" si="256"/>
        <v>15</v>
      </c>
      <c r="BC73" s="646"/>
      <c r="BD73" s="646"/>
      <c r="BE73" s="655">
        <f>AVERAGE(G73:J73)</f>
        <v>15</v>
      </c>
      <c r="BF73" s="655">
        <f>AVERAGE(K73:N73)</f>
        <v>15</v>
      </c>
      <c r="BG73" s="655">
        <f>AVERAGE(O73:R73)</f>
        <v>15</v>
      </c>
      <c r="BH73" s="655">
        <f>AVERAGE(S73:V73)</f>
        <v>15</v>
      </c>
      <c r="BI73" s="655">
        <f>AVERAGE(W73:Z73)</f>
        <v>15</v>
      </c>
      <c r="BJ73" s="655">
        <f>AVERAGE(AA73:AD73)</f>
        <v>15</v>
      </c>
      <c r="BK73" s="655">
        <f>AVERAGE(AE73:AH73)</f>
        <v>15</v>
      </c>
      <c r="BL73" s="655">
        <f>AVERAGE(AI73:AL73)</f>
        <v>15</v>
      </c>
      <c r="BM73" s="672">
        <f>AVERAGE(AM73:AP73)</f>
        <v>15</v>
      </c>
      <c r="BN73" s="672">
        <f t="shared" si="251"/>
        <v>15</v>
      </c>
      <c r="BO73" s="672">
        <f t="shared" si="252"/>
        <v>15</v>
      </c>
      <c r="BP73" s="672">
        <f t="shared" si="253"/>
        <v>15</v>
      </c>
      <c r="BQ73" s="637"/>
      <c r="BR73" s="638"/>
      <c r="BU73" s="609"/>
      <c r="BV73" s="1467" t="str">
        <f>+C86</f>
        <v>NI Hub</v>
      </c>
      <c r="BW73" s="1465">
        <f>+BP86</f>
        <v>13869.336734693876</v>
      </c>
      <c r="BX73" s="1473">
        <f>+BX40</f>
        <v>13869.336734693876</v>
      </c>
      <c r="BY73" s="1473">
        <f t="shared" si="240"/>
        <v>0</v>
      </c>
      <c r="BZ73" s="1685"/>
    </row>
    <row r="74" spans="1:78" ht="12.75" customHeight="1">
      <c r="A74" s="610"/>
      <c r="B74" s="611"/>
      <c r="C74" s="629" t="str">
        <f t="shared" si="244"/>
        <v>PRB Coal (Delivery Cost $/t)</v>
      </c>
      <c r="D74" s="629" t="str">
        <f t="shared" si="244"/>
        <v/>
      </c>
      <c r="E74" s="629" t="str">
        <f t="shared" si="244"/>
        <v/>
      </c>
      <c r="F74" s="654"/>
      <c r="G74" s="643">
        <f t="shared" si="170"/>
        <v>25</v>
      </c>
      <c r="H74" s="644">
        <f t="shared" ref="H74:AH74" si="257">IF(ISBLANK(H217),"",H217)</f>
        <v>25</v>
      </c>
      <c r="I74" s="644">
        <f t="shared" si="257"/>
        <v>25</v>
      </c>
      <c r="J74" s="645">
        <f t="shared" si="257"/>
        <v>25</v>
      </c>
      <c r="K74" s="643">
        <f t="shared" si="257"/>
        <v>25</v>
      </c>
      <c r="L74" s="644">
        <f t="shared" si="257"/>
        <v>25</v>
      </c>
      <c r="M74" s="644">
        <f t="shared" si="257"/>
        <v>25</v>
      </c>
      <c r="N74" s="645">
        <f t="shared" si="257"/>
        <v>25</v>
      </c>
      <c r="O74" s="643">
        <f t="shared" si="257"/>
        <v>25</v>
      </c>
      <c r="P74" s="644">
        <f t="shared" si="257"/>
        <v>25</v>
      </c>
      <c r="Q74" s="644">
        <f t="shared" si="257"/>
        <v>25</v>
      </c>
      <c r="R74" s="644">
        <f t="shared" si="257"/>
        <v>25</v>
      </c>
      <c r="S74" s="643">
        <f t="shared" si="257"/>
        <v>25</v>
      </c>
      <c r="T74" s="644">
        <f t="shared" si="257"/>
        <v>25</v>
      </c>
      <c r="U74" s="644">
        <f t="shared" si="257"/>
        <v>25</v>
      </c>
      <c r="V74" s="645">
        <f t="shared" si="257"/>
        <v>25</v>
      </c>
      <c r="W74" s="644">
        <f t="shared" si="257"/>
        <v>25</v>
      </c>
      <c r="X74" s="644">
        <f t="shared" si="257"/>
        <v>25</v>
      </c>
      <c r="Y74" s="644">
        <f t="shared" si="257"/>
        <v>25</v>
      </c>
      <c r="Z74" s="645">
        <f t="shared" si="257"/>
        <v>25</v>
      </c>
      <c r="AA74" s="644">
        <f t="shared" si="257"/>
        <v>25</v>
      </c>
      <c r="AB74" s="644">
        <f t="shared" si="257"/>
        <v>25</v>
      </c>
      <c r="AC74" s="644">
        <f t="shared" si="257"/>
        <v>25</v>
      </c>
      <c r="AD74" s="645">
        <f t="shared" si="257"/>
        <v>25</v>
      </c>
      <c r="AE74" s="644">
        <f t="shared" si="257"/>
        <v>25</v>
      </c>
      <c r="AF74" s="644">
        <f t="shared" si="257"/>
        <v>25</v>
      </c>
      <c r="AG74" s="644">
        <f t="shared" si="257"/>
        <v>25</v>
      </c>
      <c r="AH74" s="645">
        <f t="shared" si="257"/>
        <v>25</v>
      </c>
      <c r="AI74" s="644">
        <f t="shared" si="209"/>
        <v>25</v>
      </c>
      <c r="AJ74" s="644">
        <f t="shared" si="209"/>
        <v>25</v>
      </c>
      <c r="AK74" s="644">
        <f t="shared" si="209"/>
        <v>25</v>
      </c>
      <c r="AL74" s="645">
        <f t="shared" si="209"/>
        <v>25</v>
      </c>
      <c r="AM74" s="644">
        <f t="shared" si="210"/>
        <v>25</v>
      </c>
      <c r="AN74" s="644">
        <f t="shared" si="210"/>
        <v>25</v>
      </c>
      <c r="AO74" s="644">
        <f t="shared" si="210"/>
        <v>25</v>
      </c>
      <c r="AP74" s="645">
        <f t="shared" si="210"/>
        <v>25</v>
      </c>
      <c r="AQ74" s="644">
        <f t="shared" ref="AQ74:AX74" si="258">IF(ISBLANK(AQ217),"",AQ217)</f>
        <v>25</v>
      </c>
      <c r="AR74" s="644">
        <f t="shared" si="258"/>
        <v>25</v>
      </c>
      <c r="AS74" s="644">
        <f t="shared" si="258"/>
        <v>25</v>
      </c>
      <c r="AT74" s="645">
        <f t="shared" si="258"/>
        <v>25</v>
      </c>
      <c r="AU74" s="644">
        <f t="shared" si="258"/>
        <v>25</v>
      </c>
      <c r="AV74" s="644">
        <f t="shared" si="258"/>
        <v>25</v>
      </c>
      <c r="AW74" s="644">
        <f t="shared" si="258"/>
        <v>25</v>
      </c>
      <c r="AX74" s="645">
        <f t="shared" si="258"/>
        <v>25</v>
      </c>
      <c r="AY74" s="644">
        <f t="shared" ref="AY74:BB74" si="259">IF(ISBLANK(AY217),"",AY217)</f>
        <v>25</v>
      </c>
      <c r="AZ74" s="644">
        <f t="shared" si="259"/>
        <v>25</v>
      </c>
      <c r="BA74" s="644">
        <f t="shared" si="259"/>
        <v>25</v>
      </c>
      <c r="BB74" s="645">
        <f t="shared" si="259"/>
        <v>25</v>
      </c>
      <c r="BC74" s="646"/>
      <c r="BD74" s="646"/>
      <c r="BE74" s="655">
        <f>AVERAGE(G74:J74)</f>
        <v>25</v>
      </c>
      <c r="BF74" s="655">
        <f>AVERAGE(K74:N74)</f>
        <v>25</v>
      </c>
      <c r="BG74" s="655">
        <f>AVERAGE(O74:R74)</f>
        <v>25</v>
      </c>
      <c r="BH74" s="655">
        <f>AVERAGE(S74:V74)</f>
        <v>25</v>
      </c>
      <c r="BI74" s="655">
        <f>AVERAGE(W74:Z74)</f>
        <v>25</v>
      </c>
      <c r="BJ74" s="655">
        <f>AVERAGE(AA74:AD74)</f>
        <v>25</v>
      </c>
      <c r="BK74" s="655">
        <f>AVERAGE(AE74:AH74)</f>
        <v>25</v>
      </c>
      <c r="BL74" s="655">
        <f>AVERAGE(AI74:AL74)</f>
        <v>25</v>
      </c>
      <c r="BM74" s="672">
        <f>AVERAGE(AM74:AP74)</f>
        <v>25</v>
      </c>
      <c r="BN74" s="672">
        <f t="shared" si="251"/>
        <v>25</v>
      </c>
      <c r="BO74" s="672">
        <f t="shared" si="252"/>
        <v>25</v>
      </c>
      <c r="BP74" s="672">
        <f t="shared" si="253"/>
        <v>25</v>
      </c>
      <c r="BQ74" s="637"/>
      <c r="BR74" s="638"/>
      <c r="BU74" s="609"/>
      <c r="BV74" s="1467"/>
      <c r="BW74" s="1465"/>
      <c r="BX74" s="1473"/>
      <c r="BY74" s="1473"/>
      <c r="BZ74" s="1685"/>
    </row>
    <row r="75" spans="1:78" ht="12.75" customHeight="1">
      <c r="A75" s="610"/>
      <c r="B75" s="611"/>
      <c r="C75" s="629" t="str">
        <f t="shared" si="244"/>
        <v/>
      </c>
      <c r="D75" s="629" t="str">
        <f t="shared" si="244"/>
        <v/>
      </c>
      <c r="E75" s="629" t="str">
        <f t="shared" si="244"/>
        <v/>
      </c>
      <c r="F75" s="654"/>
      <c r="G75" s="640" t="str">
        <f t="shared" si="170"/>
        <v/>
      </c>
      <c r="H75" s="641" t="str">
        <f t="shared" ref="H75:AH75" si="260">IF(ISBLANK(H218),"",H218)</f>
        <v/>
      </c>
      <c r="I75" s="641" t="str">
        <f t="shared" si="260"/>
        <v/>
      </c>
      <c r="J75" s="642" t="str">
        <f t="shared" si="260"/>
        <v/>
      </c>
      <c r="K75" s="640" t="str">
        <f t="shared" si="260"/>
        <v/>
      </c>
      <c r="L75" s="641" t="str">
        <f t="shared" si="260"/>
        <v/>
      </c>
      <c r="M75" s="641" t="str">
        <f t="shared" si="260"/>
        <v/>
      </c>
      <c r="N75" s="642" t="str">
        <f t="shared" si="260"/>
        <v/>
      </c>
      <c r="O75" s="640" t="str">
        <f t="shared" si="260"/>
        <v/>
      </c>
      <c r="P75" s="641" t="str">
        <f t="shared" si="260"/>
        <v/>
      </c>
      <c r="Q75" s="641" t="str">
        <f t="shared" si="260"/>
        <v/>
      </c>
      <c r="R75" s="641" t="str">
        <f t="shared" si="260"/>
        <v/>
      </c>
      <c r="S75" s="643" t="str">
        <f t="shared" si="260"/>
        <v/>
      </c>
      <c r="T75" s="644" t="str">
        <f t="shared" si="260"/>
        <v/>
      </c>
      <c r="U75" s="644" t="str">
        <f t="shared" si="260"/>
        <v/>
      </c>
      <c r="V75" s="645" t="str">
        <f t="shared" si="260"/>
        <v/>
      </c>
      <c r="W75" s="644" t="str">
        <f t="shared" si="260"/>
        <v/>
      </c>
      <c r="X75" s="644" t="str">
        <f t="shared" si="260"/>
        <v/>
      </c>
      <c r="Y75" s="644" t="str">
        <f t="shared" si="260"/>
        <v/>
      </c>
      <c r="Z75" s="645" t="str">
        <f t="shared" si="260"/>
        <v/>
      </c>
      <c r="AA75" s="644" t="str">
        <f t="shared" si="260"/>
        <v/>
      </c>
      <c r="AB75" s="644" t="str">
        <f t="shared" si="260"/>
        <v/>
      </c>
      <c r="AC75" s="644" t="str">
        <f t="shared" si="260"/>
        <v/>
      </c>
      <c r="AD75" s="645" t="str">
        <f t="shared" si="260"/>
        <v/>
      </c>
      <c r="AE75" s="644" t="str">
        <f t="shared" si="260"/>
        <v/>
      </c>
      <c r="AF75" s="644" t="str">
        <f t="shared" si="260"/>
        <v/>
      </c>
      <c r="AG75" s="644" t="str">
        <f t="shared" si="260"/>
        <v/>
      </c>
      <c r="AH75" s="645" t="str">
        <f t="shared" si="260"/>
        <v/>
      </c>
      <c r="AI75" s="644" t="str">
        <f t="shared" si="209"/>
        <v/>
      </c>
      <c r="AJ75" s="644" t="str">
        <f t="shared" si="209"/>
        <v/>
      </c>
      <c r="AK75" s="644" t="str">
        <f t="shared" si="209"/>
        <v/>
      </c>
      <c r="AL75" s="645" t="str">
        <f t="shared" si="209"/>
        <v/>
      </c>
      <c r="AM75" s="644" t="str">
        <f t="shared" si="210"/>
        <v/>
      </c>
      <c r="AN75" s="644" t="str">
        <f t="shared" si="210"/>
        <v/>
      </c>
      <c r="AO75" s="644" t="str">
        <f t="shared" si="210"/>
        <v/>
      </c>
      <c r="AP75" s="645" t="str">
        <f t="shared" si="210"/>
        <v/>
      </c>
      <c r="AQ75" s="644" t="str">
        <f t="shared" ref="AQ75:AX75" si="261">IF(ISBLANK(AQ218),"",AQ218)</f>
        <v/>
      </c>
      <c r="AR75" s="644" t="str">
        <f t="shared" si="261"/>
        <v/>
      </c>
      <c r="AS75" s="644" t="str">
        <f t="shared" si="261"/>
        <v/>
      </c>
      <c r="AT75" s="645" t="str">
        <f t="shared" si="261"/>
        <v/>
      </c>
      <c r="AU75" s="644" t="str">
        <f t="shared" si="261"/>
        <v/>
      </c>
      <c r="AV75" s="644" t="str">
        <f t="shared" si="261"/>
        <v/>
      </c>
      <c r="AW75" s="644" t="str">
        <f t="shared" si="261"/>
        <v/>
      </c>
      <c r="AX75" s="645" t="str">
        <f t="shared" si="261"/>
        <v/>
      </c>
      <c r="AY75" s="644" t="str">
        <f t="shared" ref="AY75:BB75" si="262">IF(ISBLANK(AY218),"",AY218)</f>
        <v/>
      </c>
      <c r="AZ75" s="644" t="str">
        <f t="shared" si="262"/>
        <v/>
      </c>
      <c r="BA75" s="644" t="str">
        <f t="shared" si="262"/>
        <v/>
      </c>
      <c r="BB75" s="645" t="str">
        <f t="shared" si="262"/>
        <v/>
      </c>
      <c r="BC75" s="646"/>
      <c r="BD75" s="646"/>
      <c r="BE75" s="655"/>
      <c r="BF75" s="655"/>
      <c r="BG75" s="655"/>
      <c r="BH75" s="672"/>
      <c r="BI75" s="672"/>
      <c r="BJ75" s="672"/>
      <c r="BK75" s="672"/>
      <c r="BL75" s="672"/>
      <c r="BM75" s="672"/>
      <c r="BN75" s="672"/>
      <c r="BO75" s="672"/>
      <c r="BP75" s="672"/>
      <c r="BQ75" s="637"/>
      <c r="BR75" s="682"/>
      <c r="BU75" s="609"/>
      <c r="BV75" s="1467"/>
      <c r="BW75" s="1465"/>
      <c r="BX75" s="1473"/>
      <c r="BY75" s="1473"/>
      <c r="BZ75" s="1685"/>
    </row>
    <row r="76" spans="1:78" ht="12.75" customHeight="1">
      <c r="A76" s="610"/>
      <c r="B76" s="611"/>
      <c r="G76" s="661" t="str">
        <f t="shared" si="170"/>
        <v/>
      </c>
      <c r="H76" s="662" t="str">
        <f t="shared" ref="H76:AH76" si="263">IF(ISBLANK(H219),"",H219)</f>
        <v/>
      </c>
      <c r="I76" s="662" t="str">
        <f t="shared" si="263"/>
        <v/>
      </c>
      <c r="J76" s="663" t="str">
        <f t="shared" si="263"/>
        <v/>
      </c>
      <c r="K76" s="661" t="str">
        <f t="shared" si="263"/>
        <v/>
      </c>
      <c r="L76" s="662" t="str">
        <f t="shared" si="263"/>
        <v/>
      </c>
      <c r="M76" s="662" t="str">
        <f t="shared" si="263"/>
        <v/>
      </c>
      <c r="N76" s="663" t="str">
        <f t="shared" si="263"/>
        <v/>
      </c>
      <c r="O76" s="661" t="str">
        <f t="shared" si="263"/>
        <v/>
      </c>
      <c r="P76" s="662" t="str">
        <f t="shared" si="263"/>
        <v/>
      </c>
      <c r="Q76" s="662" t="str">
        <f t="shared" si="263"/>
        <v/>
      </c>
      <c r="R76" s="662" t="str">
        <f t="shared" si="263"/>
        <v/>
      </c>
      <c r="S76" s="665" t="str">
        <f t="shared" si="263"/>
        <v/>
      </c>
      <c r="T76" s="666" t="str">
        <f t="shared" si="263"/>
        <v/>
      </c>
      <c r="U76" s="666" t="str">
        <f t="shared" si="263"/>
        <v/>
      </c>
      <c r="V76" s="664" t="str">
        <f t="shared" si="263"/>
        <v/>
      </c>
      <c r="W76" s="666" t="str">
        <f t="shared" si="263"/>
        <v/>
      </c>
      <c r="X76" s="666" t="str">
        <f t="shared" si="263"/>
        <v/>
      </c>
      <c r="Y76" s="666" t="str">
        <f t="shared" si="263"/>
        <v/>
      </c>
      <c r="Z76" s="667" t="str">
        <f t="shared" si="263"/>
        <v/>
      </c>
      <c r="AA76" s="668" t="str">
        <f t="shared" si="263"/>
        <v/>
      </c>
      <c r="AB76" s="668" t="str">
        <f t="shared" si="263"/>
        <v/>
      </c>
      <c r="AC76" s="668" t="str">
        <f t="shared" si="263"/>
        <v/>
      </c>
      <c r="AD76" s="667" t="str">
        <f t="shared" si="263"/>
        <v/>
      </c>
      <c r="AE76" s="668" t="str">
        <f t="shared" si="263"/>
        <v/>
      </c>
      <c r="AF76" s="668" t="str">
        <f t="shared" si="263"/>
        <v/>
      </c>
      <c r="AG76" s="668" t="str">
        <f t="shared" si="263"/>
        <v/>
      </c>
      <c r="AH76" s="667" t="str">
        <f t="shared" si="263"/>
        <v/>
      </c>
      <c r="AI76" s="668" t="str">
        <f t="shared" si="209"/>
        <v/>
      </c>
      <c r="AJ76" s="668" t="str">
        <f t="shared" si="209"/>
        <v/>
      </c>
      <c r="AK76" s="668" t="str">
        <f t="shared" si="209"/>
        <v/>
      </c>
      <c r="AL76" s="667" t="str">
        <f t="shared" si="209"/>
        <v/>
      </c>
      <c r="AM76" s="668" t="str">
        <f t="shared" si="210"/>
        <v/>
      </c>
      <c r="AN76" s="668" t="str">
        <f t="shared" si="210"/>
        <v/>
      </c>
      <c r="AO76" s="668" t="str">
        <f t="shared" si="210"/>
        <v/>
      </c>
      <c r="AP76" s="667" t="str">
        <f t="shared" si="210"/>
        <v/>
      </c>
      <c r="AQ76" s="668" t="str">
        <f t="shared" ref="AQ76:AX76" si="264">IF(ISBLANK(AQ219),"",AQ219)</f>
        <v/>
      </c>
      <c r="AR76" s="668" t="str">
        <f t="shared" si="264"/>
        <v/>
      </c>
      <c r="AS76" s="668" t="str">
        <f t="shared" si="264"/>
        <v/>
      </c>
      <c r="AT76" s="667" t="str">
        <f t="shared" si="264"/>
        <v/>
      </c>
      <c r="AU76" s="668" t="str">
        <f t="shared" si="264"/>
        <v/>
      </c>
      <c r="AV76" s="668" t="str">
        <f t="shared" si="264"/>
        <v/>
      </c>
      <c r="AW76" s="668" t="str">
        <f t="shared" si="264"/>
        <v/>
      </c>
      <c r="AX76" s="667" t="str">
        <f t="shared" si="264"/>
        <v/>
      </c>
      <c r="AY76" s="668" t="str">
        <f t="shared" ref="AY76:BB76" si="265">IF(ISBLANK(AY219),"",AY219)</f>
        <v/>
      </c>
      <c r="AZ76" s="668" t="str">
        <f t="shared" si="265"/>
        <v/>
      </c>
      <c r="BA76" s="668" t="str">
        <f t="shared" si="265"/>
        <v/>
      </c>
      <c r="BB76" s="667" t="str">
        <f t="shared" si="265"/>
        <v/>
      </c>
      <c r="BC76" s="669"/>
      <c r="BD76" s="670"/>
      <c r="BE76" s="671"/>
      <c r="BF76" s="671"/>
      <c r="BG76" s="671"/>
      <c r="BH76" s="671"/>
      <c r="BI76" s="671"/>
      <c r="BJ76" s="671"/>
      <c r="BK76" s="671"/>
      <c r="BL76" s="671"/>
      <c r="BM76" s="671"/>
      <c r="BN76" s="671"/>
      <c r="BO76" s="671"/>
      <c r="BP76" s="671"/>
      <c r="BQ76" s="637"/>
      <c r="BR76" s="682"/>
      <c r="BU76" s="609"/>
      <c r="BV76" s="1467"/>
      <c r="BW76" s="1465"/>
      <c r="BX76" s="1473"/>
      <c r="BY76" s="1473"/>
      <c r="BZ76" s="1685"/>
    </row>
    <row r="77" spans="1:78" ht="12.75" customHeight="1">
      <c r="A77" s="610"/>
      <c r="B77" s="611"/>
      <c r="C77" s="659" t="str">
        <f t="shared" ref="C77:E96" si="266">IF(ISBLANK(C220),"",C220)</f>
        <v>On-Peak Regional Heat Rates (btu/kWh)</v>
      </c>
      <c r="D77" s="660" t="str">
        <f t="shared" si="266"/>
        <v/>
      </c>
      <c r="E77" s="660" t="str">
        <f t="shared" si="266"/>
        <v/>
      </c>
      <c r="F77" s="1459"/>
      <c r="G77" s="640" t="str">
        <f t="shared" si="170"/>
        <v/>
      </c>
      <c r="H77" s="641" t="str">
        <f t="shared" ref="H77:AH77" si="267">IF(ISBLANK(H220),"",H220)</f>
        <v/>
      </c>
      <c r="I77" s="641" t="str">
        <f t="shared" si="267"/>
        <v/>
      </c>
      <c r="J77" s="642" t="str">
        <f t="shared" si="267"/>
        <v/>
      </c>
      <c r="K77" s="640" t="str">
        <f t="shared" si="267"/>
        <v/>
      </c>
      <c r="L77" s="641" t="str">
        <f t="shared" si="267"/>
        <v/>
      </c>
      <c r="M77" s="641" t="str">
        <f t="shared" si="267"/>
        <v/>
      </c>
      <c r="N77" s="642" t="str">
        <f t="shared" si="267"/>
        <v/>
      </c>
      <c r="O77" s="640" t="str">
        <f t="shared" si="267"/>
        <v/>
      </c>
      <c r="P77" s="641" t="str">
        <f t="shared" si="267"/>
        <v/>
      </c>
      <c r="Q77" s="641" t="str">
        <f t="shared" si="267"/>
        <v/>
      </c>
      <c r="R77" s="641" t="str">
        <f t="shared" si="267"/>
        <v/>
      </c>
      <c r="S77" s="643" t="str">
        <f t="shared" si="267"/>
        <v/>
      </c>
      <c r="T77" s="644" t="str">
        <f t="shared" si="267"/>
        <v/>
      </c>
      <c r="U77" s="644" t="str">
        <f t="shared" si="267"/>
        <v/>
      </c>
      <c r="V77" s="645" t="str">
        <f t="shared" si="267"/>
        <v/>
      </c>
      <c r="W77" s="644" t="str">
        <f t="shared" si="267"/>
        <v/>
      </c>
      <c r="X77" s="644" t="str">
        <f t="shared" si="267"/>
        <v/>
      </c>
      <c r="Y77" s="644" t="str">
        <f t="shared" si="267"/>
        <v/>
      </c>
      <c r="Z77" s="645" t="str">
        <f t="shared" si="267"/>
        <v/>
      </c>
      <c r="AA77" s="644" t="str">
        <f t="shared" si="267"/>
        <v/>
      </c>
      <c r="AB77" s="644" t="str">
        <f t="shared" si="267"/>
        <v/>
      </c>
      <c r="AC77" s="644" t="str">
        <f t="shared" si="267"/>
        <v/>
      </c>
      <c r="AD77" s="645" t="str">
        <f t="shared" si="267"/>
        <v/>
      </c>
      <c r="AE77" s="644" t="str">
        <f t="shared" si="267"/>
        <v/>
      </c>
      <c r="AF77" s="644" t="str">
        <f t="shared" si="267"/>
        <v/>
      </c>
      <c r="AG77" s="644" t="str">
        <f t="shared" si="267"/>
        <v/>
      </c>
      <c r="AH77" s="645" t="str">
        <f t="shared" si="267"/>
        <v/>
      </c>
      <c r="AI77" s="644" t="str">
        <f t="shared" si="209"/>
        <v/>
      </c>
      <c r="AJ77" s="644" t="str">
        <f t="shared" si="209"/>
        <v/>
      </c>
      <c r="AK77" s="644" t="str">
        <f t="shared" si="209"/>
        <v/>
      </c>
      <c r="AL77" s="645" t="str">
        <f t="shared" si="209"/>
        <v/>
      </c>
      <c r="AM77" s="644" t="str">
        <f t="shared" si="210"/>
        <v/>
      </c>
      <c r="AN77" s="644" t="str">
        <f t="shared" si="210"/>
        <v/>
      </c>
      <c r="AO77" s="644" t="str">
        <f t="shared" si="210"/>
        <v/>
      </c>
      <c r="AP77" s="645" t="str">
        <f t="shared" si="210"/>
        <v/>
      </c>
      <c r="AQ77" s="644" t="str">
        <f t="shared" ref="AQ77:AX77" si="268">IF(ISBLANK(AQ220),"",AQ220)</f>
        <v/>
      </c>
      <c r="AR77" s="644" t="str">
        <f t="shared" si="268"/>
        <v/>
      </c>
      <c r="AS77" s="644" t="str">
        <f t="shared" si="268"/>
        <v/>
      </c>
      <c r="AT77" s="645" t="str">
        <f t="shared" si="268"/>
        <v/>
      </c>
      <c r="AU77" s="644" t="str">
        <f t="shared" si="268"/>
        <v/>
      </c>
      <c r="AV77" s="644" t="str">
        <f t="shared" si="268"/>
        <v/>
      </c>
      <c r="AW77" s="644" t="str">
        <f t="shared" si="268"/>
        <v/>
      </c>
      <c r="AX77" s="645" t="str">
        <f t="shared" si="268"/>
        <v/>
      </c>
      <c r="AY77" s="644" t="str">
        <f t="shared" ref="AY77:BB77" si="269">IF(ISBLANK(AY220),"",AY220)</f>
        <v/>
      </c>
      <c r="AZ77" s="644" t="str">
        <f t="shared" si="269"/>
        <v/>
      </c>
      <c r="BA77" s="644" t="str">
        <f t="shared" si="269"/>
        <v/>
      </c>
      <c r="BB77" s="645" t="str">
        <f t="shared" si="269"/>
        <v/>
      </c>
      <c r="BC77" s="646"/>
      <c r="BD77" s="646"/>
      <c r="BE77" s="655"/>
      <c r="BF77" s="655"/>
      <c r="BG77" s="655"/>
      <c r="BH77" s="655"/>
      <c r="BI77" s="655"/>
      <c r="BJ77" s="655"/>
      <c r="BK77" s="655"/>
      <c r="BL77" s="655"/>
      <c r="BM77" s="655"/>
      <c r="BN77" s="655"/>
      <c r="BO77" s="655"/>
      <c r="BP77" s="655"/>
      <c r="BQ77" s="637"/>
      <c r="BR77" s="682"/>
      <c r="BU77" s="609"/>
      <c r="BV77" s="1467"/>
      <c r="BW77" s="1470"/>
      <c r="BX77" s="1470"/>
      <c r="BY77" s="1473"/>
      <c r="BZ77" s="1685"/>
    </row>
    <row r="78" spans="1:78" ht="12.75" customHeight="1">
      <c r="A78" s="610"/>
      <c r="B78" s="611"/>
      <c r="C78" s="629" t="str">
        <f t="shared" si="266"/>
        <v>Mass Hub</v>
      </c>
      <c r="D78" s="629" t="str">
        <f t="shared" si="266"/>
        <v/>
      </c>
      <c r="E78" s="629" t="str">
        <f t="shared" si="266"/>
        <v/>
      </c>
      <c r="F78" s="654"/>
      <c r="G78" s="694">
        <f t="shared" si="170"/>
        <v>8528.0969298430045</v>
      </c>
      <c r="H78" s="695">
        <f t="shared" ref="H78:AH78" si="270">IF(ISBLANK(H221),"",H221)</f>
        <v>10939.694023823055</v>
      </c>
      <c r="I78" s="695">
        <f t="shared" si="270"/>
        <v>14421.989330928911</v>
      </c>
      <c r="J78" s="696">
        <f t="shared" si="270"/>
        <v>8861.0131998359921</v>
      </c>
      <c r="K78" s="694">
        <f t="shared" si="270"/>
        <v>9167.0595922106477</v>
      </c>
      <c r="L78" s="695">
        <f t="shared" si="270"/>
        <v>10189.12960248709</v>
      </c>
      <c r="M78" s="695">
        <f t="shared" si="270"/>
        <v>11710.045508691945</v>
      </c>
      <c r="N78" s="696">
        <f t="shared" si="270"/>
        <v>11336.882768537926</v>
      </c>
      <c r="O78" s="694">
        <f t="shared" si="270"/>
        <v>10207.718317800258</v>
      </c>
      <c r="P78" s="695">
        <f t="shared" si="270"/>
        <v>13937.121379905617</v>
      </c>
      <c r="Q78" s="695">
        <f t="shared" si="270"/>
        <v>15132.551384701612</v>
      </c>
      <c r="R78" s="695">
        <f t="shared" si="270"/>
        <v>12963.880511989042</v>
      </c>
      <c r="S78" s="697">
        <f t="shared" si="270"/>
        <v>11474.979818138521</v>
      </c>
      <c r="T78" s="698">
        <f t="shared" si="270"/>
        <v>10402.131258701407</v>
      </c>
      <c r="U78" s="698">
        <f t="shared" si="270"/>
        <v>14595.99188276675</v>
      </c>
      <c r="V78" s="699">
        <f t="shared" si="270"/>
        <v>15599.608908418337</v>
      </c>
      <c r="W78" s="698">
        <f t="shared" si="270"/>
        <v>9818.857351275652</v>
      </c>
      <c r="X78" s="698">
        <f t="shared" si="270"/>
        <v>11887.120339338082</v>
      </c>
      <c r="Y78" s="698">
        <f t="shared" si="270"/>
        <v>15922.771678283798</v>
      </c>
      <c r="Z78" s="699">
        <f t="shared" si="270"/>
        <v>15026.318812665288</v>
      </c>
      <c r="AA78" s="698">
        <f t="shared" si="270"/>
        <v>9835.9779023649571</v>
      </c>
      <c r="AB78" s="698">
        <f t="shared" si="270"/>
        <v>11407.233144218615</v>
      </c>
      <c r="AC78" s="698">
        <f t="shared" si="270"/>
        <v>18666.071155473397</v>
      </c>
      <c r="AD78" s="699">
        <f t="shared" si="270"/>
        <v>17315.33127145606</v>
      </c>
      <c r="AE78" s="698">
        <f t="shared" si="270"/>
        <v>12206.386279703562</v>
      </c>
      <c r="AF78" s="698">
        <f t="shared" si="270"/>
        <v>16621.31367909328</v>
      </c>
      <c r="AG78" s="698">
        <f t="shared" si="270"/>
        <v>22288.404958475618</v>
      </c>
      <c r="AH78" s="699">
        <f t="shared" si="270"/>
        <v>14434.588536316558</v>
      </c>
      <c r="AI78" s="698">
        <f t="shared" si="209"/>
        <v>10264.218099859183</v>
      </c>
      <c r="AJ78" s="698">
        <f t="shared" si="209"/>
        <v>12389.285901147583</v>
      </c>
      <c r="AK78" s="698">
        <f t="shared" si="209"/>
        <v>13153.218506204936</v>
      </c>
      <c r="AL78" s="699">
        <f t="shared" si="209"/>
        <v>14925.254225358662</v>
      </c>
      <c r="AM78" s="698">
        <f t="shared" si="210"/>
        <v>7994.7887216424933</v>
      </c>
      <c r="AN78" s="698">
        <f t="shared" si="210"/>
        <v>13122.990353697749</v>
      </c>
      <c r="AO78" s="698">
        <f t="shared" si="210"/>
        <v>14125.083166999331</v>
      </c>
      <c r="AP78" s="699">
        <f t="shared" si="210"/>
        <v>13408.970976253298</v>
      </c>
      <c r="AQ78" s="698">
        <f t="shared" ref="AQ78:AX78" si="271">IF(ISBLANK(AQ221),"",AQ221)</f>
        <v>16121.702235183328</v>
      </c>
      <c r="AR78" s="698">
        <f t="shared" si="271"/>
        <v>17104.044129356756</v>
      </c>
      <c r="AS78" s="698">
        <f t="shared" si="271"/>
        <v>21029.097168692006</v>
      </c>
      <c r="AT78" s="699">
        <f t="shared" si="271"/>
        <v>8461.414086437906</v>
      </c>
      <c r="AU78" s="698">
        <f t="shared" si="271"/>
        <v>15860.467045238278</v>
      </c>
      <c r="AV78" s="698">
        <f t="shared" si="271"/>
        <v>16826.891124557431</v>
      </c>
      <c r="AW78" s="698">
        <f t="shared" si="271"/>
        <v>20688.34281700529</v>
      </c>
      <c r="AX78" s="699">
        <f t="shared" si="271"/>
        <v>8324.3057908107585</v>
      </c>
      <c r="AY78" s="698">
        <f t="shared" ref="AY78:BB78" si="272">IF(ISBLANK(AY221),"",AY221)</f>
        <v>15390.53594374832</v>
      </c>
      <c r="AZ78" s="698">
        <f t="shared" si="272"/>
        <v>16328.325763382341</v>
      </c>
      <c r="BA78" s="698">
        <f t="shared" si="272"/>
        <v>20075.366181432888</v>
      </c>
      <c r="BB78" s="699">
        <f t="shared" si="272"/>
        <v>8077.6642399499096</v>
      </c>
      <c r="BC78" s="700"/>
      <c r="BD78" s="700"/>
      <c r="BE78" s="701">
        <f t="shared" ref="BE78:BE93" si="273">AVERAGE(G78:J78)</f>
        <v>10687.698371107741</v>
      </c>
      <c r="BF78" s="701">
        <f t="shared" ref="BF78:BF93" si="274">AVERAGE(K78:N78)</f>
        <v>10600.779367981901</v>
      </c>
      <c r="BG78" s="701">
        <f t="shared" ref="BG78:BG93" si="275">AVERAGE(O78:R78)</f>
        <v>13060.317898599133</v>
      </c>
      <c r="BH78" s="701">
        <f t="shared" ref="BH78:BH93" si="276">AVERAGE(S78:V78)</f>
        <v>13018.177967006253</v>
      </c>
      <c r="BI78" s="701">
        <f t="shared" ref="BI78:BI93" si="277">AVERAGE(W78:Z78)</f>
        <v>13163.767045390705</v>
      </c>
      <c r="BJ78" s="701">
        <f t="shared" ref="BJ78:BJ93" si="278">AVERAGE(AA78:AD78)</f>
        <v>14306.153368378258</v>
      </c>
      <c r="BK78" s="701">
        <f t="shared" ref="BK78:BK93" si="279">AVERAGE(AE78:AH78)</f>
        <v>16387.673363397254</v>
      </c>
      <c r="BL78" s="701">
        <f t="shared" ref="BL78:BL93" si="280">AVERAGE(AI78:AL78)</f>
        <v>12682.994183142589</v>
      </c>
      <c r="BM78" s="1582">
        <f t="shared" ref="BM78:BM93" si="281">AVERAGE(AM78:AP78)</f>
        <v>12162.958304648218</v>
      </c>
      <c r="BN78" s="1582">
        <f t="shared" ref="BN78:BN93" si="282">AVERAGE(AQ78:AT78)</f>
        <v>15679.064404917501</v>
      </c>
      <c r="BO78" s="1582">
        <f t="shared" ref="BO78:BO93" si="283">AVERAGE(AU78:AX78)</f>
        <v>15425.001694402939</v>
      </c>
      <c r="BP78" s="1582">
        <f t="shared" ref="BP78:BP93" si="284">AVERAGE(AY78:BB78)</f>
        <v>14967.973032128364</v>
      </c>
      <c r="BQ78" s="637"/>
      <c r="BR78" s="702"/>
      <c r="BU78" s="609"/>
      <c r="BV78" s="1467" t="str">
        <f>C57</f>
        <v>PJM West / Tetco M3</v>
      </c>
      <c r="BW78" s="1470">
        <f>BP57</f>
        <v>-1</v>
      </c>
      <c r="BX78" s="1470">
        <f>$BX$58</f>
        <v>-1</v>
      </c>
      <c r="BY78" s="1473">
        <f>+BW78-BX78</f>
        <v>0</v>
      </c>
      <c r="BZ78" s="1685"/>
    </row>
    <row r="79" spans="1:78" ht="12.75" customHeight="1">
      <c r="A79" s="610"/>
      <c r="B79" s="611"/>
      <c r="C79" s="629" t="str">
        <f t="shared" si="266"/>
        <v>NY Zone A</v>
      </c>
      <c r="D79" s="629" t="str">
        <f t="shared" si="266"/>
        <v/>
      </c>
      <c r="E79" s="629" t="str">
        <f t="shared" si="266"/>
        <v/>
      </c>
      <c r="F79" s="654"/>
      <c r="G79" s="694">
        <f t="shared" si="170"/>
        <v>6354.9851186486494</v>
      </c>
      <c r="H79" s="695">
        <f t="shared" ref="H79:AH79" si="285">IF(ISBLANK(H222),"",H222)</f>
        <v>9234.2721012697057</v>
      </c>
      <c r="I79" s="695">
        <f t="shared" si="285"/>
        <v>11593.947010070106</v>
      </c>
      <c r="J79" s="696">
        <f t="shared" si="285"/>
        <v>7986.3843661035107</v>
      </c>
      <c r="K79" s="694">
        <f t="shared" si="285"/>
        <v>6840.1396780303039</v>
      </c>
      <c r="L79" s="695">
        <f t="shared" si="285"/>
        <v>9130.7265133667552</v>
      </c>
      <c r="M79" s="695">
        <f t="shared" si="285"/>
        <v>10816.593582639658</v>
      </c>
      <c r="N79" s="696">
        <f t="shared" si="285"/>
        <v>10282.027240426369</v>
      </c>
      <c r="O79" s="694">
        <f t="shared" si="285"/>
        <v>11040.263568617833</v>
      </c>
      <c r="P79" s="695">
        <f t="shared" si="285"/>
        <v>14052.827281024129</v>
      </c>
      <c r="Q79" s="695">
        <f t="shared" si="285"/>
        <v>13593.795584312746</v>
      </c>
      <c r="R79" s="695">
        <f t="shared" si="285"/>
        <v>10650.641750476832</v>
      </c>
      <c r="S79" s="697">
        <f t="shared" si="285"/>
        <v>10613.332343739214</v>
      </c>
      <c r="T79" s="698">
        <f t="shared" si="285"/>
        <v>9814.6604717116315</v>
      </c>
      <c r="U79" s="698">
        <f t="shared" si="285"/>
        <v>15217.027511328975</v>
      </c>
      <c r="V79" s="699">
        <f t="shared" si="285"/>
        <v>11622.060695219723</v>
      </c>
      <c r="W79" s="698">
        <f t="shared" si="285"/>
        <v>8339.8677320762581</v>
      </c>
      <c r="X79" s="698">
        <f t="shared" si="285"/>
        <v>12089.696865123291</v>
      </c>
      <c r="Y79" s="698">
        <f t="shared" si="285"/>
        <v>17008.913404698229</v>
      </c>
      <c r="Z79" s="699">
        <f t="shared" si="285"/>
        <v>14242.244323975263</v>
      </c>
      <c r="AA79" s="698">
        <f t="shared" si="285"/>
        <v>8245.126379457306</v>
      </c>
      <c r="AB79" s="698">
        <f t="shared" si="285"/>
        <v>23636.495062483507</v>
      </c>
      <c r="AC79" s="698">
        <f t="shared" si="285"/>
        <v>29559.964278835214</v>
      </c>
      <c r="AD79" s="699">
        <f t="shared" si="285"/>
        <v>26840.274598772085</v>
      </c>
      <c r="AE79" s="698">
        <f t="shared" si="285"/>
        <v>16770.720038090938</v>
      </c>
      <c r="AF79" s="698">
        <f t="shared" si="285"/>
        <v>22601.852674604575</v>
      </c>
      <c r="AG79" s="698">
        <f t="shared" si="285"/>
        <v>34191.352496551095</v>
      </c>
      <c r="AH79" s="699">
        <f t="shared" si="285"/>
        <v>12233.948471734455</v>
      </c>
      <c r="AI79" s="698">
        <f t="shared" si="209"/>
        <v>9237.5699548947559</v>
      </c>
      <c r="AJ79" s="698">
        <f t="shared" si="209"/>
        <v>13374.181331245492</v>
      </c>
      <c r="AK79" s="698">
        <f t="shared" si="209"/>
        <v>19942.594548815701</v>
      </c>
      <c r="AL79" s="699">
        <f t="shared" si="209"/>
        <v>12811.212946664498</v>
      </c>
      <c r="AM79" s="698">
        <f t="shared" si="210"/>
        <v>5561.1264063691815</v>
      </c>
      <c r="AN79" s="698">
        <f t="shared" si="210"/>
        <v>16904.797713941942</v>
      </c>
      <c r="AO79" s="698">
        <f t="shared" si="210"/>
        <v>15195.195195195192</v>
      </c>
      <c r="AP79" s="699">
        <f t="shared" si="210"/>
        <v>14065.797641216635</v>
      </c>
      <c r="AQ79" s="698">
        <f t="shared" ref="AQ79:AX79" si="286">IF(ISBLANK(AQ222),"",AQ222)</f>
        <v>14527.253857531297</v>
      </c>
      <c r="AR79" s="698">
        <f t="shared" si="286"/>
        <v>19603.903225075555</v>
      </c>
      <c r="AS79" s="698">
        <f t="shared" si="286"/>
        <v>17640.554959788038</v>
      </c>
      <c r="AT79" s="699">
        <f t="shared" si="286"/>
        <v>7417.7739790369633</v>
      </c>
      <c r="AU79" s="698">
        <f t="shared" si="286"/>
        <v>14642.155761170308</v>
      </c>
      <c r="AV79" s="698">
        <f t="shared" si="286"/>
        <v>19758.958393891811</v>
      </c>
      <c r="AW79" s="698">
        <f t="shared" si="286"/>
        <v>17780.081216161496</v>
      </c>
      <c r="AX79" s="699">
        <f t="shared" si="286"/>
        <v>7476.4441419813102</v>
      </c>
      <c r="AY79" s="698">
        <f t="shared" ref="AY79:BB79" si="287">IF(ISBLANK(AY222),"",AY222)</f>
        <v>14513.506709443927</v>
      </c>
      <c r="AZ79" s="698">
        <f t="shared" si="287"/>
        <v>19585.352040979196</v>
      </c>
      <c r="BA79" s="698">
        <f t="shared" si="287"/>
        <v>17623.861693204144</v>
      </c>
      <c r="BB79" s="699">
        <f t="shared" si="287"/>
        <v>7410.7545355572447</v>
      </c>
      <c r="BC79" s="700"/>
      <c r="BD79" s="700"/>
      <c r="BE79" s="701">
        <f t="shared" si="273"/>
        <v>8792.3971490229942</v>
      </c>
      <c r="BF79" s="701">
        <f t="shared" si="274"/>
        <v>9267.371753615771</v>
      </c>
      <c r="BG79" s="701">
        <f t="shared" si="275"/>
        <v>12334.382046107885</v>
      </c>
      <c r="BH79" s="701">
        <f t="shared" si="276"/>
        <v>11816.770255499887</v>
      </c>
      <c r="BI79" s="701">
        <f t="shared" si="277"/>
        <v>12920.180581468259</v>
      </c>
      <c r="BJ79" s="701">
        <f t="shared" si="278"/>
        <v>22070.465079887028</v>
      </c>
      <c r="BK79" s="701">
        <f t="shared" si="279"/>
        <v>21449.468420245266</v>
      </c>
      <c r="BL79" s="701">
        <f t="shared" si="280"/>
        <v>13841.389695405112</v>
      </c>
      <c r="BM79" s="1582">
        <f t="shared" si="281"/>
        <v>12931.729239180739</v>
      </c>
      <c r="BN79" s="1582">
        <f t="shared" si="282"/>
        <v>14797.371505357962</v>
      </c>
      <c r="BO79" s="1582">
        <f t="shared" si="283"/>
        <v>14914.40987830123</v>
      </c>
      <c r="BP79" s="1582">
        <f t="shared" si="284"/>
        <v>14783.368744796129</v>
      </c>
      <c r="BQ79" s="637"/>
      <c r="BR79" s="638"/>
      <c r="BU79" s="609"/>
      <c r="BV79" s="580" t="str">
        <f>C58</f>
        <v>PJM East / Tetco M3</v>
      </c>
      <c r="BW79" s="1686">
        <f>BP58</f>
        <v>-1</v>
      </c>
      <c r="BX79" s="580">
        <f>$BX$58</f>
        <v>-1</v>
      </c>
      <c r="BY79" s="1473">
        <f>+BW79-BX79</f>
        <v>0</v>
      </c>
      <c r="BZ79" s="1685"/>
    </row>
    <row r="80" spans="1:78" ht="12.75" customHeight="1">
      <c r="A80" s="610"/>
      <c r="B80" s="611"/>
      <c r="C80" s="629" t="str">
        <f t="shared" si="266"/>
        <v>NY Zone G</v>
      </c>
      <c r="D80" s="629" t="str">
        <f t="shared" si="266"/>
        <v/>
      </c>
      <c r="E80" s="629" t="str">
        <f t="shared" si="266"/>
        <v/>
      </c>
      <c r="F80" s="654"/>
      <c r="G80" s="694">
        <f t="shared" si="170"/>
        <v>8543.6664872269102</v>
      </c>
      <c r="H80" s="695">
        <f t="shared" ref="H80:AH80" si="288">IF(ISBLANK(H223),"",H223)</f>
        <v>11733.472288175466</v>
      </c>
      <c r="I80" s="695">
        <f t="shared" si="288"/>
        <v>15567.424976285371</v>
      </c>
      <c r="J80" s="696">
        <f t="shared" si="288"/>
        <v>9467.1210998981551</v>
      </c>
      <c r="K80" s="694">
        <f t="shared" si="288"/>
        <v>8811.5559963805918</v>
      </c>
      <c r="L80" s="695">
        <f t="shared" si="288"/>
        <v>11833.163129494042</v>
      </c>
      <c r="M80" s="695">
        <f t="shared" si="288"/>
        <v>13749.375769400505</v>
      </c>
      <c r="N80" s="696">
        <f t="shared" si="288"/>
        <v>11401.789212415018</v>
      </c>
      <c r="O80" s="694">
        <f t="shared" si="288"/>
        <v>10858.411061353236</v>
      </c>
      <c r="P80" s="695">
        <f t="shared" si="288"/>
        <v>17096.327622236855</v>
      </c>
      <c r="Q80" s="695">
        <f t="shared" si="288"/>
        <v>16321.388541509912</v>
      </c>
      <c r="R80" s="695">
        <f t="shared" si="288"/>
        <v>11936.102955529621</v>
      </c>
      <c r="S80" s="697">
        <f t="shared" si="288"/>
        <v>9200.0602031750641</v>
      </c>
      <c r="T80" s="698">
        <f t="shared" si="288"/>
        <v>10943.30469533352</v>
      </c>
      <c r="U80" s="698">
        <f t="shared" si="288"/>
        <v>16839.305638511436</v>
      </c>
      <c r="V80" s="699">
        <f t="shared" si="288"/>
        <v>11507.281614895146</v>
      </c>
      <c r="W80" s="698">
        <f t="shared" si="288"/>
        <v>8513.2984461369888</v>
      </c>
      <c r="X80" s="698">
        <f t="shared" si="288"/>
        <v>12214.306661080853</v>
      </c>
      <c r="Y80" s="698">
        <f t="shared" si="288"/>
        <v>15533.074957564382</v>
      </c>
      <c r="Z80" s="699">
        <f t="shared" si="288"/>
        <v>13169.174296902111</v>
      </c>
      <c r="AA80" s="698">
        <f t="shared" si="288"/>
        <v>8752.0153850948955</v>
      </c>
      <c r="AB80" s="698">
        <f t="shared" si="288"/>
        <v>13044.571585464208</v>
      </c>
      <c r="AC80" s="698">
        <f t="shared" si="288"/>
        <v>16897.690788927091</v>
      </c>
      <c r="AD80" s="699">
        <f t="shared" si="288"/>
        <v>14276.849559241589</v>
      </c>
      <c r="AE80" s="698">
        <f t="shared" si="288"/>
        <v>12408.032404772037</v>
      </c>
      <c r="AF80" s="698">
        <f t="shared" si="288"/>
        <v>16600.643581221062</v>
      </c>
      <c r="AG80" s="698">
        <f t="shared" si="288"/>
        <v>20653.382464404767</v>
      </c>
      <c r="AH80" s="699">
        <f t="shared" si="288"/>
        <v>13059.678246218231</v>
      </c>
      <c r="AI80" s="698">
        <f t="shared" si="209"/>
        <v>10564.639678870024</v>
      </c>
      <c r="AJ80" s="698">
        <f t="shared" si="209"/>
        <v>12417.855523387629</v>
      </c>
      <c r="AK80" s="698">
        <f t="shared" si="209"/>
        <v>13595.184996214484</v>
      </c>
      <c r="AL80" s="699">
        <f t="shared" si="209"/>
        <v>11881.520868816107</v>
      </c>
      <c r="AM80" s="698">
        <f>IF(ISBLANK(AM223),"",AM223)</f>
        <v>6442.6306762573604</v>
      </c>
      <c r="AN80" s="698">
        <f t="shared" si="210"/>
        <v>14924.97320471597</v>
      </c>
      <c r="AO80" s="698">
        <f t="shared" si="210"/>
        <v>11663.33998669328</v>
      </c>
      <c r="AP80" s="699">
        <f t="shared" si="210"/>
        <v>13240.105540897099</v>
      </c>
      <c r="AQ80" s="698">
        <f t="shared" si="210"/>
        <v>15902.941350771327</v>
      </c>
      <c r="AR80" s="698">
        <f t="shared" si="210"/>
        <v>19127.171748689459</v>
      </c>
      <c r="AS80" s="698">
        <f t="shared" si="210"/>
        <v>16072.965189791517</v>
      </c>
      <c r="AT80" s="699">
        <f t="shared" si="210"/>
        <v>6473.9168195960674</v>
      </c>
      <c r="AU80" s="698">
        <f t="shared" ref="AU80:AX80" si="289">IF(ISBLANK(AU223),"",AU223)</f>
        <v>15877.25457081885</v>
      </c>
      <c r="AV80" s="698">
        <f t="shared" si="289"/>
        <v>19096.277121023737</v>
      </c>
      <c r="AW80" s="698">
        <f t="shared" si="289"/>
        <v>16047.003783602089</v>
      </c>
      <c r="AX80" s="699">
        <f t="shared" si="289"/>
        <v>6463.460007041228</v>
      </c>
      <c r="AY80" s="698">
        <f t="shared" ref="AY80:BB80" si="290">IF(ISBLANK(AY223),"",AY223)</f>
        <v>15501.066136796249</v>
      </c>
      <c r="AZ80" s="698">
        <f t="shared" si="290"/>
        <v>18643.818633709263</v>
      </c>
      <c r="BA80" s="698">
        <f t="shared" si="290"/>
        <v>15666.79338909201</v>
      </c>
      <c r="BB80" s="699">
        <f t="shared" si="290"/>
        <v>6310.3177312421476</v>
      </c>
      <c r="BC80" s="700"/>
      <c r="BD80" s="700"/>
      <c r="BE80" s="701">
        <f t="shared" si="273"/>
        <v>11327.921212896475</v>
      </c>
      <c r="BF80" s="701">
        <f t="shared" si="274"/>
        <v>11448.971026922538</v>
      </c>
      <c r="BG80" s="701">
        <f t="shared" si="275"/>
        <v>14053.057545157406</v>
      </c>
      <c r="BH80" s="701">
        <f t="shared" si="276"/>
        <v>12122.488037978792</v>
      </c>
      <c r="BI80" s="701">
        <f t="shared" si="277"/>
        <v>12357.463590421085</v>
      </c>
      <c r="BJ80" s="701">
        <f t="shared" si="278"/>
        <v>13242.781829681946</v>
      </c>
      <c r="BK80" s="701">
        <f t="shared" si="279"/>
        <v>15680.434174154023</v>
      </c>
      <c r="BL80" s="701">
        <f t="shared" si="280"/>
        <v>12114.800266822062</v>
      </c>
      <c r="BM80" s="1582">
        <f t="shared" si="281"/>
        <v>11567.762352140928</v>
      </c>
      <c r="BN80" s="1582">
        <f t="shared" si="282"/>
        <v>14394.248777212093</v>
      </c>
      <c r="BO80" s="1582">
        <f t="shared" si="283"/>
        <v>14370.998870621475</v>
      </c>
      <c r="BP80" s="1582">
        <f t="shared" si="284"/>
        <v>14030.498972709916</v>
      </c>
      <c r="BQ80" s="637"/>
      <c r="BR80" s="638"/>
      <c r="BU80" s="609"/>
      <c r="BV80" s="608" t="str">
        <f>C59</f>
        <v>AEP-Dayton / Tetco M3</v>
      </c>
      <c r="BW80" s="1687">
        <f>BP59</f>
        <v>-1</v>
      </c>
      <c r="BX80" s="608">
        <f>$BX$58</f>
        <v>-1</v>
      </c>
      <c r="BY80" s="1473">
        <f>+BW80-BX80</f>
        <v>0</v>
      </c>
      <c r="BZ80" s="1685"/>
    </row>
    <row r="81" spans="1:81" ht="12.75" customHeight="1">
      <c r="A81" s="610"/>
      <c r="B81" s="611"/>
      <c r="C81" s="629" t="str">
        <f t="shared" si="266"/>
        <v>NY Zone J</v>
      </c>
      <c r="D81" s="629" t="str">
        <f t="shared" si="266"/>
        <v/>
      </c>
      <c r="E81" s="629" t="str">
        <f t="shared" si="266"/>
        <v/>
      </c>
      <c r="F81" s="654"/>
      <c r="G81" s="694">
        <f t="shared" si="170"/>
        <v>9392.5798896790966</v>
      </c>
      <c r="H81" s="695">
        <f t="shared" ref="H81:AH81" si="291">IF(ISBLANK(H224),"",H224)</f>
        <v>13697.35313631684</v>
      </c>
      <c r="I81" s="695">
        <f t="shared" si="291"/>
        <v>17284.703810095227</v>
      </c>
      <c r="J81" s="696">
        <f t="shared" si="291"/>
        <v>10274.047045908441</v>
      </c>
      <c r="K81" s="694">
        <f t="shared" si="291"/>
        <v>10183.447113344422</v>
      </c>
      <c r="L81" s="695">
        <f t="shared" si="291"/>
        <v>13001.009310136313</v>
      </c>
      <c r="M81" s="695">
        <f t="shared" si="291"/>
        <v>14568.584070796462</v>
      </c>
      <c r="N81" s="696">
        <f t="shared" si="291"/>
        <v>12436.247938794573</v>
      </c>
      <c r="O81" s="694">
        <f t="shared" si="291"/>
        <v>12425.14553153737</v>
      </c>
      <c r="P81" s="695">
        <f t="shared" si="291"/>
        <v>18031.971093165863</v>
      </c>
      <c r="Q81" s="695">
        <f t="shared" si="291"/>
        <v>17146.378293109447</v>
      </c>
      <c r="R81" s="695">
        <f t="shared" si="291"/>
        <v>12431.863270403677</v>
      </c>
      <c r="S81" s="697">
        <f t="shared" si="291"/>
        <v>10578.39992459892</v>
      </c>
      <c r="T81" s="698">
        <f t="shared" si="291"/>
        <v>11999.78855129232</v>
      </c>
      <c r="U81" s="698">
        <f t="shared" si="291"/>
        <v>17812.227801005432</v>
      </c>
      <c r="V81" s="699">
        <f t="shared" si="291"/>
        <v>11729.179938323001</v>
      </c>
      <c r="W81" s="698">
        <f t="shared" si="291"/>
        <v>9203.1098350249158</v>
      </c>
      <c r="X81" s="698">
        <f t="shared" si="291"/>
        <v>12626.733347297857</v>
      </c>
      <c r="Y81" s="698">
        <f t="shared" si="291"/>
        <v>15897.562359300329</v>
      </c>
      <c r="Z81" s="699">
        <f t="shared" si="291"/>
        <v>13240.978153002308</v>
      </c>
      <c r="AA81" s="698">
        <f t="shared" si="291"/>
        <v>9018.8976375690818</v>
      </c>
      <c r="AB81" s="698">
        <f t="shared" si="291"/>
        <v>13894.286417546622</v>
      </c>
      <c r="AC81" s="698">
        <f t="shared" si="291"/>
        <v>18107.995319874713</v>
      </c>
      <c r="AD81" s="699">
        <f t="shared" si="291"/>
        <v>14745.056501394383</v>
      </c>
      <c r="AE81" s="698">
        <f t="shared" si="291"/>
        <v>13209.269974318235</v>
      </c>
      <c r="AF81" s="698">
        <f t="shared" si="291"/>
        <v>17254.346935393285</v>
      </c>
      <c r="AG81" s="698">
        <f t="shared" si="291"/>
        <v>22217.55576655066</v>
      </c>
      <c r="AH81" s="699">
        <f t="shared" si="291"/>
        <v>13392.414325610831</v>
      </c>
      <c r="AI81" s="698">
        <f t="shared" si="209"/>
        <v>10821.778932940791</v>
      </c>
      <c r="AJ81" s="698">
        <f t="shared" si="209"/>
        <v>14506.809765484199</v>
      </c>
      <c r="AK81" s="698">
        <f t="shared" si="209"/>
        <v>14815.14368478225</v>
      </c>
      <c r="AL81" s="699">
        <f t="shared" si="209"/>
        <v>12173.228816928658</v>
      </c>
      <c r="AM81" s="698">
        <f t="shared" si="210"/>
        <v>7815.56322828876</v>
      </c>
      <c r="AN81" s="698">
        <f t="shared" si="210"/>
        <v>16606.377277599146</v>
      </c>
      <c r="AO81" s="698">
        <f t="shared" si="210"/>
        <v>13626.081170991349</v>
      </c>
      <c r="AP81" s="699">
        <f t="shared" si="210"/>
        <v>14369.39313984169</v>
      </c>
      <c r="AQ81" s="698">
        <f t="shared" si="210"/>
        <v>16741.315089166317</v>
      </c>
      <c r="AR81" s="698">
        <f t="shared" si="210"/>
        <v>20687.340048570692</v>
      </c>
      <c r="AS81" s="698">
        <f t="shared" si="210"/>
        <v>18591.892964046394</v>
      </c>
      <c r="AT81" s="699">
        <f t="shared" si="210"/>
        <v>8151.6242564083632</v>
      </c>
      <c r="AU81" s="698">
        <f t="shared" ref="AU81:AX81" si="292">IF(ISBLANK(AU224),"",AU224)</f>
        <v>16761.003464683836</v>
      </c>
      <c r="AV81" s="698">
        <f t="shared" si="292"/>
        <v>20711.669088264731</v>
      </c>
      <c r="AW81" s="698">
        <f t="shared" si="292"/>
        <v>18613.757684249551</v>
      </c>
      <c r="AX81" s="699">
        <f t="shared" si="292"/>
        <v>8161.210853314461</v>
      </c>
      <c r="AY81" s="698">
        <f t="shared" ref="AY81:BB81" si="293">IF(ISBLANK(AY224),"",AY224)</f>
        <v>16419.071657976107</v>
      </c>
      <c r="AZ81" s="698">
        <f t="shared" si="293"/>
        <v>20289.14197369161</v>
      </c>
      <c r="BA81" s="698">
        <f t="shared" si="293"/>
        <v>18234.028880541242</v>
      </c>
      <c r="BB81" s="699">
        <f t="shared" si="293"/>
        <v>7994.7185798729333</v>
      </c>
      <c r="BC81" s="700"/>
      <c r="BD81" s="700"/>
      <c r="BE81" s="701">
        <f t="shared" si="273"/>
        <v>12662.170970499901</v>
      </c>
      <c r="BF81" s="701">
        <f t="shared" si="274"/>
        <v>12547.322108267941</v>
      </c>
      <c r="BG81" s="701">
        <f t="shared" si="275"/>
        <v>15008.839547054089</v>
      </c>
      <c r="BH81" s="701">
        <f t="shared" si="276"/>
        <v>13029.89905380492</v>
      </c>
      <c r="BI81" s="701">
        <f t="shared" si="277"/>
        <v>12742.095923656352</v>
      </c>
      <c r="BJ81" s="701">
        <f t="shared" si="278"/>
        <v>13941.558969096201</v>
      </c>
      <c r="BK81" s="701">
        <f t="shared" si="279"/>
        <v>16518.396750468255</v>
      </c>
      <c r="BL81" s="701">
        <f t="shared" si="280"/>
        <v>13079.240300033973</v>
      </c>
      <c r="BM81" s="1582">
        <f t="shared" si="281"/>
        <v>13104.353704180236</v>
      </c>
      <c r="BN81" s="1582">
        <f t="shared" si="282"/>
        <v>16043.04308954794</v>
      </c>
      <c r="BO81" s="1582">
        <f t="shared" si="283"/>
        <v>16061.910272628145</v>
      </c>
      <c r="BP81" s="1582">
        <f t="shared" si="284"/>
        <v>15734.240273020474</v>
      </c>
      <c r="BQ81" s="637"/>
      <c r="BR81" s="638"/>
      <c r="BU81" s="609"/>
      <c r="BV81" s="608"/>
      <c r="BW81" s="608"/>
      <c r="BX81" s="608"/>
      <c r="BZ81" s="1685"/>
    </row>
    <row r="82" spans="1:81" ht="12.75" customHeight="1">
      <c r="A82" s="610"/>
      <c r="B82" s="611"/>
      <c r="C82" s="629" t="str">
        <f t="shared" si="266"/>
        <v>PJM West</v>
      </c>
      <c r="D82" s="629" t="str">
        <f t="shared" si="266"/>
        <v/>
      </c>
      <c r="E82" s="629" t="str">
        <f t="shared" si="266"/>
        <v/>
      </c>
      <c r="F82" s="654"/>
      <c r="G82" s="694">
        <f t="shared" si="170"/>
        <v>7982.4119503554102</v>
      </c>
      <c r="H82" s="695">
        <f t="shared" ref="H82:AH82" si="294">IF(ISBLANK(H225),"",H225)</f>
        <v>11041.103779988538</v>
      </c>
      <c r="I82" s="695">
        <f t="shared" si="294"/>
        <v>14228.587132037725</v>
      </c>
      <c r="J82" s="696">
        <f t="shared" si="294"/>
        <v>9383.2805134876544</v>
      </c>
      <c r="K82" s="694">
        <f t="shared" si="294"/>
        <v>8427.5939587936628</v>
      </c>
      <c r="L82" s="695">
        <f t="shared" si="294"/>
        <v>12841.345055255759</v>
      </c>
      <c r="M82" s="695">
        <f t="shared" si="294"/>
        <v>13053.181206760597</v>
      </c>
      <c r="N82" s="696">
        <f t="shared" si="294"/>
        <v>10988.427298979313</v>
      </c>
      <c r="O82" s="694">
        <f t="shared" si="294"/>
        <v>12399.269052277541</v>
      </c>
      <c r="P82" s="695">
        <f t="shared" si="294"/>
        <v>15811.917941469588</v>
      </c>
      <c r="Q82" s="695">
        <f t="shared" si="294"/>
        <v>16066.421494696588</v>
      </c>
      <c r="R82" s="695">
        <f t="shared" si="294"/>
        <v>11326.798880136883</v>
      </c>
      <c r="S82" s="697">
        <f t="shared" si="294"/>
        <v>9769.8876086014934</v>
      </c>
      <c r="T82" s="698">
        <f t="shared" si="294"/>
        <v>10989.280048611789</v>
      </c>
      <c r="U82" s="698">
        <f t="shared" si="294"/>
        <v>13580.3682962901</v>
      </c>
      <c r="V82" s="699">
        <f t="shared" si="294"/>
        <v>10104.935635805112</v>
      </c>
      <c r="W82" s="698">
        <f t="shared" si="294"/>
        <v>8947.0994834564881</v>
      </c>
      <c r="X82" s="698">
        <f t="shared" si="294"/>
        <v>13598.639044134061</v>
      </c>
      <c r="Y82" s="698">
        <f t="shared" si="294"/>
        <v>16362.499285784888</v>
      </c>
      <c r="Z82" s="699">
        <f t="shared" si="294"/>
        <v>14636.185295017334</v>
      </c>
      <c r="AA82" s="698">
        <f t="shared" si="294"/>
        <v>8819.9510291713868</v>
      </c>
      <c r="AB82" s="698">
        <f t="shared" si="294"/>
        <v>24123.141529550368</v>
      </c>
      <c r="AC82" s="698">
        <f t="shared" si="294"/>
        <v>28747.430408517044</v>
      </c>
      <c r="AD82" s="699">
        <f t="shared" si="294"/>
        <v>24735.597244755765</v>
      </c>
      <c r="AE82" s="698">
        <f t="shared" si="294"/>
        <v>16416.865442427312</v>
      </c>
      <c r="AF82" s="698">
        <f t="shared" si="294"/>
        <v>20663.424419465664</v>
      </c>
      <c r="AG82" s="698">
        <f t="shared" si="294"/>
        <v>28889.206582791372</v>
      </c>
      <c r="AH82" s="699">
        <f t="shared" si="294"/>
        <v>14896.780177793647</v>
      </c>
      <c r="AI82" s="698">
        <f t="shared" ref="AI82:AL86" si="295">IF(ISBLANK(AI225),"",AI225)</f>
        <v>10739.7501298603</v>
      </c>
      <c r="AJ82" s="698">
        <f t="shared" si="295"/>
        <v>13045.335901964805</v>
      </c>
      <c r="AK82" s="698">
        <f t="shared" si="295"/>
        <v>20361.658997618648</v>
      </c>
      <c r="AL82" s="699">
        <f t="shared" si="295"/>
        <v>13616.365420376185</v>
      </c>
      <c r="AM82" s="698">
        <f t="shared" ref="AM82:AX82" si="296">IF(ISBLANK(AM225),"",AM225)</f>
        <v>7345.4940065431902</v>
      </c>
      <c r="AN82" s="698">
        <f t="shared" si="296"/>
        <v>15566.250563994585</v>
      </c>
      <c r="AO82" s="698">
        <f t="shared" si="296"/>
        <v>16621.62162162162</v>
      </c>
      <c r="AP82" s="699">
        <f t="shared" si="296"/>
        <v>12917.442582247049</v>
      </c>
      <c r="AQ82" s="698">
        <f t="shared" si="296"/>
        <v>11104.548723888633</v>
      </c>
      <c r="AR82" s="698">
        <f t="shared" si="296"/>
        <v>16674.490418195121</v>
      </c>
      <c r="AS82" s="698">
        <f t="shared" si="296"/>
        <v>17885.095700846545</v>
      </c>
      <c r="AT82" s="699">
        <f t="shared" si="296"/>
        <v>10165.322792411107</v>
      </c>
      <c r="AU82" s="698">
        <f t="shared" si="296"/>
        <v>11252.137629199777</v>
      </c>
      <c r="AV82" s="698">
        <f t="shared" si="296"/>
        <v>16896.108590048279</v>
      </c>
      <c r="AW82" s="698">
        <f t="shared" si="296"/>
        <v>18122.803847436458</v>
      </c>
      <c r="AX82" s="699">
        <f t="shared" si="296"/>
        <v>10300.428585574848</v>
      </c>
      <c r="AY82" s="1408">
        <f t="shared" ref="AY82:BB86" si="297">IF(ISBLANK(AY225),"",IF(Uplift="Yes",$BX36,AY225))</f>
        <v>18400</v>
      </c>
      <c r="AZ82" s="1408">
        <f t="shared" si="297"/>
        <v>18400</v>
      </c>
      <c r="BA82" s="1408">
        <f t="shared" si="297"/>
        <v>18400</v>
      </c>
      <c r="BB82" s="1409">
        <f t="shared" si="297"/>
        <v>18400</v>
      </c>
      <c r="BC82" s="700"/>
      <c r="BD82" s="700"/>
      <c r="BE82" s="701">
        <f t="shared" si="273"/>
        <v>10658.845843967332</v>
      </c>
      <c r="BF82" s="701">
        <f t="shared" si="274"/>
        <v>11327.636879947331</v>
      </c>
      <c r="BG82" s="701">
        <f t="shared" si="275"/>
        <v>13901.10184214515</v>
      </c>
      <c r="BH82" s="701">
        <f t="shared" si="276"/>
        <v>11111.117897327124</v>
      </c>
      <c r="BI82" s="701">
        <f t="shared" si="277"/>
        <v>13386.105777098193</v>
      </c>
      <c r="BJ82" s="701">
        <f t="shared" si="278"/>
        <v>21606.530052998642</v>
      </c>
      <c r="BK82" s="701">
        <f t="shared" si="279"/>
        <v>20216.569155619502</v>
      </c>
      <c r="BL82" s="701">
        <f t="shared" si="280"/>
        <v>14440.777612454986</v>
      </c>
      <c r="BM82" s="1582">
        <f t="shared" si="281"/>
        <v>13112.702193601612</v>
      </c>
      <c r="BN82" s="1582">
        <f t="shared" si="282"/>
        <v>13957.364408835352</v>
      </c>
      <c r="BO82" s="1582">
        <f t="shared" si="283"/>
        <v>14142.869663064841</v>
      </c>
      <c r="BP82" s="1582">
        <f t="shared" si="284"/>
        <v>18400</v>
      </c>
      <c r="BQ82" s="637"/>
      <c r="BR82" s="638"/>
      <c r="BU82" s="609"/>
      <c r="BV82" s="608"/>
      <c r="BW82" s="608"/>
      <c r="BX82" s="608"/>
    </row>
    <row r="83" spans="1:81" ht="12.75" customHeight="1">
      <c r="A83" s="610"/>
      <c r="B83" s="611"/>
      <c r="C83" s="629" t="str">
        <f t="shared" si="266"/>
        <v>PJM East</v>
      </c>
      <c r="D83" s="629" t="str">
        <f t="shared" si="266"/>
        <v/>
      </c>
      <c r="E83" s="629" t="str">
        <f t="shared" si="266"/>
        <v/>
      </c>
      <c r="F83" s="654"/>
      <c r="G83" s="694">
        <f t="shared" ref="G83:G114" si="298">IF(ISBLANK(G226),"",G226)</f>
        <v>8711.9060675020501</v>
      </c>
      <c r="H83" s="695">
        <f t="shared" ref="H83:AH83" si="299">IF(ISBLANK(H226),"",H226)</f>
        <v>12152.629284719847</v>
      </c>
      <c r="I83" s="695">
        <f t="shared" si="299"/>
        <v>17173.13306743103</v>
      </c>
      <c r="J83" s="696">
        <f t="shared" si="299"/>
        <v>10120.881701897726</v>
      </c>
      <c r="K83" s="694">
        <f t="shared" si="299"/>
        <v>9486.4861275515559</v>
      </c>
      <c r="L83" s="695">
        <f t="shared" si="299"/>
        <v>14083.274067213015</v>
      </c>
      <c r="M83" s="695">
        <f t="shared" si="299"/>
        <v>15184.902828423206</v>
      </c>
      <c r="N83" s="696">
        <f t="shared" si="299"/>
        <v>11452.068410464995</v>
      </c>
      <c r="O83" s="694">
        <f t="shared" si="299"/>
        <v>13882.378537887873</v>
      </c>
      <c r="P83" s="695">
        <f t="shared" si="299"/>
        <v>15168.285590046735</v>
      </c>
      <c r="Q83" s="695">
        <f t="shared" si="299"/>
        <v>18341.98697135222</v>
      </c>
      <c r="R83" s="695">
        <f t="shared" si="299"/>
        <v>12596.345207299488</v>
      </c>
      <c r="S83" s="697">
        <f t="shared" si="299"/>
        <v>9911.8076792134689</v>
      </c>
      <c r="T83" s="698">
        <f t="shared" si="299"/>
        <v>11384.147247720264</v>
      </c>
      <c r="U83" s="698">
        <f t="shared" si="299"/>
        <v>15573.185234756584</v>
      </c>
      <c r="V83" s="699">
        <f t="shared" si="299"/>
        <v>10607.460008072527</v>
      </c>
      <c r="W83" s="698">
        <f t="shared" si="299"/>
        <v>10425.452124530333</v>
      </c>
      <c r="X83" s="698">
        <f t="shared" si="299"/>
        <v>14513.982866861383</v>
      </c>
      <c r="Y83" s="698">
        <f t="shared" si="299"/>
        <v>17923.159637116962</v>
      </c>
      <c r="Z83" s="699">
        <f t="shared" si="299"/>
        <v>17808.177795314739</v>
      </c>
      <c r="AA83" s="698">
        <f t="shared" si="299"/>
        <v>10435.739406819961</v>
      </c>
      <c r="AB83" s="698">
        <f t="shared" si="299"/>
        <v>22688.465601410513</v>
      </c>
      <c r="AC83" s="698">
        <f t="shared" si="299"/>
        <v>29063.334258348081</v>
      </c>
      <c r="AD83" s="699">
        <f t="shared" si="299"/>
        <v>23298.162468780309</v>
      </c>
      <c r="AE83" s="698">
        <f t="shared" si="299"/>
        <v>17051.205582715174</v>
      </c>
      <c r="AF83" s="698">
        <f t="shared" si="299"/>
        <v>18139.264256659353</v>
      </c>
      <c r="AG83" s="698">
        <f t="shared" si="299"/>
        <v>30127.615946596885</v>
      </c>
      <c r="AH83" s="699">
        <f t="shared" si="299"/>
        <v>12908.049102170644</v>
      </c>
      <c r="AI83" s="698">
        <f t="shared" si="295"/>
        <v>11111.448318537523</v>
      </c>
      <c r="AJ83" s="698">
        <f t="shared" si="295"/>
        <v>12879.867308086643</v>
      </c>
      <c r="AK83" s="698">
        <f t="shared" si="295"/>
        <v>19709.573082387014</v>
      </c>
      <c r="AL83" s="699">
        <f t="shared" si="295"/>
        <v>14197.025620468919</v>
      </c>
      <c r="AM83" s="698">
        <f t="shared" ref="AM83:AX83" si="300">IF(ISBLANK(AM226),"",AM226)</f>
        <v>7552.144985638347</v>
      </c>
      <c r="AN83" s="698">
        <f t="shared" si="300"/>
        <v>15508.196721311475</v>
      </c>
      <c r="AO83" s="698">
        <f t="shared" si="300"/>
        <v>17145.420420420422</v>
      </c>
      <c r="AP83" s="699">
        <f t="shared" si="300"/>
        <v>12891.744258224702</v>
      </c>
      <c r="AQ83" s="698">
        <f t="shared" si="300"/>
        <v>12752.248157113403</v>
      </c>
      <c r="AR83" s="698">
        <f t="shared" si="300"/>
        <v>17021.585855808447</v>
      </c>
      <c r="AS83" s="698">
        <f t="shared" si="300"/>
        <v>18914.044155281495</v>
      </c>
      <c r="AT83" s="699">
        <f t="shared" si="300"/>
        <v>9489.5496195419528</v>
      </c>
      <c r="AU83" s="698">
        <f t="shared" si="300"/>
        <v>12943.493840954505</v>
      </c>
      <c r="AV83" s="698">
        <f t="shared" si="300"/>
        <v>17276.858870177937</v>
      </c>
      <c r="AW83" s="698">
        <f t="shared" si="300"/>
        <v>19197.698399153764</v>
      </c>
      <c r="AX83" s="699">
        <f t="shared" si="300"/>
        <v>9631.864557580624</v>
      </c>
      <c r="AY83" s="1408">
        <f t="shared" si="297"/>
        <v>17597.785714285717</v>
      </c>
      <c r="AZ83" s="1408">
        <f t="shared" si="297"/>
        <v>17597.785714285717</v>
      </c>
      <c r="BA83" s="1408">
        <f t="shared" si="297"/>
        <v>17597.785714285717</v>
      </c>
      <c r="BB83" s="1409">
        <f t="shared" si="297"/>
        <v>17597.785714285717</v>
      </c>
      <c r="BC83" s="700"/>
      <c r="BD83" s="700"/>
      <c r="BE83" s="701">
        <f t="shared" si="273"/>
        <v>12039.637530387663</v>
      </c>
      <c r="BF83" s="701">
        <f t="shared" si="274"/>
        <v>12551.682858413194</v>
      </c>
      <c r="BG83" s="701">
        <f t="shared" si="275"/>
        <v>14997.249076646578</v>
      </c>
      <c r="BH83" s="701">
        <f t="shared" si="276"/>
        <v>11869.150042440711</v>
      </c>
      <c r="BI83" s="701">
        <f t="shared" si="277"/>
        <v>15167.693105955856</v>
      </c>
      <c r="BJ83" s="701">
        <f t="shared" si="278"/>
        <v>21371.425433839719</v>
      </c>
      <c r="BK83" s="701">
        <f t="shared" si="279"/>
        <v>19556.533722035514</v>
      </c>
      <c r="BL83" s="701">
        <f t="shared" si="280"/>
        <v>14474.478582370026</v>
      </c>
      <c r="BM83" s="1582">
        <f t="shared" si="281"/>
        <v>13274.376596398735</v>
      </c>
      <c r="BN83" s="1582">
        <f t="shared" si="282"/>
        <v>14544.356946936325</v>
      </c>
      <c r="BO83" s="1582">
        <f t="shared" si="283"/>
        <v>14762.478916966707</v>
      </c>
      <c r="BP83" s="1582">
        <f t="shared" si="284"/>
        <v>17597.785714285717</v>
      </c>
      <c r="BQ83" s="637"/>
      <c r="BR83" s="638"/>
      <c r="BU83" s="609"/>
      <c r="BV83" s="1703"/>
      <c r="BW83" s="1704"/>
      <c r="BX83" s="1704"/>
      <c r="BY83" s="1705"/>
      <c r="BZ83" s="1705"/>
      <c r="CA83" s="1705"/>
      <c r="CB83" s="1705"/>
      <c r="CC83" s="1705"/>
    </row>
    <row r="84" spans="1:81" ht="12.75" customHeight="1">
      <c r="A84" s="610"/>
      <c r="B84" s="611"/>
      <c r="C84" s="629" t="str">
        <f t="shared" si="266"/>
        <v>AEP Dayton</v>
      </c>
      <c r="D84" s="629" t="str">
        <f t="shared" si="266"/>
        <v/>
      </c>
      <c r="E84" s="629" t="str">
        <f t="shared" si="266"/>
        <v/>
      </c>
      <c r="F84" s="654"/>
      <c r="G84" s="694">
        <f t="shared" si="298"/>
        <v>7034.5564560522225</v>
      </c>
      <c r="H84" s="695">
        <f t="shared" ref="H84:AH84" si="301">IF(ISBLANK(H227),"",H227)</f>
        <v>9219.5630628076833</v>
      </c>
      <c r="I84" s="695">
        <f t="shared" si="301"/>
        <v>11045.187830976916</v>
      </c>
      <c r="J84" s="696">
        <f t="shared" si="301"/>
        <v>7381.5895861529834</v>
      </c>
      <c r="K84" s="694">
        <f t="shared" si="301"/>
        <v>6978.2974668560619</v>
      </c>
      <c r="L84" s="695">
        <f t="shared" si="301"/>
        <v>10974.737677781584</v>
      </c>
      <c r="M84" s="695">
        <f t="shared" si="301"/>
        <v>11488.370939644137</v>
      </c>
      <c r="N84" s="696">
        <f t="shared" si="301"/>
        <v>10454.753259779891</v>
      </c>
      <c r="O84" s="694">
        <f t="shared" si="301"/>
        <v>11590.193568861898</v>
      </c>
      <c r="P84" s="695">
        <f t="shared" si="301"/>
        <v>14239.168969349786</v>
      </c>
      <c r="Q84" s="695">
        <f t="shared" si="301"/>
        <v>14649.640167203261</v>
      </c>
      <c r="R84" s="695">
        <f t="shared" si="301"/>
        <v>10401.683528262198</v>
      </c>
      <c r="S84" s="697">
        <f t="shared" si="301"/>
        <v>8843.8741816001238</v>
      </c>
      <c r="T84" s="698">
        <f t="shared" si="301"/>
        <v>10090.605702834497</v>
      </c>
      <c r="U84" s="698">
        <f t="shared" si="301"/>
        <v>11784.929103005486</v>
      </c>
      <c r="V84" s="699">
        <f t="shared" si="301"/>
        <v>9055.3075246398785</v>
      </c>
      <c r="W84" s="698">
        <f t="shared" si="301"/>
        <v>6250.8834115149521</v>
      </c>
      <c r="X84" s="698">
        <f t="shared" si="301"/>
        <v>13598.445413206973</v>
      </c>
      <c r="Y84" s="698">
        <f t="shared" si="301"/>
        <v>15115.206481521522</v>
      </c>
      <c r="Z84" s="699">
        <f t="shared" si="301"/>
        <v>14526.341739741243</v>
      </c>
      <c r="AA84" s="698">
        <f t="shared" si="301"/>
        <v>6685.8777350899572</v>
      </c>
      <c r="AB84" s="698">
        <f t="shared" si="301"/>
        <v>22536.074157139941</v>
      </c>
      <c r="AC84" s="698">
        <f t="shared" si="301"/>
        <v>26155.148246335953</v>
      </c>
      <c r="AD84" s="699">
        <f t="shared" si="301"/>
        <v>23909.989823722273</v>
      </c>
      <c r="AE84" s="698">
        <f t="shared" si="301"/>
        <v>14978.836309235272</v>
      </c>
      <c r="AF84" s="698">
        <f t="shared" si="301"/>
        <v>19797.287168266088</v>
      </c>
      <c r="AG84" s="698">
        <f t="shared" si="301"/>
        <v>28019.254671976272</v>
      </c>
      <c r="AH84" s="699">
        <f t="shared" si="301"/>
        <v>14526.175995021027</v>
      </c>
      <c r="AI84" s="698">
        <f t="shared" si="295"/>
        <v>10353.203493698842</v>
      </c>
      <c r="AJ84" s="698">
        <f t="shared" si="295"/>
        <v>13146.418491195038</v>
      </c>
      <c r="AK84" s="698">
        <f t="shared" si="295"/>
        <v>20992.620308985443</v>
      </c>
      <c r="AL84" s="699">
        <f t="shared" si="295"/>
        <v>11673.338698911291</v>
      </c>
      <c r="AM84" s="698">
        <f t="shared" ref="AM84:AX84" si="302">IF(ISBLANK(AM227),"",AM227)</f>
        <v>6038.4727262704982</v>
      </c>
      <c r="AN84" s="698">
        <f t="shared" si="302"/>
        <v>13216.818012190572</v>
      </c>
      <c r="AO84" s="698">
        <f t="shared" si="302"/>
        <v>13392.53996447602</v>
      </c>
      <c r="AP84" s="699">
        <f t="shared" si="302"/>
        <v>11740.379092475589</v>
      </c>
      <c r="AQ84" s="698">
        <f t="shared" si="302"/>
        <v>12782.858661912423</v>
      </c>
      <c r="AR84" s="698">
        <f t="shared" si="302"/>
        <v>12270.005904552587</v>
      </c>
      <c r="AS84" s="698">
        <f t="shared" si="302"/>
        <v>13129.877577825491</v>
      </c>
      <c r="AT84" s="699">
        <f t="shared" si="302"/>
        <v>11979.669391553554</v>
      </c>
      <c r="AU84" s="698">
        <f t="shared" si="302"/>
        <v>12476.88178267494</v>
      </c>
      <c r="AV84" s="698">
        <f t="shared" si="302"/>
        <v>11976.304924654652</v>
      </c>
      <c r="AW84" s="698">
        <f t="shared" si="302"/>
        <v>12815.594280772109</v>
      </c>
      <c r="AX84" s="699">
        <f t="shared" si="302"/>
        <v>11692.918051210097</v>
      </c>
      <c r="AY84" s="1408">
        <f t="shared" si="297"/>
        <v>19477.5</v>
      </c>
      <c r="AZ84" s="1408">
        <f t="shared" si="297"/>
        <v>19477.5</v>
      </c>
      <c r="BA84" s="1408">
        <f t="shared" si="297"/>
        <v>19477.5</v>
      </c>
      <c r="BB84" s="1409">
        <f t="shared" si="297"/>
        <v>19477.5</v>
      </c>
      <c r="BC84" s="700"/>
      <c r="BD84" s="700"/>
      <c r="BE84" s="701">
        <f t="shared" si="273"/>
        <v>8670.2242339974509</v>
      </c>
      <c r="BF84" s="701">
        <f t="shared" si="274"/>
        <v>9974.0398360154177</v>
      </c>
      <c r="BG84" s="701">
        <f t="shared" si="275"/>
        <v>12720.171558419286</v>
      </c>
      <c r="BH84" s="701">
        <f t="shared" si="276"/>
        <v>9943.6791280199977</v>
      </c>
      <c r="BI84" s="701">
        <f t="shared" si="277"/>
        <v>12372.719261496171</v>
      </c>
      <c r="BJ84" s="701">
        <f t="shared" si="278"/>
        <v>19821.772490572032</v>
      </c>
      <c r="BK84" s="701">
        <f t="shared" si="279"/>
        <v>19330.388536124665</v>
      </c>
      <c r="BL84" s="701">
        <f t="shared" si="280"/>
        <v>14041.395248197652</v>
      </c>
      <c r="BM84" s="1582">
        <f t="shared" si="281"/>
        <v>11097.05244885317</v>
      </c>
      <c r="BN84" s="1582">
        <f t="shared" si="282"/>
        <v>12540.602883961015</v>
      </c>
      <c r="BO84" s="1582">
        <f t="shared" si="283"/>
        <v>12240.424759827951</v>
      </c>
      <c r="BP84" s="1582">
        <f t="shared" si="284"/>
        <v>19477.5</v>
      </c>
      <c r="BQ84" s="637"/>
      <c r="BR84" s="638"/>
      <c r="BU84" s="609"/>
      <c r="BV84" s="1706"/>
      <c r="BW84" s="1706"/>
      <c r="BX84" s="1706"/>
      <c r="BY84" s="1706"/>
      <c r="BZ84" s="1706"/>
      <c r="CA84" s="1706"/>
      <c r="CB84" s="1706"/>
      <c r="CC84" s="1706"/>
    </row>
    <row r="85" spans="1:81" ht="12.75" customHeight="1">
      <c r="A85" s="610"/>
      <c r="B85" s="611"/>
      <c r="C85" s="629" t="str">
        <f t="shared" si="266"/>
        <v>Cinergy</v>
      </c>
      <c r="D85" s="629" t="str">
        <f t="shared" si="266"/>
        <v/>
      </c>
      <c r="E85" s="629" t="str">
        <f t="shared" si="266"/>
        <v/>
      </c>
      <c r="F85" s="654"/>
      <c r="G85" s="694">
        <f t="shared" si="298"/>
        <v>8259.8996262013297</v>
      </c>
      <c r="H85" s="695">
        <f t="shared" ref="H85:AH85" si="303">IF(ISBLANK(H228),"",H228)</f>
        <v>10003.549383125364</v>
      </c>
      <c r="I85" s="695">
        <f t="shared" si="303"/>
        <v>12028.047815312115</v>
      </c>
      <c r="J85" s="696">
        <f t="shared" si="303"/>
        <v>10227.868758263019</v>
      </c>
      <c r="K85" s="694">
        <f t="shared" si="303"/>
        <v>9936.5439224208931</v>
      </c>
      <c r="L85" s="695">
        <f t="shared" si="303"/>
        <v>11672.791950011986</v>
      </c>
      <c r="M85" s="695">
        <f t="shared" si="303"/>
        <v>12186.105777662253</v>
      </c>
      <c r="N85" s="696">
        <f t="shared" si="303"/>
        <v>11252.850685073325</v>
      </c>
      <c r="O85" s="694">
        <f t="shared" si="303"/>
        <v>13099.854320578041</v>
      </c>
      <c r="P85" s="695">
        <f t="shared" si="303"/>
        <v>15290.619466270606</v>
      </c>
      <c r="Q85" s="695">
        <f t="shared" si="303"/>
        <v>15612.213249244409</v>
      </c>
      <c r="R85" s="695">
        <f t="shared" si="303"/>
        <v>11258.478019599537</v>
      </c>
      <c r="S85" s="697">
        <f t="shared" si="303"/>
        <v>10840.629181716851</v>
      </c>
      <c r="T85" s="698">
        <f t="shared" si="303"/>
        <v>10433.524268414367</v>
      </c>
      <c r="U85" s="698">
        <f t="shared" si="303"/>
        <v>11783.624476286885</v>
      </c>
      <c r="V85" s="699">
        <f t="shared" si="303"/>
        <v>9410.7450433957438</v>
      </c>
      <c r="W85" s="698">
        <f t="shared" si="303"/>
        <v>15318.186620328099</v>
      </c>
      <c r="X85" s="698">
        <f t="shared" si="303"/>
        <v>10985.588769221897</v>
      </c>
      <c r="Y85" s="698">
        <f t="shared" si="303"/>
        <v>9630.6910356468015</v>
      </c>
      <c r="Z85" s="699">
        <f t="shared" si="303"/>
        <v>10341.789794005559</v>
      </c>
      <c r="AA85" s="698">
        <f t="shared" si="303"/>
        <v>14856.332241024871</v>
      </c>
      <c r="AB85" s="698">
        <f t="shared" si="303"/>
        <v>12927.939921820258</v>
      </c>
      <c r="AC85" s="698">
        <f t="shared" si="303"/>
        <v>12745.79802165131</v>
      </c>
      <c r="AD85" s="699">
        <f t="shared" si="303"/>
        <v>14436.141757625302</v>
      </c>
      <c r="AE85" s="698">
        <f t="shared" si="303"/>
        <v>13712.372915511156</v>
      </c>
      <c r="AF85" s="698">
        <f t="shared" si="303"/>
        <v>14788.269551509478</v>
      </c>
      <c r="AG85" s="698">
        <f t="shared" si="303"/>
        <v>13349.72491644476</v>
      </c>
      <c r="AH85" s="699">
        <f t="shared" si="303"/>
        <v>10706.4109123743</v>
      </c>
      <c r="AI85" s="698">
        <f t="shared" si="295"/>
        <v>10324.076252256546</v>
      </c>
      <c r="AJ85" s="698">
        <f t="shared" si="295"/>
        <v>10803.742971428574</v>
      </c>
      <c r="AK85" s="698">
        <f t="shared" si="295"/>
        <v>12479.580188793305</v>
      </c>
      <c r="AL85" s="699">
        <f t="shared" si="295"/>
        <v>11085.597339180495</v>
      </c>
      <c r="AM85" s="698">
        <f t="shared" ref="AM85:AX85" si="304">IF(ISBLANK(AM228),"",AM228)</f>
        <v>12354.403745497164</v>
      </c>
      <c r="AN85" s="698">
        <f t="shared" si="304"/>
        <v>12625.948501057348</v>
      </c>
      <c r="AO85" s="698">
        <f t="shared" si="304"/>
        <v>12901.124925991713</v>
      </c>
      <c r="AP85" s="699">
        <f t="shared" si="304"/>
        <v>11585.295807007466</v>
      </c>
      <c r="AQ85" s="698">
        <f t="shared" si="304"/>
        <v>11887.424379313399</v>
      </c>
      <c r="AR85" s="698">
        <f t="shared" si="304"/>
        <v>11870.343784498289</v>
      </c>
      <c r="AS85" s="698">
        <f t="shared" si="304"/>
        <v>12919.05721085627</v>
      </c>
      <c r="AT85" s="699">
        <f t="shared" si="304"/>
        <v>12181.915144547824</v>
      </c>
      <c r="AU85" s="698">
        <f t="shared" si="304"/>
        <v>11741.640116388797</v>
      </c>
      <c r="AV85" s="698">
        <f t="shared" si="304"/>
        <v>11724.768993520336</v>
      </c>
      <c r="AW85" s="698">
        <f t="shared" si="304"/>
        <v>12760.621272753231</v>
      </c>
      <c r="AX85" s="699">
        <f t="shared" si="304"/>
        <v>12032.519323915016</v>
      </c>
      <c r="AY85" s="1408">
        <f t="shared" si="297"/>
        <v>16920</v>
      </c>
      <c r="AZ85" s="1408">
        <f t="shared" si="297"/>
        <v>16920</v>
      </c>
      <c r="BA85" s="1408">
        <f t="shared" si="297"/>
        <v>16920</v>
      </c>
      <c r="BB85" s="1409">
        <f t="shared" si="297"/>
        <v>16920</v>
      </c>
      <c r="BC85" s="700"/>
      <c r="BD85" s="700"/>
      <c r="BE85" s="701">
        <f t="shared" si="273"/>
        <v>10129.841395725456</v>
      </c>
      <c r="BF85" s="701">
        <f t="shared" si="274"/>
        <v>11262.073083792115</v>
      </c>
      <c r="BG85" s="701">
        <f t="shared" si="275"/>
        <v>13815.291263923147</v>
      </c>
      <c r="BH85" s="701">
        <f t="shared" si="276"/>
        <v>10617.130742453461</v>
      </c>
      <c r="BI85" s="701">
        <f t="shared" si="277"/>
        <v>11569.06405480059</v>
      </c>
      <c r="BJ85" s="701">
        <f t="shared" si="278"/>
        <v>13741.552985530434</v>
      </c>
      <c r="BK85" s="701">
        <f t="shared" si="279"/>
        <v>13139.194573959921</v>
      </c>
      <c r="BL85" s="701">
        <f t="shared" si="280"/>
        <v>11173.249187914729</v>
      </c>
      <c r="BM85" s="1582">
        <f t="shared" si="281"/>
        <v>12366.693244888422</v>
      </c>
      <c r="BN85" s="1582">
        <f t="shared" si="282"/>
        <v>12214.685129803944</v>
      </c>
      <c r="BO85" s="1582">
        <f t="shared" si="283"/>
        <v>12064.887426644345</v>
      </c>
      <c r="BP85" s="1582">
        <f t="shared" si="284"/>
        <v>16920</v>
      </c>
      <c r="BQ85" s="637"/>
      <c r="BR85" s="638"/>
      <c r="BU85" s="609"/>
      <c r="BV85" s="1701" t="s">
        <v>920</v>
      </c>
      <c r="BW85" s="1702"/>
      <c r="BX85" s="1702"/>
      <c r="BY85" s="1695"/>
      <c r="BZ85" s="1695"/>
      <c r="CA85" s="1695"/>
      <c r="CB85" s="1695"/>
      <c r="CC85" s="1695"/>
    </row>
    <row r="86" spans="1:81" ht="12.75" customHeight="1">
      <c r="A86" s="610"/>
      <c r="B86" s="611"/>
      <c r="C86" s="629" t="str">
        <f t="shared" si="266"/>
        <v>NI Hub</v>
      </c>
      <c r="D86" s="629" t="str">
        <f t="shared" si="266"/>
        <v/>
      </c>
      <c r="E86" s="629" t="str">
        <f t="shared" si="266"/>
        <v/>
      </c>
      <c r="F86" s="654"/>
      <c r="G86" s="694">
        <f t="shared" si="298"/>
        <v>7879.0781844521443</v>
      </c>
      <c r="H86" s="695">
        <f t="shared" ref="H86:AH86" si="305">IF(ISBLANK(H229),"",H229)</f>
        <v>9492.1346187852487</v>
      </c>
      <c r="I86" s="695">
        <f t="shared" si="305"/>
        <v>11670.518647143224</v>
      </c>
      <c r="J86" s="696">
        <f t="shared" si="305"/>
        <v>9043.648694139978</v>
      </c>
      <c r="K86" s="694">
        <f t="shared" si="305"/>
        <v>9487.2668594512506</v>
      </c>
      <c r="L86" s="695">
        <f t="shared" si="305"/>
        <v>10409.06834561809</v>
      </c>
      <c r="M86" s="695">
        <f t="shared" si="305"/>
        <v>11468.42132683538</v>
      </c>
      <c r="N86" s="696">
        <f t="shared" si="305"/>
        <v>9514.2850054382216</v>
      </c>
      <c r="O86" s="694">
        <f t="shared" si="305"/>
        <v>12376.233457669894</v>
      </c>
      <c r="P86" s="695">
        <f t="shared" si="305"/>
        <v>14387.401369304029</v>
      </c>
      <c r="Q86" s="695">
        <f t="shared" si="305"/>
        <v>15593.259988776501</v>
      </c>
      <c r="R86" s="695">
        <f t="shared" si="305"/>
        <v>10321.248406616682</v>
      </c>
      <c r="S86" s="697">
        <f t="shared" si="305"/>
        <v>10013.535130755854</v>
      </c>
      <c r="T86" s="698">
        <f t="shared" si="305"/>
        <v>9797.5059785309622</v>
      </c>
      <c r="U86" s="698">
        <f t="shared" si="305"/>
        <v>11556.783290642117</v>
      </c>
      <c r="V86" s="699">
        <f t="shared" si="305"/>
        <v>8955.14579243558</v>
      </c>
      <c r="W86" s="698">
        <f t="shared" si="305"/>
        <v>14102.021173316958</v>
      </c>
      <c r="X86" s="698">
        <f t="shared" si="305"/>
        <v>10515.051888952205</v>
      </c>
      <c r="Y86" s="698">
        <f t="shared" si="305"/>
        <v>9329.8105397704876</v>
      </c>
      <c r="Z86" s="699">
        <f t="shared" si="305"/>
        <v>10242.15556320529</v>
      </c>
      <c r="AA86" s="698">
        <f t="shared" si="305"/>
        <v>13812.6485828859</v>
      </c>
      <c r="AB86" s="698">
        <f t="shared" si="305"/>
        <v>11166.919578014331</v>
      </c>
      <c r="AC86" s="698">
        <f t="shared" si="305"/>
        <v>12281.123997010438</v>
      </c>
      <c r="AD86" s="699">
        <f t="shared" si="305"/>
        <v>14039.404430911989</v>
      </c>
      <c r="AE86" s="698">
        <f t="shared" si="305"/>
        <v>13452.093034820135</v>
      </c>
      <c r="AF86" s="698">
        <f t="shared" si="305"/>
        <v>13851.754927196182</v>
      </c>
      <c r="AG86" s="698">
        <f t="shared" si="305"/>
        <v>13069.487986386619</v>
      </c>
      <c r="AH86" s="699">
        <f t="shared" si="305"/>
        <v>10415.320938137747</v>
      </c>
      <c r="AI86" s="698">
        <f t="shared" si="295"/>
        <v>9752.8895345008495</v>
      </c>
      <c r="AJ86" s="698">
        <f t="shared" si="295"/>
        <v>10932.723139999998</v>
      </c>
      <c r="AK86" s="698">
        <f t="shared" si="295"/>
        <v>11696.829462716889</v>
      </c>
      <c r="AL86" s="699">
        <f t="shared" si="295"/>
        <v>10483.05478949106</v>
      </c>
      <c r="AM86" s="698">
        <f t="shared" ref="AM86:AX86" si="306">IF(ISBLANK(AM229),"",AM229)</f>
        <v>10268.572478822029</v>
      </c>
      <c r="AN86" s="698">
        <f t="shared" si="306"/>
        <v>11220.301032466725</v>
      </c>
      <c r="AO86" s="698">
        <f t="shared" si="306"/>
        <v>12291.296625222027</v>
      </c>
      <c r="AP86" s="699">
        <f t="shared" si="306"/>
        <v>10396.323951751867</v>
      </c>
      <c r="AQ86" s="698">
        <f t="shared" si="306"/>
        <v>11688.854504578794</v>
      </c>
      <c r="AR86" s="698">
        <f t="shared" si="306"/>
        <v>11265.073570860448</v>
      </c>
      <c r="AS86" s="698">
        <f t="shared" si="306"/>
        <v>12554.63520359593</v>
      </c>
      <c r="AT86" s="699">
        <f t="shared" si="306"/>
        <v>9606.3783866369322</v>
      </c>
      <c r="AU86" s="698">
        <f t="shared" si="306"/>
        <v>11517.869933034026</v>
      </c>
      <c r="AV86" s="698">
        <f t="shared" si="306"/>
        <v>11100.28806709878</v>
      </c>
      <c r="AW86" s="698">
        <f t="shared" si="306"/>
        <v>12370.985991404368</v>
      </c>
      <c r="AX86" s="699">
        <f t="shared" si="306"/>
        <v>9465.8562771442867</v>
      </c>
      <c r="AY86" s="1408">
        <f t="shared" si="297"/>
        <v>13869.336734693876</v>
      </c>
      <c r="AZ86" s="1408">
        <f t="shared" si="297"/>
        <v>13869.336734693876</v>
      </c>
      <c r="BA86" s="1408">
        <f t="shared" si="297"/>
        <v>13869.336734693876</v>
      </c>
      <c r="BB86" s="1409">
        <f t="shared" si="297"/>
        <v>13869.336734693876</v>
      </c>
      <c r="BC86" s="700"/>
      <c r="BD86" s="700"/>
      <c r="BE86" s="701">
        <f t="shared" si="273"/>
        <v>9521.3450361301493</v>
      </c>
      <c r="BF86" s="701">
        <f t="shared" si="274"/>
        <v>10219.760384335736</v>
      </c>
      <c r="BG86" s="701">
        <f t="shared" si="275"/>
        <v>13169.535805591777</v>
      </c>
      <c r="BH86" s="701">
        <f t="shared" si="276"/>
        <v>10080.742548091128</v>
      </c>
      <c r="BI86" s="701">
        <f t="shared" si="277"/>
        <v>11047.259791311235</v>
      </c>
      <c r="BJ86" s="701">
        <f t="shared" si="278"/>
        <v>12825.024147205666</v>
      </c>
      <c r="BK86" s="701">
        <f t="shared" si="279"/>
        <v>12697.16422163517</v>
      </c>
      <c r="BL86" s="701">
        <f t="shared" si="280"/>
        <v>10716.3742316772</v>
      </c>
      <c r="BM86" s="1582">
        <f t="shared" si="281"/>
        <v>11044.123522065662</v>
      </c>
      <c r="BN86" s="1582">
        <f t="shared" si="282"/>
        <v>11278.735416418027</v>
      </c>
      <c r="BO86" s="1582">
        <f t="shared" si="283"/>
        <v>11113.750067170366</v>
      </c>
      <c r="BP86" s="1582">
        <f t="shared" si="284"/>
        <v>13869.336734693876</v>
      </c>
      <c r="BQ86" s="637"/>
      <c r="BR86" s="638"/>
      <c r="BU86" s="609"/>
      <c r="BV86" s="1635" t="s">
        <v>693</v>
      </c>
      <c r="BW86" s="1635"/>
      <c r="BX86" s="1635"/>
      <c r="BY86" s="1635" t="s">
        <v>877</v>
      </c>
      <c r="BZ86" s="1635" t="s">
        <v>691</v>
      </c>
      <c r="CA86" s="1635" t="s">
        <v>879</v>
      </c>
      <c r="CB86" s="1635" t="s">
        <v>880</v>
      </c>
      <c r="CC86" s="1635" t="s">
        <v>881</v>
      </c>
    </row>
    <row r="87" spans="1:81" ht="12.75" customHeight="1">
      <c r="A87" s="610"/>
      <c r="B87" s="611"/>
      <c r="C87" s="629" t="str">
        <f t="shared" si="266"/>
        <v>ERCOT Houston</v>
      </c>
      <c r="D87" s="629" t="str">
        <f t="shared" si="266"/>
        <v/>
      </c>
      <c r="E87" s="629" t="str">
        <f t="shared" si="266"/>
        <v/>
      </c>
      <c r="F87" s="654"/>
      <c r="G87" s="694">
        <f t="shared" si="298"/>
        <v>8067.5859433413843</v>
      </c>
      <c r="H87" s="695">
        <f t="shared" ref="H87:AL87" si="307">IF(ISBLANK(H230),"",H230)</f>
        <v>9108.0848492485366</v>
      </c>
      <c r="I87" s="695">
        <f t="shared" si="307"/>
        <v>11390.781083275977</v>
      </c>
      <c r="J87" s="696">
        <f t="shared" si="307"/>
        <v>8539.6099607496708</v>
      </c>
      <c r="K87" s="694">
        <f t="shared" si="307"/>
        <v>11901.725588831843</v>
      </c>
      <c r="L87" s="695">
        <f t="shared" si="307"/>
        <v>9599.6827009411682</v>
      </c>
      <c r="M87" s="695">
        <f t="shared" si="307"/>
        <v>26908.502434603772</v>
      </c>
      <c r="N87" s="696">
        <f t="shared" si="307"/>
        <v>8859.7893372745511</v>
      </c>
      <c r="O87" s="694">
        <f t="shared" si="307"/>
        <v>10308.713276672239</v>
      </c>
      <c r="P87" s="695">
        <f t="shared" si="307"/>
        <v>13533.712435401714</v>
      </c>
      <c r="Q87" s="695">
        <f t="shared" si="307"/>
        <v>10986.165899589667</v>
      </c>
      <c r="R87" s="695">
        <f t="shared" si="307"/>
        <v>8231.0646137657277</v>
      </c>
      <c r="S87" s="697">
        <f t="shared" si="307"/>
        <v>8288.1335792918544</v>
      </c>
      <c r="T87" s="698">
        <f t="shared" si="307"/>
        <v>9101.2420308902474</v>
      </c>
      <c r="U87" s="698">
        <f t="shared" si="307"/>
        <v>12127.883029718798</v>
      </c>
      <c r="V87" s="699">
        <f t="shared" si="307"/>
        <v>9584.0310133954554</v>
      </c>
      <c r="W87" s="698">
        <f t="shared" si="307"/>
        <v>11152.119574375303</v>
      </c>
      <c r="X87" s="698">
        <f t="shared" si="307"/>
        <v>9729.5722809534491</v>
      </c>
      <c r="Y87" s="698">
        <f t="shared" si="307"/>
        <v>9717.3949147704898</v>
      </c>
      <c r="Z87" s="699">
        <f t="shared" si="307"/>
        <v>8918.234962157112</v>
      </c>
      <c r="AA87" s="698">
        <f t="shared" si="307"/>
        <v>9169.9242686486396</v>
      </c>
      <c r="AB87" s="698">
        <f t="shared" si="307"/>
        <v>10170.713295240166</v>
      </c>
      <c r="AC87" s="698">
        <f t="shared" si="307"/>
        <v>12578.254164458334</v>
      </c>
      <c r="AD87" s="699">
        <f t="shared" si="307"/>
        <v>10933.409709833057</v>
      </c>
      <c r="AE87" s="698">
        <f t="shared" si="307"/>
        <v>10328.87726941304</v>
      </c>
      <c r="AF87" s="698">
        <f t="shared" si="307"/>
        <v>11427.537023693696</v>
      </c>
      <c r="AG87" s="698">
        <f t="shared" si="307"/>
        <v>11549.861420574975</v>
      </c>
      <c r="AH87" s="699">
        <f t="shared" si="307"/>
        <v>9815.8983124706374</v>
      </c>
      <c r="AI87" s="698">
        <f t="shared" si="307"/>
        <v>9203.2418044317055</v>
      </c>
      <c r="AJ87" s="698">
        <f t="shared" si="307"/>
        <v>15003.296031746037</v>
      </c>
      <c r="AK87" s="698">
        <f t="shared" si="307"/>
        <v>11185.979672546924</v>
      </c>
      <c r="AL87" s="699">
        <f t="shared" si="307"/>
        <v>10103.434985375012</v>
      </c>
      <c r="AM87" s="698">
        <f t="shared" ref="AM87:AX106" si="308">IF(ISBLANK(AM230),"",AM230)</f>
        <v>10702.474722563386</v>
      </c>
      <c r="AN87" s="698">
        <f t="shared" si="308"/>
        <v>13950.242567483521</v>
      </c>
      <c r="AO87" s="698">
        <f t="shared" si="308"/>
        <v>42227.750148016574</v>
      </c>
      <c r="AP87" s="699">
        <f t="shared" si="308"/>
        <v>9375.9103963239504</v>
      </c>
      <c r="AQ87" s="698">
        <f t="shared" si="308"/>
        <v>8449.0783547043502</v>
      </c>
      <c r="AR87" s="698">
        <f t="shared" si="308"/>
        <v>10350.829814619823</v>
      </c>
      <c r="AS87" s="698">
        <f t="shared" si="308"/>
        <v>27931.411143747304</v>
      </c>
      <c r="AT87" s="699">
        <f t="shared" si="308"/>
        <v>15077.400848592317</v>
      </c>
      <c r="AU87" s="698">
        <f t="shared" ref="AU87:AX87" si="309">IF(ISBLANK(AU230),"",AU230)</f>
        <v>7649.6148048687883</v>
      </c>
      <c r="AV87" s="698">
        <f t="shared" si="309"/>
        <v>9371.419895580284</v>
      </c>
      <c r="AW87" s="698">
        <f t="shared" si="309"/>
        <v>25288.502158004081</v>
      </c>
      <c r="AX87" s="699">
        <f t="shared" si="309"/>
        <v>13650.756201842432</v>
      </c>
      <c r="AY87" s="698">
        <f t="shared" ref="AY87:BB87" si="310">IF(ISBLANK(AY230),"",AY230)</f>
        <v>7140.7975020316026</v>
      </c>
      <c r="AZ87" s="698">
        <f t="shared" si="310"/>
        <v>8748.076012697582</v>
      </c>
      <c r="BA87" s="698">
        <f t="shared" si="310"/>
        <v>23606.426943885024</v>
      </c>
      <c r="BB87" s="699">
        <f t="shared" si="310"/>
        <v>12742.770488903179</v>
      </c>
      <c r="BC87" s="700"/>
      <c r="BD87" s="700"/>
      <c r="BE87" s="701">
        <f t="shared" si="273"/>
        <v>9276.5154591538922</v>
      </c>
      <c r="BF87" s="701">
        <f t="shared" si="274"/>
        <v>14317.425015412833</v>
      </c>
      <c r="BG87" s="701">
        <f t="shared" si="275"/>
        <v>10764.914056357338</v>
      </c>
      <c r="BH87" s="701">
        <f t="shared" si="276"/>
        <v>9775.3224133240892</v>
      </c>
      <c r="BI87" s="701">
        <f t="shared" si="277"/>
        <v>9879.3304330640894</v>
      </c>
      <c r="BJ87" s="701">
        <f t="shared" si="278"/>
        <v>10713.075359545048</v>
      </c>
      <c r="BK87" s="701">
        <f t="shared" si="279"/>
        <v>10780.543506538086</v>
      </c>
      <c r="BL87" s="701">
        <f t="shared" si="280"/>
        <v>11373.988123524918</v>
      </c>
      <c r="BM87" s="1582">
        <f t="shared" si="281"/>
        <v>19064.094458596857</v>
      </c>
      <c r="BN87" s="1582">
        <f t="shared" si="282"/>
        <v>15452.180040415949</v>
      </c>
      <c r="BO87" s="1582">
        <f t="shared" si="283"/>
        <v>13990.073265073897</v>
      </c>
      <c r="BP87" s="1582">
        <f t="shared" si="284"/>
        <v>13059.517736879347</v>
      </c>
      <c r="BQ87" s="637"/>
      <c r="BR87" s="638"/>
      <c r="BU87" s="609"/>
      <c r="BV87" s="1698" t="s">
        <v>854</v>
      </c>
      <c r="BW87" s="1702"/>
      <c r="BX87" s="852">
        <f>((BZ87*($BP$8+BP200)/1000)+CB87)/CA87*1000</f>
        <v>12879.485344604542</v>
      </c>
      <c r="BY87" s="1699">
        <f>HLOOKUP(CA87,$CB$53:$CZ$58,BZ54,TRUE)</f>
        <v>0.5</v>
      </c>
      <c r="BZ87" s="852">
        <f>BP243</f>
        <v>9984.4657329060592</v>
      </c>
      <c r="CA87" s="1636">
        <f>$BW$8+$BX$58</f>
        <v>1.75</v>
      </c>
      <c r="CB87" s="1636">
        <f>BY87*(CA87-($BP$8+BP200))*BZ87/1000</f>
        <v>-5.0662843204723416</v>
      </c>
      <c r="CC87" s="1636">
        <f>(BX87*CA87-($BP$8+BP200)*BZ87)/1000</f>
        <v>-5.0662843204723398</v>
      </c>
    </row>
    <row r="88" spans="1:81" ht="12.75" customHeight="1">
      <c r="A88" s="610"/>
      <c r="B88" s="611"/>
      <c r="C88" s="629" t="str">
        <f t="shared" si="266"/>
        <v>ERCOT North</v>
      </c>
      <c r="D88" s="629" t="str">
        <f t="shared" si="266"/>
        <v/>
      </c>
      <c r="E88" s="629" t="str">
        <f t="shared" si="266"/>
        <v/>
      </c>
      <c r="F88" s="654"/>
      <c r="G88" s="694">
        <f t="shared" si="298"/>
        <v>8091.7737343918488</v>
      </c>
      <c r="H88" s="695">
        <f t="shared" ref="H88:AL88" si="311">IF(ISBLANK(H231),"",H231)</f>
        <v>9071.6445094720693</v>
      </c>
      <c r="I88" s="695">
        <f t="shared" si="311"/>
        <v>11366.418321843603</v>
      </c>
      <c r="J88" s="696">
        <f t="shared" si="311"/>
        <v>8613.7018460944528</v>
      </c>
      <c r="K88" s="694">
        <f t="shared" si="311"/>
        <v>12155.959864196333</v>
      </c>
      <c r="L88" s="695">
        <f t="shared" si="311"/>
        <v>9203.9559760970442</v>
      </c>
      <c r="M88" s="695">
        <f t="shared" si="311"/>
        <v>25900.934188048766</v>
      </c>
      <c r="N88" s="696">
        <f t="shared" si="311"/>
        <v>8685.0849291008017</v>
      </c>
      <c r="O88" s="694">
        <f t="shared" si="311"/>
        <v>10275.170594208994</v>
      </c>
      <c r="P88" s="695">
        <f t="shared" si="311"/>
        <v>13744.748394706701</v>
      </c>
      <c r="Q88" s="695">
        <f t="shared" si="311"/>
        <v>11197.401049824619</v>
      </c>
      <c r="R88" s="695">
        <f t="shared" si="311"/>
        <v>8328.7852639674329</v>
      </c>
      <c r="S88" s="697">
        <f t="shared" si="311"/>
        <v>8348.2723136297336</v>
      </c>
      <c r="T88" s="698">
        <f t="shared" si="311"/>
        <v>8745.2844176240596</v>
      </c>
      <c r="U88" s="698">
        <f t="shared" si="311"/>
        <v>10802.091476322017</v>
      </c>
      <c r="V88" s="699">
        <f t="shared" si="311"/>
        <v>9346.0347165938329</v>
      </c>
      <c r="W88" s="698">
        <f t="shared" si="311"/>
        <v>11627.729500479627</v>
      </c>
      <c r="X88" s="698">
        <f t="shared" si="311"/>
        <v>8807.1484775102963</v>
      </c>
      <c r="Y88" s="698">
        <f t="shared" si="311"/>
        <v>9558.6137410440133</v>
      </c>
      <c r="Z88" s="699">
        <f t="shared" si="311"/>
        <v>9127.0058129911431</v>
      </c>
      <c r="AA88" s="698">
        <f t="shared" si="311"/>
        <v>9202.2654654879479</v>
      </c>
      <c r="AB88" s="698">
        <f t="shared" si="311"/>
        <v>10105.637756293225</v>
      </c>
      <c r="AC88" s="698">
        <f t="shared" si="311"/>
        <v>12701.782913818659</v>
      </c>
      <c r="AD88" s="699">
        <f t="shared" si="311"/>
        <v>9778.5805528245146</v>
      </c>
      <c r="AE88" s="698">
        <f t="shared" si="311"/>
        <v>9897.4409429729876</v>
      </c>
      <c r="AF88" s="698">
        <f t="shared" si="311"/>
        <v>10464.020312282828</v>
      </c>
      <c r="AG88" s="698">
        <f t="shared" si="311"/>
        <v>10646.473017770773</v>
      </c>
      <c r="AH88" s="699">
        <f t="shared" si="311"/>
        <v>8485.0446654235948</v>
      </c>
      <c r="AI88" s="698">
        <f t="shared" si="311"/>
        <v>7557.3594798727981</v>
      </c>
      <c r="AJ88" s="698">
        <f t="shared" si="311"/>
        <v>9066.5579365079357</v>
      </c>
      <c r="AK88" s="698">
        <f t="shared" si="311"/>
        <v>9959.2555936766203</v>
      </c>
      <c r="AL88" s="699">
        <f t="shared" si="311"/>
        <v>8152.0371878580636</v>
      </c>
      <c r="AM88" s="698">
        <f t="shared" si="308"/>
        <v>10217.942265440148</v>
      </c>
      <c r="AN88" s="698">
        <f t="shared" si="308"/>
        <v>13185.222042542606</v>
      </c>
      <c r="AO88" s="698">
        <f t="shared" si="308"/>
        <v>42121.178211959741</v>
      </c>
      <c r="AP88" s="699">
        <f t="shared" si="308"/>
        <v>9054.2561746122919</v>
      </c>
      <c r="AQ88" s="698">
        <f t="shared" ref="AQ88:AX88" si="312">IF(ISBLANK(AQ231),"",AQ231)</f>
        <v>8124.4846766764404</v>
      </c>
      <c r="AR88" s="698">
        <f t="shared" si="312"/>
        <v>9664.2180564318169</v>
      </c>
      <c r="AS88" s="698">
        <f t="shared" si="312"/>
        <v>27348.703499911488</v>
      </c>
      <c r="AT88" s="699">
        <f t="shared" si="312"/>
        <v>14449.467045874115</v>
      </c>
      <c r="AU88" s="698">
        <f t="shared" si="312"/>
        <v>7249.1447994286054</v>
      </c>
      <c r="AV88" s="698">
        <f t="shared" si="312"/>
        <v>8622.9858080039758</v>
      </c>
      <c r="AW88" s="698">
        <f t="shared" si="312"/>
        <v>24402.127597906943</v>
      </c>
      <c r="AX88" s="699">
        <f t="shared" si="312"/>
        <v>12892.66741936461</v>
      </c>
      <c r="AY88" s="698">
        <f t="shared" ref="AY88:BB88" si="313">IF(ISBLANK(AY231),"",AY231)</f>
        <v>6710.1011029636156</v>
      </c>
      <c r="AZ88" s="698">
        <f t="shared" si="313"/>
        <v>7981.783807889703</v>
      </c>
      <c r="BA88" s="698">
        <f t="shared" si="313"/>
        <v>22587.594514911703</v>
      </c>
      <c r="BB88" s="699">
        <f t="shared" si="313"/>
        <v>11933.973491278659</v>
      </c>
      <c r="BC88" s="700"/>
      <c r="BD88" s="700"/>
      <c r="BE88" s="701">
        <f t="shared" si="273"/>
        <v>9285.884602950493</v>
      </c>
      <c r="BF88" s="701">
        <f t="shared" si="274"/>
        <v>13986.483739360738</v>
      </c>
      <c r="BG88" s="701">
        <f t="shared" si="275"/>
        <v>10886.526325676936</v>
      </c>
      <c r="BH88" s="701">
        <f t="shared" si="276"/>
        <v>9310.4207310424099</v>
      </c>
      <c r="BI88" s="701">
        <f t="shared" si="277"/>
        <v>9780.1243830062704</v>
      </c>
      <c r="BJ88" s="701">
        <f t="shared" si="278"/>
        <v>10447.066672106088</v>
      </c>
      <c r="BK88" s="701">
        <f t="shared" si="279"/>
        <v>9873.2447346125464</v>
      </c>
      <c r="BL88" s="701">
        <f t="shared" si="280"/>
        <v>8683.8025494788544</v>
      </c>
      <c r="BM88" s="1582">
        <f t="shared" si="281"/>
        <v>18644.649673638698</v>
      </c>
      <c r="BN88" s="1582">
        <f t="shared" si="282"/>
        <v>14896.718319723466</v>
      </c>
      <c r="BO88" s="1582">
        <f t="shared" si="283"/>
        <v>13291.731406176033</v>
      </c>
      <c r="BP88" s="1582">
        <f t="shared" si="284"/>
        <v>12303.36322926092</v>
      </c>
      <c r="BQ88" s="637"/>
      <c r="BR88" s="638"/>
      <c r="BU88" s="609"/>
      <c r="BV88" s="1698" t="s">
        <v>149</v>
      </c>
      <c r="BW88" s="1702"/>
      <c r="BX88" s="852">
        <f>((BZ88*($BP$8+BP201)/1000)+CB88)/CA88*1000</f>
        <v>12477.579982021809</v>
      </c>
      <c r="BY88" s="1699">
        <f>HLOOKUP(CA88,$CB$53:$CZ$58,BZ55,TRUE)</f>
        <v>0.66499999999999992</v>
      </c>
      <c r="BZ88" s="852">
        <f t="shared" ref="BZ88:BZ91" si="314">BP244</f>
        <v>10447.888570280264</v>
      </c>
      <c r="CA88" s="1636">
        <f>$BW$8+$BX$58</f>
        <v>1.75</v>
      </c>
      <c r="CB88" s="1636">
        <f>BY88*(CA88-($BP$8+BP201))*BZ88/1000</f>
        <v>-7.050905613176786</v>
      </c>
      <c r="CC88" s="1636">
        <f>(BX88*CA88-($BP$8+BP201)*BZ88)/1000</f>
        <v>-7.0509056131767869</v>
      </c>
    </row>
    <row r="89" spans="1:81" ht="12.75" customHeight="1">
      <c r="A89" s="610"/>
      <c r="B89" s="611"/>
      <c r="C89" s="629" t="str">
        <f t="shared" si="266"/>
        <v>ERCOT South</v>
      </c>
      <c r="D89" s="629" t="str">
        <f t="shared" si="266"/>
        <v/>
      </c>
      <c r="E89" s="629" t="str">
        <f t="shared" si="266"/>
        <v/>
      </c>
      <c r="F89" s="654"/>
      <c r="G89" s="694">
        <f t="shared" si="298"/>
        <v>8041.7960553910534</v>
      </c>
      <c r="H89" s="695">
        <f t="shared" ref="H89:AL89" si="315">IF(ISBLANK(H232),"",H232)</f>
        <v>9062.2667008499466</v>
      </c>
      <c r="I89" s="695">
        <f t="shared" si="315"/>
        <v>11356.87806590117</v>
      </c>
      <c r="J89" s="696">
        <f t="shared" si="315"/>
        <v>8347.9637882575953</v>
      </c>
      <c r="K89" s="694">
        <f t="shared" si="315"/>
        <v>13250.060693463165</v>
      </c>
      <c r="L89" s="695">
        <f t="shared" si="315"/>
        <v>9071.8879562291859</v>
      </c>
      <c r="M89" s="695">
        <f t="shared" si="315"/>
        <v>25893.818464353088</v>
      </c>
      <c r="N89" s="696">
        <f t="shared" si="315"/>
        <v>8802.8017856887855</v>
      </c>
      <c r="O89" s="694">
        <f t="shared" si="315"/>
        <v>10427.411930587574</v>
      </c>
      <c r="P89" s="695">
        <f t="shared" si="315"/>
        <v>13149.847473997354</v>
      </c>
      <c r="Q89" s="695">
        <f t="shared" si="315"/>
        <v>10844.312381422489</v>
      </c>
      <c r="R89" s="695">
        <f t="shared" si="315"/>
        <v>8425.2985003315698</v>
      </c>
      <c r="S89" s="697">
        <f t="shared" si="315"/>
        <v>8251.6765077448854</v>
      </c>
      <c r="T89" s="698">
        <f t="shared" si="315"/>
        <v>9002.9603883800482</v>
      </c>
      <c r="U89" s="698">
        <f t="shared" si="315"/>
        <v>11341.851539958103</v>
      </c>
      <c r="V89" s="699">
        <f t="shared" si="315"/>
        <v>9463.0903276979279</v>
      </c>
      <c r="W89" s="698">
        <f t="shared" si="315"/>
        <v>11411.501790347942</v>
      </c>
      <c r="X89" s="698">
        <f t="shared" si="315"/>
        <v>9045.8599574014897</v>
      </c>
      <c r="Y89" s="698">
        <f t="shared" si="315"/>
        <v>9605.4610611369171</v>
      </c>
      <c r="Z89" s="699">
        <f t="shared" si="315"/>
        <v>9120.4883109117491</v>
      </c>
      <c r="AA89" s="698">
        <f t="shared" si="315"/>
        <v>9136.8775797345152</v>
      </c>
      <c r="AB89" s="698">
        <f t="shared" si="315"/>
        <v>10167.155492757694</v>
      </c>
      <c r="AC89" s="698">
        <f t="shared" si="315"/>
        <v>12511.457613677228</v>
      </c>
      <c r="AD89" s="699">
        <f t="shared" si="315"/>
        <v>10876.683448674665</v>
      </c>
      <c r="AE89" s="698">
        <f t="shared" si="315"/>
        <v>10196.657106772524</v>
      </c>
      <c r="AF89" s="698">
        <f t="shared" si="315"/>
        <v>10689.109099653992</v>
      </c>
      <c r="AG89" s="698">
        <f t="shared" si="315"/>
        <v>10773.277437367538</v>
      </c>
      <c r="AH89" s="699">
        <f t="shared" si="315"/>
        <v>9535.7355641636423</v>
      </c>
      <c r="AI89" s="698">
        <f t="shared" si="315"/>
        <v>8034.3920235132791</v>
      </c>
      <c r="AJ89" s="698">
        <f t="shared" si="315"/>
        <v>11540.407142857141</v>
      </c>
      <c r="AK89" s="698">
        <f t="shared" si="315"/>
        <v>10385.636582967496</v>
      </c>
      <c r="AL89" s="699">
        <f t="shared" si="315"/>
        <v>9183.4832108958926</v>
      </c>
      <c r="AM89" s="698">
        <f t="shared" si="308"/>
        <v>10634.225607691036</v>
      </c>
      <c r="AN89" s="698">
        <f t="shared" si="308"/>
        <v>14236.347804453289</v>
      </c>
      <c r="AO89" s="698">
        <f t="shared" si="308"/>
        <v>42547.465956187094</v>
      </c>
      <c r="AP89" s="699">
        <f t="shared" si="308"/>
        <v>9496.5307294658251</v>
      </c>
      <c r="AQ89" s="698">
        <f t="shared" ref="AQ89:AX89" si="316">IF(ISBLANK(AQ232),"",AQ232)</f>
        <v>8720.1192578699338</v>
      </c>
      <c r="AR89" s="698">
        <f t="shared" si="316"/>
        <v>10430.226716582347</v>
      </c>
      <c r="AS89" s="698">
        <f t="shared" si="316"/>
        <v>28181.026283720643</v>
      </c>
      <c r="AT89" s="699">
        <f t="shared" si="316"/>
        <v>14900.784624033387</v>
      </c>
      <c r="AU89" s="698">
        <f t="shared" si="316"/>
        <v>7855.5760409850509</v>
      </c>
      <c r="AV89" s="698">
        <f t="shared" si="316"/>
        <v>9396.1374465010304</v>
      </c>
      <c r="AW89" s="698">
        <f t="shared" si="316"/>
        <v>25387.06046766177</v>
      </c>
      <c r="AX89" s="699">
        <f t="shared" si="316"/>
        <v>13423.468558505469</v>
      </c>
      <c r="AY89" s="698">
        <f t="shared" ref="AY89:BB89" si="317">IF(ISBLANK(AY232),"",AY232)</f>
        <v>7313.7196348895295</v>
      </c>
      <c r="AZ89" s="698">
        <f t="shared" si="317"/>
        <v>8748.0172779255663</v>
      </c>
      <c r="BA89" s="698">
        <f t="shared" si="317"/>
        <v>23635.929643573669</v>
      </c>
      <c r="BB89" s="699">
        <f t="shared" si="317"/>
        <v>12497.553973438842</v>
      </c>
      <c r="BC89" s="700"/>
      <c r="BD89" s="700"/>
      <c r="BE89" s="701">
        <f t="shared" si="273"/>
        <v>9202.226152599942</v>
      </c>
      <c r="BF89" s="701">
        <f t="shared" si="274"/>
        <v>14254.642224933556</v>
      </c>
      <c r="BG89" s="701">
        <f t="shared" si="275"/>
        <v>10711.717571584746</v>
      </c>
      <c r="BH89" s="701">
        <f t="shared" si="276"/>
        <v>9514.8946909452407</v>
      </c>
      <c r="BI89" s="701">
        <f t="shared" si="277"/>
        <v>9795.8277799495245</v>
      </c>
      <c r="BJ89" s="701">
        <f t="shared" si="278"/>
        <v>10673.043533711027</v>
      </c>
      <c r="BK89" s="701">
        <f t="shared" si="279"/>
        <v>10298.694801989424</v>
      </c>
      <c r="BL89" s="701">
        <f t="shared" si="280"/>
        <v>9785.9797400584521</v>
      </c>
      <c r="BM89" s="1582">
        <f t="shared" si="281"/>
        <v>19228.642524449311</v>
      </c>
      <c r="BN89" s="1582">
        <f t="shared" si="282"/>
        <v>15558.039220551578</v>
      </c>
      <c r="BO89" s="1582">
        <f t="shared" si="283"/>
        <v>14015.56062841333</v>
      </c>
      <c r="BP89" s="1582">
        <f t="shared" si="284"/>
        <v>13048.805132456902</v>
      </c>
      <c r="BQ89" s="637"/>
      <c r="BR89" s="638"/>
      <c r="BU89" s="609"/>
      <c r="BV89" s="1698" t="s">
        <v>23</v>
      </c>
      <c r="BW89" s="852"/>
      <c r="BX89" s="852">
        <f>((BZ89*($BP$8+BP202)/1000)+CB89)/CA89*1000</f>
        <v>12468.435494493986</v>
      </c>
      <c r="BY89" s="1699">
        <f>HLOOKUP(CA89,$CB$53:$CZ$58,BZ56,TRUE)</f>
        <v>0.33500000000000002</v>
      </c>
      <c r="BZ89" s="852">
        <f t="shared" si="314"/>
        <v>8780.6192940777873</v>
      </c>
      <c r="CA89" s="1636">
        <f>$BW$8+$BX$58</f>
        <v>1.75</v>
      </c>
      <c r="CB89" s="1636">
        <f>BY89*(CA89-($BP$8+BP202))*BZ89/1000</f>
        <v>-3.2511011240511221</v>
      </c>
      <c r="CC89" s="1636">
        <f>(BX89*CA89-($BP$8+BP202)*BZ89)/1000</f>
        <v>-3.2511011240511216</v>
      </c>
    </row>
    <row r="90" spans="1:81" ht="12.75" customHeight="1">
      <c r="A90" s="610"/>
      <c r="B90" s="611"/>
      <c r="C90" s="629" t="str">
        <f t="shared" si="266"/>
        <v>Palo Verde</v>
      </c>
      <c r="D90" s="629" t="str">
        <f t="shared" si="266"/>
        <v/>
      </c>
      <c r="E90" s="629" t="str">
        <f t="shared" si="266"/>
        <v/>
      </c>
      <c r="F90" s="654"/>
      <c r="G90" s="694">
        <f t="shared" si="298"/>
        <v>8775.1623905256511</v>
      </c>
      <c r="H90" s="695">
        <f t="shared" ref="H90:AH90" si="318">IF(ISBLANK(H233),"",H233)</f>
        <v>8621.9499063828898</v>
      </c>
      <c r="I90" s="695">
        <f t="shared" si="318"/>
        <v>10207.705218967056</v>
      </c>
      <c r="J90" s="696">
        <f t="shared" si="318"/>
        <v>8941.757526174677</v>
      </c>
      <c r="K90" s="694">
        <f t="shared" si="318"/>
        <v>7843.2743322702108</v>
      </c>
      <c r="L90" s="695">
        <f t="shared" si="318"/>
        <v>8392.0085932164784</v>
      </c>
      <c r="M90" s="695">
        <f t="shared" si="318"/>
        <v>10046.833347980197</v>
      </c>
      <c r="N90" s="696">
        <f t="shared" si="318"/>
        <v>9235.6105140044056</v>
      </c>
      <c r="O90" s="694">
        <f t="shared" si="318"/>
        <v>9126.4511339092878</v>
      </c>
      <c r="P90" s="695">
        <f t="shared" si="318"/>
        <v>10134.401783568745</v>
      </c>
      <c r="Q90" s="695">
        <f t="shared" si="318"/>
        <v>11754.765674803102</v>
      </c>
      <c r="R90" s="695">
        <f t="shared" si="318"/>
        <v>8337.2335194144489</v>
      </c>
      <c r="S90" s="697">
        <f t="shared" si="318"/>
        <v>8672.5647979371352</v>
      </c>
      <c r="T90" s="698">
        <f t="shared" si="318"/>
        <v>9118.2506926640854</v>
      </c>
      <c r="U90" s="698">
        <f t="shared" si="318"/>
        <v>11096.928780874063</v>
      </c>
      <c r="V90" s="699">
        <f t="shared" si="318"/>
        <v>9096.6925445307006</v>
      </c>
      <c r="W90" s="698">
        <f t="shared" si="318"/>
        <v>8683.9376258463581</v>
      </c>
      <c r="X90" s="698">
        <f t="shared" si="318"/>
        <v>8703.3115203962152</v>
      </c>
      <c r="Y90" s="698">
        <f t="shared" si="318"/>
        <v>9652.6653325011466</v>
      </c>
      <c r="Z90" s="699">
        <f t="shared" si="318"/>
        <v>8969.1141558179552</v>
      </c>
      <c r="AA90" s="698">
        <f t="shared" si="318"/>
        <v>8901.1780605231725</v>
      </c>
      <c r="AB90" s="698">
        <f t="shared" si="318"/>
        <v>9551.0277881366437</v>
      </c>
      <c r="AC90" s="698">
        <f t="shared" si="318"/>
        <v>10951.734672288083</v>
      </c>
      <c r="AD90" s="699">
        <f t="shared" si="318"/>
        <v>9622.1211658004722</v>
      </c>
      <c r="AE90" s="698">
        <f t="shared" si="318"/>
        <v>9084.1070239354394</v>
      </c>
      <c r="AF90" s="698">
        <f t="shared" si="318"/>
        <v>10170.034204309035</v>
      </c>
      <c r="AG90" s="698">
        <f t="shared" si="318"/>
        <v>11984.899139776866</v>
      </c>
      <c r="AH90" s="699">
        <f t="shared" si="318"/>
        <v>8184.3072380613366</v>
      </c>
      <c r="AI90" s="698">
        <f t="shared" ref="AI90:AL109" si="319">IF(ISBLANK(AI233),"",AI233)</f>
        <v>7389.8139328772922</v>
      </c>
      <c r="AJ90" s="698">
        <f t="shared" si="319"/>
        <v>10342.646878449652</v>
      </c>
      <c r="AK90" s="698">
        <f t="shared" si="319"/>
        <v>13770.107900873485</v>
      </c>
      <c r="AL90" s="699">
        <f t="shared" si="319"/>
        <v>7056.5902948086296</v>
      </c>
      <c r="AM90" s="698">
        <f t="shared" si="308"/>
        <v>6781.1777196375069</v>
      </c>
      <c r="AN90" s="698">
        <f t="shared" si="308"/>
        <v>13492.720052945069</v>
      </c>
      <c r="AO90" s="698">
        <f t="shared" si="308"/>
        <v>17437.576749897667</v>
      </c>
      <c r="AP90" s="699">
        <f t="shared" si="308"/>
        <v>10429.362880886429</v>
      </c>
      <c r="AQ90" s="698">
        <f t="shared" ref="AQ90:AX90" si="320">IF(ISBLANK(AQ233),"",AQ233)</f>
        <v>10014.399767955705</v>
      </c>
      <c r="AR90" s="698">
        <f t="shared" si="320"/>
        <v>14267.477999292238</v>
      </c>
      <c r="AS90" s="698">
        <f t="shared" si="320"/>
        <v>19740.487786195776</v>
      </c>
      <c r="AT90" s="699">
        <f t="shared" si="320"/>
        <v>10827.913239907981</v>
      </c>
      <c r="AU90" s="698">
        <f t="shared" si="320"/>
        <v>10617.254547706931</v>
      </c>
      <c r="AV90" s="698">
        <f t="shared" si="320"/>
        <v>15126.362955572005</v>
      </c>
      <c r="AW90" s="698">
        <f t="shared" si="320"/>
        <v>20928.841326325935</v>
      </c>
      <c r="AX90" s="699">
        <f t="shared" si="320"/>
        <v>11479.740548849391</v>
      </c>
      <c r="AY90" s="698">
        <f t="shared" ref="AY90:BB90" si="321">IF(ISBLANK(AY233),"",AY233)</f>
        <v>10827.965041019528</v>
      </c>
      <c r="AZ90" s="698">
        <f t="shared" si="321"/>
        <v>15426.561409520005</v>
      </c>
      <c r="BA90" s="698">
        <f t="shared" si="321"/>
        <v>21344.196017175243</v>
      </c>
      <c r="BB90" s="699">
        <f t="shared" si="321"/>
        <v>11707.567976672637</v>
      </c>
      <c r="BC90" s="700"/>
      <c r="BD90" s="700"/>
      <c r="BE90" s="701">
        <f t="shared" si="273"/>
        <v>9136.6437605125684</v>
      </c>
      <c r="BF90" s="701">
        <f t="shared" si="274"/>
        <v>8879.4316968678213</v>
      </c>
      <c r="BG90" s="701">
        <f t="shared" si="275"/>
        <v>9838.2130279238954</v>
      </c>
      <c r="BH90" s="701">
        <f t="shared" si="276"/>
        <v>9496.1092040014955</v>
      </c>
      <c r="BI90" s="701">
        <f t="shared" si="277"/>
        <v>9002.2571586404192</v>
      </c>
      <c r="BJ90" s="701">
        <f t="shared" si="278"/>
        <v>9756.5154216870942</v>
      </c>
      <c r="BK90" s="701">
        <f t="shared" si="279"/>
        <v>9855.8369015206681</v>
      </c>
      <c r="BL90" s="701">
        <f t="shared" si="280"/>
        <v>9639.7897517522651</v>
      </c>
      <c r="BM90" s="1582">
        <f t="shared" si="281"/>
        <v>12035.209350841669</v>
      </c>
      <c r="BN90" s="1582">
        <f t="shared" si="282"/>
        <v>13712.569698337924</v>
      </c>
      <c r="BO90" s="1582">
        <f t="shared" si="283"/>
        <v>14538.049844613566</v>
      </c>
      <c r="BP90" s="1582">
        <f t="shared" si="284"/>
        <v>14826.572611096854</v>
      </c>
      <c r="BQ90" s="637"/>
      <c r="BR90" s="638"/>
      <c r="BU90" s="609"/>
      <c r="BV90" s="1698" t="s">
        <v>402</v>
      </c>
      <c r="BW90" s="852"/>
      <c r="BX90" s="852">
        <f>((BZ90*($BP$8+BP203)/1000)+CB90)/CA90*1000</f>
        <v>9943.436368836914</v>
      </c>
      <c r="BY90" s="1699">
        <f>HLOOKUP(CA90,$CB$53:$CZ$58,BZ57,TRUE)</f>
        <v>0.36250000000000004</v>
      </c>
      <c r="BZ90" s="852">
        <f t="shared" si="314"/>
        <v>8487.8723578671688</v>
      </c>
      <c r="CA90" s="1636">
        <f>$BW$8+$BX$60</f>
        <v>2.25</v>
      </c>
      <c r="CB90" s="1636">
        <f>BY90*(CA90-($BP$8+BP203))*BZ90/1000</f>
        <v>-1.8622657199171735</v>
      </c>
      <c r="CC90" s="1636">
        <f>(BX90*CA90-($BP$8+BP203)*BZ90)/1000</f>
        <v>-1.8622657199171699</v>
      </c>
    </row>
    <row r="91" spans="1:81" ht="12.75" customHeight="1">
      <c r="A91" s="610"/>
      <c r="B91" s="611"/>
      <c r="C91" s="629" t="str">
        <f t="shared" si="266"/>
        <v>SP 15</v>
      </c>
      <c r="D91" s="629" t="str">
        <f t="shared" si="266"/>
        <v/>
      </c>
      <c r="E91" s="629" t="str">
        <f t="shared" si="266"/>
        <v/>
      </c>
      <c r="F91" s="654"/>
      <c r="G91" s="694">
        <f t="shared" si="298"/>
        <v>11748.084932868991</v>
      </c>
      <c r="H91" s="695">
        <f t="shared" ref="H91:AH91" si="322">IF(ISBLANK(H234),"",H234)</f>
        <v>7677.8064845469125</v>
      </c>
      <c r="I91" s="695">
        <f t="shared" si="322"/>
        <v>9417.3479567810555</v>
      </c>
      <c r="J91" s="696">
        <f t="shared" si="322"/>
        <v>8861.4285224737796</v>
      </c>
      <c r="K91" s="694">
        <f t="shared" si="322"/>
        <v>7380.0484170231503</v>
      </c>
      <c r="L91" s="695">
        <f t="shared" si="322"/>
        <v>7514.6167798312563</v>
      </c>
      <c r="M91" s="695">
        <f t="shared" si="322"/>
        <v>9858.7607644940235</v>
      </c>
      <c r="N91" s="696">
        <f t="shared" si="322"/>
        <v>9067.8163253889288</v>
      </c>
      <c r="O91" s="694">
        <f t="shared" si="322"/>
        <v>9110.09482114807</v>
      </c>
      <c r="P91" s="695">
        <f t="shared" si="322"/>
        <v>8904.2289277994641</v>
      </c>
      <c r="Q91" s="695">
        <f t="shared" si="322"/>
        <v>11626.092314450982</v>
      </c>
      <c r="R91" s="695">
        <f t="shared" si="322"/>
        <v>11418.003440809496</v>
      </c>
      <c r="S91" s="697">
        <f t="shared" si="322"/>
        <v>11446.755519845941</v>
      </c>
      <c r="T91" s="698">
        <f t="shared" si="322"/>
        <v>10899.370648108434</v>
      </c>
      <c r="U91" s="698">
        <f t="shared" si="322"/>
        <v>12691.456396801643</v>
      </c>
      <c r="V91" s="699">
        <f t="shared" si="322"/>
        <v>10961.734784397329</v>
      </c>
      <c r="W91" s="698">
        <f t="shared" si="322"/>
        <v>9780.5118738082929</v>
      </c>
      <c r="X91" s="698">
        <f t="shared" si="322"/>
        <v>8324.2136157281893</v>
      </c>
      <c r="Y91" s="698">
        <f t="shared" si="322"/>
        <v>10316.639645621897</v>
      </c>
      <c r="Z91" s="699">
        <f t="shared" si="322"/>
        <v>10289.620298252388</v>
      </c>
      <c r="AA91" s="698">
        <f t="shared" si="322"/>
        <v>10095.511697752157</v>
      </c>
      <c r="AB91" s="698">
        <f t="shared" si="322"/>
        <v>10336.636771049025</v>
      </c>
      <c r="AC91" s="698">
        <f t="shared" si="322"/>
        <v>11870.802114159645</v>
      </c>
      <c r="AD91" s="699">
        <f t="shared" si="322"/>
        <v>12988.979109047015</v>
      </c>
      <c r="AE91" s="698">
        <f t="shared" si="322"/>
        <v>10470.96990745581</v>
      </c>
      <c r="AF91" s="698">
        <f t="shared" si="322"/>
        <v>9544.9231897338559</v>
      </c>
      <c r="AG91" s="698">
        <f t="shared" si="322"/>
        <v>12095.15192624512</v>
      </c>
      <c r="AH91" s="699">
        <f t="shared" si="322"/>
        <v>10647.652335388861</v>
      </c>
      <c r="AI91" s="698">
        <f t="shared" si="319"/>
        <v>8571.6422127332826</v>
      </c>
      <c r="AJ91" s="698">
        <f t="shared" si="319"/>
        <v>10073.898611437213</v>
      </c>
      <c r="AK91" s="698">
        <f t="shared" si="319"/>
        <v>13498.819391065657</v>
      </c>
      <c r="AL91" s="699">
        <f t="shared" si="319"/>
        <v>11005.243762763848</v>
      </c>
      <c r="AM91" s="698">
        <f t="shared" si="308"/>
        <v>8859.7525685270448</v>
      </c>
      <c r="AN91" s="698">
        <f t="shared" si="308"/>
        <v>13716.08206485771</v>
      </c>
      <c r="AO91" s="698">
        <f t="shared" si="308"/>
        <v>18972.574703233728</v>
      </c>
      <c r="AP91" s="699">
        <f t="shared" si="308"/>
        <v>16516.620498614961</v>
      </c>
      <c r="AQ91" s="698">
        <f t="shared" ref="AQ91:AX91" si="323">IF(ISBLANK(AQ234),"",AQ234)</f>
        <v>13499.713741880851</v>
      </c>
      <c r="AR91" s="698">
        <f t="shared" si="323"/>
        <v>14061.965375588867</v>
      </c>
      <c r="AS91" s="698">
        <f t="shared" si="323"/>
        <v>19672.051621639861</v>
      </c>
      <c r="AT91" s="699">
        <f t="shared" si="323"/>
        <v>15045.105469581529</v>
      </c>
      <c r="AU91" s="698">
        <f t="shared" si="323"/>
        <v>14061.523642976674</v>
      </c>
      <c r="AV91" s="698">
        <f t="shared" si="323"/>
        <v>14647.174182821826</v>
      </c>
      <c r="AW91" s="698">
        <f t="shared" si="323"/>
        <v>20490.732194222554</v>
      </c>
      <c r="AX91" s="699">
        <f t="shared" si="323"/>
        <v>15671.229058381727</v>
      </c>
      <c r="AY91" s="698">
        <f t="shared" ref="AY91:BB91" si="324">IF(ISBLANK(AY234),"",AY234)</f>
        <v>13906.632702001074</v>
      </c>
      <c r="AZ91" s="698">
        <f t="shared" si="324"/>
        <v>14485.832165454884</v>
      </c>
      <c r="BA91" s="698">
        <f t="shared" si="324"/>
        <v>20265.02203141047</v>
      </c>
      <c r="BB91" s="699">
        <f t="shared" si="324"/>
        <v>15498.606839287475</v>
      </c>
      <c r="BC91" s="700"/>
      <c r="BD91" s="700"/>
      <c r="BE91" s="701">
        <f t="shared" si="273"/>
        <v>9426.1669741676851</v>
      </c>
      <c r="BF91" s="701">
        <f t="shared" si="274"/>
        <v>8455.3105716843402</v>
      </c>
      <c r="BG91" s="701">
        <f t="shared" si="275"/>
        <v>10264.604876052003</v>
      </c>
      <c r="BH91" s="701">
        <f t="shared" si="276"/>
        <v>11499.829337288338</v>
      </c>
      <c r="BI91" s="701">
        <f t="shared" si="277"/>
        <v>9677.7463583526915</v>
      </c>
      <c r="BJ91" s="701">
        <f t="shared" si="278"/>
        <v>11322.982423001962</v>
      </c>
      <c r="BK91" s="701">
        <f t="shared" si="279"/>
        <v>10689.674339705913</v>
      </c>
      <c r="BL91" s="701">
        <f t="shared" si="280"/>
        <v>10787.4009945</v>
      </c>
      <c r="BM91" s="1582">
        <f t="shared" si="281"/>
        <v>14516.257458808361</v>
      </c>
      <c r="BN91" s="1582">
        <f t="shared" si="282"/>
        <v>15569.709052172777</v>
      </c>
      <c r="BO91" s="1582">
        <f t="shared" si="283"/>
        <v>16217.664769600695</v>
      </c>
      <c r="BP91" s="1582">
        <f t="shared" si="284"/>
        <v>16039.023434538474</v>
      </c>
      <c r="BQ91" s="637"/>
      <c r="BR91" s="638"/>
      <c r="BU91" s="609"/>
      <c r="BV91" s="1698" t="s">
        <v>62</v>
      </c>
      <c r="BW91" s="852"/>
      <c r="BX91" s="852">
        <f>((BZ91*($BP$8+BP204)/1000)+CB91)/CA91*1000</f>
        <v>8572.6751150947875</v>
      </c>
      <c r="BY91" s="1699">
        <f>HLOOKUP(CA91,$CB$53:$CZ$58,BZ58,TRUE)</f>
        <v>0.33124999999999999</v>
      </c>
      <c r="BZ91" s="852">
        <f t="shared" si="314"/>
        <v>7718.8421929973347</v>
      </c>
      <c r="CA91" s="1636">
        <f>$BW$8+$BX$59</f>
        <v>2.4500000000000002</v>
      </c>
      <c r="CB91" s="1636">
        <f>BY91*(CA91-($BP$8+BP204))*BZ91/1000</f>
        <v>-1.0361701395734042</v>
      </c>
      <c r="CC91" s="1636">
        <f>(BX91*CA91-($BP$8+BP204)*BZ91)/1000</f>
        <v>-1.0361701395734018</v>
      </c>
    </row>
    <row r="92" spans="1:81" ht="12.75" customHeight="1">
      <c r="A92" s="610"/>
      <c r="B92" s="611"/>
      <c r="C92" s="629" t="str">
        <f t="shared" si="266"/>
        <v>NP 15</v>
      </c>
      <c r="D92" s="629" t="str">
        <f t="shared" si="266"/>
        <v/>
      </c>
      <c r="E92" s="629" t="str">
        <f t="shared" si="266"/>
        <v/>
      </c>
      <c r="F92" s="654"/>
      <c r="G92" s="694">
        <f t="shared" si="298"/>
        <v>8818.9270982303533</v>
      </c>
      <c r="H92" s="695">
        <f t="shared" ref="H92:AH92" si="325">IF(ISBLANK(H235),"",H235)</f>
        <v>7516.769717405763</v>
      </c>
      <c r="I92" s="695">
        <f t="shared" si="325"/>
        <v>9030.4493391427277</v>
      </c>
      <c r="J92" s="696">
        <f t="shared" si="325"/>
        <v>8952.3408360904396</v>
      </c>
      <c r="K92" s="694">
        <f t="shared" si="325"/>
        <v>7313.7886058323793</v>
      </c>
      <c r="L92" s="695">
        <f t="shared" si="325"/>
        <v>7216.4963764112617</v>
      </c>
      <c r="M92" s="695">
        <f t="shared" si="325"/>
        <v>9638.9175401523808</v>
      </c>
      <c r="N92" s="696">
        <f t="shared" si="325"/>
        <v>9023.6993277436741</v>
      </c>
      <c r="O92" s="694">
        <f t="shared" si="325"/>
        <v>9302.9595264683994</v>
      </c>
      <c r="P92" s="695">
        <f t="shared" si="325"/>
        <v>10497.69497247698</v>
      </c>
      <c r="Q92" s="695">
        <f t="shared" si="325"/>
        <v>10394.090269805383</v>
      </c>
      <c r="R92" s="695">
        <f t="shared" si="325"/>
        <v>9503.8147240986618</v>
      </c>
      <c r="S92" s="697">
        <f t="shared" si="325"/>
        <v>10227.558514001141</v>
      </c>
      <c r="T92" s="698">
        <f t="shared" si="325"/>
        <v>12726.79042355791</v>
      </c>
      <c r="U92" s="698">
        <f t="shared" si="325"/>
        <v>11380.821957728594</v>
      </c>
      <c r="V92" s="699">
        <f t="shared" si="325"/>
        <v>11365.162652273772</v>
      </c>
      <c r="W92" s="698">
        <f t="shared" si="325"/>
        <v>9936.1125151956894</v>
      </c>
      <c r="X92" s="698">
        <f t="shared" si="325"/>
        <v>8914.437491759827</v>
      </c>
      <c r="Y92" s="698">
        <f t="shared" si="325"/>
        <v>10324.753615972111</v>
      </c>
      <c r="Z92" s="699">
        <f t="shared" si="325"/>
        <v>10613.533213405261</v>
      </c>
      <c r="AA92" s="698">
        <f t="shared" si="325"/>
        <v>10794.686554329206</v>
      </c>
      <c r="AB92" s="698">
        <f t="shared" si="325"/>
        <v>13050.491884183193</v>
      </c>
      <c r="AC92" s="698">
        <f t="shared" si="325"/>
        <v>11947.399352794859</v>
      </c>
      <c r="AD92" s="699">
        <f t="shared" si="325"/>
        <v>12563.163583983367</v>
      </c>
      <c r="AE92" s="698">
        <f t="shared" si="325"/>
        <v>11106.232529645211</v>
      </c>
      <c r="AF92" s="698">
        <f t="shared" si="325"/>
        <v>11716.347808318487</v>
      </c>
      <c r="AG92" s="698">
        <f t="shared" si="325"/>
        <v>12357.27579637696</v>
      </c>
      <c r="AH92" s="699">
        <f t="shared" si="325"/>
        <v>11990.682866775438</v>
      </c>
      <c r="AI92" s="698">
        <f t="shared" si="319"/>
        <v>9449.9884488374046</v>
      </c>
      <c r="AJ92" s="698">
        <f t="shared" si="319"/>
        <v>11403.16250934641</v>
      </c>
      <c r="AK92" s="698">
        <f t="shared" si="319"/>
        <v>14923.468157166129</v>
      </c>
      <c r="AL92" s="699">
        <f t="shared" si="319"/>
        <v>11110.096130842672</v>
      </c>
      <c r="AM92" s="698">
        <f t="shared" si="308"/>
        <v>8835.3985409444631</v>
      </c>
      <c r="AN92" s="698">
        <f t="shared" si="308"/>
        <v>14377.895433487756</v>
      </c>
      <c r="AO92" s="698">
        <f t="shared" si="308"/>
        <v>18051.575931232092</v>
      </c>
      <c r="AP92" s="699">
        <f t="shared" si="308"/>
        <v>16724.376731301942</v>
      </c>
      <c r="AQ92" s="698">
        <f t="shared" ref="AQ92:AX92" si="326">IF(ISBLANK(AQ235),"",AQ235)</f>
        <v>14738.837139255675</v>
      </c>
      <c r="AR92" s="698">
        <f t="shared" si="326"/>
        <v>16182.133515390124</v>
      </c>
      <c r="AS92" s="698">
        <f t="shared" si="326"/>
        <v>20299.089540990994</v>
      </c>
      <c r="AT92" s="699">
        <f t="shared" si="326"/>
        <v>14937.966413316562</v>
      </c>
      <c r="AU92" s="698">
        <f t="shared" si="326"/>
        <v>15408.24352602746</v>
      </c>
      <c r="AV92" s="698">
        <f t="shared" si="326"/>
        <v>16917.091329527619</v>
      </c>
      <c r="AW92" s="698">
        <f t="shared" si="326"/>
        <v>21221.030672167504</v>
      </c>
      <c r="AX92" s="699">
        <f t="shared" si="326"/>
        <v>15616.416824836715</v>
      </c>
      <c r="AY92" s="698">
        <f t="shared" ref="AY92:BB92" si="327">IF(ISBLANK(AY235),"",AY235)</f>
        <v>15207.123389084334</v>
      </c>
      <c r="AZ92" s="698">
        <f t="shared" si="327"/>
        <v>16696.27656117802</v>
      </c>
      <c r="BA92" s="698">
        <f t="shared" si="327"/>
        <v>20944.037607536149</v>
      </c>
      <c r="BB92" s="699">
        <f t="shared" si="327"/>
        <v>15412.579451351106</v>
      </c>
      <c r="BC92" s="700"/>
      <c r="BD92" s="700"/>
      <c r="BE92" s="701">
        <f t="shared" si="273"/>
        <v>8579.6217477173195</v>
      </c>
      <c r="BF92" s="701">
        <f t="shared" si="274"/>
        <v>8298.2254625349233</v>
      </c>
      <c r="BG92" s="701">
        <f t="shared" si="275"/>
        <v>9924.6398732123562</v>
      </c>
      <c r="BH92" s="701">
        <f t="shared" si="276"/>
        <v>11425.083386890354</v>
      </c>
      <c r="BI92" s="701">
        <f t="shared" si="277"/>
        <v>9947.2092090832211</v>
      </c>
      <c r="BJ92" s="701">
        <f t="shared" si="278"/>
        <v>12088.935343822655</v>
      </c>
      <c r="BK92" s="701">
        <f t="shared" si="279"/>
        <v>11792.634750279025</v>
      </c>
      <c r="BL92" s="701">
        <f t="shared" si="280"/>
        <v>11721.678811548154</v>
      </c>
      <c r="BM92" s="1582">
        <f t="shared" si="281"/>
        <v>14497.311659241563</v>
      </c>
      <c r="BN92" s="1582">
        <f t="shared" si="282"/>
        <v>16539.506652238339</v>
      </c>
      <c r="BO92" s="1582">
        <f t="shared" si="283"/>
        <v>17290.695588139824</v>
      </c>
      <c r="BP92" s="1582">
        <f t="shared" si="284"/>
        <v>17065.004252287403</v>
      </c>
      <c r="BQ92" s="637"/>
      <c r="BR92" s="638"/>
      <c r="BU92" s="609"/>
    </row>
    <row r="93" spans="1:81" ht="12.75" customHeight="1">
      <c r="A93" s="610"/>
      <c r="B93" s="611"/>
      <c r="C93" s="629" t="str">
        <f t="shared" si="266"/>
        <v>Mid C</v>
      </c>
      <c r="D93" s="629" t="str">
        <f t="shared" si="266"/>
        <v/>
      </c>
      <c r="E93" s="629" t="str">
        <f t="shared" si="266"/>
        <v/>
      </c>
      <c r="F93" s="654"/>
      <c r="G93" s="694">
        <f t="shared" si="298"/>
        <v>8563.562822424461</v>
      </c>
      <c r="H93" s="695">
        <f t="shared" ref="H93:AH93" si="328">IF(ISBLANK(H236),"",H236)</f>
        <v>6860.4941925393041</v>
      </c>
      <c r="I93" s="695">
        <f t="shared" si="328"/>
        <v>9589.8568783682331</v>
      </c>
      <c r="J93" s="696">
        <f t="shared" si="328"/>
        <v>8761.3924824907463</v>
      </c>
      <c r="K93" s="694">
        <f t="shared" si="328"/>
        <v>6370.4143174569617</v>
      </c>
      <c r="L93" s="695">
        <f t="shared" si="328"/>
        <v>6211.3020714773484</v>
      </c>
      <c r="M93" s="695">
        <f t="shared" si="328"/>
        <v>7826.6983038931385</v>
      </c>
      <c r="N93" s="696">
        <f t="shared" si="328"/>
        <v>8505.2239404965749</v>
      </c>
      <c r="O93" s="694">
        <f t="shared" si="328"/>
        <v>8361.8498020158422</v>
      </c>
      <c r="P93" s="695">
        <f t="shared" si="328"/>
        <v>4692.7816196299354</v>
      </c>
      <c r="Q93" s="695">
        <f t="shared" si="328"/>
        <v>8714.24458656358</v>
      </c>
      <c r="R93" s="695">
        <f t="shared" si="328"/>
        <v>7915.5249031846197</v>
      </c>
      <c r="S93" s="697">
        <f t="shared" si="328"/>
        <v>8087.8495531943299</v>
      </c>
      <c r="T93" s="698">
        <f t="shared" si="328"/>
        <v>7996.3027258199882</v>
      </c>
      <c r="U93" s="698">
        <f t="shared" si="328"/>
        <v>11211.620071182011</v>
      </c>
      <c r="V93" s="699">
        <f t="shared" si="328"/>
        <v>10542.452919287505</v>
      </c>
      <c r="W93" s="698">
        <f t="shared" si="328"/>
        <v>8657.5971567442921</v>
      </c>
      <c r="X93" s="698">
        <f t="shared" si="328"/>
        <v>6886.9565387563089</v>
      </c>
      <c r="Y93" s="698">
        <f t="shared" si="328"/>
        <v>9018.6289233419629</v>
      </c>
      <c r="Z93" s="699">
        <f t="shared" si="328"/>
        <v>8128.1906062345806</v>
      </c>
      <c r="AA93" s="698">
        <f t="shared" si="328"/>
        <v>7254.6062172011279</v>
      </c>
      <c r="AB93" s="698">
        <f t="shared" si="328"/>
        <v>10198.607768021606</v>
      </c>
      <c r="AC93" s="698">
        <f t="shared" si="328"/>
        <v>11012.575922552551</v>
      </c>
      <c r="AD93" s="699">
        <f t="shared" si="328"/>
        <v>8791.3991643737936</v>
      </c>
      <c r="AE93" s="698">
        <f t="shared" si="328"/>
        <v>8374.7404708739778</v>
      </c>
      <c r="AF93" s="698">
        <f t="shared" si="328"/>
        <v>7523.2554039282049</v>
      </c>
      <c r="AG93" s="698">
        <f t="shared" si="328"/>
        <v>10999.855109017048</v>
      </c>
      <c r="AH93" s="699">
        <f t="shared" si="328"/>
        <v>8339.4758609136315</v>
      </c>
      <c r="AI93" s="698">
        <f t="shared" si="319"/>
        <v>7363.9896702949682</v>
      </c>
      <c r="AJ93" s="698">
        <f t="shared" si="319"/>
        <v>5110.2170980007359</v>
      </c>
      <c r="AK93" s="698">
        <f t="shared" si="319"/>
        <v>11913.659539148653</v>
      </c>
      <c r="AL93" s="699">
        <f t="shared" si="319"/>
        <v>6198.0513024458141</v>
      </c>
      <c r="AM93" s="698">
        <f t="shared" si="308"/>
        <v>5605.4382217503589</v>
      </c>
      <c r="AN93" s="698">
        <f t="shared" si="308"/>
        <v>6543.6796823295826</v>
      </c>
      <c r="AO93" s="698">
        <f t="shared" si="308"/>
        <v>11727.384363487512</v>
      </c>
      <c r="AP93" s="699">
        <f t="shared" si="308"/>
        <v>9868.4210526315801</v>
      </c>
      <c r="AQ93" s="698">
        <f t="shared" ref="AQ93:AX93" si="329">IF(ISBLANK(AQ236),"",AQ236)</f>
        <v>10559.234578577465</v>
      </c>
      <c r="AR93" s="698">
        <f t="shared" si="329"/>
        <v>10219.421198025182</v>
      </c>
      <c r="AS93" s="698">
        <f t="shared" si="329"/>
        <v>15787.035019442665</v>
      </c>
      <c r="AT93" s="699">
        <f t="shared" si="329"/>
        <v>7959.8436172566526</v>
      </c>
      <c r="AU93" s="698">
        <f t="shared" si="329"/>
        <v>11509.813054563114</v>
      </c>
      <c r="AV93" s="698">
        <f t="shared" si="329"/>
        <v>11139.408509187173</v>
      </c>
      <c r="AW93" s="698">
        <f t="shared" si="329"/>
        <v>17208.238003185412</v>
      </c>
      <c r="AX93" s="699">
        <f t="shared" si="329"/>
        <v>8676.4160125822291</v>
      </c>
      <c r="AY93" s="698">
        <f t="shared" ref="AY93:BB93" si="330">IF(ISBLANK(AY236),"",AY236)</f>
        <v>11745.513775169822</v>
      </c>
      <c r="AZ93" s="698">
        <f t="shared" si="330"/>
        <v>11367.523996406751</v>
      </c>
      <c r="BA93" s="698">
        <f t="shared" si="330"/>
        <v>17560.632440740112</v>
      </c>
      <c r="BB93" s="699">
        <f t="shared" si="330"/>
        <v>8854.0937469428645</v>
      </c>
      <c r="BC93" s="700"/>
      <c r="BD93" s="700"/>
      <c r="BE93" s="701">
        <f t="shared" si="273"/>
        <v>8443.8265939556859</v>
      </c>
      <c r="BF93" s="701">
        <f t="shared" si="274"/>
        <v>7228.4096583310056</v>
      </c>
      <c r="BG93" s="701">
        <f t="shared" si="275"/>
        <v>7421.1002278484939</v>
      </c>
      <c r="BH93" s="701">
        <f t="shared" si="276"/>
        <v>9459.5563173709579</v>
      </c>
      <c r="BI93" s="701">
        <f t="shared" si="277"/>
        <v>8172.8433062692857</v>
      </c>
      <c r="BJ93" s="701">
        <f t="shared" si="278"/>
        <v>9314.2972680372695</v>
      </c>
      <c r="BK93" s="701">
        <f t="shared" si="279"/>
        <v>8809.3317111832148</v>
      </c>
      <c r="BL93" s="701">
        <f t="shared" si="280"/>
        <v>7646.4794024725434</v>
      </c>
      <c r="BM93" s="1582">
        <f t="shared" si="281"/>
        <v>8436.2308300497589</v>
      </c>
      <c r="BN93" s="1582">
        <f t="shared" si="282"/>
        <v>11131.38360332549</v>
      </c>
      <c r="BO93" s="1582">
        <f t="shared" si="283"/>
        <v>12133.468894879483</v>
      </c>
      <c r="BP93" s="1582">
        <f t="shared" si="284"/>
        <v>12381.940989814888</v>
      </c>
      <c r="BQ93" s="637"/>
      <c r="BR93" s="638"/>
      <c r="BU93" s="609"/>
    </row>
    <row r="94" spans="1:81" ht="12.75" customHeight="1">
      <c r="A94" s="610"/>
      <c r="B94" s="611"/>
      <c r="C94" s="629" t="str">
        <f t="shared" si="266"/>
        <v/>
      </c>
      <c r="D94" s="629" t="str">
        <f t="shared" si="266"/>
        <v/>
      </c>
      <c r="E94" s="629" t="str">
        <f t="shared" si="266"/>
        <v/>
      </c>
      <c r="F94" s="654"/>
      <c r="G94" s="694">
        <f t="shared" si="298"/>
        <v>0</v>
      </c>
      <c r="H94" s="695">
        <f t="shared" ref="H94:AH94" si="331">IF(ISBLANK(H237),"",H237)</f>
        <v>0</v>
      </c>
      <c r="I94" s="695">
        <f t="shared" si="331"/>
        <v>0</v>
      </c>
      <c r="J94" s="696">
        <f t="shared" si="331"/>
        <v>7045.0118387558323</v>
      </c>
      <c r="K94" s="661">
        <f t="shared" si="331"/>
        <v>10647.814160821332</v>
      </c>
      <c r="L94" s="695">
        <f t="shared" si="331"/>
        <v>7643.6811086143116</v>
      </c>
      <c r="M94" s="695">
        <f t="shared" si="331"/>
        <v>26701.729930116137</v>
      </c>
      <c r="N94" s="696">
        <f t="shared" si="331"/>
        <v>7717.4624704002181</v>
      </c>
      <c r="O94" s="694">
        <f t="shared" si="331"/>
        <v>9345.1720004820509</v>
      </c>
      <c r="P94" s="695">
        <f t="shared" si="331"/>
        <v>13807.306134001437</v>
      </c>
      <c r="Q94" s="695">
        <f t="shared" si="331"/>
        <v>11418.664456046279</v>
      </c>
      <c r="R94" s="695">
        <f t="shared" si="331"/>
        <v>8673.5340286433238</v>
      </c>
      <c r="S94" s="697">
        <f t="shared" si="331"/>
        <v>7845.0122816990479</v>
      </c>
      <c r="T94" s="698">
        <f t="shared" si="331"/>
        <v>8620.1610645234541</v>
      </c>
      <c r="U94" s="698">
        <f t="shared" si="331"/>
        <v>11174.409787997261</v>
      </c>
      <c r="V94" s="699">
        <f t="shared" si="331"/>
        <v>9641.3794179416109</v>
      </c>
      <c r="W94" s="698">
        <f t="shared" si="331"/>
        <v>11434.96156525798</v>
      </c>
      <c r="X94" s="698">
        <f t="shared" si="331"/>
        <v>9116.0759733353843</v>
      </c>
      <c r="Y94" s="698">
        <f t="shared" si="331"/>
        <v>9563.9321770397437</v>
      </c>
      <c r="Z94" s="699">
        <f t="shared" si="331"/>
        <v>9368.9160620250805</v>
      </c>
      <c r="AA94" s="698">
        <f t="shared" si="331"/>
        <v>9823.1629948743193</v>
      </c>
      <c r="AB94" s="698">
        <f t="shared" si="331"/>
        <v>10996.392826599309</v>
      </c>
      <c r="AC94" s="698">
        <f t="shared" si="331"/>
        <v>13165.051909345491</v>
      </c>
      <c r="AD94" s="699">
        <f t="shared" si="331"/>
        <v>9966.0748691142107</v>
      </c>
      <c r="AE94" s="698">
        <f t="shared" si="331"/>
        <v>10081.840893466653</v>
      </c>
      <c r="AF94" s="698">
        <f t="shared" si="331"/>
        <v>10532.235866772089</v>
      </c>
      <c r="AG94" s="698">
        <f t="shared" si="331"/>
        <v>11115.580950912827</v>
      </c>
      <c r="AH94" s="699">
        <f t="shared" si="331"/>
        <v>9206.0011555017081</v>
      </c>
      <c r="AI94" s="698">
        <f t="shared" si="319"/>
        <v>7599.395244266987</v>
      </c>
      <c r="AJ94" s="698">
        <f t="shared" si="319"/>
        <v>9658.4255255059925</v>
      </c>
      <c r="AK94" s="698">
        <f t="shared" si="319"/>
        <v>10542.679719462296</v>
      </c>
      <c r="AL94" s="699">
        <f t="shared" si="319"/>
        <v>9173.459524044767</v>
      </c>
      <c r="AM94" s="698">
        <f t="shared" si="308"/>
        <v>11552.579721769785</v>
      </c>
      <c r="AN94" s="698">
        <f t="shared" si="308"/>
        <v>14542.898550724636</v>
      </c>
      <c r="AO94" s="698">
        <f t="shared" si="308"/>
        <v>48571.299862448417</v>
      </c>
      <c r="AP94" s="699">
        <f t="shared" si="308"/>
        <v>9541.1462450592899</v>
      </c>
      <c r="AQ94" s="698">
        <f t="shared" ref="AQ94:AX94" si="332">IF(ISBLANK(AQ237),"",AQ237)</f>
        <v>8001.7503919318342</v>
      </c>
      <c r="AR94" s="698">
        <f t="shared" si="332"/>
        <v>10020.549611895432</v>
      </c>
      <c r="AS94" s="698">
        <f t="shared" si="332"/>
        <v>28583.139290052815</v>
      </c>
      <c r="AT94" s="699">
        <f t="shared" si="332"/>
        <v>16581.596089097558</v>
      </c>
      <c r="AU94" s="698">
        <f t="shared" si="332"/>
        <v>7062.8307008244701</v>
      </c>
      <c r="AV94" s="698">
        <f t="shared" si="332"/>
        <v>8715.8398035065438</v>
      </c>
      <c r="AW94" s="698">
        <f t="shared" si="332"/>
        <v>24761.304736514343</v>
      </c>
      <c r="AX94" s="699">
        <f t="shared" si="332"/>
        <v>14438.494039488984</v>
      </c>
      <c r="AY94" s="698">
        <f t="shared" ref="AY94:BB94" si="333">IF(ISBLANK(AY237),"",AY237)</f>
        <v>6423.7196260689134</v>
      </c>
      <c r="AZ94" s="698">
        <f t="shared" si="333"/>
        <v>7906.2276542927948</v>
      </c>
      <c r="BA94" s="698">
        <f t="shared" si="333"/>
        <v>22408.946307746035</v>
      </c>
      <c r="BB94" s="699">
        <f t="shared" si="333"/>
        <v>13065.522005420524</v>
      </c>
      <c r="BC94" s="700"/>
      <c r="BD94" s="700"/>
      <c r="BE94" s="701"/>
      <c r="BF94" s="701"/>
      <c r="BG94" s="701"/>
      <c r="BH94" s="701"/>
      <c r="BI94" s="701"/>
      <c r="BJ94" s="701"/>
      <c r="BK94" s="701"/>
      <c r="BL94" s="701"/>
      <c r="BM94" s="701"/>
      <c r="BN94" s="701"/>
      <c r="BO94" s="701"/>
      <c r="BP94" s="701"/>
      <c r="BQ94" s="637"/>
      <c r="BR94" s="638"/>
      <c r="BU94" s="609"/>
      <c r="BV94" s="608"/>
      <c r="BW94" s="608"/>
      <c r="BX94" s="608"/>
    </row>
    <row r="95" spans="1:81" ht="12.75" customHeight="1">
      <c r="A95" s="610"/>
      <c r="B95" s="611"/>
      <c r="C95" s="659" t="str">
        <f t="shared" si="266"/>
        <v>Off-Peak Regional Heat Rates (btu/kWh)</v>
      </c>
      <c r="D95" s="683" t="str">
        <f t="shared" si="266"/>
        <v/>
      </c>
      <c r="E95" s="683" t="str">
        <f t="shared" si="266"/>
        <v/>
      </c>
      <c r="F95" s="1462"/>
      <c r="G95" s="661" t="str">
        <f t="shared" si="298"/>
        <v/>
      </c>
      <c r="H95" s="662" t="str">
        <f t="shared" ref="H95:AH95" si="334">IF(ISBLANK(H238),"",H238)</f>
        <v/>
      </c>
      <c r="I95" s="662" t="str">
        <f t="shared" si="334"/>
        <v/>
      </c>
      <c r="J95" s="663" t="str">
        <f t="shared" si="334"/>
        <v/>
      </c>
      <c r="K95" s="694" t="str">
        <f t="shared" si="334"/>
        <v/>
      </c>
      <c r="L95" s="662" t="str">
        <f t="shared" si="334"/>
        <v/>
      </c>
      <c r="M95" s="662" t="str">
        <f t="shared" si="334"/>
        <v/>
      </c>
      <c r="N95" s="663" t="str">
        <f t="shared" si="334"/>
        <v/>
      </c>
      <c r="O95" s="661" t="str">
        <f t="shared" si="334"/>
        <v/>
      </c>
      <c r="P95" s="662" t="str">
        <f t="shared" si="334"/>
        <v/>
      </c>
      <c r="Q95" s="662" t="str">
        <f t="shared" si="334"/>
        <v/>
      </c>
      <c r="R95" s="662" t="str">
        <f t="shared" si="334"/>
        <v/>
      </c>
      <c r="S95" s="665" t="str">
        <f t="shared" si="334"/>
        <v/>
      </c>
      <c r="T95" s="666" t="str">
        <f t="shared" si="334"/>
        <v/>
      </c>
      <c r="U95" s="666" t="str">
        <f t="shared" si="334"/>
        <v/>
      </c>
      <c r="V95" s="664" t="str">
        <f t="shared" si="334"/>
        <v/>
      </c>
      <c r="W95" s="666" t="str">
        <f t="shared" si="334"/>
        <v/>
      </c>
      <c r="X95" s="666" t="str">
        <f t="shared" si="334"/>
        <v/>
      </c>
      <c r="Y95" s="666" t="str">
        <f t="shared" si="334"/>
        <v/>
      </c>
      <c r="Z95" s="667" t="str">
        <f t="shared" si="334"/>
        <v/>
      </c>
      <c r="AA95" s="668" t="str">
        <f t="shared" si="334"/>
        <v/>
      </c>
      <c r="AB95" s="668" t="str">
        <f t="shared" si="334"/>
        <v/>
      </c>
      <c r="AC95" s="668" t="str">
        <f t="shared" si="334"/>
        <v/>
      </c>
      <c r="AD95" s="667" t="str">
        <f t="shared" si="334"/>
        <v/>
      </c>
      <c r="AE95" s="668" t="str">
        <f t="shared" si="334"/>
        <v/>
      </c>
      <c r="AF95" s="668" t="str">
        <f t="shared" si="334"/>
        <v/>
      </c>
      <c r="AG95" s="668" t="str">
        <f t="shared" si="334"/>
        <v/>
      </c>
      <c r="AH95" s="667" t="str">
        <f t="shared" si="334"/>
        <v/>
      </c>
      <c r="AI95" s="668" t="str">
        <f t="shared" si="319"/>
        <v/>
      </c>
      <c r="AJ95" s="668" t="str">
        <f t="shared" si="319"/>
        <v/>
      </c>
      <c r="AK95" s="668" t="str">
        <f t="shared" si="319"/>
        <v/>
      </c>
      <c r="AL95" s="667" t="str">
        <f t="shared" si="319"/>
        <v/>
      </c>
      <c r="AM95" s="668" t="str">
        <f t="shared" si="308"/>
        <v/>
      </c>
      <c r="AN95" s="668" t="str">
        <f t="shared" si="308"/>
        <v/>
      </c>
      <c r="AO95" s="668" t="str">
        <f t="shared" si="308"/>
        <v/>
      </c>
      <c r="AP95" s="667" t="str">
        <f t="shared" si="308"/>
        <v/>
      </c>
      <c r="AQ95" s="668" t="str">
        <f t="shared" ref="AQ95:AX95" si="335">IF(ISBLANK(AQ238),"",AQ238)</f>
        <v/>
      </c>
      <c r="AR95" s="668" t="str">
        <f t="shared" si="335"/>
        <v/>
      </c>
      <c r="AS95" s="668" t="str">
        <f t="shared" si="335"/>
        <v/>
      </c>
      <c r="AT95" s="667" t="str">
        <f t="shared" si="335"/>
        <v/>
      </c>
      <c r="AU95" s="668" t="str">
        <f t="shared" si="335"/>
        <v/>
      </c>
      <c r="AV95" s="668" t="str">
        <f t="shared" si="335"/>
        <v/>
      </c>
      <c r="AW95" s="668" t="str">
        <f t="shared" si="335"/>
        <v/>
      </c>
      <c r="AX95" s="667" t="str">
        <f t="shared" si="335"/>
        <v/>
      </c>
      <c r="AY95" s="668" t="str">
        <f t="shared" ref="AY95:BB95" si="336">IF(ISBLANK(AY238),"",AY238)</f>
        <v/>
      </c>
      <c r="AZ95" s="668" t="str">
        <f t="shared" si="336"/>
        <v/>
      </c>
      <c r="BA95" s="668" t="str">
        <f t="shared" si="336"/>
        <v/>
      </c>
      <c r="BB95" s="667" t="str">
        <f t="shared" si="336"/>
        <v/>
      </c>
      <c r="BC95" s="669"/>
      <c r="BD95" s="670"/>
      <c r="BE95" s="671"/>
      <c r="BF95" s="671"/>
      <c r="BG95" s="671"/>
      <c r="BH95" s="671"/>
      <c r="BI95" s="671"/>
      <c r="BJ95" s="671"/>
      <c r="BK95" s="671"/>
      <c r="BL95" s="671"/>
      <c r="BM95" s="1583"/>
      <c r="BN95" s="1583"/>
      <c r="BO95" s="1583"/>
      <c r="BP95" s="1583"/>
      <c r="BQ95" s="637"/>
      <c r="BR95" s="638"/>
      <c r="BU95" s="609"/>
      <c r="BV95" s="608"/>
      <c r="BW95" s="608"/>
      <c r="BX95" s="608"/>
    </row>
    <row r="96" spans="1:81" ht="12.75" customHeight="1">
      <c r="A96" s="610"/>
      <c r="B96" s="611"/>
      <c r="C96" s="629" t="str">
        <f t="shared" si="266"/>
        <v>Mass Hub</v>
      </c>
      <c r="D96" s="629" t="str">
        <f t="shared" si="266"/>
        <v/>
      </c>
      <c r="E96" s="629" t="str">
        <f t="shared" si="266"/>
        <v/>
      </c>
      <c r="F96" s="654"/>
      <c r="G96" s="694">
        <f t="shared" si="298"/>
        <v>6909.3096327633702</v>
      </c>
      <c r="H96" s="695">
        <f t="shared" ref="H96:AH96" si="337">IF(ISBLANK(H239),"",H239)</f>
        <v>8182.0786967062631</v>
      </c>
      <c r="I96" s="695">
        <f t="shared" si="337"/>
        <v>8843.0635104283465</v>
      </c>
      <c r="J96" s="696">
        <f t="shared" si="337"/>
        <v>7237.1775828593409</v>
      </c>
      <c r="K96" s="694">
        <f t="shared" si="337"/>
        <v>7371.9217492476137</v>
      </c>
      <c r="L96" s="695">
        <f t="shared" si="337"/>
        <v>7960.8997122438159</v>
      </c>
      <c r="M96" s="695">
        <f t="shared" si="337"/>
        <v>8379.919228064944</v>
      </c>
      <c r="N96" s="696">
        <f t="shared" si="337"/>
        <v>8819.7944279269213</v>
      </c>
      <c r="O96" s="694">
        <f t="shared" si="337"/>
        <v>8447.2140034917284</v>
      </c>
      <c r="P96" s="695">
        <f t="shared" si="337"/>
        <v>9230.5387992588858</v>
      </c>
      <c r="Q96" s="695">
        <f t="shared" si="337"/>
        <v>10110.347551066592</v>
      </c>
      <c r="R96" s="695">
        <f t="shared" si="337"/>
        <v>9797.5546476884065</v>
      </c>
      <c r="S96" s="697">
        <f t="shared" si="337"/>
        <v>9282.9445192863459</v>
      </c>
      <c r="T96" s="698">
        <f t="shared" si="337"/>
        <v>7879.1357555234736</v>
      </c>
      <c r="U96" s="698">
        <f t="shared" si="337"/>
        <v>8084.3226123072382</v>
      </c>
      <c r="V96" s="699">
        <f t="shared" si="337"/>
        <v>11842.479560862408</v>
      </c>
      <c r="W96" s="698">
        <f t="shared" si="337"/>
        <v>7345.0633802143266</v>
      </c>
      <c r="X96" s="698">
        <f t="shared" si="337"/>
        <v>8666.8096880078447</v>
      </c>
      <c r="Y96" s="698">
        <f t="shared" si="337"/>
        <v>10315.050379273025</v>
      </c>
      <c r="Z96" s="699">
        <f t="shared" si="337"/>
        <v>9714.574534358846</v>
      </c>
      <c r="AA96" s="698">
        <f t="shared" si="337"/>
        <v>8382.8453222230091</v>
      </c>
      <c r="AB96" s="698">
        <f t="shared" si="337"/>
        <v>7537.8738784383268</v>
      </c>
      <c r="AC96" s="698">
        <f t="shared" si="337"/>
        <v>9837.7064039165271</v>
      </c>
      <c r="AD96" s="699">
        <f t="shared" si="337"/>
        <v>10577.262881497305</v>
      </c>
      <c r="AE96" s="698">
        <f t="shared" si="337"/>
        <v>9019.4014549612002</v>
      </c>
      <c r="AF96" s="698">
        <f t="shared" si="337"/>
        <v>10967.114786064982</v>
      </c>
      <c r="AG96" s="698">
        <f t="shared" si="337"/>
        <v>11335.823461467095</v>
      </c>
      <c r="AH96" s="699">
        <f t="shared" si="337"/>
        <v>10726.933653066462</v>
      </c>
      <c r="AI96" s="698">
        <f t="shared" si="319"/>
        <v>9142.7185751590077</v>
      </c>
      <c r="AJ96" s="698">
        <f t="shared" si="319"/>
        <v>8545.6610120881614</v>
      </c>
      <c r="AK96" s="698">
        <f t="shared" si="319"/>
        <v>8055.4469835426908</v>
      </c>
      <c r="AL96" s="699">
        <f t="shared" si="319"/>
        <v>11859.057936160812</v>
      </c>
      <c r="AM96" s="698">
        <f t="shared" si="308"/>
        <v>7106.0534420152553</v>
      </c>
      <c r="AN96" s="698">
        <f t="shared" si="308"/>
        <v>9713.2904608788867</v>
      </c>
      <c r="AO96" s="698">
        <f t="shared" si="308"/>
        <v>9301.3972055888225</v>
      </c>
      <c r="AP96" s="699">
        <f t="shared" si="308"/>
        <v>10670.184696569921</v>
      </c>
      <c r="AQ96" s="698">
        <f t="shared" ref="AQ96:AX96" si="338">IF(ISBLANK(AQ239),"",AQ239)</f>
        <v>12523.856192309457</v>
      </c>
      <c r="AR96" s="698">
        <f t="shared" si="338"/>
        <v>12126.37627431892</v>
      </c>
      <c r="AS96" s="698">
        <f t="shared" si="338"/>
        <v>13524.643202910216</v>
      </c>
      <c r="AT96" s="699">
        <f t="shared" si="338"/>
        <v>7225.3549785020023</v>
      </c>
      <c r="AU96" s="698">
        <f t="shared" si="338"/>
        <v>12284.65865189438</v>
      </c>
      <c r="AV96" s="698">
        <f t="shared" si="338"/>
        <v>11894.770342853019</v>
      </c>
      <c r="AW96" s="698">
        <f t="shared" si="338"/>
        <v>13266.331278894815</v>
      </c>
      <c r="AX96" s="699">
        <f t="shared" si="338"/>
        <v>7087.3553789421785</v>
      </c>
      <c r="AY96" s="698">
        <f t="shared" ref="AY96:BB96" si="339">IF(ISBLANK(AY239),"",AY239)</f>
        <v>11964.479552774072</v>
      </c>
      <c r="AZ96" s="698">
        <f t="shared" si="339"/>
        <v>11584.75303097351</v>
      </c>
      <c r="BA96" s="698">
        <f t="shared" si="339"/>
        <v>12920.56652320475</v>
      </c>
      <c r="BB96" s="699">
        <f t="shared" si="339"/>
        <v>6902.6353045243814</v>
      </c>
      <c r="BC96" s="700"/>
      <c r="BD96" s="700"/>
      <c r="BE96" s="701">
        <f t="shared" ref="BE96:BE111" si="340">AVERAGE(G96:J96)</f>
        <v>7792.90735568933</v>
      </c>
      <c r="BF96" s="701">
        <f t="shared" ref="BF96:BF111" si="341">AVERAGE(K96:N96)</f>
        <v>8133.1337793708235</v>
      </c>
      <c r="BG96" s="701">
        <f t="shared" ref="BG96:BG111" si="342">AVERAGE(O96:R96)</f>
        <v>9396.4137503764032</v>
      </c>
      <c r="BH96" s="701">
        <f t="shared" ref="BH96:BH111" si="343">AVERAGE(S96:V96)</f>
        <v>9272.2206119948678</v>
      </c>
      <c r="BI96" s="701">
        <f t="shared" ref="BI96:BI111" si="344">AVERAGE(W96:Z96)</f>
        <v>9010.3744954635113</v>
      </c>
      <c r="BJ96" s="701">
        <f t="shared" ref="BJ96:BJ111" si="345">AVERAGE(AA96:AD96)</f>
        <v>9083.9221215187918</v>
      </c>
      <c r="BK96" s="701">
        <f t="shared" ref="BK96:BK111" si="346">AVERAGE(AE96:AH96)</f>
        <v>10512.318338889934</v>
      </c>
      <c r="BL96" s="701">
        <f t="shared" ref="BL96:BL111" si="347">AVERAGE(AI96:AL96)</f>
        <v>9400.7211267376679</v>
      </c>
      <c r="BM96" s="1582">
        <f t="shared" ref="BM96:BM111" si="348">AVERAGE(AM96:AP96)</f>
        <v>9197.731451263222</v>
      </c>
      <c r="BN96" s="1582">
        <f t="shared" ref="BN96:BN111" si="349">AVERAGE(AQ96:AT96)</f>
        <v>11350.057662010147</v>
      </c>
      <c r="BO96" s="1582">
        <f t="shared" ref="BO96:BO111" si="350">AVERAGE(AU96:AX96)</f>
        <v>11133.278913146098</v>
      </c>
      <c r="BP96" s="1582">
        <f t="shared" ref="BP96:BP111" si="351">AVERAGE(AY96:BB96)</f>
        <v>10843.108602869177</v>
      </c>
      <c r="BQ96" s="637"/>
      <c r="BR96" s="638"/>
      <c r="BU96" s="609"/>
      <c r="BV96" s="608"/>
      <c r="BW96" s="608"/>
      <c r="BX96" s="608"/>
    </row>
    <row r="97" spans="1:76" ht="12.75" customHeight="1">
      <c r="A97" s="610"/>
      <c r="B97" s="611"/>
      <c r="C97" s="629" t="str">
        <f t="shared" ref="C97:E116" si="352">IF(ISBLANK(C240),"",C240)</f>
        <v>NY Zone A</v>
      </c>
      <c r="D97" s="629" t="str">
        <f t="shared" si="352"/>
        <v/>
      </c>
      <c r="E97" s="629" t="str">
        <f t="shared" si="352"/>
        <v/>
      </c>
      <c r="F97" s="654"/>
      <c r="G97" s="694">
        <f t="shared" si="298"/>
        <v>5088.54736817501</v>
      </c>
      <c r="H97" s="695">
        <f t="shared" ref="H97:AH97" si="353">IF(ISBLANK(H240),"",H240)</f>
        <v>7028.1794383085698</v>
      </c>
      <c r="I97" s="695">
        <f t="shared" si="353"/>
        <v>8292.7749177879778</v>
      </c>
      <c r="J97" s="696">
        <f t="shared" si="353"/>
        <v>6485.8213553112255</v>
      </c>
      <c r="K97" s="694">
        <f t="shared" si="353"/>
        <v>6023.4534353193767</v>
      </c>
      <c r="L97" s="695">
        <f t="shared" si="353"/>
        <v>6697.9018560678951</v>
      </c>
      <c r="M97" s="695">
        <f t="shared" si="353"/>
        <v>7684.5603729599397</v>
      </c>
      <c r="N97" s="696">
        <f t="shared" si="353"/>
        <v>7744.4976746612501</v>
      </c>
      <c r="O97" s="694">
        <f t="shared" si="353"/>
        <v>8639.8374439110084</v>
      </c>
      <c r="P97" s="695">
        <f t="shared" si="353"/>
        <v>8438.5265301215695</v>
      </c>
      <c r="Q97" s="695">
        <f t="shared" si="353"/>
        <v>8950.6358841748479</v>
      </c>
      <c r="R97" s="695">
        <f t="shared" si="353"/>
        <v>8360.5518128974873</v>
      </c>
      <c r="S97" s="697">
        <f t="shared" si="353"/>
        <v>8283.8886860413586</v>
      </c>
      <c r="T97" s="698">
        <f t="shared" si="353"/>
        <v>6843.1719383213203</v>
      </c>
      <c r="U97" s="698">
        <f t="shared" si="353"/>
        <v>7359.8377490323146</v>
      </c>
      <c r="V97" s="699">
        <f t="shared" si="353"/>
        <v>7354.2240723278701</v>
      </c>
      <c r="W97" s="698">
        <f t="shared" si="353"/>
        <v>5887.49512865822</v>
      </c>
      <c r="X97" s="698">
        <f t="shared" si="353"/>
        <v>7342.5870896590586</v>
      </c>
      <c r="Y97" s="698">
        <f t="shared" si="353"/>
        <v>9428.2420655372098</v>
      </c>
      <c r="Z97" s="699">
        <f t="shared" si="353"/>
        <v>7903.1028409842911</v>
      </c>
      <c r="AA97" s="698">
        <f t="shared" si="353"/>
        <v>5838.4228171684554</v>
      </c>
      <c r="AB97" s="698">
        <f t="shared" si="353"/>
        <v>11231.838014387387</v>
      </c>
      <c r="AC97" s="698">
        <f t="shared" si="353"/>
        <v>14895.865292939685</v>
      </c>
      <c r="AD97" s="699">
        <f t="shared" si="353"/>
        <v>11088.680104153016</v>
      </c>
      <c r="AE97" s="698">
        <f t="shared" si="353"/>
        <v>7430.0572431015753</v>
      </c>
      <c r="AF97" s="698">
        <f t="shared" si="353"/>
        <v>9854.2125554743252</v>
      </c>
      <c r="AG97" s="698">
        <f t="shared" si="353"/>
        <v>14312.880773121604</v>
      </c>
      <c r="AH97" s="699">
        <f t="shared" si="353"/>
        <v>7721.1693236924348</v>
      </c>
      <c r="AI97" s="698">
        <f t="shared" si="319"/>
        <v>6476.9106982314634</v>
      </c>
      <c r="AJ97" s="698">
        <f t="shared" si="319"/>
        <v>5766.6546578633643</v>
      </c>
      <c r="AK97" s="698">
        <f t="shared" si="319"/>
        <v>9936.1248110884608</v>
      </c>
      <c r="AL97" s="699">
        <f t="shared" si="319"/>
        <v>7145.8747184646672</v>
      </c>
      <c r="AM97" s="698">
        <f t="shared" si="308"/>
        <v>4993.9723459738043</v>
      </c>
      <c r="AN97" s="698">
        <f t="shared" si="308"/>
        <v>14859.377349977438</v>
      </c>
      <c r="AO97" s="698">
        <f t="shared" si="308"/>
        <v>13198.198198198197</v>
      </c>
      <c r="AP97" s="699">
        <f t="shared" si="308"/>
        <v>12321.539416511485</v>
      </c>
      <c r="AQ97" s="698">
        <f t="shared" ref="AQ97:AX97" si="354">IF(ISBLANK(AQ240),"",AQ240)</f>
        <v>13766.147964572425</v>
      </c>
      <c r="AR97" s="698">
        <f t="shared" si="354"/>
        <v>17987.083179969206</v>
      </c>
      <c r="AS97" s="698">
        <f t="shared" si="354"/>
        <v>15264.015012002199</v>
      </c>
      <c r="AT97" s="699">
        <f t="shared" si="354"/>
        <v>6334.5447057720257</v>
      </c>
      <c r="AU97" s="698">
        <f t="shared" si="354"/>
        <v>13835.817936941603</v>
      </c>
      <c r="AV97" s="698">
        <f t="shared" si="354"/>
        <v>18078.115151394733</v>
      </c>
      <c r="AW97" s="698">
        <f t="shared" si="354"/>
        <v>15341.265634824622</v>
      </c>
      <c r="AX97" s="699">
        <f t="shared" si="354"/>
        <v>6366.603605310097</v>
      </c>
      <c r="AY97" s="698">
        <f t="shared" ref="AY97:BB97" si="355">IF(ISBLANK(AY240),"",AY240)</f>
        <v>13642.039241588413</v>
      </c>
      <c r="AZ97" s="698">
        <f t="shared" si="355"/>
        <v>17824.920610642024</v>
      </c>
      <c r="BA97" s="698">
        <f t="shared" si="355"/>
        <v>15126.402266910129</v>
      </c>
      <c r="BB97" s="699">
        <f t="shared" si="355"/>
        <v>6277.4356106103478</v>
      </c>
      <c r="BC97" s="700"/>
      <c r="BD97" s="700"/>
      <c r="BE97" s="701">
        <f t="shared" si="340"/>
        <v>6723.830769895696</v>
      </c>
      <c r="BF97" s="701">
        <f t="shared" si="341"/>
        <v>7037.6033347521152</v>
      </c>
      <c r="BG97" s="701">
        <f t="shared" si="342"/>
        <v>8597.3879177762283</v>
      </c>
      <c r="BH97" s="701">
        <f t="shared" si="343"/>
        <v>7460.2806114307159</v>
      </c>
      <c r="BI97" s="701">
        <f t="shared" si="344"/>
        <v>7640.3567812096953</v>
      </c>
      <c r="BJ97" s="701">
        <f t="shared" si="345"/>
        <v>10763.701557162136</v>
      </c>
      <c r="BK97" s="701">
        <f t="shared" si="346"/>
        <v>9829.5799738474852</v>
      </c>
      <c r="BL97" s="701">
        <f t="shared" si="347"/>
        <v>7331.3912214119891</v>
      </c>
      <c r="BM97" s="1582">
        <f t="shared" si="348"/>
        <v>11343.27182766523</v>
      </c>
      <c r="BN97" s="1582">
        <f t="shared" si="349"/>
        <v>13337.947715578963</v>
      </c>
      <c r="BO97" s="1582">
        <f t="shared" si="350"/>
        <v>13405.450582117764</v>
      </c>
      <c r="BP97" s="1582">
        <f t="shared" si="351"/>
        <v>13217.69943243773</v>
      </c>
      <c r="BQ97" s="637"/>
      <c r="BR97" s="638"/>
      <c r="BU97" s="609"/>
      <c r="BV97" s="608"/>
      <c r="BW97" s="608"/>
      <c r="BX97" s="608"/>
    </row>
    <row r="98" spans="1:76" ht="12.75" customHeight="1">
      <c r="A98" s="610"/>
      <c r="B98" s="611"/>
      <c r="C98" s="629" t="str">
        <f t="shared" si="352"/>
        <v>NY Zone G</v>
      </c>
      <c r="D98" s="629" t="str">
        <f t="shared" si="352"/>
        <v/>
      </c>
      <c r="E98" s="629" t="str">
        <f t="shared" si="352"/>
        <v/>
      </c>
      <c r="F98" s="654"/>
      <c r="G98" s="694">
        <f t="shared" si="298"/>
        <v>6606.7874609416886</v>
      </c>
      <c r="H98" s="695">
        <f t="shared" ref="H98:AH98" si="356">IF(ISBLANK(H241),"",H241)</f>
        <v>8306.5809607562096</v>
      </c>
      <c r="I98" s="695">
        <f t="shared" si="356"/>
        <v>9423.2283467435736</v>
      </c>
      <c r="J98" s="696">
        <f t="shared" si="356"/>
        <v>7028.9542841002922</v>
      </c>
      <c r="K98" s="694">
        <f t="shared" si="356"/>
        <v>7074.1943976919974</v>
      </c>
      <c r="L98" s="695">
        <f t="shared" si="356"/>
        <v>7547.8657501188482</v>
      </c>
      <c r="M98" s="695">
        <f t="shared" si="356"/>
        <v>8439.3885162200022</v>
      </c>
      <c r="N98" s="696">
        <f t="shared" si="356"/>
        <v>8268.6653113423945</v>
      </c>
      <c r="O98" s="694">
        <f t="shared" si="356"/>
        <v>8437.495171565226</v>
      </c>
      <c r="P98" s="695">
        <f t="shared" si="356"/>
        <v>8970.6692026012824</v>
      </c>
      <c r="Q98" s="695">
        <f t="shared" si="356"/>
        <v>10076.119613780258</v>
      </c>
      <c r="R98" s="695">
        <f t="shared" si="356"/>
        <v>9230.9471653996989</v>
      </c>
      <c r="S98" s="697">
        <f t="shared" si="356"/>
        <v>7249.062381710246</v>
      </c>
      <c r="T98" s="698">
        <f t="shared" si="356"/>
        <v>7720.0856088085848</v>
      </c>
      <c r="U98" s="698">
        <f t="shared" si="356"/>
        <v>8293.4171259897885</v>
      </c>
      <c r="V98" s="699">
        <f t="shared" si="356"/>
        <v>8457.6272733481783</v>
      </c>
      <c r="W98" s="698">
        <f t="shared" si="356"/>
        <v>6117.7451995103747</v>
      </c>
      <c r="X98" s="698">
        <f t="shared" si="356"/>
        <v>8147.412648795138</v>
      </c>
      <c r="Y98" s="698">
        <f t="shared" si="356"/>
        <v>9952.2595955805282</v>
      </c>
      <c r="Z98" s="699">
        <f t="shared" si="356"/>
        <v>8215.7123443567598</v>
      </c>
      <c r="AA98" s="698">
        <f t="shared" si="356"/>
        <v>6590.0424387770508</v>
      </c>
      <c r="AB98" s="698">
        <f t="shared" si="356"/>
        <v>7771.3067261298047</v>
      </c>
      <c r="AC98" s="698">
        <f t="shared" si="356"/>
        <v>9737.8690075852119</v>
      </c>
      <c r="AD98" s="699">
        <f t="shared" si="356"/>
        <v>9049.3951916015685</v>
      </c>
      <c r="AE98" s="698">
        <f t="shared" si="356"/>
        <v>8212.0800442138498</v>
      </c>
      <c r="AF98" s="698">
        <f t="shared" si="356"/>
        <v>11384.80330532701</v>
      </c>
      <c r="AG98" s="698">
        <f t="shared" si="356"/>
        <v>11578.755646993332</v>
      </c>
      <c r="AH98" s="699">
        <f t="shared" si="356"/>
        <v>9606.9455878853478</v>
      </c>
      <c r="AI98" s="698">
        <f t="shared" si="319"/>
        <v>8859.0498337299687</v>
      </c>
      <c r="AJ98" s="698">
        <f t="shared" si="319"/>
        <v>7917.1918496624576</v>
      </c>
      <c r="AK98" s="698">
        <f t="shared" si="319"/>
        <v>7966.5045898410899</v>
      </c>
      <c r="AL98" s="699">
        <f t="shared" si="319"/>
        <v>8139.7228227011701</v>
      </c>
      <c r="AM98" s="698">
        <f t="shared" si="308"/>
        <v>5720.6374459995504</v>
      </c>
      <c r="AN98" s="698">
        <f t="shared" si="308"/>
        <v>15353.697749196142</v>
      </c>
      <c r="AO98" s="698">
        <f t="shared" si="308"/>
        <v>13013.972055888224</v>
      </c>
      <c r="AP98" s="699">
        <f t="shared" si="308"/>
        <v>13234.828496042217</v>
      </c>
      <c r="AQ98" s="698">
        <f t="shared" ref="AQ98:AX98" si="357">IF(ISBLANK(AQ241),"",AQ241)</f>
        <v>14914.155984907466</v>
      </c>
      <c r="AR98" s="698">
        <f t="shared" si="357"/>
        <v>20592.143562519603</v>
      </c>
      <c r="AS98" s="698">
        <f t="shared" si="357"/>
        <v>17789.229705526392</v>
      </c>
      <c r="AT98" s="699">
        <f t="shared" si="357"/>
        <v>6358.814301275911</v>
      </c>
      <c r="AU98" s="698">
        <f t="shared" si="357"/>
        <v>14783.03187245478</v>
      </c>
      <c r="AV98" s="698">
        <f t="shared" si="357"/>
        <v>20411.099019947695</v>
      </c>
      <c r="AW98" s="698">
        <f t="shared" si="357"/>
        <v>17632.828166028303</v>
      </c>
      <c r="AX98" s="699">
        <f t="shared" si="357"/>
        <v>6302.9080949609152</v>
      </c>
      <c r="AY98" s="698">
        <f t="shared" ref="AY98:BB98" si="358">IF(ISBLANK(AY241),"",AY241)</f>
        <v>14415.982411492447</v>
      </c>
      <c r="AZ98" s="698">
        <f t="shared" si="358"/>
        <v>19904.309684880362</v>
      </c>
      <c r="BA98" s="698">
        <f t="shared" si="358"/>
        <v>17195.020811662678</v>
      </c>
      <c r="BB98" s="699">
        <f t="shared" si="358"/>
        <v>6146.4125236389573</v>
      </c>
      <c r="BC98" s="700"/>
      <c r="BD98" s="700"/>
      <c r="BE98" s="701">
        <f t="shared" si="340"/>
        <v>7841.3877631354408</v>
      </c>
      <c r="BF98" s="701">
        <f t="shared" si="341"/>
        <v>7832.5284938433106</v>
      </c>
      <c r="BG98" s="701">
        <f t="shared" si="342"/>
        <v>9178.8077883366168</v>
      </c>
      <c r="BH98" s="701">
        <f t="shared" si="343"/>
        <v>7930.0480974641996</v>
      </c>
      <c r="BI98" s="701">
        <f t="shared" si="344"/>
        <v>8108.2824470607011</v>
      </c>
      <c r="BJ98" s="701">
        <f t="shared" si="345"/>
        <v>8287.1533410234078</v>
      </c>
      <c r="BK98" s="701">
        <f t="shared" si="346"/>
        <v>10195.646146104886</v>
      </c>
      <c r="BL98" s="701">
        <f t="shared" si="347"/>
        <v>8220.6172739836711</v>
      </c>
      <c r="BM98" s="1582">
        <f t="shared" si="348"/>
        <v>11830.783936781534</v>
      </c>
      <c r="BN98" s="1582">
        <f t="shared" si="349"/>
        <v>14913.585888557343</v>
      </c>
      <c r="BO98" s="1582">
        <f t="shared" si="350"/>
        <v>14782.466788347923</v>
      </c>
      <c r="BP98" s="1582">
        <f t="shared" si="351"/>
        <v>14415.431357918611</v>
      </c>
      <c r="BQ98" s="637"/>
      <c r="BR98" s="638"/>
      <c r="BU98" s="609"/>
      <c r="BV98" s="608"/>
      <c r="BW98" s="608"/>
      <c r="BX98" s="608"/>
    </row>
    <row r="99" spans="1:76" ht="12.75" customHeight="1">
      <c r="A99" s="610"/>
      <c r="B99" s="611"/>
      <c r="C99" s="629" t="str">
        <f t="shared" si="352"/>
        <v>NY Zone J</v>
      </c>
      <c r="D99" s="629" t="str">
        <f t="shared" si="352"/>
        <v/>
      </c>
      <c r="E99" s="629" t="str">
        <f t="shared" si="352"/>
        <v/>
      </c>
      <c r="F99" s="654"/>
      <c r="G99" s="694">
        <f t="shared" si="298"/>
        <v>6748.7681006218027</v>
      </c>
      <c r="H99" s="695">
        <f t="shared" ref="H99:AH99" si="359">IF(ISBLANK(H242),"",H242)</f>
        <v>8884.2082613828734</v>
      </c>
      <c r="I99" s="695">
        <f t="shared" si="359"/>
        <v>10083.180834408246</v>
      </c>
      <c r="J99" s="696">
        <f t="shared" si="359"/>
        <v>7087.3029977862207</v>
      </c>
      <c r="K99" s="694">
        <f t="shared" si="359"/>
        <v>7340.2263410942887</v>
      </c>
      <c r="L99" s="695">
        <f t="shared" si="359"/>
        <v>7798.9509690638888</v>
      </c>
      <c r="M99" s="695">
        <f t="shared" si="359"/>
        <v>8927.1882569122845</v>
      </c>
      <c r="N99" s="696">
        <f t="shared" si="359"/>
        <v>8345.6002027089799</v>
      </c>
      <c r="O99" s="694">
        <f t="shared" si="359"/>
        <v>8645.3846646133316</v>
      </c>
      <c r="P99" s="695">
        <f t="shared" si="359"/>
        <v>9156.0025011957878</v>
      </c>
      <c r="Q99" s="695">
        <f t="shared" si="359"/>
        <v>10477.185224637948</v>
      </c>
      <c r="R99" s="695">
        <f t="shared" si="359"/>
        <v>9423.1828285744832</v>
      </c>
      <c r="S99" s="697">
        <f t="shared" si="359"/>
        <v>7423.784925032689</v>
      </c>
      <c r="T99" s="698">
        <f t="shared" si="359"/>
        <v>7850.7305463093289</v>
      </c>
      <c r="U99" s="698">
        <f t="shared" si="359"/>
        <v>8892.078482518069</v>
      </c>
      <c r="V99" s="699">
        <f t="shared" si="359"/>
        <v>8316.9515771291517</v>
      </c>
      <c r="W99" s="698">
        <f t="shared" si="359"/>
        <v>6133.6490987913385</v>
      </c>
      <c r="X99" s="698">
        <f t="shared" si="359"/>
        <v>8213.4148493595476</v>
      </c>
      <c r="Y99" s="698">
        <f t="shared" si="359"/>
        <v>10122.829083489969</v>
      </c>
      <c r="Z99" s="699">
        <f t="shared" si="359"/>
        <v>8243.0500509012982</v>
      </c>
      <c r="AA99" s="698">
        <f t="shared" si="359"/>
        <v>6629.8219138086515</v>
      </c>
      <c r="AB99" s="698">
        <f t="shared" si="359"/>
        <v>7973.4326856799471</v>
      </c>
      <c r="AC99" s="698">
        <f t="shared" si="359"/>
        <v>10477.845810963989</v>
      </c>
      <c r="AD99" s="699">
        <f t="shared" si="359"/>
        <v>9160.039878142039</v>
      </c>
      <c r="AE99" s="698">
        <f t="shared" si="359"/>
        <v>8558.8324115569685</v>
      </c>
      <c r="AF99" s="698">
        <f t="shared" si="359"/>
        <v>12102.625348797468</v>
      </c>
      <c r="AG99" s="698">
        <f t="shared" si="359"/>
        <v>12591.843997641919</v>
      </c>
      <c r="AH99" s="699">
        <f t="shared" si="359"/>
        <v>9646.0234098480669</v>
      </c>
      <c r="AI99" s="698">
        <f t="shared" si="319"/>
        <v>8902.6133060085667</v>
      </c>
      <c r="AJ99" s="698">
        <f t="shared" si="319"/>
        <v>8502.4785656129588</v>
      </c>
      <c r="AK99" s="698">
        <f t="shared" si="319"/>
        <v>8317.9199339646766</v>
      </c>
      <c r="AL99" s="699">
        <f t="shared" si="319"/>
        <v>8247.7510387057664</v>
      </c>
      <c r="AM99" s="698">
        <f t="shared" si="308"/>
        <v>6014.3501087297491</v>
      </c>
      <c r="AN99" s="698">
        <f t="shared" si="308"/>
        <v>16016.881028938908</v>
      </c>
      <c r="AO99" s="698">
        <f t="shared" si="308"/>
        <v>13685.961410512306</v>
      </c>
      <c r="AP99" s="699">
        <f t="shared" si="308"/>
        <v>13635.883905013192</v>
      </c>
      <c r="AQ99" s="698">
        <f t="shared" si="308"/>
        <v>15581.860761896291</v>
      </c>
      <c r="AR99" s="698">
        <f t="shared" si="308"/>
        <v>21684.767581360513</v>
      </c>
      <c r="AS99" s="698">
        <f t="shared" si="308"/>
        <v>18977.134817803846</v>
      </c>
      <c r="AT99" s="699">
        <f t="shared" si="308"/>
        <v>6534.6362240548142</v>
      </c>
      <c r="AU99" s="698">
        <f t="shared" ref="AU99:AX99" si="360">IF(ISBLANK(AU242),"",AU242)</f>
        <v>15474.866268858676</v>
      </c>
      <c r="AV99" s="698">
        <f t="shared" si="360"/>
        <v>21535.866833917054</v>
      </c>
      <c r="AW99" s="698">
        <f t="shared" si="360"/>
        <v>18846.826316774066</v>
      </c>
      <c r="AX99" s="699">
        <f t="shared" si="360"/>
        <v>6489.7654540831209</v>
      </c>
      <c r="AY99" s="698">
        <f t="shared" ref="AY99:BB99" si="361">IF(ISBLANK(AY242),"",AY242)</f>
        <v>15153.832115448648</v>
      </c>
      <c r="AZ99" s="698">
        <f t="shared" si="361"/>
        <v>21089.09406981953</v>
      </c>
      <c r="BA99" s="698">
        <f t="shared" si="361"/>
        <v>18455.83909750179</v>
      </c>
      <c r="BB99" s="699">
        <f t="shared" si="361"/>
        <v>6355.1318926562371</v>
      </c>
      <c r="BC99" s="700"/>
      <c r="BD99" s="700"/>
      <c r="BE99" s="701">
        <f t="shared" si="340"/>
        <v>8200.8650485497856</v>
      </c>
      <c r="BF99" s="701">
        <f t="shared" si="341"/>
        <v>8102.9914424448598</v>
      </c>
      <c r="BG99" s="701">
        <f t="shared" si="342"/>
        <v>9425.4388047553875</v>
      </c>
      <c r="BH99" s="701">
        <f t="shared" si="343"/>
        <v>8120.8863827473097</v>
      </c>
      <c r="BI99" s="701">
        <f t="shared" si="344"/>
        <v>8178.2357706355378</v>
      </c>
      <c r="BJ99" s="701">
        <f t="shared" si="345"/>
        <v>8560.2850721486557</v>
      </c>
      <c r="BK99" s="701">
        <f t="shared" si="346"/>
        <v>10724.831291961105</v>
      </c>
      <c r="BL99" s="701">
        <f t="shared" si="347"/>
        <v>8492.6907110729917</v>
      </c>
      <c r="BM99" s="1582">
        <f t="shared" si="348"/>
        <v>12338.269113298538</v>
      </c>
      <c r="BN99" s="1582">
        <f t="shared" si="349"/>
        <v>15694.599846278865</v>
      </c>
      <c r="BO99" s="1582">
        <f t="shared" si="350"/>
        <v>15586.83121840823</v>
      </c>
      <c r="BP99" s="1582">
        <f t="shared" si="351"/>
        <v>15263.474293856552</v>
      </c>
      <c r="BQ99" s="637"/>
      <c r="BR99" s="638"/>
      <c r="BU99" s="609"/>
      <c r="BV99" s="608"/>
      <c r="BW99" s="608"/>
      <c r="BX99" s="608"/>
    </row>
    <row r="100" spans="1:76" ht="12.75" customHeight="1">
      <c r="A100" s="610"/>
      <c r="B100" s="611"/>
      <c r="C100" s="629" t="str">
        <f t="shared" si="352"/>
        <v>PJM West</v>
      </c>
      <c r="D100" s="629" t="str">
        <f t="shared" si="352"/>
        <v/>
      </c>
      <c r="E100" s="629" t="str">
        <f t="shared" si="352"/>
        <v/>
      </c>
      <c r="F100" s="654"/>
      <c r="G100" s="694">
        <f t="shared" si="298"/>
        <v>6557.38700888317</v>
      </c>
      <c r="H100" s="695">
        <f t="shared" ref="H100:AH100" si="362">IF(ISBLANK(H243),"",H243)</f>
        <v>7054.57307272854</v>
      </c>
      <c r="I100" s="695">
        <f t="shared" si="362"/>
        <v>8131.2298382658046</v>
      </c>
      <c r="J100" s="696">
        <f t="shared" si="362"/>
        <v>7228.7968443687932</v>
      </c>
      <c r="K100" s="694">
        <f t="shared" si="362"/>
        <v>6878.6075683160079</v>
      </c>
      <c r="L100" s="695">
        <f t="shared" si="362"/>
        <v>7284.5320546195644</v>
      </c>
      <c r="M100" s="695">
        <f t="shared" si="362"/>
        <v>7779.5784938790375</v>
      </c>
      <c r="N100" s="696">
        <f t="shared" si="362"/>
        <v>8695.2045434184238</v>
      </c>
      <c r="O100" s="694">
        <f t="shared" si="362"/>
        <v>9841.700334411802</v>
      </c>
      <c r="P100" s="695">
        <f t="shared" si="362"/>
        <v>9039.2719380663311</v>
      </c>
      <c r="Q100" s="695">
        <f t="shared" si="362"/>
        <v>8835.1893477360536</v>
      </c>
      <c r="R100" s="695">
        <f t="shared" si="362"/>
        <v>8429.9253921288018</v>
      </c>
      <c r="S100" s="697">
        <f t="shared" si="362"/>
        <v>7789.8114136442509</v>
      </c>
      <c r="T100" s="698">
        <f t="shared" si="362"/>
        <v>7147.248796830625</v>
      </c>
      <c r="U100" s="698">
        <f t="shared" si="362"/>
        <v>8031.1736003835267</v>
      </c>
      <c r="V100" s="699">
        <f t="shared" si="362"/>
        <v>7795.107694833674</v>
      </c>
      <c r="W100" s="698">
        <f t="shared" si="362"/>
        <v>6166.530696296164</v>
      </c>
      <c r="X100" s="698">
        <f t="shared" si="362"/>
        <v>8263.5632022788723</v>
      </c>
      <c r="Y100" s="698">
        <f t="shared" si="362"/>
        <v>10837.129084616699</v>
      </c>
      <c r="Z100" s="699">
        <f t="shared" si="362"/>
        <v>10859.130824743526</v>
      </c>
      <c r="AA100" s="698">
        <f t="shared" si="362"/>
        <v>6858.1083928038697</v>
      </c>
      <c r="AB100" s="698">
        <f t="shared" si="362"/>
        <v>15422.985685691838</v>
      </c>
      <c r="AC100" s="698">
        <f t="shared" si="362"/>
        <v>16917.689223633119</v>
      </c>
      <c r="AD100" s="699">
        <f t="shared" si="362"/>
        <v>17146.191788467313</v>
      </c>
      <c r="AE100" s="698">
        <f t="shared" si="362"/>
        <v>13082.44971352325</v>
      </c>
      <c r="AF100" s="698">
        <f t="shared" si="362"/>
        <v>13437.831424583155</v>
      </c>
      <c r="AG100" s="698">
        <f t="shared" si="362"/>
        <v>16998.184607495699</v>
      </c>
      <c r="AH100" s="699">
        <f t="shared" si="362"/>
        <v>11310.225430871806</v>
      </c>
      <c r="AI100" s="698">
        <f t="shared" si="319"/>
        <v>9046.2979187077945</v>
      </c>
      <c r="AJ100" s="698">
        <f t="shared" si="319"/>
        <v>8797.2641070890259</v>
      </c>
      <c r="AK100" s="698">
        <f t="shared" si="319"/>
        <v>12592.415236425988</v>
      </c>
      <c r="AL100" s="699">
        <f t="shared" si="319"/>
        <v>10428.152314932511</v>
      </c>
      <c r="AM100" s="698">
        <f t="shared" si="308"/>
        <v>6682.4698912828535</v>
      </c>
      <c r="AN100" s="698">
        <f t="shared" si="308"/>
        <v>11257.331929613474</v>
      </c>
      <c r="AO100" s="698">
        <f t="shared" si="308"/>
        <v>11163.663663663663</v>
      </c>
      <c r="AP100" s="699">
        <f t="shared" si="308"/>
        <v>9565.4872749844817</v>
      </c>
      <c r="AQ100" s="698">
        <f t="shared" si="308"/>
        <v>8968.4071460360283</v>
      </c>
      <c r="AR100" s="698">
        <f t="shared" si="308"/>
        <v>11591.660811253709</v>
      </c>
      <c r="AS100" s="698">
        <f t="shared" si="308"/>
        <v>11437.093284386061</v>
      </c>
      <c r="AT100" s="699">
        <f t="shared" si="308"/>
        <v>8324.117177218186</v>
      </c>
      <c r="AU100" s="698">
        <f t="shared" si="308"/>
        <v>9005.6896599988304</v>
      </c>
      <c r="AV100" s="698">
        <f t="shared" si="308"/>
        <v>11639.848437998402</v>
      </c>
      <c r="AW100" s="698">
        <f t="shared" si="308"/>
        <v>11484.6383593504</v>
      </c>
      <c r="AX100" s="699">
        <f t="shared" si="308"/>
        <v>8358.7213170430405</v>
      </c>
      <c r="AY100" s="1408">
        <f t="shared" ref="AY100:BB104" si="363">IF(ISBLANK(AY243),"",IF(Uplift="Yes",$BX87,AY243))</f>
        <v>12879.485344604542</v>
      </c>
      <c r="AZ100" s="1408">
        <f t="shared" si="363"/>
        <v>12879.485344604542</v>
      </c>
      <c r="BA100" s="1408">
        <f t="shared" si="363"/>
        <v>12879.485344604542</v>
      </c>
      <c r="BB100" s="1409">
        <f t="shared" si="363"/>
        <v>12879.485344604542</v>
      </c>
      <c r="BC100" s="700"/>
      <c r="BD100" s="700"/>
      <c r="BE100" s="701">
        <f t="shared" si="340"/>
        <v>7242.9966910615767</v>
      </c>
      <c r="BF100" s="701">
        <f t="shared" si="341"/>
        <v>7659.4806650582577</v>
      </c>
      <c r="BG100" s="701">
        <f t="shared" si="342"/>
        <v>9036.5217530857462</v>
      </c>
      <c r="BH100" s="701">
        <f t="shared" si="343"/>
        <v>7690.8353764230187</v>
      </c>
      <c r="BI100" s="701">
        <f t="shared" si="344"/>
        <v>9031.5884519838146</v>
      </c>
      <c r="BJ100" s="701">
        <f t="shared" si="345"/>
        <v>14086.243772649035</v>
      </c>
      <c r="BK100" s="701">
        <f t="shared" si="346"/>
        <v>13707.172794118478</v>
      </c>
      <c r="BL100" s="701">
        <f t="shared" si="347"/>
        <v>10216.032394288828</v>
      </c>
      <c r="BM100" s="1582">
        <f t="shared" si="348"/>
        <v>9667.2381898861167</v>
      </c>
      <c r="BN100" s="1582">
        <f t="shared" si="349"/>
        <v>10080.319604723496</v>
      </c>
      <c r="BO100" s="1582">
        <f t="shared" si="350"/>
        <v>10122.224443597668</v>
      </c>
      <c r="BP100" s="1582">
        <f t="shared" si="351"/>
        <v>12879.485344604542</v>
      </c>
      <c r="BQ100" s="637"/>
      <c r="BR100" s="638"/>
      <c r="BU100" s="609"/>
      <c r="BV100" s="608"/>
      <c r="BW100" s="608"/>
      <c r="BX100" s="608"/>
    </row>
    <row r="101" spans="1:76" ht="12.75" customHeight="1">
      <c r="A101" s="610"/>
      <c r="B101" s="611"/>
      <c r="C101" s="629" t="str">
        <f t="shared" si="352"/>
        <v>PJM East</v>
      </c>
      <c r="D101" s="629" t="str">
        <f t="shared" si="352"/>
        <v/>
      </c>
      <c r="E101" s="629" t="str">
        <f t="shared" si="352"/>
        <v/>
      </c>
      <c r="F101" s="654"/>
      <c r="G101" s="694">
        <f t="shared" si="298"/>
        <v>7169.0554409439437</v>
      </c>
      <c r="H101" s="695">
        <f t="shared" ref="H101:AH101" si="364">IF(ISBLANK(H244),"",H244)</f>
        <v>7640.4485499059529</v>
      </c>
      <c r="I101" s="695">
        <f t="shared" si="364"/>
        <v>9025.3869993302178</v>
      </c>
      <c r="J101" s="696">
        <f t="shared" si="364"/>
        <v>7413.0740656652906</v>
      </c>
      <c r="K101" s="694">
        <f t="shared" si="364"/>
        <v>7669.8052364764089</v>
      </c>
      <c r="L101" s="695">
        <f t="shared" si="364"/>
        <v>7622.3652447041277</v>
      </c>
      <c r="M101" s="695">
        <f t="shared" si="364"/>
        <v>8474.1679552486985</v>
      </c>
      <c r="N101" s="696">
        <f t="shared" si="364"/>
        <v>8622.2045860397502</v>
      </c>
      <c r="O101" s="694">
        <f t="shared" si="364"/>
        <v>10395.317989886589</v>
      </c>
      <c r="P101" s="695">
        <f t="shared" si="364"/>
        <v>8857.6301713450721</v>
      </c>
      <c r="Q101" s="695">
        <f t="shared" si="364"/>
        <v>9886.5109657382072</v>
      </c>
      <c r="R101" s="695">
        <f t="shared" si="364"/>
        <v>8860.9682958716039</v>
      </c>
      <c r="S101" s="697">
        <f t="shared" si="364"/>
        <v>8039.5762260747151</v>
      </c>
      <c r="T101" s="698">
        <f t="shared" si="364"/>
        <v>7560.6867566728806</v>
      </c>
      <c r="U101" s="698">
        <f t="shared" si="364"/>
        <v>8465.7345865797197</v>
      </c>
      <c r="V101" s="699">
        <f t="shared" si="364"/>
        <v>8094.5011996556996</v>
      </c>
      <c r="W101" s="698">
        <f t="shared" si="364"/>
        <v>7151.6799340099105</v>
      </c>
      <c r="X101" s="698">
        <f t="shared" si="364"/>
        <v>8251.2040516581637</v>
      </c>
      <c r="Y101" s="698">
        <f t="shared" si="364"/>
        <v>10479.170149283662</v>
      </c>
      <c r="Z101" s="699">
        <f t="shared" si="364"/>
        <v>13653.53156496323</v>
      </c>
      <c r="AA101" s="698">
        <f t="shared" si="364"/>
        <v>8207.0387690658226</v>
      </c>
      <c r="AB101" s="698">
        <f t="shared" si="364"/>
        <v>15499.45605967582</v>
      </c>
      <c r="AC101" s="698">
        <f t="shared" si="364"/>
        <v>15178.412461854665</v>
      </c>
      <c r="AD101" s="699">
        <f t="shared" si="364"/>
        <v>19658.072019603624</v>
      </c>
      <c r="AE101" s="698">
        <f t="shared" si="364"/>
        <v>13822.547494014379</v>
      </c>
      <c r="AF101" s="698">
        <f t="shared" si="364"/>
        <v>12166.262278237393</v>
      </c>
      <c r="AG101" s="698">
        <f t="shared" si="364"/>
        <v>15635.007649191331</v>
      </c>
      <c r="AH101" s="699">
        <f t="shared" si="364"/>
        <v>9544.6541456185332</v>
      </c>
      <c r="AI101" s="698">
        <f t="shared" si="319"/>
        <v>9801.7076446894607</v>
      </c>
      <c r="AJ101" s="698">
        <f t="shared" si="319"/>
        <v>8644.1370259993801</v>
      </c>
      <c r="AK101" s="698">
        <f t="shared" si="319"/>
        <v>11004.438339609598</v>
      </c>
      <c r="AL101" s="699">
        <f t="shared" si="319"/>
        <v>12310.44340491018</v>
      </c>
      <c r="AM101" s="698">
        <f t="shared" si="308"/>
        <v>7116.8692303849139</v>
      </c>
      <c r="AN101" s="698">
        <f t="shared" si="308"/>
        <v>11351.481425778313</v>
      </c>
      <c r="AO101" s="698">
        <f t="shared" si="308"/>
        <v>11381.381381381379</v>
      </c>
      <c r="AP101" s="699">
        <f t="shared" si="308"/>
        <v>9497.1446306641828</v>
      </c>
      <c r="AQ101" s="698">
        <f t="shared" si="308"/>
        <v>10240.121890620401</v>
      </c>
      <c r="AR101" s="698">
        <f t="shared" si="308"/>
        <v>11655.324608823219</v>
      </c>
      <c r="AS101" s="698">
        <f t="shared" si="308"/>
        <v>11808.620980409776</v>
      </c>
      <c r="AT101" s="699">
        <f t="shared" si="308"/>
        <v>8077.2747597348434</v>
      </c>
      <c r="AU101" s="698">
        <f t="shared" si="308"/>
        <v>10309.484579678321</v>
      </c>
      <c r="AV101" s="698">
        <f t="shared" si="308"/>
        <v>11734.273342573297</v>
      </c>
      <c r="AW101" s="698">
        <f t="shared" si="308"/>
        <v>11888.608085447777</v>
      </c>
      <c r="AX101" s="699">
        <f t="shared" si="308"/>
        <v>8131.9871453469759</v>
      </c>
      <c r="AY101" s="1408">
        <f t="shared" si="363"/>
        <v>12477.579982021809</v>
      </c>
      <c r="AZ101" s="1408">
        <f t="shared" si="363"/>
        <v>12477.579982021809</v>
      </c>
      <c r="BA101" s="1408">
        <f t="shared" si="363"/>
        <v>12477.579982021809</v>
      </c>
      <c r="BB101" s="1409">
        <f t="shared" si="363"/>
        <v>12477.579982021809</v>
      </c>
      <c r="BC101" s="700"/>
      <c r="BD101" s="700"/>
      <c r="BE101" s="701">
        <f t="shared" si="340"/>
        <v>7811.9912639613522</v>
      </c>
      <c r="BF101" s="701">
        <f t="shared" si="341"/>
        <v>8097.1357556172461</v>
      </c>
      <c r="BG101" s="701">
        <f t="shared" si="342"/>
        <v>9500.1068557103681</v>
      </c>
      <c r="BH101" s="701">
        <f t="shared" si="343"/>
        <v>8040.124692245754</v>
      </c>
      <c r="BI101" s="701">
        <f t="shared" si="344"/>
        <v>9883.8964249787423</v>
      </c>
      <c r="BJ101" s="701">
        <f t="shared" si="345"/>
        <v>14635.744827549981</v>
      </c>
      <c r="BK101" s="701">
        <f t="shared" si="346"/>
        <v>12792.117891765411</v>
      </c>
      <c r="BL101" s="701">
        <f t="shared" si="347"/>
        <v>10440.181603802155</v>
      </c>
      <c r="BM101" s="1582">
        <f t="shared" si="348"/>
        <v>9836.719167052197</v>
      </c>
      <c r="BN101" s="1582">
        <f t="shared" si="349"/>
        <v>10445.335559897059</v>
      </c>
      <c r="BO101" s="1582">
        <f t="shared" si="350"/>
        <v>10516.088288261593</v>
      </c>
      <c r="BP101" s="1582">
        <f t="shared" si="351"/>
        <v>12477.579982021809</v>
      </c>
      <c r="BQ101" s="637"/>
      <c r="BR101" s="638"/>
      <c r="BU101" s="609"/>
      <c r="BV101" s="608"/>
      <c r="BW101" s="608"/>
      <c r="BX101" s="608"/>
    </row>
    <row r="102" spans="1:76" ht="12.75" customHeight="1">
      <c r="A102" s="610"/>
      <c r="B102" s="611"/>
      <c r="C102" s="629" t="str">
        <f t="shared" si="352"/>
        <v>AEP Dayton</v>
      </c>
      <c r="D102" s="629" t="str">
        <f t="shared" si="352"/>
        <v/>
      </c>
      <c r="E102" s="629" t="str">
        <f t="shared" si="352"/>
        <v/>
      </c>
      <c r="F102" s="654"/>
      <c r="G102" s="694">
        <f t="shared" si="298"/>
        <v>5594.4105258064828</v>
      </c>
      <c r="H102" s="695">
        <f t="shared" ref="H102:AH102" si="365">IF(ISBLANK(H245),"",H245)</f>
        <v>5980.4576806649147</v>
      </c>
      <c r="I102" s="695">
        <f t="shared" si="365"/>
        <v>6684.7232199578648</v>
      </c>
      <c r="J102" s="696">
        <f t="shared" si="365"/>
        <v>5911.4648985987124</v>
      </c>
      <c r="K102" s="694">
        <f t="shared" si="365"/>
        <v>5617.3159739843395</v>
      </c>
      <c r="L102" s="695">
        <f t="shared" si="365"/>
        <v>6655.7582528218209</v>
      </c>
      <c r="M102" s="695">
        <f t="shared" si="365"/>
        <v>7303.4594565022162</v>
      </c>
      <c r="N102" s="696">
        <f t="shared" si="365"/>
        <v>8538.4108780017341</v>
      </c>
      <c r="O102" s="694">
        <f t="shared" si="365"/>
        <v>9256.1029733562991</v>
      </c>
      <c r="P102" s="695">
        <f t="shared" si="365"/>
        <v>8884.5574896313938</v>
      </c>
      <c r="Q102" s="695">
        <f t="shared" si="365"/>
        <v>8401.9636033328952</v>
      </c>
      <c r="R102" s="695">
        <f t="shared" si="365"/>
        <v>8108.3969931427564</v>
      </c>
      <c r="S102" s="697">
        <f t="shared" si="365"/>
        <v>7144.68170956227</v>
      </c>
      <c r="T102" s="698">
        <f t="shared" si="365"/>
        <v>6923.1901425772967</v>
      </c>
      <c r="U102" s="698">
        <f t="shared" si="365"/>
        <v>7416.937285038297</v>
      </c>
      <c r="V102" s="699">
        <f t="shared" si="365"/>
        <v>7186.3638244491658</v>
      </c>
      <c r="W102" s="698">
        <f t="shared" si="365"/>
        <v>4378.4476589144797</v>
      </c>
      <c r="X102" s="698">
        <f t="shared" si="365"/>
        <v>8308.8842312669221</v>
      </c>
      <c r="Y102" s="698">
        <f t="shared" si="365"/>
        <v>10465.996871575519</v>
      </c>
      <c r="Z102" s="699">
        <f t="shared" si="365"/>
        <v>10914.824746114929</v>
      </c>
      <c r="AA102" s="698">
        <f t="shared" si="365"/>
        <v>5222.5069289009616</v>
      </c>
      <c r="AB102" s="698">
        <f t="shared" si="365"/>
        <v>15040.786920718157</v>
      </c>
      <c r="AC102" s="698">
        <f t="shared" si="365"/>
        <v>16577.780229416356</v>
      </c>
      <c r="AD102" s="699">
        <f t="shared" si="365"/>
        <v>17065.861366193356</v>
      </c>
      <c r="AE102" s="698">
        <f t="shared" si="365"/>
        <v>11965.339455583016</v>
      </c>
      <c r="AF102" s="698">
        <f t="shared" si="365"/>
        <v>13392.335283854029</v>
      </c>
      <c r="AG102" s="698">
        <f t="shared" si="365"/>
        <v>16617.582565885587</v>
      </c>
      <c r="AH102" s="699">
        <f t="shared" si="365"/>
        <v>11247.328225526811</v>
      </c>
      <c r="AI102" s="698">
        <f t="shared" si="319"/>
        <v>8556.6131079873394</v>
      </c>
      <c r="AJ102" s="698">
        <f t="shared" si="319"/>
        <v>8971.0519258287495</v>
      </c>
      <c r="AK102" s="698">
        <f t="shared" si="319"/>
        <v>13054.147515117875</v>
      </c>
      <c r="AL102" s="699">
        <f t="shared" si="319"/>
        <v>9524.2185088378228</v>
      </c>
      <c r="AM102" s="698">
        <f t="shared" si="308"/>
        <v>5253.5008504221041</v>
      </c>
      <c r="AN102" s="698">
        <f t="shared" si="308"/>
        <v>9534.7680059708928</v>
      </c>
      <c r="AO102" s="698">
        <f t="shared" si="308"/>
        <v>8957.9632918886928</v>
      </c>
      <c r="AP102" s="699">
        <f t="shared" si="308"/>
        <v>8724.870763928775</v>
      </c>
      <c r="AQ102" s="698">
        <f t="shared" si="308"/>
        <v>10357.798701457919</v>
      </c>
      <c r="AR102" s="698">
        <f t="shared" si="308"/>
        <v>8488.7960907604192</v>
      </c>
      <c r="AS102" s="698">
        <f t="shared" si="308"/>
        <v>8528.2593221072202</v>
      </c>
      <c r="AT102" s="699">
        <f t="shared" si="308"/>
        <v>9517.0351924681836</v>
      </c>
      <c r="AU102" s="698">
        <f t="shared" si="308"/>
        <v>10049.931204538312</v>
      </c>
      <c r="AV102" s="698">
        <f t="shared" si="308"/>
        <v>8236.4814359143529</v>
      </c>
      <c r="AW102" s="698">
        <f t="shared" si="308"/>
        <v>8274.7716915541296</v>
      </c>
      <c r="AX102" s="699">
        <f t="shared" si="308"/>
        <v>9234.1579241168911</v>
      </c>
      <c r="AY102" s="1408">
        <f t="shared" si="363"/>
        <v>12468.435494493986</v>
      </c>
      <c r="AZ102" s="1408">
        <f t="shared" si="363"/>
        <v>12468.435494493986</v>
      </c>
      <c r="BA102" s="1408">
        <f t="shared" si="363"/>
        <v>12468.435494493986</v>
      </c>
      <c r="BB102" s="1409">
        <f t="shared" si="363"/>
        <v>12468.435494493986</v>
      </c>
      <c r="BC102" s="700"/>
      <c r="BD102" s="700"/>
      <c r="BE102" s="701">
        <f t="shared" si="340"/>
        <v>6042.7640812569934</v>
      </c>
      <c r="BF102" s="701">
        <f t="shared" si="341"/>
        <v>7028.7361403275281</v>
      </c>
      <c r="BG102" s="701">
        <f t="shared" si="342"/>
        <v>8662.7552648658366</v>
      </c>
      <c r="BH102" s="701">
        <f t="shared" si="343"/>
        <v>7167.7932404067578</v>
      </c>
      <c r="BI102" s="701">
        <f t="shared" si="344"/>
        <v>8517.0383769679629</v>
      </c>
      <c r="BJ102" s="701">
        <f t="shared" si="345"/>
        <v>13476.733861307208</v>
      </c>
      <c r="BK102" s="701">
        <f t="shared" si="346"/>
        <v>13305.646382712363</v>
      </c>
      <c r="BL102" s="701">
        <f t="shared" si="347"/>
        <v>10026.507764442948</v>
      </c>
      <c r="BM102" s="1582">
        <f t="shared" si="348"/>
        <v>8117.7757280526166</v>
      </c>
      <c r="BN102" s="1582">
        <f t="shared" si="349"/>
        <v>9222.9723266984365</v>
      </c>
      <c r="BO102" s="1582">
        <f t="shared" si="350"/>
        <v>8948.8355640309201</v>
      </c>
      <c r="BP102" s="1582">
        <f t="shared" si="351"/>
        <v>12468.435494493986</v>
      </c>
      <c r="BQ102" s="637"/>
      <c r="BR102" s="638"/>
      <c r="BU102" s="609"/>
      <c r="BV102" s="608"/>
      <c r="BW102" s="608"/>
      <c r="BX102" s="608"/>
    </row>
    <row r="103" spans="1:76" ht="12.75" customHeight="1">
      <c r="A103" s="610"/>
      <c r="B103" s="611"/>
      <c r="C103" s="629" t="str">
        <f t="shared" si="352"/>
        <v>Cinergy</v>
      </c>
      <c r="D103" s="629" t="str">
        <f t="shared" si="352"/>
        <v/>
      </c>
      <c r="E103" s="629" t="str">
        <f t="shared" si="352"/>
        <v/>
      </c>
      <c r="F103" s="654"/>
      <c r="G103" s="694">
        <f t="shared" si="298"/>
        <v>6552.7674043199286</v>
      </c>
      <c r="H103" s="695">
        <f t="shared" ref="H103:AH103" si="366">IF(ISBLANK(H246),"",H246)</f>
        <v>6476.0723404537666</v>
      </c>
      <c r="I103" s="695">
        <f t="shared" si="366"/>
        <v>7271.6763952678921</v>
      </c>
      <c r="J103" s="696">
        <f t="shared" si="366"/>
        <v>8220.4093352115033</v>
      </c>
      <c r="K103" s="694">
        <f t="shared" si="366"/>
        <v>7979.1747211275315</v>
      </c>
      <c r="L103" s="695">
        <f t="shared" si="366"/>
        <v>7104.9821374667526</v>
      </c>
      <c r="M103" s="695">
        <f t="shared" si="366"/>
        <v>7790.7372328055353</v>
      </c>
      <c r="N103" s="696">
        <f t="shared" si="366"/>
        <v>9201.0167150006782</v>
      </c>
      <c r="O103" s="694">
        <f t="shared" si="366"/>
        <v>10440.014917886665</v>
      </c>
      <c r="P103" s="695">
        <f t="shared" si="366"/>
        <v>9560.11803419846</v>
      </c>
      <c r="Q103" s="695">
        <f t="shared" si="366"/>
        <v>8935.6748974826023</v>
      </c>
      <c r="R103" s="695">
        <f t="shared" si="366"/>
        <v>8777.6380248240494</v>
      </c>
      <c r="S103" s="697">
        <f t="shared" si="366"/>
        <v>8794.3099226617105</v>
      </c>
      <c r="T103" s="698">
        <f t="shared" si="366"/>
        <v>7170.3250164574647</v>
      </c>
      <c r="U103" s="698">
        <f t="shared" si="366"/>
        <v>7427.6377278135369</v>
      </c>
      <c r="V103" s="699">
        <f t="shared" si="366"/>
        <v>7463.0119522202085</v>
      </c>
      <c r="W103" s="698">
        <f t="shared" si="366"/>
        <v>10672.862043942654</v>
      </c>
      <c r="X103" s="698">
        <f t="shared" si="366"/>
        <v>6748.9575207808848</v>
      </c>
      <c r="Y103" s="698">
        <f t="shared" si="366"/>
        <v>6693.0721564774667</v>
      </c>
      <c r="Z103" s="699">
        <f t="shared" si="366"/>
        <v>7928.0928377524915</v>
      </c>
      <c r="AA103" s="698">
        <f t="shared" si="366"/>
        <v>11594.576778630564</v>
      </c>
      <c r="AB103" s="698">
        <f t="shared" si="366"/>
        <v>8884.7428686240874</v>
      </c>
      <c r="AC103" s="698">
        <f t="shared" si="366"/>
        <v>8259.4626536542146</v>
      </c>
      <c r="AD103" s="699">
        <f t="shared" si="366"/>
        <v>10311.27373307398</v>
      </c>
      <c r="AE103" s="698">
        <f t="shared" si="366"/>
        <v>11099.393407137786</v>
      </c>
      <c r="AF103" s="698">
        <f t="shared" si="366"/>
        <v>9992.6370455412834</v>
      </c>
      <c r="AG103" s="698">
        <f t="shared" si="366"/>
        <v>7829.6864609595132</v>
      </c>
      <c r="AH103" s="699">
        <f t="shared" si="366"/>
        <v>8265.1158346907469</v>
      </c>
      <c r="AI103" s="698">
        <f t="shared" si="319"/>
        <v>8517.9614097697577</v>
      </c>
      <c r="AJ103" s="698">
        <f t="shared" si="319"/>
        <v>7365.7185946531754</v>
      </c>
      <c r="AK103" s="698">
        <f t="shared" si="319"/>
        <v>7744.3815502968346</v>
      </c>
      <c r="AL103" s="699">
        <f t="shared" si="319"/>
        <v>9032.4298573449232</v>
      </c>
      <c r="AM103" s="698">
        <f t="shared" si="308"/>
        <v>10767.751699666062</v>
      </c>
      <c r="AN103" s="698">
        <f t="shared" si="308"/>
        <v>9068.2920761288733</v>
      </c>
      <c r="AO103" s="698">
        <f t="shared" si="308"/>
        <v>8780.343398460629</v>
      </c>
      <c r="AP103" s="699">
        <f t="shared" si="308"/>
        <v>8558.2998276852377</v>
      </c>
      <c r="AQ103" s="698">
        <f t="shared" si="308"/>
        <v>9141.5772569286164</v>
      </c>
      <c r="AR103" s="698">
        <f t="shared" si="308"/>
        <v>8061.5434396640903</v>
      </c>
      <c r="AS103" s="698">
        <f t="shared" si="308"/>
        <v>8098.0895888361283</v>
      </c>
      <c r="AT103" s="699">
        <f t="shared" si="308"/>
        <v>9879.7162281589626</v>
      </c>
      <c r="AU103" s="698">
        <f t="shared" si="308"/>
        <v>8972.5976330324702</v>
      </c>
      <c r="AV103" s="698">
        <f t="shared" si="308"/>
        <v>7912.5279535865184</v>
      </c>
      <c r="AW103" s="698">
        <f t="shared" si="308"/>
        <v>7948.3985569125425</v>
      </c>
      <c r="AX103" s="699">
        <f t="shared" si="308"/>
        <v>9697.0923017277073</v>
      </c>
      <c r="AY103" s="1408">
        <f t="shared" si="363"/>
        <v>9943.436368836914</v>
      </c>
      <c r="AZ103" s="1408">
        <f t="shared" si="363"/>
        <v>9943.436368836914</v>
      </c>
      <c r="BA103" s="1408">
        <f t="shared" si="363"/>
        <v>9943.436368836914</v>
      </c>
      <c r="BB103" s="1409">
        <f t="shared" si="363"/>
        <v>9943.436368836914</v>
      </c>
      <c r="BC103" s="700"/>
      <c r="BD103" s="700"/>
      <c r="BE103" s="701">
        <f t="shared" si="340"/>
        <v>7130.2313688132726</v>
      </c>
      <c r="BF103" s="701">
        <f t="shared" si="341"/>
        <v>8018.9777016001244</v>
      </c>
      <c r="BG103" s="701">
        <f t="shared" si="342"/>
        <v>9428.3614685979446</v>
      </c>
      <c r="BH103" s="701">
        <f t="shared" si="343"/>
        <v>7713.8211547882302</v>
      </c>
      <c r="BI103" s="701">
        <f t="shared" si="344"/>
        <v>8010.746139738374</v>
      </c>
      <c r="BJ103" s="701">
        <f t="shared" si="345"/>
        <v>9762.5140084957129</v>
      </c>
      <c r="BK103" s="701">
        <f t="shared" si="346"/>
        <v>9296.7081870823331</v>
      </c>
      <c r="BL103" s="701">
        <f t="shared" si="347"/>
        <v>8165.1228530161725</v>
      </c>
      <c r="BM103" s="1582">
        <f t="shared" si="348"/>
        <v>9293.6717504852004</v>
      </c>
      <c r="BN103" s="1582">
        <f t="shared" si="349"/>
        <v>8795.2316283969485</v>
      </c>
      <c r="BO103" s="1582">
        <f t="shared" si="350"/>
        <v>8632.6541113148105</v>
      </c>
      <c r="BP103" s="1582">
        <f t="shared" si="351"/>
        <v>9943.436368836914</v>
      </c>
      <c r="BQ103" s="637"/>
      <c r="BR103" s="638"/>
      <c r="BU103" s="609"/>
      <c r="BV103" s="608"/>
      <c r="BW103" s="608"/>
      <c r="BX103" s="608"/>
    </row>
    <row r="104" spans="1:76" ht="12.75" customHeight="1">
      <c r="A104" s="610"/>
      <c r="B104" s="611"/>
      <c r="C104" s="629" t="str">
        <f t="shared" si="352"/>
        <v>NI Hub</v>
      </c>
      <c r="D104" s="629" t="str">
        <f t="shared" si="352"/>
        <v/>
      </c>
      <c r="E104" s="629" t="str">
        <f t="shared" si="352"/>
        <v/>
      </c>
      <c r="F104" s="654"/>
      <c r="G104" s="694">
        <f t="shared" si="298"/>
        <v>5395.6504855170397</v>
      </c>
      <c r="H104" s="695">
        <f t="shared" ref="H104:AH104" si="367">IF(ISBLANK(H247),"",H247)</f>
        <v>5100.5900565632073</v>
      </c>
      <c r="I104" s="695">
        <f t="shared" si="367"/>
        <v>6006.74992147799</v>
      </c>
      <c r="J104" s="696">
        <f t="shared" si="367"/>
        <v>5317.3518126357339</v>
      </c>
      <c r="K104" s="694">
        <f t="shared" si="367"/>
        <v>6734.0496191414031</v>
      </c>
      <c r="L104" s="695">
        <f t="shared" si="367"/>
        <v>5501.4743918965405</v>
      </c>
      <c r="M104" s="695">
        <f t="shared" si="367"/>
        <v>6268.4758752189118</v>
      </c>
      <c r="N104" s="696">
        <f t="shared" si="367"/>
        <v>5985.7267911888366</v>
      </c>
      <c r="O104" s="694">
        <f t="shared" si="367"/>
        <v>9477.3896272805832</v>
      </c>
      <c r="P104" s="695">
        <f t="shared" si="367"/>
        <v>8173.946883501706</v>
      </c>
      <c r="Q104" s="695">
        <f t="shared" si="367"/>
        <v>8259.4192392880977</v>
      </c>
      <c r="R104" s="695">
        <f t="shared" si="367"/>
        <v>6410.7661597259648</v>
      </c>
      <c r="S104" s="697">
        <f t="shared" si="367"/>
        <v>7790.1968554542191</v>
      </c>
      <c r="T104" s="698">
        <f t="shared" si="367"/>
        <v>5959.6264930636416</v>
      </c>
      <c r="U104" s="698">
        <f t="shared" si="367"/>
        <v>6840.5607736665088</v>
      </c>
      <c r="V104" s="699">
        <f t="shared" si="367"/>
        <v>6525.372318959221</v>
      </c>
      <c r="W104" s="698">
        <f t="shared" si="367"/>
        <v>9013.981977331181</v>
      </c>
      <c r="X104" s="698">
        <f t="shared" si="367"/>
        <v>5435.4274567969042</v>
      </c>
      <c r="Y104" s="698">
        <f t="shared" si="367"/>
        <v>6191.277648456301</v>
      </c>
      <c r="Z104" s="699">
        <f t="shared" si="367"/>
        <v>6850.9884407370319</v>
      </c>
      <c r="AA104" s="698">
        <f t="shared" si="367"/>
        <v>10265.602875410354</v>
      </c>
      <c r="AB104" s="698">
        <f t="shared" si="367"/>
        <v>6715.6093086897836</v>
      </c>
      <c r="AC104" s="698">
        <f t="shared" si="367"/>
        <v>7664.0265319712089</v>
      </c>
      <c r="AD104" s="699">
        <f t="shared" si="367"/>
        <v>9225.6308062235858</v>
      </c>
      <c r="AE104" s="698">
        <f t="shared" si="367"/>
        <v>9673.625167828357</v>
      </c>
      <c r="AF104" s="698">
        <f t="shared" si="367"/>
        <v>8570.6534203356659</v>
      </c>
      <c r="AG104" s="698">
        <f t="shared" si="367"/>
        <v>7452.1855165401403</v>
      </c>
      <c r="AH104" s="699">
        <f t="shared" si="367"/>
        <v>7408.3223776683062</v>
      </c>
      <c r="AI104" s="698">
        <f t="shared" si="319"/>
        <v>7667.4563966200603</v>
      </c>
      <c r="AJ104" s="698">
        <f t="shared" si="319"/>
        <v>6356.9074135752089</v>
      </c>
      <c r="AK104" s="698">
        <f t="shared" si="319"/>
        <v>6365.0018649239109</v>
      </c>
      <c r="AL104" s="699">
        <f t="shared" si="319"/>
        <v>7895.7944693923155</v>
      </c>
      <c r="AM104" s="698">
        <f t="shared" si="308"/>
        <v>8227.0666796054647</v>
      </c>
      <c r="AN104" s="698">
        <f t="shared" si="308"/>
        <v>7395.1984077621601</v>
      </c>
      <c r="AO104" s="698">
        <f t="shared" si="308"/>
        <v>7619.8934280639423</v>
      </c>
      <c r="AP104" s="699">
        <f t="shared" si="308"/>
        <v>7070.6490522688118</v>
      </c>
      <c r="AQ104" s="698">
        <f t="shared" si="308"/>
        <v>9417.0466461005399</v>
      </c>
      <c r="AR104" s="698">
        <f t="shared" si="308"/>
        <v>7556.0461755771757</v>
      </c>
      <c r="AS104" s="698">
        <f t="shared" si="308"/>
        <v>7734.2070510855065</v>
      </c>
      <c r="AT104" s="699">
        <f t="shared" si="308"/>
        <v>6746.2524824277207</v>
      </c>
      <c r="AU104" s="698">
        <f t="shared" si="308"/>
        <v>9420.6351919674853</v>
      </c>
      <c r="AV104" s="698">
        <f t="shared" si="308"/>
        <v>7558.9255515952455</v>
      </c>
      <c r="AW104" s="698">
        <f t="shared" si="308"/>
        <v>7737.1543187151901</v>
      </c>
      <c r="AX104" s="699">
        <f t="shared" si="308"/>
        <v>6748.8232710595485</v>
      </c>
      <c r="AY104" s="1408">
        <f t="shared" si="363"/>
        <v>8572.6751150947875</v>
      </c>
      <c r="AZ104" s="1408">
        <f t="shared" si="363"/>
        <v>8572.6751150947875</v>
      </c>
      <c r="BA104" s="1408">
        <f t="shared" si="363"/>
        <v>8572.6751150947875</v>
      </c>
      <c r="BB104" s="1409">
        <f t="shared" si="363"/>
        <v>8572.6751150947875</v>
      </c>
      <c r="BC104" s="700"/>
      <c r="BD104" s="700"/>
      <c r="BE104" s="701">
        <f t="shared" si="340"/>
        <v>5455.0855690484923</v>
      </c>
      <c r="BF104" s="701">
        <f t="shared" si="341"/>
        <v>6122.4316693614228</v>
      </c>
      <c r="BG104" s="701">
        <f t="shared" si="342"/>
        <v>8080.3804774490882</v>
      </c>
      <c r="BH104" s="701">
        <f t="shared" si="343"/>
        <v>6778.9391102858972</v>
      </c>
      <c r="BI104" s="701">
        <f t="shared" si="344"/>
        <v>6872.9188808303552</v>
      </c>
      <c r="BJ104" s="701">
        <f t="shared" si="345"/>
        <v>8467.717380573733</v>
      </c>
      <c r="BK104" s="701">
        <f t="shared" si="346"/>
        <v>8276.1966205931167</v>
      </c>
      <c r="BL104" s="701">
        <f t="shared" si="347"/>
        <v>7071.2900361278744</v>
      </c>
      <c r="BM104" s="1582">
        <f t="shared" si="348"/>
        <v>7578.201891925095</v>
      </c>
      <c r="BN104" s="1582">
        <f t="shared" si="349"/>
        <v>7863.3880887977357</v>
      </c>
      <c r="BO104" s="1582">
        <f t="shared" si="350"/>
        <v>7866.3845833343676</v>
      </c>
      <c r="BP104" s="1582">
        <f t="shared" si="351"/>
        <v>8572.6751150947875</v>
      </c>
      <c r="BQ104" s="637"/>
      <c r="BR104" s="638"/>
      <c r="BU104" s="609"/>
      <c r="BV104" s="608"/>
      <c r="BW104" s="608"/>
      <c r="BX104" s="608"/>
    </row>
    <row r="105" spans="1:76" ht="12.75" customHeight="1">
      <c r="A105" s="610"/>
      <c r="B105" s="611"/>
      <c r="C105" s="629" t="str">
        <f t="shared" si="352"/>
        <v>ERCOT Houston</v>
      </c>
      <c r="D105" s="629" t="str">
        <f t="shared" si="352"/>
        <v/>
      </c>
      <c r="E105" s="629" t="str">
        <f t="shared" si="352"/>
        <v/>
      </c>
      <c r="F105" s="654"/>
      <c r="G105" s="694">
        <f t="shared" si="298"/>
        <v>6850.7817272711591</v>
      </c>
      <c r="H105" s="695">
        <f t="shared" ref="H105:AH105" si="368">IF(ISBLANK(H248),"",H248)</f>
        <v>6621.032095301849</v>
      </c>
      <c r="I105" s="695">
        <f t="shared" si="368"/>
        <v>7456.0304454809211</v>
      </c>
      <c r="J105" s="696">
        <f t="shared" si="368"/>
        <v>6786.9757708018869</v>
      </c>
      <c r="K105" s="694">
        <f t="shared" si="368"/>
        <v>7103.6316586257462</v>
      </c>
      <c r="L105" s="695">
        <f t="shared" si="368"/>
        <v>6489.3612351463817</v>
      </c>
      <c r="M105" s="695">
        <f t="shared" si="368"/>
        <v>7652.9516182493453</v>
      </c>
      <c r="N105" s="696">
        <f t="shared" si="368"/>
        <v>7018.4711655947503</v>
      </c>
      <c r="O105" s="694">
        <f t="shared" si="368"/>
        <v>7952.8432404796031</v>
      </c>
      <c r="P105" s="695">
        <f t="shared" si="368"/>
        <v>7515.6719478298664</v>
      </c>
      <c r="Q105" s="695">
        <f t="shared" si="368"/>
        <v>7355.2985870752173</v>
      </c>
      <c r="R105" s="695">
        <f t="shared" si="368"/>
        <v>6558.0613022094312</v>
      </c>
      <c r="S105" s="697">
        <f t="shared" si="368"/>
        <v>6674.9226754832425</v>
      </c>
      <c r="T105" s="698">
        <f t="shared" si="368"/>
        <v>6638.422412018157</v>
      </c>
      <c r="U105" s="698">
        <f t="shared" si="368"/>
        <v>7223.9917476319215</v>
      </c>
      <c r="V105" s="699">
        <f t="shared" si="368"/>
        <v>7084.8548714796698</v>
      </c>
      <c r="W105" s="698">
        <f t="shared" si="368"/>
        <v>6140.4918444926798</v>
      </c>
      <c r="X105" s="698">
        <f t="shared" si="368"/>
        <v>6818.4558455411725</v>
      </c>
      <c r="Y105" s="698">
        <f t="shared" si="368"/>
        <v>7269.96105521761</v>
      </c>
      <c r="Z105" s="699">
        <f t="shared" si="368"/>
        <v>6682.661837208123</v>
      </c>
      <c r="AA105" s="698">
        <f t="shared" si="368"/>
        <v>7652.4945449900451</v>
      </c>
      <c r="AB105" s="698">
        <f t="shared" si="368"/>
        <v>7888.8594888397292</v>
      </c>
      <c r="AC105" s="698">
        <f t="shared" si="368"/>
        <v>7345.5237671149316</v>
      </c>
      <c r="AD105" s="699">
        <f t="shared" si="368"/>
        <v>7529.6000602417816</v>
      </c>
      <c r="AE105" s="698">
        <f t="shared" si="368"/>
        <v>6964.2929599013441</v>
      </c>
      <c r="AF105" s="698">
        <f t="shared" si="368"/>
        <v>6980.8570592020815</v>
      </c>
      <c r="AG105" s="698">
        <f t="shared" si="368"/>
        <v>8164.8402063845024</v>
      </c>
      <c r="AH105" s="699">
        <f t="shared" si="368"/>
        <v>6140.7448147131954</v>
      </c>
      <c r="AI105" s="698">
        <f t="shared" si="319"/>
        <v>6430.7867145184991</v>
      </c>
      <c r="AJ105" s="698">
        <f t="shared" si="319"/>
        <v>7962.6791325077083</v>
      </c>
      <c r="AK105" s="698">
        <f t="shared" si="319"/>
        <v>7713.7262070746765</v>
      </c>
      <c r="AL105" s="699">
        <f t="shared" si="319"/>
        <v>6923.2312215922902</v>
      </c>
      <c r="AM105" s="698">
        <f t="shared" si="308"/>
        <v>6480.3957229260004</v>
      </c>
      <c r="AN105" s="698">
        <f t="shared" si="308"/>
        <v>8543.5526806816761</v>
      </c>
      <c r="AO105" s="698">
        <f t="shared" si="308"/>
        <v>10269.102427471877</v>
      </c>
      <c r="AP105" s="699">
        <f t="shared" si="308"/>
        <v>6963.1533601378515</v>
      </c>
      <c r="AQ105" s="698">
        <f t="shared" ref="AQ105:AX105" si="369">IF(ISBLANK(AQ248),"",AQ248)</f>
        <v>7207.7953169845769</v>
      </c>
      <c r="AR105" s="698">
        <f t="shared" si="369"/>
        <v>7543.9435635063273</v>
      </c>
      <c r="AS105" s="698">
        <f t="shared" si="369"/>
        <v>9213.4837628008991</v>
      </c>
      <c r="AT105" s="699">
        <f t="shared" si="369"/>
        <v>6685.4577110965065</v>
      </c>
      <c r="AU105" s="698">
        <f t="shared" si="369"/>
        <v>7169.198552229147</v>
      </c>
      <c r="AV105" s="698">
        <f t="shared" si="369"/>
        <v>7503.5467705559522</v>
      </c>
      <c r="AW105" s="698">
        <f t="shared" si="369"/>
        <v>9164.1468088875699</v>
      </c>
      <c r="AX105" s="699">
        <f t="shared" si="369"/>
        <v>6649.6579932619125</v>
      </c>
      <c r="AY105" s="698">
        <f t="shared" ref="AY105:BB105" si="370">IF(ISBLANK(AY248),"",AY248)</f>
        <v>6934.3630362278864</v>
      </c>
      <c r="AZ105" s="698">
        <f t="shared" si="370"/>
        <v>7257.7592861020321</v>
      </c>
      <c r="BA105" s="698">
        <f t="shared" si="370"/>
        <v>8863.9644204520755</v>
      </c>
      <c r="BB105" s="699">
        <f t="shared" si="370"/>
        <v>6431.8406382670464</v>
      </c>
      <c r="BC105" s="700"/>
      <c r="BD105" s="700"/>
      <c r="BE105" s="701">
        <f t="shared" si="340"/>
        <v>6928.7050097139545</v>
      </c>
      <c r="BF105" s="701">
        <f t="shared" si="341"/>
        <v>7066.1039194040559</v>
      </c>
      <c r="BG105" s="701">
        <f t="shared" si="342"/>
        <v>7345.4687693985288</v>
      </c>
      <c r="BH105" s="701">
        <f t="shared" si="343"/>
        <v>6905.5479266532475</v>
      </c>
      <c r="BI105" s="701">
        <f t="shared" si="344"/>
        <v>6727.8926456148965</v>
      </c>
      <c r="BJ105" s="701">
        <f t="shared" si="345"/>
        <v>7604.1194652966215</v>
      </c>
      <c r="BK105" s="701">
        <f t="shared" si="346"/>
        <v>7062.6837600502804</v>
      </c>
      <c r="BL105" s="701">
        <f t="shared" si="347"/>
        <v>7257.6058189232936</v>
      </c>
      <c r="BM105" s="1582">
        <f t="shared" si="348"/>
        <v>8064.0510478043507</v>
      </c>
      <c r="BN105" s="1582">
        <f t="shared" si="349"/>
        <v>7662.6700885970777</v>
      </c>
      <c r="BO105" s="1582">
        <f t="shared" si="350"/>
        <v>7621.6375312336459</v>
      </c>
      <c r="BP105" s="1582">
        <f t="shared" si="351"/>
        <v>7371.9818452622603</v>
      </c>
      <c r="BQ105" s="637"/>
      <c r="BR105" s="638"/>
      <c r="BU105" s="609"/>
      <c r="BV105" s="608"/>
      <c r="BW105" s="608"/>
      <c r="BX105" s="608"/>
    </row>
    <row r="106" spans="1:76" ht="12.75" customHeight="1">
      <c r="A106" s="610"/>
      <c r="B106" s="611"/>
      <c r="C106" s="629" t="str">
        <f t="shared" si="352"/>
        <v>ERCOT North</v>
      </c>
      <c r="D106" s="629" t="str">
        <f t="shared" si="352"/>
        <v/>
      </c>
      <c r="E106" s="629" t="str">
        <f t="shared" si="352"/>
        <v/>
      </c>
      <c r="F106" s="654"/>
      <c r="G106" s="694">
        <f t="shared" si="298"/>
        <v>6846.1079969549173</v>
      </c>
      <c r="H106" s="695">
        <f t="shared" ref="H106:AH106" si="371">IF(ISBLANK(H249),"",H249)</f>
        <v>6579.7184516400084</v>
      </c>
      <c r="I106" s="695">
        <f t="shared" si="371"/>
        <v>7383.37060324907</v>
      </c>
      <c r="J106" s="696">
        <f t="shared" si="371"/>
        <v>6769.6404409553197</v>
      </c>
      <c r="K106" s="694">
        <f t="shared" si="371"/>
        <v>7202.0850094799453</v>
      </c>
      <c r="L106" s="695">
        <f t="shared" si="371"/>
        <v>6420.214829248016</v>
      </c>
      <c r="M106" s="695">
        <f t="shared" si="371"/>
        <v>7575.5365463257504</v>
      </c>
      <c r="N106" s="696">
        <f t="shared" si="371"/>
        <v>7086.1451129407897</v>
      </c>
      <c r="O106" s="694">
        <f t="shared" si="371"/>
        <v>7943.4548333544453</v>
      </c>
      <c r="P106" s="695">
        <f t="shared" si="371"/>
        <v>7525.8237354826097</v>
      </c>
      <c r="Q106" s="695">
        <f t="shared" si="371"/>
        <v>7232.7025992394247</v>
      </c>
      <c r="R106" s="695">
        <f t="shared" si="371"/>
        <v>6745.6184695244247</v>
      </c>
      <c r="S106" s="697">
        <f t="shared" si="371"/>
        <v>6668.1229270336653</v>
      </c>
      <c r="T106" s="698">
        <f t="shared" si="371"/>
        <v>6535.4293137657605</v>
      </c>
      <c r="U106" s="698">
        <f t="shared" si="371"/>
        <v>7147.865663393176</v>
      </c>
      <c r="V106" s="699">
        <f t="shared" si="371"/>
        <v>6981.8886000345046</v>
      </c>
      <c r="W106" s="698">
        <f t="shared" si="371"/>
        <v>6182.9907384190228</v>
      </c>
      <c r="X106" s="698">
        <f t="shared" si="371"/>
        <v>6785.8365945503001</v>
      </c>
      <c r="Y106" s="698">
        <f t="shared" si="371"/>
        <v>7136.6442103725694</v>
      </c>
      <c r="Z106" s="699">
        <f t="shared" si="371"/>
        <v>6702.3457070216837</v>
      </c>
      <c r="AA106" s="698">
        <f t="shared" si="371"/>
        <v>7664.6160360806507</v>
      </c>
      <c r="AB106" s="698">
        <f t="shared" si="371"/>
        <v>7048.9520285495655</v>
      </c>
      <c r="AC106" s="698">
        <f t="shared" si="371"/>
        <v>7197.670615244313</v>
      </c>
      <c r="AD106" s="699">
        <f t="shared" si="371"/>
        <v>7101.8354351902599</v>
      </c>
      <c r="AE106" s="698">
        <f t="shared" si="371"/>
        <v>6945.1239071268637</v>
      </c>
      <c r="AF106" s="698">
        <f t="shared" si="371"/>
        <v>6861.101172272105</v>
      </c>
      <c r="AG106" s="698">
        <f t="shared" si="371"/>
        <v>7251.121749054284</v>
      </c>
      <c r="AH106" s="699">
        <f t="shared" si="371"/>
        <v>6022.5093589603321</v>
      </c>
      <c r="AI106" s="698">
        <f t="shared" si="319"/>
        <v>5878.8543969869743</v>
      </c>
      <c r="AJ106" s="698">
        <f t="shared" si="319"/>
        <v>6363.7110064538647</v>
      </c>
      <c r="AK106" s="698">
        <f t="shared" si="319"/>
        <v>7360.8455434858543</v>
      </c>
      <c r="AL106" s="699">
        <f t="shared" si="319"/>
        <v>6251.0403871722756</v>
      </c>
      <c r="AM106" s="698">
        <f t="shared" si="308"/>
        <v>6199.6866590289592</v>
      </c>
      <c r="AN106" s="698">
        <f t="shared" si="308"/>
        <v>7716.3353650951622</v>
      </c>
      <c r="AO106" s="698">
        <f t="shared" si="308"/>
        <v>10174.371817643576</v>
      </c>
      <c r="AP106" s="699">
        <f t="shared" si="308"/>
        <v>6681.7059161401476</v>
      </c>
      <c r="AQ106" s="698">
        <f t="shared" ref="AQ106:AX106" si="372">IF(ISBLANK(AQ249),"",AQ249)</f>
        <v>6960.4803932414106</v>
      </c>
      <c r="AR106" s="698">
        <f t="shared" si="372"/>
        <v>7040.2791244410537</v>
      </c>
      <c r="AS106" s="698">
        <f t="shared" si="372"/>
        <v>8992.7280873911477</v>
      </c>
      <c r="AT106" s="699">
        <f t="shared" si="372"/>
        <v>6121.8589841224284</v>
      </c>
      <c r="AU106" s="698">
        <f t="shared" si="372"/>
        <v>6833.8195343448451</v>
      </c>
      <c r="AV106" s="698">
        <f t="shared" si="372"/>
        <v>6912.1661566006269</v>
      </c>
      <c r="AW106" s="698">
        <f t="shared" si="372"/>
        <v>8829.0861260578167</v>
      </c>
      <c r="AX106" s="699">
        <f t="shared" si="372"/>
        <v>6010.4586391511948</v>
      </c>
      <c r="AY106" s="698">
        <f t="shared" ref="AY106:BB106" si="373">IF(ISBLANK(AY249),"",AY249)</f>
        <v>6536.1986425108153</v>
      </c>
      <c r="AZ106" s="698">
        <f t="shared" si="373"/>
        <v>6611.1331770650186</v>
      </c>
      <c r="BA106" s="698">
        <f t="shared" si="373"/>
        <v>8444.5690234754893</v>
      </c>
      <c r="BB106" s="699">
        <f t="shared" si="373"/>
        <v>5748.6960843272727</v>
      </c>
      <c r="BC106" s="700"/>
      <c r="BD106" s="700"/>
      <c r="BE106" s="701">
        <f t="shared" si="340"/>
        <v>6894.7093731998284</v>
      </c>
      <c r="BF106" s="701">
        <f t="shared" si="341"/>
        <v>7070.995374498626</v>
      </c>
      <c r="BG106" s="701">
        <f t="shared" si="342"/>
        <v>7361.8999094002265</v>
      </c>
      <c r="BH106" s="701">
        <f t="shared" si="343"/>
        <v>6833.3266260567761</v>
      </c>
      <c r="BI106" s="701">
        <f t="shared" si="344"/>
        <v>6701.9543125908931</v>
      </c>
      <c r="BJ106" s="701">
        <f t="shared" si="345"/>
        <v>7253.2685287661971</v>
      </c>
      <c r="BK106" s="701">
        <f t="shared" si="346"/>
        <v>6769.9640468533962</v>
      </c>
      <c r="BL106" s="701">
        <f t="shared" si="347"/>
        <v>6463.6128335247431</v>
      </c>
      <c r="BM106" s="1582">
        <f t="shared" si="348"/>
        <v>7693.0249394769617</v>
      </c>
      <c r="BN106" s="1582">
        <f t="shared" si="349"/>
        <v>7278.8366472990101</v>
      </c>
      <c r="BO106" s="1582">
        <f t="shared" si="350"/>
        <v>7146.3826140386209</v>
      </c>
      <c r="BP106" s="1582">
        <f t="shared" si="351"/>
        <v>6835.1492318446481</v>
      </c>
      <c r="BQ106" s="637"/>
      <c r="BR106" s="638"/>
      <c r="BU106" s="609"/>
      <c r="BV106" s="608"/>
      <c r="BW106" s="608"/>
      <c r="BX106" s="608"/>
    </row>
    <row r="107" spans="1:76" ht="12.75" customHeight="1">
      <c r="A107" s="610"/>
      <c r="B107" s="611"/>
      <c r="C107" s="629" t="str">
        <f t="shared" si="352"/>
        <v>ERCOT South</v>
      </c>
      <c r="D107" s="629" t="str">
        <f t="shared" si="352"/>
        <v/>
      </c>
      <c r="E107" s="629" t="str">
        <f t="shared" si="352"/>
        <v/>
      </c>
      <c r="F107" s="654"/>
      <c r="G107" s="694">
        <f t="shared" si="298"/>
        <v>6830.6037324407944</v>
      </c>
      <c r="H107" s="695">
        <f t="shared" ref="H107:AH107" si="374">IF(ISBLANK(H250),"",H250)</f>
        <v>6562.8970251557994</v>
      </c>
      <c r="I107" s="695">
        <f t="shared" si="374"/>
        <v>7414.7110582687419</v>
      </c>
      <c r="J107" s="696">
        <f t="shared" si="374"/>
        <v>6679.1141503791168</v>
      </c>
      <c r="K107" s="694">
        <f t="shared" si="374"/>
        <v>7138.8046808257704</v>
      </c>
      <c r="L107" s="695">
        <f t="shared" si="374"/>
        <v>6258.087014167384</v>
      </c>
      <c r="M107" s="695">
        <f t="shared" si="374"/>
        <v>7523.249636289559</v>
      </c>
      <c r="N107" s="696">
        <f t="shared" si="374"/>
        <v>7174.579060258885</v>
      </c>
      <c r="O107" s="694">
        <f t="shared" si="374"/>
        <v>7873.2744080347829</v>
      </c>
      <c r="P107" s="695">
        <f t="shared" si="374"/>
        <v>7431.2884796307553</v>
      </c>
      <c r="Q107" s="695">
        <f t="shared" si="374"/>
        <v>7334.1288032927387</v>
      </c>
      <c r="R107" s="695">
        <f t="shared" si="374"/>
        <v>6585.3989518402341</v>
      </c>
      <c r="S107" s="697">
        <f t="shared" si="374"/>
        <v>6652.2606369130135</v>
      </c>
      <c r="T107" s="698">
        <f t="shared" si="374"/>
        <v>6539.4547394260053</v>
      </c>
      <c r="U107" s="698">
        <f t="shared" si="374"/>
        <v>7184.9101755550391</v>
      </c>
      <c r="V107" s="699">
        <f t="shared" si="374"/>
        <v>6986.060144475985</v>
      </c>
      <c r="W107" s="698">
        <f t="shared" si="374"/>
        <v>6142.7701878695543</v>
      </c>
      <c r="X107" s="698">
        <f t="shared" si="374"/>
        <v>6706.9196289195888</v>
      </c>
      <c r="Y107" s="698">
        <f t="shared" si="374"/>
        <v>7191.2801571027721</v>
      </c>
      <c r="Z107" s="699">
        <f t="shared" si="374"/>
        <v>6691.3524756882343</v>
      </c>
      <c r="AA107" s="698">
        <f t="shared" si="374"/>
        <v>7683.5517405383844</v>
      </c>
      <c r="AB107" s="698">
        <f t="shared" si="374"/>
        <v>7477.9551606525392</v>
      </c>
      <c r="AC107" s="698">
        <f t="shared" si="374"/>
        <v>7273.2045800322394</v>
      </c>
      <c r="AD107" s="699">
        <f t="shared" si="374"/>
        <v>7297.8688266327545</v>
      </c>
      <c r="AE107" s="698">
        <f t="shared" si="374"/>
        <v>6825.5682022125657</v>
      </c>
      <c r="AF107" s="698">
        <f t="shared" si="374"/>
        <v>6812.7741649171348</v>
      </c>
      <c r="AG107" s="698">
        <f t="shared" si="374"/>
        <v>7454.9666094076501</v>
      </c>
      <c r="AH107" s="699">
        <f t="shared" si="374"/>
        <v>6130.1227783855711</v>
      </c>
      <c r="AI107" s="698">
        <f t="shared" si="319"/>
        <v>5895.9354557555907</v>
      </c>
      <c r="AJ107" s="698">
        <f t="shared" si="319"/>
        <v>7064.5603116460243</v>
      </c>
      <c r="AK107" s="698">
        <f t="shared" si="319"/>
        <v>7856.3102926990641</v>
      </c>
      <c r="AL107" s="699">
        <f t="shared" si="319"/>
        <v>6693.0932220303657</v>
      </c>
      <c r="AM107" s="698">
        <f t="shared" ref="AM107:AP126" si="375">IF(ISBLANK(AM250),"",AM250)</f>
        <v>6308.6390155305817</v>
      </c>
      <c r="AN107" s="698">
        <f t="shared" si="375"/>
        <v>8300.9851971638291</v>
      </c>
      <c r="AO107" s="698">
        <f t="shared" si="375"/>
        <v>10559.214920071048</v>
      </c>
      <c r="AP107" s="699">
        <f t="shared" si="375"/>
        <v>6991.8724870763926</v>
      </c>
      <c r="AQ107" s="698">
        <f t="shared" ref="AQ107:AX107" si="376">IF(ISBLANK(AQ250),"",AQ250)</f>
        <v>7308.293740592273</v>
      </c>
      <c r="AR107" s="698">
        <f t="shared" si="376"/>
        <v>7573.1759724842441</v>
      </c>
      <c r="AS107" s="698">
        <f t="shared" si="376"/>
        <v>9344.5082187459211</v>
      </c>
      <c r="AT107" s="699">
        <f t="shared" si="376"/>
        <v>6521.5722220472508</v>
      </c>
      <c r="AU107" s="698">
        <f t="shared" si="376"/>
        <v>7193.750633657809</v>
      </c>
      <c r="AV107" s="698">
        <f t="shared" si="376"/>
        <v>7454.4813583868809</v>
      </c>
      <c r="AW107" s="698">
        <f t="shared" si="376"/>
        <v>9198.0514612397492</v>
      </c>
      <c r="AX107" s="699">
        <f t="shared" si="376"/>
        <v>6419.3594250626784</v>
      </c>
      <c r="AY107" s="698">
        <f t="shared" ref="AY107:BB107" si="377">IF(ISBLANK(AY250),"",AY250)</f>
        <v>6930.4910839990544</v>
      </c>
      <c r="AZ107" s="698">
        <f t="shared" si="377"/>
        <v>7181.6802139926585</v>
      </c>
      <c r="BA107" s="698">
        <f t="shared" si="377"/>
        <v>8861.4433400053931</v>
      </c>
      <c r="BB107" s="699">
        <f t="shared" si="377"/>
        <v>6184.4391786709302</v>
      </c>
      <c r="BC107" s="700"/>
      <c r="BD107" s="700"/>
      <c r="BE107" s="701">
        <f t="shared" si="340"/>
        <v>6871.8314915611136</v>
      </c>
      <c r="BF107" s="701">
        <f t="shared" si="341"/>
        <v>7023.6800978853998</v>
      </c>
      <c r="BG107" s="701">
        <f t="shared" si="342"/>
        <v>7306.0226606996284</v>
      </c>
      <c r="BH107" s="701">
        <f t="shared" si="343"/>
        <v>6840.6714240925112</v>
      </c>
      <c r="BI107" s="701">
        <f t="shared" si="344"/>
        <v>6683.080612395037</v>
      </c>
      <c r="BJ107" s="701">
        <f t="shared" si="345"/>
        <v>7433.1450769639796</v>
      </c>
      <c r="BK107" s="701">
        <f t="shared" si="346"/>
        <v>6805.8579387307309</v>
      </c>
      <c r="BL107" s="701">
        <f t="shared" si="347"/>
        <v>6877.4748205327614</v>
      </c>
      <c r="BM107" s="1582">
        <f t="shared" si="348"/>
        <v>8040.1779049604629</v>
      </c>
      <c r="BN107" s="1582">
        <f t="shared" si="349"/>
        <v>7686.8875384674229</v>
      </c>
      <c r="BO107" s="1582">
        <f t="shared" si="350"/>
        <v>7566.4107195867791</v>
      </c>
      <c r="BP107" s="1582">
        <f t="shared" si="351"/>
        <v>7289.5134541670095</v>
      </c>
      <c r="BQ107" s="637"/>
      <c r="BR107" s="638"/>
      <c r="BU107" s="609"/>
      <c r="BV107" s="608"/>
      <c r="BW107" s="608"/>
      <c r="BX107" s="608"/>
    </row>
    <row r="108" spans="1:76" ht="12.75" customHeight="1">
      <c r="A108" s="610"/>
      <c r="B108" s="611"/>
      <c r="C108" s="629" t="str">
        <f t="shared" si="352"/>
        <v>Palo Verde</v>
      </c>
      <c r="D108" s="629" t="str">
        <f t="shared" si="352"/>
        <v/>
      </c>
      <c r="E108" s="629" t="str">
        <f t="shared" si="352"/>
        <v/>
      </c>
      <c r="F108" s="654"/>
      <c r="G108" s="694">
        <f t="shared" si="298"/>
        <v>6551.2481776158975</v>
      </c>
      <c r="H108" s="695">
        <f t="shared" ref="H108:AH108" si="378">IF(ISBLANK(H251),"",H251)</f>
        <v>6271.3601770080304</v>
      </c>
      <c r="I108" s="695">
        <f t="shared" si="378"/>
        <v>7021.4112476857217</v>
      </c>
      <c r="J108" s="696">
        <f t="shared" si="378"/>
        <v>6733.6908270051736</v>
      </c>
      <c r="K108" s="694">
        <f t="shared" si="378"/>
        <v>4947.8024200898235</v>
      </c>
      <c r="L108" s="695">
        <f t="shared" si="378"/>
        <v>3639.4677482772172</v>
      </c>
      <c r="M108" s="695">
        <f t="shared" si="378"/>
        <v>5747.6866885726586</v>
      </c>
      <c r="N108" s="696">
        <f t="shared" si="378"/>
        <v>6628.5228267586781</v>
      </c>
      <c r="O108" s="694">
        <f t="shared" si="378"/>
        <v>7140.6532375369161</v>
      </c>
      <c r="P108" s="695">
        <f t="shared" si="378"/>
        <v>6382.371966804455</v>
      </c>
      <c r="Q108" s="695">
        <f t="shared" si="378"/>
        <v>6483.5540521088269</v>
      </c>
      <c r="R108" s="695">
        <f t="shared" si="378"/>
        <v>6726.4830833685282</v>
      </c>
      <c r="S108" s="697">
        <f t="shared" si="378"/>
        <v>7205.7973591784121</v>
      </c>
      <c r="T108" s="698">
        <f t="shared" si="378"/>
        <v>6357.537844012214</v>
      </c>
      <c r="U108" s="698">
        <f t="shared" si="378"/>
        <v>6423.4820897102254</v>
      </c>
      <c r="V108" s="699">
        <f t="shared" si="378"/>
        <v>7229.6977497861471</v>
      </c>
      <c r="W108" s="698">
        <f t="shared" si="378"/>
        <v>6790.8520186587984</v>
      </c>
      <c r="X108" s="698">
        <f t="shared" si="378"/>
        <v>6349.6655319918109</v>
      </c>
      <c r="Y108" s="698">
        <f t="shared" si="378"/>
        <v>7036.4214757575519</v>
      </c>
      <c r="Z108" s="699">
        <f t="shared" si="378"/>
        <v>6665.5421283905716</v>
      </c>
      <c r="AA108" s="698">
        <f t="shared" si="378"/>
        <v>7686.8419302083648</v>
      </c>
      <c r="AB108" s="698">
        <f t="shared" si="378"/>
        <v>7549.5235262753986</v>
      </c>
      <c r="AC108" s="698">
        <f t="shared" si="378"/>
        <v>7870.964586340303</v>
      </c>
      <c r="AD108" s="699">
        <f t="shared" si="378"/>
        <v>7947.0472842148192</v>
      </c>
      <c r="AE108" s="698">
        <f t="shared" si="378"/>
        <v>8041.4196020612753</v>
      </c>
      <c r="AF108" s="698">
        <f t="shared" si="378"/>
        <v>7252.5359380326045</v>
      </c>
      <c r="AG108" s="698">
        <f t="shared" si="378"/>
        <v>7589.9916495196767</v>
      </c>
      <c r="AH108" s="699">
        <f t="shared" si="378"/>
        <v>7054.7193373314476</v>
      </c>
      <c r="AI108" s="698">
        <f t="shared" si="319"/>
        <v>6592.9726251884122</v>
      </c>
      <c r="AJ108" s="698">
        <f t="shared" si="319"/>
        <v>6874.6729901740318</v>
      </c>
      <c r="AK108" s="698">
        <f t="shared" si="319"/>
        <v>7377.5104880100744</v>
      </c>
      <c r="AL108" s="699">
        <f t="shared" si="319"/>
        <v>5402.5632811176656</v>
      </c>
      <c r="AM108" s="698">
        <f t="shared" si="375"/>
        <v>6081.509077044283</v>
      </c>
      <c r="AN108" s="698">
        <f t="shared" si="375"/>
        <v>10853.739245532757</v>
      </c>
      <c r="AO108" s="698">
        <f t="shared" si="375"/>
        <v>10437.986082685222</v>
      </c>
      <c r="AP108" s="699">
        <f t="shared" si="375"/>
        <v>8954.2936288088658</v>
      </c>
      <c r="AQ108" s="698">
        <f t="shared" ref="AQ108:AX108" si="379">IF(ISBLANK(AQ251),"",AQ251)</f>
        <v>9568.8121647134849</v>
      </c>
      <c r="AR108" s="698">
        <f t="shared" si="379"/>
        <v>12135.565714038688</v>
      </c>
      <c r="AS108" s="698">
        <f t="shared" si="379"/>
        <v>12432.237568226872</v>
      </c>
      <c r="AT108" s="699">
        <f t="shared" si="379"/>
        <v>9155.3108828586155</v>
      </c>
      <c r="AU108" s="698">
        <f t="shared" si="379"/>
        <v>10477.444338766418</v>
      </c>
      <c r="AV108" s="698">
        <f t="shared" si="379"/>
        <v>13287.930842363825</v>
      </c>
      <c r="AW108" s="698">
        <f t="shared" si="379"/>
        <v>13612.773966633513</v>
      </c>
      <c r="AX108" s="699">
        <f t="shared" si="379"/>
        <v>10024.677935782822</v>
      </c>
      <c r="AY108" s="698">
        <f t="shared" ref="AY108:BB108" si="380">IF(ISBLANK(AY251),"",AY251)</f>
        <v>10870.28187437005</v>
      </c>
      <c r="AZ108" s="698">
        <f t="shared" si="380"/>
        <v>13786.143749691979</v>
      </c>
      <c r="BA108" s="698">
        <f t="shared" si="380"/>
        <v>14123.166425412372</v>
      </c>
      <c r="BB108" s="699">
        <f t="shared" si="380"/>
        <v>10400.539610460706</v>
      </c>
      <c r="BC108" s="700"/>
      <c r="BD108" s="700"/>
      <c r="BE108" s="701">
        <f t="shared" si="340"/>
        <v>6644.4276073287056</v>
      </c>
      <c r="BF108" s="701">
        <f t="shared" si="341"/>
        <v>5240.8699209245942</v>
      </c>
      <c r="BG108" s="701">
        <f t="shared" si="342"/>
        <v>6683.2655849546809</v>
      </c>
      <c r="BH108" s="701">
        <f t="shared" si="343"/>
        <v>6804.1287606717497</v>
      </c>
      <c r="BI108" s="701">
        <f t="shared" si="344"/>
        <v>6710.6202886996825</v>
      </c>
      <c r="BJ108" s="701">
        <f t="shared" si="345"/>
        <v>7763.5943317597212</v>
      </c>
      <c r="BK108" s="701">
        <f t="shared" si="346"/>
        <v>7484.6666317362515</v>
      </c>
      <c r="BL108" s="701">
        <f t="shared" si="347"/>
        <v>6561.9298461225462</v>
      </c>
      <c r="BM108" s="1582">
        <f t="shared" si="348"/>
        <v>9081.8820085177831</v>
      </c>
      <c r="BN108" s="1582">
        <f t="shared" si="349"/>
        <v>10822.981582459415</v>
      </c>
      <c r="BO108" s="1582">
        <f t="shared" si="350"/>
        <v>11850.706770886643</v>
      </c>
      <c r="BP108" s="1582">
        <f t="shared" si="351"/>
        <v>12295.032914983778</v>
      </c>
      <c r="BQ108" s="637"/>
      <c r="BR108" s="638"/>
      <c r="BU108" s="609"/>
      <c r="BV108" s="608"/>
      <c r="BW108" s="608"/>
      <c r="BX108" s="608"/>
    </row>
    <row r="109" spans="1:76" ht="12.75" customHeight="1">
      <c r="A109" s="610"/>
      <c r="B109" s="611"/>
      <c r="C109" s="629" t="str">
        <f t="shared" si="352"/>
        <v>SP 15</v>
      </c>
      <c r="D109" s="629" t="str">
        <f t="shared" si="352"/>
        <v/>
      </c>
      <c r="E109" s="629" t="str">
        <f t="shared" si="352"/>
        <v/>
      </c>
      <c r="F109" s="654"/>
      <c r="G109" s="694">
        <f t="shared" si="298"/>
        <v>7774.7039121401549</v>
      </c>
      <c r="H109" s="695">
        <f t="shared" ref="H109:AH109" si="381">IF(ISBLANK(H252),"",H252)</f>
        <v>4421.426097331675</v>
      </c>
      <c r="I109" s="695">
        <f t="shared" si="381"/>
        <v>6156.2722201020406</v>
      </c>
      <c r="J109" s="696">
        <f t="shared" si="381"/>
        <v>7002.5167489617788</v>
      </c>
      <c r="K109" s="694">
        <f t="shared" si="381"/>
        <v>4589.0510511069697</v>
      </c>
      <c r="L109" s="695">
        <f t="shared" si="381"/>
        <v>2411.1346788076098</v>
      </c>
      <c r="M109" s="695">
        <f t="shared" si="381"/>
        <v>5490.4974244869181</v>
      </c>
      <c r="N109" s="696">
        <f t="shared" si="381"/>
        <v>6615.8727095483928</v>
      </c>
      <c r="O109" s="694">
        <f t="shared" si="381"/>
        <v>7046.3802040246701</v>
      </c>
      <c r="P109" s="695">
        <f t="shared" si="381"/>
        <v>5518.5767411822817</v>
      </c>
      <c r="Q109" s="695">
        <f t="shared" si="381"/>
        <v>6377.5206167201122</v>
      </c>
      <c r="R109" s="695">
        <f t="shared" si="381"/>
        <v>7344.081803590022</v>
      </c>
      <c r="S109" s="697">
        <f t="shared" si="381"/>
        <v>9311.2686731067824</v>
      </c>
      <c r="T109" s="698">
        <f t="shared" si="381"/>
        <v>7056.6794179267672</v>
      </c>
      <c r="U109" s="698">
        <f t="shared" si="381"/>
        <v>8597.9551187672805</v>
      </c>
      <c r="V109" s="699">
        <f t="shared" si="381"/>
        <v>9033.2153415300436</v>
      </c>
      <c r="W109" s="698">
        <f t="shared" si="381"/>
        <v>7778.1824249044994</v>
      </c>
      <c r="X109" s="698">
        <f t="shared" si="381"/>
        <v>4321.8647012602933</v>
      </c>
      <c r="Y109" s="698">
        <f t="shared" si="381"/>
        <v>7399.6643648541531</v>
      </c>
      <c r="Z109" s="699">
        <f t="shared" si="381"/>
        <v>8079.6050793482691</v>
      </c>
      <c r="AA109" s="698">
        <f t="shared" si="381"/>
        <v>8597.8421847930604</v>
      </c>
      <c r="AB109" s="698">
        <f t="shared" si="381"/>
        <v>9043.6082365961338</v>
      </c>
      <c r="AC109" s="698">
        <f t="shared" si="381"/>
        <v>9384.1581076756538</v>
      </c>
      <c r="AD109" s="699">
        <f t="shared" si="381"/>
        <v>10244.540848251741</v>
      </c>
      <c r="AE109" s="698">
        <f t="shared" si="381"/>
        <v>9931.6699639321978</v>
      </c>
      <c r="AF109" s="698">
        <f t="shared" si="381"/>
        <v>8322.9072817939832</v>
      </c>
      <c r="AG109" s="698">
        <f t="shared" si="381"/>
        <v>9519.3024094689408</v>
      </c>
      <c r="AH109" s="699">
        <f t="shared" si="381"/>
        <v>8836.9259337879703</v>
      </c>
      <c r="AI109" s="698">
        <f t="shared" si="319"/>
        <v>7422.1179080352858</v>
      </c>
      <c r="AJ109" s="698">
        <f t="shared" si="319"/>
        <v>6926.4056548853769</v>
      </c>
      <c r="AK109" s="698">
        <f t="shared" si="319"/>
        <v>9076.9846765896473</v>
      </c>
      <c r="AL109" s="699">
        <f t="shared" si="319"/>
        <v>7115.4623612168161</v>
      </c>
      <c r="AM109" s="698">
        <f t="shared" si="375"/>
        <v>7142.1403365965198</v>
      </c>
      <c r="AN109" s="698">
        <f t="shared" si="375"/>
        <v>11846.45929847783</v>
      </c>
      <c r="AO109" s="698">
        <f t="shared" si="375"/>
        <v>13262.382316823576</v>
      </c>
      <c r="AP109" s="699">
        <f t="shared" si="375"/>
        <v>13234.072022160666</v>
      </c>
      <c r="AQ109" s="698">
        <f t="shared" ref="AQ109:AX109" si="382">IF(ISBLANK(AQ252),"",AQ252)</f>
        <v>12329.48172551779</v>
      </c>
      <c r="AR109" s="698">
        <f t="shared" si="382"/>
        <v>13082.874702863712</v>
      </c>
      <c r="AS109" s="698">
        <f t="shared" si="382"/>
        <v>15543.273890119144</v>
      </c>
      <c r="AT109" s="699">
        <f t="shared" si="382"/>
        <v>12131.723236546579</v>
      </c>
      <c r="AU109" s="698">
        <f t="shared" si="382"/>
        <v>13058.427446074731</v>
      </c>
      <c r="AV109" s="698">
        <f t="shared" si="382"/>
        <v>13856.36265146884</v>
      </c>
      <c r="AW109" s="698">
        <f t="shared" si="382"/>
        <v>16462.225978932187</v>
      </c>
      <c r="AX109" s="699">
        <f t="shared" si="382"/>
        <v>12848.977046003884</v>
      </c>
      <c r="AY109" s="698">
        <f t="shared" ref="AY109:BB109" si="383">IF(ISBLANK(AY252),"",AY252)</f>
        <v>13044.817446046907</v>
      </c>
      <c r="AZ109" s="698">
        <f t="shared" si="383"/>
        <v>13841.92101239317</v>
      </c>
      <c r="BA109" s="698">
        <f t="shared" si="383"/>
        <v>16445.068407933952</v>
      </c>
      <c r="BB109" s="699">
        <f t="shared" si="383"/>
        <v>12835.585343314124</v>
      </c>
      <c r="BC109" s="700"/>
      <c r="BD109" s="700"/>
      <c r="BE109" s="701">
        <f t="shared" si="340"/>
        <v>6338.7297446339117</v>
      </c>
      <c r="BF109" s="701">
        <f t="shared" si="341"/>
        <v>4776.6389659874721</v>
      </c>
      <c r="BG109" s="701">
        <f t="shared" si="342"/>
        <v>6571.6398413792722</v>
      </c>
      <c r="BH109" s="701">
        <f t="shared" si="343"/>
        <v>8499.7796378327184</v>
      </c>
      <c r="BI109" s="701">
        <f t="shared" si="344"/>
        <v>6894.8291425918032</v>
      </c>
      <c r="BJ109" s="701">
        <f t="shared" si="345"/>
        <v>9317.5373443291464</v>
      </c>
      <c r="BK109" s="701">
        <f t="shared" si="346"/>
        <v>9152.7013972457735</v>
      </c>
      <c r="BL109" s="701">
        <f t="shared" si="347"/>
        <v>7635.2426501817808</v>
      </c>
      <c r="BM109" s="1582">
        <f t="shared" si="348"/>
        <v>11371.263493514649</v>
      </c>
      <c r="BN109" s="1582">
        <f t="shared" si="349"/>
        <v>13271.838388761804</v>
      </c>
      <c r="BO109" s="1582">
        <f t="shared" si="350"/>
        <v>14056.498280619911</v>
      </c>
      <c r="BP109" s="1582">
        <f t="shared" si="351"/>
        <v>14041.848052422038</v>
      </c>
      <c r="BQ109" s="637"/>
      <c r="BR109" s="638"/>
      <c r="BU109" s="609"/>
      <c r="BV109" s="608"/>
      <c r="BW109" s="608"/>
      <c r="BX109" s="608"/>
    </row>
    <row r="110" spans="1:76" ht="12.75" customHeight="1">
      <c r="A110" s="610"/>
      <c r="B110" s="611"/>
      <c r="C110" s="629" t="str">
        <f t="shared" si="352"/>
        <v>NP 15</v>
      </c>
      <c r="D110" s="629" t="str">
        <f t="shared" si="352"/>
        <v/>
      </c>
      <c r="E110" s="629" t="str">
        <f t="shared" si="352"/>
        <v/>
      </c>
      <c r="F110" s="654"/>
      <c r="G110" s="694">
        <f t="shared" si="298"/>
        <v>7252.1393102577795</v>
      </c>
      <c r="H110" s="695">
        <f t="shared" ref="H110:AH110" si="384">IF(ISBLANK(H253),"",H253)</f>
        <v>4593.567349875505</v>
      </c>
      <c r="I110" s="695">
        <f t="shared" si="384"/>
        <v>6427.0806799498041</v>
      </c>
      <c r="J110" s="696">
        <f t="shared" si="384"/>
        <v>7240.3857070656832</v>
      </c>
      <c r="K110" s="694">
        <f t="shared" si="384"/>
        <v>4527.9726426404268</v>
      </c>
      <c r="L110" s="695">
        <f t="shared" si="384"/>
        <v>2139.4239164830151</v>
      </c>
      <c r="M110" s="695">
        <f t="shared" si="384"/>
        <v>5540.0381805538027</v>
      </c>
      <c r="N110" s="696">
        <f t="shared" si="384"/>
        <v>6922.8867412093605</v>
      </c>
      <c r="O110" s="694">
        <f t="shared" si="384"/>
        <v>7288.8165261279782</v>
      </c>
      <c r="P110" s="695">
        <f t="shared" si="384"/>
        <v>4935.209035652063</v>
      </c>
      <c r="Q110" s="695">
        <f t="shared" si="384"/>
        <v>6004.1600044308707</v>
      </c>
      <c r="R110" s="695">
        <f t="shared" si="384"/>
        <v>7422.4345820566759</v>
      </c>
      <c r="S110" s="697">
        <f t="shared" si="384"/>
        <v>8678.8668853041981</v>
      </c>
      <c r="T110" s="698">
        <f t="shared" si="384"/>
        <v>7027.7276846105133</v>
      </c>
      <c r="U110" s="698">
        <f t="shared" si="384"/>
        <v>8817.9649843376701</v>
      </c>
      <c r="V110" s="699">
        <f t="shared" si="384"/>
        <v>9456.2247970327371</v>
      </c>
      <c r="W110" s="698">
        <f t="shared" si="384"/>
        <v>7950.7893476766221</v>
      </c>
      <c r="X110" s="698">
        <f t="shared" si="384"/>
        <v>5115.2173055428402</v>
      </c>
      <c r="Y110" s="698">
        <f t="shared" si="384"/>
        <v>7521.7861132026201</v>
      </c>
      <c r="Z110" s="699">
        <f t="shared" si="384"/>
        <v>8141.7125084036306</v>
      </c>
      <c r="AA110" s="698">
        <f t="shared" si="384"/>
        <v>9101.9308944914155</v>
      </c>
      <c r="AB110" s="698">
        <f t="shared" si="384"/>
        <v>9671.1886124478242</v>
      </c>
      <c r="AC110" s="698">
        <f t="shared" si="384"/>
        <v>9120.2470401114297</v>
      </c>
      <c r="AD110" s="699">
        <f t="shared" si="384"/>
        <v>10477.07621910588</v>
      </c>
      <c r="AE110" s="698">
        <f t="shared" si="384"/>
        <v>9611.7445703524172</v>
      </c>
      <c r="AF110" s="698">
        <f t="shared" si="384"/>
        <v>9580.9697078732752</v>
      </c>
      <c r="AG110" s="698">
        <f t="shared" si="384"/>
        <v>10025.134228924268</v>
      </c>
      <c r="AH110" s="699">
        <f t="shared" si="384"/>
        <v>9232.644929535496</v>
      </c>
      <c r="AI110" s="698">
        <f t="shared" ref="AI110:AL128" si="385">IF(ISBLANK(AI253),"",AI253)</f>
        <v>7618.1564331858617</v>
      </c>
      <c r="AJ110" s="698">
        <f t="shared" si="385"/>
        <v>6565.829016583225</v>
      </c>
      <c r="AK110" s="698">
        <f t="shared" si="385"/>
        <v>9399.4393190765804</v>
      </c>
      <c r="AL110" s="699">
        <f t="shared" si="385"/>
        <v>7066.9504901112114</v>
      </c>
      <c r="AM110" s="698">
        <f t="shared" si="375"/>
        <v>7616.7891957904303</v>
      </c>
      <c r="AN110" s="698">
        <f t="shared" si="375"/>
        <v>12260.09265387161</v>
      </c>
      <c r="AO110" s="698">
        <f t="shared" si="375"/>
        <v>13180.515759312319</v>
      </c>
      <c r="AP110" s="699">
        <f t="shared" si="375"/>
        <v>13337.950138504159</v>
      </c>
      <c r="AQ110" s="698">
        <f t="shared" ref="AQ110:AX110" si="386">IF(ISBLANK(AQ253),"",AQ253)</f>
        <v>12476.166964736271</v>
      </c>
      <c r="AR110" s="698">
        <f t="shared" si="386"/>
        <v>13453.482204801772</v>
      </c>
      <c r="AS110" s="698">
        <f t="shared" si="386"/>
        <v>15729.035256212897</v>
      </c>
      <c r="AT110" s="699">
        <f t="shared" si="386"/>
        <v>12833.726601162503</v>
      </c>
      <c r="AU110" s="698">
        <f t="shared" si="386"/>
        <v>13182.832885276595</v>
      </c>
      <c r="AV110" s="698">
        <f t="shared" si="386"/>
        <v>14215.504500078907</v>
      </c>
      <c r="AW110" s="698">
        <f t="shared" si="386"/>
        <v>16619.947762430536</v>
      </c>
      <c r="AX110" s="699">
        <f t="shared" si="386"/>
        <v>13560.64515300677</v>
      </c>
      <c r="AY110" s="698">
        <f t="shared" ref="AY110:BB110" si="387">IF(ISBLANK(AY253),"",AY253)</f>
        <v>13153.941016853727</v>
      </c>
      <c r="AZ110" s="698">
        <f t="shared" si="387"/>
        <v>14184.349399414645</v>
      </c>
      <c r="BA110" s="698">
        <f t="shared" si="387"/>
        <v>16583.523016086117</v>
      </c>
      <c r="BB110" s="699">
        <f t="shared" si="387"/>
        <v>13530.925260560325</v>
      </c>
      <c r="BC110" s="700"/>
      <c r="BD110" s="700"/>
      <c r="BE110" s="701">
        <f t="shared" si="340"/>
        <v>6378.293261787192</v>
      </c>
      <c r="BF110" s="701">
        <f t="shared" si="341"/>
        <v>4782.5803702216508</v>
      </c>
      <c r="BG110" s="701">
        <f t="shared" si="342"/>
        <v>6412.6550370668974</v>
      </c>
      <c r="BH110" s="701">
        <f t="shared" si="343"/>
        <v>8495.1960878212794</v>
      </c>
      <c r="BI110" s="701">
        <f t="shared" si="344"/>
        <v>7182.3763187064278</v>
      </c>
      <c r="BJ110" s="701">
        <f t="shared" si="345"/>
        <v>9592.6106915391374</v>
      </c>
      <c r="BK110" s="701">
        <f t="shared" si="346"/>
        <v>9612.6233591713644</v>
      </c>
      <c r="BL110" s="701">
        <f t="shared" si="347"/>
        <v>7662.5938147392199</v>
      </c>
      <c r="BM110" s="1582">
        <f t="shared" si="348"/>
        <v>11598.836936869629</v>
      </c>
      <c r="BN110" s="1582">
        <f t="shared" si="349"/>
        <v>13623.10275672836</v>
      </c>
      <c r="BO110" s="1582">
        <f t="shared" si="350"/>
        <v>14394.732575198203</v>
      </c>
      <c r="BP110" s="1582">
        <f t="shared" si="351"/>
        <v>14363.184673228703</v>
      </c>
      <c r="BQ110" s="637"/>
      <c r="BR110" s="638"/>
      <c r="BU110" s="609"/>
      <c r="BV110" s="608"/>
      <c r="BW110" s="608"/>
      <c r="BX110" s="608"/>
    </row>
    <row r="111" spans="1:76" ht="12.75" customHeight="1">
      <c r="A111" s="610"/>
      <c r="B111" s="611"/>
      <c r="C111" s="629" t="str">
        <f t="shared" si="352"/>
        <v>Mid C</v>
      </c>
      <c r="D111" s="629" t="str">
        <f t="shared" si="352"/>
        <v/>
      </c>
      <c r="E111" s="629" t="str">
        <f t="shared" si="352"/>
        <v/>
      </c>
      <c r="F111" s="654"/>
      <c r="G111" s="694">
        <f t="shared" si="298"/>
        <v>7403.8228607986066</v>
      </c>
      <c r="H111" s="695">
        <f t="shared" ref="H111:AH111" si="388">IF(ISBLANK(H254),"",H254)</f>
        <v>5010.1388926342906</v>
      </c>
      <c r="I111" s="695">
        <f t="shared" si="388"/>
        <v>6534.2814502677575</v>
      </c>
      <c r="J111" s="696">
        <f t="shared" si="388"/>
        <v>7663.4892753526874</v>
      </c>
      <c r="K111" s="694">
        <f t="shared" si="388"/>
        <v>3929.5845308814478</v>
      </c>
      <c r="L111" s="695">
        <f t="shared" si="388"/>
        <v>2019.2783189557053</v>
      </c>
      <c r="M111" s="695">
        <f t="shared" si="388"/>
        <v>4670.8573279366547</v>
      </c>
      <c r="N111" s="696">
        <f t="shared" si="388"/>
        <v>7514.4082343612945</v>
      </c>
      <c r="O111" s="694">
        <f t="shared" si="388"/>
        <v>6973.3021358291335</v>
      </c>
      <c r="P111" s="695">
        <f t="shared" si="388"/>
        <v>28.782848697248738</v>
      </c>
      <c r="Q111" s="695">
        <f t="shared" si="388"/>
        <v>4227.0980279257255</v>
      </c>
      <c r="R111" s="695">
        <f t="shared" si="388"/>
        <v>6727.2801290828729</v>
      </c>
      <c r="S111" s="697">
        <f t="shared" si="388"/>
        <v>7153.2681962593506</v>
      </c>
      <c r="T111" s="698">
        <f t="shared" si="388"/>
        <v>4191.4647898805733</v>
      </c>
      <c r="U111" s="698">
        <f t="shared" si="388"/>
        <v>6208.3880299897546</v>
      </c>
      <c r="V111" s="699">
        <f t="shared" si="388"/>
        <v>9165.8261083092457</v>
      </c>
      <c r="W111" s="698">
        <f t="shared" si="388"/>
        <v>4535.3497131161557</v>
      </c>
      <c r="X111" s="698">
        <f t="shared" si="388"/>
        <v>2842.1256826512813</v>
      </c>
      <c r="Y111" s="698">
        <f t="shared" si="388"/>
        <v>6174.4647234642125</v>
      </c>
      <c r="Z111" s="699">
        <f t="shared" si="388"/>
        <v>6739.3189580413173</v>
      </c>
      <c r="AA111" s="698">
        <f t="shared" si="388"/>
        <v>5272.3423493712744</v>
      </c>
      <c r="AB111" s="698">
        <f t="shared" si="388"/>
        <v>8070.6412815660206</v>
      </c>
      <c r="AC111" s="698">
        <f t="shared" si="388"/>
        <v>7444.7534957486841</v>
      </c>
      <c r="AD111" s="699">
        <f t="shared" si="388"/>
        <v>7741.2731719518661</v>
      </c>
      <c r="AE111" s="698">
        <f t="shared" si="388"/>
        <v>7078.7259123138783</v>
      </c>
      <c r="AF111" s="698">
        <f t="shared" si="388"/>
        <v>4819.6778604479841</v>
      </c>
      <c r="AG111" s="698">
        <f t="shared" si="388"/>
        <v>8065.3674973948418</v>
      </c>
      <c r="AH111" s="699">
        <f t="shared" si="388"/>
        <v>6021.0210358521981</v>
      </c>
      <c r="AI111" s="698">
        <f t="shared" si="385"/>
        <v>5379.6174287968361</v>
      </c>
      <c r="AJ111" s="698">
        <f t="shared" si="385"/>
        <v>1169.9251809150007</v>
      </c>
      <c r="AK111" s="698">
        <f t="shared" si="385"/>
        <v>7370.4596656258645</v>
      </c>
      <c r="AL111" s="699">
        <f t="shared" si="385"/>
        <v>5207.6474963728888</v>
      </c>
      <c r="AM111" s="698">
        <f t="shared" si="375"/>
        <v>4481.8108025744623</v>
      </c>
      <c r="AN111" s="698">
        <f t="shared" si="375"/>
        <v>2680.344142951687</v>
      </c>
      <c r="AO111" s="698">
        <f t="shared" si="375"/>
        <v>7122.3905034793297</v>
      </c>
      <c r="AP111" s="699">
        <f t="shared" si="375"/>
        <v>8538.7811634349055</v>
      </c>
      <c r="AQ111" s="698">
        <f t="shared" ref="AQ111:AX111" si="389">IF(ISBLANK(AQ254),"",AQ254)</f>
        <v>9294.2311509543069</v>
      </c>
      <c r="AR111" s="698">
        <f t="shared" si="389"/>
        <v>5469.5978144865967</v>
      </c>
      <c r="AS111" s="698">
        <f t="shared" si="389"/>
        <v>11009.808729651124</v>
      </c>
      <c r="AT111" s="699">
        <f t="shared" si="389"/>
        <v>7014.3272150574057</v>
      </c>
      <c r="AU111" s="698">
        <f t="shared" si="389"/>
        <v>10558.398782517217</v>
      </c>
      <c r="AV111" s="698">
        <f t="shared" si="389"/>
        <v>6213.5526830968138</v>
      </c>
      <c r="AW111" s="698">
        <f t="shared" si="389"/>
        <v>12507.32300486846</v>
      </c>
      <c r="AX111" s="699">
        <f t="shared" si="389"/>
        <v>7968.3905774212635</v>
      </c>
      <c r="AY111" s="698">
        <f t="shared" ref="AY111:BB111" si="390">IF(ISBLANK(AY254),"",AY254)</f>
        <v>11008.480327842066</v>
      </c>
      <c r="AZ111" s="698">
        <f t="shared" si="390"/>
        <v>6478.4229016943764</v>
      </c>
      <c r="BA111" s="698">
        <f t="shared" si="390"/>
        <v>13040.482945297053</v>
      </c>
      <c r="BB111" s="699">
        <f t="shared" si="390"/>
        <v>8308.0657136527334</v>
      </c>
      <c r="BC111" s="700"/>
      <c r="BD111" s="700"/>
      <c r="BE111" s="701">
        <f t="shared" si="340"/>
        <v>6652.9331197633355</v>
      </c>
      <c r="BF111" s="701">
        <f t="shared" si="341"/>
        <v>4533.5321030337755</v>
      </c>
      <c r="BG111" s="701">
        <f t="shared" si="342"/>
        <v>4489.1157853837449</v>
      </c>
      <c r="BH111" s="701">
        <f t="shared" si="343"/>
        <v>6679.7367811097301</v>
      </c>
      <c r="BI111" s="701">
        <f t="shared" si="344"/>
        <v>5072.8147693182418</v>
      </c>
      <c r="BJ111" s="701">
        <f t="shared" si="345"/>
        <v>7132.2525746594611</v>
      </c>
      <c r="BK111" s="701">
        <f t="shared" si="346"/>
        <v>6496.1980765022263</v>
      </c>
      <c r="BL111" s="701">
        <f t="shared" si="347"/>
        <v>4781.9124429276471</v>
      </c>
      <c r="BM111" s="1582">
        <f t="shared" si="348"/>
        <v>5705.8316531100963</v>
      </c>
      <c r="BN111" s="1582">
        <f t="shared" si="349"/>
        <v>8196.991227537359</v>
      </c>
      <c r="BO111" s="1582">
        <f t="shared" si="350"/>
        <v>9311.9162619759391</v>
      </c>
      <c r="BP111" s="1582">
        <f t="shared" si="351"/>
        <v>9708.8629721215584</v>
      </c>
      <c r="BQ111" s="637"/>
      <c r="BR111" s="638"/>
      <c r="BU111" s="609"/>
      <c r="BV111" s="608"/>
      <c r="BW111" s="608"/>
      <c r="BX111" s="608"/>
    </row>
    <row r="112" spans="1:76" ht="12.75" customHeight="1">
      <c r="A112" s="610"/>
      <c r="B112" s="611"/>
      <c r="C112" s="629" t="str">
        <f t="shared" si="352"/>
        <v/>
      </c>
      <c r="D112" s="629" t="str">
        <f t="shared" si="352"/>
        <v/>
      </c>
      <c r="E112" s="629" t="str">
        <f t="shared" si="352"/>
        <v/>
      </c>
      <c r="F112" s="654"/>
      <c r="G112" s="694">
        <f t="shared" si="298"/>
        <v>0</v>
      </c>
      <c r="H112" s="695">
        <f t="shared" ref="H112:AH112" si="391">IF(ISBLANK(H255),"",H255)</f>
        <v>0</v>
      </c>
      <c r="I112" s="695">
        <f t="shared" si="391"/>
        <v>0</v>
      </c>
      <c r="J112" s="696">
        <f t="shared" si="391"/>
        <v>5127.6255850361686</v>
      </c>
      <c r="K112" s="661">
        <f t="shared" si="391"/>
        <v>5240.9261466320195</v>
      </c>
      <c r="L112" s="695">
        <f t="shared" si="391"/>
        <v>3623.7222932969935</v>
      </c>
      <c r="M112" s="695">
        <f t="shared" si="391"/>
        <v>7637.5478537222789</v>
      </c>
      <c r="N112" s="696">
        <f t="shared" si="391"/>
        <v>5145.6041120023128</v>
      </c>
      <c r="O112" s="694">
        <f t="shared" si="391"/>
        <v>5809.5791548366151</v>
      </c>
      <c r="P112" s="695">
        <f t="shared" si="391"/>
        <v>5954.1949848390959</v>
      </c>
      <c r="Q112" s="695">
        <f t="shared" si="391"/>
        <v>6888.4287903141694</v>
      </c>
      <c r="R112" s="699">
        <f t="shared" si="391"/>
        <v>6233.7685965003757</v>
      </c>
      <c r="S112" s="697">
        <f t="shared" si="391"/>
        <v>5988.0913357535692</v>
      </c>
      <c r="T112" s="698">
        <f t="shared" si="391"/>
        <v>6007.9038515154725</v>
      </c>
      <c r="U112" s="698">
        <f t="shared" si="391"/>
        <v>7349.2540806565275</v>
      </c>
      <c r="V112" s="699">
        <f t="shared" si="391"/>
        <v>6994.6325194419514</v>
      </c>
      <c r="W112" s="698">
        <f t="shared" si="391"/>
        <v>6080.7198049477747</v>
      </c>
      <c r="X112" s="698">
        <f t="shared" si="391"/>
        <v>6970.9778782114672</v>
      </c>
      <c r="Y112" s="698">
        <f t="shared" si="391"/>
        <v>7239.820470198154</v>
      </c>
      <c r="Z112" s="699">
        <f t="shared" si="391"/>
        <v>6868.5436968988715</v>
      </c>
      <c r="AA112" s="698">
        <f t="shared" si="391"/>
        <v>8226.1888723536613</v>
      </c>
      <c r="AB112" s="698">
        <f t="shared" si="391"/>
        <v>7516.0998993134817</v>
      </c>
      <c r="AC112" s="698">
        <f t="shared" si="391"/>
        <v>7447.7740060088181</v>
      </c>
      <c r="AD112" s="699">
        <f t="shared" si="391"/>
        <v>7059.7639774892332</v>
      </c>
      <c r="AE112" s="698">
        <f t="shared" si="391"/>
        <v>7250.2204400046912</v>
      </c>
      <c r="AF112" s="698">
        <f t="shared" si="391"/>
        <v>6926.0052986481123</v>
      </c>
      <c r="AG112" s="698">
        <f t="shared" si="391"/>
        <v>7584.2582143532491</v>
      </c>
      <c r="AH112" s="699">
        <f t="shared" si="391"/>
        <v>6265.3734073086953</v>
      </c>
      <c r="AI112" s="698">
        <f t="shared" si="385"/>
        <v>5413.0436677824982</v>
      </c>
      <c r="AJ112" s="698">
        <f t="shared" si="385"/>
        <v>6726.7779529208856</v>
      </c>
      <c r="AK112" s="698">
        <f t="shared" si="385"/>
        <v>7976.1185813343263</v>
      </c>
      <c r="AL112" s="699">
        <f t="shared" si="385"/>
        <v>6750.161788693903</v>
      </c>
      <c r="AM112" s="698">
        <f t="shared" si="375"/>
        <v>6422.2133266124401</v>
      </c>
      <c r="AN112" s="698">
        <f t="shared" si="375"/>
        <v>8048.0608695652172</v>
      </c>
      <c r="AO112" s="698">
        <f t="shared" si="375"/>
        <v>11474.906464924346</v>
      </c>
      <c r="AP112" s="699">
        <f t="shared" si="375"/>
        <v>6852.997364953887</v>
      </c>
      <c r="AQ112" s="698">
        <f t="shared" ref="AQ112:AX112" si="392">IF(ISBLANK(AQ255),"",AQ255)</f>
        <v>6265.0137776610345</v>
      </c>
      <c r="AR112" s="698">
        <f t="shared" si="392"/>
        <v>6530.144494614603</v>
      </c>
      <c r="AS112" s="698">
        <f t="shared" si="392"/>
        <v>8725.0995759322941</v>
      </c>
      <c r="AT112" s="699">
        <f t="shared" si="392"/>
        <v>6597.9020800638746</v>
      </c>
      <c r="AU112" s="698">
        <f t="shared" si="392"/>
        <v>6031.9099537832089</v>
      </c>
      <c r="AV112" s="698">
        <f t="shared" si="392"/>
        <v>6195.5449296090837</v>
      </c>
      <c r="AW112" s="698">
        <f t="shared" si="392"/>
        <v>8244.6650067023384</v>
      </c>
      <c r="AX112" s="699">
        <f t="shared" si="392"/>
        <v>6266.7223668496872</v>
      </c>
      <c r="AY112" s="698">
        <f t="shared" ref="AY112:BB112" si="393">IF(ISBLANK(AY255),"",AY255)</f>
        <v>5639.6195767479512</v>
      </c>
      <c r="AZ112" s="698">
        <f t="shared" si="393"/>
        <v>5777.3245530193408</v>
      </c>
      <c r="BA112" s="698">
        <f t="shared" si="393"/>
        <v>7670.2250040588715</v>
      </c>
      <c r="BB112" s="699">
        <f t="shared" si="393"/>
        <v>5829.5160354141863</v>
      </c>
      <c r="BC112" s="700"/>
      <c r="BD112" s="700"/>
      <c r="BE112" s="701"/>
      <c r="BF112" s="701"/>
      <c r="BG112" s="701"/>
      <c r="BH112" s="701"/>
      <c r="BI112" s="701"/>
      <c r="BJ112" s="701"/>
      <c r="BK112" s="701"/>
      <c r="BL112" s="701"/>
      <c r="BM112" s="701"/>
      <c r="BN112" s="701"/>
      <c r="BO112" s="701"/>
      <c r="BP112" s="701"/>
      <c r="BQ112" s="637"/>
      <c r="BR112" s="638"/>
      <c r="BU112" s="609"/>
      <c r="BV112" s="608"/>
      <c r="BW112" s="608"/>
      <c r="BX112" s="608"/>
    </row>
    <row r="113" spans="1:76" ht="12.75" customHeight="1">
      <c r="A113" s="610"/>
      <c r="B113" s="611"/>
      <c r="C113" s="659" t="str">
        <f t="shared" si="352"/>
        <v>Capacity Prices ($/MW-day)</v>
      </c>
      <c r="D113" s="683" t="str">
        <f t="shared" si="352"/>
        <v/>
      </c>
      <c r="E113" s="683" t="str">
        <f t="shared" si="352"/>
        <v/>
      </c>
      <c r="F113" s="1462"/>
      <c r="G113" s="661" t="str">
        <f t="shared" si="298"/>
        <v/>
      </c>
      <c r="H113" s="662" t="str">
        <f t="shared" ref="H113:AH113" si="394">IF(ISBLANK(H256),"",H256)</f>
        <v/>
      </c>
      <c r="I113" s="662" t="str">
        <f t="shared" si="394"/>
        <v/>
      </c>
      <c r="J113" s="663" t="str">
        <f t="shared" si="394"/>
        <v/>
      </c>
      <c r="K113" s="661" t="str">
        <f t="shared" si="394"/>
        <v/>
      </c>
      <c r="L113" s="662" t="str">
        <f t="shared" si="394"/>
        <v/>
      </c>
      <c r="M113" s="662" t="str">
        <f t="shared" si="394"/>
        <v/>
      </c>
      <c r="N113" s="663" t="str">
        <f t="shared" si="394"/>
        <v/>
      </c>
      <c r="O113" s="661" t="str">
        <f t="shared" si="394"/>
        <v/>
      </c>
      <c r="P113" s="662" t="str">
        <f t="shared" si="394"/>
        <v/>
      </c>
      <c r="Q113" s="662" t="str">
        <f t="shared" si="394"/>
        <v/>
      </c>
      <c r="R113" s="664" t="str">
        <f t="shared" si="394"/>
        <v/>
      </c>
      <c r="S113" s="665" t="str">
        <f t="shared" si="394"/>
        <v/>
      </c>
      <c r="T113" s="666" t="str">
        <f t="shared" si="394"/>
        <v/>
      </c>
      <c r="U113" s="666" t="str">
        <f t="shared" si="394"/>
        <v/>
      </c>
      <c r="V113" s="664" t="str">
        <f t="shared" si="394"/>
        <v/>
      </c>
      <c r="W113" s="666" t="str">
        <f t="shared" si="394"/>
        <v/>
      </c>
      <c r="X113" s="666" t="str">
        <f t="shared" si="394"/>
        <v/>
      </c>
      <c r="Y113" s="666" t="str">
        <f t="shared" si="394"/>
        <v/>
      </c>
      <c r="Z113" s="667" t="str">
        <f t="shared" si="394"/>
        <v/>
      </c>
      <c r="AA113" s="668" t="str">
        <f t="shared" si="394"/>
        <v/>
      </c>
      <c r="AB113" s="668" t="str">
        <f t="shared" si="394"/>
        <v/>
      </c>
      <c r="AC113" s="668" t="str">
        <f t="shared" si="394"/>
        <v/>
      </c>
      <c r="AD113" s="667" t="str">
        <f t="shared" si="394"/>
        <v/>
      </c>
      <c r="AE113" s="668" t="str">
        <f t="shared" si="394"/>
        <v/>
      </c>
      <c r="AF113" s="668" t="str">
        <f t="shared" si="394"/>
        <v/>
      </c>
      <c r="AG113" s="668" t="str">
        <f t="shared" si="394"/>
        <v/>
      </c>
      <c r="AH113" s="667" t="str">
        <f t="shared" si="394"/>
        <v/>
      </c>
      <c r="AI113" s="668" t="str">
        <f t="shared" si="385"/>
        <v/>
      </c>
      <c r="AJ113" s="668" t="str">
        <f t="shared" si="385"/>
        <v/>
      </c>
      <c r="AK113" s="668" t="str">
        <f t="shared" si="385"/>
        <v/>
      </c>
      <c r="AL113" s="667" t="str">
        <f t="shared" si="385"/>
        <v/>
      </c>
      <c r="AM113" s="668" t="str">
        <f t="shared" si="375"/>
        <v/>
      </c>
      <c r="AN113" s="668" t="str">
        <f t="shared" si="375"/>
        <v/>
      </c>
      <c r="AO113" s="668" t="str">
        <f t="shared" si="375"/>
        <v/>
      </c>
      <c r="AP113" s="667" t="str">
        <f t="shared" si="375"/>
        <v/>
      </c>
      <c r="AQ113" s="668" t="str">
        <f t="shared" ref="AQ113:AX113" si="395">IF(ISBLANK(AQ256),"",AQ256)</f>
        <v/>
      </c>
      <c r="AR113" s="668" t="str">
        <f t="shared" si="395"/>
        <v/>
      </c>
      <c r="AS113" s="668" t="str">
        <f t="shared" si="395"/>
        <v/>
      </c>
      <c r="AT113" s="667" t="str">
        <f t="shared" si="395"/>
        <v/>
      </c>
      <c r="AU113" s="668" t="str">
        <f t="shared" si="395"/>
        <v/>
      </c>
      <c r="AV113" s="668" t="str">
        <f t="shared" si="395"/>
        <v/>
      </c>
      <c r="AW113" s="668" t="str">
        <f t="shared" si="395"/>
        <v/>
      </c>
      <c r="AX113" s="667" t="str">
        <f t="shared" si="395"/>
        <v/>
      </c>
      <c r="AY113" s="668" t="str">
        <f t="shared" ref="AY113:BB113" si="396">IF(ISBLANK(AY256),"",AY256)</f>
        <v/>
      </c>
      <c r="AZ113" s="668" t="str">
        <f t="shared" si="396"/>
        <v/>
      </c>
      <c r="BA113" s="668" t="str">
        <f t="shared" si="396"/>
        <v/>
      </c>
      <c r="BB113" s="667" t="str">
        <f t="shared" si="396"/>
        <v/>
      </c>
      <c r="BC113" s="669"/>
      <c r="BD113" s="670"/>
      <c r="BE113" s="671"/>
      <c r="BF113" s="671"/>
      <c r="BG113" s="671"/>
      <c r="BH113" s="671"/>
      <c r="BI113" s="671"/>
      <c r="BJ113" s="671"/>
      <c r="BK113" s="671"/>
      <c r="BL113" s="671"/>
      <c r="BM113" s="1583"/>
      <c r="BN113" s="1583"/>
      <c r="BO113" s="1583"/>
      <c r="BP113" s="1583"/>
      <c r="BQ113" s="637"/>
      <c r="BR113" s="638"/>
      <c r="BU113" s="609"/>
      <c r="BV113" s="608"/>
      <c r="BW113" s="608"/>
      <c r="BX113" s="608"/>
    </row>
    <row r="114" spans="1:76" ht="12.75" customHeight="1">
      <c r="A114" s="610"/>
      <c r="B114" s="611"/>
      <c r="C114" s="629" t="str">
        <f t="shared" si="352"/>
        <v>ISO-NE Maine</v>
      </c>
      <c r="D114" s="629" t="str">
        <f t="shared" si="352"/>
        <v/>
      </c>
      <c r="E114" s="629" t="str">
        <f t="shared" si="352"/>
        <v/>
      </c>
      <c r="F114" s="654"/>
      <c r="G114" s="694" t="str">
        <f t="shared" si="298"/>
        <v/>
      </c>
      <c r="H114" s="695" t="str">
        <f t="shared" ref="H114:AH114" si="397">IF(ISBLANK(H257),"",H257)</f>
        <v/>
      </c>
      <c r="I114" s="695" t="str">
        <f t="shared" si="397"/>
        <v/>
      </c>
      <c r="J114" s="696" t="str">
        <f t="shared" si="397"/>
        <v/>
      </c>
      <c r="K114" s="694" t="str">
        <f t="shared" si="397"/>
        <v/>
      </c>
      <c r="L114" s="695" t="str">
        <f t="shared" si="397"/>
        <v/>
      </c>
      <c r="M114" s="695" t="str">
        <f t="shared" si="397"/>
        <v/>
      </c>
      <c r="N114" s="696" t="str">
        <f t="shared" si="397"/>
        <v/>
      </c>
      <c r="O114" s="694">
        <f t="shared" si="397"/>
        <v>102.54</v>
      </c>
      <c r="P114" s="695">
        <f t="shared" si="397"/>
        <v>95.373333333333335</v>
      </c>
      <c r="Q114" s="695">
        <f t="shared" si="397"/>
        <v>81.040000000000006</v>
      </c>
      <c r="R114" s="699">
        <f t="shared" si="397"/>
        <v>81.040000000000006</v>
      </c>
      <c r="S114" s="697">
        <f t="shared" si="397"/>
        <v>81.040000000000006</v>
      </c>
      <c r="T114" s="695">
        <f t="shared" si="397"/>
        <v>79.626666666666665</v>
      </c>
      <c r="U114" s="698">
        <f t="shared" si="397"/>
        <v>76.8</v>
      </c>
      <c r="V114" s="699">
        <f t="shared" si="397"/>
        <v>76.8</v>
      </c>
      <c r="W114" s="698">
        <f t="shared" si="397"/>
        <v>76.8</v>
      </c>
      <c r="X114" s="695">
        <f t="shared" si="397"/>
        <v>82.486666666666665</v>
      </c>
      <c r="Y114" s="698">
        <f t="shared" si="397"/>
        <v>93.86</v>
      </c>
      <c r="Z114" s="699">
        <f t="shared" si="397"/>
        <v>93.86</v>
      </c>
      <c r="AA114" s="698">
        <f t="shared" si="397"/>
        <v>93.86</v>
      </c>
      <c r="AB114" s="695">
        <f t="shared" si="397"/>
        <v>96.874703196347028</v>
      </c>
      <c r="AC114" s="698">
        <f t="shared" si="397"/>
        <v>102.9041095890411</v>
      </c>
      <c r="AD114" s="699">
        <f t="shared" si="397"/>
        <v>102.9041095890411</v>
      </c>
      <c r="AE114" s="698">
        <f t="shared" si="397"/>
        <v>103</v>
      </c>
      <c r="AF114" s="695">
        <f t="shared" si="397"/>
        <v>98.736666666666665</v>
      </c>
      <c r="AG114" s="698">
        <f t="shared" si="397"/>
        <v>90.21</v>
      </c>
      <c r="AH114" s="699">
        <f t="shared" si="397"/>
        <v>90.21</v>
      </c>
      <c r="AI114" s="703">
        <f t="shared" si="385"/>
        <v>90.21</v>
      </c>
      <c r="AJ114" s="703">
        <f t="shared" si="385"/>
        <v>137.126301369863</v>
      </c>
      <c r="AK114" s="703">
        <f t="shared" si="385"/>
        <v>230.95890410958907</v>
      </c>
      <c r="AL114" s="699">
        <f t="shared" si="385"/>
        <v>230.95890410958907</v>
      </c>
      <c r="AM114" s="703">
        <f t="shared" si="375"/>
        <v>230.95890410958907</v>
      </c>
      <c r="AN114" s="703">
        <f t="shared" si="375"/>
        <v>258.63013698630141</v>
      </c>
      <c r="AO114" s="703">
        <f t="shared" si="375"/>
        <v>313.97260273972609</v>
      </c>
      <c r="AP114" s="704">
        <f t="shared" si="375"/>
        <v>313.97260273972609</v>
      </c>
      <c r="AQ114" s="703">
        <f t="shared" ref="AQ114:AX114" si="398">IF(ISBLANK(AQ257),"",AQ257)</f>
        <v>313.97260273972609</v>
      </c>
      <c r="AR114" s="703">
        <f t="shared" si="398"/>
        <v>286.35616438356169</v>
      </c>
      <c r="AS114" s="703">
        <f t="shared" si="398"/>
        <v>231.12328767123287</v>
      </c>
      <c r="AT114" s="704">
        <f t="shared" si="398"/>
        <v>231.12328767123287</v>
      </c>
      <c r="AU114" s="703">
        <f t="shared" si="398"/>
        <v>231.12328767123287</v>
      </c>
      <c r="AV114" s="703">
        <f t="shared" si="398"/>
        <v>231.12328767123287</v>
      </c>
      <c r="AW114" s="703">
        <f t="shared" si="398"/>
        <v>231.12328767123287</v>
      </c>
      <c r="AX114" s="704">
        <f t="shared" si="398"/>
        <v>231.12328767123287</v>
      </c>
      <c r="AY114" s="703">
        <f t="shared" ref="AY114:BB114" si="399">IF(ISBLANK(AY257),"",AY257)</f>
        <v>231.12328767123287</v>
      </c>
      <c r="AZ114" s="703">
        <f t="shared" si="399"/>
        <v>231.12328767123287</v>
      </c>
      <c r="BA114" s="703">
        <f t="shared" si="399"/>
        <v>231.12328767123287</v>
      </c>
      <c r="BB114" s="704">
        <f t="shared" si="399"/>
        <v>231.12328767123287</v>
      </c>
      <c r="BC114" s="669"/>
      <c r="BD114" s="670"/>
      <c r="BE114" s="701">
        <f t="shared" ref="BE114:BE129" si="400">AVERAGE(M114:P114)</f>
        <v>98.956666666666678</v>
      </c>
      <c r="BF114" s="701">
        <f t="shared" ref="BF114:BF129" si="401">AVERAGE(N114:Q114)</f>
        <v>92.984444444444463</v>
      </c>
      <c r="BG114" s="701">
        <f t="shared" ref="BG114:BG129" si="402">AVERAGE(O114:R114)</f>
        <v>89.998333333333349</v>
      </c>
      <c r="BH114" s="701">
        <f t="shared" ref="BH114:BH129" si="403">AVERAGE(S114:V114)</f>
        <v>78.566666666666677</v>
      </c>
      <c r="BI114" s="701">
        <f t="shared" ref="BI114:BI129" si="404">AVERAGE(W114:Z114)</f>
        <v>86.751666666666665</v>
      </c>
      <c r="BJ114" s="701">
        <f t="shared" ref="BJ114:BJ129" si="405">AVERAGE(AA114:AD114)</f>
        <v>99.13573059360732</v>
      </c>
      <c r="BK114" s="701">
        <f t="shared" ref="BK114:BK129" si="406">AVERAGE(AE114:AH114)</f>
        <v>95.539166666666659</v>
      </c>
      <c r="BL114" s="701">
        <f t="shared" ref="BL114:BL129" si="407">AVERAGE(AI114:AL114)</f>
        <v>172.31352739726029</v>
      </c>
      <c r="BM114" s="1582">
        <f t="shared" ref="BM114:BM129" si="408">AVERAGE(AM114:AP114)</f>
        <v>279.38356164383566</v>
      </c>
      <c r="BN114" s="1582">
        <f t="shared" ref="BN114:BN129" si="409">AVERAGE(AQ114:AT114)</f>
        <v>265.64383561643837</v>
      </c>
      <c r="BO114" s="1582">
        <f t="shared" ref="BO114:BO129" si="410">AVERAGE(AU114:AX114)</f>
        <v>231.12328767123287</v>
      </c>
      <c r="BP114" s="1582">
        <f t="shared" ref="BP114:BP129" si="411">AVERAGE(AY114:BB114)</f>
        <v>231.12328767123287</v>
      </c>
      <c r="BQ114" s="637"/>
      <c r="BR114" s="638"/>
      <c r="BU114" s="609"/>
      <c r="BV114" s="608"/>
      <c r="BW114" s="608"/>
      <c r="BX114" s="608"/>
    </row>
    <row r="115" spans="1:76" ht="12.75" customHeight="1">
      <c r="A115" s="610"/>
      <c r="B115" s="611"/>
      <c r="C115" s="629" t="str">
        <f t="shared" si="352"/>
        <v>ISO-NE</v>
      </c>
      <c r="D115" s="629" t="str">
        <f t="shared" si="352"/>
        <v/>
      </c>
      <c r="E115" s="629" t="str">
        <f t="shared" si="352"/>
        <v/>
      </c>
      <c r="F115" s="654"/>
      <c r="G115" s="694" t="str">
        <f t="shared" ref="G115:G142" si="412">IF(ISBLANK(G258),"",G258)</f>
        <v/>
      </c>
      <c r="H115" s="695" t="str">
        <f t="shared" ref="H115:AH115" si="413">IF(ISBLANK(H258),"",H258)</f>
        <v/>
      </c>
      <c r="I115" s="695" t="str">
        <f t="shared" si="413"/>
        <v/>
      </c>
      <c r="J115" s="696" t="str">
        <f t="shared" si="413"/>
        <v/>
      </c>
      <c r="K115" s="694" t="str">
        <f t="shared" si="413"/>
        <v/>
      </c>
      <c r="L115" s="695" t="str">
        <f t="shared" si="413"/>
        <v/>
      </c>
      <c r="M115" s="695" t="str">
        <f t="shared" si="413"/>
        <v/>
      </c>
      <c r="N115" s="696" t="str">
        <f t="shared" si="413"/>
        <v/>
      </c>
      <c r="O115" s="694">
        <f t="shared" si="413"/>
        <v>102.54</v>
      </c>
      <c r="P115" s="695">
        <f t="shared" si="413"/>
        <v>96.14</v>
      </c>
      <c r="Q115" s="695">
        <f t="shared" si="413"/>
        <v>83.34</v>
      </c>
      <c r="R115" s="699">
        <f t="shared" si="413"/>
        <v>83.34</v>
      </c>
      <c r="S115" s="697">
        <f t="shared" si="413"/>
        <v>83.34</v>
      </c>
      <c r="T115" s="695">
        <f t="shared" si="413"/>
        <v>83.13333333333334</v>
      </c>
      <c r="U115" s="698">
        <f t="shared" si="413"/>
        <v>82.72</v>
      </c>
      <c r="V115" s="699">
        <f t="shared" si="413"/>
        <v>82.72</v>
      </c>
      <c r="W115" s="698">
        <f t="shared" si="413"/>
        <v>82.72</v>
      </c>
      <c r="X115" s="695">
        <f t="shared" si="413"/>
        <v>86.433333333333337</v>
      </c>
      <c r="Y115" s="698">
        <f t="shared" si="413"/>
        <v>93.86</v>
      </c>
      <c r="Z115" s="699">
        <f t="shared" si="413"/>
        <v>93.86</v>
      </c>
      <c r="AA115" s="698">
        <f t="shared" si="413"/>
        <v>93.86</v>
      </c>
      <c r="AB115" s="695">
        <f t="shared" si="413"/>
        <v>96.874703196347028</v>
      </c>
      <c r="AC115" s="698">
        <f t="shared" si="413"/>
        <v>102.9041095890411</v>
      </c>
      <c r="AD115" s="699">
        <f t="shared" si="413"/>
        <v>102.9041095890411</v>
      </c>
      <c r="AE115" s="698">
        <f t="shared" si="413"/>
        <v>103</v>
      </c>
      <c r="AF115" s="695">
        <f t="shared" si="413"/>
        <v>98.736666666666665</v>
      </c>
      <c r="AG115" s="698">
        <f t="shared" si="413"/>
        <v>90.21</v>
      </c>
      <c r="AH115" s="699">
        <f t="shared" si="413"/>
        <v>90.21</v>
      </c>
      <c r="AI115" s="703">
        <f t="shared" si="385"/>
        <v>90.21</v>
      </c>
      <c r="AJ115" s="703">
        <f t="shared" si="385"/>
        <v>137.126301369863</v>
      </c>
      <c r="AK115" s="703">
        <f t="shared" si="385"/>
        <v>230.95890410958907</v>
      </c>
      <c r="AL115" s="699">
        <f t="shared" si="385"/>
        <v>230.95890410958907</v>
      </c>
      <c r="AM115" s="703">
        <f t="shared" si="375"/>
        <v>230.95890410958907</v>
      </c>
      <c r="AN115" s="703">
        <f t="shared" si="375"/>
        <v>258.63013698630141</v>
      </c>
      <c r="AO115" s="703">
        <f t="shared" si="375"/>
        <v>313.97260273972609</v>
      </c>
      <c r="AP115" s="704">
        <f t="shared" si="375"/>
        <v>313.97260273972609</v>
      </c>
      <c r="AQ115" s="703">
        <f t="shared" ref="AQ115:AX115" si="414">IF(ISBLANK(AQ258),"",AQ258)</f>
        <v>313.97260273972609</v>
      </c>
      <c r="AR115" s="703">
        <f t="shared" si="414"/>
        <v>286.35616438356169</v>
      </c>
      <c r="AS115" s="703">
        <f t="shared" si="414"/>
        <v>231.12328767123287</v>
      </c>
      <c r="AT115" s="704">
        <f t="shared" si="414"/>
        <v>231.12328767123287</v>
      </c>
      <c r="AU115" s="703">
        <f t="shared" si="414"/>
        <v>231.12328767123287</v>
      </c>
      <c r="AV115" s="703">
        <f t="shared" si="414"/>
        <v>231.12328767123287</v>
      </c>
      <c r="AW115" s="703">
        <f t="shared" si="414"/>
        <v>231.12328767123287</v>
      </c>
      <c r="AX115" s="704">
        <f t="shared" si="414"/>
        <v>231.12328767123287</v>
      </c>
      <c r="AY115" s="703">
        <f t="shared" ref="AY115:BB115" si="415">IF(ISBLANK(AY258),"",AY258)</f>
        <v>231.12328767123287</v>
      </c>
      <c r="AZ115" s="703">
        <f t="shared" si="415"/>
        <v>231.12328767123287</v>
      </c>
      <c r="BA115" s="703">
        <f t="shared" si="415"/>
        <v>231.12328767123287</v>
      </c>
      <c r="BB115" s="704">
        <f t="shared" si="415"/>
        <v>231.12328767123287</v>
      </c>
      <c r="BC115" s="700"/>
      <c r="BD115" s="700"/>
      <c r="BE115" s="701">
        <f t="shared" si="400"/>
        <v>99.34</v>
      </c>
      <c r="BF115" s="701">
        <f t="shared" si="401"/>
        <v>94.006666666666661</v>
      </c>
      <c r="BG115" s="701">
        <f t="shared" si="402"/>
        <v>91.34</v>
      </c>
      <c r="BH115" s="701">
        <f t="shared" si="403"/>
        <v>82.978333333333339</v>
      </c>
      <c r="BI115" s="701">
        <f t="shared" si="404"/>
        <v>89.218333333333334</v>
      </c>
      <c r="BJ115" s="701">
        <f t="shared" si="405"/>
        <v>99.13573059360732</v>
      </c>
      <c r="BK115" s="701">
        <f t="shared" si="406"/>
        <v>95.539166666666659</v>
      </c>
      <c r="BL115" s="701">
        <f t="shared" si="407"/>
        <v>172.31352739726029</v>
      </c>
      <c r="BM115" s="1582">
        <f t="shared" si="408"/>
        <v>279.38356164383566</v>
      </c>
      <c r="BN115" s="1582">
        <f t="shared" si="409"/>
        <v>265.64383561643837</v>
      </c>
      <c r="BO115" s="1582">
        <f t="shared" si="410"/>
        <v>231.12328767123287</v>
      </c>
      <c r="BP115" s="1582">
        <f t="shared" si="411"/>
        <v>231.12328767123287</v>
      </c>
      <c r="BQ115" s="637"/>
      <c r="BR115" s="638"/>
      <c r="BU115" s="609"/>
      <c r="BV115" s="608"/>
      <c r="BW115" s="608"/>
      <c r="BX115" s="608"/>
    </row>
    <row r="116" spans="1:76" ht="12.75" customHeight="1">
      <c r="A116" s="610"/>
      <c r="B116" s="611"/>
      <c r="C116" s="629" t="str">
        <f t="shared" si="352"/>
        <v>PJM RTO</v>
      </c>
      <c r="D116" s="629" t="str">
        <f t="shared" si="352"/>
        <v/>
      </c>
      <c r="E116" s="629" t="str">
        <f t="shared" si="352"/>
        <v/>
      </c>
      <c r="F116" s="654"/>
      <c r="G116" s="694" t="str">
        <f t="shared" si="412"/>
        <v/>
      </c>
      <c r="H116" s="695" t="str">
        <f t="shared" ref="H116:AH116" si="416">IF(ISBLANK(H259),"",H259)</f>
        <v/>
      </c>
      <c r="I116" s="695" t="str">
        <f t="shared" si="416"/>
        <v/>
      </c>
      <c r="J116" s="696" t="str">
        <f t="shared" si="416"/>
        <v/>
      </c>
      <c r="K116" s="694" t="str">
        <f t="shared" si="416"/>
        <v/>
      </c>
      <c r="L116" s="695" t="str">
        <f t="shared" si="416"/>
        <v/>
      </c>
      <c r="M116" s="695" t="str">
        <f t="shared" si="416"/>
        <v/>
      </c>
      <c r="N116" s="696" t="str">
        <f t="shared" si="416"/>
        <v/>
      </c>
      <c r="O116" s="694">
        <f t="shared" si="416"/>
        <v>110</v>
      </c>
      <c r="P116" s="695">
        <f t="shared" si="416"/>
        <v>78.819999999999993</v>
      </c>
      <c r="Q116" s="695">
        <f t="shared" si="416"/>
        <v>16.46</v>
      </c>
      <c r="R116" s="699">
        <f t="shared" si="416"/>
        <v>16.46</v>
      </c>
      <c r="S116" s="697">
        <f t="shared" si="416"/>
        <v>16.46</v>
      </c>
      <c r="T116" s="695">
        <f t="shared" si="416"/>
        <v>20.216666666666669</v>
      </c>
      <c r="U116" s="698">
        <f t="shared" si="416"/>
        <v>27.73</v>
      </c>
      <c r="V116" s="699">
        <f t="shared" si="416"/>
        <v>27.73</v>
      </c>
      <c r="W116" s="698">
        <f t="shared" si="416"/>
        <v>27.73</v>
      </c>
      <c r="X116" s="695">
        <f t="shared" si="416"/>
        <v>60.483333333333327</v>
      </c>
      <c r="Y116" s="698">
        <f t="shared" si="416"/>
        <v>125.99</v>
      </c>
      <c r="Z116" s="699">
        <f t="shared" si="416"/>
        <v>125.99</v>
      </c>
      <c r="AA116" s="698">
        <f t="shared" si="416"/>
        <v>125.99</v>
      </c>
      <c r="AB116" s="695">
        <f t="shared" si="416"/>
        <v>129.32666666666668</v>
      </c>
      <c r="AC116" s="698">
        <f t="shared" si="416"/>
        <v>136</v>
      </c>
      <c r="AD116" s="699">
        <f t="shared" si="416"/>
        <v>136</v>
      </c>
      <c r="AE116" s="698">
        <f t="shared" si="416"/>
        <v>136</v>
      </c>
      <c r="AF116" s="695">
        <f t="shared" si="416"/>
        <v>110.45666666666666</v>
      </c>
      <c r="AG116" s="698">
        <f t="shared" si="416"/>
        <v>59.37</v>
      </c>
      <c r="AH116" s="699">
        <f t="shared" si="416"/>
        <v>59.37</v>
      </c>
      <c r="AI116" s="703">
        <f t="shared" si="385"/>
        <v>59.37</v>
      </c>
      <c r="AJ116" s="703">
        <f t="shared" si="385"/>
        <v>79.58</v>
      </c>
      <c r="AK116" s="703">
        <f t="shared" si="385"/>
        <v>120</v>
      </c>
      <c r="AL116" s="699">
        <f t="shared" si="385"/>
        <v>120</v>
      </c>
      <c r="AM116" s="703">
        <f t="shared" si="375"/>
        <v>120</v>
      </c>
      <c r="AN116" s="703">
        <f t="shared" si="375"/>
        <v>134.92333333333335</v>
      </c>
      <c r="AO116" s="703">
        <f t="shared" si="375"/>
        <v>164.77</v>
      </c>
      <c r="AP116" s="704">
        <f t="shared" si="375"/>
        <v>164.77</v>
      </c>
      <c r="AQ116" s="703">
        <f t="shared" ref="AQ116:AX116" si="417">IF(ISBLANK(AQ259),"",AQ259)</f>
        <v>164.77</v>
      </c>
      <c r="AR116" s="703">
        <f t="shared" si="417"/>
        <v>143.18</v>
      </c>
      <c r="AS116" s="703">
        <f t="shared" si="417"/>
        <v>100</v>
      </c>
      <c r="AT116" s="704">
        <f t="shared" si="417"/>
        <v>100</v>
      </c>
      <c r="AU116" s="703">
        <f t="shared" si="417"/>
        <v>100</v>
      </c>
      <c r="AV116" s="703">
        <f t="shared" si="417"/>
        <v>100</v>
      </c>
      <c r="AW116" s="703">
        <f t="shared" si="417"/>
        <v>76.53</v>
      </c>
      <c r="AX116" s="704">
        <f t="shared" si="417"/>
        <v>76.53</v>
      </c>
      <c r="AY116" s="703">
        <f t="shared" ref="AY116:BB116" si="418">IF(ISBLANK(AY259),"",AY259)</f>
        <v>76.53</v>
      </c>
      <c r="AZ116" s="703">
        <f t="shared" si="418"/>
        <v>76.53</v>
      </c>
      <c r="BA116" s="703">
        <f t="shared" si="418"/>
        <v>76.53</v>
      </c>
      <c r="BB116" s="704">
        <f t="shared" si="418"/>
        <v>76.53</v>
      </c>
      <c r="BC116" s="700"/>
      <c r="BD116" s="700"/>
      <c r="BE116" s="701">
        <f t="shared" si="400"/>
        <v>94.41</v>
      </c>
      <c r="BF116" s="701">
        <f t="shared" si="401"/>
        <v>68.426666666666662</v>
      </c>
      <c r="BG116" s="701">
        <f t="shared" si="402"/>
        <v>55.435000000000002</v>
      </c>
      <c r="BH116" s="701">
        <f t="shared" si="403"/>
        <v>23.034166666666668</v>
      </c>
      <c r="BI116" s="701">
        <f t="shared" si="404"/>
        <v>85.048333333333332</v>
      </c>
      <c r="BJ116" s="701">
        <f t="shared" si="405"/>
        <v>131.82916666666665</v>
      </c>
      <c r="BK116" s="701">
        <f t="shared" si="406"/>
        <v>91.299166666666665</v>
      </c>
      <c r="BL116" s="701">
        <f t="shared" si="407"/>
        <v>94.737499999999997</v>
      </c>
      <c r="BM116" s="1582">
        <f t="shared" si="408"/>
        <v>146.11583333333334</v>
      </c>
      <c r="BN116" s="1582">
        <f t="shared" si="409"/>
        <v>126.98750000000001</v>
      </c>
      <c r="BO116" s="1582">
        <f t="shared" si="410"/>
        <v>88.264999999999986</v>
      </c>
      <c r="BP116" s="1582">
        <f t="shared" si="411"/>
        <v>76.53</v>
      </c>
      <c r="BQ116" s="637"/>
      <c r="BR116" s="638"/>
      <c r="BU116" s="609"/>
      <c r="BV116" s="608"/>
      <c r="BW116" s="608"/>
      <c r="BX116" s="608"/>
    </row>
    <row r="117" spans="1:76" ht="12.75" customHeight="1">
      <c r="A117" s="610"/>
      <c r="B117" s="611"/>
      <c r="C117" s="629" t="str">
        <f t="shared" ref="C117:E128" si="419">IF(ISBLANK(C260),"",C260)</f>
        <v>PJM MAAC</v>
      </c>
      <c r="D117" s="629" t="str">
        <f t="shared" si="419"/>
        <v/>
      </c>
      <c r="E117" s="629" t="str">
        <f t="shared" si="419"/>
        <v/>
      </c>
      <c r="F117" s="654"/>
      <c r="G117" s="694" t="str">
        <f t="shared" si="412"/>
        <v/>
      </c>
      <c r="H117" s="695" t="str">
        <f t="shared" ref="H117:AH117" si="420">IF(ISBLANK(H260),"",H260)</f>
        <v/>
      </c>
      <c r="I117" s="695" t="str">
        <f t="shared" si="420"/>
        <v/>
      </c>
      <c r="J117" s="696" t="str">
        <f t="shared" si="420"/>
        <v/>
      </c>
      <c r="K117" s="694" t="str">
        <f t="shared" si="420"/>
        <v/>
      </c>
      <c r="L117" s="695" t="str">
        <f t="shared" si="420"/>
        <v/>
      </c>
      <c r="M117" s="695" t="str">
        <f t="shared" si="420"/>
        <v/>
      </c>
      <c r="N117" s="696" t="str">
        <f t="shared" si="420"/>
        <v/>
      </c>
      <c r="O117" s="694">
        <f t="shared" si="420"/>
        <v>110</v>
      </c>
      <c r="P117" s="695">
        <f t="shared" si="420"/>
        <v>117.79</v>
      </c>
      <c r="Q117" s="695">
        <f t="shared" si="420"/>
        <v>133.37</v>
      </c>
      <c r="R117" s="699">
        <f t="shared" si="420"/>
        <v>133.37</v>
      </c>
      <c r="S117" s="697">
        <f t="shared" si="420"/>
        <v>133.37</v>
      </c>
      <c r="T117" s="695">
        <f t="shared" si="420"/>
        <v>164.29666666666665</v>
      </c>
      <c r="U117" s="698">
        <f t="shared" si="420"/>
        <v>226.15</v>
      </c>
      <c r="V117" s="699">
        <f t="shared" si="420"/>
        <v>226.15</v>
      </c>
      <c r="W117" s="698">
        <f t="shared" si="420"/>
        <v>226.15</v>
      </c>
      <c r="X117" s="695">
        <f t="shared" si="420"/>
        <v>196.26666666666665</v>
      </c>
      <c r="Y117" s="698">
        <f t="shared" si="420"/>
        <v>136.5</v>
      </c>
      <c r="Z117" s="699">
        <f t="shared" si="420"/>
        <v>136.5</v>
      </c>
      <c r="AA117" s="698">
        <f t="shared" si="420"/>
        <v>136.5</v>
      </c>
      <c r="AB117" s="695">
        <f t="shared" si="420"/>
        <v>146.82</v>
      </c>
      <c r="AC117" s="698">
        <f t="shared" si="420"/>
        <v>167.46</v>
      </c>
      <c r="AD117" s="699">
        <f t="shared" si="420"/>
        <v>167.46</v>
      </c>
      <c r="AE117" s="698">
        <f t="shared" si="420"/>
        <v>167.46</v>
      </c>
      <c r="AF117" s="695">
        <f t="shared" si="420"/>
        <v>151.35</v>
      </c>
      <c r="AG117" s="698">
        <f t="shared" si="420"/>
        <v>119.13</v>
      </c>
      <c r="AH117" s="699">
        <f t="shared" si="420"/>
        <v>119.13</v>
      </c>
      <c r="AI117" s="703">
        <f t="shared" si="385"/>
        <v>119.13</v>
      </c>
      <c r="AJ117" s="703">
        <f t="shared" si="385"/>
        <v>119.41999999999999</v>
      </c>
      <c r="AK117" s="703">
        <f t="shared" si="385"/>
        <v>120</v>
      </c>
      <c r="AL117" s="699">
        <f t="shared" si="385"/>
        <v>120</v>
      </c>
      <c r="AM117" s="703">
        <f t="shared" si="375"/>
        <v>120</v>
      </c>
      <c r="AN117" s="703">
        <f t="shared" si="375"/>
        <v>134.92333333333335</v>
      </c>
      <c r="AO117" s="703">
        <f t="shared" si="375"/>
        <v>164.77</v>
      </c>
      <c r="AP117" s="704">
        <f t="shared" si="375"/>
        <v>164.77</v>
      </c>
      <c r="AQ117" s="703">
        <f t="shared" ref="AQ117:AX117" si="421">IF(ISBLANK(AQ260),"",AQ260)</f>
        <v>164.77</v>
      </c>
      <c r="AR117" s="703">
        <f t="shared" si="421"/>
        <v>143.18</v>
      </c>
      <c r="AS117" s="703">
        <f t="shared" si="421"/>
        <v>100</v>
      </c>
      <c r="AT117" s="704">
        <f t="shared" si="421"/>
        <v>100</v>
      </c>
      <c r="AU117" s="703">
        <f t="shared" si="421"/>
        <v>100</v>
      </c>
      <c r="AV117" s="703">
        <f t="shared" si="421"/>
        <v>100</v>
      </c>
      <c r="AW117" s="703">
        <f t="shared" si="421"/>
        <v>86.04</v>
      </c>
      <c r="AX117" s="704">
        <f t="shared" si="421"/>
        <v>86.04</v>
      </c>
      <c r="AY117" s="703">
        <f t="shared" ref="AY117:BB117" si="422">IF(ISBLANK(AY260),"",AY260)</f>
        <v>86.04</v>
      </c>
      <c r="AZ117" s="703">
        <f t="shared" si="422"/>
        <v>86.04</v>
      </c>
      <c r="BA117" s="703">
        <f t="shared" si="422"/>
        <v>86.04</v>
      </c>
      <c r="BB117" s="704">
        <f t="shared" si="422"/>
        <v>86.04</v>
      </c>
      <c r="BC117" s="700"/>
      <c r="BD117" s="700"/>
      <c r="BE117" s="701">
        <f t="shared" si="400"/>
        <v>113.89500000000001</v>
      </c>
      <c r="BF117" s="701">
        <f t="shared" si="401"/>
        <v>120.38666666666667</v>
      </c>
      <c r="BG117" s="701">
        <f t="shared" si="402"/>
        <v>123.63250000000001</v>
      </c>
      <c r="BH117" s="701">
        <f t="shared" si="403"/>
        <v>187.49166666666665</v>
      </c>
      <c r="BI117" s="701">
        <f t="shared" si="404"/>
        <v>173.85416666666666</v>
      </c>
      <c r="BJ117" s="701">
        <f t="shared" si="405"/>
        <v>154.56</v>
      </c>
      <c r="BK117" s="701">
        <f t="shared" si="406"/>
        <v>139.26749999999998</v>
      </c>
      <c r="BL117" s="701">
        <f t="shared" si="407"/>
        <v>119.63749999999999</v>
      </c>
      <c r="BM117" s="1582">
        <f t="shared" si="408"/>
        <v>146.11583333333334</v>
      </c>
      <c r="BN117" s="1582">
        <f t="shared" si="409"/>
        <v>126.98750000000001</v>
      </c>
      <c r="BO117" s="1582">
        <f t="shared" si="410"/>
        <v>93.02000000000001</v>
      </c>
      <c r="BP117" s="1582">
        <f t="shared" si="411"/>
        <v>86.04</v>
      </c>
      <c r="BQ117" s="637"/>
      <c r="BR117" s="638"/>
      <c r="BU117" s="609"/>
      <c r="BV117" s="608"/>
      <c r="BW117" s="608"/>
      <c r="BX117" s="608"/>
    </row>
    <row r="118" spans="1:76" ht="12.75" customHeight="1">
      <c r="A118" s="610"/>
      <c r="B118" s="611"/>
      <c r="C118" s="629" t="str">
        <f t="shared" si="419"/>
        <v>PJM SW MAAC</v>
      </c>
      <c r="D118" s="629" t="str">
        <f t="shared" si="419"/>
        <v/>
      </c>
      <c r="E118" s="629" t="str">
        <f t="shared" si="419"/>
        <v/>
      </c>
      <c r="F118" s="654"/>
      <c r="G118" s="694" t="str">
        <f t="shared" si="412"/>
        <v/>
      </c>
      <c r="H118" s="695" t="str">
        <f t="shared" ref="H118:AH118" si="423">IF(ISBLANK(H261),"",H261)</f>
        <v/>
      </c>
      <c r="I118" s="695" t="str">
        <f t="shared" si="423"/>
        <v/>
      </c>
      <c r="J118" s="696" t="str">
        <f t="shared" si="423"/>
        <v/>
      </c>
      <c r="K118" s="694" t="str">
        <f t="shared" si="423"/>
        <v/>
      </c>
      <c r="L118" s="695" t="str">
        <f t="shared" si="423"/>
        <v/>
      </c>
      <c r="M118" s="695" t="str">
        <f t="shared" si="423"/>
        <v/>
      </c>
      <c r="N118" s="696" t="str">
        <f t="shared" si="423"/>
        <v/>
      </c>
      <c r="O118" s="694">
        <f t="shared" si="423"/>
        <v>110</v>
      </c>
      <c r="P118" s="695">
        <f t="shared" si="423"/>
        <v>117.79</v>
      </c>
      <c r="Q118" s="695">
        <f t="shared" si="423"/>
        <v>133.37</v>
      </c>
      <c r="R118" s="699">
        <f t="shared" si="423"/>
        <v>133.37</v>
      </c>
      <c r="S118" s="697">
        <f t="shared" si="423"/>
        <v>133.37</v>
      </c>
      <c r="T118" s="695">
        <f t="shared" si="423"/>
        <v>164.29666666666665</v>
      </c>
      <c r="U118" s="698">
        <f t="shared" si="423"/>
        <v>226.15</v>
      </c>
      <c r="V118" s="699">
        <f t="shared" si="423"/>
        <v>226.15</v>
      </c>
      <c r="W118" s="698">
        <f t="shared" si="423"/>
        <v>226.15</v>
      </c>
      <c r="X118" s="695">
        <f t="shared" si="423"/>
        <v>196.26666666666665</v>
      </c>
      <c r="Y118" s="698">
        <f t="shared" si="423"/>
        <v>136.5</v>
      </c>
      <c r="Z118" s="699">
        <f t="shared" si="423"/>
        <v>136.5</v>
      </c>
      <c r="AA118" s="698">
        <f t="shared" si="423"/>
        <v>136.5</v>
      </c>
      <c r="AB118" s="695">
        <f t="shared" si="423"/>
        <v>146.82</v>
      </c>
      <c r="AC118" s="698">
        <f t="shared" si="423"/>
        <v>167.46</v>
      </c>
      <c r="AD118" s="699">
        <f t="shared" si="423"/>
        <v>167.46</v>
      </c>
      <c r="AE118" s="698">
        <f t="shared" si="423"/>
        <v>167.46</v>
      </c>
      <c r="AF118" s="695">
        <f t="shared" si="423"/>
        <v>151.35</v>
      </c>
      <c r="AG118" s="698">
        <f t="shared" si="423"/>
        <v>119.13</v>
      </c>
      <c r="AH118" s="699">
        <f t="shared" si="423"/>
        <v>119.13</v>
      </c>
      <c r="AI118" s="703">
        <f t="shared" si="385"/>
        <v>119.13</v>
      </c>
      <c r="AJ118" s="703">
        <f t="shared" si="385"/>
        <v>119.41999999999999</v>
      </c>
      <c r="AK118" s="703">
        <f t="shared" si="385"/>
        <v>120</v>
      </c>
      <c r="AL118" s="699">
        <f t="shared" si="385"/>
        <v>120</v>
      </c>
      <c r="AM118" s="703">
        <f t="shared" si="375"/>
        <v>120</v>
      </c>
      <c r="AN118" s="703">
        <f t="shared" si="375"/>
        <v>134.92333333333335</v>
      </c>
      <c r="AO118" s="703">
        <f t="shared" si="375"/>
        <v>164.77</v>
      </c>
      <c r="AP118" s="704">
        <f t="shared" si="375"/>
        <v>164.77</v>
      </c>
      <c r="AQ118" s="703">
        <f t="shared" ref="AQ118:AX118" si="424">IF(ISBLANK(AQ261),"",AQ261)</f>
        <v>164.77</v>
      </c>
      <c r="AR118" s="703">
        <f t="shared" si="424"/>
        <v>143.18</v>
      </c>
      <c r="AS118" s="703">
        <f t="shared" si="424"/>
        <v>100</v>
      </c>
      <c r="AT118" s="704">
        <f t="shared" si="424"/>
        <v>100</v>
      </c>
      <c r="AU118" s="703">
        <f t="shared" si="424"/>
        <v>100</v>
      </c>
      <c r="AV118" s="703">
        <f t="shared" si="424"/>
        <v>100</v>
      </c>
      <c r="AW118" s="703">
        <f t="shared" si="424"/>
        <v>86.04</v>
      </c>
      <c r="AX118" s="704">
        <f t="shared" si="424"/>
        <v>86.04</v>
      </c>
      <c r="AY118" s="703">
        <f t="shared" ref="AY118:BB118" si="425">IF(ISBLANK(AY261),"",AY261)</f>
        <v>86.04</v>
      </c>
      <c r="AZ118" s="703">
        <f t="shared" si="425"/>
        <v>86.04</v>
      </c>
      <c r="BA118" s="703">
        <f t="shared" si="425"/>
        <v>86.04</v>
      </c>
      <c r="BB118" s="704">
        <f t="shared" si="425"/>
        <v>86.04</v>
      </c>
      <c r="BC118" s="700"/>
      <c r="BD118" s="700"/>
      <c r="BE118" s="701">
        <f t="shared" si="400"/>
        <v>113.89500000000001</v>
      </c>
      <c r="BF118" s="701">
        <f t="shared" si="401"/>
        <v>120.38666666666667</v>
      </c>
      <c r="BG118" s="701">
        <f t="shared" si="402"/>
        <v>123.63250000000001</v>
      </c>
      <c r="BH118" s="701">
        <f t="shared" si="403"/>
        <v>187.49166666666665</v>
      </c>
      <c r="BI118" s="701">
        <f t="shared" si="404"/>
        <v>173.85416666666666</v>
      </c>
      <c r="BJ118" s="701">
        <f t="shared" si="405"/>
        <v>154.56</v>
      </c>
      <c r="BK118" s="701">
        <f t="shared" si="406"/>
        <v>139.26749999999998</v>
      </c>
      <c r="BL118" s="701">
        <f t="shared" si="407"/>
        <v>119.63749999999999</v>
      </c>
      <c r="BM118" s="1582">
        <f t="shared" si="408"/>
        <v>146.11583333333334</v>
      </c>
      <c r="BN118" s="1582">
        <f t="shared" si="409"/>
        <v>126.98750000000001</v>
      </c>
      <c r="BO118" s="1582">
        <f t="shared" si="410"/>
        <v>93.02000000000001</v>
      </c>
      <c r="BP118" s="1582">
        <f t="shared" si="411"/>
        <v>86.04</v>
      </c>
      <c r="BQ118" s="637"/>
      <c r="BR118" s="638"/>
      <c r="BU118" s="609"/>
      <c r="BV118" s="608"/>
      <c r="BW118" s="608"/>
      <c r="BX118" s="608"/>
    </row>
    <row r="119" spans="1:76" ht="12.75" customHeight="1">
      <c r="A119" s="610"/>
      <c r="B119" s="611"/>
      <c r="C119" s="629" t="str">
        <f t="shared" si="419"/>
        <v>PJM EMAAC</v>
      </c>
      <c r="D119" s="629" t="str">
        <f t="shared" si="419"/>
        <v/>
      </c>
      <c r="E119" s="629" t="str">
        <f t="shared" si="419"/>
        <v/>
      </c>
      <c r="F119" s="654"/>
      <c r="G119" s="694" t="str">
        <f t="shared" si="412"/>
        <v/>
      </c>
      <c r="H119" s="695" t="str">
        <f t="shared" ref="H119:AH119" si="426">IF(ISBLANK(H262),"",H262)</f>
        <v/>
      </c>
      <c r="I119" s="695" t="str">
        <f t="shared" si="426"/>
        <v/>
      </c>
      <c r="J119" s="696" t="str">
        <f t="shared" si="426"/>
        <v/>
      </c>
      <c r="K119" s="694" t="str">
        <f t="shared" si="426"/>
        <v/>
      </c>
      <c r="L119" s="695" t="str">
        <f t="shared" si="426"/>
        <v/>
      </c>
      <c r="M119" s="695" t="str">
        <f t="shared" si="426"/>
        <v/>
      </c>
      <c r="N119" s="696" t="str">
        <f t="shared" si="426"/>
        <v/>
      </c>
      <c r="O119" s="694">
        <f t="shared" si="426"/>
        <v>110</v>
      </c>
      <c r="P119" s="695">
        <f t="shared" si="426"/>
        <v>119.91</v>
      </c>
      <c r="Q119" s="695">
        <f t="shared" si="426"/>
        <v>139.72999999999999</v>
      </c>
      <c r="R119" s="699">
        <f t="shared" si="426"/>
        <v>139.72999999999999</v>
      </c>
      <c r="S119" s="697">
        <f t="shared" si="426"/>
        <v>139.72999999999999</v>
      </c>
      <c r="T119" s="695">
        <f t="shared" si="426"/>
        <v>174.82</v>
      </c>
      <c r="U119" s="698">
        <f t="shared" si="426"/>
        <v>245</v>
      </c>
      <c r="V119" s="699">
        <f t="shared" si="426"/>
        <v>245</v>
      </c>
      <c r="W119" s="698">
        <f t="shared" si="426"/>
        <v>245</v>
      </c>
      <c r="X119" s="695">
        <f t="shared" si="426"/>
        <v>208.83333333333334</v>
      </c>
      <c r="Y119" s="698">
        <f t="shared" si="426"/>
        <v>136.5</v>
      </c>
      <c r="Z119" s="699">
        <f t="shared" si="426"/>
        <v>136.5</v>
      </c>
      <c r="AA119" s="698">
        <f t="shared" si="426"/>
        <v>136.5</v>
      </c>
      <c r="AB119" s="695">
        <f t="shared" si="426"/>
        <v>146.82</v>
      </c>
      <c r="AC119" s="698">
        <f t="shared" si="426"/>
        <v>167.46</v>
      </c>
      <c r="AD119" s="699">
        <f t="shared" si="426"/>
        <v>167.46</v>
      </c>
      <c r="AE119" s="698">
        <f t="shared" si="426"/>
        <v>167.46</v>
      </c>
      <c r="AF119" s="695">
        <f t="shared" si="426"/>
        <v>151.35</v>
      </c>
      <c r="AG119" s="698">
        <f t="shared" si="426"/>
        <v>119.13</v>
      </c>
      <c r="AH119" s="699">
        <f t="shared" si="426"/>
        <v>119.13</v>
      </c>
      <c r="AI119" s="703">
        <f t="shared" si="385"/>
        <v>119.13</v>
      </c>
      <c r="AJ119" s="703">
        <f t="shared" si="385"/>
        <v>119.41999999999999</v>
      </c>
      <c r="AK119" s="703">
        <f t="shared" si="385"/>
        <v>120</v>
      </c>
      <c r="AL119" s="699">
        <f t="shared" si="385"/>
        <v>120</v>
      </c>
      <c r="AM119" s="703">
        <f t="shared" si="375"/>
        <v>120</v>
      </c>
      <c r="AN119" s="703">
        <f t="shared" si="375"/>
        <v>155.13999999999999</v>
      </c>
      <c r="AO119" s="703">
        <f t="shared" si="375"/>
        <v>225.42</v>
      </c>
      <c r="AP119" s="704">
        <f t="shared" si="375"/>
        <v>225.42</v>
      </c>
      <c r="AQ119" s="703">
        <f t="shared" ref="AQ119:AX119" si="427">IF(ISBLANK(AQ262),"",AQ262)</f>
        <v>225.42</v>
      </c>
      <c r="AR119" s="703">
        <f t="shared" si="427"/>
        <v>190.27999999999997</v>
      </c>
      <c r="AS119" s="703">
        <f t="shared" si="427"/>
        <v>120</v>
      </c>
      <c r="AT119" s="704">
        <f t="shared" si="427"/>
        <v>120</v>
      </c>
      <c r="AU119" s="703">
        <f t="shared" si="427"/>
        <v>120</v>
      </c>
      <c r="AV119" s="703">
        <f t="shared" si="427"/>
        <v>142.62333333333333</v>
      </c>
      <c r="AW119" s="703">
        <f t="shared" si="427"/>
        <v>187.87</v>
      </c>
      <c r="AX119" s="704">
        <f t="shared" si="427"/>
        <v>187.87</v>
      </c>
      <c r="AY119" s="703">
        <f t="shared" ref="AY119:BB119" si="428">IF(ISBLANK(AY262),"",AY262)</f>
        <v>187.87</v>
      </c>
      <c r="AZ119" s="703">
        <f t="shared" si="428"/>
        <v>187.87</v>
      </c>
      <c r="BA119" s="703">
        <f t="shared" si="428"/>
        <v>187.87</v>
      </c>
      <c r="BB119" s="704">
        <f t="shared" si="428"/>
        <v>187.87</v>
      </c>
      <c r="BC119" s="700"/>
      <c r="BD119" s="700"/>
      <c r="BE119" s="701">
        <f t="shared" si="400"/>
        <v>114.955</v>
      </c>
      <c r="BF119" s="701">
        <f t="shared" si="401"/>
        <v>123.21333333333332</v>
      </c>
      <c r="BG119" s="701">
        <f t="shared" si="402"/>
        <v>127.3425</v>
      </c>
      <c r="BH119" s="701">
        <f t="shared" si="403"/>
        <v>201.13749999999999</v>
      </c>
      <c r="BI119" s="701">
        <f t="shared" si="404"/>
        <v>181.70833333333334</v>
      </c>
      <c r="BJ119" s="701">
        <f t="shared" si="405"/>
        <v>154.56</v>
      </c>
      <c r="BK119" s="701">
        <f t="shared" si="406"/>
        <v>139.26749999999998</v>
      </c>
      <c r="BL119" s="701">
        <f t="shared" si="407"/>
        <v>119.63749999999999</v>
      </c>
      <c r="BM119" s="1582">
        <f t="shared" si="408"/>
        <v>181.49499999999998</v>
      </c>
      <c r="BN119" s="1582">
        <f t="shared" si="409"/>
        <v>163.92499999999998</v>
      </c>
      <c r="BO119" s="1582">
        <f t="shared" si="410"/>
        <v>159.59083333333334</v>
      </c>
      <c r="BP119" s="1582">
        <f t="shared" si="411"/>
        <v>187.87</v>
      </c>
      <c r="BQ119" s="637"/>
      <c r="BR119" s="638"/>
      <c r="BU119" s="609"/>
      <c r="BV119" s="608"/>
      <c r="BW119" s="608"/>
      <c r="BX119" s="608"/>
    </row>
    <row r="120" spans="1:76" ht="12.75" customHeight="1">
      <c r="A120" s="610"/>
      <c r="B120" s="611"/>
      <c r="C120" s="629" t="str">
        <f t="shared" si="419"/>
        <v>PJM DPL-South</v>
      </c>
      <c r="D120" s="629" t="str">
        <f t="shared" si="419"/>
        <v/>
      </c>
      <c r="E120" s="629" t="str">
        <f t="shared" si="419"/>
        <v/>
      </c>
      <c r="F120" s="654"/>
      <c r="G120" s="694" t="str">
        <f t="shared" si="412"/>
        <v/>
      </c>
      <c r="H120" s="695" t="str">
        <f t="shared" ref="H120:AH120" si="429">IF(ISBLANK(H263),"",H263)</f>
        <v/>
      </c>
      <c r="I120" s="695" t="str">
        <f t="shared" si="429"/>
        <v/>
      </c>
      <c r="J120" s="696" t="str">
        <f t="shared" si="429"/>
        <v/>
      </c>
      <c r="K120" s="694" t="str">
        <f t="shared" si="429"/>
        <v/>
      </c>
      <c r="L120" s="695" t="str">
        <f t="shared" si="429"/>
        <v/>
      </c>
      <c r="M120" s="695" t="str">
        <f t="shared" si="429"/>
        <v/>
      </c>
      <c r="N120" s="696" t="str">
        <f t="shared" si="429"/>
        <v/>
      </c>
      <c r="O120" s="694">
        <f t="shared" si="429"/>
        <v>110</v>
      </c>
      <c r="P120" s="695">
        <f t="shared" si="429"/>
        <v>119.91</v>
      </c>
      <c r="Q120" s="695">
        <f t="shared" si="429"/>
        <v>139.72999999999999</v>
      </c>
      <c r="R120" s="699">
        <f t="shared" si="429"/>
        <v>139.72999999999999</v>
      </c>
      <c r="S120" s="697">
        <f t="shared" si="429"/>
        <v>139.72999999999999</v>
      </c>
      <c r="T120" s="695">
        <f t="shared" si="429"/>
        <v>174.82</v>
      </c>
      <c r="U120" s="698">
        <f t="shared" si="429"/>
        <v>245</v>
      </c>
      <c r="V120" s="699">
        <f t="shared" si="429"/>
        <v>245</v>
      </c>
      <c r="W120" s="698">
        <f t="shared" si="429"/>
        <v>245</v>
      </c>
      <c r="X120" s="695">
        <f t="shared" si="429"/>
        <v>208.83333333333334</v>
      </c>
      <c r="Y120" s="698">
        <f t="shared" si="429"/>
        <v>136.5</v>
      </c>
      <c r="Z120" s="699">
        <f t="shared" si="429"/>
        <v>136.5</v>
      </c>
      <c r="AA120" s="698">
        <f t="shared" si="429"/>
        <v>136.5</v>
      </c>
      <c r="AB120" s="695">
        <f t="shared" si="429"/>
        <v>146.82</v>
      </c>
      <c r="AC120" s="698">
        <f t="shared" si="429"/>
        <v>167.46</v>
      </c>
      <c r="AD120" s="699">
        <f t="shared" si="429"/>
        <v>167.46</v>
      </c>
      <c r="AE120" s="698">
        <f t="shared" si="429"/>
        <v>167.46</v>
      </c>
      <c r="AF120" s="695">
        <f t="shared" si="429"/>
        <v>151.35</v>
      </c>
      <c r="AG120" s="698">
        <f t="shared" si="429"/>
        <v>119.13</v>
      </c>
      <c r="AH120" s="699">
        <f t="shared" si="429"/>
        <v>119.13</v>
      </c>
      <c r="AI120" s="703">
        <f t="shared" si="385"/>
        <v>119.13</v>
      </c>
      <c r="AJ120" s="703">
        <f t="shared" si="385"/>
        <v>119.41999999999999</v>
      </c>
      <c r="AK120" s="703">
        <f t="shared" si="385"/>
        <v>120</v>
      </c>
      <c r="AL120" s="699">
        <f t="shared" si="385"/>
        <v>120</v>
      </c>
      <c r="AM120" s="703">
        <f t="shared" si="375"/>
        <v>120</v>
      </c>
      <c r="AN120" s="703">
        <f t="shared" si="375"/>
        <v>155.13999999999999</v>
      </c>
      <c r="AO120" s="703">
        <f t="shared" si="375"/>
        <v>225.42</v>
      </c>
      <c r="AP120" s="704">
        <f t="shared" si="375"/>
        <v>225.42</v>
      </c>
      <c r="AQ120" s="703">
        <f t="shared" ref="AQ120:AX120" si="430">IF(ISBLANK(AQ263),"",AQ263)</f>
        <v>225.42</v>
      </c>
      <c r="AR120" s="703">
        <f t="shared" si="430"/>
        <v>190.20333333333332</v>
      </c>
      <c r="AS120" s="703">
        <f t="shared" si="430"/>
        <v>119.77</v>
      </c>
      <c r="AT120" s="704">
        <f t="shared" si="430"/>
        <v>119.77</v>
      </c>
      <c r="AU120" s="703">
        <f t="shared" si="430"/>
        <v>119.77</v>
      </c>
      <c r="AV120" s="703">
        <f t="shared" si="430"/>
        <v>119.77</v>
      </c>
      <c r="AW120" s="703">
        <f t="shared" si="430"/>
        <v>187.87</v>
      </c>
      <c r="AX120" s="704">
        <f t="shared" si="430"/>
        <v>187.87</v>
      </c>
      <c r="AY120" s="703">
        <f t="shared" ref="AY120:BB120" si="431">IF(ISBLANK(AY263),"",AY263)</f>
        <v>187.87</v>
      </c>
      <c r="AZ120" s="703">
        <f t="shared" si="431"/>
        <v>187.87</v>
      </c>
      <c r="BA120" s="703">
        <f t="shared" si="431"/>
        <v>187.87</v>
      </c>
      <c r="BB120" s="704">
        <f t="shared" si="431"/>
        <v>187.87</v>
      </c>
      <c r="BC120" s="700"/>
      <c r="BD120" s="700"/>
      <c r="BE120" s="701">
        <f t="shared" si="400"/>
        <v>114.955</v>
      </c>
      <c r="BF120" s="701">
        <f t="shared" si="401"/>
        <v>123.21333333333332</v>
      </c>
      <c r="BG120" s="701">
        <f t="shared" si="402"/>
        <v>127.3425</v>
      </c>
      <c r="BH120" s="701">
        <f t="shared" si="403"/>
        <v>201.13749999999999</v>
      </c>
      <c r="BI120" s="701">
        <f t="shared" si="404"/>
        <v>181.70833333333334</v>
      </c>
      <c r="BJ120" s="701">
        <f t="shared" si="405"/>
        <v>154.56</v>
      </c>
      <c r="BK120" s="701">
        <f t="shared" si="406"/>
        <v>139.26749999999998</v>
      </c>
      <c r="BL120" s="701">
        <f t="shared" si="407"/>
        <v>119.63749999999999</v>
      </c>
      <c r="BM120" s="1582">
        <f t="shared" si="408"/>
        <v>181.49499999999998</v>
      </c>
      <c r="BN120" s="1582">
        <f t="shared" si="409"/>
        <v>163.79083333333332</v>
      </c>
      <c r="BO120" s="1582">
        <f t="shared" si="410"/>
        <v>153.82</v>
      </c>
      <c r="BP120" s="1582">
        <f t="shared" si="411"/>
        <v>187.87</v>
      </c>
      <c r="BQ120" s="637"/>
      <c r="BR120" s="638"/>
      <c r="BU120" s="609"/>
      <c r="BV120" s="608"/>
      <c r="BW120" s="608"/>
      <c r="BX120" s="608"/>
    </row>
    <row r="121" spans="1:76" ht="12.75" customHeight="1">
      <c r="A121" s="610"/>
      <c r="B121" s="611"/>
      <c r="C121" s="629" t="str">
        <f t="shared" si="419"/>
        <v xml:space="preserve">PJM </v>
      </c>
      <c r="D121" s="629" t="str">
        <f t="shared" si="419"/>
        <v/>
      </c>
      <c r="E121" s="629" t="str">
        <f t="shared" si="419"/>
        <v/>
      </c>
      <c r="F121" s="654"/>
      <c r="G121" s="694" t="str">
        <f t="shared" si="412"/>
        <v/>
      </c>
      <c r="H121" s="695" t="str">
        <f t="shared" ref="H121:AH121" si="432">IF(ISBLANK(H264),"",H264)</f>
        <v/>
      </c>
      <c r="I121" s="695" t="str">
        <f t="shared" si="432"/>
        <v/>
      </c>
      <c r="J121" s="696" t="str">
        <f t="shared" si="432"/>
        <v/>
      </c>
      <c r="K121" s="694" t="str">
        <f t="shared" si="432"/>
        <v/>
      </c>
      <c r="L121" s="695" t="str">
        <f t="shared" si="432"/>
        <v/>
      </c>
      <c r="M121" s="695" t="str">
        <f t="shared" si="432"/>
        <v/>
      </c>
      <c r="N121" s="696" t="str">
        <f t="shared" si="432"/>
        <v/>
      </c>
      <c r="O121" s="694">
        <f t="shared" si="432"/>
        <v>110</v>
      </c>
      <c r="P121" s="695">
        <f t="shared" si="432"/>
        <v>78.819999999999993</v>
      </c>
      <c r="Q121" s="695">
        <f t="shared" si="432"/>
        <v>16.46</v>
      </c>
      <c r="R121" s="699">
        <f t="shared" si="432"/>
        <v>16.46</v>
      </c>
      <c r="S121" s="697">
        <f t="shared" si="432"/>
        <v>16.46</v>
      </c>
      <c r="T121" s="695">
        <f t="shared" si="432"/>
        <v>20.216666666666669</v>
      </c>
      <c r="U121" s="698">
        <f t="shared" si="432"/>
        <v>27.73</v>
      </c>
      <c r="V121" s="699">
        <f t="shared" si="432"/>
        <v>27.73</v>
      </c>
      <c r="W121" s="698">
        <f t="shared" si="432"/>
        <v>27.73</v>
      </c>
      <c r="X121" s="695">
        <f t="shared" si="432"/>
        <v>60.483333333333327</v>
      </c>
      <c r="Y121" s="698">
        <f t="shared" si="432"/>
        <v>125.99</v>
      </c>
      <c r="Z121" s="699">
        <f t="shared" si="432"/>
        <v>125.99</v>
      </c>
      <c r="AA121" s="698">
        <f t="shared" si="432"/>
        <v>125.99</v>
      </c>
      <c r="AB121" s="695">
        <f t="shared" si="432"/>
        <v>129.32666666666668</v>
      </c>
      <c r="AC121" s="698">
        <f t="shared" si="432"/>
        <v>136</v>
      </c>
      <c r="AD121" s="699">
        <f t="shared" si="432"/>
        <v>136</v>
      </c>
      <c r="AE121" s="698">
        <f t="shared" si="432"/>
        <v>136</v>
      </c>
      <c r="AF121" s="695">
        <f t="shared" si="432"/>
        <v>110.45666666666666</v>
      </c>
      <c r="AG121" s="698">
        <f t="shared" si="432"/>
        <v>59.37</v>
      </c>
      <c r="AH121" s="699">
        <f t="shared" si="432"/>
        <v>59.37</v>
      </c>
      <c r="AI121" s="703">
        <f t="shared" si="385"/>
        <v>59.37</v>
      </c>
      <c r="AJ121" s="703">
        <f t="shared" si="385"/>
        <v>79.58</v>
      </c>
      <c r="AK121" s="703">
        <f t="shared" si="385"/>
        <v>120</v>
      </c>
      <c r="AL121" s="699">
        <f t="shared" si="385"/>
        <v>120</v>
      </c>
      <c r="AM121" s="703">
        <f t="shared" si="375"/>
        <v>120</v>
      </c>
      <c r="AN121" s="703">
        <f t="shared" si="375"/>
        <v>151.66666666666666</v>
      </c>
      <c r="AO121" s="703">
        <f t="shared" si="375"/>
        <v>215</v>
      </c>
      <c r="AP121" s="704">
        <f t="shared" si="375"/>
        <v>215</v>
      </c>
      <c r="AQ121" s="703">
        <f t="shared" ref="AQ121:AX121" si="433">IF(ISBLANK(AQ264),"",AQ264)</f>
        <v>215</v>
      </c>
      <c r="AR121" s="703">
        <f t="shared" si="433"/>
        <v>210.92333333333332</v>
      </c>
      <c r="AS121" s="703">
        <f t="shared" si="433"/>
        <v>202.77</v>
      </c>
      <c r="AT121" s="704">
        <f t="shared" si="433"/>
        <v>202.77</v>
      </c>
      <c r="AU121" s="703">
        <f t="shared" si="433"/>
        <v>202.77</v>
      </c>
      <c r="AV121" s="703">
        <f t="shared" si="433"/>
        <v>202.77</v>
      </c>
      <c r="AW121" s="703">
        <f t="shared" si="433"/>
        <v>188.12</v>
      </c>
      <c r="AX121" s="704">
        <f t="shared" si="433"/>
        <v>188.12</v>
      </c>
      <c r="AY121" s="703">
        <f t="shared" ref="AY121:BB121" si="434">IF(ISBLANK(AY264),"",AY264)</f>
        <v>188.12</v>
      </c>
      <c r="AZ121" s="703">
        <f t="shared" si="434"/>
        <v>188.12</v>
      </c>
      <c r="BA121" s="703">
        <f t="shared" si="434"/>
        <v>188.12</v>
      </c>
      <c r="BB121" s="704">
        <f t="shared" si="434"/>
        <v>188.12</v>
      </c>
      <c r="BC121" s="700"/>
      <c r="BD121" s="700"/>
      <c r="BE121" s="701">
        <f t="shared" si="400"/>
        <v>94.41</v>
      </c>
      <c r="BF121" s="701">
        <f t="shared" si="401"/>
        <v>68.426666666666662</v>
      </c>
      <c r="BG121" s="701">
        <f t="shared" si="402"/>
        <v>55.435000000000002</v>
      </c>
      <c r="BH121" s="701">
        <f t="shared" si="403"/>
        <v>23.034166666666668</v>
      </c>
      <c r="BI121" s="701">
        <f t="shared" si="404"/>
        <v>85.048333333333332</v>
      </c>
      <c r="BJ121" s="701">
        <f t="shared" si="405"/>
        <v>131.82916666666665</v>
      </c>
      <c r="BK121" s="701">
        <f t="shared" si="406"/>
        <v>91.299166666666665</v>
      </c>
      <c r="BL121" s="701">
        <f t="shared" si="407"/>
        <v>94.737499999999997</v>
      </c>
      <c r="BM121" s="1582">
        <f t="shared" si="408"/>
        <v>175.41666666666666</v>
      </c>
      <c r="BN121" s="1582">
        <f t="shared" si="409"/>
        <v>207.86583333333331</v>
      </c>
      <c r="BO121" s="1582">
        <f t="shared" si="410"/>
        <v>195.44500000000002</v>
      </c>
      <c r="BP121" s="1582">
        <f t="shared" si="411"/>
        <v>188.12</v>
      </c>
      <c r="BQ121" s="637"/>
      <c r="BR121" s="638"/>
      <c r="BU121" s="609"/>
      <c r="BV121" s="608"/>
      <c r="BW121" s="608"/>
      <c r="BX121" s="608"/>
    </row>
    <row r="122" spans="1:76" ht="12.75" customHeight="1">
      <c r="A122" s="610"/>
      <c r="B122" s="611"/>
      <c r="C122" s="629" t="str">
        <f t="shared" si="419"/>
        <v>PSEG North</v>
      </c>
      <c r="D122" s="629" t="str">
        <f t="shared" si="419"/>
        <v/>
      </c>
      <c r="E122" s="629" t="str">
        <f t="shared" si="419"/>
        <v/>
      </c>
      <c r="F122" s="654"/>
      <c r="G122" s="694" t="str">
        <f t="shared" si="412"/>
        <v/>
      </c>
      <c r="H122" s="695" t="str">
        <f t="shared" ref="H122:AH122" si="435">IF(ISBLANK(H265),"",H265)</f>
        <v/>
      </c>
      <c r="I122" s="695" t="str">
        <f t="shared" si="435"/>
        <v/>
      </c>
      <c r="J122" s="696" t="str">
        <f t="shared" si="435"/>
        <v/>
      </c>
      <c r="K122" s="694" t="str">
        <f t="shared" si="435"/>
        <v/>
      </c>
      <c r="L122" s="695" t="str">
        <f t="shared" si="435"/>
        <v/>
      </c>
      <c r="M122" s="695" t="str">
        <f t="shared" si="435"/>
        <v/>
      </c>
      <c r="N122" s="696" t="str">
        <f t="shared" si="435"/>
        <v/>
      </c>
      <c r="O122" s="694">
        <f t="shared" si="435"/>
        <v>110</v>
      </c>
      <c r="P122" s="695">
        <f t="shared" si="435"/>
        <v>135</v>
      </c>
      <c r="Q122" s="695">
        <f t="shared" si="435"/>
        <v>185</v>
      </c>
      <c r="R122" s="699">
        <f t="shared" si="435"/>
        <v>185</v>
      </c>
      <c r="S122" s="697">
        <f t="shared" si="435"/>
        <v>185</v>
      </c>
      <c r="T122" s="695">
        <f t="shared" si="435"/>
        <v>205</v>
      </c>
      <c r="U122" s="698">
        <f t="shared" si="435"/>
        <v>245</v>
      </c>
      <c r="V122" s="699">
        <f t="shared" si="435"/>
        <v>245</v>
      </c>
      <c r="W122" s="698">
        <f t="shared" si="435"/>
        <v>245</v>
      </c>
      <c r="X122" s="695">
        <f t="shared" si="435"/>
        <v>238.33333333333334</v>
      </c>
      <c r="Y122" s="698">
        <f t="shared" si="435"/>
        <v>225</v>
      </c>
      <c r="Z122" s="699">
        <f t="shared" si="435"/>
        <v>225</v>
      </c>
      <c r="AA122" s="698">
        <f t="shared" si="435"/>
        <v>225</v>
      </c>
      <c r="AB122" s="695">
        <f t="shared" si="435"/>
        <v>205.82</v>
      </c>
      <c r="AC122" s="698">
        <f t="shared" si="435"/>
        <v>167.46</v>
      </c>
      <c r="AD122" s="699">
        <f t="shared" si="435"/>
        <v>167.46</v>
      </c>
      <c r="AE122" s="698">
        <f t="shared" si="435"/>
        <v>167.46</v>
      </c>
      <c r="AF122" s="695">
        <f t="shared" si="435"/>
        <v>184.64</v>
      </c>
      <c r="AG122" s="698">
        <f t="shared" si="435"/>
        <v>219</v>
      </c>
      <c r="AH122" s="699">
        <f t="shared" si="435"/>
        <v>219</v>
      </c>
      <c r="AI122" s="703">
        <f t="shared" si="385"/>
        <v>219</v>
      </c>
      <c r="AJ122" s="703">
        <f t="shared" si="385"/>
        <v>217.66666666666666</v>
      </c>
      <c r="AK122" s="703">
        <f t="shared" si="385"/>
        <v>215</v>
      </c>
      <c r="AL122" s="699">
        <f t="shared" si="385"/>
        <v>215</v>
      </c>
      <c r="AM122" s="703">
        <f t="shared" si="375"/>
        <v>215</v>
      </c>
      <c r="AN122" s="703">
        <f t="shared" si="375"/>
        <v>218.4733333333333</v>
      </c>
      <c r="AO122" s="703">
        <f t="shared" si="375"/>
        <v>225.42</v>
      </c>
      <c r="AP122" s="704">
        <f t="shared" si="375"/>
        <v>225.42</v>
      </c>
      <c r="AQ122" s="703">
        <f t="shared" ref="AQ122:AX122" si="436">IF(ISBLANK(AQ265),"",AQ265)</f>
        <v>225.42</v>
      </c>
      <c r="AR122" s="703">
        <f t="shared" si="436"/>
        <v>190.27999999999997</v>
      </c>
      <c r="AS122" s="703">
        <f t="shared" si="436"/>
        <v>120</v>
      </c>
      <c r="AT122" s="704">
        <f t="shared" si="436"/>
        <v>120</v>
      </c>
      <c r="AU122" s="703">
        <f t="shared" si="436"/>
        <v>120</v>
      </c>
      <c r="AV122" s="703">
        <f t="shared" si="436"/>
        <v>142.62333333333333</v>
      </c>
      <c r="AW122" s="703">
        <f t="shared" si="436"/>
        <v>187.87</v>
      </c>
      <c r="AX122" s="704">
        <f t="shared" si="436"/>
        <v>187.87</v>
      </c>
      <c r="AY122" s="703">
        <f t="shared" ref="AY122:BB122" si="437">IF(ISBLANK(AY265),"",AY265)</f>
        <v>187.87</v>
      </c>
      <c r="AZ122" s="703">
        <f t="shared" si="437"/>
        <v>187.87</v>
      </c>
      <c r="BA122" s="703">
        <f t="shared" si="437"/>
        <v>187.87</v>
      </c>
      <c r="BB122" s="704">
        <f t="shared" si="437"/>
        <v>187.87</v>
      </c>
      <c r="BC122" s="700"/>
      <c r="BD122" s="700"/>
      <c r="BE122" s="701">
        <f t="shared" si="400"/>
        <v>122.5</v>
      </c>
      <c r="BF122" s="701">
        <f t="shared" si="401"/>
        <v>143.33333333333334</v>
      </c>
      <c r="BG122" s="701">
        <f t="shared" si="402"/>
        <v>153.75</v>
      </c>
      <c r="BH122" s="701">
        <f t="shared" si="403"/>
        <v>220</v>
      </c>
      <c r="BI122" s="701">
        <f t="shared" si="404"/>
        <v>233.33333333333334</v>
      </c>
      <c r="BJ122" s="701">
        <f t="shared" si="405"/>
        <v>191.435</v>
      </c>
      <c r="BK122" s="701">
        <f t="shared" si="406"/>
        <v>197.52500000000001</v>
      </c>
      <c r="BL122" s="701">
        <f t="shared" si="407"/>
        <v>216.66666666666666</v>
      </c>
      <c r="BM122" s="1582">
        <f t="shared" si="408"/>
        <v>221.07833333333332</v>
      </c>
      <c r="BN122" s="1582">
        <f t="shared" si="409"/>
        <v>163.92499999999998</v>
      </c>
      <c r="BO122" s="1582">
        <f t="shared" si="410"/>
        <v>159.59083333333334</v>
      </c>
      <c r="BP122" s="1582">
        <f t="shared" si="411"/>
        <v>187.87</v>
      </c>
      <c r="BQ122" s="637"/>
      <c r="BR122" s="638"/>
      <c r="BU122" s="609"/>
      <c r="BV122" s="608"/>
      <c r="BW122" s="608"/>
      <c r="BX122" s="608"/>
    </row>
    <row r="123" spans="1:76" ht="12.75" customHeight="1">
      <c r="A123" s="610"/>
      <c r="B123" s="611"/>
      <c r="C123" s="629" t="str">
        <f t="shared" si="419"/>
        <v>NY ROS</v>
      </c>
      <c r="D123" s="629" t="str">
        <f t="shared" si="419"/>
        <v/>
      </c>
      <c r="E123" s="629" t="str">
        <f t="shared" si="419"/>
        <v/>
      </c>
      <c r="F123" s="654"/>
      <c r="G123" s="694" t="str">
        <f t="shared" si="412"/>
        <v/>
      </c>
      <c r="H123" s="695" t="str">
        <f t="shared" ref="H123:AH123" si="438">IF(ISBLANK(H266),"",H266)</f>
        <v/>
      </c>
      <c r="I123" s="695" t="str">
        <f t="shared" si="438"/>
        <v/>
      </c>
      <c r="J123" s="696" t="str">
        <f t="shared" si="438"/>
        <v/>
      </c>
      <c r="K123" s="694" t="str">
        <f t="shared" si="438"/>
        <v/>
      </c>
      <c r="L123" s="695" t="str">
        <f t="shared" si="438"/>
        <v/>
      </c>
      <c r="M123" s="695" t="str">
        <f t="shared" si="438"/>
        <v/>
      </c>
      <c r="N123" s="696" t="str">
        <f t="shared" si="438"/>
        <v/>
      </c>
      <c r="O123" s="694">
        <f t="shared" si="438"/>
        <v>5</v>
      </c>
      <c r="P123" s="695">
        <f t="shared" si="438"/>
        <v>29</v>
      </c>
      <c r="Q123" s="695">
        <f t="shared" si="438"/>
        <v>41</v>
      </c>
      <c r="R123" s="699">
        <f t="shared" si="438"/>
        <v>31.666666666666668</v>
      </c>
      <c r="S123" s="697">
        <f t="shared" si="438"/>
        <v>27</v>
      </c>
      <c r="T123" s="695">
        <f t="shared" si="438"/>
        <v>101</v>
      </c>
      <c r="U123" s="698">
        <f t="shared" si="438"/>
        <v>138</v>
      </c>
      <c r="V123" s="699">
        <f t="shared" si="438"/>
        <v>108.66666666666667</v>
      </c>
      <c r="W123" s="698">
        <f t="shared" si="438"/>
        <v>94</v>
      </c>
      <c r="X123" s="695">
        <f t="shared" si="438"/>
        <v>144</v>
      </c>
      <c r="Y123" s="698">
        <f t="shared" si="438"/>
        <v>169</v>
      </c>
      <c r="Z123" s="699">
        <f t="shared" si="438"/>
        <v>108.38812785388127</v>
      </c>
      <c r="AA123" s="698">
        <f t="shared" si="438"/>
        <v>78.082191780821915</v>
      </c>
      <c r="AB123" s="695">
        <f t="shared" si="438"/>
        <v>103.83561643835614</v>
      </c>
      <c r="AC123" s="698">
        <f t="shared" si="438"/>
        <v>116.71232876712327</v>
      </c>
      <c r="AD123" s="699">
        <f t="shared" si="438"/>
        <v>63.452054794520535</v>
      </c>
      <c r="AE123" s="698">
        <f t="shared" si="438"/>
        <v>36.821917808219183</v>
      </c>
      <c r="AF123" s="695">
        <f t="shared" si="438"/>
        <v>91.61643835616438</v>
      </c>
      <c r="AG123" s="698">
        <f t="shared" si="438"/>
        <v>119.01369863013699</v>
      </c>
      <c r="AH123" s="699">
        <f t="shared" si="438"/>
        <v>56.109589041095887</v>
      </c>
      <c r="AI123" s="703">
        <f t="shared" si="385"/>
        <v>24.657534246575342</v>
      </c>
      <c r="AJ123" s="703">
        <f t="shared" si="385"/>
        <v>101.36986301369862</v>
      </c>
      <c r="AK123" s="703">
        <f t="shared" si="385"/>
        <v>139.72602739726028</v>
      </c>
      <c r="AL123" s="699">
        <f t="shared" si="385"/>
        <v>75.06849315068493</v>
      </c>
      <c r="AM123" s="703">
        <f t="shared" si="375"/>
        <v>42.739726027397268</v>
      </c>
      <c r="AN123" s="703">
        <f t="shared" si="375"/>
        <v>123.83561643835615</v>
      </c>
      <c r="AO123" s="703">
        <f t="shared" si="375"/>
        <v>164.38356164383561</v>
      </c>
      <c r="AP123" s="704">
        <f t="shared" si="375"/>
        <v>83.287671232876704</v>
      </c>
      <c r="AQ123" s="703">
        <f t="shared" ref="AQ123:AX123" si="439">IF(ISBLANK(AQ266),"",AQ266)</f>
        <v>42.739726027397268</v>
      </c>
      <c r="AR123" s="703">
        <f t="shared" si="439"/>
        <v>123.83561643835615</v>
      </c>
      <c r="AS123" s="703">
        <f t="shared" si="439"/>
        <v>164.38356164383561</v>
      </c>
      <c r="AT123" s="704">
        <f t="shared" si="439"/>
        <v>83.287671232876704</v>
      </c>
      <c r="AU123" s="703">
        <f t="shared" si="439"/>
        <v>42.739726027397268</v>
      </c>
      <c r="AV123" s="703">
        <f t="shared" si="439"/>
        <v>123.83561643835615</v>
      </c>
      <c r="AW123" s="703">
        <f t="shared" si="439"/>
        <v>164.38356164383561</v>
      </c>
      <c r="AX123" s="704">
        <f t="shared" si="439"/>
        <v>83.287671232876704</v>
      </c>
      <c r="AY123" s="703">
        <f t="shared" ref="AY123:BB123" si="440">IF(ISBLANK(AY266),"",AY266)</f>
        <v>42.739726027397268</v>
      </c>
      <c r="AZ123" s="703">
        <f t="shared" si="440"/>
        <v>123.83561643835615</v>
      </c>
      <c r="BA123" s="703">
        <f t="shared" si="440"/>
        <v>164.38356164383561</v>
      </c>
      <c r="BB123" s="704">
        <f t="shared" si="440"/>
        <v>83.287671232876704</v>
      </c>
      <c r="BC123" s="700"/>
      <c r="BD123" s="700"/>
      <c r="BE123" s="701">
        <f t="shared" si="400"/>
        <v>17</v>
      </c>
      <c r="BF123" s="701">
        <f t="shared" si="401"/>
        <v>25</v>
      </c>
      <c r="BG123" s="701">
        <f t="shared" si="402"/>
        <v>26.666666666666668</v>
      </c>
      <c r="BH123" s="701">
        <f t="shared" si="403"/>
        <v>93.666666666666671</v>
      </c>
      <c r="BI123" s="701">
        <f t="shared" si="404"/>
        <v>128.84703196347033</v>
      </c>
      <c r="BJ123" s="701">
        <f t="shared" si="405"/>
        <v>90.520547945205465</v>
      </c>
      <c r="BK123" s="701">
        <f t="shared" si="406"/>
        <v>75.890410958904113</v>
      </c>
      <c r="BL123" s="701">
        <f t="shared" si="407"/>
        <v>85.205479452054789</v>
      </c>
      <c r="BM123" s="1582">
        <f t="shared" si="408"/>
        <v>103.56164383561642</v>
      </c>
      <c r="BN123" s="1582">
        <f t="shared" si="409"/>
        <v>103.56164383561642</v>
      </c>
      <c r="BO123" s="1582">
        <f t="shared" si="410"/>
        <v>103.56164383561642</v>
      </c>
      <c r="BP123" s="1582">
        <f t="shared" si="411"/>
        <v>103.56164383561642</v>
      </c>
      <c r="BQ123" s="637"/>
      <c r="BR123" s="638"/>
      <c r="BU123" s="609"/>
      <c r="BV123" s="608"/>
      <c r="BW123" s="608"/>
      <c r="BX123" s="608"/>
    </row>
    <row r="124" spans="1:76" ht="12.75" customHeight="1">
      <c r="A124" s="610"/>
      <c r="B124" s="611"/>
      <c r="C124" s="629" t="str">
        <f t="shared" si="419"/>
        <v>NYC</v>
      </c>
      <c r="D124" s="629" t="str">
        <f t="shared" si="419"/>
        <v/>
      </c>
      <c r="E124" s="629" t="str">
        <f t="shared" si="419"/>
        <v/>
      </c>
      <c r="F124" s="654"/>
      <c r="G124" s="694" t="str">
        <f t="shared" si="412"/>
        <v/>
      </c>
      <c r="H124" s="695" t="str">
        <f t="shared" ref="H124:AH124" si="441">IF(ISBLANK(H267),"",H267)</f>
        <v/>
      </c>
      <c r="I124" s="695" t="str">
        <f t="shared" si="441"/>
        <v/>
      </c>
      <c r="J124" s="696" t="str">
        <f t="shared" si="441"/>
        <v/>
      </c>
      <c r="K124" s="694" t="str">
        <f t="shared" si="441"/>
        <v/>
      </c>
      <c r="L124" s="695" t="str">
        <f t="shared" si="441"/>
        <v/>
      </c>
      <c r="M124" s="695" t="str">
        <f t="shared" si="441"/>
        <v/>
      </c>
      <c r="N124" s="696" t="str">
        <f t="shared" si="441"/>
        <v/>
      </c>
      <c r="O124" s="694">
        <f t="shared" si="441"/>
        <v>89</v>
      </c>
      <c r="P124" s="695">
        <f t="shared" si="441"/>
        <v>286.33333333333331</v>
      </c>
      <c r="Q124" s="695">
        <f t="shared" si="441"/>
        <v>385</v>
      </c>
      <c r="R124" s="699">
        <f t="shared" si="441"/>
        <v>227</v>
      </c>
      <c r="S124" s="697">
        <f t="shared" si="441"/>
        <v>148</v>
      </c>
      <c r="T124" s="695">
        <f t="shared" si="441"/>
        <v>374</v>
      </c>
      <c r="U124" s="698">
        <f t="shared" si="441"/>
        <v>487</v>
      </c>
      <c r="V124" s="699">
        <f t="shared" si="441"/>
        <v>326.33333333333331</v>
      </c>
      <c r="W124" s="698">
        <f t="shared" si="441"/>
        <v>246</v>
      </c>
      <c r="X124" s="695">
        <f t="shared" si="441"/>
        <v>437.33333333333331</v>
      </c>
      <c r="Y124" s="698">
        <f t="shared" si="441"/>
        <v>533</v>
      </c>
      <c r="Z124" s="699">
        <f t="shared" si="441"/>
        <v>374.05022831050229</v>
      </c>
      <c r="AA124" s="698">
        <f t="shared" si="441"/>
        <v>294.57534246575347</v>
      </c>
      <c r="AB124" s="695">
        <f t="shared" si="441"/>
        <v>441.20547945205482</v>
      </c>
      <c r="AC124" s="698">
        <f t="shared" si="441"/>
        <v>514.52054794520552</v>
      </c>
      <c r="AD124" s="699">
        <f t="shared" si="441"/>
        <v>299.28767123287673</v>
      </c>
      <c r="AE124" s="698">
        <f t="shared" si="441"/>
        <v>191.67123287671237</v>
      </c>
      <c r="AF124" s="695">
        <f t="shared" si="441"/>
        <v>304.76712328767127</v>
      </c>
      <c r="AG124" s="698">
        <f t="shared" si="441"/>
        <v>361.3150684931507</v>
      </c>
      <c r="AH124" s="699">
        <f t="shared" si="441"/>
        <v>197.15068493150685</v>
      </c>
      <c r="AI124" s="703">
        <f t="shared" si="385"/>
        <v>115.06849315068493</v>
      </c>
      <c r="AJ124" s="703">
        <f t="shared" si="385"/>
        <v>306.84931506849313</v>
      </c>
      <c r="AK124" s="703">
        <f t="shared" si="385"/>
        <v>402.73972602739724</v>
      </c>
      <c r="AL124" s="699">
        <f t="shared" si="385"/>
        <v>240.10958904109589</v>
      </c>
      <c r="AM124" s="703">
        <f t="shared" si="375"/>
        <v>158.79452054794521</v>
      </c>
      <c r="AN124" s="703">
        <f t="shared" si="375"/>
        <v>321.42465753424653</v>
      </c>
      <c r="AO124" s="703">
        <f t="shared" si="375"/>
        <v>402.73972602739724</v>
      </c>
      <c r="AP124" s="704">
        <f t="shared" si="375"/>
        <v>240.10958904109589</v>
      </c>
      <c r="AQ124" s="703">
        <f t="shared" ref="AQ124:AX124" si="442">IF(ISBLANK(AQ267),"",AQ267)</f>
        <v>158.79452054794521</v>
      </c>
      <c r="AR124" s="703">
        <f t="shared" si="442"/>
        <v>321.42465753424653</v>
      </c>
      <c r="AS124" s="703">
        <f t="shared" si="442"/>
        <v>402.73972602739724</v>
      </c>
      <c r="AT124" s="704">
        <f t="shared" si="442"/>
        <v>240.10958904109589</v>
      </c>
      <c r="AU124" s="703">
        <f t="shared" si="442"/>
        <v>158.79452054794521</v>
      </c>
      <c r="AV124" s="703">
        <f t="shared" si="442"/>
        <v>321.42465753424653</v>
      </c>
      <c r="AW124" s="703">
        <f t="shared" si="442"/>
        <v>402.73972602739724</v>
      </c>
      <c r="AX124" s="704">
        <f t="shared" si="442"/>
        <v>240.10958904109589</v>
      </c>
      <c r="AY124" s="703">
        <f t="shared" ref="AY124:BB124" si="443">IF(ISBLANK(AY267),"",AY267)</f>
        <v>158.79452054794521</v>
      </c>
      <c r="AZ124" s="703">
        <f t="shared" si="443"/>
        <v>321.42465753424653</v>
      </c>
      <c r="BA124" s="703">
        <f t="shared" si="443"/>
        <v>402.73972602739724</v>
      </c>
      <c r="BB124" s="704">
        <f t="shared" si="443"/>
        <v>240.10958904109589</v>
      </c>
      <c r="BC124" s="700"/>
      <c r="BD124" s="700"/>
      <c r="BE124" s="701">
        <f t="shared" si="400"/>
        <v>187.66666666666666</v>
      </c>
      <c r="BF124" s="701">
        <f t="shared" si="401"/>
        <v>253.44444444444443</v>
      </c>
      <c r="BG124" s="701">
        <f t="shared" si="402"/>
        <v>246.83333333333331</v>
      </c>
      <c r="BH124" s="701">
        <f t="shared" si="403"/>
        <v>333.83333333333331</v>
      </c>
      <c r="BI124" s="701">
        <f t="shared" si="404"/>
        <v>397.59589041095887</v>
      </c>
      <c r="BJ124" s="701">
        <f t="shared" si="405"/>
        <v>387.39726027397262</v>
      </c>
      <c r="BK124" s="701">
        <f t="shared" si="406"/>
        <v>263.72602739726034</v>
      </c>
      <c r="BL124" s="701">
        <f t="shared" si="407"/>
        <v>266.1917808219178</v>
      </c>
      <c r="BM124" s="1582">
        <f t="shared" si="408"/>
        <v>280.76712328767121</v>
      </c>
      <c r="BN124" s="1582">
        <f t="shared" si="409"/>
        <v>280.76712328767121</v>
      </c>
      <c r="BO124" s="1582">
        <f t="shared" si="410"/>
        <v>280.76712328767121</v>
      </c>
      <c r="BP124" s="1582">
        <f t="shared" si="411"/>
        <v>280.76712328767121</v>
      </c>
      <c r="BQ124" s="637"/>
      <c r="BR124" s="638"/>
      <c r="BU124" s="609"/>
      <c r="BV124" s="608"/>
      <c r="BW124" s="608"/>
      <c r="BX124" s="608"/>
    </row>
    <row r="125" spans="1:76" ht="12.75" customHeight="1">
      <c r="A125" s="610"/>
      <c r="B125" s="611"/>
      <c r="C125" s="629" t="str">
        <f t="shared" si="419"/>
        <v>ATSI</v>
      </c>
      <c r="D125" s="629" t="str">
        <f t="shared" si="419"/>
        <v/>
      </c>
      <c r="E125" s="629" t="str">
        <f t="shared" si="419"/>
        <v/>
      </c>
      <c r="F125" s="654"/>
      <c r="G125" s="694" t="str">
        <f t="shared" si="412"/>
        <v/>
      </c>
      <c r="H125" s="695" t="str">
        <f t="shared" ref="H125:AH125" si="444">IF(ISBLANK(H268),"",H268)</f>
        <v/>
      </c>
      <c r="I125" s="695" t="str">
        <f t="shared" si="444"/>
        <v/>
      </c>
      <c r="J125" s="696" t="str">
        <f t="shared" si="444"/>
        <v/>
      </c>
      <c r="K125" s="694" t="str">
        <f t="shared" si="444"/>
        <v/>
      </c>
      <c r="L125" s="695" t="str">
        <f t="shared" si="444"/>
        <v/>
      </c>
      <c r="M125" s="695" t="str">
        <f t="shared" si="444"/>
        <v/>
      </c>
      <c r="N125" s="696" t="str">
        <f t="shared" si="444"/>
        <v/>
      </c>
      <c r="O125" s="694">
        <f t="shared" si="444"/>
        <v>110</v>
      </c>
      <c r="P125" s="695">
        <f t="shared" si="444"/>
        <v>78.819999999999993</v>
      </c>
      <c r="Q125" s="695">
        <f t="shared" si="444"/>
        <v>16.46</v>
      </c>
      <c r="R125" s="699">
        <f t="shared" si="444"/>
        <v>16.46</v>
      </c>
      <c r="S125" s="697">
        <f t="shared" si="444"/>
        <v>16.46</v>
      </c>
      <c r="T125" s="698">
        <f t="shared" si="444"/>
        <v>20.216666666666669</v>
      </c>
      <c r="U125" s="698">
        <f t="shared" si="444"/>
        <v>27.73</v>
      </c>
      <c r="V125" s="699">
        <f t="shared" si="444"/>
        <v>27.73</v>
      </c>
      <c r="W125" s="698">
        <f t="shared" si="444"/>
        <v>27.73</v>
      </c>
      <c r="X125" s="698">
        <f t="shared" si="444"/>
        <v>60.483333333333327</v>
      </c>
      <c r="Y125" s="698">
        <f t="shared" si="444"/>
        <v>125.99</v>
      </c>
      <c r="Z125" s="699">
        <f t="shared" si="444"/>
        <v>125.99</v>
      </c>
      <c r="AA125" s="698">
        <f t="shared" si="444"/>
        <v>125.99</v>
      </c>
      <c r="AB125" s="698">
        <f t="shared" si="444"/>
        <v>129.32666666666668</v>
      </c>
      <c r="AC125" s="698">
        <f t="shared" si="444"/>
        <v>357</v>
      </c>
      <c r="AD125" s="699">
        <f t="shared" si="444"/>
        <v>357</v>
      </c>
      <c r="AE125" s="698">
        <f t="shared" si="444"/>
        <v>357</v>
      </c>
      <c r="AF125" s="695">
        <f t="shared" si="444"/>
        <v>276.07666666666665</v>
      </c>
      <c r="AG125" s="698">
        <f t="shared" si="444"/>
        <v>114.23</v>
      </c>
      <c r="AH125" s="699">
        <f t="shared" si="444"/>
        <v>114.23</v>
      </c>
      <c r="AI125" s="703">
        <f t="shared" si="385"/>
        <v>114.23</v>
      </c>
      <c r="AJ125" s="703">
        <f t="shared" si="385"/>
        <v>116.15333333333334</v>
      </c>
      <c r="AK125" s="703">
        <f t="shared" si="385"/>
        <v>120</v>
      </c>
      <c r="AL125" s="699">
        <f t="shared" si="385"/>
        <v>120</v>
      </c>
      <c r="AM125" s="703">
        <f t="shared" si="375"/>
        <v>120</v>
      </c>
      <c r="AN125" s="703">
        <f t="shared" si="375"/>
        <v>134.92333333333335</v>
      </c>
      <c r="AO125" s="703">
        <f t="shared" si="375"/>
        <v>164.77</v>
      </c>
      <c r="AP125" s="704">
        <f t="shared" si="375"/>
        <v>164.77</v>
      </c>
      <c r="AQ125" s="703">
        <f t="shared" ref="AQ125:AX125" si="445">IF(ISBLANK(AQ268),"",AQ268)</f>
        <v>164.77</v>
      </c>
      <c r="AR125" s="703">
        <f t="shared" si="445"/>
        <v>143.18</v>
      </c>
      <c r="AS125" s="703">
        <f t="shared" si="445"/>
        <v>100</v>
      </c>
      <c r="AT125" s="704">
        <f t="shared" si="445"/>
        <v>100</v>
      </c>
      <c r="AU125" s="703">
        <f t="shared" si="445"/>
        <v>100</v>
      </c>
      <c r="AV125" s="703">
        <f t="shared" si="445"/>
        <v>100</v>
      </c>
      <c r="AW125" s="703">
        <f t="shared" si="445"/>
        <v>76.53</v>
      </c>
      <c r="AX125" s="704">
        <f t="shared" si="445"/>
        <v>76.53</v>
      </c>
      <c r="AY125" s="703">
        <f t="shared" ref="AY125:BB125" si="446">IF(ISBLANK(AY268),"",AY268)</f>
        <v>76.53</v>
      </c>
      <c r="AZ125" s="703">
        <f t="shared" si="446"/>
        <v>76.53</v>
      </c>
      <c r="BA125" s="703">
        <f t="shared" si="446"/>
        <v>76.53</v>
      </c>
      <c r="BB125" s="704">
        <f t="shared" si="446"/>
        <v>76.53</v>
      </c>
      <c r="BC125" s="700"/>
      <c r="BD125" s="700"/>
      <c r="BE125" s="701">
        <f t="shared" si="400"/>
        <v>94.41</v>
      </c>
      <c r="BF125" s="701">
        <f t="shared" si="401"/>
        <v>68.426666666666662</v>
      </c>
      <c r="BG125" s="701">
        <f t="shared" si="402"/>
        <v>55.435000000000002</v>
      </c>
      <c r="BH125" s="701">
        <f t="shared" si="403"/>
        <v>23.034166666666668</v>
      </c>
      <c r="BI125" s="701">
        <f t="shared" si="404"/>
        <v>85.048333333333332</v>
      </c>
      <c r="BJ125" s="701">
        <f t="shared" si="405"/>
        <v>242.32916666666665</v>
      </c>
      <c r="BK125" s="701">
        <f t="shared" si="406"/>
        <v>215.38416666666666</v>
      </c>
      <c r="BL125" s="701">
        <f t="shared" si="407"/>
        <v>117.59583333333333</v>
      </c>
      <c r="BM125" s="1582">
        <f t="shared" si="408"/>
        <v>146.11583333333334</v>
      </c>
      <c r="BN125" s="1582">
        <f t="shared" si="409"/>
        <v>126.98750000000001</v>
      </c>
      <c r="BO125" s="1582">
        <f t="shared" si="410"/>
        <v>88.264999999999986</v>
      </c>
      <c r="BP125" s="1582">
        <f t="shared" si="411"/>
        <v>76.53</v>
      </c>
      <c r="BQ125" s="637"/>
      <c r="BR125" s="638"/>
      <c r="BU125" s="609"/>
      <c r="BV125" s="608"/>
      <c r="BW125" s="608"/>
      <c r="BX125" s="608"/>
    </row>
    <row r="126" spans="1:76" ht="12.75" customHeight="1">
      <c r="A126" s="610"/>
      <c r="B126" s="611"/>
      <c r="C126" s="629" t="str">
        <f t="shared" si="419"/>
        <v>MISO</v>
      </c>
      <c r="D126" s="629" t="str">
        <f t="shared" si="419"/>
        <v/>
      </c>
      <c r="E126" s="629" t="str">
        <f t="shared" si="419"/>
        <v/>
      </c>
      <c r="F126" s="654"/>
      <c r="G126" s="694" t="str">
        <f t="shared" si="412"/>
        <v/>
      </c>
      <c r="H126" s="695" t="str">
        <f t="shared" ref="H126:AH126" si="447">IF(ISBLANK(H269),"",H269)</f>
        <v/>
      </c>
      <c r="I126" s="695" t="str">
        <f t="shared" si="447"/>
        <v/>
      </c>
      <c r="J126" s="696" t="str">
        <f t="shared" si="447"/>
        <v/>
      </c>
      <c r="K126" s="694" t="str">
        <f t="shared" si="447"/>
        <v/>
      </c>
      <c r="L126" s="695" t="str">
        <f t="shared" si="447"/>
        <v/>
      </c>
      <c r="M126" s="695" t="str">
        <f t="shared" si="447"/>
        <v/>
      </c>
      <c r="N126" s="696" t="str">
        <f t="shared" si="447"/>
        <v/>
      </c>
      <c r="O126" s="694">
        <f t="shared" si="447"/>
        <v>0</v>
      </c>
      <c r="P126" s="695">
        <f t="shared" si="447"/>
        <v>0</v>
      </c>
      <c r="Q126" s="695">
        <f t="shared" si="447"/>
        <v>0</v>
      </c>
      <c r="R126" s="699">
        <f t="shared" si="447"/>
        <v>0</v>
      </c>
      <c r="S126" s="697">
        <f t="shared" si="447"/>
        <v>0.1</v>
      </c>
      <c r="T126" s="698">
        <f t="shared" si="447"/>
        <v>0.41666666666666669</v>
      </c>
      <c r="U126" s="698">
        <f t="shared" si="447"/>
        <v>1.05</v>
      </c>
      <c r="V126" s="699">
        <f t="shared" si="447"/>
        <v>1.05</v>
      </c>
      <c r="W126" s="698">
        <f t="shared" si="447"/>
        <v>1.05</v>
      </c>
      <c r="X126" s="698">
        <f t="shared" si="447"/>
        <v>11.516666666666666</v>
      </c>
      <c r="Y126" s="698">
        <f t="shared" si="447"/>
        <v>16.75</v>
      </c>
      <c r="Z126" s="699">
        <f t="shared" si="447"/>
        <v>16.75</v>
      </c>
      <c r="AA126" s="698">
        <f t="shared" si="447"/>
        <v>16.75</v>
      </c>
      <c r="AB126" s="698">
        <f t="shared" si="447"/>
        <v>105.58333333333333</v>
      </c>
      <c r="AC126" s="698">
        <f t="shared" si="447"/>
        <v>150</v>
      </c>
      <c r="AD126" s="699">
        <f t="shared" si="447"/>
        <v>150</v>
      </c>
      <c r="AE126" s="698">
        <f t="shared" si="447"/>
        <v>150</v>
      </c>
      <c r="AF126" s="698">
        <f t="shared" si="447"/>
        <v>150</v>
      </c>
      <c r="AG126" s="698">
        <f t="shared" si="447"/>
        <v>150</v>
      </c>
      <c r="AH126" s="699">
        <f t="shared" si="447"/>
        <v>150</v>
      </c>
      <c r="AI126" s="703">
        <f t="shared" si="385"/>
        <v>150</v>
      </c>
      <c r="AJ126" s="703">
        <f t="shared" si="385"/>
        <v>150</v>
      </c>
      <c r="AK126" s="703">
        <f t="shared" si="385"/>
        <v>150</v>
      </c>
      <c r="AL126" s="699">
        <f t="shared" si="385"/>
        <v>150</v>
      </c>
      <c r="AM126" s="703">
        <f t="shared" si="375"/>
        <v>150</v>
      </c>
      <c r="AN126" s="703">
        <f t="shared" si="375"/>
        <v>150</v>
      </c>
      <c r="AO126" s="703">
        <f t="shared" si="375"/>
        <v>150</v>
      </c>
      <c r="AP126" s="704">
        <f t="shared" si="375"/>
        <v>150</v>
      </c>
      <c r="AQ126" s="703">
        <f t="shared" ref="AQ126:AX126" si="448">IF(ISBLANK(AQ269),"",AQ269)</f>
        <v>150</v>
      </c>
      <c r="AR126" s="703">
        <f t="shared" si="448"/>
        <v>150</v>
      </c>
      <c r="AS126" s="703">
        <f t="shared" si="448"/>
        <v>150</v>
      </c>
      <c r="AT126" s="704">
        <f t="shared" si="448"/>
        <v>150</v>
      </c>
      <c r="AU126" s="703">
        <f t="shared" si="448"/>
        <v>150</v>
      </c>
      <c r="AV126" s="703">
        <f t="shared" si="448"/>
        <v>150</v>
      </c>
      <c r="AW126" s="703">
        <f t="shared" si="448"/>
        <v>150</v>
      </c>
      <c r="AX126" s="704">
        <f t="shared" si="448"/>
        <v>150</v>
      </c>
      <c r="AY126" s="703">
        <f t="shared" ref="AY126:BB126" si="449">IF(ISBLANK(AY269),"",AY269)</f>
        <v>150</v>
      </c>
      <c r="AZ126" s="703">
        <f t="shared" si="449"/>
        <v>150</v>
      </c>
      <c r="BA126" s="703">
        <f t="shared" si="449"/>
        <v>150</v>
      </c>
      <c r="BB126" s="704">
        <f t="shared" si="449"/>
        <v>150</v>
      </c>
      <c r="BC126" s="700"/>
      <c r="BD126" s="700"/>
      <c r="BE126" s="701">
        <f t="shared" si="400"/>
        <v>0</v>
      </c>
      <c r="BF126" s="701">
        <f t="shared" si="401"/>
        <v>0</v>
      </c>
      <c r="BG126" s="701">
        <f t="shared" si="402"/>
        <v>0</v>
      </c>
      <c r="BH126" s="701">
        <f t="shared" si="403"/>
        <v>0.65416666666666679</v>
      </c>
      <c r="BI126" s="701">
        <f t="shared" si="404"/>
        <v>11.516666666666666</v>
      </c>
      <c r="BJ126" s="701">
        <f t="shared" si="405"/>
        <v>105.58333333333333</v>
      </c>
      <c r="BK126" s="701">
        <f t="shared" si="406"/>
        <v>150</v>
      </c>
      <c r="BL126" s="701">
        <f t="shared" si="407"/>
        <v>150</v>
      </c>
      <c r="BM126" s="1582">
        <f t="shared" si="408"/>
        <v>150</v>
      </c>
      <c r="BN126" s="1582">
        <f t="shared" si="409"/>
        <v>150</v>
      </c>
      <c r="BO126" s="1582">
        <f t="shared" si="410"/>
        <v>150</v>
      </c>
      <c r="BP126" s="1582">
        <f t="shared" si="411"/>
        <v>150</v>
      </c>
      <c r="BQ126" s="637"/>
      <c r="BR126" s="638"/>
      <c r="BU126" s="609"/>
      <c r="BV126" s="608"/>
      <c r="BW126" s="608"/>
      <c r="BX126" s="608"/>
    </row>
    <row r="127" spans="1:76" ht="12.75" customHeight="1">
      <c r="A127" s="610"/>
      <c r="B127" s="611"/>
      <c r="C127" s="629" t="str">
        <f t="shared" si="419"/>
        <v>ISO-NE Connecticut</v>
      </c>
      <c r="D127" s="629" t="str">
        <f t="shared" si="419"/>
        <v/>
      </c>
      <c r="E127" s="629" t="str">
        <f t="shared" si="419"/>
        <v/>
      </c>
      <c r="F127" s="654"/>
      <c r="G127" s="694" t="str">
        <f t="shared" si="412"/>
        <v/>
      </c>
      <c r="H127" s="695" t="str">
        <f t="shared" ref="H127:AH127" si="450">IF(ISBLANK(H270),"",H270)</f>
        <v/>
      </c>
      <c r="I127" s="695" t="str">
        <f t="shared" si="450"/>
        <v/>
      </c>
      <c r="J127" s="696" t="str">
        <f t="shared" si="450"/>
        <v/>
      </c>
      <c r="K127" s="694" t="str">
        <f t="shared" si="450"/>
        <v/>
      </c>
      <c r="L127" s="695" t="str">
        <f t="shared" si="450"/>
        <v/>
      </c>
      <c r="M127" s="695" t="str">
        <f t="shared" si="450"/>
        <v/>
      </c>
      <c r="N127" s="696" t="str">
        <f t="shared" si="450"/>
        <v/>
      </c>
      <c r="O127" s="694">
        <f t="shared" si="450"/>
        <v>102.54</v>
      </c>
      <c r="P127" s="695">
        <f t="shared" si="450"/>
        <v>96.14</v>
      </c>
      <c r="Q127" s="695">
        <f t="shared" si="450"/>
        <v>83.34</v>
      </c>
      <c r="R127" s="699">
        <f t="shared" si="450"/>
        <v>83.34</v>
      </c>
      <c r="S127" s="697">
        <f t="shared" si="450"/>
        <v>83.34</v>
      </c>
      <c r="T127" s="698">
        <f t="shared" si="450"/>
        <v>83.13333333333334</v>
      </c>
      <c r="U127" s="698">
        <f t="shared" si="450"/>
        <v>82.72</v>
      </c>
      <c r="V127" s="699">
        <f t="shared" si="450"/>
        <v>82.72</v>
      </c>
      <c r="W127" s="698">
        <f t="shared" si="450"/>
        <v>82.72</v>
      </c>
      <c r="X127" s="698">
        <f t="shared" si="450"/>
        <v>86.433333333333337</v>
      </c>
      <c r="Y127" s="698">
        <f t="shared" si="450"/>
        <v>93.86</v>
      </c>
      <c r="Z127" s="699">
        <f t="shared" si="450"/>
        <v>93.86</v>
      </c>
      <c r="AA127" s="698">
        <f t="shared" si="450"/>
        <v>93.86</v>
      </c>
      <c r="AB127" s="698">
        <f t="shared" si="450"/>
        <v>96.874703196347028</v>
      </c>
      <c r="AC127" s="698">
        <f t="shared" si="450"/>
        <v>102.9041095890411</v>
      </c>
      <c r="AD127" s="699">
        <f t="shared" si="450"/>
        <v>102.9041095890411</v>
      </c>
      <c r="AE127" s="698">
        <f t="shared" si="450"/>
        <v>103</v>
      </c>
      <c r="AF127" s="698">
        <f t="shared" si="450"/>
        <v>98.89</v>
      </c>
      <c r="AG127" s="698">
        <f t="shared" si="450"/>
        <v>94.78</v>
      </c>
      <c r="AH127" s="699">
        <f t="shared" si="450"/>
        <v>94.78</v>
      </c>
      <c r="AI127" s="703">
        <f t="shared" si="385"/>
        <v>94.78</v>
      </c>
      <c r="AJ127" s="703">
        <f t="shared" si="385"/>
        <v>140.17296803652968</v>
      </c>
      <c r="AK127" s="703">
        <f t="shared" si="385"/>
        <v>230.95890410958907</v>
      </c>
      <c r="AL127" s="699">
        <f t="shared" si="385"/>
        <v>230.95890410958907</v>
      </c>
      <c r="AM127" s="703">
        <f t="shared" ref="AM127:AP128" si="451">IF(ISBLANK(AM270),"",AM270)</f>
        <v>230.95890410958907</v>
      </c>
      <c r="AN127" s="703">
        <f t="shared" si="451"/>
        <v>258.63013698630141</v>
      </c>
      <c r="AO127" s="703">
        <f t="shared" si="451"/>
        <v>313.97260273972609</v>
      </c>
      <c r="AP127" s="704">
        <f t="shared" si="451"/>
        <v>313.97260273972609</v>
      </c>
      <c r="AQ127" s="703">
        <f t="shared" ref="AQ127:AX127" si="452">IF(ISBLANK(AQ270),"",AQ270)</f>
        <v>313.97260273972609</v>
      </c>
      <c r="AR127" s="703">
        <f t="shared" si="452"/>
        <v>286.35616438356169</v>
      </c>
      <c r="AS127" s="703">
        <f t="shared" si="452"/>
        <v>231.12328767123287</v>
      </c>
      <c r="AT127" s="704">
        <f t="shared" si="452"/>
        <v>231.12328767123287</v>
      </c>
      <c r="AU127" s="703">
        <f t="shared" si="452"/>
        <v>231.12328767123287</v>
      </c>
      <c r="AV127" s="703">
        <f t="shared" si="452"/>
        <v>212.13150684931506</v>
      </c>
      <c r="AW127" s="703">
        <f t="shared" si="452"/>
        <v>174.14794520547943</v>
      </c>
      <c r="AX127" s="704">
        <f t="shared" si="452"/>
        <v>174.14794520547943</v>
      </c>
      <c r="AY127" s="703">
        <f t="shared" ref="AY127:BB127" si="453">IF(ISBLANK(AY270),"",AY270)</f>
        <v>174.14794520547943</v>
      </c>
      <c r="AZ127" s="703">
        <f t="shared" si="453"/>
        <v>174.14794520547943</v>
      </c>
      <c r="BA127" s="703">
        <f t="shared" si="453"/>
        <v>174.14794520547943</v>
      </c>
      <c r="BB127" s="704">
        <f t="shared" si="453"/>
        <v>174.14794520547943</v>
      </c>
      <c r="BC127" s="700"/>
      <c r="BD127" s="700"/>
      <c r="BE127" s="701">
        <f t="shared" si="400"/>
        <v>99.34</v>
      </c>
      <c r="BF127" s="701">
        <f t="shared" si="401"/>
        <v>94.006666666666661</v>
      </c>
      <c r="BG127" s="701">
        <f t="shared" si="402"/>
        <v>91.34</v>
      </c>
      <c r="BH127" s="701">
        <f t="shared" si="403"/>
        <v>82.978333333333339</v>
      </c>
      <c r="BI127" s="701">
        <f t="shared" si="404"/>
        <v>89.218333333333334</v>
      </c>
      <c r="BJ127" s="701">
        <f t="shared" si="405"/>
        <v>99.13573059360732</v>
      </c>
      <c r="BK127" s="701">
        <f t="shared" si="406"/>
        <v>97.862499999999983</v>
      </c>
      <c r="BL127" s="701">
        <f t="shared" si="407"/>
        <v>174.21769406392696</v>
      </c>
      <c r="BM127" s="1582">
        <f t="shared" si="408"/>
        <v>279.38356164383566</v>
      </c>
      <c r="BN127" s="1582">
        <f t="shared" si="409"/>
        <v>265.64383561643837</v>
      </c>
      <c r="BO127" s="1582">
        <f t="shared" si="410"/>
        <v>197.8876712328767</v>
      </c>
      <c r="BP127" s="1582">
        <f t="shared" si="411"/>
        <v>174.14794520547943</v>
      </c>
      <c r="BQ127" s="637"/>
      <c r="BR127" s="638"/>
      <c r="BU127" s="609"/>
      <c r="BV127" s="608"/>
      <c r="BW127" s="608"/>
      <c r="BX127" s="608"/>
    </row>
    <row r="128" spans="1:76" ht="12.75" customHeight="1">
      <c r="A128" s="610"/>
      <c r="B128" s="611"/>
      <c r="C128" s="629" t="str">
        <f t="shared" si="419"/>
        <v>ISO-NE NEMA-Boston</v>
      </c>
      <c r="D128" s="629" t="str">
        <f t="shared" si="419"/>
        <v/>
      </c>
      <c r="E128" s="629" t="str">
        <f t="shared" si="419"/>
        <v/>
      </c>
      <c r="F128" s="654"/>
      <c r="G128" s="694" t="str">
        <f t="shared" si="412"/>
        <v/>
      </c>
      <c r="H128" s="695" t="str">
        <f t="shared" ref="H128:AH128" si="454">IF(ISBLANK(H271),"",H271)</f>
        <v/>
      </c>
      <c r="I128" s="695" t="str">
        <f t="shared" si="454"/>
        <v/>
      </c>
      <c r="J128" s="696" t="str">
        <f t="shared" si="454"/>
        <v/>
      </c>
      <c r="K128" s="694" t="str">
        <f t="shared" si="454"/>
        <v/>
      </c>
      <c r="L128" s="695" t="str">
        <f t="shared" si="454"/>
        <v/>
      </c>
      <c r="M128" s="695" t="str">
        <f t="shared" si="454"/>
        <v/>
      </c>
      <c r="N128" s="696" t="str">
        <f t="shared" si="454"/>
        <v/>
      </c>
      <c r="O128" s="694">
        <f t="shared" si="454"/>
        <v>102.54</v>
      </c>
      <c r="P128" s="695">
        <f t="shared" si="454"/>
        <v>96.14</v>
      </c>
      <c r="Q128" s="695">
        <f t="shared" si="454"/>
        <v>83.34</v>
      </c>
      <c r="R128" s="699">
        <f t="shared" si="454"/>
        <v>83.34</v>
      </c>
      <c r="S128" s="697">
        <f t="shared" si="454"/>
        <v>83.34</v>
      </c>
      <c r="T128" s="698">
        <f t="shared" si="454"/>
        <v>83.13333333333334</v>
      </c>
      <c r="U128" s="698">
        <f t="shared" si="454"/>
        <v>82.72</v>
      </c>
      <c r="V128" s="699">
        <f t="shared" si="454"/>
        <v>82.72</v>
      </c>
      <c r="W128" s="698">
        <f t="shared" si="454"/>
        <v>82.72</v>
      </c>
      <c r="X128" s="698">
        <f t="shared" si="454"/>
        <v>86.433333333333337</v>
      </c>
      <c r="Y128" s="698">
        <f t="shared" si="454"/>
        <v>93.86</v>
      </c>
      <c r="Z128" s="699">
        <f t="shared" si="454"/>
        <v>93.86</v>
      </c>
      <c r="AA128" s="698">
        <f t="shared" si="454"/>
        <v>93.86</v>
      </c>
      <c r="AB128" s="698">
        <f t="shared" si="454"/>
        <v>96.874703196347028</v>
      </c>
      <c r="AC128" s="698">
        <f t="shared" si="454"/>
        <v>102.9041095890411</v>
      </c>
      <c r="AD128" s="699">
        <f t="shared" si="454"/>
        <v>102.9041095890411</v>
      </c>
      <c r="AE128" s="698">
        <f t="shared" si="454"/>
        <v>103</v>
      </c>
      <c r="AF128" s="698">
        <f t="shared" si="454"/>
        <v>161</v>
      </c>
      <c r="AG128" s="698">
        <f t="shared" si="454"/>
        <v>219</v>
      </c>
      <c r="AH128" s="699">
        <f t="shared" si="454"/>
        <v>219</v>
      </c>
      <c r="AI128" s="703">
        <f t="shared" si="385"/>
        <v>219</v>
      </c>
      <c r="AJ128" s="703">
        <f t="shared" si="385"/>
        <v>310.38356164383561</v>
      </c>
      <c r="AK128" s="703">
        <f t="shared" si="385"/>
        <v>493.15068493150687</v>
      </c>
      <c r="AL128" s="699">
        <f t="shared" si="385"/>
        <v>493.15068493150687</v>
      </c>
      <c r="AM128" s="703">
        <f t="shared" si="451"/>
        <v>493.15068493150687</v>
      </c>
      <c r="AN128" s="703">
        <f t="shared" si="451"/>
        <v>433.42465753424653</v>
      </c>
      <c r="AO128" s="703">
        <f t="shared" si="451"/>
        <v>313.97260273972609</v>
      </c>
      <c r="AP128" s="704">
        <f t="shared" si="451"/>
        <v>313.97260273972609</v>
      </c>
      <c r="AQ128" s="703">
        <f t="shared" ref="AQ128:AX128" si="455">IF(ISBLANK(AQ271),"",AQ271)</f>
        <v>313.97260273972609</v>
      </c>
      <c r="AR128" s="703">
        <f t="shared" si="455"/>
        <v>286.35616438356169</v>
      </c>
      <c r="AS128" s="703">
        <f t="shared" si="455"/>
        <v>231.12328767123287</v>
      </c>
      <c r="AT128" s="704">
        <f t="shared" si="455"/>
        <v>231.12328767123287</v>
      </c>
      <c r="AU128" s="703">
        <f t="shared" si="455"/>
        <v>231.12328767123287</v>
      </c>
      <c r="AV128" s="703">
        <f t="shared" si="455"/>
        <v>212.13150684931506</v>
      </c>
      <c r="AW128" s="703">
        <f t="shared" si="455"/>
        <v>174.14794520547943</v>
      </c>
      <c r="AX128" s="704">
        <f t="shared" si="455"/>
        <v>174.14794520547943</v>
      </c>
      <c r="AY128" s="703">
        <f t="shared" ref="AY128:BB128" si="456">IF(ISBLANK(AY271),"",AY271)</f>
        <v>174.14794520547943</v>
      </c>
      <c r="AZ128" s="703">
        <f t="shared" si="456"/>
        <v>174.14794520547943</v>
      </c>
      <c r="BA128" s="703">
        <f t="shared" si="456"/>
        <v>174.14794520547943</v>
      </c>
      <c r="BB128" s="704">
        <f t="shared" si="456"/>
        <v>174.14794520547943</v>
      </c>
      <c r="BC128" s="700"/>
      <c r="BD128" s="700"/>
      <c r="BE128" s="701">
        <f t="shared" si="400"/>
        <v>99.34</v>
      </c>
      <c r="BF128" s="701">
        <f t="shared" si="401"/>
        <v>94.006666666666661</v>
      </c>
      <c r="BG128" s="701">
        <f t="shared" si="402"/>
        <v>91.34</v>
      </c>
      <c r="BH128" s="701">
        <f t="shared" si="403"/>
        <v>82.978333333333339</v>
      </c>
      <c r="BI128" s="701">
        <f t="shared" si="404"/>
        <v>89.218333333333334</v>
      </c>
      <c r="BJ128" s="701">
        <f t="shared" si="405"/>
        <v>99.13573059360732</v>
      </c>
      <c r="BK128" s="701">
        <f t="shared" si="406"/>
        <v>175.5</v>
      </c>
      <c r="BL128" s="701">
        <f t="shared" si="407"/>
        <v>378.92123287671234</v>
      </c>
      <c r="BM128" s="1582">
        <f t="shared" si="408"/>
        <v>388.63013698630141</v>
      </c>
      <c r="BN128" s="1582">
        <f t="shared" si="409"/>
        <v>265.64383561643837</v>
      </c>
      <c r="BO128" s="1582">
        <f t="shared" si="410"/>
        <v>197.8876712328767</v>
      </c>
      <c r="BP128" s="1582">
        <f t="shared" si="411"/>
        <v>174.14794520547943</v>
      </c>
      <c r="BQ128" s="637"/>
      <c r="BR128" s="638"/>
      <c r="BU128" s="609"/>
      <c r="BV128" s="608"/>
      <c r="BW128" s="608"/>
      <c r="BX128" s="608"/>
    </row>
    <row r="129" spans="1:76" ht="12.75" customHeight="1">
      <c r="A129" s="610"/>
      <c r="B129" s="611"/>
      <c r="C129" s="629" t="s">
        <v>706</v>
      </c>
      <c r="D129" s="629" t="str">
        <f>IF(ISBLANK(D272),"",D272)</f>
        <v/>
      </c>
      <c r="E129" s="629" t="str">
        <f>IF(ISBLANK(E272),"",E272)</f>
        <v/>
      </c>
      <c r="F129" s="654" t="str">
        <f>IF(ISBLANK(F272),"",F272)</f>
        <v/>
      </c>
      <c r="G129" s="694" t="str">
        <f t="shared" si="412"/>
        <v/>
      </c>
      <c r="H129" s="695" t="str">
        <f t="shared" ref="H129:N142" si="457">IF(ISBLANK(H272),"",H272)</f>
        <v/>
      </c>
      <c r="I129" s="695" t="str">
        <f t="shared" si="457"/>
        <v/>
      </c>
      <c r="J129" s="696" t="str">
        <f t="shared" si="457"/>
        <v/>
      </c>
      <c r="K129" s="661" t="str">
        <f t="shared" si="457"/>
        <v/>
      </c>
      <c r="L129" s="695" t="str">
        <f t="shared" si="457"/>
        <v/>
      </c>
      <c r="M129" s="695" t="str">
        <f t="shared" si="457"/>
        <v/>
      </c>
      <c r="N129" s="696" t="str">
        <f t="shared" si="457"/>
        <v/>
      </c>
      <c r="O129" s="697">
        <f>O272</f>
        <v>5</v>
      </c>
      <c r="P129" s="698">
        <f t="shared" ref="P129:AP129" si="458">P272</f>
        <v>29</v>
      </c>
      <c r="Q129" s="698">
        <f t="shared" si="458"/>
        <v>41</v>
      </c>
      <c r="R129" s="699">
        <f t="shared" si="458"/>
        <v>31.666666666666668</v>
      </c>
      <c r="S129" s="697">
        <f t="shared" si="458"/>
        <v>27</v>
      </c>
      <c r="T129" s="698">
        <f t="shared" si="458"/>
        <v>101</v>
      </c>
      <c r="U129" s="698">
        <f t="shared" ref="U129:AE129" si="459">U272</f>
        <v>138</v>
      </c>
      <c r="V129" s="699">
        <f t="shared" si="459"/>
        <v>108.66666666666667</v>
      </c>
      <c r="W129" s="698">
        <f t="shared" si="459"/>
        <v>246</v>
      </c>
      <c r="X129" s="698">
        <f t="shared" si="459"/>
        <v>300.30136986301369</v>
      </c>
      <c r="Y129" s="698">
        <f t="shared" si="459"/>
        <v>327.45205479452056</v>
      </c>
      <c r="Z129" s="699">
        <f t="shared" si="459"/>
        <v>238.46575342465755</v>
      </c>
      <c r="AA129" s="698">
        <f t="shared" si="459"/>
        <v>193.97260273972606</v>
      </c>
      <c r="AB129" s="698">
        <f t="shared" si="459"/>
        <v>250.95890410958904</v>
      </c>
      <c r="AC129" s="698">
        <f t="shared" si="459"/>
        <v>279.45205479452056</v>
      </c>
      <c r="AD129" s="699">
        <f t="shared" si="459"/>
        <v>174.90410958904107</v>
      </c>
      <c r="AE129" s="698">
        <f t="shared" si="459"/>
        <v>122.63013698630137</v>
      </c>
      <c r="AF129" s="698">
        <f t="shared" si="458"/>
        <v>221.69863013698631</v>
      </c>
      <c r="AG129" s="698">
        <f t="shared" si="458"/>
        <v>271.23287671232879</v>
      </c>
      <c r="AH129" s="699">
        <f t="shared" si="458"/>
        <v>167.12328767123287</v>
      </c>
      <c r="AI129" s="698">
        <f t="shared" si="458"/>
        <v>115.06849315068493</v>
      </c>
      <c r="AJ129" s="698">
        <f t="shared" si="458"/>
        <v>219.17808219178082</v>
      </c>
      <c r="AK129" s="698">
        <f t="shared" si="458"/>
        <v>271.23287671232879</v>
      </c>
      <c r="AL129" s="699">
        <f t="shared" si="458"/>
        <v>167.12328767123287</v>
      </c>
      <c r="AM129" s="698">
        <f t="shared" si="458"/>
        <v>115.06849315068493</v>
      </c>
      <c r="AN129" s="698">
        <f t="shared" si="458"/>
        <v>219.17808219178082</v>
      </c>
      <c r="AO129" s="698">
        <f t="shared" si="458"/>
        <v>271.23287671232879</v>
      </c>
      <c r="AP129" s="699">
        <f t="shared" si="458"/>
        <v>167.12328767123287</v>
      </c>
      <c r="AQ129" s="698">
        <f t="shared" ref="AQ129:AX129" si="460">AQ272</f>
        <v>115.06849315068493</v>
      </c>
      <c r="AR129" s="698">
        <f t="shared" si="460"/>
        <v>219.17808219178082</v>
      </c>
      <c r="AS129" s="698">
        <f t="shared" si="460"/>
        <v>271.23287671232879</v>
      </c>
      <c r="AT129" s="699">
        <f t="shared" si="460"/>
        <v>167.12328767123287</v>
      </c>
      <c r="AU129" s="698">
        <f t="shared" si="460"/>
        <v>115.06849315068493</v>
      </c>
      <c r="AV129" s="698">
        <f t="shared" si="460"/>
        <v>219.17808219178082</v>
      </c>
      <c r="AW129" s="698">
        <f t="shared" si="460"/>
        <v>271.23287671232879</v>
      </c>
      <c r="AX129" s="699">
        <f t="shared" si="460"/>
        <v>167.12328767123287</v>
      </c>
      <c r="AY129" s="698">
        <f t="shared" ref="AY129:BB129" si="461">AY272</f>
        <v>115.06849315068493</v>
      </c>
      <c r="AZ129" s="698">
        <f t="shared" si="461"/>
        <v>219.17808219178082</v>
      </c>
      <c r="BA129" s="698">
        <f t="shared" si="461"/>
        <v>271.23287671232879</v>
      </c>
      <c r="BB129" s="699">
        <f t="shared" si="461"/>
        <v>167.12328767123287</v>
      </c>
      <c r="BC129" s="700"/>
      <c r="BD129" s="700"/>
      <c r="BE129" s="701">
        <f t="shared" si="400"/>
        <v>17</v>
      </c>
      <c r="BF129" s="701">
        <f t="shared" si="401"/>
        <v>25</v>
      </c>
      <c r="BG129" s="701">
        <f t="shared" si="402"/>
        <v>26.666666666666668</v>
      </c>
      <c r="BH129" s="701">
        <f t="shared" si="403"/>
        <v>93.666666666666671</v>
      </c>
      <c r="BI129" s="701">
        <f t="shared" si="404"/>
        <v>278.05479452054794</v>
      </c>
      <c r="BJ129" s="701">
        <f t="shared" si="405"/>
        <v>224.82191780821921</v>
      </c>
      <c r="BK129" s="701">
        <f t="shared" si="406"/>
        <v>195.67123287671234</v>
      </c>
      <c r="BL129" s="701">
        <f t="shared" si="407"/>
        <v>193.15068493150687</v>
      </c>
      <c r="BM129" s="1582">
        <f t="shared" si="408"/>
        <v>193.15068493150687</v>
      </c>
      <c r="BN129" s="1582">
        <f t="shared" si="409"/>
        <v>193.15068493150687</v>
      </c>
      <c r="BO129" s="1582">
        <f t="shared" si="410"/>
        <v>193.15068493150687</v>
      </c>
      <c r="BP129" s="1582">
        <f t="shared" si="411"/>
        <v>193.15068493150687</v>
      </c>
      <c r="BQ129" s="637"/>
      <c r="BR129" s="638"/>
      <c r="BU129" s="609"/>
      <c r="BV129" s="608"/>
      <c r="BW129" s="608"/>
      <c r="BX129" s="608"/>
    </row>
    <row r="130" spans="1:76" ht="12.75" customHeight="1">
      <c r="A130" s="610"/>
      <c r="B130" s="611"/>
      <c r="G130" s="661" t="str">
        <f t="shared" si="412"/>
        <v/>
      </c>
      <c r="H130" s="662" t="str">
        <f t="shared" si="457"/>
        <v/>
      </c>
      <c r="I130" s="662" t="str">
        <f t="shared" si="457"/>
        <v/>
      </c>
      <c r="J130" s="663" t="str">
        <f t="shared" si="457"/>
        <v/>
      </c>
      <c r="K130" s="694" t="str">
        <f t="shared" si="457"/>
        <v/>
      </c>
      <c r="L130" s="662" t="str">
        <f t="shared" si="457"/>
        <v/>
      </c>
      <c r="M130" s="662" t="str">
        <f t="shared" si="457"/>
        <v/>
      </c>
      <c r="N130" s="663" t="str">
        <f t="shared" si="457"/>
        <v/>
      </c>
      <c r="O130" s="661">
        <f t="shared" ref="O130:V130" si="462">IF(ISBLANK(O273),"",O273)</f>
        <v>102.54</v>
      </c>
      <c r="P130" s="662">
        <f t="shared" si="462"/>
        <v>96.14</v>
      </c>
      <c r="Q130" s="662">
        <f t="shared" si="462"/>
        <v>83.34</v>
      </c>
      <c r="R130" s="664">
        <f t="shared" si="462"/>
        <v>83.34</v>
      </c>
      <c r="S130" s="665">
        <f t="shared" si="462"/>
        <v>83.34</v>
      </c>
      <c r="T130" s="666">
        <f t="shared" si="462"/>
        <v>83.13333333333334</v>
      </c>
      <c r="U130" s="666">
        <f t="shared" si="462"/>
        <v>82.72</v>
      </c>
      <c r="V130" s="664">
        <f t="shared" si="462"/>
        <v>82.72</v>
      </c>
      <c r="W130" s="1571"/>
      <c r="X130" s="1571"/>
      <c r="Y130" s="1571"/>
      <c r="Z130" s="1572"/>
      <c r="AA130" s="668"/>
      <c r="AB130" s="668"/>
      <c r="AC130" s="668"/>
      <c r="AD130" s="667"/>
      <c r="AE130" s="668"/>
      <c r="AF130" s="668"/>
      <c r="AG130" s="668"/>
      <c r="AH130" s="667"/>
      <c r="AI130" s="705"/>
      <c r="AJ130" s="705"/>
      <c r="AK130" s="705"/>
      <c r="AL130" s="667"/>
      <c r="AM130" s="705"/>
      <c r="AN130" s="705"/>
      <c r="AO130" s="705"/>
      <c r="AP130" s="706"/>
      <c r="AQ130" s="705"/>
      <c r="AR130" s="705"/>
      <c r="AS130" s="705"/>
      <c r="AT130" s="706"/>
      <c r="AU130" s="705"/>
      <c r="AV130" s="705"/>
      <c r="AW130" s="705"/>
      <c r="AX130" s="706"/>
      <c r="AY130" s="705"/>
      <c r="AZ130" s="705"/>
      <c r="BA130" s="705"/>
      <c r="BB130" s="706"/>
      <c r="BC130" s="669"/>
      <c r="BD130" s="670"/>
      <c r="BE130" s="671"/>
      <c r="BF130" s="671"/>
      <c r="BG130" s="671"/>
      <c r="BH130" s="671"/>
      <c r="BI130" s="671"/>
      <c r="BJ130" s="671"/>
      <c r="BK130" s="671"/>
      <c r="BL130" s="671"/>
      <c r="BM130" s="1583"/>
      <c r="BN130" s="1583"/>
      <c r="BO130" s="1583"/>
      <c r="BP130" s="1583"/>
      <c r="BQ130" s="637"/>
      <c r="BR130" s="638"/>
      <c r="BU130" s="609"/>
      <c r="BV130" s="608"/>
      <c r="BW130" s="608"/>
      <c r="BX130" s="608"/>
    </row>
    <row r="131" spans="1:76" ht="12.75" customHeight="1">
      <c r="A131" s="610"/>
      <c r="B131" s="611"/>
      <c r="C131" s="659" t="str">
        <f t="shared" ref="C131:E142" si="463">IF(ISBLANK(C274),"",C274)</f>
        <v>Emissions Prices ($/ton)</v>
      </c>
      <c r="D131" s="683" t="str">
        <f t="shared" si="463"/>
        <v/>
      </c>
      <c r="E131" s="683" t="str">
        <f t="shared" si="463"/>
        <v/>
      </c>
      <c r="F131" s="1462"/>
      <c r="G131" s="694" t="str">
        <f t="shared" si="412"/>
        <v/>
      </c>
      <c r="H131" s="695" t="str">
        <f t="shared" si="457"/>
        <v/>
      </c>
      <c r="I131" s="695" t="str">
        <f t="shared" si="457"/>
        <v/>
      </c>
      <c r="J131" s="696" t="str">
        <f t="shared" si="457"/>
        <v/>
      </c>
      <c r="K131" s="694" t="str">
        <f t="shared" si="457"/>
        <v/>
      </c>
      <c r="L131" s="695" t="str">
        <f t="shared" si="457"/>
        <v/>
      </c>
      <c r="M131" s="695" t="str">
        <f t="shared" si="457"/>
        <v/>
      </c>
      <c r="N131" s="696" t="str">
        <f t="shared" si="457"/>
        <v/>
      </c>
      <c r="O131" s="694" t="str">
        <f t="shared" ref="O131:AL131" si="464">IF(ISBLANK(O274),"",O274)</f>
        <v/>
      </c>
      <c r="P131" s="695" t="str">
        <f t="shared" si="464"/>
        <v/>
      </c>
      <c r="Q131" s="695" t="str">
        <f t="shared" si="464"/>
        <v/>
      </c>
      <c r="R131" s="699" t="str">
        <f t="shared" si="464"/>
        <v/>
      </c>
      <c r="S131" s="697" t="str">
        <f t="shared" si="464"/>
        <v/>
      </c>
      <c r="T131" s="698" t="str">
        <f t="shared" si="464"/>
        <v/>
      </c>
      <c r="U131" s="698" t="str">
        <f t="shared" si="464"/>
        <v/>
      </c>
      <c r="V131" s="699" t="str">
        <f t="shared" si="464"/>
        <v/>
      </c>
      <c r="W131" s="698" t="str">
        <f t="shared" si="464"/>
        <v/>
      </c>
      <c r="X131" s="698" t="str">
        <f t="shared" si="464"/>
        <v/>
      </c>
      <c r="Y131" s="698" t="str">
        <f t="shared" si="464"/>
        <v/>
      </c>
      <c r="Z131" s="699" t="str">
        <f t="shared" si="464"/>
        <v/>
      </c>
      <c r="AA131" s="698" t="str">
        <f t="shared" si="464"/>
        <v/>
      </c>
      <c r="AB131" s="698" t="str">
        <f t="shared" si="464"/>
        <v/>
      </c>
      <c r="AC131" s="698" t="str">
        <f t="shared" si="464"/>
        <v/>
      </c>
      <c r="AD131" s="699" t="str">
        <f t="shared" si="464"/>
        <v/>
      </c>
      <c r="AE131" s="698" t="str">
        <f t="shared" si="464"/>
        <v/>
      </c>
      <c r="AF131" s="698" t="str">
        <f t="shared" si="464"/>
        <v/>
      </c>
      <c r="AG131" s="698" t="str">
        <f t="shared" si="464"/>
        <v/>
      </c>
      <c r="AH131" s="699" t="str">
        <f t="shared" si="464"/>
        <v/>
      </c>
      <c r="AI131" s="703" t="str">
        <f t="shared" si="464"/>
        <v/>
      </c>
      <c r="AJ131" s="703" t="str">
        <f t="shared" si="464"/>
        <v/>
      </c>
      <c r="AK131" s="703" t="str">
        <f t="shared" si="464"/>
        <v/>
      </c>
      <c r="AL131" s="699" t="str">
        <f t="shared" si="464"/>
        <v/>
      </c>
      <c r="AM131" s="703" t="str">
        <f t="shared" ref="AM131:AP142" si="465">IF(ISBLANK(AM274),"",AM274)</f>
        <v/>
      </c>
      <c r="AN131" s="703" t="str">
        <f t="shared" si="465"/>
        <v/>
      </c>
      <c r="AO131" s="703" t="str">
        <f t="shared" si="465"/>
        <v/>
      </c>
      <c r="AP131" s="704" t="str">
        <f t="shared" si="465"/>
        <v/>
      </c>
      <c r="AQ131" s="703" t="str">
        <f t="shared" ref="AQ131:AX131" si="466">IF(ISBLANK(AQ274),"",AQ274)</f>
        <v/>
      </c>
      <c r="AR131" s="703" t="str">
        <f t="shared" si="466"/>
        <v/>
      </c>
      <c r="AS131" s="703" t="str">
        <f t="shared" si="466"/>
        <v/>
      </c>
      <c r="AT131" s="704" t="str">
        <f t="shared" si="466"/>
        <v/>
      </c>
      <c r="AU131" s="703" t="str">
        <f t="shared" si="466"/>
        <v/>
      </c>
      <c r="AV131" s="703" t="str">
        <f t="shared" si="466"/>
        <v/>
      </c>
      <c r="AW131" s="703" t="str">
        <f t="shared" si="466"/>
        <v/>
      </c>
      <c r="AX131" s="704" t="str">
        <f t="shared" si="466"/>
        <v/>
      </c>
      <c r="AY131" s="703" t="str">
        <f t="shared" ref="AY131:BB131" si="467">IF(ISBLANK(AY274),"",AY274)</f>
        <v/>
      </c>
      <c r="AZ131" s="703" t="str">
        <f t="shared" si="467"/>
        <v/>
      </c>
      <c r="BA131" s="703" t="str">
        <f t="shared" si="467"/>
        <v/>
      </c>
      <c r="BB131" s="704" t="str">
        <f t="shared" si="467"/>
        <v/>
      </c>
      <c r="BC131" s="700"/>
      <c r="BD131" s="700"/>
      <c r="BE131" s="701"/>
      <c r="BF131" s="701"/>
      <c r="BG131" s="701"/>
      <c r="BH131" s="701"/>
      <c r="BI131" s="701"/>
      <c r="BJ131" s="701"/>
      <c r="BK131" s="701"/>
      <c r="BL131" s="701"/>
      <c r="BM131" s="701"/>
      <c r="BN131" s="701"/>
      <c r="BO131" s="701"/>
      <c r="BP131" s="701"/>
      <c r="BQ131" s="637"/>
      <c r="BR131" s="638"/>
      <c r="BU131" s="609"/>
      <c r="BV131" s="608"/>
      <c r="BW131" s="608"/>
      <c r="BX131" s="608"/>
    </row>
    <row r="132" spans="1:76" ht="12.75" customHeight="1">
      <c r="A132" s="610"/>
      <c r="B132" s="611"/>
      <c r="C132" s="629" t="str">
        <f t="shared" si="463"/>
        <v>CO2</v>
      </c>
      <c r="D132" s="629" t="str">
        <f t="shared" si="463"/>
        <v/>
      </c>
      <c r="E132" s="629" t="str">
        <f t="shared" si="463"/>
        <v/>
      </c>
      <c r="F132" s="654"/>
      <c r="G132" s="694" t="str">
        <f t="shared" si="412"/>
        <v/>
      </c>
      <c r="H132" s="695" t="str">
        <f t="shared" si="457"/>
        <v/>
      </c>
      <c r="I132" s="695" t="str">
        <f t="shared" si="457"/>
        <v/>
      </c>
      <c r="J132" s="696" t="str">
        <f t="shared" si="457"/>
        <v/>
      </c>
      <c r="K132" s="694" t="str">
        <f t="shared" si="457"/>
        <v/>
      </c>
      <c r="L132" s="695" t="str">
        <f t="shared" si="457"/>
        <v/>
      </c>
      <c r="M132" s="695" t="str">
        <f t="shared" si="457"/>
        <v/>
      </c>
      <c r="N132" s="696" t="str">
        <f t="shared" si="457"/>
        <v/>
      </c>
      <c r="O132" s="694" t="str">
        <f t="shared" ref="O132:AL132" si="468">IF(ISBLANK(O275),"",O275)</f>
        <v/>
      </c>
      <c r="P132" s="695" t="str">
        <f t="shared" si="468"/>
        <v/>
      </c>
      <c r="Q132" s="695" t="str">
        <f t="shared" si="468"/>
        <v/>
      </c>
      <c r="R132" s="699" t="str">
        <f t="shared" si="468"/>
        <v/>
      </c>
      <c r="S132" s="697">
        <f t="shared" si="468"/>
        <v>0</v>
      </c>
      <c r="T132" s="698">
        <f t="shared" si="468"/>
        <v>0</v>
      </c>
      <c r="U132" s="698">
        <f t="shared" si="468"/>
        <v>0</v>
      </c>
      <c r="V132" s="699">
        <f t="shared" si="468"/>
        <v>0</v>
      </c>
      <c r="W132" s="698">
        <f t="shared" si="468"/>
        <v>0</v>
      </c>
      <c r="X132" s="698">
        <f t="shared" si="468"/>
        <v>0</v>
      </c>
      <c r="Y132" s="698">
        <f t="shared" si="468"/>
        <v>0</v>
      </c>
      <c r="Z132" s="699">
        <f t="shared" si="468"/>
        <v>0</v>
      </c>
      <c r="AA132" s="698">
        <f t="shared" si="468"/>
        <v>0</v>
      </c>
      <c r="AB132" s="698">
        <f t="shared" si="468"/>
        <v>0</v>
      </c>
      <c r="AC132" s="698">
        <f t="shared" si="468"/>
        <v>0</v>
      </c>
      <c r="AD132" s="699">
        <f t="shared" si="468"/>
        <v>0</v>
      </c>
      <c r="AE132" s="698">
        <f t="shared" si="468"/>
        <v>0</v>
      </c>
      <c r="AF132" s="698">
        <f t="shared" si="468"/>
        <v>0</v>
      </c>
      <c r="AG132" s="698">
        <f t="shared" si="468"/>
        <v>0</v>
      </c>
      <c r="AH132" s="699">
        <f t="shared" si="468"/>
        <v>0</v>
      </c>
      <c r="AI132" s="703">
        <f t="shared" si="468"/>
        <v>0</v>
      </c>
      <c r="AJ132" s="703">
        <f t="shared" si="468"/>
        <v>0</v>
      </c>
      <c r="AK132" s="703">
        <f t="shared" si="468"/>
        <v>0</v>
      </c>
      <c r="AL132" s="699">
        <f t="shared" si="468"/>
        <v>0</v>
      </c>
      <c r="AM132" s="703">
        <f t="shared" si="465"/>
        <v>0</v>
      </c>
      <c r="AN132" s="703">
        <f t="shared" si="465"/>
        <v>0</v>
      </c>
      <c r="AO132" s="703">
        <f t="shared" si="465"/>
        <v>0</v>
      </c>
      <c r="AP132" s="704">
        <f t="shared" si="465"/>
        <v>0</v>
      </c>
      <c r="AQ132" s="703">
        <f t="shared" ref="AQ132:AX132" si="469">IF(ISBLANK(AQ275),"",AQ275)</f>
        <v>0</v>
      </c>
      <c r="AR132" s="703">
        <f t="shared" si="469"/>
        <v>0</v>
      </c>
      <c r="AS132" s="703">
        <f t="shared" si="469"/>
        <v>0</v>
      </c>
      <c r="AT132" s="704">
        <f t="shared" si="469"/>
        <v>0</v>
      </c>
      <c r="AU132" s="703">
        <f t="shared" si="469"/>
        <v>0</v>
      </c>
      <c r="AV132" s="703">
        <f t="shared" si="469"/>
        <v>0</v>
      </c>
      <c r="AW132" s="703">
        <f t="shared" si="469"/>
        <v>0</v>
      </c>
      <c r="AX132" s="704">
        <f t="shared" si="469"/>
        <v>0</v>
      </c>
      <c r="AY132" s="703">
        <f t="shared" ref="AY132:BB132" si="470">IF(ISBLANK(AY275),"",AY275)</f>
        <v>0</v>
      </c>
      <c r="AZ132" s="703">
        <f t="shared" si="470"/>
        <v>0</v>
      </c>
      <c r="BA132" s="703">
        <f t="shared" si="470"/>
        <v>0</v>
      </c>
      <c r="BB132" s="704">
        <f t="shared" si="470"/>
        <v>0</v>
      </c>
      <c r="BC132" s="700"/>
      <c r="BD132" s="700"/>
      <c r="BE132" s="701">
        <f t="shared" ref="BE132:BH138" si="471">AVERAGE(P132:S132)</f>
        <v>0</v>
      </c>
      <c r="BF132" s="701">
        <f t="shared" si="471"/>
        <v>0</v>
      </c>
      <c r="BG132" s="701">
        <f t="shared" si="471"/>
        <v>0</v>
      </c>
      <c r="BH132" s="701">
        <f t="shared" si="471"/>
        <v>0</v>
      </c>
      <c r="BI132" s="701">
        <f t="shared" ref="BI132:BI138" si="472">AVERAGE(W132:Z132)</f>
        <v>0</v>
      </c>
      <c r="BJ132" s="701">
        <f t="shared" ref="BJ132:BJ138" si="473">AVERAGE(AA132:AD132)</f>
        <v>0</v>
      </c>
      <c r="BK132" s="701">
        <f t="shared" ref="BK132:BK138" si="474">AVERAGE(AE132:AH132)</f>
        <v>0</v>
      </c>
      <c r="BL132" s="701">
        <f t="shared" ref="BL132:BL138" si="475">AVERAGE(AI132:AL132)</f>
        <v>0</v>
      </c>
      <c r="BM132" s="1582">
        <f t="shared" ref="BM132:BM138" si="476">AVERAGE(AM132:AP132)</f>
        <v>0</v>
      </c>
      <c r="BN132" s="1582">
        <f t="shared" ref="BN132:BN138" si="477">AVERAGE(AQ132:AT132)</f>
        <v>0</v>
      </c>
      <c r="BO132" s="1582">
        <f t="shared" ref="BO132:BO138" si="478">AVERAGE(AU132:AX132)</f>
        <v>0</v>
      </c>
      <c r="BP132" s="1582">
        <f t="shared" ref="BP132:BP138" si="479">AVERAGE(AY132:BB132)</f>
        <v>0</v>
      </c>
      <c r="BQ132" s="637"/>
      <c r="BR132" s="638"/>
      <c r="BU132" s="609"/>
      <c r="BV132" s="608"/>
      <c r="BW132" s="608"/>
      <c r="BX132" s="608"/>
    </row>
    <row r="133" spans="1:76" ht="12.75" customHeight="1">
      <c r="A133" s="610"/>
      <c r="B133" s="611"/>
      <c r="C133" s="629" t="str">
        <f t="shared" si="463"/>
        <v>RGGI CO2</v>
      </c>
      <c r="D133" s="629" t="str">
        <f t="shared" si="463"/>
        <v/>
      </c>
      <c r="E133" s="629" t="str">
        <f t="shared" si="463"/>
        <v/>
      </c>
      <c r="F133" s="654"/>
      <c r="G133" s="694" t="str">
        <f t="shared" si="412"/>
        <v/>
      </c>
      <c r="H133" s="695" t="str">
        <f t="shared" si="457"/>
        <v/>
      </c>
      <c r="I133" s="695" t="str">
        <f t="shared" si="457"/>
        <v/>
      </c>
      <c r="J133" s="696" t="str">
        <f t="shared" si="457"/>
        <v/>
      </c>
      <c r="K133" s="694" t="str">
        <f t="shared" si="457"/>
        <v/>
      </c>
      <c r="L133" s="695" t="str">
        <f t="shared" si="457"/>
        <v/>
      </c>
      <c r="M133" s="695" t="str">
        <f t="shared" si="457"/>
        <v/>
      </c>
      <c r="N133" s="696" t="str">
        <f t="shared" si="457"/>
        <v/>
      </c>
      <c r="O133" s="694" t="str">
        <f t="shared" ref="O133:AL133" si="480">IF(ISBLANK(O276),"",O276)</f>
        <v/>
      </c>
      <c r="P133" s="695" t="str">
        <f t="shared" si="480"/>
        <v/>
      </c>
      <c r="Q133" s="695" t="str">
        <f t="shared" si="480"/>
        <v/>
      </c>
      <c r="R133" s="699" t="str">
        <f t="shared" si="480"/>
        <v/>
      </c>
      <c r="S133" s="697">
        <f t="shared" si="480"/>
        <v>1.97</v>
      </c>
      <c r="T133" s="698">
        <f t="shared" si="480"/>
        <v>1.97</v>
      </c>
      <c r="U133" s="698">
        <f t="shared" si="480"/>
        <v>1.97</v>
      </c>
      <c r="V133" s="699">
        <f t="shared" si="480"/>
        <v>1.97</v>
      </c>
      <c r="W133" s="698">
        <f t="shared" si="480"/>
        <v>4</v>
      </c>
      <c r="X133" s="698">
        <f t="shared" si="480"/>
        <v>4</v>
      </c>
      <c r="Y133" s="698">
        <f t="shared" si="480"/>
        <v>4</v>
      </c>
      <c r="Z133" s="699">
        <f t="shared" si="480"/>
        <v>4</v>
      </c>
      <c r="AA133" s="698">
        <f t="shared" si="480"/>
        <v>6</v>
      </c>
      <c r="AB133" s="698">
        <f t="shared" si="480"/>
        <v>6</v>
      </c>
      <c r="AC133" s="698">
        <f t="shared" si="480"/>
        <v>6</v>
      </c>
      <c r="AD133" s="699">
        <f t="shared" si="480"/>
        <v>6</v>
      </c>
      <c r="AE133" s="698">
        <f t="shared" si="480"/>
        <v>8</v>
      </c>
      <c r="AF133" s="698">
        <f t="shared" si="480"/>
        <v>8</v>
      </c>
      <c r="AG133" s="698">
        <f t="shared" si="480"/>
        <v>8</v>
      </c>
      <c r="AH133" s="699">
        <f t="shared" si="480"/>
        <v>8</v>
      </c>
      <c r="AI133" s="703">
        <f t="shared" si="480"/>
        <v>10</v>
      </c>
      <c r="AJ133" s="703">
        <f t="shared" si="480"/>
        <v>10</v>
      </c>
      <c r="AK133" s="703">
        <f t="shared" si="480"/>
        <v>10</v>
      </c>
      <c r="AL133" s="699">
        <f t="shared" si="480"/>
        <v>10</v>
      </c>
      <c r="AM133" s="703">
        <f t="shared" si="465"/>
        <v>10</v>
      </c>
      <c r="AN133" s="703">
        <f t="shared" si="465"/>
        <v>10</v>
      </c>
      <c r="AO133" s="703">
        <f t="shared" si="465"/>
        <v>10</v>
      </c>
      <c r="AP133" s="704">
        <f t="shared" si="465"/>
        <v>10</v>
      </c>
      <c r="AQ133" s="703">
        <f t="shared" ref="AQ133:AX133" si="481">IF(ISBLANK(AQ276),"",AQ276)</f>
        <v>10</v>
      </c>
      <c r="AR133" s="703">
        <f t="shared" si="481"/>
        <v>10</v>
      </c>
      <c r="AS133" s="703">
        <f t="shared" si="481"/>
        <v>10</v>
      </c>
      <c r="AT133" s="704">
        <f t="shared" si="481"/>
        <v>10</v>
      </c>
      <c r="AU133" s="703">
        <f t="shared" si="481"/>
        <v>10</v>
      </c>
      <c r="AV133" s="703">
        <f t="shared" si="481"/>
        <v>10</v>
      </c>
      <c r="AW133" s="703">
        <f t="shared" si="481"/>
        <v>10</v>
      </c>
      <c r="AX133" s="704">
        <f t="shared" si="481"/>
        <v>10</v>
      </c>
      <c r="AY133" s="703">
        <f t="shared" ref="AY133:BB133" si="482">IF(ISBLANK(AY276),"",AY276)</f>
        <v>10</v>
      </c>
      <c r="AZ133" s="703">
        <f t="shared" si="482"/>
        <v>10</v>
      </c>
      <c r="BA133" s="703">
        <f t="shared" si="482"/>
        <v>10</v>
      </c>
      <c r="BB133" s="704">
        <f t="shared" si="482"/>
        <v>10</v>
      </c>
      <c r="BC133" s="700"/>
      <c r="BD133" s="700"/>
      <c r="BE133" s="701">
        <f t="shared" si="471"/>
        <v>1.97</v>
      </c>
      <c r="BF133" s="701">
        <f t="shared" si="471"/>
        <v>1.97</v>
      </c>
      <c r="BG133" s="701">
        <f t="shared" si="471"/>
        <v>1.97</v>
      </c>
      <c r="BH133" s="701">
        <f t="shared" si="471"/>
        <v>1.97</v>
      </c>
      <c r="BI133" s="701">
        <f t="shared" si="472"/>
        <v>4</v>
      </c>
      <c r="BJ133" s="701">
        <f t="shared" si="473"/>
        <v>6</v>
      </c>
      <c r="BK133" s="701">
        <f t="shared" si="474"/>
        <v>8</v>
      </c>
      <c r="BL133" s="701">
        <f t="shared" si="475"/>
        <v>10</v>
      </c>
      <c r="BM133" s="1582">
        <f t="shared" si="476"/>
        <v>10</v>
      </c>
      <c r="BN133" s="1582">
        <f t="shared" si="477"/>
        <v>10</v>
      </c>
      <c r="BO133" s="1582">
        <f t="shared" si="478"/>
        <v>10</v>
      </c>
      <c r="BP133" s="1582">
        <f t="shared" si="479"/>
        <v>10</v>
      </c>
      <c r="BQ133" s="637"/>
      <c r="BR133" s="638"/>
      <c r="BU133" s="609"/>
      <c r="BV133" s="608"/>
      <c r="BW133" s="608"/>
      <c r="BX133" s="608"/>
    </row>
    <row r="134" spans="1:76" ht="12.75" customHeight="1">
      <c r="A134" s="610"/>
      <c r="B134" s="611"/>
      <c r="C134" s="629" t="str">
        <f t="shared" si="463"/>
        <v>CSAPR 1 SOX</v>
      </c>
      <c r="D134" s="629" t="str">
        <f t="shared" si="463"/>
        <v/>
      </c>
      <c r="E134" s="629" t="str">
        <f t="shared" si="463"/>
        <v/>
      </c>
      <c r="F134" s="654"/>
      <c r="G134" s="694" t="str">
        <f t="shared" si="412"/>
        <v/>
      </c>
      <c r="H134" s="695" t="str">
        <f t="shared" si="457"/>
        <v/>
      </c>
      <c r="I134" s="695" t="str">
        <f t="shared" si="457"/>
        <v/>
      </c>
      <c r="J134" s="696" t="str">
        <f t="shared" si="457"/>
        <v/>
      </c>
      <c r="K134" s="694" t="str">
        <f t="shared" si="457"/>
        <v/>
      </c>
      <c r="L134" s="695" t="str">
        <f t="shared" si="457"/>
        <v/>
      </c>
      <c r="M134" s="695" t="str">
        <f t="shared" si="457"/>
        <v/>
      </c>
      <c r="N134" s="696" t="str">
        <f t="shared" si="457"/>
        <v/>
      </c>
      <c r="O134" s="694" t="str">
        <f t="shared" ref="O134:AL134" si="483">IF(ISBLANK(O277),"",O277)</f>
        <v/>
      </c>
      <c r="P134" s="695" t="str">
        <f t="shared" si="483"/>
        <v/>
      </c>
      <c r="Q134" s="695" t="str">
        <f t="shared" si="483"/>
        <v/>
      </c>
      <c r="R134" s="699" t="str">
        <f t="shared" si="483"/>
        <v/>
      </c>
      <c r="S134" s="697">
        <f t="shared" si="483"/>
        <v>0</v>
      </c>
      <c r="T134" s="698">
        <f t="shared" si="483"/>
        <v>0</v>
      </c>
      <c r="U134" s="698">
        <f t="shared" si="483"/>
        <v>0</v>
      </c>
      <c r="V134" s="699">
        <f t="shared" si="483"/>
        <v>0</v>
      </c>
      <c r="W134" s="698">
        <f t="shared" si="483"/>
        <v>0</v>
      </c>
      <c r="X134" s="698">
        <f t="shared" si="483"/>
        <v>0</v>
      </c>
      <c r="Y134" s="698">
        <f t="shared" si="483"/>
        <v>0</v>
      </c>
      <c r="Z134" s="699">
        <f t="shared" si="483"/>
        <v>0</v>
      </c>
      <c r="AA134" s="698">
        <f t="shared" si="483"/>
        <v>0</v>
      </c>
      <c r="AB134" s="698">
        <f t="shared" si="483"/>
        <v>0</v>
      </c>
      <c r="AC134" s="698">
        <f t="shared" si="483"/>
        <v>0</v>
      </c>
      <c r="AD134" s="699">
        <f t="shared" si="483"/>
        <v>0</v>
      </c>
      <c r="AE134" s="698">
        <f t="shared" si="483"/>
        <v>0</v>
      </c>
      <c r="AF134" s="698">
        <f t="shared" si="483"/>
        <v>0</v>
      </c>
      <c r="AG134" s="698">
        <f t="shared" si="483"/>
        <v>0</v>
      </c>
      <c r="AH134" s="699">
        <f t="shared" si="483"/>
        <v>0</v>
      </c>
      <c r="AI134" s="703">
        <f t="shared" si="483"/>
        <v>0</v>
      </c>
      <c r="AJ134" s="703">
        <f t="shared" si="483"/>
        <v>0</v>
      </c>
      <c r="AK134" s="703">
        <f t="shared" si="483"/>
        <v>0</v>
      </c>
      <c r="AL134" s="699">
        <f t="shared" si="483"/>
        <v>0</v>
      </c>
      <c r="AM134" s="703">
        <f t="shared" si="465"/>
        <v>0</v>
      </c>
      <c r="AN134" s="703">
        <f t="shared" si="465"/>
        <v>0</v>
      </c>
      <c r="AO134" s="703">
        <f t="shared" si="465"/>
        <v>0</v>
      </c>
      <c r="AP134" s="704">
        <f t="shared" si="465"/>
        <v>0</v>
      </c>
      <c r="AQ134" s="703">
        <f t="shared" ref="AQ134:AX134" si="484">IF(ISBLANK(AQ277),"",AQ277)</f>
        <v>0</v>
      </c>
      <c r="AR134" s="703">
        <f t="shared" si="484"/>
        <v>0</v>
      </c>
      <c r="AS134" s="703">
        <f t="shared" si="484"/>
        <v>0</v>
      </c>
      <c r="AT134" s="704">
        <f t="shared" si="484"/>
        <v>0</v>
      </c>
      <c r="AU134" s="703">
        <f t="shared" si="484"/>
        <v>0</v>
      </c>
      <c r="AV134" s="703">
        <f t="shared" si="484"/>
        <v>0</v>
      </c>
      <c r="AW134" s="703">
        <f t="shared" si="484"/>
        <v>0</v>
      </c>
      <c r="AX134" s="704">
        <f t="shared" si="484"/>
        <v>0</v>
      </c>
      <c r="AY134" s="703">
        <f t="shared" ref="AY134:BB134" si="485">IF(ISBLANK(AY277),"",AY277)</f>
        <v>0</v>
      </c>
      <c r="AZ134" s="703">
        <f t="shared" si="485"/>
        <v>0</v>
      </c>
      <c r="BA134" s="703">
        <f t="shared" si="485"/>
        <v>0</v>
      </c>
      <c r="BB134" s="704">
        <f t="shared" si="485"/>
        <v>0</v>
      </c>
      <c r="BC134" s="700"/>
      <c r="BD134" s="700"/>
      <c r="BE134" s="701">
        <f t="shared" si="471"/>
        <v>0</v>
      </c>
      <c r="BF134" s="701">
        <f t="shared" si="471"/>
        <v>0</v>
      </c>
      <c r="BG134" s="701">
        <f t="shared" si="471"/>
        <v>0</v>
      </c>
      <c r="BH134" s="701">
        <f t="shared" si="471"/>
        <v>0</v>
      </c>
      <c r="BI134" s="701">
        <f t="shared" si="472"/>
        <v>0</v>
      </c>
      <c r="BJ134" s="701">
        <f t="shared" si="473"/>
        <v>0</v>
      </c>
      <c r="BK134" s="701">
        <f t="shared" si="474"/>
        <v>0</v>
      </c>
      <c r="BL134" s="701">
        <f t="shared" si="475"/>
        <v>0</v>
      </c>
      <c r="BM134" s="1582">
        <f t="shared" si="476"/>
        <v>0</v>
      </c>
      <c r="BN134" s="1582">
        <f t="shared" si="477"/>
        <v>0</v>
      </c>
      <c r="BO134" s="1582">
        <f t="shared" si="478"/>
        <v>0</v>
      </c>
      <c r="BP134" s="1582">
        <f t="shared" si="479"/>
        <v>0</v>
      </c>
      <c r="BQ134" s="637"/>
      <c r="BR134" s="638"/>
      <c r="BU134" s="609"/>
      <c r="BV134" s="608"/>
      <c r="BW134" s="608"/>
      <c r="BX134" s="608"/>
    </row>
    <row r="135" spans="1:76" ht="12.75" customHeight="1">
      <c r="A135" s="610"/>
      <c r="B135" s="611"/>
      <c r="C135" s="629" t="str">
        <f t="shared" si="463"/>
        <v>CSAPR 2 SOX</v>
      </c>
      <c r="D135" s="629" t="str">
        <f t="shared" si="463"/>
        <v/>
      </c>
      <c r="E135" s="629" t="str">
        <f t="shared" si="463"/>
        <v/>
      </c>
      <c r="F135" s="654"/>
      <c r="G135" s="694" t="str">
        <f t="shared" si="412"/>
        <v/>
      </c>
      <c r="H135" s="695" t="str">
        <f t="shared" si="457"/>
        <v/>
      </c>
      <c r="I135" s="695" t="str">
        <f t="shared" si="457"/>
        <v/>
      </c>
      <c r="J135" s="696" t="str">
        <f t="shared" si="457"/>
        <v/>
      </c>
      <c r="K135" s="694" t="str">
        <f t="shared" si="457"/>
        <v/>
      </c>
      <c r="L135" s="695" t="str">
        <f t="shared" si="457"/>
        <v/>
      </c>
      <c r="M135" s="695" t="str">
        <f t="shared" si="457"/>
        <v/>
      </c>
      <c r="N135" s="696" t="str">
        <f t="shared" si="457"/>
        <v/>
      </c>
      <c r="O135" s="694" t="str">
        <f t="shared" ref="O135:AL135" si="486">IF(ISBLANK(O278),"",O278)</f>
        <v/>
      </c>
      <c r="P135" s="695" t="str">
        <f t="shared" si="486"/>
        <v/>
      </c>
      <c r="Q135" s="695" t="str">
        <f t="shared" si="486"/>
        <v/>
      </c>
      <c r="R135" s="699" t="str">
        <f t="shared" si="486"/>
        <v/>
      </c>
      <c r="S135" s="697">
        <f t="shared" si="486"/>
        <v>0</v>
      </c>
      <c r="T135" s="698">
        <f t="shared" si="486"/>
        <v>0</v>
      </c>
      <c r="U135" s="698">
        <f t="shared" si="486"/>
        <v>0</v>
      </c>
      <c r="V135" s="699">
        <f t="shared" si="486"/>
        <v>0</v>
      </c>
      <c r="W135" s="698">
        <f t="shared" si="486"/>
        <v>0</v>
      </c>
      <c r="X135" s="698">
        <f t="shared" si="486"/>
        <v>0</v>
      </c>
      <c r="Y135" s="698">
        <f t="shared" si="486"/>
        <v>0</v>
      </c>
      <c r="Z135" s="699">
        <f t="shared" si="486"/>
        <v>0</v>
      </c>
      <c r="AA135" s="698">
        <f t="shared" si="486"/>
        <v>0</v>
      </c>
      <c r="AB135" s="698">
        <f t="shared" si="486"/>
        <v>0</v>
      </c>
      <c r="AC135" s="698">
        <f t="shared" si="486"/>
        <v>0</v>
      </c>
      <c r="AD135" s="699">
        <f t="shared" si="486"/>
        <v>0</v>
      </c>
      <c r="AE135" s="698">
        <f t="shared" si="486"/>
        <v>0</v>
      </c>
      <c r="AF135" s="698">
        <f t="shared" si="486"/>
        <v>0</v>
      </c>
      <c r="AG135" s="698">
        <f t="shared" si="486"/>
        <v>0</v>
      </c>
      <c r="AH135" s="699">
        <f t="shared" si="486"/>
        <v>0</v>
      </c>
      <c r="AI135" s="703">
        <f t="shared" si="486"/>
        <v>0</v>
      </c>
      <c r="AJ135" s="703">
        <f t="shared" si="486"/>
        <v>0</v>
      </c>
      <c r="AK135" s="703">
        <f t="shared" si="486"/>
        <v>0</v>
      </c>
      <c r="AL135" s="699">
        <f t="shared" si="486"/>
        <v>0</v>
      </c>
      <c r="AM135" s="703">
        <f t="shared" si="465"/>
        <v>0</v>
      </c>
      <c r="AN135" s="703">
        <f t="shared" si="465"/>
        <v>0</v>
      </c>
      <c r="AO135" s="703">
        <f t="shared" si="465"/>
        <v>0</v>
      </c>
      <c r="AP135" s="704">
        <f t="shared" si="465"/>
        <v>0</v>
      </c>
      <c r="AQ135" s="703">
        <f t="shared" ref="AQ135:AX135" si="487">IF(ISBLANK(AQ278),"",AQ278)</f>
        <v>0</v>
      </c>
      <c r="AR135" s="703">
        <f t="shared" si="487"/>
        <v>0</v>
      </c>
      <c r="AS135" s="703">
        <f t="shared" si="487"/>
        <v>0</v>
      </c>
      <c r="AT135" s="704">
        <f t="shared" si="487"/>
        <v>0</v>
      </c>
      <c r="AU135" s="703">
        <f t="shared" si="487"/>
        <v>0</v>
      </c>
      <c r="AV135" s="703">
        <f t="shared" si="487"/>
        <v>0</v>
      </c>
      <c r="AW135" s="703">
        <f t="shared" si="487"/>
        <v>0</v>
      </c>
      <c r="AX135" s="704">
        <f t="shared" si="487"/>
        <v>0</v>
      </c>
      <c r="AY135" s="703">
        <f t="shared" ref="AY135:BB135" si="488">IF(ISBLANK(AY278),"",AY278)</f>
        <v>0</v>
      </c>
      <c r="AZ135" s="703">
        <f t="shared" si="488"/>
        <v>0</v>
      </c>
      <c r="BA135" s="703">
        <f t="shared" si="488"/>
        <v>0</v>
      </c>
      <c r="BB135" s="704">
        <f t="shared" si="488"/>
        <v>0</v>
      </c>
      <c r="BC135" s="700"/>
      <c r="BD135" s="700"/>
      <c r="BE135" s="701">
        <f t="shared" si="471"/>
        <v>0</v>
      </c>
      <c r="BF135" s="701">
        <f t="shared" si="471"/>
        <v>0</v>
      </c>
      <c r="BG135" s="701">
        <f t="shared" si="471"/>
        <v>0</v>
      </c>
      <c r="BH135" s="701">
        <f t="shared" si="471"/>
        <v>0</v>
      </c>
      <c r="BI135" s="701">
        <f t="shared" si="472"/>
        <v>0</v>
      </c>
      <c r="BJ135" s="701">
        <f t="shared" si="473"/>
        <v>0</v>
      </c>
      <c r="BK135" s="701">
        <f t="shared" si="474"/>
        <v>0</v>
      </c>
      <c r="BL135" s="701">
        <f t="shared" si="475"/>
        <v>0</v>
      </c>
      <c r="BM135" s="1582">
        <f t="shared" si="476"/>
        <v>0</v>
      </c>
      <c r="BN135" s="1582">
        <f t="shared" si="477"/>
        <v>0</v>
      </c>
      <c r="BO135" s="1582">
        <f t="shared" si="478"/>
        <v>0</v>
      </c>
      <c r="BP135" s="1582">
        <f t="shared" si="479"/>
        <v>0</v>
      </c>
      <c r="BQ135" s="637"/>
      <c r="BR135" s="638"/>
      <c r="BU135" s="609"/>
      <c r="BV135" s="608"/>
      <c r="BW135" s="608"/>
      <c r="BX135" s="608"/>
    </row>
    <row r="136" spans="1:76" ht="12.75" customHeight="1">
      <c r="A136" s="610"/>
      <c r="B136" s="611"/>
      <c r="C136" s="629" t="str">
        <f t="shared" si="463"/>
        <v>CSAPR 1 NOX</v>
      </c>
      <c r="D136" s="629" t="str">
        <f t="shared" si="463"/>
        <v/>
      </c>
      <c r="E136" s="629" t="str">
        <f t="shared" si="463"/>
        <v/>
      </c>
      <c r="F136" s="654"/>
      <c r="G136" s="694" t="str">
        <f t="shared" si="412"/>
        <v/>
      </c>
      <c r="H136" s="695" t="str">
        <f t="shared" si="457"/>
        <v/>
      </c>
      <c r="I136" s="695" t="str">
        <f t="shared" si="457"/>
        <v/>
      </c>
      <c r="J136" s="696" t="str">
        <f t="shared" si="457"/>
        <v/>
      </c>
      <c r="K136" s="694" t="str">
        <f t="shared" si="457"/>
        <v/>
      </c>
      <c r="L136" s="695" t="str">
        <f t="shared" si="457"/>
        <v/>
      </c>
      <c r="M136" s="695" t="str">
        <f t="shared" si="457"/>
        <v/>
      </c>
      <c r="N136" s="696" t="str">
        <f t="shared" si="457"/>
        <v/>
      </c>
      <c r="O136" s="694" t="str">
        <f t="shared" ref="O136:AL136" si="489">IF(ISBLANK(O279),"",O279)</f>
        <v/>
      </c>
      <c r="P136" s="695" t="str">
        <f t="shared" si="489"/>
        <v/>
      </c>
      <c r="Q136" s="695" t="str">
        <f t="shared" si="489"/>
        <v/>
      </c>
      <c r="R136" s="699" t="str">
        <f t="shared" si="489"/>
        <v/>
      </c>
      <c r="S136" s="697">
        <f t="shared" si="489"/>
        <v>0</v>
      </c>
      <c r="T136" s="698">
        <f t="shared" si="489"/>
        <v>0</v>
      </c>
      <c r="U136" s="698">
        <f t="shared" si="489"/>
        <v>0</v>
      </c>
      <c r="V136" s="699">
        <f t="shared" si="489"/>
        <v>0</v>
      </c>
      <c r="W136" s="698">
        <f t="shared" si="489"/>
        <v>0</v>
      </c>
      <c r="X136" s="698">
        <f t="shared" si="489"/>
        <v>0</v>
      </c>
      <c r="Y136" s="698">
        <f t="shared" si="489"/>
        <v>0</v>
      </c>
      <c r="Z136" s="699">
        <f t="shared" si="489"/>
        <v>0</v>
      </c>
      <c r="AA136" s="698">
        <f t="shared" si="489"/>
        <v>0</v>
      </c>
      <c r="AB136" s="698">
        <f t="shared" si="489"/>
        <v>0</v>
      </c>
      <c r="AC136" s="698">
        <f t="shared" si="489"/>
        <v>0</v>
      </c>
      <c r="AD136" s="699">
        <f t="shared" si="489"/>
        <v>0</v>
      </c>
      <c r="AE136" s="698">
        <f t="shared" si="489"/>
        <v>0</v>
      </c>
      <c r="AF136" s="698">
        <f t="shared" si="489"/>
        <v>0</v>
      </c>
      <c r="AG136" s="698">
        <f t="shared" si="489"/>
        <v>0</v>
      </c>
      <c r="AH136" s="699">
        <f t="shared" si="489"/>
        <v>0</v>
      </c>
      <c r="AI136" s="703">
        <f t="shared" si="489"/>
        <v>0</v>
      </c>
      <c r="AJ136" s="703">
        <f t="shared" si="489"/>
        <v>0</v>
      </c>
      <c r="AK136" s="703">
        <f t="shared" si="489"/>
        <v>0</v>
      </c>
      <c r="AL136" s="699">
        <f t="shared" si="489"/>
        <v>0</v>
      </c>
      <c r="AM136" s="703">
        <f t="shared" si="465"/>
        <v>0</v>
      </c>
      <c r="AN136" s="703">
        <f t="shared" si="465"/>
        <v>0</v>
      </c>
      <c r="AO136" s="703">
        <f t="shared" si="465"/>
        <v>0</v>
      </c>
      <c r="AP136" s="704">
        <f t="shared" si="465"/>
        <v>0</v>
      </c>
      <c r="AQ136" s="703">
        <f t="shared" ref="AQ136:AX136" si="490">IF(ISBLANK(AQ279),"",AQ279)</f>
        <v>0</v>
      </c>
      <c r="AR136" s="703">
        <f t="shared" si="490"/>
        <v>0</v>
      </c>
      <c r="AS136" s="703">
        <f t="shared" si="490"/>
        <v>0</v>
      </c>
      <c r="AT136" s="704">
        <f t="shared" si="490"/>
        <v>0</v>
      </c>
      <c r="AU136" s="703">
        <f t="shared" si="490"/>
        <v>0</v>
      </c>
      <c r="AV136" s="703">
        <f t="shared" si="490"/>
        <v>0</v>
      </c>
      <c r="AW136" s="703">
        <f t="shared" si="490"/>
        <v>0</v>
      </c>
      <c r="AX136" s="704">
        <f t="shared" si="490"/>
        <v>0</v>
      </c>
      <c r="AY136" s="703">
        <f t="shared" ref="AY136:BB136" si="491">IF(ISBLANK(AY279),"",AY279)</f>
        <v>0</v>
      </c>
      <c r="AZ136" s="703">
        <f t="shared" si="491"/>
        <v>0</v>
      </c>
      <c r="BA136" s="703">
        <f t="shared" si="491"/>
        <v>0</v>
      </c>
      <c r="BB136" s="704">
        <f t="shared" si="491"/>
        <v>0</v>
      </c>
      <c r="BC136" s="700"/>
      <c r="BD136" s="700"/>
      <c r="BE136" s="701">
        <f t="shared" si="471"/>
        <v>0</v>
      </c>
      <c r="BF136" s="701">
        <f t="shared" si="471"/>
        <v>0</v>
      </c>
      <c r="BG136" s="701">
        <f t="shared" si="471"/>
        <v>0</v>
      </c>
      <c r="BH136" s="701">
        <f t="shared" si="471"/>
        <v>0</v>
      </c>
      <c r="BI136" s="701">
        <f t="shared" si="472"/>
        <v>0</v>
      </c>
      <c r="BJ136" s="701">
        <f t="shared" si="473"/>
        <v>0</v>
      </c>
      <c r="BK136" s="701">
        <f t="shared" si="474"/>
        <v>0</v>
      </c>
      <c r="BL136" s="701">
        <f t="shared" si="475"/>
        <v>0</v>
      </c>
      <c r="BM136" s="1582">
        <f t="shared" si="476"/>
        <v>0</v>
      </c>
      <c r="BN136" s="1582">
        <f t="shared" si="477"/>
        <v>0</v>
      </c>
      <c r="BO136" s="1582">
        <f t="shared" si="478"/>
        <v>0</v>
      </c>
      <c r="BP136" s="1582">
        <f t="shared" si="479"/>
        <v>0</v>
      </c>
      <c r="BQ136" s="637"/>
      <c r="BR136" s="638"/>
      <c r="BU136" s="609"/>
      <c r="BV136" s="608"/>
      <c r="BW136" s="608"/>
      <c r="BX136" s="608"/>
    </row>
    <row r="137" spans="1:76" ht="12.75" customHeight="1">
      <c r="A137" s="610"/>
      <c r="B137" s="611"/>
      <c r="C137" s="629" t="str">
        <f t="shared" si="463"/>
        <v>CSAPR 2 NOX</v>
      </c>
      <c r="D137" s="629" t="str">
        <f t="shared" si="463"/>
        <v/>
      </c>
      <c r="E137" s="629" t="str">
        <f t="shared" si="463"/>
        <v/>
      </c>
      <c r="F137" s="654"/>
      <c r="G137" s="694" t="str">
        <f t="shared" si="412"/>
        <v/>
      </c>
      <c r="H137" s="695" t="str">
        <f t="shared" si="457"/>
        <v/>
      </c>
      <c r="I137" s="695" t="str">
        <f t="shared" si="457"/>
        <v/>
      </c>
      <c r="J137" s="696" t="str">
        <f t="shared" si="457"/>
        <v/>
      </c>
      <c r="K137" s="694" t="str">
        <f t="shared" si="457"/>
        <v/>
      </c>
      <c r="L137" s="695" t="str">
        <f t="shared" si="457"/>
        <v/>
      </c>
      <c r="M137" s="695" t="str">
        <f t="shared" si="457"/>
        <v/>
      </c>
      <c r="N137" s="696" t="str">
        <f t="shared" si="457"/>
        <v/>
      </c>
      <c r="O137" s="694" t="str">
        <f t="shared" ref="O137:AL137" si="492">IF(ISBLANK(O280),"",O280)</f>
        <v/>
      </c>
      <c r="P137" s="695" t="str">
        <f t="shared" si="492"/>
        <v/>
      </c>
      <c r="Q137" s="695" t="str">
        <f t="shared" si="492"/>
        <v/>
      </c>
      <c r="R137" s="699" t="str">
        <f t="shared" si="492"/>
        <v/>
      </c>
      <c r="S137" s="697">
        <f t="shared" si="492"/>
        <v>0</v>
      </c>
      <c r="T137" s="698">
        <f t="shared" si="492"/>
        <v>0</v>
      </c>
      <c r="U137" s="698">
        <f t="shared" si="492"/>
        <v>0</v>
      </c>
      <c r="V137" s="699">
        <f t="shared" si="492"/>
        <v>0</v>
      </c>
      <c r="W137" s="698">
        <f t="shared" si="492"/>
        <v>0</v>
      </c>
      <c r="X137" s="698">
        <f t="shared" si="492"/>
        <v>0</v>
      </c>
      <c r="Y137" s="698">
        <f t="shared" si="492"/>
        <v>0</v>
      </c>
      <c r="Z137" s="699">
        <f t="shared" si="492"/>
        <v>0</v>
      </c>
      <c r="AA137" s="698">
        <f t="shared" si="492"/>
        <v>0</v>
      </c>
      <c r="AB137" s="698">
        <f t="shared" si="492"/>
        <v>0</v>
      </c>
      <c r="AC137" s="698">
        <f t="shared" si="492"/>
        <v>0</v>
      </c>
      <c r="AD137" s="699">
        <f t="shared" si="492"/>
        <v>0</v>
      </c>
      <c r="AE137" s="698">
        <f t="shared" si="492"/>
        <v>0</v>
      </c>
      <c r="AF137" s="698">
        <f t="shared" si="492"/>
        <v>0</v>
      </c>
      <c r="AG137" s="698">
        <f t="shared" si="492"/>
        <v>0</v>
      </c>
      <c r="AH137" s="699">
        <f t="shared" si="492"/>
        <v>0</v>
      </c>
      <c r="AI137" s="703">
        <f t="shared" si="492"/>
        <v>0</v>
      </c>
      <c r="AJ137" s="703">
        <f t="shared" si="492"/>
        <v>0</v>
      </c>
      <c r="AK137" s="703">
        <f t="shared" si="492"/>
        <v>0</v>
      </c>
      <c r="AL137" s="699">
        <f t="shared" si="492"/>
        <v>0</v>
      </c>
      <c r="AM137" s="703">
        <f t="shared" si="465"/>
        <v>0</v>
      </c>
      <c r="AN137" s="703">
        <f t="shared" si="465"/>
        <v>0</v>
      </c>
      <c r="AO137" s="703">
        <f t="shared" si="465"/>
        <v>0</v>
      </c>
      <c r="AP137" s="704">
        <f t="shared" si="465"/>
        <v>0</v>
      </c>
      <c r="AQ137" s="703">
        <f t="shared" ref="AQ137:AX137" si="493">IF(ISBLANK(AQ280),"",AQ280)</f>
        <v>0</v>
      </c>
      <c r="AR137" s="703">
        <f t="shared" si="493"/>
        <v>0</v>
      </c>
      <c r="AS137" s="703">
        <f t="shared" si="493"/>
        <v>0</v>
      </c>
      <c r="AT137" s="704">
        <f t="shared" si="493"/>
        <v>0</v>
      </c>
      <c r="AU137" s="703">
        <f t="shared" si="493"/>
        <v>0</v>
      </c>
      <c r="AV137" s="703">
        <f t="shared" si="493"/>
        <v>0</v>
      </c>
      <c r="AW137" s="703">
        <f t="shared" si="493"/>
        <v>0</v>
      </c>
      <c r="AX137" s="704">
        <f t="shared" si="493"/>
        <v>0</v>
      </c>
      <c r="AY137" s="703">
        <f t="shared" ref="AY137:BB137" si="494">IF(ISBLANK(AY280),"",AY280)</f>
        <v>0</v>
      </c>
      <c r="AZ137" s="703">
        <f t="shared" si="494"/>
        <v>0</v>
      </c>
      <c r="BA137" s="703">
        <f t="shared" si="494"/>
        <v>0</v>
      </c>
      <c r="BB137" s="704">
        <f t="shared" si="494"/>
        <v>0</v>
      </c>
      <c r="BC137" s="700"/>
      <c r="BD137" s="700"/>
      <c r="BE137" s="701">
        <f t="shared" si="471"/>
        <v>0</v>
      </c>
      <c r="BF137" s="701">
        <f t="shared" si="471"/>
        <v>0</v>
      </c>
      <c r="BG137" s="701">
        <f t="shared" si="471"/>
        <v>0</v>
      </c>
      <c r="BH137" s="701">
        <f t="shared" si="471"/>
        <v>0</v>
      </c>
      <c r="BI137" s="701">
        <f t="shared" si="472"/>
        <v>0</v>
      </c>
      <c r="BJ137" s="701">
        <f t="shared" si="473"/>
        <v>0</v>
      </c>
      <c r="BK137" s="701">
        <f t="shared" si="474"/>
        <v>0</v>
      </c>
      <c r="BL137" s="701">
        <f t="shared" si="475"/>
        <v>0</v>
      </c>
      <c r="BM137" s="1582">
        <f t="shared" si="476"/>
        <v>0</v>
      </c>
      <c r="BN137" s="1582">
        <f t="shared" si="477"/>
        <v>0</v>
      </c>
      <c r="BO137" s="1582">
        <f t="shared" si="478"/>
        <v>0</v>
      </c>
      <c r="BP137" s="1582">
        <f t="shared" si="479"/>
        <v>0</v>
      </c>
      <c r="BQ137" s="637"/>
      <c r="BR137" s="638"/>
      <c r="BU137" s="609"/>
      <c r="BV137" s="608"/>
      <c r="BW137" s="608"/>
      <c r="BX137" s="608"/>
    </row>
    <row r="138" spans="1:76" ht="12.75" customHeight="1">
      <c r="A138" s="610"/>
      <c r="B138" s="611"/>
      <c r="C138" s="629" t="str">
        <f t="shared" si="463"/>
        <v>NOX SEASONAL</v>
      </c>
      <c r="D138" s="629" t="str">
        <f t="shared" si="463"/>
        <v/>
      </c>
      <c r="E138" s="629" t="str">
        <f t="shared" si="463"/>
        <v/>
      </c>
      <c r="F138" s="654"/>
      <c r="G138" s="694" t="str">
        <f t="shared" si="412"/>
        <v/>
      </c>
      <c r="H138" s="695" t="str">
        <f t="shared" si="457"/>
        <v/>
      </c>
      <c r="I138" s="695" t="str">
        <f t="shared" si="457"/>
        <v/>
      </c>
      <c r="J138" s="696" t="str">
        <f t="shared" si="457"/>
        <v/>
      </c>
      <c r="K138" s="694" t="str">
        <f t="shared" si="457"/>
        <v/>
      </c>
      <c r="L138" s="695" t="str">
        <f t="shared" si="457"/>
        <v/>
      </c>
      <c r="M138" s="695" t="str">
        <f t="shared" si="457"/>
        <v/>
      </c>
      <c r="N138" s="696" t="str">
        <f t="shared" si="457"/>
        <v/>
      </c>
      <c r="O138" s="694" t="str">
        <f t="shared" ref="O138:AL138" si="495">IF(ISBLANK(O281),"",O281)</f>
        <v/>
      </c>
      <c r="P138" s="695" t="str">
        <f t="shared" si="495"/>
        <v/>
      </c>
      <c r="Q138" s="695" t="str">
        <f t="shared" si="495"/>
        <v/>
      </c>
      <c r="R138" s="699" t="str">
        <f t="shared" si="495"/>
        <v/>
      </c>
      <c r="S138" s="697">
        <f t="shared" si="495"/>
        <v>0</v>
      </c>
      <c r="T138" s="698">
        <f t="shared" si="495"/>
        <v>0</v>
      </c>
      <c r="U138" s="698">
        <f t="shared" si="495"/>
        <v>0</v>
      </c>
      <c r="V138" s="699">
        <f t="shared" si="495"/>
        <v>0</v>
      </c>
      <c r="W138" s="698">
        <f t="shared" si="495"/>
        <v>0</v>
      </c>
      <c r="X138" s="698">
        <f t="shared" si="495"/>
        <v>0</v>
      </c>
      <c r="Y138" s="698">
        <f t="shared" si="495"/>
        <v>0</v>
      </c>
      <c r="Z138" s="699">
        <f t="shared" si="495"/>
        <v>0</v>
      </c>
      <c r="AA138" s="698">
        <f t="shared" si="495"/>
        <v>0</v>
      </c>
      <c r="AB138" s="698">
        <f t="shared" si="495"/>
        <v>0</v>
      </c>
      <c r="AC138" s="698">
        <f t="shared" si="495"/>
        <v>0</v>
      </c>
      <c r="AD138" s="699">
        <f t="shared" si="495"/>
        <v>0</v>
      </c>
      <c r="AE138" s="698">
        <f t="shared" si="495"/>
        <v>0</v>
      </c>
      <c r="AF138" s="698">
        <f t="shared" si="495"/>
        <v>0</v>
      </c>
      <c r="AG138" s="698">
        <f t="shared" si="495"/>
        <v>0</v>
      </c>
      <c r="AH138" s="699">
        <f t="shared" si="495"/>
        <v>0</v>
      </c>
      <c r="AI138" s="703">
        <f t="shared" si="495"/>
        <v>0</v>
      </c>
      <c r="AJ138" s="703">
        <f t="shared" si="495"/>
        <v>0</v>
      </c>
      <c r="AK138" s="703">
        <f t="shared" si="495"/>
        <v>0</v>
      </c>
      <c r="AL138" s="699">
        <f t="shared" si="495"/>
        <v>0</v>
      </c>
      <c r="AM138" s="703">
        <f t="shared" si="465"/>
        <v>0</v>
      </c>
      <c r="AN138" s="703">
        <f t="shared" si="465"/>
        <v>0</v>
      </c>
      <c r="AO138" s="703">
        <f t="shared" si="465"/>
        <v>0</v>
      </c>
      <c r="AP138" s="704">
        <f t="shared" si="465"/>
        <v>0</v>
      </c>
      <c r="AQ138" s="703">
        <f t="shared" ref="AQ138:AX138" si="496">IF(ISBLANK(AQ281),"",AQ281)</f>
        <v>0</v>
      </c>
      <c r="AR138" s="703">
        <f t="shared" si="496"/>
        <v>0</v>
      </c>
      <c r="AS138" s="703">
        <f t="shared" si="496"/>
        <v>0</v>
      </c>
      <c r="AT138" s="704">
        <f t="shared" si="496"/>
        <v>0</v>
      </c>
      <c r="AU138" s="703">
        <f t="shared" si="496"/>
        <v>0</v>
      </c>
      <c r="AV138" s="703">
        <f t="shared" si="496"/>
        <v>0</v>
      </c>
      <c r="AW138" s="703">
        <f t="shared" si="496"/>
        <v>0</v>
      </c>
      <c r="AX138" s="704">
        <f t="shared" si="496"/>
        <v>0</v>
      </c>
      <c r="AY138" s="703">
        <f t="shared" ref="AY138:BB138" si="497">IF(ISBLANK(AY281),"",AY281)</f>
        <v>0</v>
      </c>
      <c r="AZ138" s="703">
        <f t="shared" si="497"/>
        <v>0</v>
      </c>
      <c r="BA138" s="703">
        <f t="shared" si="497"/>
        <v>0</v>
      </c>
      <c r="BB138" s="704">
        <f t="shared" si="497"/>
        <v>0</v>
      </c>
      <c r="BC138" s="700"/>
      <c r="BD138" s="700"/>
      <c r="BE138" s="701">
        <f t="shared" si="471"/>
        <v>0</v>
      </c>
      <c r="BF138" s="701">
        <f t="shared" si="471"/>
        <v>0</v>
      </c>
      <c r="BG138" s="701">
        <f t="shared" si="471"/>
        <v>0</v>
      </c>
      <c r="BH138" s="701">
        <f t="shared" si="471"/>
        <v>0</v>
      </c>
      <c r="BI138" s="701">
        <f t="shared" si="472"/>
        <v>0</v>
      </c>
      <c r="BJ138" s="701">
        <f t="shared" si="473"/>
        <v>0</v>
      </c>
      <c r="BK138" s="701">
        <f t="shared" si="474"/>
        <v>0</v>
      </c>
      <c r="BL138" s="701">
        <f t="shared" si="475"/>
        <v>0</v>
      </c>
      <c r="BM138" s="1582">
        <f t="shared" si="476"/>
        <v>0</v>
      </c>
      <c r="BN138" s="1582">
        <f t="shared" si="477"/>
        <v>0</v>
      </c>
      <c r="BO138" s="1582">
        <f t="shared" si="478"/>
        <v>0</v>
      </c>
      <c r="BP138" s="1582">
        <f t="shared" si="479"/>
        <v>0</v>
      </c>
      <c r="BQ138" s="637"/>
      <c r="BR138" s="638"/>
      <c r="BU138" s="609"/>
      <c r="BV138" s="608"/>
      <c r="BW138" s="608"/>
      <c r="BX138" s="608"/>
    </row>
    <row r="139" spans="1:76" ht="12.75" customHeight="1">
      <c r="A139" s="610"/>
      <c r="B139" s="611"/>
      <c r="C139" s="629" t="str">
        <f t="shared" si="463"/>
        <v/>
      </c>
      <c r="D139" s="629" t="str">
        <f t="shared" si="463"/>
        <v/>
      </c>
      <c r="E139" s="629" t="str">
        <f t="shared" si="463"/>
        <v/>
      </c>
      <c r="F139" s="654"/>
      <c r="G139" s="694" t="str">
        <f t="shared" si="412"/>
        <v/>
      </c>
      <c r="H139" s="695" t="str">
        <f t="shared" si="457"/>
        <v/>
      </c>
      <c r="I139" s="695" t="str">
        <f t="shared" si="457"/>
        <v/>
      </c>
      <c r="J139" s="696" t="str">
        <f t="shared" si="457"/>
        <v/>
      </c>
      <c r="K139" s="640" t="str">
        <f t="shared" si="457"/>
        <v/>
      </c>
      <c r="L139" s="695" t="str">
        <f t="shared" si="457"/>
        <v/>
      </c>
      <c r="M139" s="695" t="str">
        <f t="shared" si="457"/>
        <v/>
      </c>
      <c r="N139" s="696" t="str">
        <f t="shared" si="457"/>
        <v/>
      </c>
      <c r="O139" s="694" t="str">
        <f t="shared" ref="O139:AL139" si="498">IF(ISBLANK(O282),"",O282)</f>
        <v/>
      </c>
      <c r="P139" s="695" t="str">
        <f t="shared" si="498"/>
        <v/>
      </c>
      <c r="Q139" s="695" t="str">
        <f t="shared" si="498"/>
        <v/>
      </c>
      <c r="R139" s="696" t="str">
        <f t="shared" si="498"/>
        <v/>
      </c>
      <c r="S139" s="694" t="str">
        <f t="shared" si="498"/>
        <v/>
      </c>
      <c r="T139" s="695" t="str">
        <f t="shared" si="498"/>
        <v/>
      </c>
      <c r="U139" s="695" t="str">
        <f t="shared" si="498"/>
        <v/>
      </c>
      <c r="V139" s="696" t="str">
        <f t="shared" si="498"/>
        <v/>
      </c>
      <c r="W139" s="695" t="str">
        <f t="shared" si="498"/>
        <v/>
      </c>
      <c r="X139" s="695" t="str">
        <f t="shared" si="498"/>
        <v/>
      </c>
      <c r="Y139" s="695" t="str">
        <f t="shared" si="498"/>
        <v/>
      </c>
      <c r="Z139" s="696" t="str">
        <f t="shared" si="498"/>
        <v/>
      </c>
      <c r="AA139" s="695" t="str">
        <f t="shared" si="498"/>
        <v/>
      </c>
      <c r="AB139" s="695" t="str">
        <f t="shared" si="498"/>
        <v/>
      </c>
      <c r="AC139" s="695" t="str">
        <f t="shared" si="498"/>
        <v/>
      </c>
      <c r="AD139" s="696" t="str">
        <f t="shared" si="498"/>
        <v/>
      </c>
      <c r="AE139" s="695" t="str">
        <f t="shared" si="498"/>
        <v/>
      </c>
      <c r="AF139" s="695" t="str">
        <f t="shared" si="498"/>
        <v/>
      </c>
      <c r="AG139" s="695" t="str">
        <f t="shared" si="498"/>
        <v/>
      </c>
      <c r="AH139" s="696" t="str">
        <f t="shared" si="498"/>
        <v/>
      </c>
      <c r="AI139" s="695" t="str">
        <f t="shared" si="498"/>
        <v/>
      </c>
      <c r="AJ139" s="695" t="str">
        <f t="shared" si="498"/>
        <v/>
      </c>
      <c r="AK139" s="695" t="str">
        <f t="shared" si="498"/>
        <v/>
      </c>
      <c r="AL139" s="696" t="str">
        <f t="shared" si="498"/>
        <v/>
      </c>
      <c r="AM139" s="695" t="str">
        <f t="shared" si="465"/>
        <v/>
      </c>
      <c r="AN139" s="695" t="str">
        <f t="shared" si="465"/>
        <v/>
      </c>
      <c r="AO139" s="695" t="str">
        <f t="shared" si="465"/>
        <v/>
      </c>
      <c r="AP139" s="696" t="str">
        <f t="shared" si="465"/>
        <v/>
      </c>
      <c r="AQ139" s="695"/>
      <c r="AR139" s="695"/>
      <c r="AS139" s="695"/>
      <c r="AT139" s="696"/>
      <c r="AU139" s="695"/>
      <c r="AV139" s="695"/>
      <c r="AW139" s="695"/>
      <c r="AX139" s="696"/>
      <c r="AY139" s="695"/>
      <c r="AZ139" s="695"/>
      <c r="BA139" s="695"/>
      <c r="BB139" s="696"/>
      <c r="BC139" s="707"/>
      <c r="BD139" s="708"/>
      <c r="BE139" s="708"/>
      <c r="BF139" s="708"/>
      <c r="BG139" s="708"/>
      <c r="BH139" s="708"/>
      <c r="BI139" s="708"/>
      <c r="BJ139" s="708"/>
      <c r="BK139" s="708"/>
      <c r="BL139" s="708"/>
      <c r="BM139" s="708"/>
      <c r="BN139" s="708"/>
      <c r="BO139" s="708"/>
      <c r="BP139" s="708"/>
      <c r="BQ139" s="637"/>
      <c r="BR139" s="638"/>
      <c r="BU139" s="609"/>
      <c r="BV139" s="608"/>
      <c r="BW139" s="608"/>
      <c r="BX139" s="608"/>
    </row>
    <row r="140" spans="1:76" ht="12.75" customHeight="1">
      <c r="A140" s="610"/>
      <c r="B140" s="611"/>
      <c r="C140" s="709" t="str">
        <f t="shared" si="463"/>
        <v/>
      </c>
      <c r="D140" s="709" t="str">
        <f t="shared" si="463"/>
        <v/>
      </c>
      <c r="E140" s="709" t="str">
        <f t="shared" si="463"/>
        <v/>
      </c>
      <c r="F140" s="1461"/>
      <c r="G140" s="640" t="str">
        <f t="shared" si="412"/>
        <v/>
      </c>
      <c r="H140" s="641" t="str">
        <f t="shared" si="457"/>
        <v/>
      </c>
      <c r="I140" s="641" t="str">
        <f t="shared" si="457"/>
        <v/>
      </c>
      <c r="J140" s="642" t="str">
        <f t="shared" si="457"/>
        <v/>
      </c>
      <c r="K140" s="710" t="str">
        <f t="shared" si="457"/>
        <v/>
      </c>
      <c r="L140" s="641" t="str">
        <f t="shared" si="457"/>
        <v/>
      </c>
      <c r="M140" s="641" t="str">
        <f t="shared" si="457"/>
        <v/>
      </c>
      <c r="N140" s="642" t="str">
        <f t="shared" si="457"/>
        <v/>
      </c>
      <c r="O140" s="640" t="str">
        <f t="shared" ref="O140:AL140" si="499">IF(ISBLANK(O283),"",O283)</f>
        <v/>
      </c>
      <c r="P140" s="641" t="str">
        <f t="shared" si="499"/>
        <v/>
      </c>
      <c r="Q140" s="641" t="str">
        <f t="shared" si="499"/>
        <v/>
      </c>
      <c r="R140" s="642" t="str">
        <f t="shared" si="499"/>
        <v/>
      </c>
      <c r="S140" s="640" t="str">
        <f t="shared" si="499"/>
        <v/>
      </c>
      <c r="T140" s="641" t="str">
        <f t="shared" si="499"/>
        <v/>
      </c>
      <c r="U140" s="641" t="str">
        <f t="shared" si="499"/>
        <v/>
      </c>
      <c r="V140" s="642" t="str">
        <f t="shared" si="499"/>
        <v/>
      </c>
      <c r="W140" s="641" t="str">
        <f t="shared" si="499"/>
        <v/>
      </c>
      <c r="X140" s="641" t="str">
        <f t="shared" si="499"/>
        <v/>
      </c>
      <c r="Y140" s="641" t="str">
        <f t="shared" si="499"/>
        <v/>
      </c>
      <c r="Z140" s="642" t="str">
        <f t="shared" si="499"/>
        <v/>
      </c>
      <c r="AA140" s="641" t="str">
        <f t="shared" si="499"/>
        <v/>
      </c>
      <c r="AB140" s="641" t="str">
        <f t="shared" si="499"/>
        <v/>
      </c>
      <c r="AC140" s="641" t="str">
        <f t="shared" si="499"/>
        <v/>
      </c>
      <c r="AD140" s="642" t="str">
        <f t="shared" si="499"/>
        <v/>
      </c>
      <c r="AE140" s="641" t="str">
        <f t="shared" si="499"/>
        <v/>
      </c>
      <c r="AF140" s="641" t="str">
        <f t="shared" si="499"/>
        <v/>
      </c>
      <c r="AG140" s="641" t="str">
        <f t="shared" si="499"/>
        <v/>
      </c>
      <c r="AH140" s="642" t="str">
        <f t="shared" si="499"/>
        <v/>
      </c>
      <c r="AI140" s="641" t="str">
        <f t="shared" si="499"/>
        <v/>
      </c>
      <c r="AJ140" s="641" t="str">
        <f t="shared" si="499"/>
        <v/>
      </c>
      <c r="AK140" s="641" t="str">
        <f t="shared" si="499"/>
        <v/>
      </c>
      <c r="AL140" s="642" t="str">
        <f t="shared" si="499"/>
        <v/>
      </c>
      <c r="AM140" s="641" t="str">
        <f t="shared" si="465"/>
        <v/>
      </c>
      <c r="AN140" s="641" t="str">
        <f t="shared" si="465"/>
        <v/>
      </c>
      <c r="AO140" s="641" t="str">
        <f t="shared" si="465"/>
        <v/>
      </c>
      <c r="AP140" s="642" t="str">
        <f t="shared" si="465"/>
        <v/>
      </c>
      <c r="AQ140" s="641"/>
      <c r="AR140" s="641"/>
      <c r="AS140" s="641"/>
      <c r="AT140" s="642"/>
      <c r="AU140" s="641"/>
      <c r="AV140" s="641"/>
      <c r="AW140" s="641"/>
      <c r="AX140" s="642"/>
      <c r="AY140" s="641"/>
      <c r="AZ140" s="641"/>
      <c r="BA140" s="641"/>
      <c r="BB140" s="642"/>
      <c r="BC140" s="711"/>
      <c r="BD140" s="711"/>
      <c r="BE140" s="711"/>
      <c r="BF140" s="711"/>
      <c r="BG140" s="711"/>
      <c r="BH140" s="711"/>
      <c r="BI140" s="711"/>
      <c r="BJ140" s="711"/>
      <c r="BK140" s="711"/>
      <c r="BL140" s="711"/>
      <c r="BM140" s="711"/>
      <c r="BN140" s="711"/>
      <c r="BO140" s="711"/>
      <c r="BP140" s="711"/>
      <c r="BQ140" s="637"/>
      <c r="BR140" s="682"/>
      <c r="BU140" s="609"/>
      <c r="BV140" s="608"/>
      <c r="BW140" s="608"/>
      <c r="BX140" s="608"/>
    </row>
    <row r="141" spans="1:76" ht="12.75" customHeight="1">
      <c r="A141" s="712"/>
      <c r="B141" s="649"/>
      <c r="C141" s="713" t="str">
        <f t="shared" si="463"/>
        <v/>
      </c>
      <c r="D141" s="713" t="str">
        <f t="shared" si="463"/>
        <v/>
      </c>
      <c r="E141" s="713" t="str">
        <f t="shared" si="463"/>
        <v/>
      </c>
      <c r="F141" s="1474"/>
      <c r="G141" s="710" t="str">
        <f t="shared" si="412"/>
        <v/>
      </c>
      <c r="H141" s="714" t="str">
        <f t="shared" si="457"/>
        <v/>
      </c>
      <c r="I141" s="714" t="str">
        <f t="shared" si="457"/>
        <v/>
      </c>
      <c r="J141" s="715" t="str">
        <f t="shared" si="457"/>
        <v/>
      </c>
      <c r="K141" s="714" t="str">
        <f t="shared" si="457"/>
        <v/>
      </c>
      <c r="L141" s="714" t="str">
        <f t="shared" si="457"/>
        <v/>
      </c>
      <c r="M141" s="714" t="str">
        <f t="shared" si="457"/>
        <v/>
      </c>
      <c r="N141" s="715" t="str">
        <f t="shared" si="457"/>
        <v/>
      </c>
      <c r="O141" s="710" t="str">
        <f t="shared" ref="O141:AL141" si="500">IF(ISBLANK(O284),"",O284)</f>
        <v/>
      </c>
      <c r="P141" s="714" t="str">
        <f t="shared" si="500"/>
        <v/>
      </c>
      <c r="Q141" s="714" t="str">
        <f t="shared" si="500"/>
        <v/>
      </c>
      <c r="R141" s="715" t="str">
        <f t="shared" si="500"/>
        <v/>
      </c>
      <c r="S141" s="710" t="str">
        <f t="shared" si="500"/>
        <v/>
      </c>
      <c r="T141" s="714" t="str">
        <f t="shared" si="500"/>
        <v/>
      </c>
      <c r="U141" s="714" t="str">
        <f t="shared" si="500"/>
        <v/>
      </c>
      <c r="V141" s="715" t="str">
        <f t="shared" si="500"/>
        <v/>
      </c>
      <c r="W141" s="714" t="str">
        <f t="shared" si="500"/>
        <v/>
      </c>
      <c r="X141" s="714" t="str">
        <f t="shared" si="500"/>
        <v/>
      </c>
      <c r="Y141" s="714" t="str">
        <f t="shared" si="500"/>
        <v/>
      </c>
      <c r="Z141" s="715" t="str">
        <f t="shared" si="500"/>
        <v/>
      </c>
      <c r="AA141" s="714" t="str">
        <f t="shared" si="500"/>
        <v/>
      </c>
      <c r="AB141" s="714" t="str">
        <f t="shared" si="500"/>
        <v/>
      </c>
      <c r="AC141" s="714" t="str">
        <f t="shared" si="500"/>
        <v/>
      </c>
      <c r="AD141" s="715" t="str">
        <f t="shared" si="500"/>
        <v/>
      </c>
      <c r="AE141" s="714" t="str">
        <f t="shared" si="500"/>
        <v/>
      </c>
      <c r="AF141" s="714" t="str">
        <f t="shared" si="500"/>
        <v/>
      </c>
      <c r="AG141" s="714" t="str">
        <f t="shared" si="500"/>
        <v/>
      </c>
      <c r="AH141" s="715" t="str">
        <f t="shared" si="500"/>
        <v/>
      </c>
      <c r="AI141" s="714" t="str">
        <f t="shared" si="500"/>
        <v/>
      </c>
      <c r="AJ141" s="714" t="str">
        <f t="shared" si="500"/>
        <v/>
      </c>
      <c r="AK141" s="714" t="str">
        <f t="shared" si="500"/>
        <v/>
      </c>
      <c r="AL141" s="715" t="str">
        <f t="shared" si="500"/>
        <v/>
      </c>
      <c r="AM141" s="714" t="str">
        <f t="shared" si="465"/>
        <v/>
      </c>
      <c r="AN141" s="714" t="str">
        <f t="shared" si="465"/>
        <v/>
      </c>
      <c r="AO141" s="714" t="str">
        <f t="shared" si="465"/>
        <v/>
      </c>
      <c r="AP141" s="715" t="str">
        <f t="shared" si="465"/>
        <v/>
      </c>
      <c r="AQ141" s="714"/>
      <c r="AR141" s="714"/>
      <c r="AS141" s="714"/>
      <c r="AT141" s="715"/>
      <c r="AU141" s="714"/>
      <c r="AV141" s="714"/>
      <c r="AW141" s="714"/>
      <c r="AX141" s="715"/>
      <c r="AY141" s="714"/>
      <c r="AZ141" s="714"/>
      <c r="BA141" s="714"/>
      <c r="BB141" s="715"/>
      <c r="BC141" s="681"/>
      <c r="BD141" s="681"/>
      <c r="BE141" s="681"/>
      <c r="BF141" s="681"/>
      <c r="BG141" s="681"/>
      <c r="BH141" s="681"/>
      <c r="BI141" s="681"/>
      <c r="BJ141" s="681"/>
      <c r="BK141" s="681"/>
      <c r="BL141" s="681"/>
      <c r="BM141" s="681"/>
      <c r="BN141" s="681"/>
      <c r="BO141" s="681"/>
      <c r="BP141" s="681"/>
      <c r="BQ141" s="637"/>
      <c r="BR141" s="682"/>
      <c r="BU141" s="609"/>
      <c r="BV141" s="608"/>
      <c r="BW141" s="608"/>
      <c r="BX141" s="608"/>
    </row>
    <row r="142" spans="1:76" ht="12.75" customHeight="1">
      <c r="A142" s="716"/>
      <c r="B142" s="716"/>
      <c r="C142" s="717" t="str">
        <f t="shared" si="463"/>
        <v/>
      </c>
      <c r="D142" s="717" t="str">
        <f t="shared" si="463"/>
        <v/>
      </c>
      <c r="E142" s="717" t="str">
        <f t="shared" si="463"/>
        <v/>
      </c>
      <c r="F142" s="1475"/>
      <c r="G142" s="718" t="str">
        <f t="shared" si="412"/>
        <v/>
      </c>
      <c r="H142" s="716" t="str">
        <f t="shared" si="457"/>
        <v/>
      </c>
      <c r="I142" s="719" t="str">
        <f t="shared" si="457"/>
        <v/>
      </c>
      <c r="J142" s="719" t="str">
        <f t="shared" si="457"/>
        <v/>
      </c>
      <c r="K142" s="719" t="str">
        <f t="shared" si="457"/>
        <v/>
      </c>
      <c r="L142" s="719" t="str">
        <f t="shared" si="457"/>
        <v/>
      </c>
      <c r="M142" s="719" t="str">
        <f t="shared" si="457"/>
        <v/>
      </c>
      <c r="N142" s="719" t="str">
        <f t="shared" si="457"/>
        <v/>
      </c>
      <c r="O142" s="719" t="str">
        <f t="shared" ref="O142:AL142" si="501">IF(ISBLANK(O285),"",O285)</f>
        <v/>
      </c>
      <c r="P142" s="719" t="str">
        <f t="shared" si="501"/>
        <v/>
      </c>
      <c r="Q142" s="719" t="str">
        <f t="shared" si="501"/>
        <v/>
      </c>
      <c r="R142" s="719" t="str">
        <f t="shared" si="501"/>
        <v/>
      </c>
      <c r="S142" s="718" t="str">
        <f t="shared" si="501"/>
        <v/>
      </c>
      <c r="T142" s="719" t="str">
        <f t="shared" si="501"/>
        <v/>
      </c>
      <c r="U142" s="719" t="str">
        <f t="shared" si="501"/>
        <v/>
      </c>
      <c r="V142" s="719" t="str">
        <f t="shared" si="501"/>
        <v/>
      </c>
      <c r="W142" s="719" t="str">
        <f t="shared" si="501"/>
        <v/>
      </c>
      <c r="X142" s="719" t="str">
        <f t="shared" si="501"/>
        <v/>
      </c>
      <c r="Y142" s="719" t="str">
        <f t="shared" si="501"/>
        <v/>
      </c>
      <c r="Z142" s="718" t="str">
        <f t="shared" si="501"/>
        <v/>
      </c>
      <c r="AA142" s="719" t="str">
        <f t="shared" si="501"/>
        <v/>
      </c>
      <c r="AB142" s="719" t="str">
        <f t="shared" si="501"/>
        <v/>
      </c>
      <c r="AC142" s="719" t="str">
        <f t="shared" si="501"/>
        <v/>
      </c>
      <c r="AD142" s="719" t="str">
        <f t="shared" si="501"/>
        <v/>
      </c>
      <c r="AE142" s="719" t="str">
        <f t="shared" si="501"/>
        <v/>
      </c>
      <c r="AF142" s="719" t="str">
        <f t="shared" si="501"/>
        <v/>
      </c>
      <c r="AG142" s="719" t="str">
        <f t="shared" si="501"/>
        <v/>
      </c>
      <c r="AH142" s="719" t="str">
        <f t="shared" si="501"/>
        <v/>
      </c>
      <c r="AI142" s="719" t="str">
        <f t="shared" si="501"/>
        <v/>
      </c>
      <c r="AJ142" s="719" t="str">
        <f t="shared" si="501"/>
        <v/>
      </c>
      <c r="AK142" s="719" t="str">
        <f t="shared" si="501"/>
        <v/>
      </c>
      <c r="AL142" s="719" t="str">
        <f t="shared" si="501"/>
        <v/>
      </c>
      <c r="AM142" s="719" t="str">
        <f t="shared" si="465"/>
        <v/>
      </c>
      <c r="AN142" s="719" t="str">
        <f t="shared" si="465"/>
        <v/>
      </c>
      <c r="AO142" s="719" t="str">
        <f t="shared" si="465"/>
        <v/>
      </c>
      <c r="AP142" s="719" t="str">
        <f t="shared" si="465"/>
        <v/>
      </c>
      <c r="AQ142" s="719"/>
      <c r="AR142" s="719"/>
      <c r="AS142" s="719"/>
      <c r="AT142" s="719"/>
      <c r="AU142" s="719"/>
      <c r="AV142" s="719"/>
      <c r="AW142" s="719"/>
      <c r="AX142" s="719"/>
      <c r="AY142" s="719"/>
      <c r="AZ142" s="719"/>
      <c r="BA142" s="719"/>
      <c r="BB142" s="719"/>
      <c r="BC142" s="719"/>
      <c r="BD142" s="719"/>
      <c r="BE142" s="719"/>
      <c r="BF142" s="719"/>
      <c r="BG142" s="719"/>
      <c r="BH142" s="719"/>
      <c r="BI142" s="719"/>
      <c r="BJ142" s="719"/>
      <c r="BK142" s="719"/>
      <c r="BL142" s="719"/>
      <c r="BM142" s="719"/>
      <c r="BN142" s="719"/>
      <c r="BO142" s="719"/>
      <c r="BP142" s="719"/>
      <c r="BQ142" s="719"/>
      <c r="BR142" s="682"/>
      <c r="BU142" s="609"/>
      <c r="BV142" s="608"/>
      <c r="BW142" s="608"/>
      <c r="BX142" s="608"/>
    </row>
    <row r="143" spans="1:76" ht="12.75" customHeight="1">
      <c r="G143" s="580"/>
      <c r="H143" s="580"/>
      <c r="I143" s="580"/>
      <c r="J143" s="580"/>
      <c r="L143" s="637"/>
      <c r="M143" s="637"/>
      <c r="N143" s="637"/>
      <c r="O143" s="637"/>
      <c r="BG143" s="580"/>
      <c r="BH143" s="580"/>
      <c r="BI143" s="580"/>
      <c r="BJ143" s="580"/>
      <c r="BK143" s="580"/>
      <c r="BL143" s="580"/>
      <c r="BM143" s="580"/>
      <c r="BN143" s="580"/>
      <c r="BO143" s="580"/>
      <c r="BP143" s="580"/>
      <c r="BQ143" s="580"/>
      <c r="BR143" s="638"/>
      <c r="BU143" s="609"/>
      <c r="BV143" s="608"/>
      <c r="BW143" s="608"/>
      <c r="BX143" s="608"/>
    </row>
    <row r="144" spans="1:76" ht="12.75" customHeight="1">
      <c r="G144" s="580"/>
      <c r="H144" s="580"/>
      <c r="I144" s="580"/>
      <c r="J144" s="580"/>
      <c r="L144" s="637"/>
      <c r="M144" s="637"/>
      <c r="N144" s="637"/>
      <c r="O144" s="637"/>
      <c r="BG144" s="580"/>
      <c r="BH144" s="580"/>
      <c r="BI144" s="580"/>
      <c r="BJ144" s="580"/>
      <c r="BK144" s="580"/>
      <c r="BL144" s="580"/>
      <c r="BM144" s="580"/>
      <c r="BN144" s="580"/>
      <c r="BO144" s="580"/>
      <c r="BP144" s="580"/>
      <c r="BQ144" s="580"/>
      <c r="BR144" s="638"/>
      <c r="BU144" s="609"/>
      <c r="BV144" s="608"/>
      <c r="BW144" s="608"/>
      <c r="BX144" s="608"/>
    </row>
    <row r="145" spans="3:76" ht="12.75" customHeight="1">
      <c r="G145" s="580"/>
      <c r="H145" s="580"/>
      <c r="I145" s="580"/>
      <c r="J145" s="580"/>
      <c r="L145" s="637"/>
      <c r="M145" s="637"/>
      <c r="N145" s="637"/>
      <c r="O145" s="637"/>
      <c r="BG145" s="580"/>
      <c r="BH145" s="580"/>
      <c r="BI145" s="580"/>
      <c r="BJ145" s="580"/>
      <c r="BK145" s="580"/>
      <c r="BL145" s="580"/>
      <c r="BM145" s="580"/>
      <c r="BN145" s="580"/>
      <c r="BO145" s="580"/>
      <c r="BP145" s="580"/>
      <c r="BQ145" s="580"/>
      <c r="BR145" s="638"/>
      <c r="BU145" s="609"/>
      <c r="BV145" s="608"/>
      <c r="BW145" s="608"/>
      <c r="BX145" s="608"/>
    </row>
    <row r="146" spans="3:76" ht="12.75" customHeight="1">
      <c r="G146" s="580"/>
      <c r="H146" s="580"/>
      <c r="I146" s="580"/>
      <c r="J146" s="580"/>
      <c r="L146" s="637"/>
      <c r="M146" s="637"/>
      <c r="N146" s="637"/>
      <c r="O146" s="637"/>
      <c r="BG146" s="580"/>
      <c r="BH146" s="580"/>
      <c r="BI146" s="580"/>
      <c r="BJ146" s="580"/>
      <c r="BK146" s="580"/>
      <c r="BL146" s="580"/>
      <c r="BM146" s="580"/>
      <c r="BN146" s="580"/>
      <c r="BO146" s="580"/>
      <c r="BP146" s="580"/>
      <c r="BQ146" s="580"/>
      <c r="BR146" s="638"/>
      <c r="BU146" s="609"/>
      <c r="BV146" s="608"/>
      <c r="BW146" s="608"/>
      <c r="BX146" s="608"/>
    </row>
    <row r="147" spans="3:76" ht="12.75" customHeight="1">
      <c r="G147" s="580"/>
      <c r="H147" s="580"/>
      <c r="I147" s="580"/>
      <c r="J147" s="580"/>
      <c r="L147" s="637"/>
      <c r="M147" s="637"/>
      <c r="N147" s="637"/>
      <c r="O147" s="637"/>
      <c r="BG147" s="580"/>
      <c r="BH147" s="580"/>
      <c r="BI147" s="580"/>
      <c r="BJ147" s="580"/>
      <c r="BK147" s="580"/>
      <c r="BL147" s="580"/>
      <c r="BM147" s="580"/>
      <c r="BN147" s="580"/>
      <c r="BO147" s="580"/>
      <c r="BP147" s="580"/>
      <c r="BQ147" s="580"/>
      <c r="BR147" s="638"/>
      <c r="BU147" s="609"/>
      <c r="BV147" s="608"/>
      <c r="BW147" s="608"/>
      <c r="BX147" s="608"/>
    </row>
    <row r="148" spans="3:76" ht="12.75" customHeight="1" thickBot="1">
      <c r="G148" s="580"/>
      <c r="H148" s="580"/>
      <c r="I148" s="580"/>
      <c r="J148" s="580"/>
      <c r="L148" s="637"/>
      <c r="M148" s="637"/>
      <c r="N148" s="637"/>
      <c r="O148" s="637"/>
      <c r="BG148" s="580"/>
      <c r="BH148" s="580"/>
      <c r="BI148" s="580"/>
      <c r="BJ148" s="580"/>
      <c r="BK148" s="580"/>
      <c r="BL148" s="580"/>
      <c r="BM148" s="580"/>
      <c r="BN148" s="580"/>
      <c r="BO148" s="580"/>
      <c r="BP148" s="580"/>
      <c r="BQ148" s="580"/>
      <c r="BR148" s="638"/>
      <c r="BU148" s="609"/>
      <c r="BV148" s="608"/>
      <c r="BW148" s="608"/>
      <c r="BX148" s="608"/>
    </row>
    <row r="149" spans="3:76" ht="12.75" customHeight="1">
      <c r="C149" s="1476" t="s">
        <v>22</v>
      </c>
      <c r="D149" s="1477"/>
      <c r="E149" s="1477"/>
      <c r="F149" s="1478"/>
      <c r="G149" s="1483"/>
      <c r="H149" s="1480"/>
      <c r="I149" s="1480"/>
      <c r="J149" s="1481"/>
      <c r="K149" s="1479"/>
      <c r="L149" s="1480"/>
      <c r="M149" s="1480"/>
      <c r="N149" s="1481"/>
      <c r="O149" s="1479"/>
      <c r="P149" s="1480"/>
      <c r="Q149" s="1480"/>
      <c r="R149" s="1481"/>
      <c r="S149" s="1479"/>
      <c r="T149" s="1480"/>
      <c r="U149" s="1480"/>
      <c r="V149" s="1481"/>
      <c r="W149" s="1480"/>
      <c r="X149" s="1480"/>
      <c r="Y149" s="1480"/>
      <c r="Z149" s="1482"/>
      <c r="AA149" s="1483"/>
      <c r="AB149" s="1483"/>
      <c r="AC149" s="1483"/>
      <c r="AD149" s="1482"/>
      <c r="AE149" s="1483"/>
      <c r="AF149" s="1483"/>
      <c r="AG149" s="1483"/>
      <c r="AH149" s="1482"/>
      <c r="AI149" s="1483"/>
      <c r="AJ149" s="1483"/>
      <c r="AK149" s="1483"/>
      <c r="AL149" s="1482"/>
      <c r="AM149" s="1483"/>
      <c r="AN149" s="1483"/>
      <c r="AO149" s="1669"/>
      <c r="AP149" s="1670"/>
      <c r="AQ149" s="1671"/>
      <c r="AR149" s="1669"/>
      <c r="AS149" s="1669"/>
      <c r="AT149" s="1670"/>
      <c r="AU149" s="1671"/>
      <c r="AV149" s="1669"/>
      <c r="AW149" s="1669"/>
      <c r="AX149" s="1670"/>
      <c r="AY149" s="1671"/>
      <c r="AZ149" s="1669"/>
      <c r="BA149" s="1669"/>
      <c r="BB149" s="1672"/>
      <c r="BC149" s="622"/>
      <c r="BD149" s="623"/>
      <c r="BE149" s="623"/>
      <c r="BF149" s="623"/>
      <c r="BG149" s="623"/>
      <c r="BH149" s="623"/>
      <c r="BI149" s="623"/>
      <c r="BJ149" s="623"/>
      <c r="BK149" s="623"/>
      <c r="BL149" s="623"/>
      <c r="BM149" s="623"/>
      <c r="BN149" s="623"/>
      <c r="BO149" s="623"/>
      <c r="BP149" s="623"/>
      <c r="BQ149" s="624"/>
      <c r="BR149" s="625"/>
      <c r="BS149" s="626"/>
      <c r="BU149" s="609"/>
      <c r="BV149" s="608"/>
      <c r="BW149" s="608"/>
      <c r="BX149" s="608"/>
    </row>
    <row r="150" spans="3:76" ht="12.75" customHeight="1">
      <c r="C150" s="1484"/>
      <c r="D150" s="681"/>
      <c r="E150" s="681"/>
      <c r="F150" s="1736"/>
      <c r="G150" s="631"/>
      <c r="H150" s="631"/>
      <c r="I150" s="631"/>
      <c r="J150" s="632"/>
      <c r="K150" s="630"/>
      <c r="L150" s="631"/>
      <c r="M150" s="631"/>
      <c r="N150" s="632"/>
      <c r="O150" s="630"/>
      <c r="P150" s="631"/>
      <c r="Q150" s="631"/>
      <c r="R150" s="633"/>
      <c r="S150" s="634"/>
      <c r="T150" s="635"/>
      <c r="U150" s="635"/>
      <c r="V150" s="633"/>
      <c r="W150" s="635"/>
      <c r="X150" s="635"/>
      <c r="Y150" s="635"/>
      <c r="Z150" s="633"/>
      <c r="AA150" s="635"/>
      <c r="AB150" s="635"/>
      <c r="AC150" s="635"/>
      <c r="AD150" s="633"/>
      <c r="AE150" s="635"/>
      <c r="AF150" s="635"/>
      <c r="AG150" s="635"/>
      <c r="AH150" s="633"/>
      <c r="AI150" s="635"/>
      <c r="AJ150" s="635"/>
      <c r="AK150" s="635"/>
      <c r="AL150" s="633"/>
      <c r="AM150" s="635"/>
      <c r="AN150" s="635"/>
      <c r="AO150" s="635"/>
      <c r="AP150" s="1657"/>
      <c r="AQ150" s="1656"/>
      <c r="AR150" s="635"/>
      <c r="AS150" s="635"/>
      <c r="AT150" s="1657"/>
      <c r="AU150" s="1656"/>
      <c r="AV150" s="635"/>
      <c r="AW150" s="635"/>
      <c r="AX150" s="1657"/>
      <c r="AY150" s="1656"/>
      <c r="AZ150" s="635"/>
      <c r="BA150" s="635"/>
      <c r="BB150" s="1673"/>
      <c r="BC150" s="636"/>
      <c r="BD150" s="636"/>
      <c r="BE150" s="636"/>
      <c r="BF150" s="636"/>
      <c r="BG150" s="636"/>
      <c r="BH150" s="636"/>
      <c r="BI150" s="636"/>
      <c r="BJ150" s="636"/>
      <c r="BK150" s="636"/>
      <c r="BL150" s="636"/>
      <c r="BM150" s="636"/>
      <c r="BN150" s="636"/>
      <c r="BO150" s="636"/>
      <c r="BP150" s="636"/>
      <c r="BQ150" s="637"/>
      <c r="BR150" s="638"/>
      <c r="BU150" s="609"/>
      <c r="BV150" s="608"/>
      <c r="BW150" s="608"/>
      <c r="BX150" s="608"/>
    </row>
    <row r="151" spans="3:76" ht="12.75" customHeight="1">
      <c r="C151" s="1737" t="s">
        <v>769</v>
      </c>
      <c r="D151" s="1621"/>
      <c r="E151" s="1621"/>
      <c r="F151" s="1738"/>
      <c r="G151" s="1423">
        <v>5.1241129032258064</v>
      </c>
      <c r="H151" s="1654">
        <v>4.3247460317460309</v>
      </c>
      <c r="I151" s="1654">
        <v>4.2905156250000003</v>
      </c>
      <c r="J151" s="1655">
        <v>3.8051846153846145</v>
      </c>
      <c r="K151" s="1423">
        <v>4.1753749999999998</v>
      </c>
      <c r="L151" s="1654">
        <v>4.3679218749999995</v>
      </c>
      <c r="M151" s="1654">
        <v>4.1250937499999987</v>
      </c>
      <c r="N151" s="1655">
        <v>3.3347142857142864</v>
      </c>
      <c r="O151" s="1423">
        <v>2.4596984126984123</v>
      </c>
      <c r="P151" s="1654">
        <v>2.2776984126984123</v>
      </c>
      <c r="Q151" s="1654">
        <v>2.8780317460317462</v>
      </c>
      <c r="R151" s="1654">
        <v>3.3929375000000004</v>
      </c>
      <c r="S151" s="1423">
        <v>3.4791000000000003</v>
      </c>
      <c r="T151" s="1654">
        <v>4.0243281250000011</v>
      </c>
      <c r="U151" s="1654">
        <v>3.5578281250000003</v>
      </c>
      <c r="V151" s="1654">
        <v>3.8364218749999996</v>
      </c>
      <c r="W151" s="1423">
        <v>5.1762950819672131</v>
      </c>
      <c r="X151" s="1654">
        <v>4.6069687499999992</v>
      </c>
      <c r="Y151" s="1654">
        <v>3.9690625000000006</v>
      </c>
      <c r="Z151" s="1655">
        <v>3.7758906249999988</v>
      </c>
      <c r="AA151" s="1423">
        <v>2.8932580645161292</v>
      </c>
      <c r="AB151" s="1654">
        <v>2.7407301587301576</v>
      </c>
      <c r="AC151" s="1654">
        <v>2.7644218749999996</v>
      </c>
      <c r="AD151" s="1655">
        <v>2.1331111111111114</v>
      </c>
      <c r="AE151" s="1423">
        <v>1.9876885245901643</v>
      </c>
      <c r="AF151" s="1654">
        <v>2.135984375</v>
      </c>
      <c r="AG151" s="1654">
        <v>2.8751562499999994</v>
      </c>
      <c r="AH151" s="1655">
        <v>3.0312419354838709</v>
      </c>
      <c r="AI151" s="1423">
        <v>3.0098387096774188</v>
      </c>
      <c r="AJ151" s="1656">
        <v>3.076171875</v>
      </c>
      <c r="AK151" s="1656">
        <v>2.9540158730158725</v>
      </c>
      <c r="AL151" s="1657">
        <v>2.8899677419354837</v>
      </c>
      <c r="AM151" s="1656">
        <v>3.1108032786885249</v>
      </c>
      <c r="AN151" s="1656">
        <v>2.6796666666666664</v>
      </c>
      <c r="AO151" s="1656">
        <v>2.8149999999999999</v>
      </c>
      <c r="AP151" s="1657">
        <v>2.9016666666666668</v>
      </c>
      <c r="AQ151" s="1656">
        <v>2.9026943643004919</v>
      </c>
      <c r="AR151" s="1656">
        <v>2.5441789597993276</v>
      </c>
      <c r="AS151" s="1656">
        <v>2.5777897789713125</v>
      </c>
      <c r="AT151" s="1657">
        <v>3.0133368969288674</v>
      </c>
      <c r="AU151" s="1656">
        <v>2.9460848852381236</v>
      </c>
      <c r="AV151" s="1656">
        <v>2.5822102633295767</v>
      </c>
      <c r="AW151" s="1656">
        <v>2.6163235091335033</v>
      </c>
      <c r="AX151" s="1657">
        <v>3.0583813422987949</v>
      </c>
      <c r="AY151" s="1656">
        <v>3.0034129674466312</v>
      </c>
      <c r="AZ151" s="1656">
        <v>2.632457682539239</v>
      </c>
      <c r="BA151" s="1656">
        <v>2.6672347404993073</v>
      </c>
      <c r="BB151" s="1673">
        <v>3.117894609514821</v>
      </c>
      <c r="BC151" s="646"/>
      <c r="BD151" s="646"/>
      <c r="BE151" s="647">
        <f>AVERAGE(G151:J151)</f>
        <v>4.3861397938391136</v>
      </c>
      <c r="BF151" s="647">
        <f>AVERAGE(K151:N151)</f>
        <v>4.0007762276785712</v>
      </c>
      <c r="BG151" s="647">
        <f>AVERAGE(O151:R151)</f>
        <v>2.752091517857143</v>
      </c>
      <c r="BH151" s="647">
        <f>AVERAGE(S151:V151)</f>
        <v>3.7244195312500001</v>
      </c>
      <c r="BI151" s="647">
        <f>AVERAGE(W151:Z151)</f>
        <v>4.3820542392418025</v>
      </c>
      <c r="BJ151" s="647">
        <f>AVERAGE(AA151:AD151)</f>
        <v>2.6328803023393492</v>
      </c>
      <c r="BK151" s="647">
        <f>AVERAGE(AE151:AH151)</f>
        <v>2.5075177712685086</v>
      </c>
      <c r="BL151" s="647">
        <f>AVERAGE(AI151:AL151)</f>
        <v>2.9824985499071941</v>
      </c>
      <c r="BM151" s="647">
        <f>AVERAGE(AM151:AP151)</f>
        <v>2.8767841530054645</v>
      </c>
      <c r="BN151" s="647">
        <f t="shared" ref="BN151:BN155" si="502">AVERAGE(AQ151:AT151)</f>
        <v>2.7594999999999996</v>
      </c>
      <c r="BO151" s="647">
        <f t="shared" ref="BO151:BO155" si="503">AVERAGE(AU151:AX151)</f>
        <v>2.8007499999999994</v>
      </c>
      <c r="BP151" s="647">
        <f t="shared" ref="BP151:BP155" si="504">AVERAGE(AY151:BB151)</f>
        <v>2.8552499999999994</v>
      </c>
      <c r="BQ151" s="637"/>
      <c r="BR151" s="638"/>
      <c r="BU151" s="609"/>
      <c r="BV151" s="608"/>
      <c r="BW151" s="608"/>
      <c r="BX151" s="608"/>
    </row>
    <row r="152" spans="3:76" ht="12.75" customHeight="1">
      <c r="C152" s="1739" t="s">
        <v>862</v>
      </c>
      <c r="D152" s="1621"/>
      <c r="E152" s="1621"/>
      <c r="F152" s="1738"/>
      <c r="G152" s="1423">
        <v>57.876923076923077</v>
      </c>
      <c r="H152" s="1654">
        <v>62.742307692307698</v>
      </c>
      <c r="I152" s="1654">
        <v>67.830769230769235</v>
      </c>
      <c r="J152" s="1655">
        <v>70.910714285714263</v>
      </c>
      <c r="K152" s="1423">
        <v>77.237500000000026</v>
      </c>
      <c r="L152" s="1654">
        <v>78.430769230769243</v>
      </c>
      <c r="M152" s="1654">
        <v>80.007142857142853</v>
      </c>
      <c r="N152" s="1655">
        <v>78.934615384615398</v>
      </c>
      <c r="O152" s="1423">
        <v>70.069230769230771</v>
      </c>
      <c r="P152" s="1654">
        <v>59.92307692307692</v>
      </c>
      <c r="Q152" s="1654">
        <v>61.334615384615397</v>
      </c>
      <c r="R152" s="1654">
        <v>66.634615384615373</v>
      </c>
      <c r="S152" s="1423">
        <v>66.511538461538478</v>
      </c>
      <c r="T152" s="1654">
        <v>66.914615384615374</v>
      </c>
      <c r="U152" s="1654">
        <v>64.0053846153846</v>
      </c>
      <c r="V152" s="1654">
        <v>62.446153846153841</v>
      </c>
      <c r="W152" s="1423">
        <v>63.813846153846164</v>
      </c>
      <c r="X152" s="1654">
        <v>60.582307692307708</v>
      </c>
      <c r="Y152" s="1654">
        <v>57.336923076923085</v>
      </c>
      <c r="Z152" s="1655">
        <v>56.106923076923081</v>
      </c>
      <c r="AA152" s="1423">
        <v>53.513846153846139</v>
      </c>
      <c r="AB152" s="1654">
        <v>52.858461538461547</v>
      </c>
      <c r="AC152" s="1654">
        <v>50.784615384615385</v>
      </c>
      <c r="AD152" s="1655">
        <v>46.303846153846159</v>
      </c>
      <c r="AE152" s="1423">
        <v>42.380769230769232</v>
      </c>
      <c r="AF152" s="1654">
        <v>41.192307692307693</v>
      </c>
      <c r="AG152" s="1654">
        <v>40.928571428571438</v>
      </c>
      <c r="AH152" s="1655">
        <v>44.896153846153844</v>
      </c>
      <c r="AI152" s="1423">
        <v>50.057692307692314</v>
      </c>
      <c r="AJ152" s="1656">
        <v>52.46153846153846</v>
      </c>
      <c r="AK152" s="1656">
        <v>52.98846153846155</v>
      </c>
      <c r="AL152" s="1657">
        <v>58.261538461538478</v>
      </c>
      <c r="AM152" s="1656">
        <v>60.850000000000009</v>
      </c>
      <c r="AN152" s="1656">
        <v>49</v>
      </c>
      <c r="AO152" s="1656">
        <v>49</v>
      </c>
      <c r="AP152" s="1657">
        <v>49</v>
      </c>
      <c r="AQ152" s="1656">
        <v>48.154286333412259</v>
      </c>
      <c r="AR152" s="1656">
        <v>48.154286333412259</v>
      </c>
      <c r="AS152" s="1656">
        <v>48.154286333412259</v>
      </c>
      <c r="AT152" s="1657">
        <v>55.537140999763238</v>
      </c>
      <c r="AU152" s="1656">
        <v>48.154286333412259</v>
      </c>
      <c r="AV152" s="1656">
        <v>48.154286333412259</v>
      </c>
      <c r="AW152" s="1656">
        <v>48.154286333412259</v>
      </c>
      <c r="AX152" s="1657">
        <v>55.537140999763238</v>
      </c>
      <c r="AY152" s="1656">
        <v>48.154286333412259</v>
      </c>
      <c r="AZ152" s="1656">
        <v>48.154286333412259</v>
      </c>
      <c r="BA152" s="1656">
        <v>48.154286333412259</v>
      </c>
      <c r="BB152" s="1673">
        <v>55.537140999763238</v>
      </c>
      <c r="BC152" s="653"/>
      <c r="BD152" s="646"/>
      <c r="BE152" s="647">
        <f>AVERAGE(G152:J152)</f>
        <v>64.840178571428567</v>
      </c>
      <c r="BF152" s="647">
        <f>AVERAGE(K152:N152)</f>
        <v>78.652506868131894</v>
      </c>
      <c r="BG152" s="647">
        <f>AVERAGE(O152:R152)</f>
        <v>64.490384615384613</v>
      </c>
      <c r="BH152" s="647">
        <f>AVERAGE(S152:V152)</f>
        <v>64.969423076923078</v>
      </c>
      <c r="BI152" s="647">
        <f>AVERAGE(W152:Z152)</f>
        <v>59.460000000000008</v>
      </c>
      <c r="BJ152" s="647">
        <f>AVERAGE(AA152:AD152)</f>
        <v>50.865192307692311</v>
      </c>
      <c r="BK152" s="647">
        <f>AVERAGE(AE152:AH152)</f>
        <v>42.349450549450552</v>
      </c>
      <c r="BL152" s="647">
        <f>AVERAGE(AI152:AL152)</f>
        <v>53.442307692307693</v>
      </c>
      <c r="BM152" s="647">
        <f>AVERAGE(AM152:AP152)</f>
        <v>51.962500000000006</v>
      </c>
      <c r="BN152" s="647">
        <f t="shared" si="502"/>
        <v>50.000000000000007</v>
      </c>
      <c r="BO152" s="647">
        <f t="shared" si="503"/>
        <v>50.000000000000007</v>
      </c>
      <c r="BP152" s="647">
        <f t="shared" si="504"/>
        <v>50.000000000000007</v>
      </c>
      <c r="BQ152" s="637"/>
      <c r="BR152" s="638"/>
      <c r="BU152" s="609"/>
      <c r="BV152" s="608"/>
      <c r="BW152" s="608"/>
      <c r="BX152" s="608"/>
    </row>
    <row r="153" spans="3:76" ht="12.75" customHeight="1">
      <c r="C153" s="1739" t="s">
        <v>855</v>
      </c>
      <c r="D153" s="1621"/>
      <c r="E153" s="1621"/>
      <c r="F153" s="1738"/>
      <c r="G153" s="1423">
        <v>10.753846153846155</v>
      </c>
      <c r="H153" s="1654">
        <v>12.153846153846153</v>
      </c>
      <c r="I153" s="1654">
        <v>14.249999999999998</v>
      </c>
      <c r="J153" s="1655">
        <v>13.750000000000002</v>
      </c>
      <c r="K153" s="1423">
        <v>13.887499999999998</v>
      </c>
      <c r="L153" s="1654">
        <v>12.738461538461538</v>
      </c>
      <c r="M153" s="1654">
        <v>14.228571428571428</v>
      </c>
      <c r="N153" s="1655">
        <v>13.626923076923076</v>
      </c>
      <c r="O153" s="1423">
        <v>9.8423076923076955</v>
      </c>
      <c r="P153" s="1654">
        <v>9.1000000000000014</v>
      </c>
      <c r="Q153" s="1654">
        <v>8.8346153846153861</v>
      </c>
      <c r="R153" s="1654">
        <v>10.123076923076923</v>
      </c>
      <c r="S153" s="1423">
        <v>10.238461538461538</v>
      </c>
      <c r="T153" s="1654">
        <v>10.513846153846153</v>
      </c>
      <c r="U153" s="1654">
        <v>10.403846153846152</v>
      </c>
      <c r="V153" s="1654">
        <v>10.982307692307691</v>
      </c>
      <c r="W153" s="1423">
        <v>12.356153846153846</v>
      </c>
      <c r="X153" s="1654">
        <v>12.986153846153845</v>
      </c>
      <c r="Y153" s="1654">
        <v>11.965384615384615</v>
      </c>
      <c r="Z153" s="1655">
        <v>11.526923076923076</v>
      </c>
      <c r="AA153" s="1423">
        <v>11.592307692307692</v>
      </c>
      <c r="AB153" s="1654">
        <v>11.55</v>
      </c>
      <c r="AC153" s="1654">
        <v>11.592307692307692</v>
      </c>
      <c r="AD153" s="1655">
        <v>11.342307692307694</v>
      </c>
      <c r="AE153" s="1423">
        <v>9.7807692307692307</v>
      </c>
      <c r="AF153" s="1654">
        <v>9.1807692307692292</v>
      </c>
      <c r="AG153" s="1654">
        <v>8.6428571428571441</v>
      </c>
      <c r="AH153" s="1655">
        <v>9.3461538461538467</v>
      </c>
      <c r="AI153" s="1423">
        <v>11.473076923076921</v>
      </c>
      <c r="AJ153" s="1656">
        <v>11.597692307692309</v>
      </c>
      <c r="AK153" s="1656">
        <v>11.516153846153847</v>
      </c>
      <c r="AL153" s="1657">
        <v>11.923076923076922</v>
      </c>
      <c r="AM153" s="1656">
        <v>12.296153846153848</v>
      </c>
      <c r="AN153" s="1656">
        <v>11</v>
      </c>
      <c r="AO153" s="1656">
        <v>11.35</v>
      </c>
      <c r="AP153" s="1657">
        <v>11.65</v>
      </c>
      <c r="AQ153" s="1656">
        <v>11.728652443964354</v>
      </c>
      <c r="AR153" s="1656">
        <v>11.728652443964354</v>
      </c>
      <c r="AS153" s="1656">
        <v>11.728652443964354</v>
      </c>
      <c r="AT153" s="1657">
        <v>11.414042668106942</v>
      </c>
      <c r="AU153" s="1656">
        <v>11.728652443964354</v>
      </c>
      <c r="AV153" s="1656">
        <v>11.728652443964354</v>
      </c>
      <c r="AW153" s="1656">
        <v>11.728652443964354</v>
      </c>
      <c r="AX153" s="1657">
        <v>11.414042668106942</v>
      </c>
      <c r="AY153" s="1656">
        <v>11.728652443964354</v>
      </c>
      <c r="AZ153" s="1656">
        <v>11.728652443964354</v>
      </c>
      <c r="BA153" s="1656">
        <v>11.728652443964354</v>
      </c>
      <c r="BB153" s="1673">
        <v>11.414042668106942</v>
      </c>
      <c r="BC153" s="653"/>
      <c r="BD153" s="646"/>
      <c r="BE153" s="647">
        <f>AVERAGE(G153:J153)</f>
        <v>12.726923076923077</v>
      </c>
      <c r="BF153" s="647">
        <f>AVERAGE(K153:N153)</f>
        <v>13.620364010989011</v>
      </c>
      <c r="BG153" s="647">
        <f>AVERAGE(O153:R153)</f>
        <v>9.4750000000000014</v>
      </c>
      <c r="BH153" s="647">
        <f>AVERAGE(S153:V153)</f>
        <v>10.534615384615384</v>
      </c>
      <c r="BI153" s="647">
        <f>AVERAGE(W153:Z153)</f>
        <v>12.208653846153846</v>
      </c>
      <c r="BJ153" s="647">
        <f>AVERAGE(AA153:AD153)</f>
        <v>11.519230769230768</v>
      </c>
      <c r="BK153" s="647">
        <f>AVERAGE(AE153:AH153)</f>
        <v>9.2376373626373631</v>
      </c>
      <c r="BL153" s="647">
        <f>AVERAGE(AI153:AL153)</f>
        <v>11.6275</v>
      </c>
      <c r="BM153" s="647">
        <f>AVERAGE(AM153:AP153)</f>
        <v>11.574038461538462</v>
      </c>
      <c r="BN153" s="647">
        <f t="shared" si="502"/>
        <v>11.650000000000002</v>
      </c>
      <c r="BO153" s="647">
        <f t="shared" si="503"/>
        <v>11.650000000000002</v>
      </c>
      <c r="BP153" s="647">
        <f t="shared" si="504"/>
        <v>11.650000000000002</v>
      </c>
      <c r="BQ153" s="637"/>
      <c r="BR153" s="638"/>
      <c r="BU153" s="609"/>
      <c r="BV153" s="608"/>
      <c r="BW153" s="608"/>
      <c r="BX153" s="608"/>
    </row>
    <row r="154" spans="3:76" ht="12.75" customHeight="1">
      <c r="C154" s="1739" t="s">
        <v>145</v>
      </c>
      <c r="D154" s="1621"/>
      <c r="E154" s="1621"/>
      <c r="F154" s="1738"/>
      <c r="G154" s="1423">
        <v>57.360769230769236</v>
      </c>
      <c r="H154" s="1654">
        <v>61.346153846153847</v>
      </c>
      <c r="I154" s="1654">
        <v>65.019230769230774</v>
      </c>
      <c r="J154" s="1655">
        <v>69.714285714285708</v>
      </c>
      <c r="K154" s="1423">
        <v>73.291666666666657</v>
      </c>
      <c r="L154" s="1654">
        <v>77.380769230769218</v>
      </c>
      <c r="M154" s="1654">
        <v>77.203571428571422</v>
      </c>
      <c r="N154" s="1655">
        <v>76.461538461538453</v>
      </c>
      <c r="O154" s="1423">
        <v>70.211538461538439</v>
      </c>
      <c r="P154" s="1654">
        <v>64.988461538461522</v>
      </c>
      <c r="Q154" s="1654">
        <v>64.992307692307705</v>
      </c>
      <c r="R154" s="1654">
        <v>64.276923076923083</v>
      </c>
      <c r="S154" s="1423">
        <v>62.246153846153859</v>
      </c>
      <c r="T154" s="1654">
        <v>64.961538461538467</v>
      </c>
      <c r="U154" s="1654">
        <v>68.230769230769226</v>
      </c>
      <c r="V154" s="1654">
        <v>68.615384615384613</v>
      </c>
      <c r="W154" s="1423">
        <v>68.453846153846143</v>
      </c>
      <c r="X154" s="1654">
        <v>67.120769230769227</v>
      </c>
      <c r="Y154" s="1654">
        <v>63.607692307692297</v>
      </c>
      <c r="Z154" s="1655">
        <v>53.301576923076922</v>
      </c>
      <c r="AA154" s="1423">
        <v>50.83815384615383</v>
      </c>
      <c r="AB154" s="1654">
        <v>50.215538461538465</v>
      </c>
      <c r="AC154" s="1654">
        <v>48.245384615384616</v>
      </c>
      <c r="AD154" s="1655">
        <v>43.988653846153852</v>
      </c>
      <c r="AE154" s="1423">
        <v>40.261730769230766</v>
      </c>
      <c r="AF154" s="1654">
        <v>39.132692307692309</v>
      </c>
      <c r="AG154" s="1654">
        <v>38.882142857142867</v>
      </c>
      <c r="AH154" s="1655">
        <v>42.651346153846148</v>
      </c>
      <c r="AI154" s="1423">
        <v>47.554807692307698</v>
      </c>
      <c r="AJ154" s="1656">
        <v>49.838461538461537</v>
      </c>
      <c r="AK154" s="1656">
        <v>50.339038461538472</v>
      </c>
      <c r="AL154" s="1657">
        <v>55.348461538461549</v>
      </c>
      <c r="AM154" s="1656">
        <v>57.807500000000005</v>
      </c>
      <c r="AN154" s="1656">
        <v>46.55</v>
      </c>
      <c r="AO154" s="1656">
        <v>46.55</v>
      </c>
      <c r="AP154" s="1657">
        <v>46.55</v>
      </c>
      <c r="AQ154" s="1656">
        <v>45.746572016741645</v>
      </c>
      <c r="AR154" s="1656">
        <v>45.746572016741645</v>
      </c>
      <c r="AS154" s="1656">
        <v>45.746572016741645</v>
      </c>
      <c r="AT154" s="1657">
        <v>52.760283949775072</v>
      </c>
      <c r="AU154" s="1656">
        <v>45.746572016741645</v>
      </c>
      <c r="AV154" s="1656">
        <v>45.746572016741645</v>
      </c>
      <c r="AW154" s="1656">
        <v>45.746572016741645</v>
      </c>
      <c r="AX154" s="1657">
        <v>52.760283949775072</v>
      </c>
      <c r="AY154" s="1656">
        <v>45.746572016741645</v>
      </c>
      <c r="AZ154" s="1656">
        <v>45.746572016741645</v>
      </c>
      <c r="BA154" s="1656">
        <v>45.746572016741645</v>
      </c>
      <c r="BB154" s="1673">
        <v>52.760283949775072</v>
      </c>
      <c r="BC154" s="653"/>
      <c r="BD154" s="646"/>
      <c r="BE154" s="647">
        <f>AVERAGE(G154:J154)</f>
        <v>63.360109890109896</v>
      </c>
      <c r="BF154" s="647">
        <f>AVERAGE(K154:N154)</f>
        <v>76.084386446886441</v>
      </c>
      <c r="BG154" s="647">
        <f>AVERAGE(O154:R154)</f>
        <v>66.117307692307691</v>
      </c>
      <c r="BH154" s="647">
        <f>AVERAGE(S154:V154)</f>
        <v>66.013461538461542</v>
      </c>
      <c r="BI154" s="647">
        <f>AVERAGE(W154:Z154)</f>
        <v>63.120971153846142</v>
      </c>
      <c r="BJ154" s="647">
        <f>AVERAGE(AA154:AD154)</f>
        <v>48.321932692307691</v>
      </c>
      <c r="BK154" s="647">
        <f>AVERAGE(AE154:AH154)</f>
        <v>40.231978021978023</v>
      </c>
      <c r="BL154" s="647">
        <f>AVERAGE(AI154:AL154)</f>
        <v>50.770192307692312</v>
      </c>
      <c r="BM154" s="647">
        <f>AVERAGE(AM154:AP154)</f>
        <v>49.364374999999995</v>
      </c>
      <c r="BN154" s="647">
        <f t="shared" si="502"/>
        <v>47.5</v>
      </c>
      <c r="BO154" s="647">
        <f t="shared" si="503"/>
        <v>47.5</v>
      </c>
      <c r="BP154" s="647">
        <f t="shared" si="504"/>
        <v>47.5</v>
      </c>
      <c r="BQ154" s="637"/>
      <c r="BR154" s="638"/>
      <c r="BU154" s="609"/>
      <c r="BV154" s="608"/>
      <c r="BW154" s="608"/>
      <c r="BX154" s="608"/>
    </row>
    <row r="155" spans="3:76" ht="12.75" customHeight="1">
      <c r="C155" s="1739" t="s">
        <v>146</v>
      </c>
      <c r="D155" s="1621"/>
      <c r="E155" s="1621"/>
      <c r="F155" s="1738"/>
      <c r="G155" s="1423">
        <v>41.269230769230766</v>
      </c>
      <c r="H155" s="1654">
        <v>41.919230769230765</v>
      </c>
      <c r="I155" s="1654">
        <v>42.634615384615387</v>
      </c>
      <c r="J155" s="1655">
        <v>47.214285714285715</v>
      </c>
      <c r="K155" s="1423">
        <v>47.5</v>
      </c>
      <c r="L155" s="1654">
        <v>47.730769230769234</v>
      </c>
      <c r="M155" s="1654">
        <v>47.8</v>
      </c>
      <c r="N155" s="1655">
        <v>48.323076923076918</v>
      </c>
      <c r="O155" s="1423">
        <v>52.46153846153846</v>
      </c>
      <c r="P155" s="1654">
        <v>48.615384615384613</v>
      </c>
      <c r="Q155" s="1654">
        <v>47.42307692307692</v>
      </c>
      <c r="R155" s="1654">
        <v>47.888461538461527</v>
      </c>
      <c r="S155" s="1423">
        <v>46.630769230769218</v>
      </c>
      <c r="T155" s="1654">
        <v>45.149999999999984</v>
      </c>
      <c r="U155" s="1654">
        <v>45.534615384615371</v>
      </c>
      <c r="V155" s="1654">
        <v>46.149999999999984</v>
      </c>
      <c r="W155" s="1423">
        <v>46.578461538461518</v>
      </c>
      <c r="X155" s="1654">
        <v>46.272307692307692</v>
      </c>
      <c r="Y155" s="1654">
        <v>44.207692307692305</v>
      </c>
      <c r="Z155" s="1655">
        <v>39.274846153846156</v>
      </c>
      <c r="AA155" s="1423">
        <v>37.459692307692293</v>
      </c>
      <c r="AB155" s="1654">
        <v>37.00092307692308</v>
      </c>
      <c r="AC155" s="1654">
        <v>35.549230769230768</v>
      </c>
      <c r="AD155" s="1655">
        <v>32.412692307692311</v>
      </c>
      <c r="AE155" s="1423">
        <v>29.666538461538462</v>
      </c>
      <c r="AF155" s="1654">
        <v>28.834615384615383</v>
      </c>
      <c r="AG155" s="1654">
        <v>28.650000000000006</v>
      </c>
      <c r="AH155" s="1655">
        <v>31.427307692307689</v>
      </c>
      <c r="AI155" s="1423">
        <v>35.040384615384617</v>
      </c>
      <c r="AJ155" s="1656">
        <v>36.723076923076917</v>
      </c>
      <c r="AK155" s="1656">
        <v>37.091923076923081</v>
      </c>
      <c r="AL155" s="1657">
        <v>40.783076923076933</v>
      </c>
      <c r="AM155" s="1656">
        <v>42.595000000000006</v>
      </c>
      <c r="AN155" s="1656">
        <v>34.299999999999997</v>
      </c>
      <c r="AO155" s="1656">
        <v>34.299999999999997</v>
      </c>
      <c r="AP155" s="1657">
        <v>34.299999999999997</v>
      </c>
      <c r="AQ155" s="1656">
        <v>33.708000433388577</v>
      </c>
      <c r="AR155" s="1656">
        <v>33.708000433388577</v>
      </c>
      <c r="AS155" s="1656">
        <v>33.708000433388577</v>
      </c>
      <c r="AT155" s="1657">
        <v>38.875998699834263</v>
      </c>
      <c r="AU155" s="1656">
        <v>33.708000433388577</v>
      </c>
      <c r="AV155" s="1656">
        <v>33.708000433388577</v>
      </c>
      <c r="AW155" s="1656">
        <v>33.708000433388577</v>
      </c>
      <c r="AX155" s="1657">
        <v>38.875998699834263</v>
      </c>
      <c r="AY155" s="1656">
        <v>33.708000433388577</v>
      </c>
      <c r="AZ155" s="1656">
        <v>33.708000433388577</v>
      </c>
      <c r="BA155" s="1656">
        <v>33.708000433388577</v>
      </c>
      <c r="BB155" s="1673">
        <v>38.875998699834263</v>
      </c>
      <c r="BC155" s="653"/>
      <c r="BD155" s="646"/>
      <c r="BE155" s="647">
        <f>AVERAGE(G155:J155)</f>
        <v>43.259340659340658</v>
      </c>
      <c r="BF155" s="647">
        <f>AVERAGE(K155:N155)</f>
        <v>47.838461538461537</v>
      </c>
      <c r="BG155" s="647">
        <f>AVERAGE(O155:R155)</f>
        <v>49.097115384615378</v>
      </c>
      <c r="BH155" s="647">
        <f>AVERAGE(S155:V155)</f>
        <v>45.866346153846138</v>
      </c>
      <c r="BI155" s="647">
        <f>AVERAGE(W155:Z155)</f>
        <v>44.08332692307691</v>
      </c>
      <c r="BJ155" s="647">
        <f>AVERAGE(AA155:AD155)</f>
        <v>35.605634615384616</v>
      </c>
      <c r="BK155" s="647">
        <f>AVERAGE(AE155:AH155)</f>
        <v>29.644615384615385</v>
      </c>
      <c r="BL155" s="647">
        <f>AVERAGE(AI155:AL155)</f>
        <v>37.409615384615392</v>
      </c>
      <c r="BM155" s="647">
        <f>AVERAGE(AM155:AP155)</f>
        <v>36.373750000000001</v>
      </c>
      <c r="BN155" s="647">
        <f t="shared" si="502"/>
        <v>35</v>
      </c>
      <c r="BO155" s="647">
        <f t="shared" si="503"/>
        <v>35</v>
      </c>
      <c r="BP155" s="647">
        <f t="shared" si="504"/>
        <v>35</v>
      </c>
      <c r="BQ155" s="637"/>
      <c r="BR155" s="638"/>
      <c r="BU155" s="609"/>
      <c r="BV155" s="608"/>
      <c r="BW155" s="608"/>
      <c r="BX155" s="608"/>
    </row>
    <row r="156" spans="3:76" ht="12.75" customHeight="1">
      <c r="C156" s="1739"/>
      <c r="D156" s="1621"/>
      <c r="E156" s="1621"/>
      <c r="F156" s="1740"/>
      <c r="G156" s="1423"/>
      <c r="H156" s="1654"/>
      <c r="I156" s="1654"/>
      <c r="J156" s="1655"/>
      <c r="K156" s="1423"/>
      <c r="L156" s="1654"/>
      <c r="M156" s="1654"/>
      <c r="N156" s="1655"/>
      <c r="O156" s="1423"/>
      <c r="P156" s="1654"/>
      <c r="Q156" s="1654"/>
      <c r="R156" s="1656"/>
      <c r="S156" s="1983"/>
      <c r="T156" s="1656"/>
      <c r="U156" s="1656"/>
      <c r="V156" s="1657"/>
      <c r="W156" s="1656"/>
      <c r="X156" s="1656"/>
      <c r="Y156" s="1656"/>
      <c r="Z156" s="1657"/>
      <c r="AA156" s="1656"/>
      <c r="AB156" s="1656"/>
      <c r="AC156" s="1656"/>
      <c r="AD156" s="1657"/>
      <c r="AE156" s="1656"/>
      <c r="AF156" s="1656"/>
      <c r="AG156" s="1656"/>
      <c r="AH156" s="1657"/>
      <c r="AI156" s="1656"/>
      <c r="AJ156" s="1656"/>
      <c r="AK156" s="1656"/>
      <c r="AL156" s="1657"/>
      <c r="AM156" s="1656"/>
      <c r="AN156" s="1656"/>
      <c r="AO156" s="1656"/>
      <c r="AP156" s="1657"/>
      <c r="AQ156" s="1656"/>
      <c r="AR156" s="1656"/>
      <c r="AS156" s="1656"/>
      <c r="AT156" s="1657"/>
      <c r="AU156" s="1656"/>
      <c r="AV156" s="1656"/>
      <c r="AW156" s="1656"/>
      <c r="AX156" s="1657"/>
      <c r="AY156" s="1656"/>
      <c r="AZ156" s="1656"/>
      <c r="BA156" s="1656"/>
      <c r="BB156" s="1673"/>
      <c r="BC156" s="646"/>
      <c r="BD156" s="646"/>
      <c r="BE156" s="655"/>
      <c r="BF156" s="655"/>
      <c r="BG156" s="655"/>
      <c r="BH156" s="655"/>
      <c r="BI156" s="655"/>
      <c r="BJ156" s="655"/>
      <c r="BK156" s="655"/>
      <c r="BL156" s="655"/>
      <c r="BM156" s="655"/>
      <c r="BN156" s="655"/>
      <c r="BO156" s="655"/>
      <c r="BP156" s="655"/>
      <c r="BQ156" s="656"/>
      <c r="BR156" s="657"/>
      <c r="BU156" s="609"/>
      <c r="BV156" s="608"/>
      <c r="BW156" s="608"/>
      <c r="BX156" s="608"/>
    </row>
    <row r="157" spans="3:76" ht="12.75" customHeight="1">
      <c r="C157" s="1739"/>
      <c r="D157" s="1621"/>
      <c r="E157" s="1621"/>
      <c r="F157" s="1740"/>
      <c r="G157" s="1642"/>
      <c r="H157" s="1649"/>
      <c r="I157" s="1649"/>
      <c r="J157" s="1650"/>
      <c r="K157" s="1642"/>
      <c r="L157" s="1649"/>
      <c r="M157" s="1649"/>
      <c r="N157" s="1650"/>
      <c r="O157" s="1642"/>
      <c r="P157" s="1649"/>
      <c r="Q157" s="1649"/>
      <c r="R157" s="1658"/>
      <c r="S157" s="1984"/>
      <c r="T157" s="1658"/>
      <c r="U157" s="1658"/>
      <c r="V157" s="1659"/>
      <c r="W157" s="1658"/>
      <c r="X157" s="1658"/>
      <c r="Y157" s="1658"/>
      <c r="Z157" s="1659"/>
      <c r="AA157" s="1658"/>
      <c r="AB157" s="1660"/>
      <c r="AC157" s="1660"/>
      <c r="AD157" s="1661"/>
      <c r="AE157" s="1658"/>
      <c r="AF157" s="1660"/>
      <c r="AG157" s="1660"/>
      <c r="AH157" s="1661"/>
      <c r="AI157" s="1658"/>
      <c r="AJ157" s="1660"/>
      <c r="AK157" s="1660"/>
      <c r="AL157" s="1661"/>
      <c r="AM157" s="1660"/>
      <c r="AN157" s="1660"/>
      <c r="AO157" s="1660"/>
      <c r="AP157" s="1661"/>
      <c r="AQ157" s="1660"/>
      <c r="AR157" s="1660"/>
      <c r="AS157" s="1660"/>
      <c r="AT157" s="1661"/>
      <c r="AU157" s="1660"/>
      <c r="AV157" s="1660"/>
      <c r="AW157" s="1660"/>
      <c r="AX157" s="1661"/>
      <c r="AY157" s="1660"/>
      <c r="AZ157" s="1660"/>
      <c r="BA157" s="1660"/>
      <c r="BB157" s="1730"/>
      <c r="BC157" s="669"/>
      <c r="BD157" s="670"/>
      <c r="BE157" s="671"/>
      <c r="BF157" s="671"/>
      <c r="BG157" s="671"/>
      <c r="BH157" s="671"/>
      <c r="BI157" s="671"/>
      <c r="BJ157" s="671"/>
      <c r="BK157" s="671"/>
      <c r="BL157" s="671"/>
      <c r="BM157" s="671"/>
      <c r="BN157" s="671"/>
      <c r="BO157" s="671"/>
      <c r="BP157" s="671"/>
      <c r="BQ157" s="656"/>
      <c r="BR157" s="657"/>
      <c r="BU157" s="609"/>
      <c r="BV157" s="608"/>
      <c r="BW157" s="608"/>
      <c r="BX157" s="608"/>
    </row>
    <row r="158" spans="3:76" ht="12.75" customHeight="1">
      <c r="C158" s="1741" t="s">
        <v>720</v>
      </c>
      <c r="D158" s="1622"/>
      <c r="E158" s="1622"/>
      <c r="F158" s="1742"/>
      <c r="G158" s="1423"/>
      <c r="H158" s="1654"/>
      <c r="I158" s="1654"/>
      <c r="J158" s="1655"/>
      <c r="K158" s="1423"/>
      <c r="L158" s="1654"/>
      <c r="M158" s="1654"/>
      <c r="N158" s="1655"/>
      <c r="O158" s="1423"/>
      <c r="P158" s="1654"/>
      <c r="Q158" s="1654"/>
      <c r="R158" s="1656"/>
      <c r="S158" s="1983"/>
      <c r="T158" s="1656"/>
      <c r="U158" s="1656"/>
      <c r="V158" s="1657"/>
      <c r="W158" s="1654"/>
      <c r="X158" s="1656"/>
      <c r="Y158" s="1656"/>
      <c r="Z158" s="1657"/>
      <c r="AA158" s="1654"/>
      <c r="AB158" s="1656"/>
      <c r="AC158" s="1656"/>
      <c r="AD158" s="1657"/>
      <c r="AE158" s="1654"/>
      <c r="AF158" s="1656"/>
      <c r="AG158" s="1656"/>
      <c r="AH158" s="1657"/>
      <c r="AI158" s="1654"/>
      <c r="AJ158" s="1656"/>
      <c r="AK158" s="1656"/>
      <c r="AL158" s="1657"/>
      <c r="AM158" s="1656"/>
      <c r="AN158" s="1656"/>
      <c r="AO158" s="1656"/>
      <c r="AP158" s="1657"/>
      <c r="AQ158" s="1656"/>
      <c r="AR158" s="1656"/>
      <c r="AS158" s="1656"/>
      <c r="AT158" s="1657"/>
      <c r="AU158" s="1656"/>
      <c r="AV158" s="1656"/>
      <c r="AW158" s="1656"/>
      <c r="AX158" s="1657"/>
      <c r="AY158" s="1656"/>
      <c r="AZ158" s="1656"/>
      <c r="BA158" s="1656"/>
      <c r="BB158" s="1673"/>
      <c r="BC158" s="646"/>
      <c r="BD158" s="646"/>
      <c r="BE158" s="655"/>
      <c r="BF158" s="655"/>
      <c r="BG158" s="655"/>
      <c r="BH158" s="672"/>
      <c r="BI158" s="1460"/>
      <c r="BJ158" s="672"/>
      <c r="BK158" s="672"/>
      <c r="BL158" s="672"/>
      <c r="BM158" s="672"/>
      <c r="BN158" s="672"/>
      <c r="BO158" s="672"/>
      <c r="BP158" s="672"/>
      <c r="BQ158" s="656"/>
      <c r="BR158" s="673"/>
      <c r="BS158" s="673"/>
      <c r="BU158" s="609"/>
      <c r="BV158" s="608"/>
      <c r="BW158" s="608"/>
      <c r="BX158" s="608"/>
    </row>
    <row r="159" spans="3:76" ht="12.75" customHeight="1">
      <c r="C159" s="1739" t="s">
        <v>238</v>
      </c>
      <c r="D159" s="1621"/>
      <c r="E159" s="1623"/>
      <c r="F159" s="1743"/>
      <c r="G159" s="1423">
        <v>55.301269841269843</v>
      </c>
      <c r="H159" s="1654">
        <v>51.354570312500016</v>
      </c>
      <c r="I159" s="1654">
        <v>67.22877929687499</v>
      </c>
      <c r="J159" s="1655">
        <v>51.534971153846179</v>
      </c>
      <c r="K159" s="1423">
        <v>63.793710937500023</v>
      </c>
      <c r="L159" s="1654">
        <v>48.444853515625013</v>
      </c>
      <c r="M159" s="1654">
        <v>55.141689453125004</v>
      </c>
      <c r="N159" s="1655">
        <v>41.796567460317455</v>
      </c>
      <c r="O159" s="1423">
        <v>33.353476562500006</v>
      </c>
      <c r="P159" s="1654">
        <v>34.616933593750005</v>
      </c>
      <c r="Q159" s="1654">
        <v>46.289513888888905</v>
      </c>
      <c r="R159" s="1654">
        <v>50.846972656250003</v>
      </c>
      <c r="S159" s="1423">
        <v>89.765515873015843</v>
      </c>
      <c r="T159" s="1654">
        <v>45.063007812499997</v>
      </c>
      <c r="U159" s="1654">
        <v>54.984013671875012</v>
      </c>
      <c r="V159" s="1655">
        <v>67.341074218749995</v>
      </c>
      <c r="W159" s="1423">
        <v>167.3350595238096</v>
      </c>
      <c r="X159" s="1654">
        <v>44.335244140625001</v>
      </c>
      <c r="Y159" s="1654">
        <v>41.33302734374999</v>
      </c>
      <c r="Z159" s="1655">
        <v>48.027636718749996</v>
      </c>
      <c r="AA159" s="1423">
        <v>87.659980158730164</v>
      </c>
      <c r="AB159" s="1654">
        <v>28.370332031249998</v>
      </c>
      <c r="AC159" s="1654">
        <v>42.395605769230762</v>
      </c>
      <c r="AD159" s="1655">
        <v>33.065136718749997</v>
      </c>
      <c r="AE159" s="1423">
        <v>30.31946289062499</v>
      </c>
      <c r="AF159" s="1654">
        <v>28.207148437500003</v>
      </c>
      <c r="AG159" s="1654">
        <v>42.730703124999998</v>
      </c>
      <c r="AH159" s="1655">
        <v>38.680972222222231</v>
      </c>
      <c r="AI159" s="1423">
        <v>33.978535156249983</v>
      </c>
      <c r="AJ159" s="1656">
        <v>33.298916015625018</v>
      </c>
      <c r="AK159" s="1656">
        <v>31.712827380952376</v>
      </c>
      <c r="AL159" s="1657">
        <v>52.552301587301585</v>
      </c>
      <c r="AM159" s="1656">
        <v>62.437333984375016</v>
      </c>
      <c r="AN159" s="1656">
        <v>32.65</v>
      </c>
      <c r="AO159" s="1656">
        <v>35.383333333333333</v>
      </c>
      <c r="AP159" s="1657">
        <v>42.35</v>
      </c>
      <c r="AQ159" s="1656">
        <v>73.199444871908256</v>
      </c>
      <c r="AR159" s="1656">
        <v>31.598138616301913</v>
      </c>
      <c r="AS159" s="1656">
        <v>36.852856695587477</v>
      </c>
      <c r="AT159" s="1657">
        <v>38.566226482602346</v>
      </c>
      <c r="AU159" s="1656">
        <v>73.199444871908256</v>
      </c>
      <c r="AV159" s="1656">
        <v>31.598138616301913</v>
      </c>
      <c r="AW159" s="1656">
        <v>36.852856695587477</v>
      </c>
      <c r="AX159" s="1657">
        <v>38.566226482602346</v>
      </c>
      <c r="AY159" s="1656">
        <v>73.361914739375962</v>
      </c>
      <c r="AZ159" s="1656">
        <v>31.668272281962913</v>
      </c>
      <c r="BA159" s="1656">
        <v>36.934653473604257</v>
      </c>
      <c r="BB159" s="1673">
        <v>38.651826171456854</v>
      </c>
      <c r="BC159" s="646"/>
      <c r="BD159" s="646"/>
      <c r="BE159" s="655">
        <f t="shared" ref="BE159:BE174" si="505">AVERAGE(G159:J159)</f>
        <v>56.354897651122755</v>
      </c>
      <c r="BF159" s="655">
        <f t="shared" ref="BF159:BF174" si="506">AVERAGE(K159:N159)</f>
        <v>52.29420534164187</v>
      </c>
      <c r="BG159" s="655">
        <f t="shared" ref="BG159:BG174" si="507">AVERAGE(O159:R159)</f>
        <v>41.276724175347226</v>
      </c>
      <c r="BH159" s="672">
        <f t="shared" ref="BH159:BH174" si="508">AVERAGE(S159:V159)</f>
        <v>64.288402894035215</v>
      </c>
      <c r="BI159" s="672">
        <f t="shared" ref="BI159:BI174" si="509">AVERAGE(W159:Z159)</f>
        <v>75.257741931733648</v>
      </c>
      <c r="BJ159" s="672">
        <f t="shared" ref="BJ159:BJ174" si="510">AVERAGE(AA159:AD159)</f>
        <v>47.872763669490226</v>
      </c>
      <c r="BK159" s="672">
        <f t="shared" ref="BK159:BK174" si="511">AVERAGE(AE159:AH159)</f>
        <v>34.984571668836807</v>
      </c>
      <c r="BL159" s="672">
        <f t="shared" ref="BL159:BL174" si="512">AVERAGE(AI159:AL159)</f>
        <v>37.88564503503224</v>
      </c>
      <c r="BM159" s="672">
        <f>AVERAGE(AM159:AP159)</f>
        <v>43.205166829427085</v>
      </c>
      <c r="BN159" s="672">
        <f t="shared" ref="BN159:BN174" si="513">AVERAGE(AQ159:AT159)</f>
        <v>45.054166666599997</v>
      </c>
      <c r="BO159" s="672">
        <f t="shared" ref="BO159:BO174" si="514">AVERAGE(AU159:AX159)</f>
        <v>45.054166666599997</v>
      </c>
      <c r="BP159" s="672">
        <f t="shared" ref="BP159:BP174" si="515">AVERAGE(AY159:BB159)</f>
        <v>45.154166666599998</v>
      </c>
      <c r="BQ159" s="637"/>
      <c r="BR159" s="677"/>
      <c r="BS159" s="672"/>
      <c r="BU159" s="609"/>
      <c r="BV159" s="608"/>
      <c r="BW159" s="608"/>
      <c r="BX159" s="608"/>
    </row>
    <row r="160" spans="3:76" ht="12.75" customHeight="1">
      <c r="C160" s="1739" t="s">
        <v>859</v>
      </c>
      <c r="D160" s="1621"/>
      <c r="E160" s="1623"/>
      <c r="F160" s="1743"/>
      <c r="G160" s="1423">
        <v>38.230565476190485</v>
      </c>
      <c r="H160" s="1654">
        <v>43.142958984374999</v>
      </c>
      <c r="I160" s="1654">
        <v>53.878339843750005</v>
      </c>
      <c r="J160" s="1655">
        <v>42.122894230769219</v>
      </c>
      <c r="K160" s="1423">
        <v>40.630429687500012</v>
      </c>
      <c r="L160" s="1654">
        <v>42.511806640624982</v>
      </c>
      <c r="M160" s="1654">
        <v>47.368398437499991</v>
      </c>
      <c r="N160" s="1655">
        <v>36.792847222222221</v>
      </c>
      <c r="O160" s="1423">
        <v>30.628144531250001</v>
      </c>
      <c r="P160" s="1654">
        <v>34.255439453125</v>
      </c>
      <c r="Q160" s="1654">
        <v>41.418353174603176</v>
      </c>
      <c r="R160" s="1654">
        <v>39.001152343749993</v>
      </c>
      <c r="S160" s="1423">
        <v>45.623531746031745</v>
      </c>
      <c r="T160" s="1654">
        <v>40.663671874999991</v>
      </c>
      <c r="U160" s="1654">
        <v>53.937705078124999</v>
      </c>
      <c r="V160" s="1655">
        <v>46.228017578124991</v>
      </c>
      <c r="W160" s="1423">
        <v>105.87010912698416</v>
      </c>
      <c r="X160" s="1654">
        <v>44.886210937499996</v>
      </c>
      <c r="Y160" s="1654">
        <v>43.024843750000009</v>
      </c>
      <c r="Z160" s="1655">
        <v>39.284560546874999</v>
      </c>
      <c r="AA160" s="1423">
        <v>53.16058531746031</v>
      </c>
      <c r="AB160" s="1654">
        <v>38.357529296875022</v>
      </c>
      <c r="AC160" s="1654">
        <v>40.580288461538458</v>
      </c>
      <c r="AD160" s="1655">
        <v>34.609042968749996</v>
      </c>
      <c r="AE160" s="1423">
        <v>30.752001953124992</v>
      </c>
      <c r="AF160" s="1654">
        <v>35.769550781249997</v>
      </c>
      <c r="AG160" s="1654">
        <v>46.082998046874998</v>
      </c>
      <c r="AH160" s="1655">
        <v>27.32274801587301</v>
      </c>
      <c r="AI160" s="1423">
        <v>27.648046875000006</v>
      </c>
      <c r="AJ160" s="1656">
        <v>33.630214843749989</v>
      </c>
      <c r="AK160" s="1656">
        <v>34.760575396825409</v>
      </c>
      <c r="AL160" s="1657">
        <v>35.233521825396821</v>
      </c>
      <c r="AM160" s="1656">
        <v>36.453183593749991</v>
      </c>
      <c r="AN160" s="1656">
        <v>37.466666666666661</v>
      </c>
      <c r="AO160" s="1656">
        <v>33.733333333333327</v>
      </c>
      <c r="AP160" s="1657">
        <v>37.766666666666666</v>
      </c>
      <c r="AQ160" s="1656">
        <v>52.984877086683952</v>
      </c>
      <c r="AR160" s="1656">
        <v>34.892480032694301</v>
      </c>
      <c r="AS160" s="1656">
        <v>31.661694844481872</v>
      </c>
      <c r="AT160" s="1657">
        <v>28.460948036139868</v>
      </c>
      <c r="AU160" s="1656">
        <v>52.579137036825585</v>
      </c>
      <c r="AV160" s="1656">
        <v>34.625285365714404</v>
      </c>
      <c r="AW160" s="1656">
        <v>31.419240424444556</v>
      </c>
      <c r="AX160" s="1657">
        <v>28.243003839415444</v>
      </c>
      <c r="AY160" s="1656">
        <v>52.937142963086963</v>
      </c>
      <c r="AZ160" s="1656">
        <v>34.861045365935311</v>
      </c>
      <c r="BA160" s="1656">
        <v>31.633170795015378</v>
      </c>
      <c r="BB160" s="1673">
        <v>28.435307542362334</v>
      </c>
      <c r="BC160" s="646"/>
      <c r="BD160" s="646"/>
      <c r="BE160" s="655">
        <f t="shared" si="505"/>
        <v>44.343689633771177</v>
      </c>
      <c r="BF160" s="655">
        <f t="shared" si="506"/>
        <v>41.825870496961798</v>
      </c>
      <c r="BG160" s="655">
        <f t="shared" si="507"/>
        <v>36.325772375682043</v>
      </c>
      <c r="BH160" s="672">
        <f t="shared" si="508"/>
        <v>46.613231569320433</v>
      </c>
      <c r="BI160" s="672">
        <f t="shared" si="509"/>
        <v>58.266431090339793</v>
      </c>
      <c r="BJ160" s="672">
        <f t="shared" si="510"/>
        <v>41.676861511155948</v>
      </c>
      <c r="BK160" s="672">
        <f t="shared" si="511"/>
        <v>34.98182469928075</v>
      </c>
      <c r="BL160" s="672">
        <f t="shared" si="512"/>
        <v>32.818089735243056</v>
      </c>
      <c r="BM160" s="672">
        <f t="shared" ref="BM160:BM174" si="516">AVERAGE(AM160:AP160)</f>
        <v>36.354962565104159</v>
      </c>
      <c r="BN160" s="672">
        <f t="shared" si="513"/>
        <v>37</v>
      </c>
      <c r="BO160" s="672">
        <f t="shared" si="514"/>
        <v>36.716666666599998</v>
      </c>
      <c r="BP160" s="672">
        <f t="shared" si="515"/>
        <v>36.966666666599998</v>
      </c>
      <c r="BQ160" s="637"/>
      <c r="BR160" s="677"/>
      <c r="BS160" s="672"/>
      <c r="BU160" s="609"/>
      <c r="BV160" s="608"/>
      <c r="BW160" s="608"/>
      <c r="BX160" s="608"/>
    </row>
    <row r="161" spans="2:76" ht="12.75" customHeight="1">
      <c r="C161" s="1739" t="s">
        <v>857</v>
      </c>
      <c r="D161" s="1621"/>
      <c r="E161" s="1623"/>
      <c r="F161" s="1743"/>
      <c r="G161" s="1423">
        <v>55.40223214285713</v>
      </c>
      <c r="H161" s="1654">
        <v>55.080830078125018</v>
      </c>
      <c r="I161" s="1654">
        <v>72.568281249999998</v>
      </c>
      <c r="J161" s="1655">
        <v>55.060048076923088</v>
      </c>
      <c r="K161" s="1423">
        <v>61.319755859375</v>
      </c>
      <c r="L161" s="1654">
        <v>56.261513671875008</v>
      </c>
      <c r="M161" s="1654">
        <v>64.744736328125001</v>
      </c>
      <c r="N161" s="1655">
        <v>42.035863095238099</v>
      </c>
      <c r="O161" s="1423">
        <v>35.479599609374993</v>
      </c>
      <c r="P161" s="1654">
        <v>42.463750000000005</v>
      </c>
      <c r="Q161" s="1654">
        <v>49.926091269841251</v>
      </c>
      <c r="R161" s="1654">
        <v>46.815820312500001</v>
      </c>
      <c r="S161" s="1423">
        <v>71.969464285714295</v>
      </c>
      <c r="T161" s="1654">
        <v>47.40742187499999</v>
      </c>
      <c r="U161" s="1654">
        <v>63.43471679687498</v>
      </c>
      <c r="V161" s="1655">
        <v>49.675136718749997</v>
      </c>
      <c r="W161" s="1423">
        <v>145.08544642857149</v>
      </c>
      <c r="X161" s="1654">
        <v>45.55554687499999</v>
      </c>
      <c r="Y161" s="1654">
        <v>40.321435546875001</v>
      </c>
      <c r="Z161" s="1655">
        <v>42.091767578124994</v>
      </c>
      <c r="AA161" s="1423">
        <v>77.999513888888885</v>
      </c>
      <c r="AB161" s="1654">
        <v>32.442470703124989</v>
      </c>
      <c r="AC161" s="1654">
        <v>38.379144230769235</v>
      </c>
      <c r="AD161" s="1655">
        <v>27.262890625000001</v>
      </c>
      <c r="AE161" s="1423">
        <v>30.82033203124999</v>
      </c>
      <c r="AF161" s="1654">
        <v>28.172070312500008</v>
      </c>
      <c r="AG161" s="1654">
        <v>39.596083984375014</v>
      </c>
      <c r="AH161" s="1655">
        <v>34.996567460317451</v>
      </c>
      <c r="AI161" s="1423">
        <v>34.973046875000001</v>
      </c>
      <c r="AJ161" s="1656">
        <v>33.375703125000008</v>
      </c>
      <c r="AK161" s="1656">
        <v>32.778422619047618</v>
      </c>
      <c r="AL161" s="1657">
        <v>41.835218253968264</v>
      </c>
      <c r="AM161" s="1656">
        <v>50.315361328125007</v>
      </c>
      <c r="AN161" s="1656">
        <v>37.133333333333333</v>
      </c>
      <c r="AO161" s="1656">
        <v>29.216666666666669</v>
      </c>
      <c r="AP161" s="1657">
        <v>41.81666666666667</v>
      </c>
      <c r="AQ161" s="1656">
        <v>72.206176601284838</v>
      </c>
      <c r="AR161" s="1656">
        <v>35.335679660435538</v>
      </c>
      <c r="AS161" s="1656">
        <v>28.167385316684786</v>
      </c>
      <c r="AT161" s="1657">
        <v>29.507425087994822</v>
      </c>
      <c r="AU161" s="1656">
        <v>73.276922890037596</v>
      </c>
      <c r="AV161" s="1656">
        <v>35.859672892564298</v>
      </c>
      <c r="AW161" s="1656">
        <v>28.585079823046065</v>
      </c>
      <c r="AX161" s="1657">
        <v>29.944991060752034</v>
      </c>
      <c r="AY161" s="1656">
        <v>73.888777912182022</v>
      </c>
      <c r="AZ161" s="1656">
        <v>36.159097596637878</v>
      </c>
      <c r="BA161" s="1656">
        <v>28.823762398109654</v>
      </c>
      <c r="BB161" s="1673">
        <v>30.195028759470443</v>
      </c>
      <c r="BC161" s="646"/>
      <c r="BD161" s="646"/>
      <c r="BE161" s="655">
        <f t="shared" si="505"/>
        <v>59.527847886976311</v>
      </c>
      <c r="BF161" s="655">
        <f t="shared" si="506"/>
        <v>56.090467238653275</v>
      </c>
      <c r="BG161" s="655">
        <f t="shared" si="507"/>
        <v>43.671315297929063</v>
      </c>
      <c r="BH161" s="672">
        <f t="shared" si="508"/>
        <v>58.121684919084821</v>
      </c>
      <c r="BI161" s="672">
        <f t="shared" si="509"/>
        <v>68.263549107142865</v>
      </c>
      <c r="BJ161" s="672">
        <f t="shared" si="510"/>
        <v>44.021004861945784</v>
      </c>
      <c r="BK161" s="672">
        <f t="shared" si="511"/>
        <v>33.396263447110613</v>
      </c>
      <c r="BL161" s="672">
        <f t="shared" si="512"/>
        <v>35.740597718253973</v>
      </c>
      <c r="BM161" s="672">
        <f t="shared" si="516"/>
        <v>39.62050699869792</v>
      </c>
      <c r="BN161" s="672">
        <f t="shared" si="513"/>
        <v>41.304166666599997</v>
      </c>
      <c r="BO161" s="672">
        <f t="shared" si="514"/>
        <v>41.916666666600001</v>
      </c>
      <c r="BP161" s="672">
        <f t="shared" si="515"/>
        <v>42.266666666599995</v>
      </c>
      <c r="BQ161" s="637"/>
      <c r="BR161" s="677"/>
      <c r="BS161" s="672"/>
      <c r="BU161" s="609"/>
      <c r="BV161" s="608"/>
      <c r="BW161" s="608"/>
      <c r="BX161" s="608"/>
    </row>
    <row r="162" spans="2:76" ht="12.75" customHeight="1">
      <c r="C162" s="1744" t="s">
        <v>858</v>
      </c>
      <c r="D162" s="1621"/>
      <c r="E162" s="1623"/>
      <c r="F162" s="1743"/>
      <c r="G162" s="1423">
        <v>60.907093253968256</v>
      </c>
      <c r="H162" s="1654">
        <v>64.299941406249999</v>
      </c>
      <c r="I162" s="1654">
        <v>80.573457031249987</v>
      </c>
      <c r="J162" s="1655">
        <v>59.753067307692298</v>
      </c>
      <c r="K162" s="1423">
        <v>70.866767578124993</v>
      </c>
      <c r="L162" s="1654">
        <v>61.81411132812498</v>
      </c>
      <c r="M162" s="1654">
        <v>68.602324218750013</v>
      </c>
      <c r="N162" s="1655">
        <v>45.84968253968254</v>
      </c>
      <c r="O162" s="1423">
        <v>40.598867187499984</v>
      </c>
      <c r="P162" s="1654">
        <v>44.787695312499999</v>
      </c>
      <c r="Q162" s="1654">
        <v>52.449682539682534</v>
      </c>
      <c r="R162" s="1654">
        <v>48.760292968750008</v>
      </c>
      <c r="S162" s="1423">
        <v>82.751825396825382</v>
      </c>
      <c r="T162" s="1654">
        <v>51.984208984375009</v>
      </c>
      <c r="U162" s="1654">
        <v>67.099775390625013</v>
      </c>
      <c r="V162" s="1655">
        <v>50.633037109375017</v>
      </c>
      <c r="W162" s="1423">
        <v>156.84135912698406</v>
      </c>
      <c r="X162" s="1654">
        <v>47.093769531249976</v>
      </c>
      <c r="Y162" s="1654">
        <v>41.267587890624995</v>
      </c>
      <c r="Z162" s="1655">
        <v>42.321269531250003</v>
      </c>
      <c r="AA162" s="1423">
        <v>80.378015873015883</v>
      </c>
      <c r="AB162" s="1654">
        <v>34.555751953125004</v>
      </c>
      <c r="AC162" s="1654">
        <v>41.128067307692319</v>
      </c>
      <c r="AD162" s="1655">
        <v>28.156972656249998</v>
      </c>
      <c r="AE162" s="1423">
        <v>32.810527343750003</v>
      </c>
      <c r="AF162" s="1654">
        <v>29.281435546875006</v>
      </c>
      <c r="AG162" s="1654">
        <v>42.594873046874994</v>
      </c>
      <c r="AH162" s="1655">
        <v>35.888214285714291</v>
      </c>
      <c r="AI162" s="1423">
        <v>35.824277343750005</v>
      </c>
      <c r="AJ162" s="1656">
        <v>38.990224609374998</v>
      </c>
      <c r="AK162" s="1656">
        <v>35.719781746031757</v>
      </c>
      <c r="AL162" s="1657">
        <v>42.862331349206364</v>
      </c>
      <c r="AM162" s="1656">
        <v>61.037626953124992</v>
      </c>
      <c r="AN162" s="1656">
        <v>41.31666666666667</v>
      </c>
      <c r="AO162" s="1656">
        <v>34.133333333333333</v>
      </c>
      <c r="AP162" s="1657">
        <v>45.383333333333333</v>
      </c>
      <c r="AQ162" s="1656">
        <v>76.012753062656998</v>
      </c>
      <c r="AR162" s="1656">
        <v>38.217946206964925</v>
      </c>
      <c r="AS162" s="1656">
        <v>32.581730048010407</v>
      </c>
      <c r="AT162" s="1657">
        <v>37.154237348767644</v>
      </c>
      <c r="AU162" s="1656">
        <v>77.355612896616023</v>
      </c>
      <c r="AV162" s="1656">
        <v>38.893113765432851</v>
      </c>
      <c r="AW162" s="1656">
        <v>33.157326837226861</v>
      </c>
      <c r="AX162" s="1657">
        <v>37.810613167124252</v>
      </c>
      <c r="AY162" s="1656">
        <v>78.264625707295977</v>
      </c>
      <c r="AZ162" s="1656">
        <v>39.350150266549605</v>
      </c>
      <c r="BA162" s="1656">
        <v>33.546961586850315</v>
      </c>
      <c r="BB162" s="1673">
        <v>38.254929105704107</v>
      </c>
      <c r="BC162" s="646"/>
      <c r="BD162" s="646"/>
      <c r="BE162" s="655">
        <f t="shared" si="505"/>
        <v>66.383389749790126</v>
      </c>
      <c r="BF162" s="655">
        <f t="shared" si="506"/>
        <v>61.783221416170633</v>
      </c>
      <c r="BG162" s="655">
        <f t="shared" si="507"/>
        <v>46.649134502108133</v>
      </c>
      <c r="BH162" s="672">
        <f t="shared" si="508"/>
        <v>63.117211720300105</v>
      </c>
      <c r="BI162" s="672">
        <f t="shared" si="509"/>
        <v>71.880996520027253</v>
      </c>
      <c r="BJ162" s="672">
        <f t="shared" si="510"/>
        <v>46.054701947520797</v>
      </c>
      <c r="BK162" s="672">
        <f t="shared" si="511"/>
        <v>35.143762555803576</v>
      </c>
      <c r="BL162" s="672">
        <f t="shared" si="512"/>
        <v>38.349153762090779</v>
      </c>
      <c r="BM162" s="672">
        <f t="shared" si="516"/>
        <v>45.467740071614578</v>
      </c>
      <c r="BN162" s="672">
        <f t="shared" si="513"/>
        <v>45.991666666599997</v>
      </c>
      <c r="BO162" s="672">
        <f t="shared" si="514"/>
        <v>46.804166666599997</v>
      </c>
      <c r="BP162" s="672">
        <f t="shared" si="515"/>
        <v>47.354166666599994</v>
      </c>
      <c r="BQ162" s="637"/>
      <c r="BR162" s="677"/>
      <c r="BS162" s="672"/>
      <c r="BU162" s="609"/>
      <c r="BV162" s="608"/>
      <c r="BW162" s="608"/>
      <c r="BX162" s="608"/>
    </row>
    <row r="163" spans="2:76" ht="12.75" customHeight="1">
      <c r="C163" s="1744" t="s">
        <v>854</v>
      </c>
      <c r="D163" s="1624"/>
      <c r="E163" s="1623"/>
      <c r="F163" s="1743"/>
      <c r="G163" s="1423">
        <v>48.020902807539699</v>
      </c>
      <c r="H163" s="1654">
        <v>51.584562626953129</v>
      </c>
      <c r="I163" s="1654">
        <v>66.121800654296877</v>
      </c>
      <c r="J163" s="1655">
        <v>49.490597307692312</v>
      </c>
      <c r="K163" s="1423">
        <v>50.059908115234371</v>
      </c>
      <c r="L163" s="1654">
        <v>59.78809870117189</v>
      </c>
      <c r="M163" s="1654">
        <v>57.162939843749975</v>
      </c>
      <c r="N163" s="1655">
        <v>39.320604523809529</v>
      </c>
      <c r="O163" s="1423">
        <v>34.398327744140623</v>
      </c>
      <c r="P163" s="1654">
        <v>38.54343235351562</v>
      </c>
      <c r="Q163" s="1654">
        <v>48.952091091269828</v>
      </c>
      <c r="R163" s="1654">
        <v>41.477144667968737</v>
      </c>
      <c r="S163" s="1423">
        <v>41.997815863095234</v>
      </c>
      <c r="T163" s="1654">
        <v>45.530304316406237</v>
      </c>
      <c r="U163" s="1654">
        <v>48.136464199218764</v>
      </c>
      <c r="V163" s="1655">
        <v>40.193486718750002</v>
      </c>
      <c r="W163" s="1423">
        <v>113.57858770833333</v>
      </c>
      <c r="X163" s="1654">
        <v>50.488559589843774</v>
      </c>
      <c r="Y163" s="1654">
        <v>41.389708935546885</v>
      </c>
      <c r="Z163" s="1655">
        <v>40.371172851562484</v>
      </c>
      <c r="AA163" s="1423">
        <v>56.866776517857168</v>
      </c>
      <c r="AB163" s="1654">
        <v>39.147263818359377</v>
      </c>
      <c r="AC163" s="1654">
        <v>39.464831807692299</v>
      </c>
      <c r="AD163" s="1655">
        <v>31.895178447265625</v>
      </c>
      <c r="AE163" s="1423">
        <v>30.103148642578116</v>
      </c>
      <c r="AF163" s="1654">
        <v>32.701806339843749</v>
      </c>
      <c r="AG163" s="1654">
        <v>38.936782353515625</v>
      </c>
      <c r="AH163" s="1655">
        <v>33.269796091269853</v>
      </c>
      <c r="AI163" s="1423">
        <v>32.144072138671881</v>
      </c>
      <c r="AJ163" s="1656">
        <v>32.803312458984372</v>
      </c>
      <c r="AK163" s="1656">
        <v>35.491018034722238</v>
      </c>
      <c r="AL163" s="1657">
        <v>37.447859950396833</v>
      </c>
      <c r="AM163" s="1656">
        <v>48.149713212890617</v>
      </c>
      <c r="AN163" s="1656">
        <v>34.5</v>
      </c>
      <c r="AO163" s="1656">
        <v>36.9</v>
      </c>
      <c r="AP163" s="1657">
        <v>34.68333333333333</v>
      </c>
      <c r="AQ163" s="1656">
        <v>40.501333218824747</v>
      </c>
      <c r="AR163" s="1656">
        <v>29.678493986239484</v>
      </c>
      <c r="AS163" s="1656">
        <v>32.100602483050345</v>
      </c>
      <c r="AT163" s="1657">
        <v>39.002903645085446</v>
      </c>
      <c r="AU163" s="1656">
        <v>40.405777401430235</v>
      </c>
      <c r="AV163" s="1656">
        <v>29.608472766528742</v>
      </c>
      <c r="AW163" s="1656">
        <v>32.024866721648337</v>
      </c>
      <c r="AX163" s="1657">
        <v>38.910883110392696</v>
      </c>
      <c r="AY163" s="1656">
        <v>40.52044438234951</v>
      </c>
      <c r="AZ163" s="1656">
        <v>29.692498230215239</v>
      </c>
      <c r="BA163" s="1656">
        <v>32.115749635367095</v>
      </c>
      <c r="BB163" s="1673">
        <v>39.021307752068161</v>
      </c>
      <c r="BC163" s="646"/>
      <c r="BD163" s="646"/>
      <c r="BE163" s="655">
        <f t="shared" si="505"/>
        <v>53.804465849120504</v>
      </c>
      <c r="BF163" s="655">
        <f t="shared" si="506"/>
        <v>51.582887795991439</v>
      </c>
      <c r="BG163" s="655">
        <f t="shared" si="507"/>
        <v>40.842748964223702</v>
      </c>
      <c r="BH163" s="672">
        <f t="shared" si="508"/>
        <v>43.964517774367557</v>
      </c>
      <c r="BI163" s="672">
        <f t="shared" si="509"/>
        <v>61.457007271321615</v>
      </c>
      <c r="BJ163" s="672">
        <f t="shared" si="510"/>
        <v>41.843512647793617</v>
      </c>
      <c r="BK163" s="672">
        <f t="shared" si="511"/>
        <v>33.752883356801831</v>
      </c>
      <c r="BL163" s="672">
        <f t="shared" si="512"/>
        <v>34.471565645693829</v>
      </c>
      <c r="BM163" s="672">
        <f t="shared" si="516"/>
        <v>38.55826163655599</v>
      </c>
      <c r="BN163" s="672">
        <f t="shared" si="513"/>
        <v>35.320833333300001</v>
      </c>
      <c r="BO163" s="672">
        <f t="shared" si="514"/>
        <v>35.237500000000004</v>
      </c>
      <c r="BP163" s="672">
        <f t="shared" si="515"/>
        <v>35.337499999999999</v>
      </c>
      <c r="BQ163" s="679"/>
      <c r="BR163" s="677"/>
      <c r="BS163" s="672"/>
      <c r="BU163" s="609"/>
      <c r="BV163" s="608"/>
      <c r="BW163" s="608"/>
      <c r="BX163" s="608"/>
    </row>
    <row r="164" spans="2:76" ht="12.75" customHeight="1">
      <c r="C164" s="1744" t="s">
        <v>149</v>
      </c>
      <c r="D164" s="1624"/>
      <c r="E164" s="1623"/>
      <c r="F164" s="1743"/>
      <c r="G164" s="1423">
        <v>52.409421755952401</v>
      </c>
      <c r="H164" s="1654">
        <v>56.777662714843743</v>
      </c>
      <c r="I164" s="1654">
        <v>79.80542767578126</v>
      </c>
      <c r="J164" s="1655">
        <v>53.380955625000034</v>
      </c>
      <c r="K164" s="1423">
        <v>56.349727597656255</v>
      </c>
      <c r="L164" s="1654">
        <v>65.570403749999997</v>
      </c>
      <c r="M164" s="1654">
        <v>66.498248447265624</v>
      </c>
      <c r="N164" s="1655">
        <v>40.979681686507909</v>
      </c>
      <c r="O164" s="1423">
        <v>38.512803037109371</v>
      </c>
      <c r="P164" s="1654">
        <v>36.974501874023439</v>
      </c>
      <c r="Q164" s="1654">
        <v>55.885414017857158</v>
      </c>
      <c r="R164" s="1654">
        <v>46.126044788085935</v>
      </c>
      <c r="S164" s="1423">
        <v>42.607887670634931</v>
      </c>
      <c r="T164" s="1654">
        <v>47.166300820312507</v>
      </c>
      <c r="U164" s="1654">
        <v>55.200128388671871</v>
      </c>
      <c r="V164" s="1655">
        <v>42.192332373046867</v>
      </c>
      <c r="W164" s="1423">
        <v>132.34547472222224</v>
      </c>
      <c r="X164" s="1654">
        <v>53.88701666992187</v>
      </c>
      <c r="Y164" s="1654">
        <v>45.337472450195328</v>
      </c>
      <c r="Z164" s="1655">
        <v>49.12051941503907</v>
      </c>
      <c r="AA164" s="1423">
        <v>67.284598143849209</v>
      </c>
      <c r="AB164" s="1654">
        <v>36.819058058593754</v>
      </c>
      <c r="AC164" s="1654">
        <v>39.89850856153847</v>
      </c>
      <c r="AD164" s="1655">
        <v>30.041686161132823</v>
      </c>
      <c r="AE164" s="1423">
        <v>31.266320479492187</v>
      </c>
      <c r="AF164" s="1654">
        <v>28.707086242187497</v>
      </c>
      <c r="AG164" s="1654">
        <v>40.605906624023433</v>
      </c>
      <c r="AH164" s="1655">
        <v>28.828253920634918</v>
      </c>
      <c r="AI164" s="1423">
        <v>33.256564817382809</v>
      </c>
      <c r="AJ164" s="1656">
        <v>32.387231337890618</v>
      </c>
      <c r="AK164" s="1656">
        <v>34.354411583333331</v>
      </c>
      <c r="AL164" s="1657">
        <v>39.044797251984129</v>
      </c>
      <c r="AM164" s="1656">
        <v>49.504310380859373</v>
      </c>
      <c r="AN164" s="1656">
        <v>34.371333333333332</v>
      </c>
      <c r="AO164" s="1656">
        <v>38.062833333333337</v>
      </c>
      <c r="AP164" s="1657">
        <v>34.614333333333327</v>
      </c>
      <c r="AQ164" s="1656">
        <v>46.510944725679025</v>
      </c>
      <c r="AR164" s="1656">
        <v>30.296280173373429</v>
      </c>
      <c r="AS164" s="1656">
        <v>33.947384063861342</v>
      </c>
      <c r="AT164" s="1657">
        <v>36.41005770348621</v>
      </c>
      <c r="AU164" s="1656">
        <v>46.479340030218317</v>
      </c>
      <c r="AV164" s="1656">
        <v>30.275693519756327</v>
      </c>
      <c r="AW164" s="1656">
        <v>33.924316445231923</v>
      </c>
      <c r="AX164" s="1657">
        <v>36.385316671193436</v>
      </c>
      <c r="AY164" s="1656">
        <v>46.837526578857272</v>
      </c>
      <c r="AZ164" s="1656">
        <v>30.509008927471708</v>
      </c>
      <c r="BA164" s="1656">
        <v>34.185749456426855</v>
      </c>
      <c r="BB164" s="1673">
        <v>36.665715037244176</v>
      </c>
      <c r="BC164" s="646"/>
      <c r="BD164" s="646"/>
      <c r="BE164" s="655">
        <f t="shared" si="505"/>
        <v>60.593366942894363</v>
      </c>
      <c r="BF164" s="655">
        <f t="shared" si="506"/>
        <v>57.349515370357445</v>
      </c>
      <c r="BG164" s="655">
        <f t="shared" si="507"/>
        <v>44.374690929268979</v>
      </c>
      <c r="BH164" s="672">
        <f t="shared" si="508"/>
        <v>46.791662313166547</v>
      </c>
      <c r="BI164" s="672">
        <f t="shared" si="509"/>
        <v>70.172620814344626</v>
      </c>
      <c r="BJ164" s="672">
        <f t="shared" si="510"/>
        <v>43.510962731278561</v>
      </c>
      <c r="BK164" s="672">
        <f t="shared" si="511"/>
        <v>32.351891816584505</v>
      </c>
      <c r="BL164" s="672">
        <f t="shared" si="512"/>
        <v>34.760751247647725</v>
      </c>
      <c r="BM164" s="672">
        <f t="shared" si="516"/>
        <v>39.138202595214842</v>
      </c>
      <c r="BN164" s="672">
        <f t="shared" si="513"/>
        <v>36.791166666600006</v>
      </c>
      <c r="BO164" s="672">
        <f t="shared" si="514"/>
        <v>36.7661666666</v>
      </c>
      <c r="BP164" s="672">
        <f t="shared" si="515"/>
        <v>37.049500000000002</v>
      </c>
      <c r="BQ164" s="679"/>
      <c r="BR164" s="677"/>
      <c r="BS164" s="672"/>
      <c r="BU164" s="609"/>
      <c r="BV164" s="608"/>
      <c r="BW164" s="608"/>
      <c r="BX164" s="608"/>
    </row>
    <row r="165" spans="2:76" ht="12.75" customHeight="1">
      <c r="C165" s="1744" t="s">
        <v>23</v>
      </c>
      <c r="D165" s="1621"/>
      <c r="E165" s="1623"/>
      <c r="F165" s="1743"/>
      <c r="G165" s="1423">
        <v>42.318757033730158</v>
      </c>
      <c r="H165" s="1654">
        <v>43.07423765625002</v>
      </c>
      <c r="I165" s="1654">
        <v>51.328195917968742</v>
      </c>
      <c r="J165" s="1655">
        <v>38.933001861538465</v>
      </c>
      <c r="K165" s="1423">
        <v>41.451086953125014</v>
      </c>
      <c r="L165" s="1654">
        <v>51.097349746093769</v>
      </c>
      <c r="M165" s="1654">
        <v>50.310268931640643</v>
      </c>
      <c r="N165" s="1655">
        <v>37.410923978174601</v>
      </c>
      <c r="O165" s="1423">
        <v>32.153772558593758</v>
      </c>
      <c r="P165" s="1654">
        <v>34.709669501953115</v>
      </c>
      <c r="Q165" s="1654">
        <v>44.635360783730164</v>
      </c>
      <c r="R165" s="1654">
        <v>38.089502343749999</v>
      </c>
      <c r="S165" s="1423">
        <v>38.017161944444446</v>
      </c>
      <c r="T165" s="1654">
        <v>41.806956083984382</v>
      </c>
      <c r="U165" s="1654">
        <v>41.772417763671875</v>
      </c>
      <c r="V165" s="1655">
        <v>36.018476103515631</v>
      </c>
      <c r="W165" s="1423">
        <v>79.351583283730179</v>
      </c>
      <c r="X165" s="1654">
        <v>50.487840683593745</v>
      </c>
      <c r="Y165" s="1654">
        <v>38.234623320312501</v>
      </c>
      <c r="Z165" s="1655">
        <v>40.068190000000001</v>
      </c>
      <c r="AA165" s="1423">
        <v>43.107304533730151</v>
      </c>
      <c r="AB165" s="1654">
        <v>36.571755771484384</v>
      </c>
      <c r="AC165" s="1654">
        <v>35.906114451923074</v>
      </c>
      <c r="AD165" s="1655">
        <v>30.830603544921882</v>
      </c>
      <c r="AE165" s="1423">
        <v>27.466274697265614</v>
      </c>
      <c r="AF165" s="1654">
        <v>31.331062939453119</v>
      </c>
      <c r="AG165" s="1654">
        <v>37.764263886718759</v>
      </c>
      <c r="AH165" s="1655">
        <v>32.442105446428577</v>
      </c>
      <c r="AI165" s="1423">
        <v>30.987138056640639</v>
      </c>
      <c r="AJ165" s="1656">
        <v>33.05749094726562</v>
      </c>
      <c r="AK165" s="1656">
        <v>36.590803630952387</v>
      </c>
      <c r="AL165" s="1657">
        <v>32.10412905753968</v>
      </c>
      <c r="AM165" s="1656">
        <v>39.582188720703122</v>
      </c>
      <c r="AN165" s="1656">
        <v>35.416666666666664</v>
      </c>
      <c r="AO165" s="1656">
        <v>37.699999999999996</v>
      </c>
      <c r="AP165" s="1657">
        <v>34.06666666666667</v>
      </c>
      <c r="AQ165" s="1656">
        <v>37.104731797582915</v>
      </c>
      <c r="AR165" s="1656">
        <v>31.21709085897621</v>
      </c>
      <c r="AS165" s="1656">
        <v>33.846064219263162</v>
      </c>
      <c r="AT165" s="1657">
        <v>36.098779790577716</v>
      </c>
      <c r="AU165" s="1656">
        <v>36.757952834841539</v>
      </c>
      <c r="AV165" s="1656">
        <v>30.925337493207795</v>
      </c>
      <c r="AW165" s="1656">
        <v>33.52974060030094</v>
      </c>
      <c r="AX165" s="1657">
        <v>35.761402404849747</v>
      </c>
      <c r="AY165" s="1656">
        <v>36.863032218779693</v>
      </c>
      <c r="AZ165" s="1656">
        <v>31.013743271039516</v>
      </c>
      <c r="BA165" s="1656">
        <v>33.625591544495691</v>
      </c>
      <c r="BB165" s="1673">
        <v>35.86363296568512</v>
      </c>
      <c r="BC165" s="646"/>
      <c r="BD165" s="646"/>
      <c r="BE165" s="655">
        <f t="shared" si="505"/>
        <v>43.913548117371846</v>
      </c>
      <c r="BF165" s="655">
        <f t="shared" si="506"/>
        <v>45.067407402258503</v>
      </c>
      <c r="BG165" s="655">
        <f t="shared" si="507"/>
        <v>37.397076297006763</v>
      </c>
      <c r="BH165" s="672">
        <f t="shared" si="508"/>
        <v>39.403752973904083</v>
      </c>
      <c r="BI165" s="672">
        <f t="shared" si="509"/>
        <v>52.035559321909105</v>
      </c>
      <c r="BJ165" s="672">
        <f t="shared" si="510"/>
        <v>36.603944575514873</v>
      </c>
      <c r="BK165" s="672">
        <f t="shared" si="511"/>
        <v>32.250926742466518</v>
      </c>
      <c r="BL165" s="672">
        <f t="shared" si="512"/>
        <v>33.184890423099588</v>
      </c>
      <c r="BM165" s="672">
        <f t="shared" si="516"/>
        <v>36.69138051350911</v>
      </c>
      <c r="BN165" s="672">
        <f t="shared" si="513"/>
        <v>34.5666666666</v>
      </c>
      <c r="BO165" s="672">
        <f t="shared" si="514"/>
        <v>34.243608333300003</v>
      </c>
      <c r="BP165" s="672">
        <f t="shared" si="515"/>
        <v>34.341500000000003</v>
      </c>
      <c r="BQ165" s="637"/>
      <c r="BR165" s="677"/>
      <c r="BS165" s="672"/>
      <c r="BU165" s="609"/>
      <c r="BV165" s="608"/>
      <c r="BW165" s="608"/>
      <c r="BX165" s="608"/>
    </row>
    <row r="166" spans="2:76" ht="12.75" customHeight="1">
      <c r="C166" s="1744" t="s">
        <v>402</v>
      </c>
      <c r="D166" s="1621"/>
      <c r="E166" s="1623"/>
      <c r="F166" s="1743"/>
      <c r="G166" s="1423">
        <v>42.324658253968252</v>
      </c>
      <c r="H166" s="1654">
        <v>43.262810498046875</v>
      </c>
      <c r="I166" s="1654">
        <v>51.606527089843752</v>
      </c>
      <c r="J166" s="1655">
        <v>38.918928847115382</v>
      </c>
      <c r="K166" s="1423">
        <v>41.488797080078136</v>
      </c>
      <c r="L166" s="1654">
        <v>50.985843300781255</v>
      </c>
      <c r="M166" s="1654">
        <v>50.268828780273431</v>
      </c>
      <c r="N166" s="1655">
        <v>37.525041934523813</v>
      </c>
      <c r="O166" s="1423">
        <v>32.221690878906244</v>
      </c>
      <c r="P166" s="1654">
        <v>34.827419687500004</v>
      </c>
      <c r="Q166" s="1654">
        <v>44.932445357142846</v>
      </c>
      <c r="R166" s="1654">
        <v>38.199312265625004</v>
      </c>
      <c r="S166" s="1423">
        <v>37.715632986111103</v>
      </c>
      <c r="T166" s="1654">
        <v>41.987925156249993</v>
      </c>
      <c r="U166" s="1654">
        <v>41.924110576171877</v>
      </c>
      <c r="V166" s="1655">
        <v>36.103588144531251</v>
      </c>
      <c r="W166" s="1423">
        <v>79.291454067460307</v>
      </c>
      <c r="X166" s="1654">
        <v>50.610264160156234</v>
      </c>
      <c r="Y166" s="1654">
        <v>38.224814638671887</v>
      </c>
      <c r="Z166" s="1655">
        <v>39.049467128906258</v>
      </c>
      <c r="AA166" s="1423">
        <v>42.983203065476189</v>
      </c>
      <c r="AB166" s="1654">
        <v>35.431994833984376</v>
      </c>
      <c r="AC166" s="1654">
        <v>35.234762865384596</v>
      </c>
      <c r="AD166" s="1655">
        <v>30.793894384765622</v>
      </c>
      <c r="AE166" s="1423">
        <v>27.255926289062497</v>
      </c>
      <c r="AF166" s="1654">
        <v>31.587512695312501</v>
      </c>
      <c r="AG166" s="1654">
        <v>38.382545029296871</v>
      </c>
      <c r="AH166" s="1655">
        <v>32.453721736111113</v>
      </c>
      <c r="AI166" s="1423">
        <v>31.073804345703124</v>
      </c>
      <c r="AJ166" s="1656">
        <v>33.234170273437506</v>
      </c>
      <c r="AK166" s="1656">
        <v>36.864877966269844</v>
      </c>
      <c r="AL166" s="1657">
        <v>32.037018710317462</v>
      </c>
      <c r="AM166" s="1656">
        <v>38.43211967773437</v>
      </c>
      <c r="AN166" s="1656">
        <v>33.833333333333336</v>
      </c>
      <c r="AO166" s="1656">
        <v>36.31666666666667</v>
      </c>
      <c r="AP166" s="1657">
        <v>33.616666666666667</v>
      </c>
      <c r="AQ166" s="1656">
        <v>34.505559751881279</v>
      </c>
      <c r="AR166" s="1656">
        <v>30.200278902105268</v>
      </c>
      <c r="AS166" s="1656">
        <v>33.302613632090925</v>
      </c>
      <c r="AT166" s="1657">
        <v>36.708214380322516</v>
      </c>
      <c r="AU166" s="1656">
        <v>34.591868474798638</v>
      </c>
      <c r="AV166" s="1656">
        <v>30.275818830236602</v>
      </c>
      <c r="AW166" s="1656">
        <v>33.385913427053367</v>
      </c>
      <c r="AX166" s="1657">
        <v>36.800032601111397</v>
      </c>
      <c r="AY166" s="1656">
        <v>34.815106597023615</v>
      </c>
      <c r="AZ166" s="1656">
        <v>30.471203388587639</v>
      </c>
      <c r="BA166" s="1656">
        <v>33.601368935842977</v>
      </c>
      <c r="BB166" s="1673">
        <v>37.037521078545765</v>
      </c>
      <c r="BC166" s="646"/>
      <c r="BD166" s="646"/>
      <c r="BE166" s="655">
        <f t="shared" si="505"/>
        <v>44.028231172243565</v>
      </c>
      <c r="BF166" s="655">
        <f t="shared" si="506"/>
        <v>45.067127773914159</v>
      </c>
      <c r="BG166" s="655">
        <f t="shared" si="507"/>
        <v>37.545217047293526</v>
      </c>
      <c r="BH166" s="672">
        <f t="shared" si="508"/>
        <v>39.432814215766051</v>
      </c>
      <c r="BI166" s="672">
        <f t="shared" si="509"/>
        <v>51.793999998798668</v>
      </c>
      <c r="BJ166" s="672">
        <f t="shared" si="510"/>
        <v>36.110963787402696</v>
      </c>
      <c r="BK166" s="672">
        <f t="shared" si="511"/>
        <v>32.419926437445746</v>
      </c>
      <c r="BL166" s="672">
        <f t="shared" si="512"/>
        <v>33.302467823931984</v>
      </c>
      <c r="BM166" s="672">
        <f t="shared" si="516"/>
        <v>35.549696586100261</v>
      </c>
      <c r="BN166" s="672">
        <f t="shared" si="513"/>
        <v>33.679166666599997</v>
      </c>
      <c r="BO166" s="672">
        <f t="shared" si="514"/>
        <v>33.763408333300006</v>
      </c>
      <c r="BP166" s="672">
        <f t="shared" si="515"/>
        <v>33.981300000000005</v>
      </c>
      <c r="BQ166" s="637"/>
      <c r="BR166" s="677"/>
      <c r="BS166" s="672"/>
      <c r="BU166" s="609"/>
      <c r="BV166" s="608"/>
      <c r="BW166" s="608"/>
      <c r="BX166" s="608"/>
    </row>
    <row r="167" spans="2:76" ht="12.75" customHeight="1">
      <c r="C167" s="1744" t="s">
        <v>62</v>
      </c>
      <c r="D167" s="1621"/>
      <c r="E167" s="1623"/>
      <c r="F167" s="1743"/>
      <c r="G167" s="1423">
        <v>40.373286190476193</v>
      </c>
      <c r="H167" s="1654">
        <v>41.051071525390626</v>
      </c>
      <c r="I167" s="1654">
        <v>50.072542607421866</v>
      </c>
      <c r="J167" s="1655">
        <v>34.412752877884607</v>
      </c>
      <c r="K167" s="1423">
        <v>39.612896863281264</v>
      </c>
      <c r="L167" s="1654">
        <v>45.46599732519531</v>
      </c>
      <c r="M167" s="1654">
        <v>47.308313137695315</v>
      </c>
      <c r="N167" s="1655">
        <v>31.727422125992067</v>
      </c>
      <c r="O167" s="1423">
        <v>30.441801791015621</v>
      </c>
      <c r="P167" s="1654">
        <v>32.770161261718748</v>
      </c>
      <c r="Q167" s="1654">
        <v>44.877897271825397</v>
      </c>
      <c r="R167" s="1654">
        <v>35.019350765624992</v>
      </c>
      <c r="S167" s="1423">
        <v>34.838090073412694</v>
      </c>
      <c r="T167" s="1654">
        <v>39.428378864257809</v>
      </c>
      <c r="U167" s="1654">
        <v>41.11704862597658</v>
      </c>
      <c r="V167" s="1655">
        <v>34.355717211914069</v>
      </c>
      <c r="W167" s="1423">
        <v>72.99622284523808</v>
      </c>
      <c r="X167" s="1654">
        <v>48.442515457031263</v>
      </c>
      <c r="Y167" s="1654">
        <v>37.030601145507809</v>
      </c>
      <c r="Z167" s="1655">
        <v>38.673259170898433</v>
      </c>
      <c r="AA167" s="1423">
        <v>39.963556904761916</v>
      </c>
      <c r="AB167" s="1654">
        <v>30.605513267578125</v>
      </c>
      <c r="AC167" s="1654">
        <v>33.950207826923084</v>
      </c>
      <c r="AD167" s="1655">
        <v>29.947609584960937</v>
      </c>
      <c r="AE167" s="1423">
        <v>26.738570957031257</v>
      </c>
      <c r="AF167" s="1654">
        <v>29.587132090820305</v>
      </c>
      <c r="AG167" s="1654">
        <v>37.576820068359396</v>
      </c>
      <c r="AH167" s="1655">
        <v>31.571357599206348</v>
      </c>
      <c r="AI167" s="1423">
        <v>29.354624452148443</v>
      </c>
      <c r="AJ167" s="1656">
        <v>33.630935440429681</v>
      </c>
      <c r="AK167" s="1656">
        <v>34.552619896825405</v>
      </c>
      <c r="AL167" s="1657">
        <v>30.295690178571437</v>
      </c>
      <c r="AM167" s="1656">
        <v>31.943508934570318</v>
      </c>
      <c r="AN167" s="1656">
        <v>30.066666666666666</v>
      </c>
      <c r="AO167" s="1656">
        <v>34.6</v>
      </c>
      <c r="AP167" s="1657">
        <v>30.166666666666668</v>
      </c>
      <c r="AQ167" s="1656">
        <v>33.929172095569285</v>
      </c>
      <c r="AR167" s="1656">
        <v>28.660363159574629</v>
      </c>
      <c r="AS167" s="1656">
        <v>32.36321030654301</v>
      </c>
      <c r="AT167" s="1657">
        <v>28.947254438313074</v>
      </c>
      <c r="AU167" s="1656">
        <v>33.932622519850185</v>
      </c>
      <c r="AV167" s="1656">
        <v>28.663277772777295</v>
      </c>
      <c r="AW167" s="1656">
        <v>32.366501480472486</v>
      </c>
      <c r="AX167" s="1657">
        <v>28.950198226900017</v>
      </c>
      <c r="AY167" s="1656">
        <v>34.171295122086242</v>
      </c>
      <c r="AZ167" s="1656">
        <v>28.864887273800733</v>
      </c>
      <c r="BA167" s="1656">
        <v>32.594158424143806</v>
      </c>
      <c r="BB167" s="1673">
        <v>29.153825846369212</v>
      </c>
      <c r="BC167" s="646"/>
      <c r="BD167" s="646"/>
      <c r="BE167" s="655">
        <f t="shared" si="505"/>
        <v>41.477413300293321</v>
      </c>
      <c r="BF167" s="655">
        <f t="shared" si="506"/>
        <v>41.028657363040985</v>
      </c>
      <c r="BG167" s="655">
        <f t="shared" si="507"/>
        <v>35.777302772546193</v>
      </c>
      <c r="BH167" s="672">
        <f t="shared" si="508"/>
        <v>37.43480869389029</v>
      </c>
      <c r="BI167" s="672">
        <f t="shared" si="509"/>
        <v>49.285649654668894</v>
      </c>
      <c r="BJ167" s="672">
        <f t="shared" si="510"/>
        <v>33.616721896056013</v>
      </c>
      <c r="BK167" s="672">
        <f t="shared" si="511"/>
        <v>31.368470178854327</v>
      </c>
      <c r="BL167" s="672">
        <f t="shared" si="512"/>
        <v>31.958467491993741</v>
      </c>
      <c r="BM167" s="672">
        <f t="shared" si="516"/>
        <v>31.694210566975915</v>
      </c>
      <c r="BN167" s="672">
        <f t="shared" si="513"/>
        <v>30.975000000000001</v>
      </c>
      <c r="BO167" s="672">
        <f t="shared" si="514"/>
        <v>30.978149999999996</v>
      </c>
      <c r="BP167" s="672">
        <f t="shared" si="515"/>
        <v>31.196041666599999</v>
      </c>
      <c r="BQ167" s="637"/>
      <c r="BR167" s="677"/>
      <c r="BS167" s="672"/>
      <c r="BU167" s="609"/>
      <c r="BV167" s="608"/>
      <c r="BW167" s="608"/>
      <c r="BX167" s="608"/>
    </row>
    <row r="168" spans="2:76" ht="12.75" customHeight="1">
      <c r="C168" s="1744" t="s">
        <v>860</v>
      </c>
      <c r="D168" s="1621"/>
      <c r="E168" s="1623"/>
      <c r="F168" s="1743"/>
      <c r="G168" s="1423">
        <v>41.339221230158728</v>
      </c>
      <c r="H168" s="1654">
        <v>39.390153808593752</v>
      </c>
      <c r="I168" s="1654">
        <v>48.872324218750009</v>
      </c>
      <c r="J168" s="1655">
        <v>32.494792444029855</v>
      </c>
      <c r="K168" s="1423">
        <v>49.694167480468757</v>
      </c>
      <c r="L168" s="1654">
        <v>41.930664062500007</v>
      </c>
      <c r="M168" s="1654">
        <v>111.00009521484377</v>
      </c>
      <c r="N168" s="1655">
        <v>29.544866071428554</v>
      </c>
      <c r="O168" s="1423">
        <v>25.356325683593752</v>
      </c>
      <c r="P168" s="1654">
        <v>30.825715332031248</v>
      </c>
      <c r="Q168" s="1654">
        <v>31.618534226190476</v>
      </c>
      <c r="R168" s="1654">
        <v>27.927487792968755</v>
      </c>
      <c r="S168" s="1423">
        <v>28.835245535714289</v>
      </c>
      <c r="T168" s="1654">
        <v>36.626384277343753</v>
      </c>
      <c r="U168" s="1654">
        <v>43.148923339843755</v>
      </c>
      <c r="V168" s="1655">
        <v>36.768386230468735</v>
      </c>
      <c r="W168" s="1423">
        <v>57.726661706349176</v>
      </c>
      <c r="X168" s="1654">
        <v>44.823835449218755</v>
      </c>
      <c r="Y168" s="1654">
        <v>38.568947753906251</v>
      </c>
      <c r="Z168" s="1655">
        <v>33.674279785156259</v>
      </c>
      <c r="AA168" s="1423">
        <v>26.530957341269843</v>
      </c>
      <c r="AB168" s="1654">
        <v>27.875180664062505</v>
      </c>
      <c r="AC168" s="1654">
        <v>34.771600961538461</v>
      </c>
      <c r="AD168" s="1655">
        <v>23.322177734375007</v>
      </c>
      <c r="AE168" s="1423">
        <v>20.53059082031249</v>
      </c>
      <c r="AF168" s="1654">
        <v>24.409040527343741</v>
      </c>
      <c r="AG168" s="1654">
        <v>33.207656250000007</v>
      </c>
      <c r="AH168" s="1655">
        <v>29.754362599206353</v>
      </c>
      <c r="AI168" s="1423">
        <v>27.700273437500005</v>
      </c>
      <c r="AJ168" s="1656">
        <v>46.152717285156264</v>
      </c>
      <c r="AK168" s="1656">
        <v>33.043561507936509</v>
      </c>
      <c r="AL168" s="1657">
        <v>29.19860119047619</v>
      </c>
      <c r="AM168" s="1656">
        <v>33.29329345703124</v>
      </c>
      <c r="AN168" s="1656">
        <v>37.382000000000005</v>
      </c>
      <c r="AO168" s="1656">
        <v>118.87111666666665</v>
      </c>
      <c r="AP168" s="1657">
        <v>27.205766666666666</v>
      </c>
      <c r="AQ168" s="1656">
        <v>24.525092123733586</v>
      </c>
      <c r="AR168" s="1656">
        <v>26.33436343081933</v>
      </c>
      <c r="AS168" s="1656">
        <v>72.001306158597217</v>
      </c>
      <c r="AT168" s="1657">
        <v>45.433288286849844</v>
      </c>
      <c r="AU168" s="1656">
        <v>22.536414554517716</v>
      </c>
      <c r="AV168" s="1656">
        <v>24.198976636338397</v>
      </c>
      <c r="AW168" s="1656">
        <v>66.162902706759411</v>
      </c>
      <c r="AX168" s="1657">
        <v>41.749218075984459</v>
      </c>
      <c r="AY168" s="1656">
        <v>21.446763815512227</v>
      </c>
      <c r="AZ168" s="1656">
        <v>23.028939907062984</v>
      </c>
      <c r="BA168" s="1656">
        <v>62.96388204378902</v>
      </c>
      <c r="BB168" s="1673">
        <v>39.730615417635761</v>
      </c>
      <c r="BC168" s="646"/>
      <c r="BD168" s="646"/>
      <c r="BE168" s="655">
        <f t="shared" si="505"/>
        <v>40.524122925383089</v>
      </c>
      <c r="BF168" s="655">
        <f t="shared" si="506"/>
        <v>58.042448207310272</v>
      </c>
      <c r="BG168" s="655">
        <f t="shared" si="507"/>
        <v>28.93201575869606</v>
      </c>
      <c r="BH168" s="672">
        <f t="shared" si="508"/>
        <v>36.34473484584263</v>
      </c>
      <c r="BI168" s="672">
        <f t="shared" si="509"/>
        <v>43.69843117365761</v>
      </c>
      <c r="BJ168" s="672">
        <f t="shared" si="510"/>
        <v>28.124979175311452</v>
      </c>
      <c r="BK168" s="672">
        <f t="shared" si="511"/>
        <v>26.975412549215648</v>
      </c>
      <c r="BL168" s="672">
        <f t="shared" si="512"/>
        <v>34.023788355267243</v>
      </c>
      <c r="BM168" s="672">
        <f t="shared" si="516"/>
        <v>54.188044197591147</v>
      </c>
      <c r="BN168" s="672">
        <f t="shared" si="513"/>
        <v>42.073512499999993</v>
      </c>
      <c r="BO168" s="672">
        <f t="shared" si="514"/>
        <v>38.661877993399997</v>
      </c>
      <c r="BP168" s="672">
        <f t="shared" si="515"/>
        <v>36.792550296000002</v>
      </c>
      <c r="BQ168" s="637"/>
      <c r="BR168" s="677"/>
      <c r="BS168" s="672"/>
      <c r="BU168" s="609"/>
      <c r="BV168" s="608"/>
      <c r="BW168" s="608"/>
      <c r="BX168" s="608"/>
    </row>
    <row r="169" spans="2:76" ht="12.75" customHeight="1">
      <c r="C169" s="1739" t="s">
        <v>63</v>
      </c>
      <c r="D169" s="1621"/>
      <c r="E169" s="1623"/>
      <c r="F169" s="1743"/>
      <c r="G169" s="1423">
        <v>41.463162202380943</v>
      </c>
      <c r="H169" s="1654">
        <v>39.232558593749999</v>
      </c>
      <c r="I169" s="1654">
        <v>48.767795410156261</v>
      </c>
      <c r="J169" s="1655">
        <v>32.77672574626866</v>
      </c>
      <c r="K169" s="1423">
        <v>50.755690917968764</v>
      </c>
      <c r="L169" s="1654">
        <v>40.202160644531247</v>
      </c>
      <c r="M169" s="1654">
        <v>106.84378173828125</v>
      </c>
      <c r="N169" s="1655">
        <v>28.962276785714291</v>
      </c>
      <c r="O169" s="1423">
        <v>25.273820800781262</v>
      </c>
      <c r="P169" s="1654">
        <v>31.306391601562503</v>
      </c>
      <c r="Q169" s="1654">
        <v>32.226475694444453</v>
      </c>
      <c r="R169" s="1654">
        <v>28.259047851562507</v>
      </c>
      <c r="S169" s="1423">
        <v>29.044474206349211</v>
      </c>
      <c r="T169" s="1654">
        <v>35.193894042968758</v>
      </c>
      <c r="U169" s="1654">
        <v>38.431984863281251</v>
      </c>
      <c r="V169" s="1655">
        <v>35.855332031250001</v>
      </c>
      <c r="W169" s="1423">
        <v>60.188559027777771</v>
      </c>
      <c r="X169" s="1654">
        <v>40.574257812500001</v>
      </c>
      <c r="Y169" s="1654">
        <v>37.938735351562507</v>
      </c>
      <c r="Z169" s="1655">
        <v>34.462575683593748</v>
      </c>
      <c r="AA169" s="1423">
        <v>26.624528769841273</v>
      </c>
      <c r="AB169" s="1654">
        <v>27.696826171875006</v>
      </c>
      <c r="AC169" s="1654">
        <v>35.113086538461538</v>
      </c>
      <c r="AD169" s="1655">
        <v>20.858798828125007</v>
      </c>
      <c r="AE169" s="1423">
        <v>19.673029785156263</v>
      </c>
      <c r="AF169" s="1654">
        <v>22.350983886718744</v>
      </c>
      <c r="AG169" s="1654">
        <v>30.610273437499995</v>
      </c>
      <c r="AH169" s="1655">
        <v>25.720223214285713</v>
      </c>
      <c r="AI169" s="1423">
        <v>22.746433105468753</v>
      </c>
      <c r="AJ169" s="1656">
        <v>27.890290527343748</v>
      </c>
      <c r="AK169" s="1656">
        <v>29.419799107142854</v>
      </c>
      <c r="AL169" s="1657">
        <v>23.559124503968256</v>
      </c>
      <c r="AM169" s="1656">
        <v>31.786008300781262</v>
      </c>
      <c r="AN169" s="1656">
        <v>35.332000000000001</v>
      </c>
      <c r="AO169" s="1656">
        <v>118.57111666666667</v>
      </c>
      <c r="AP169" s="1657">
        <v>26.272433333333336</v>
      </c>
      <c r="AQ169" s="1656">
        <v>23.582895883834407</v>
      </c>
      <c r="AR169" s="1656">
        <v>24.58750024208658</v>
      </c>
      <c r="AS169" s="1656">
        <v>70.499208350188795</v>
      </c>
      <c r="AT169" s="1657">
        <v>43.541112190290235</v>
      </c>
      <c r="AU169" s="1656">
        <v>21.356595924499164</v>
      </c>
      <c r="AV169" s="1656">
        <v>22.266362453973152</v>
      </c>
      <c r="AW169" s="1656">
        <v>63.843860107279404</v>
      </c>
      <c r="AX169" s="1657">
        <v>39.430693487848274</v>
      </c>
      <c r="AY169" s="1656">
        <v>20.153204665518864</v>
      </c>
      <c r="AZ169" s="1656">
        <v>21.011708105446548</v>
      </c>
      <c r="BA169" s="1656">
        <v>60.246416794484098</v>
      </c>
      <c r="BB169" s="1673">
        <v>37.208871618550496</v>
      </c>
      <c r="BC169" s="646"/>
      <c r="BD169" s="646"/>
      <c r="BE169" s="655">
        <f t="shared" si="505"/>
        <v>40.560060488138966</v>
      </c>
      <c r="BF169" s="655">
        <f t="shared" si="506"/>
        <v>56.690977521623886</v>
      </c>
      <c r="BG169" s="655">
        <f t="shared" si="507"/>
        <v>29.26643398708768</v>
      </c>
      <c r="BH169" s="672">
        <f t="shared" si="508"/>
        <v>34.631421285962304</v>
      </c>
      <c r="BI169" s="672">
        <f t="shared" si="509"/>
        <v>43.291031968858505</v>
      </c>
      <c r="BJ169" s="672">
        <f t="shared" si="510"/>
        <v>27.573310077075703</v>
      </c>
      <c r="BK169" s="672">
        <f t="shared" si="511"/>
        <v>24.58862758091518</v>
      </c>
      <c r="BL169" s="672">
        <f t="shared" si="512"/>
        <v>25.903911810980901</v>
      </c>
      <c r="BM169" s="672">
        <f t="shared" si="516"/>
        <v>52.990389575195316</v>
      </c>
      <c r="BN169" s="672">
        <f t="shared" si="513"/>
        <v>40.552679166600001</v>
      </c>
      <c r="BO169" s="672">
        <f t="shared" si="514"/>
        <v>36.724377993399997</v>
      </c>
      <c r="BP169" s="672">
        <f t="shared" si="515"/>
        <v>34.655050295999999</v>
      </c>
      <c r="BQ169" s="637"/>
      <c r="BR169" s="677"/>
      <c r="BS169" s="672"/>
      <c r="BU169" s="609"/>
      <c r="BV169" s="608"/>
      <c r="BW169" s="608"/>
      <c r="BX169" s="608"/>
    </row>
    <row r="170" spans="2:76" ht="12.75" customHeight="1">
      <c r="C170" s="1739" t="s">
        <v>861</v>
      </c>
      <c r="D170" s="1621"/>
      <c r="E170" s="1623"/>
      <c r="F170" s="1743"/>
      <c r="G170" s="1423">
        <v>41.207070932539686</v>
      </c>
      <c r="H170" s="1654">
        <v>39.192001953125001</v>
      </c>
      <c r="I170" s="1654">
        <v>48.72686279296876</v>
      </c>
      <c r="J170" s="1655">
        <v>31.765543376865669</v>
      </c>
      <c r="K170" s="1423">
        <v>55.323972167968762</v>
      </c>
      <c r="L170" s="1654">
        <v>39.6252978515625</v>
      </c>
      <c r="M170" s="1654">
        <v>106.81442871093749</v>
      </c>
      <c r="N170" s="1655">
        <v>29.354828869047626</v>
      </c>
      <c r="O170" s="1423">
        <v>25.648288574218743</v>
      </c>
      <c r="P170" s="1654">
        <v>29.951386718749998</v>
      </c>
      <c r="Q170" s="1654">
        <v>31.210275297619049</v>
      </c>
      <c r="R170" s="1654">
        <v>28.586511230468751</v>
      </c>
      <c r="S170" s="1423">
        <v>28.708407738095232</v>
      </c>
      <c r="T170" s="1654">
        <v>36.230866699218758</v>
      </c>
      <c r="U170" s="1654">
        <v>40.352358398437502</v>
      </c>
      <c r="V170" s="1655">
        <v>36.304406738281251</v>
      </c>
      <c r="W170" s="1423">
        <v>59.069300595238097</v>
      </c>
      <c r="X170" s="1654">
        <v>41.673994140624984</v>
      </c>
      <c r="Y170" s="1654">
        <v>38.124675292968753</v>
      </c>
      <c r="Z170" s="1655">
        <v>34.437966308593751</v>
      </c>
      <c r="AA170" s="1423">
        <v>26.435344742063496</v>
      </c>
      <c r="AB170" s="1654">
        <v>27.865429687499994</v>
      </c>
      <c r="AC170" s="1654">
        <v>34.586947115384625</v>
      </c>
      <c r="AD170" s="1655">
        <v>23.201174316406249</v>
      </c>
      <c r="AE170" s="1423">
        <v>20.267778320312491</v>
      </c>
      <c r="AF170" s="1654">
        <v>22.831770019531245</v>
      </c>
      <c r="AG170" s="1654">
        <v>30.974855957031252</v>
      </c>
      <c r="AH170" s="1655">
        <v>28.905121527777784</v>
      </c>
      <c r="AI170" s="1423">
        <v>24.182224121093753</v>
      </c>
      <c r="AJ170" s="1656">
        <v>35.500275878906244</v>
      </c>
      <c r="AK170" s="1656">
        <v>30.679335317460314</v>
      </c>
      <c r="AL170" s="1657">
        <v>26.539970238095233</v>
      </c>
      <c r="AM170" s="1656">
        <v>33.080983886718748</v>
      </c>
      <c r="AN170" s="1656">
        <v>38.148666666666664</v>
      </c>
      <c r="AO170" s="1656">
        <v>119.77111666666667</v>
      </c>
      <c r="AP170" s="1657">
        <v>27.555766666666667</v>
      </c>
      <c r="AQ170" s="1656">
        <v>25.311841025847244</v>
      </c>
      <c r="AR170" s="1656">
        <v>26.536363358265632</v>
      </c>
      <c r="AS170" s="1656">
        <v>72.644761515096988</v>
      </c>
      <c r="AT170" s="1657">
        <v>44.901084100790143</v>
      </c>
      <c r="AU170" s="1656">
        <v>23.143193839184796</v>
      </c>
      <c r="AV170" s="1656">
        <v>24.262802550010321</v>
      </c>
      <c r="AW170" s="1656">
        <v>66.420763129337274</v>
      </c>
      <c r="AX170" s="1657">
        <v>41.054085788267628</v>
      </c>
      <c r="AY170" s="1656">
        <v>21.966120391696254</v>
      </c>
      <c r="AZ170" s="1656">
        <v>23.028785290261158</v>
      </c>
      <c r="BA170" s="1656">
        <v>63.042572669337098</v>
      </c>
      <c r="BB170" s="1673">
        <v>38.966056165905499</v>
      </c>
      <c r="BC170" s="646"/>
      <c r="BD170" s="646"/>
      <c r="BE170" s="655">
        <f t="shared" si="505"/>
        <v>40.222869763874776</v>
      </c>
      <c r="BF170" s="655">
        <f t="shared" si="506"/>
        <v>57.779631899879099</v>
      </c>
      <c r="BG170" s="655">
        <f t="shared" si="507"/>
        <v>28.849115455264133</v>
      </c>
      <c r="BH170" s="672">
        <f t="shared" si="508"/>
        <v>35.399009893508186</v>
      </c>
      <c r="BI170" s="672">
        <f t="shared" si="509"/>
        <v>43.326484084356402</v>
      </c>
      <c r="BJ170" s="672">
        <f t="shared" si="510"/>
        <v>28.02222396533859</v>
      </c>
      <c r="BK170" s="672">
        <f t="shared" si="511"/>
        <v>25.744881456163192</v>
      </c>
      <c r="BL170" s="672">
        <f t="shared" si="512"/>
        <v>29.225451388888885</v>
      </c>
      <c r="BM170" s="672">
        <f t="shared" si="516"/>
        <v>54.639133471679685</v>
      </c>
      <c r="BN170" s="672">
        <f t="shared" si="513"/>
        <v>42.348512499999998</v>
      </c>
      <c r="BO170" s="672">
        <f t="shared" si="514"/>
        <v>38.720211326700003</v>
      </c>
      <c r="BP170" s="672">
        <f t="shared" si="515"/>
        <v>36.750883629300006</v>
      </c>
      <c r="BQ170" s="637"/>
      <c r="BR170" s="677"/>
      <c r="BS170" s="672"/>
      <c r="BU170" s="609"/>
      <c r="BV170" s="608"/>
      <c r="BW170" s="608"/>
      <c r="BX170" s="608"/>
    </row>
    <row r="171" spans="2:76" ht="12.75" customHeight="1">
      <c r="C171" s="1739" t="s">
        <v>64</v>
      </c>
      <c r="D171" s="1621"/>
      <c r="E171" s="1625"/>
      <c r="F171" s="1743"/>
      <c r="G171" s="1423">
        <v>44.912666666666681</v>
      </c>
      <c r="H171" s="1654">
        <v>35.874838709677434</v>
      </c>
      <c r="I171" s="1654">
        <v>40.575468749999999</v>
      </c>
      <c r="J171" s="1655">
        <v>34.270317460317472</v>
      </c>
      <c r="K171" s="1423">
        <v>32.430468750000003</v>
      </c>
      <c r="L171" s="1654">
        <v>36.866093749999997</v>
      </c>
      <c r="M171" s="1654">
        <v>42.871093750000007</v>
      </c>
      <c r="N171" s="1655">
        <v>33.560156250000006</v>
      </c>
      <c r="O171" s="1423">
        <v>25.353281250000002</v>
      </c>
      <c r="P171" s="1654">
        <v>25.953076923076935</v>
      </c>
      <c r="Q171" s="1654">
        <v>36.29349206349206</v>
      </c>
      <c r="R171" s="1654">
        <v>31.014769230769229</v>
      </c>
      <c r="S171" s="1423">
        <v>32.511999999999993</v>
      </c>
      <c r="T171" s="1654">
        <v>38.131384615384611</v>
      </c>
      <c r="U171" s="1654">
        <v>42.04296875</v>
      </c>
      <c r="V171" s="1655">
        <v>37.624062500000001</v>
      </c>
      <c r="W171" s="1423">
        <v>47.590967741935479</v>
      </c>
      <c r="X171" s="1654">
        <v>42.762769230769244</v>
      </c>
      <c r="Y171" s="1654">
        <v>43.211212121212121</v>
      </c>
      <c r="Z171" s="1655">
        <v>36.127031249999987</v>
      </c>
      <c r="AA171" s="1423">
        <v>25.419180327868858</v>
      </c>
      <c r="AB171" s="1654">
        <v>26.831111111111106</v>
      </c>
      <c r="AC171" s="1654">
        <v>33.160312500000011</v>
      </c>
      <c r="AD171" s="1655">
        <v>23.980158730158735</v>
      </c>
      <c r="AE171" s="1423">
        <v>19.007377049180324</v>
      </c>
      <c r="AF171" s="1654">
        <v>22.532187499999996</v>
      </c>
      <c r="AG171" s="1654">
        <v>34.896093749999999</v>
      </c>
      <c r="AH171" s="1655">
        <v>25.215322580645164</v>
      </c>
      <c r="AI171" s="1423">
        <v>23.400322580645167</v>
      </c>
      <c r="AJ171" s="1656">
        <v>32.938906250000002</v>
      </c>
      <c r="AK171" s="1656">
        <v>44.240952380952386</v>
      </c>
      <c r="AL171" s="1657">
        <v>30.908548387096779</v>
      </c>
      <c r="AM171" s="1656">
        <v>26.38622950819672</v>
      </c>
      <c r="AN171" s="1656">
        <v>27.183333333333334</v>
      </c>
      <c r="AO171" s="1656">
        <v>42.599999999999994</v>
      </c>
      <c r="AP171" s="1657">
        <v>25.099999999999998</v>
      </c>
      <c r="AQ171" s="1656">
        <v>25.992977359392921</v>
      </c>
      <c r="AR171" s="1656">
        <v>25.589202953810119</v>
      </c>
      <c r="AS171" s="1656">
        <v>40.377440558280256</v>
      </c>
      <c r="AT171" s="1657">
        <v>30.457045794916699</v>
      </c>
      <c r="AU171" s="1656">
        <v>28.466645320489615</v>
      </c>
      <c r="AV171" s="1656">
        <v>28.024445004831527</v>
      </c>
      <c r="AW171" s="1656">
        <v>44.220031565809109</v>
      </c>
      <c r="AX171" s="1657">
        <v>33.355544775269749</v>
      </c>
      <c r="AY171" s="1656">
        <v>30.466105117398659</v>
      </c>
      <c r="AZ171" s="1656">
        <v>29.992845232079848</v>
      </c>
      <c r="BA171" s="1656">
        <v>47.325988531881407</v>
      </c>
      <c r="BB171" s="1673">
        <v>35.69839445184008</v>
      </c>
      <c r="BC171" s="646"/>
      <c r="BD171" s="646"/>
      <c r="BE171" s="655">
        <f t="shared" si="505"/>
        <v>38.908322896665396</v>
      </c>
      <c r="BF171" s="655">
        <f t="shared" si="506"/>
        <v>36.431953125</v>
      </c>
      <c r="BG171" s="655">
        <f t="shared" si="507"/>
        <v>29.653654866834557</v>
      </c>
      <c r="BH171" s="672">
        <f t="shared" si="508"/>
        <v>37.577603966346153</v>
      </c>
      <c r="BI171" s="672">
        <f t="shared" si="509"/>
        <v>42.42299508597921</v>
      </c>
      <c r="BJ171" s="672">
        <f t="shared" si="510"/>
        <v>27.347690667284677</v>
      </c>
      <c r="BK171" s="672">
        <f t="shared" si="511"/>
        <v>25.412745219956371</v>
      </c>
      <c r="BL171" s="672">
        <f t="shared" si="512"/>
        <v>32.872182399673584</v>
      </c>
      <c r="BM171" s="672">
        <f t="shared" si="516"/>
        <v>30.317390710382512</v>
      </c>
      <c r="BN171" s="672">
        <f t="shared" si="513"/>
        <v>30.604166666599998</v>
      </c>
      <c r="BO171" s="672">
        <f t="shared" si="514"/>
        <v>33.516666666600003</v>
      </c>
      <c r="BP171" s="672">
        <f t="shared" si="515"/>
        <v>35.870833333299998</v>
      </c>
      <c r="BQ171" s="637"/>
      <c r="BR171" s="677"/>
      <c r="BS171" s="672"/>
      <c r="BU171" s="609"/>
      <c r="BV171" s="608"/>
      <c r="BW171" s="608"/>
      <c r="BX171" s="608"/>
    </row>
    <row r="172" spans="2:76" ht="12.75" customHeight="1">
      <c r="C172" s="1739" t="s">
        <v>65</v>
      </c>
      <c r="D172" s="1621"/>
      <c r="E172" s="1623"/>
      <c r="F172" s="1743"/>
      <c r="G172" s="1423">
        <v>60.128553647202374</v>
      </c>
      <c r="H172" s="1654">
        <v>31.946377822646106</v>
      </c>
      <c r="I172" s="1654">
        <v>37.433810982142873</v>
      </c>
      <c r="J172" s="1655">
        <v>33.962447284902595</v>
      </c>
      <c r="K172" s="1423">
        <v>30.515116445312522</v>
      </c>
      <c r="L172" s="1654">
        <v>33.011711513798716</v>
      </c>
      <c r="M172" s="1654">
        <v>42.068564527191569</v>
      </c>
      <c r="N172" s="1655">
        <v>32.950429456168834</v>
      </c>
      <c r="O172" s="1423">
        <v>25.307843413149342</v>
      </c>
      <c r="P172" s="1654">
        <v>22.80274092532467</v>
      </c>
      <c r="Q172" s="1654">
        <v>35.896205914884867</v>
      </c>
      <c r="R172" s="1654">
        <v>42.475329612418847</v>
      </c>
      <c r="S172" s="1423">
        <v>42.911978651315792</v>
      </c>
      <c r="T172" s="1654">
        <v>45.579805629058441</v>
      </c>
      <c r="U172" s="1654">
        <v>48.084160511363628</v>
      </c>
      <c r="V172" s="1655">
        <v>45.337906345373376</v>
      </c>
      <c r="W172" s="1423">
        <v>53.600572129934207</v>
      </c>
      <c r="X172" s="1654">
        <v>40.900113140016224</v>
      </c>
      <c r="Y172" s="1654">
        <v>46.183565756087653</v>
      </c>
      <c r="Z172" s="1655">
        <v>41.445947460091979</v>
      </c>
      <c r="AA172" s="1423">
        <v>28.829850453771133</v>
      </c>
      <c r="AB172" s="1654">
        <v>29.03807379386982</v>
      </c>
      <c r="AC172" s="1654">
        <v>35.943119470128089</v>
      </c>
      <c r="AD172" s="1655">
        <v>32.371010031004026</v>
      </c>
      <c r="AE172" s="1423">
        <v>21.909217117018397</v>
      </c>
      <c r="AF172" s="1654">
        <v>21.147224745129879</v>
      </c>
      <c r="AG172" s="1654">
        <v>35.217113687499996</v>
      </c>
      <c r="AH172" s="1655">
        <v>32.804729900021115</v>
      </c>
      <c r="AI172" s="1423">
        <v>27.142658075794955</v>
      </c>
      <c r="AJ172" s="1656">
        <v>32.083006007440474</v>
      </c>
      <c r="AK172" s="1656">
        <v>43.369349766774882</v>
      </c>
      <c r="AL172" s="1657">
        <v>48.204032704495603</v>
      </c>
      <c r="AM172" s="1656">
        <v>34.474168695211048</v>
      </c>
      <c r="AN172" s="1656">
        <v>27.633333333333336</v>
      </c>
      <c r="AO172" s="1656">
        <v>46.35</v>
      </c>
      <c r="AP172" s="1657">
        <v>39.75</v>
      </c>
      <c r="AQ172" s="1656">
        <v>35.039319558003335</v>
      </c>
      <c r="AR172" s="1656">
        <v>25.220609132408999</v>
      </c>
      <c r="AS172" s="1656">
        <v>40.23746037155329</v>
      </c>
      <c r="AT172" s="1657">
        <v>42.319277604434383</v>
      </c>
      <c r="AU172" s="1656">
        <v>37.701310109094798</v>
      </c>
      <c r="AV172" s="1656">
        <v>27.136657276326481</v>
      </c>
      <c r="AW172" s="1656">
        <v>43.29436160879569</v>
      </c>
      <c r="AX172" s="1657">
        <v>45.534337672183035</v>
      </c>
      <c r="AY172" s="1656">
        <v>39.12839874558054</v>
      </c>
      <c r="AZ172" s="1656">
        <v>28.16384744874204</v>
      </c>
      <c r="BA172" s="1656">
        <v>44.93316119684799</v>
      </c>
      <c r="BB172" s="1673">
        <v>47.257925942029424</v>
      </c>
      <c r="BC172" s="646"/>
      <c r="BD172" s="646"/>
      <c r="BE172" s="655">
        <f t="shared" si="505"/>
        <v>40.867797434223483</v>
      </c>
      <c r="BF172" s="655">
        <f t="shared" si="506"/>
        <v>34.636455485617915</v>
      </c>
      <c r="BG172" s="655">
        <f t="shared" si="507"/>
        <v>31.62052996644443</v>
      </c>
      <c r="BH172" s="672">
        <f t="shared" si="508"/>
        <v>45.478462784277809</v>
      </c>
      <c r="BI172" s="672">
        <f t="shared" si="509"/>
        <v>45.532549621532517</v>
      </c>
      <c r="BJ172" s="672">
        <f t="shared" si="510"/>
        <v>31.545513437193271</v>
      </c>
      <c r="BK172" s="672">
        <f t="shared" si="511"/>
        <v>27.769571362417349</v>
      </c>
      <c r="BL172" s="672">
        <f t="shared" si="512"/>
        <v>37.699761638626477</v>
      </c>
      <c r="BM172" s="672">
        <f t="shared" si="516"/>
        <v>37.051875507136096</v>
      </c>
      <c r="BN172" s="672">
        <f t="shared" si="513"/>
        <v>35.704166666600003</v>
      </c>
      <c r="BO172" s="672">
        <f t="shared" si="514"/>
        <v>38.416666666600001</v>
      </c>
      <c r="BP172" s="672">
        <f t="shared" si="515"/>
        <v>39.870833333299998</v>
      </c>
      <c r="BQ172" s="637"/>
      <c r="BR172" s="677"/>
      <c r="BS172" s="672"/>
      <c r="BU172" s="609"/>
      <c r="BV172" s="608"/>
      <c r="BW172" s="608"/>
      <c r="BX172" s="608"/>
    </row>
    <row r="173" spans="2:76" ht="12.75" customHeight="1">
      <c r="C173" s="1739" t="s">
        <v>66</v>
      </c>
      <c r="D173" s="1621"/>
      <c r="E173" s="1623"/>
      <c r="F173" s="1743"/>
      <c r="G173" s="1423">
        <v>45.136661350916356</v>
      </c>
      <c r="H173" s="1654">
        <v>31.276324283685071</v>
      </c>
      <c r="I173" s="1654">
        <v>35.895895022321419</v>
      </c>
      <c r="J173" s="1655">
        <v>34.310879216720778</v>
      </c>
      <c r="K173" s="1423">
        <v>30.24114454975328</v>
      </c>
      <c r="L173" s="1654">
        <v>31.702068581574675</v>
      </c>
      <c r="M173" s="1654">
        <v>41.130466008522738</v>
      </c>
      <c r="N173" s="1655">
        <v>32.790118090503235</v>
      </c>
      <c r="O173" s="1423">
        <v>25.843621564529215</v>
      </c>
      <c r="P173" s="1654">
        <v>26.883430413961047</v>
      </c>
      <c r="Q173" s="1654">
        <v>32.092331157483542</v>
      </c>
      <c r="R173" s="1654">
        <v>35.354487767857144</v>
      </c>
      <c r="S173" s="1423">
        <v>38.341412275904609</v>
      </c>
      <c r="T173" s="1654">
        <v>53.221846702516224</v>
      </c>
      <c r="U173" s="1654">
        <v>43.118555716314944</v>
      </c>
      <c r="V173" s="1655">
        <v>47.006490310470774</v>
      </c>
      <c r="W173" s="1423">
        <v>54.453317212171072</v>
      </c>
      <c r="X173" s="1654">
        <v>43.800113599161243</v>
      </c>
      <c r="Y173" s="1654">
        <v>46.219888831825891</v>
      </c>
      <c r="Z173" s="1655">
        <v>42.75064843777055</v>
      </c>
      <c r="AA173" s="1423">
        <v>30.826490857906492</v>
      </c>
      <c r="AB173" s="1654">
        <v>36.661938962643021</v>
      </c>
      <c r="AC173" s="1654">
        <v>36.175045137228835</v>
      </c>
      <c r="AD173" s="1655">
        <v>31.309796634826355</v>
      </c>
      <c r="AE173" s="1423">
        <v>23.238426047889615</v>
      </c>
      <c r="AF173" s="1654">
        <v>25.958117773133125</v>
      </c>
      <c r="AG173" s="1654">
        <v>35.980332387929025</v>
      </c>
      <c r="AH173" s="1655">
        <v>36.942520320092108</v>
      </c>
      <c r="AI173" s="1423">
        <v>29.92399809991776</v>
      </c>
      <c r="AJ173" s="1656">
        <v>36.316399976055195</v>
      </c>
      <c r="AK173" s="1656">
        <v>47.946497504058435</v>
      </c>
      <c r="AL173" s="1657">
        <v>48.663296223684213</v>
      </c>
      <c r="AM173" s="1656">
        <v>34.379404778409103</v>
      </c>
      <c r="AN173" s="1656">
        <v>28.966666666666669</v>
      </c>
      <c r="AO173" s="1656">
        <v>44.1</v>
      </c>
      <c r="AP173" s="1657">
        <v>40.25</v>
      </c>
      <c r="AQ173" s="1656">
        <v>38.255538918101109</v>
      </c>
      <c r="AR173" s="1656">
        <v>29.023202192532711</v>
      </c>
      <c r="AS173" s="1656">
        <v>41.520011572445739</v>
      </c>
      <c r="AT173" s="1657">
        <v>42.017913983320447</v>
      </c>
      <c r="AU173" s="1656">
        <v>41.312092640925286</v>
      </c>
      <c r="AV173" s="1656">
        <v>31.342107616915317</v>
      </c>
      <c r="AW173" s="1656">
        <v>44.837391212950912</v>
      </c>
      <c r="AX173" s="1657">
        <v>45.375075195608474</v>
      </c>
      <c r="AY173" s="1656">
        <v>42.787524520994573</v>
      </c>
      <c r="AZ173" s="1656">
        <v>32.461468603261217</v>
      </c>
      <c r="BA173" s="1656">
        <v>46.438726613452779</v>
      </c>
      <c r="BB173" s="1673">
        <v>46.995613595491442</v>
      </c>
      <c r="BC173" s="646"/>
      <c r="BD173" s="646"/>
      <c r="BE173" s="655">
        <f t="shared" si="505"/>
        <v>36.654939968410901</v>
      </c>
      <c r="BF173" s="655">
        <f t="shared" si="506"/>
        <v>33.965949307588481</v>
      </c>
      <c r="BG173" s="655">
        <f t="shared" si="507"/>
        <v>30.04346772595774</v>
      </c>
      <c r="BH173" s="672">
        <f t="shared" si="508"/>
        <v>45.42207625130164</v>
      </c>
      <c r="BI173" s="672">
        <f t="shared" si="509"/>
        <v>46.805992020232196</v>
      </c>
      <c r="BJ173" s="672">
        <f t="shared" si="510"/>
        <v>33.743317898151176</v>
      </c>
      <c r="BK173" s="672">
        <f t="shared" si="511"/>
        <v>30.529849132260971</v>
      </c>
      <c r="BL173" s="672">
        <f t="shared" si="512"/>
        <v>40.712547950928908</v>
      </c>
      <c r="BM173" s="672">
        <f t="shared" si="516"/>
        <v>36.924017861268943</v>
      </c>
      <c r="BN173" s="672">
        <f t="shared" si="513"/>
        <v>37.704166666600003</v>
      </c>
      <c r="BO173" s="672">
        <f t="shared" si="514"/>
        <v>40.716666666599998</v>
      </c>
      <c r="BP173" s="672">
        <f t="shared" si="515"/>
        <v>42.170833333300003</v>
      </c>
      <c r="BQ173" s="637"/>
      <c r="BR173" s="677"/>
      <c r="BS173" s="672"/>
      <c r="BU173" s="609"/>
      <c r="BV173" s="608"/>
      <c r="BW173" s="608"/>
      <c r="BX173" s="608"/>
    </row>
    <row r="174" spans="2:76" ht="12.75" customHeight="1">
      <c r="C174" s="1739" t="s">
        <v>67</v>
      </c>
      <c r="D174" s="1621"/>
      <c r="E174" s="1621"/>
      <c r="F174" s="1743"/>
      <c r="G174" s="1423">
        <v>43.829666666666668</v>
      </c>
      <c r="H174" s="1654">
        <v>28.54564516129032</v>
      </c>
      <c r="I174" s="1654">
        <v>38.119531250000001</v>
      </c>
      <c r="J174" s="1655">
        <v>33.579047619047621</v>
      </c>
      <c r="K174" s="1423">
        <v>26.340468749999999</v>
      </c>
      <c r="L174" s="1654">
        <v>27.286249999999995</v>
      </c>
      <c r="M174" s="1654">
        <v>33.397500000000015</v>
      </c>
      <c r="N174" s="1655">
        <v>30.906093749999997</v>
      </c>
      <c r="O174" s="1423">
        <v>23.229218750000008</v>
      </c>
      <c r="P174" s="1654">
        <v>12.017692307692307</v>
      </c>
      <c r="Q174" s="1654">
        <v>26.9057142857143</v>
      </c>
      <c r="R174" s="1654">
        <v>29.446000000000005</v>
      </c>
      <c r="S174" s="1423">
        <v>30.320000000000007</v>
      </c>
      <c r="T174" s="1654">
        <v>33.439538461538454</v>
      </c>
      <c r="U174" s="1654">
        <v>42.477500000000006</v>
      </c>
      <c r="V174" s="1655">
        <v>43.603750000000005</v>
      </c>
      <c r="W174" s="1423">
        <v>47.446612903225798</v>
      </c>
      <c r="X174" s="1654">
        <v>33.838307692307687</v>
      </c>
      <c r="Y174" s="1654">
        <v>40.372878787878776</v>
      </c>
      <c r="Z174" s="1655">
        <v>32.739843750000006</v>
      </c>
      <c r="AA174" s="1423">
        <v>20.717049180327873</v>
      </c>
      <c r="AB174" s="1654">
        <v>28.650317460317464</v>
      </c>
      <c r="AC174" s="1654">
        <v>33.344531250000003</v>
      </c>
      <c r="AD174" s="1655">
        <v>21.909841269841273</v>
      </c>
      <c r="AE174" s="1423">
        <v>17.523114754098362</v>
      </c>
      <c r="AF174" s="1654">
        <v>16.668125</v>
      </c>
      <c r="AG174" s="1654">
        <v>32.027968749999999</v>
      </c>
      <c r="AH174" s="1655">
        <v>25.693387096774195</v>
      </c>
      <c r="AI174" s="1423">
        <v>23.318548387096779</v>
      </c>
      <c r="AJ174" s="1656">
        <v>16.274843750000002</v>
      </c>
      <c r="AK174" s="1656">
        <v>38.276507936507947</v>
      </c>
      <c r="AL174" s="1657">
        <v>27.148064516129033</v>
      </c>
      <c r="AM174" s="1656">
        <v>21.811311475409838</v>
      </c>
      <c r="AN174" s="1656">
        <v>13.183333333333332</v>
      </c>
      <c r="AO174" s="1656">
        <v>28.649999999999995</v>
      </c>
      <c r="AP174" s="1657">
        <v>23.75</v>
      </c>
      <c r="AQ174" s="1656">
        <v>27.40712890369376</v>
      </c>
      <c r="AR174" s="1656">
        <v>18.328876562466629</v>
      </c>
      <c r="AS174" s="1656">
        <v>32.290998834121375</v>
      </c>
      <c r="AT174" s="1657">
        <v>22.389662366118252</v>
      </c>
      <c r="AU174" s="1656">
        <v>30.859744810408912</v>
      </c>
      <c r="AV174" s="1656">
        <v>20.637858688765235</v>
      </c>
      <c r="AW174" s="1656">
        <v>36.358860761949288</v>
      </c>
      <c r="AX174" s="1657">
        <v>25.210202405276569</v>
      </c>
      <c r="AY174" s="1656">
        <v>33.047766221683759</v>
      </c>
      <c r="AZ174" s="1656">
        <v>22.101126676601996</v>
      </c>
      <c r="BA174" s="1656">
        <v>38.936781166847538</v>
      </c>
      <c r="BB174" s="1673">
        <v>26.997659268066712</v>
      </c>
      <c r="BC174" s="646"/>
      <c r="BD174" s="646"/>
      <c r="BE174" s="655">
        <f t="shared" si="505"/>
        <v>36.018472674251157</v>
      </c>
      <c r="BF174" s="655">
        <f t="shared" si="506"/>
        <v>29.482578125000003</v>
      </c>
      <c r="BG174" s="655">
        <f t="shared" si="507"/>
        <v>22.899656335851652</v>
      </c>
      <c r="BH174" s="672">
        <f t="shared" si="508"/>
        <v>37.460197115384616</v>
      </c>
      <c r="BI174" s="672">
        <f t="shared" si="509"/>
        <v>38.599410783353065</v>
      </c>
      <c r="BJ174" s="672">
        <f t="shared" si="510"/>
        <v>26.155434790121653</v>
      </c>
      <c r="BK174" s="672">
        <f t="shared" si="511"/>
        <v>22.978148900218137</v>
      </c>
      <c r="BL174" s="672">
        <f t="shared" si="512"/>
        <v>26.254491147433441</v>
      </c>
      <c r="BM174" s="672">
        <f t="shared" si="516"/>
        <v>21.848661202185792</v>
      </c>
      <c r="BN174" s="672">
        <f t="shared" si="513"/>
        <v>25.104166666600001</v>
      </c>
      <c r="BO174" s="672">
        <f t="shared" si="514"/>
        <v>28.266666666600003</v>
      </c>
      <c r="BP174" s="672">
        <f t="shared" si="515"/>
        <v>30.270833333300001</v>
      </c>
      <c r="BQ174" s="637"/>
      <c r="BR174" s="677"/>
      <c r="BS174" s="672"/>
      <c r="BU174" s="609"/>
      <c r="BV174" s="608"/>
      <c r="BW174" s="608"/>
      <c r="BX174" s="608"/>
    </row>
    <row r="175" spans="2:76" ht="12.75" customHeight="1">
      <c r="C175" s="1739"/>
      <c r="D175" s="1621"/>
      <c r="E175" s="1621"/>
      <c r="F175" s="1745"/>
      <c r="G175" s="1423">
        <v>0</v>
      </c>
      <c r="H175" s="1654">
        <v>0</v>
      </c>
      <c r="I175" s="1654">
        <v>0</v>
      </c>
      <c r="J175" s="1655">
        <v>26.057656249999997</v>
      </c>
      <c r="K175" s="1423">
        <v>44.045515136718748</v>
      </c>
      <c r="L175" s="1654">
        <v>32.527326660156241</v>
      </c>
      <c r="M175" s="1654">
        <v>107.99931884765626</v>
      </c>
      <c r="N175" s="1655">
        <v>25.141532738095243</v>
      </c>
      <c r="O175" s="1423">
        <v>22.386582031250001</v>
      </c>
      <c r="P175" s="1654">
        <v>30.746459960937493</v>
      </c>
      <c r="Q175" s="1654">
        <v>32.112728174603177</v>
      </c>
      <c r="R175" s="1654">
        <v>28.814428710937499</v>
      </c>
      <c r="S175" s="1423">
        <v>26.779603174603171</v>
      </c>
      <c r="T175" s="1656">
        <v>33.793859863281241</v>
      </c>
      <c r="U175" s="1656">
        <v>38.988039550781245</v>
      </c>
      <c r="V175" s="1657">
        <v>36.511301269531252</v>
      </c>
      <c r="W175" s="1656">
        <v>60.688715277777789</v>
      </c>
      <c r="X175" s="1656">
        <v>40.715671386718761</v>
      </c>
      <c r="Y175" s="1656">
        <v>37.175153808593763</v>
      </c>
      <c r="Z175" s="1657">
        <v>34.137402343750011</v>
      </c>
      <c r="AA175" s="1656">
        <v>26.590034722222224</v>
      </c>
      <c r="AB175" s="1656">
        <v>28.270329589843762</v>
      </c>
      <c r="AC175" s="1656">
        <v>35.146574519230789</v>
      </c>
      <c r="AD175" s="1657">
        <v>20.522995605468758</v>
      </c>
      <c r="AE175" s="1656">
        <v>18.654545898437501</v>
      </c>
      <c r="AF175" s="1656">
        <v>20.813508300781255</v>
      </c>
      <c r="AG175" s="1656">
        <v>30.13850830078125</v>
      </c>
      <c r="AH175" s="1657">
        <v>26.087876984126982</v>
      </c>
      <c r="AI175" s="1656">
        <v>21.219472656250005</v>
      </c>
      <c r="AJ175" s="1656">
        <v>26.678684082031253</v>
      </c>
      <c r="AK175" s="1656">
        <v>28.632579365079362</v>
      </c>
      <c r="AL175" s="1657">
        <v>23.46141865079365</v>
      </c>
      <c r="AM175" s="1656">
        <v>30.740278320312502</v>
      </c>
      <c r="AN175" s="1656">
        <v>33.448666666666668</v>
      </c>
      <c r="AO175" s="1656">
        <v>117.70445000000001</v>
      </c>
      <c r="AP175" s="1657">
        <v>24.139100000000003</v>
      </c>
      <c r="AQ175" s="1656">
        <v>21.658071060828828</v>
      </c>
      <c r="AR175" s="1656">
        <v>22.479432962685426</v>
      </c>
      <c r="AS175" s="1656">
        <v>68.504257165159913</v>
      </c>
      <c r="AT175" s="1657">
        <v>41.785622144525846</v>
      </c>
      <c r="AU175" s="1656">
        <v>19.257985044248056</v>
      </c>
      <c r="AV175" s="1656">
        <v>19.988325949375007</v>
      </c>
      <c r="AW175" s="1656">
        <v>60.912809651825292</v>
      </c>
      <c r="AX175" s="1657">
        <v>37.155057994951648</v>
      </c>
      <c r="AY175" s="1656">
        <v>17.900765357978706</v>
      </c>
      <c r="AZ175" s="1656">
        <v>18.579634987588069</v>
      </c>
      <c r="BA175" s="1656">
        <v>56.619937670904982</v>
      </c>
      <c r="BB175" s="1673">
        <v>34.536529834328249</v>
      </c>
      <c r="BC175" s="646"/>
      <c r="BD175" s="646"/>
      <c r="BE175" s="655"/>
      <c r="BF175" s="655"/>
      <c r="BG175" s="655"/>
      <c r="BH175" s="672"/>
      <c r="BI175" s="672"/>
      <c r="BJ175" s="672"/>
      <c r="BK175" s="672"/>
      <c r="BL175" s="672"/>
      <c r="BM175" s="672"/>
      <c r="BN175" s="672"/>
      <c r="BO175" s="672"/>
      <c r="BP175" s="672"/>
      <c r="BQ175" s="637"/>
      <c r="BR175" s="682"/>
      <c r="BU175" s="609"/>
      <c r="BV175" s="608"/>
      <c r="BW175" s="608"/>
      <c r="BX175" s="608"/>
    </row>
    <row r="176" spans="2:76" ht="12.75" customHeight="1">
      <c r="B176" s="721"/>
      <c r="C176" s="1746" t="s">
        <v>721</v>
      </c>
      <c r="D176" s="1626"/>
      <c r="E176" s="1626"/>
      <c r="F176" s="1747"/>
      <c r="G176" s="1642"/>
      <c r="H176" s="1649"/>
      <c r="I176" s="1649"/>
      <c r="J176" s="1650"/>
      <c r="K176" s="1642"/>
      <c r="L176" s="1649"/>
      <c r="M176" s="1649"/>
      <c r="N176" s="1650"/>
      <c r="O176" s="1642"/>
      <c r="P176" s="1649"/>
      <c r="Q176" s="1649"/>
      <c r="R176" s="1649"/>
      <c r="S176" s="1985"/>
      <c r="T176" s="1658"/>
      <c r="U176" s="1658"/>
      <c r="V176" s="1659"/>
      <c r="W176" s="1658"/>
      <c r="X176" s="1658"/>
      <c r="Y176" s="1658"/>
      <c r="Z176" s="1659"/>
      <c r="AA176" s="1658"/>
      <c r="AB176" s="1660"/>
      <c r="AC176" s="1660"/>
      <c r="AD176" s="1661"/>
      <c r="AE176" s="1658"/>
      <c r="AF176" s="1660"/>
      <c r="AG176" s="1660"/>
      <c r="AH176" s="1661"/>
      <c r="AI176" s="1658"/>
      <c r="AJ176" s="1660"/>
      <c r="AK176" s="1660"/>
      <c r="AL176" s="1661"/>
      <c r="AM176" s="1660"/>
      <c r="AN176" s="1660"/>
      <c r="AO176" s="1660"/>
      <c r="AP176" s="1661"/>
      <c r="AQ176" s="1660"/>
      <c r="AR176" s="1660"/>
      <c r="AS176" s="1660"/>
      <c r="AT176" s="1661"/>
      <c r="AU176" s="1660"/>
      <c r="AV176" s="1660"/>
      <c r="AW176" s="1660"/>
      <c r="AX176" s="1661"/>
      <c r="AY176" s="1660"/>
      <c r="AZ176" s="1660"/>
      <c r="BA176" s="1660"/>
      <c r="BB176" s="1730"/>
      <c r="BC176" s="669"/>
      <c r="BD176" s="670"/>
      <c r="BE176" s="671"/>
      <c r="BF176" s="671"/>
      <c r="BG176" s="671"/>
      <c r="BH176" s="671"/>
      <c r="BI176" s="671"/>
      <c r="BJ176" s="1463"/>
      <c r="BK176" s="671"/>
      <c r="BL176" s="671"/>
      <c r="BM176" s="671"/>
      <c r="BN176" s="671"/>
      <c r="BO176" s="671"/>
      <c r="BP176" s="671"/>
      <c r="BQ176" s="637"/>
      <c r="BR176" s="682"/>
      <c r="BU176" s="609"/>
      <c r="BV176" s="608"/>
      <c r="BW176" s="608"/>
      <c r="BX176" s="608"/>
    </row>
    <row r="177" spans="2:76" ht="12.75" customHeight="1">
      <c r="B177" s="721"/>
      <c r="C177" s="1739" t="s">
        <v>238</v>
      </c>
      <c r="D177" s="1621"/>
      <c r="E177" s="1621"/>
      <c r="F177" s="1743"/>
      <c r="G177" s="1423">
        <v>44.804086956521751</v>
      </c>
      <c r="H177" s="1654">
        <v>38.409404761904753</v>
      </c>
      <c r="I177" s="1654">
        <v>41.222355072463778</v>
      </c>
      <c r="J177" s="1655">
        <v>42.090868115942037</v>
      </c>
      <c r="K177" s="1423">
        <v>51.30131863929148</v>
      </c>
      <c r="L177" s="1654">
        <v>37.850595238095231</v>
      </c>
      <c r="M177" s="1654">
        <v>39.460384963768135</v>
      </c>
      <c r="N177" s="1655">
        <v>32.516622101449258</v>
      </c>
      <c r="O177" s="1423">
        <v>27.601070632266282</v>
      </c>
      <c r="P177" s="1654">
        <v>22.926753663003662</v>
      </c>
      <c r="Q177" s="1654">
        <v>30.926911231884059</v>
      </c>
      <c r="R177" s="1654">
        <v>38.427999456521725</v>
      </c>
      <c r="S177" s="1423">
        <v>72.617844806763287</v>
      </c>
      <c r="T177" s="1654">
        <v>34.133154761904763</v>
      </c>
      <c r="U177" s="1654">
        <v>30.454148550724629</v>
      </c>
      <c r="V177" s="1655">
        <v>51.12213387681161</v>
      </c>
      <c r="W177" s="1654">
        <v>125.17613546698865</v>
      </c>
      <c r="X177" s="1654">
        <v>32.324491758241756</v>
      </c>
      <c r="Y177" s="1654">
        <v>26.776259057971</v>
      </c>
      <c r="Z177" s="1655">
        <v>31.050057065217377</v>
      </c>
      <c r="AA177" s="1654">
        <v>74.709404790660244</v>
      </c>
      <c r="AB177" s="1654">
        <v>18.747051282051284</v>
      </c>
      <c r="AC177" s="1654">
        <v>22.344044384057977</v>
      </c>
      <c r="AD177" s="1655">
        <v>20.198206884057964</v>
      </c>
      <c r="AE177" s="1654">
        <v>22.403306059882148</v>
      </c>
      <c r="AF177" s="1654">
        <v>18.611707875457874</v>
      </c>
      <c r="AG177" s="1654">
        <v>21.732721920289862</v>
      </c>
      <c r="AH177" s="1655">
        <v>28.745413949275392</v>
      </c>
      <c r="AI177" s="1654">
        <v>30.265937600644122</v>
      </c>
      <c r="AJ177" s="1656">
        <v>22.968333333333337</v>
      </c>
      <c r="AK177" s="1656">
        <v>19.421938405797103</v>
      </c>
      <c r="AL177" s="1657">
        <v>41.756125543478241</v>
      </c>
      <c r="AM177" s="1656">
        <v>55.496529991948492</v>
      </c>
      <c r="AN177" s="1656">
        <v>24.166666666666668</v>
      </c>
      <c r="AO177" s="1656">
        <v>23.3</v>
      </c>
      <c r="AP177" s="1657">
        <v>33.699999999999996</v>
      </c>
      <c r="AQ177" s="1656">
        <v>56.863680246618699</v>
      </c>
      <c r="AR177" s="1656">
        <v>22.402357917897525</v>
      </c>
      <c r="AS177" s="1656">
        <v>23.701528116853666</v>
      </c>
      <c r="AT177" s="1657">
        <v>32.932400385030085</v>
      </c>
      <c r="AU177" s="1656">
        <v>56.696324969164479</v>
      </c>
      <c r="AV177" s="1656">
        <v>22.336425624934453</v>
      </c>
      <c r="AW177" s="1656">
        <v>23.631772241101658</v>
      </c>
      <c r="AX177" s="1657">
        <v>32.8354771647994</v>
      </c>
      <c r="AY177" s="1656">
        <v>57.030965787007425</v>
      </c>
      <c r="AZ177" s="1656">
        <v>22.468262736826301</v>
      </c>
      <c r="BA177" s="1656">
        <v>23.771254925281653</v>
      </c>
      <c r="BB177" s="1673">
        <v>33.0292832172846</v>
      </c>
      <c r="BC177" s="646"/>
      <c r="BD177" s="646"/>
      <c r="BE177" s="655">
        <f t="shared" ref="BE177:BE192" si="517">AVERAGE(G177:J177)</f>
        <v>41.631678726708081</v>
      </c>
      <c r="BF177" s="655">
        <f t="shared" ref="BF177:BF192" si="518">AVERAGE(K177:N177)</f>
        <v>40.282230235651021</v>
      </c>
      <c r="BG177" s="655">
        <f t="shared" ref="BG177:BG192" si="519">AVERAGE(O177:R177)</f>
        <v>29.970683745918933</v>
      </c>
      <c r="BH177" s="655">
        <f t="shared" ref="BH177:BH192" si="520">AVERAGE(S177:V177)</f>
        <v>47.081820499051069</v>
      </c>
      <c r="BI177" s="655">
        <f t="shared" ref="BI177:BI192" si="521">AVERAGE(W177:Z177)</f>
        <v>53.831735837104695</v>
      </c>
      <c r="BJ177" s="655">
        <f t="shared" ref="BJ177:BJ192" si="522">AVERAGE(AA177:AD177)</f>
        <v>33.99967683520687</v>
      </c>
      <c r="BK177" s="672">
        <f t="shared" ref="BK177:BK192" si="523">AVERAGE(AE177:AH177)</f>
        <v>22.873287451226318</v>
      </c>
      <c r="BL177" s="672">
        <f t="shared" ref="BL177:BL192" si="524">AVERAGE(AI177:AL177)</f>
        <v>28.603083720813203</v>
      </c>
      <c r="BM177" s="672">
        <f t="shared" ref="BM177:BM192" si="525">AVERAGE(AM177:AP177)</f>
        <v>34.165799164653791</v>
      </c>
      <c r="BN177" s="672">
        <f t="shared" ref="BN177:BN192" si="526">AVERAGE(AQ177:AT177)</f>
        <v>33.974991666599998</v>
      </c>
      <c r="BO177" s="672">
        <f t="shared" ref="BO177:BO192" si="527">AVERAGE(AU177:AX177)</f>
        <v>33.875</v>
      </c>
      <c r="BP177" s="672">
        <f t="shared" ref="BP177:BP192" si="528">AVERAGE(AY177:BB177)</f>
        <v>34.074941666599997</v>
      </c>
      <c r="BQ177" s="637"/>
      <c r="BR177" s="684"/>
      <c r="BS177" s="685"/>
      <c r="BU177" s="609"/>
      <c r="BV177" s="608"/>
      <c r="BW177" s="608"/>
      <c r="BX177" s="608"/>
    </row>
    <row r="178" spans="2:76" ht="12.75" customHeight="1">
      <c r="B178" s="721"/>
      <c r="C178" s="1739" t="s">
        <v>859</v>
      </c>
      <c r="D178" s="1621"/>
      <c r="E178" s="1621"/>
      <c r="F178" s="1743"/>
      <c r="G178" s="1423">
        <v>30.611880233494375</v>
      </c>
      <c r="H178" s="1654">
        <v>32.835989010988996</v>
      </c>
      <c r="I178" s="1654">
        <v>38.537432065217374</v>
      </c>
      <c r="J178" s="1655">
        <v>34.208417028985515</v>
      </c>
      <c r="K178" s="1423">
        <v>35.779313405797105</v>
      </c>
      <c r="L178" s="1654">
        <v>31.184803113553112</v>
      </c>
      <c r="M178" s="1654">
        <v>33.652490942028983</v>
      </c>
      <c r="N178" s="1655">
        <v>27.712640036231885</v>
      </c>
      <c r="O178" s="1423">
        <v>23.968829033285562</v>
      </c>
      <c r="P178" s="1654">
        <v>20.569913003663</v>
      </c>
      <c r="Q178" s="1654">
        <v>27.271308876811592</v>
      </c>
      <c r="R178" s="1654">
        <v>30.6151650362319</v>
      </c>
      <c r="S178" s="1423">
        <v>35.609952294685982</v>
      </c>
      <c r="T178" s="1654">
        <v>28.352330586080591</v>
      </c>
      <c r="U178" s="1654">
        <v>26.087404891304349</v>
      </c>
      <c r="V178" s="1655">
        <v>29.252230615942018</v>
      </c>
      <c r="W178" s="1654">
        <v>74.738565619967801</v>
      </c>
      <c r="X178" s="1654">
        <v>27.261304945054935</v>
      </c>
      <c r="Y178" s="1654">
        <v>23.849180253623189</v>
      </c>
      <c r="Z178" s="1655">
        <v>21.799227355072471</v>
      </c>
      <c r="AA178" s="1654">
        <v>37.643325281803556</v>
      </c>
      <c r="AB178" s="1654">
        <v>18.227133699633701</v>
      </c>
      <c r="AC178" s="1654">
        <v>20.449230072463759</v>
      </c>
      <c r="AD178" s="1655">
        <v>14.298236956521748</v>
      </c>
      <c r="AE178" s="1654">
        <v>13.624288899506292</v>
      </c>
      <c r="AF178" s="1654">
        <v>15.5952152014652</v>
      </c>
      <c r="AG178" s="1654">
        <v>19.290855978260876</v>
      </c>
      <c r="AH178" s="1655">
        <v>17.244110869565226</v>
      </c>
      <c r="AI178" s="1654">
        <v>19.385393719806771</v>
      </c>
      <c r="AJ178" s="1656">
        <v>14.500613553113546</v>
      </c>
      <c r="AK178" s="1656">
        <v>17.318980978260868</v>
      </c>
      <c r="AL178" s="1657">
        <v>19.652653804347828</v>
      </c>
      <c r="AM178" s="1656">
        <v>32.735488727858289</v>
      </c>
      <c r="AN178" s="1656">
        <v>32.93333333333333</v>
      </c>
      <c r="AO178" s="1656">
        <v>29.3</v>
      </c>
      <c r="AP178" s="1657">
        <v>33.083333333333336</v>
      </c>
      <c r="AQ178" s="1656">
        <v>50.208915257706202</v>
      </c>
      <c r="AR178" s="1656">
        <v>32.014743875122768</v>
      </c>
      <c r="AS178" s="1656">
        <v>27.396223447236203</v>
      </c>
      <c r="AT178" s="1657">
        <v>24.304750753134826</v>
      </c>
      <c r="AU178" s="1656">
        <v>49.683624405377643</v>
      </c>
      <c r="AV178" s="1656">
        <v>31.679802321198988</v>
      </c>
      <c r="AW178" s="1656">
        <v>27.109601330599784</v>
      </c>
      <c r="AX178" s="1657">
        <v>24.050471942823588</v>
      </c>
      <c r="AY178" s="1656">
        <v>49.75851777917272</v>
      </c>
      <c r="AZ178" s="1656">
        <v>31.727556632712918</v>
      </c>
      <c r="BA178" s="1656">
        <v>27.150466495534658</v>
      </c>
      <c r="BB178" s="1673">
        <v>24.0867257589797</v>
      </c>
      <c r="BC178" s="646"/>
      <c r="BD178" s="646"/>
      <c r="BE178" s="655">
        <f t="shared" si="517"/>
        <v>34.048429584671567</v>
      </c>
      <c r="BF178" s="655">
        <f t="shared" si="518"/>
        <v>32.08231187440277</v>
      </c>
      <c r="BG178" s="655">
        <f t="shared" si="519"/>
        <v>25.606303987498013</v>
      </c>
      <c r="BH178" s="655">
        <f t="shared" si="520"/>
        <v>29.825479597003238</v>
      </c>
      <c r="BI178" s="655">
        <f t="shared" si="521"/>
        <v>36.912069543429595</v>
      </c>
      <c r="BJ178" s="655">
        <f t="shared" si="522"/>
        <v>22.654481502605691</v>
      </c>
      <c r="BK178" s="672">
        <f t="shared" si="523"/>
        <v>16.438617737199401</v>
      </c>
      <c r="BL178" s="672">
        <f t="shared" si="524"/>
        <v>17.714410513882253</v>
      </c>
      <c r="BM178" s="672">
        <f t="shared" si="525"/>
        <v>32.01303884863124</v>
      </c>
      <c r="BN178" s="672">
        <f t="shared" si="526"/>
        <v>33.481158333300002</v>
      </c>
      <c r="BO178" s="672">
        <f t="shared" si="527"/>
        <v>33.130875000000003</v>
      </c>
      <c r="BP178" s="672">
        <f t="shared" si="528"/>
        <v>33.180816666600002</v>
      </c>
      <c r="BQ178" s="637"/>
      <c r="BR178" s="684"/>
      <c r="BS178" s="685"/>
      <c r="BU178" s="609"/>
      <c r="BV178" s="608"/>
      <c r="BW178" s="608"/>
      <c r="BX178" s="608"/>
    </row>
    <row r="179" spans="2:76" ht="12.75" customHeight="1">
      <c r="B179" s="721"/>
      <c r="C179" s="1739" t="s">
        <v>857</v>
      </c>
      <c r="D179" s="1621"/>
      <c r="E179" s="1621"/>
      <c r="F179" s="1743"/>
      <c r="G179" s="1423">
        <v>42.842352657004845</v>
      </c>
      <c r="H179" s="1654">
        <v>38.993859890109889</v>
      </c>
      <c r="I179" s="1654">
        <v>43.926820652173916</v>
      </c>
      <c r="J179" s="1655">
        <v>40.879857427536237</v>
      </c>
      <c r="K179" s="1423">
        <v>49.229429347826084</v>
      </c>
      <c r="L179" s="1654">
        <v>35.886799450549439</v>
      </c>
      <c r="M179" s="1654">
        <v>39.740421195652168</v>
      </c>
      <c r="N179" s="1655">
        <v>30.484731521739121</v>
      </c>
      <c r="O179" s="1423">
        <v>27.569314580347193</v>
      </c>
      <c r="P179" s="1654">
        <v>22.281291208791199</v>
      </c>
      <c r="Q179" s="1654">
        <v>30.822210144927531</v>
      </c>
      <c r="R179" s="1654">
        <v>36.205649818840577</v>
      </c>
      <c r="S179" s="1423">
        <v>56.707361111111105</v>
      </c>
      <c r="T179" s="1654">
        <v>33.444134615384613</v>
      </c>
      <c r="U179" s="1654">
        <v>31.241820652173907</v>
      </c>
      <c r="V179" s="1655">
        <v>36.510255434782614</v>
      </c>
      <c r="W179" s="1654">
        <v>104.25991747181963</v>
      </c>
      <c r="X179" s="1654">
        <v>30.387303113553116</v>
      </c>
      <c r="Y179" s="1654">
        <v>25.834510869565232</v>
      </c>
      <c r="Z179" s="1655">
        <v>26.259342210144922</v>
      </c>
      <c r="AA179" s="1654">
        <v>58.731627415458931</v>
      </c>
      <c r="AB179" s="1654">
        <v>19.32760989010988</v>
      </c>
      <c r="AC179" s="1654">
        <v>22.11728713768116</v>
      </c>
      <c r="AD179" s="1655">
        <v>17.28061014492754</v>
      </c>
      <c r="AE179" s="1654">
        <v>20.397999084249086</v>
      </c>
      <c r="AF179" s="1654">
        <v>19.320544871794873</v>
      </c>
      <c r="AG179" s="1654">
        <v>22.198464673913044</v>
      </c>
      <c r="AH179" s="1655">
        <v>25.744134963768118</v>
      </c>
      <c r="AI179" s="1654">
        <v>29.326884259259263</v>
      </c>
      <c r="AJ179" s="1656">
        <v>21.279184981684978</v>
      </c>
      <c r="AK179" s="1656">
        <v>19.207495471014489</v>
      </c>
      <c r="AL179" s="1657">
        <v>28.660226630434785</v>
      </c>
      <c r="AM179" s="1656">
        <v>44.676771739130423</v>
      </c>
      <c r="AN179" s="1656">
        <v>38.200000000000003</v>
      </c>
      <c r="AO179" s="1656">
        <v>32.6</v>
      </c>
      <c r="AP179" s="1657">
        <v>41.800000000000004</v>
      </c>
      <c r="AQ179" s="1656">
        <v>67.7166668198211</v>
      </c>
      <c r="AR179" s="1656">
        <v>38.042079509049643</v>
      </c>
      <c r="AS179" s="1656">
        <v>31.175086966580828</v>
      </c>
      <c r="AT179" s="1657">
        <v>28.982800037748426</v>
      </c>
      <c r="AU179" s="1656">
        <v>68.226851296430993</v>
      </c>
      <c r="AV179" s="1656">
        <v>38.328692529668608</v>
      </c>
      <c r="AW179" s="1656">
        <v>31.409963344498731</v>
      </c>
      <c r="AX179" s="1657">
        <v>29.201159495801665</v>
      </c>
      <c r="AY179" s="1656">
        <v>68.716520101812705</v>
      </c>
      <c r="AZ179" s="1656">
        <v>38.603780192754527</v>
      </c>
      <c r="BA179" s="1656">
        <v>31.635394812252667</v>
      </c>
      <c r="BB179" s="1673">
        <v>29.410738226380104</v>
      </c>
      <c r="BC179" s="646"/>
      <c r="BD179" s="646"/>
      <c r="BE179" s="655">
        <f t="shared" si="517"/>
        <v>41.660722656706227</v>
      </c>
      <c r="BF179" s="655">
        <f t="shared" si="518"/>
        <v>38.835345378941703</v>
      </c>
      <c r="BG179" s="655">
        <f t="shared" si="519"/>
        <v>29.219616438226623</v>
      </c>
      <c r="BH179" s="655">
        <f t="shared" si="520"/>
        <v>39.475892953363058</v>
      </c>
      <c r="BI179" s="655">
        <f t="shared" si="521"/>
        <v>46.685268416270723</v>
      </c>
      <c r="BJ179" s="655">
        <f>AVERAGE(AA179:AD179)</f>
        <v>29.364283647044378</v>
      </c>
      <c r="BK179" s="672">
        <f t="shared" si="523"/>
        <v>21.915285898431279</v>
      </c>
      <c r="BL179" s="672">
        <f>AVERAGE(AI179:AL179)</f>
        <v>24.618447835598374</v>
      </c>
      <c r="BM179" s="672">
        <f t="shared" si="525"/>
        <v>39.319192934782606</v>
      </c>
      <c r="BN179" s="672">
        <f t="shared" si="526"/>
        <v>41.479158333299999</v>
      </c>
      <c r="BO179" s="672">
        <f t="shared" si="527"/>
        <v>41.791666666600001</v>
      </c>
      <c r="BP179" s="672">
        <f t="shared" si="528"/>
        <v>42.091608333300002</v>
      </c>
      <c r="BQ179" s="637"/>
      <c r="BR179" s="684"/>
      <c r="BS179" s="685"/>
      <c r="BU179" s="609"/>
      <c r="BV179" s="608"/>
      <c r="BW179" s="608"/>
      <c r="BX179" s="608"/>
    </row>
    <row r="180" spans="2:76" ht="12.75" customHeight="1">
      <c r="B180" s="721"/>
      <c r="C180" s="1744" t="s">
        <v>858</v>
      </c>
      <c r="D180" s="1621"/>
      <c r="E180" s="1621"/>
      <c r="F180" s="1743"/>
      <c r="G180" s="1423">
        <v>43.763039855072456</v>
      </c>
      <c r="H180" s="1654">
        <v>41.705434981684988</v>
      </c>
      <c r="I180" s="1654">
        <v>47.003220108695643</v>
      </c>
      <c r="J180" s="1655">
        <v>41.219209057971007</v>
      </c>
      <c r="K180" s="1423">
        <v>51.080749798711743</v>
      </c>
      <c r="L180" s="1654">
        <v>37.080599816849826</v>
      </c>
      <c r="M180" s="1654">
        <v>42.037432065217381</v>
      </c>
      <c r="N180" s="1655">
        <v>30.768373369565197</v>
      </c>
      <c r="O180" s="1423">
        <v>28.248588549132045</v>
      </c>
      <c r="P180" s="1654">
        <v>22.741620879120877</v>
      </c>
      <c r="Q180" s="1654">
        <v>32.049044384057972</v>
      </c>
      <c r="R180" s="1654">
        <v>36.959637137681163</v>
      </c>
      <c r="S180" s="1423">
        <v>58.074166062801964</v>
      </c>
      <c r="T180" s="1654">
        <v>34.010100732600726</v>
      </c>
      <c r="U180" s="1654">
        <v>33.497015398550722</v>
      </c>
      <c r="V180" s="1655">
        <v>35.902980434782606</v>
      </c>
      <c r="W180" s="1654">
        <v>104.53095511272141</v>
      </c>
      <c r="X180" s="1654">
        <v>30.633470695970686</v>
      </c>
      <c r="Y180" s="1654">
        <v>26.27728260869565</v>
      </c>
      <c r="Z180" s="1655">
        <v>26.346719927536238</v>
      </c>
      <c r="AA180" s="1654">
        <v>59.086149154589357</v>
      </c>
      <c r="AB180" s="1654">
        <v>19.830306776556778</v>
      </c>
      <c r="AC180" s="1654">
        <v>23.797971014492759</v>
      </c>
      <c r="AD180" s="1655">
        <v>17.491895833333331</v>
      </c>
      <c r="AE180" s="1654">
        <v>21.25929785793916</v>
      </c>
      <c r="AF180" s="1654">
        <v>20.53872252747253</v>
      </c>
      <c r="AG180" s="1654">
        <v>24.140729166666659</v>
      </c>
      <c r="AH180" s="1655">
        <v>25.848853442028986</v>
      </c>
      <c r="AI180" s="1654">
        <v>29.471096215781014</v>
      </c>
      <c r="AJ180" s="1656">
        <v>22.852271062271065</v>
      </c>
      <c r="AK180" s="1656">
        <v>20.054769021739126</v>
      </c>
      <c r="AL180" s="1657">
        <v>29.040597463768133</v>
      </c>
      <c r="AM180" s="1656">
        <v>46.970595410628015</v>
      </c>
      <c r="AN180" s="1656">
        <v>39.85</v>
      </c>
      <c r="AO180" s="1656">
        <v>34.283333333333331</v>
      </c>
      <c r="AP180" s="1657">
        <v>43.066666666666663</v>
      </c>
      <c r="AQ180" s="1656">
        <v>70.748332973984347</v>
      </c>
      <c r="AR180" s="1656">
        <v>40.060601265759729</v>
      </c>
      <c r="AS180" s="1656">
        <v>33.256854743843881</v>
      </c>
      <c r="AT180" s="1657">
        <v>29.784177682812054</v>
      </c>
      <c r="AU180" s="1656">
        <v>71.419814884174826</v>
      </c>
      <c r="AV180" s="1656">
        <v>40.440821801432321</v>
      </c>
      <c r="AW180" s="1656">
        <v>33.572500009415513</v>
      </c>
      <c r="AX180" s="1657">
        <v>30.066863304977336</v>
      </c>
      <c r="AY180" s="1656">
        <v>72.233620953267874</v>
      </c>
      <c r="AZ180" s="1656">
        <v>40.901632100009685</v>
      </c>
      <c r="BA180" s="1656">
        <v>33.955047966261908</v>
      </c>
      <c r="BB180" s="1673">
        <v>30.409465646860522</v>
      </c>
      <c r="BC180" s="646"/>
      <c r="BD180" s="646"/>
      <c r="BE180" s="655">
        <f t="shared" si="517"/>
        <v>43.422726000856024</v>
      </c>
      <c r="BF180" s="655">
        <f t="shared" si="518"/>
        <v>40.24178876258604</v>
      </c>
      <c r="BG180" s="655">
        <f t="shared" si="519"/>
        <v>29.999722737498018</v>
      </c>
      <c r="BH180" s="655">
        <f t="shared" si="520"/>
        <v>40.371065657184005</v>
      </c>
      <c r="BI180" s="655">
        <f t="shared" si="521"/>
        <v>46.947107086231</v>
      </c>
      <c r="BJ180" s="655">
        <f t="shared" si="522"/>
        <v>30.051580694743055</v>
      </c>
      <c r="BK180" s="672">
        <f t="shared" si="523"/>
        <v>22.946900748526833</v>
      </c>
      <c r="BL180" s="672">
        <f t="shared" si="524"/>
        <v>25.354683440889836</v>
      </c>
      <c r="BM180" s="672">
        <f t="shared" si="525"/>
        <v>41.042648852657003</v>
      </c>
      <c r="BN180" s="672">
        <f t="shared" si="526"/>
        <v>43.462491666600002</v>
      </c>
      <c r="BO180" s="672">
        <f t="shared" si="527"/>
        <v>43.875</v>
      </c>
      <c r="BP180" s="672">
        <f t="shared" si="528"/>
        <v>44.374941666599995</v>
      </c>
      <c r="BQ180" s="637"/>
      <c r="BR180" s="684"/>
      <c r="BS180" s="685"/>
      <c r="BU180" s="609"/>
      <c r="BV180" s="608"/>
      <c r="BW180" s="608"/>
      <c r="BX180" s="608"/>
    </row>
    <row r="181" spans="2:76" ht="12.75" customHeight="1">
      <c r="B181" s="721"/>
      <c r="C181" s="1744" t="s">
        <v>854</v>
      </c>
      <c r="D181" s="1621"/>
      <c r="E181" s="1621"/>
      <c r="F181" s="1743"/>
      <c r="G181" s="1423">
        <v>39.448182602375198</v>
      </c>
      <c r="H181" s="1654">
        <v>32.95930132783883</v>
      </c>
      <c r="I181" s="1654">
        <v>37.786714411684756</v>
      </c>
      <c r="J181" s="1655">
        <v>38.127121226902197</v>
      </c>
      <c r="K181" s="1423">
        <v>40.858928955797097</v>
      </c>
      <c r="L181" s="1654">
        <v>33.916098321428571</v>
      </c>
      <c r="M181" s="1654">
        <v>34.068597563405802</v>
      </c>
      <c r="N181" s="1655">
        <v>31.114616296105076</v>
      </c>
      <c r="O181" s="1423">
        <v>27.303063772177097</v>
      </c>
      <c r="P181" s="1654">
        <v>22.034301452838829</v>
      </c>
      <c r="Q181" s="1654">
        <v>26.919559772644931</v>
      </c>
      <c r="R181" s="1654">
        <v>30.869201327717395</v>
      </c>
      <c r="S181" s="1423">
        <v>33.486062323832535</v>
      </c>
      <c r="T181" s="1654">
        <v>29.612168522893782</v>
      </c>
      <c r="U181" s="1654">
        <v>28.466996774909425</v>
      </c>
      <c r="V181" s="1655">
        <v>31.005893446105066</v>
      </c>
      <c r="W181" s="1654">
        <v>78.280771197463764</v>
      </c>
      <c r="X181" s="1654">
        <v>30.680673397435903</v>
      </c>
      <c r="Y181" s="1654">
        <v>27.413026009963772</v>
      </c>
      <c r="Z181" s="1655">
        <v>29.952876293025369</v>
      </c>
      <c r="AA181" s="1654">
        <v>44.217764477254434</v>
      </c>
      <c r="AB181" s="1654">
        <v>25.028568056318672</v>
      </c>
      <c r="AC181" s="1654">
        <v>23.224815237318836</v>
      </c>
      <c r="AD181" s="1655">
        <v>22.109061745018124</v>
      </c>
      <c r="AE181" s="1654">
        <v>23.988923446826721</v>
      </c>
      <c r="AF181" s="1654">
        <v>21.266628026098903</v>
      </c>
      <c r="AG181" s="1654">
        <v>22.910100094655796</v>
      </c>
      <c r="AH181" s="1655">
        <v>25.259746692934794</v>
      </c>
      <c r="AI181" s="1654">
        <v>27.075569670692435</v>
      </c>
      <c r="AJ181" s="1656">
        <v>22.121270426282045</v>
      </c>
      <c r="AK181" s="1656">
        <v>21.948979516304348</v>
      </c>
      <c r="AL181" s="1657">
        <v>28.679605414130428</v>
      </c>
      <c r="AM181" s="1656">
        <v>43.803590137359109</v>
      </c>
      <c r="AN181" s="1656">
        <v>24.95</v>
      </c>
      <c r="AO181" s="1656">
        <v>24.783333333333331</v>
      </c>
      <c r="AP181" s="1657">
        <v>25.683333333333334</v>
      </c>
      <c r="AQ181" s="1656">
        <v>32.710239316820804</v>
      </c>
      <c r="AR181" s="1656">
        <v>20.631697104333988</v>
      </c>
      <c r="AS181" s="1656">
        <v>20.527571740433242</v>
      </c>
      <c r="AT181" s="1657">
        <v>31.93845850481198</v>
      </c>
      <c r="AU181" s="1656">
        <v>32.33891227956417</v>
      </c>
      <c r="AV181" s="1656">
        <v>20.397485826173483</v>
      </c>
      <c r="AW181" s="1656">
        <v>20.29454249467874</v>
      </c>
      <c r="AX181" s="1657">
        <v>31.575892732783615</v>
      </c>
      <c r="AY181" s="1656">
        <v>32.400669590326544</v>
      </c>
      <c r="AZ181" s="1656">
        <v>20.436438709314643</v>
      </c>
      <c r="BA181" s="1656">
        <v>20.333298787926616</v>
      </c>
      <c r="BB181" s="1673">
        <v>31.636192912432207</v>
      </c>
      <c r="BC181" s="646"/>
      <c r="BD181" s="646"/>
      <c r="BE181" s="655">
        <f t="shared" si="517"/>
        <v>37.080329892200247</v>
      </c>
      <c r="BF181" s="655">
        <f t="shared" si="518"/>
        <v>34.989560284184137</v>
      </c>
      <c r="BG181" s="655">
        <f t="shared" si="519"/>
        <v>26.781531581344563</v>
      </c>
      <c r="BH181" s="655">
        <f t="shared" si="520"/>
        <v>30.642780266935201</v>
      </c>
      <c r="BI181" s="655">
        <f t="shared" si="521"/>
        <v>41.581836724472197</v>
      </c>
      <c r="BJ181" s="655">
        <f t="shared" si="522"/>
        <v>28.645052378977518</v>
      </c>
      <c r="BK181" s="672">
        <f t="shared" si="523"/>
        <v>23.356349565129054</v>
      </c>
      <c r="BL181" s="672">
        <f t="shared" si="524"/>
        <v>24.956356256852317</v>
      </c>
      <c r="BM181" s="672">
        <f t="shared" si="525"/>
        <v>29.805064201006445</v>
      </c>
      <c r="BN181" s="672">
        <f t="shared" si="526"/>
        <v>26.451991666600001</v>
      </c>
      <c r="BO181" s="672">
        <f t="shared" si="527"/>
        <v>26.1517083333</v>
      </c>
      <c r="BP181" s="672">
        <f t="shared" si="528"/>
        <v>26.201650000000004</v>
      </c>
      <c r="BQ181" s="637"/>
      <c r="BR181" s="684"/>
      <c r="BS181" s="685"/>
      <c r="BU181" s="609"/>
      <c r="BV181" s="608"/>
      <c r="BW181" s="608"/>
      <c r="BX181" s="608"/>
    </row>
    <row r="182" spans="2:76" ht="12.75" customHeight="1">
      <c r="B182" s="721"/>
      <c r="C182" s="1744" t="s">
        <v>149</v>
      </c>
      <c r="D182" s="1621"/>
      <c r="E182" s="1621"/>
      <c r="F182" s="1743"/>
      <c r="G182" s="1423">
        <v>43.12788123345409</v>
      </c>
      <c r="H182" s="1654">
        <v>35.696539456043951</v>
      </c>
      <c r="I182" s="1654">
        <v>41.941960537590575</v>
      </c>
      <c r="J182" s="1655">
        <v>39.099061662771746</v>
      </c>
      <c r="K182" s="1423">
        <v>45.558643104669883</v>
      </c>
      <c r="L182" s="1654">
        <v>35.489017982600728</v>
      </c>
      <c r="M182" s="1654">
        <v>37.110367609148561</v>
      </c>
      <c r="N182" s="1655">
        <v>30.853395797826089</v>
      </c>
      <c r="O182" s="1423">
        <v>28.838922174609813</v>
      </c>
      <c r="P182" s="1654">
        <v>21.591528022435909</v>
      </c>
      <c r="Q182" s="1654">
        <v>30.122786553894926</v>
      </c>
      <c r="R182" s="1654">
        <v>32.447619825815202</v>
      </c>
      <c r="S182" s="1423">
        <v>34.55972632302737</v>
      </c>
      <c r="T182" s="1654">
        <v>31.325106590201472</v>
      </c>
      <c r="U182" s="1654">
        <v>30.007325350543471</v>
      </c>
      <c r="V182" s="1655">
        <v>32.19676385769926</v>
      </c>
      <c r="W182" s="1654">
        <v>90.786707820652168</v>
      </c>
      <c r="X182" s="1654">
        <v>30.634786767857143</v>
      </c>
      <c r="Y182" s="1654">
        <v>26.507552103713767</v>
      </c>
      <c r="Z182" s="1655">
        <v>37.660706784782626</v>
      </c>
      <c r="AA182" s="1654">
        <v>52.91501483514493</v>
      </c>
      <c r="AB182" s="1654">
        <v>25.152664907509156</v>
      </c>
      <c r="AC182" s="1654">
        <v>20.837114357789854</v>
      </c>
      <c r="AD182" s="1655">
        <v>25.347991754166664</v>
      </c>
      <c r="AE182" s="1654">
        <v>25.346020121237455</v>
      </c>
      <c r="AF182" s="1654">
        <v>19.254250642399267</v>
      </c>
      <c r="AG182" s="1654">
        <v>21.072814450181166</v>
      </c>
      <c r="AH182" s="1655">
        <v>21.316599519927536</v>
      </c>
      <c r="AI182" s="1654">
        <v>29.336510980555559</v>
      </c>
      <c r="AJ182" s="1656">
        <v>21.736222810439564</v>
      </c>
      <c r="AK182" s="1656">
        <v>19.181085373188402</v>
      </c>
      <c r="AL182" s="1657">
        <v>33.856300585507235</v>
      </c>
      <c r="AM182" s="1656">
        <v>46.651077805173117</v>
      </c>
      <c r="AN182" s="1656">
        <v>25.158666666666665</v>
      </c>
      <c r="AO182" s="1656">
        <v>25.266666666666666</v>
      </c>
      <c r="AP182" s="1657">
        <v>25.499833333333331</v>
      </c>
      <c r="AQ182" s="1656">
        <v>37.348531597794079</v>
      </c>
      <c r="AR182" s="1656">
        <v>20.745010650110846</v>
      </c>
      <c r="AS182" s="1656">
        <v>21.194398638146534</v>
      </c>
      <c r="AT182" s="1657">
        <v>30.991359113948537</v>
      </c>
      <c r="AU182" s="1656">
        <v>37.020764656216237</v>
      </c>
      <c r="AV182" s="1656">
        <v>20.562954531626438</v>
      </c>
      <c r="AW182" s="1656">
        <v>21.008398736061569</v>
      </c>
      <c r="AX182" s="1657">
        <v>30.719382076095741</v>
      </c>
      <c r="AY182" s="1656">
        <v>37.359357818581813</v>
      </c>
      <c r="AZ182" s="1656">
        <v>20.751024007421933</v>
      </c>
      <c r="BA182" s="1656">
        <v>21.200542259576977</v>
      </c>
      <c r="BB182" s="1673">
        <v>31.000342580819272</v>
      </c>
      <c r="BC182" s="646"/>
      <c r="BD182" s="646"/>
      <c r="BE182" s="655">
        <f t="shared" si="517"/>
        <v>39.96636072246509</v>
      </c>
      <c r="BF182" s="655">
        <f t="shared" si="518"/>
        <v>37.252856123561315</v>
      </c>
      <c r="BG182" s="655">
        <f t="shared" si="519"/>
        <v>28.250214144188959</v>
      </c>
      <c r="BH182" s="655">
        <f t="shared" si="520"/>
        <v>32.022230530367892</v>
      </c>
      <c r="BI182" s="655">
        <f t="shared" si="521"/>
        <v>46.397438369251432</v>
      </c>
      <c r="BJ182" s="655">
        <f t="shared" si="522"/>
        <v>31.063196463652652</v>
      </c>
      <c r="BK182" s="672">
        <f t="shared" si="523"/>
        <v>21.747421183436355</v>
      </c>
      <c r="BL182" s="672">
        <f t="shared" si="524"/>
        <v>26.027529937422692</v>
      </c>
      <c r="BM182" s="672">
        <f t="shared" si="525"/>
        <v>30.644061117959943</v>
      </c>
      <c r="BN182" s="672">
        <f t="shared" si="526"/>
        <v>27.569824999999998</v>
      </c>
      <c r="BO182" s="672">
        <f t="shared" si="527"/>
        <v>27.327874999999995</v>
      </c>
      <c r="BP182" s="672">
        <f t="shared" si="528"/>
        <v>27.5778166666</v>
      </c>
      <c r="BQ182" s="637"/>
      <c r="BR182" s="684"/>
      <c r="BS182" s="685"/>
      <c r="BU182" s="609"/>
      <c r="BV182" s="608"/>
      <c r="BW182" s="608"/>
      <c r="BX182" s="608"/>
    </row>
    <row r="183" spans="2:76" ht="12.75" customHeight="1">
      <c r="B183" s="721"/>
      <c r="C183" s="1744" t="s">
        <v>23</v>
      </c>
      <c r="D183" s="1621"/>
      <c r="E183" s="1621"/>
      <c r="F183" s="1743"/>
      <c r="G183" s="1423">
        <v>33.65507139897344</v>
      </c>
      <c r="H183" s="1654">
        <v>27.940983067765572</v>
      </c>
      <c r="I183" s="1654">
        <v>31.064639944746379</v>
      </c>
      <c r="J183" s="1655">
        <v>31.179066678713756</v>
      </c>
      <c r="K183" s="1423">
        <v>33.366856885466987</v>
      </c>
      <c r="L183" s="1654">
        <v>30.988586447802195</v>
      </c>
      <c r="M183" s="1654">
        <v>31.983560708333318</v>
      </c>
      <c r="N183" s="1655">
        <v>30.553551319112341</v>
      </c>
      <c r="O183" s="1423">
        <v>25.678486559862229</v>
      </c>
      <c r="P183" s="1654">
        <v>21.65716656639195</v>
      </c>
      <c r="Q183" s="1654">
        <v>25.59958281884057</v>
      </c>
      <c r="R183" s="1654">
        <v>29.691809545561608</v>
      </c>
      <c r="S183" s="1423">
        <v>30.712843264895323</v>
      </c>
      <c r="T183" s="1654">
        <v>28.683858509157513</v>
      </c>
      <c r="U183" s="1654">
        <v>26.289797765398554</v>
      </c>
      <c r="V183" s="1655">
        <v>28.58454812028986</v>
      </c>
      <c r="W183" s="1654">
        <v>55.582024361513675</v>
      </c>
      <c r="X183" s="1654">
        <v>30.848939755952369</v>
      </c>
      <c r="Y183" s="1654">
        <v>26.474229680253622</v>
      </c>
      <c r="Z183" s="1655">
        <v>30.106497532518123</v>
      </c>
      <c r="AA183" s="1654">
        <v>33.672197658071667</v>
      </c>
      <c r="AB183" s="1654">
        <v>24.408332260531143</v>
      </c>
      <c r="AC183" s="1654">
        <v>22.758183921195638</v>
      </c>
      <c r="AD183" s="1655">
        <v>22.005480128297094</v>
      </c>
      <c r="AE183" s="1654">
        <v>21.940509499422674</v>
      </c>
      <c r="AF183" s="1654">
        <v>21.194626118131868</v>
      </c>
      <c r="AG183" s="1654">
        <v>22.397125852355067</v>
      </c>
      <c r="AH183" s="1655">
        <v>25.119274915036236</v>
      </c>
      <c r="AI183" s="1654">
        <v>25.609943032206107</v>
      </c>
      <c r="AJ183" s="1656">
        <v>22.558270758241754</v>
      </c>
      <c r="AK183" s="1656">
        <v>22.753793536231882</v>
      </c>
      <c r="AL183" s="1657">
        <v>26.193597912862309</v>
      </c>
      <c r="AM183" s="1656">
        <v>34.436698074516897</v>
      </c>
      <c r="AN183" s="1656">
        <v>25.55</v>
      </c>
      <c r="AO183" s="1656">
        <v>25.216666666666669</v>
      </c>
      <c r="AP183" s="1657">
        <v>25.316666666666663</v>
      </c>
      <c r="AQ183" s="1656">
        <v>30.065523917280856</v>
      </c>
      <c r="AR183" s="1656">
        <v>21.597016408139439</v>
      </c>
      <c r="AS183" s="1656">
        <v>21.984059712944806</v>
      </c>
      <c r="AT183" s="1657">
        <v>28.678033294834901</v>
      </c>
      <c r="AU183" s="1656">
        <v>29.607950419373292</v>
      </c>
      <c r="AV183" s="1656">
        <v>21.268326897541574</v>
      </c>
      <c r="AW183" s="1656">
        <v>21.649479709325476</v>
      </c>
      <c r="AX183" s="1657">
        <v>28.241576306959669</v>
      </c>
      <c r="AY183" s="1656">
        <v>29.616706401032346</v>
      </c>
      <c r="AZ183" s="1656">
        <v>21.274616596004179</v>
      </c>
      <c r="BA183" s="1656">
        <v>21.65588212639852</v>
      </c>
      <c r="BB183" s="1673">
        <v>28.24992820976496</v>
      </c>
      <c r="BC183" s="646"/>
      <c r="BD183" s="646"/>
      <c r="BE183" s="655">
        <f t="shared" si="517"/>
        <v>30.959940272549787</v>
      </c>
      <c r="BF183" s="655">
        <f t="shared" si="518"/>
        <v>31.723138840178709</v>
      </c>
      <c r="BG183" s="655">
        <f t="shared" si="519"/>
        <v>25.656761372664089</v>
      </c>
      <c r="BH183" s="655">
        <f t="shared" si="520"/>
        <v>28.567761914935311</v>
      </c>
      <c r="BI183" s="655">
        <f t="shared" si="521"/>
        <v>35.752922832559449</v>
      </c>
      <c r="BJ183" s="655">
        <f t="shared" si="522"/>
        <v>25.711048492023885</v>
      </c>
      <c r="BK183" s="672">
        <f t="shared" si="523"/>
        <v>22.662884096236461</v>
      </c>
      <c r="BL183" s="672">
        <f t="shared" si="524"/>
        <v>24.278901309885512</v>
      </c>
      <c r="BM183" s="672">
        <f t="shared" si="525"/>
        <v>27.630007851962556</v>
      </c>
      <c r="BN183" s="672">
        <f t="shared" si="526"/>
        <v>25.581158333300003</v>
      </c>
      <c r="BO183" s="672">
        <f t="shared" si="527"/>
        <v>25.191833333300004</v>
      </c>
      <c r="BP183" s="672">
        <f t="shared" si="528"/>
        <v>25.199283333300002</v>
      </c>
      <c r="BQ183" s="637"/>
      <c r="BR183" s="684"/>
      <c r="BS183" s="685"/>
      <c r="BU183" s="609"/>
      <c r="BV183" s="608"/>
      <c r="BW183" s="608"/>
      <c r="BX183" s="608"/>
    </row>
    <row r="184" spans="2:76" ht="12.75" customHeight="1">
      <c r="B184" s="721"/>
      <c r="C184" s="1744" t="s">
        <v>402</v>
      </c>
      <c r="D184" s="1621"/>
      <c r="E184" s="1621"/>
      <c r="F184" s="1743"/>
      <c r="G184" s="1423">
        <v>33.577120008313223</v>
      </c>
      <c r="H184" s="1654">
        <v>28.007368155677657</v>
      </c>
      <c r="I184" s="1654">
        <v>31.199241193840571</v>
      </c>
      <c r="J184" s="1655">
        <v>31.280175134510877</v>
      </c>
      <c r="K184" s="1423">
        <v>33.316046651227865</v>
      </c>
      <c r="L184" s="1654">
        <v>31.034006899725281</v>
      </c>
      <c r="M184" s="1654">
        <v>32.137521466938395</v>
      </c>
      <c r="N184" s="1655">
        <v>30.682761882608698</v>
      </c>
      <c r="O184" s="1423">
        <v>25.679288122073572</v>
      </c>
      <c r="P184" s="1654">
        <v>21.775065671703299</v>
      </c>
      <c r="Q184" s="1654">
        <v>25.7171560271739</v>
      </c>
      <c r="R184" s="1654">
        <v>29.781977215851452</v>
      </c>
      <c r="S184" s="1423">
        <v>30.59628365193236</v>
      </c>
      <c r="T184" s="1654">
        <v>28.85574062912087</v>
      </c>
      <c r="U184" s="1654">
        <v>26.426258410326099</v>
      </c>
      <c r="V184" s="1655">
        <v>28.631262306884061</v>
      </c>
      <c r="W184" s="1654">
        <v>55.245883308574896</v>
      </c>
      <c r="X184" s="1654">
        <v>31.092236393315009</v>
      </c>
      <c r="Y184" s="1654">
        <v>26.565221706068847</v>
      </c>
      <c r="Z184" s="1655">
        <v>29.935611420199269</v>
      </c>
      <c r="AA184" s="1654">
        <v>33.546102769424323</v>
      </c>
      <c r="AB184" s="1654">
        <v>24.350682732600731</v>
      </c>
      <c r="AC184" s="1654">
        <v>22.832639235507255</v>
      </c>
      <c r="AD184" s="1655">
        <v>21.995092569728257</v>
      </c>
      <c r="AE184" s="1654">
        <v>22.062136905279502</v>
      </c>
      <c r="AF184" s="1654">
        <v>21.344116594322344</v>
      </c>
      <c r="AG184" s="1654">
        <v>22.51157196376812</v>
      </c>
      <c r="AH184" s="1655">
        <v>25.05356571974637</v>
      </c>
      <c r="AI184" s="1654">
        <v>25.637689978663452</v>
      </c>
      <c r="AJ184" s="1656">
        <v>22.658216380036624</v>
      </c>
      <c r="AK184" s="1656">
        <v>22.877026026268119</v>
      </c>
      <c r="AL184" s="1657">
        <v>26.103430919021747</v>
      </c>
      <c r="AM184" s="1656">
        <v>33.49635729142512</v>
      </c>
      <c r="AN184" s="1656">
        <v>24.3</v>
      </c>
      <c r="AO184" s="1656">
        <v>24.716666666666669</v>
      </c>
      <c r="AP184" s="1657">
        <v>24.833333333333332</v>
      </c>
      <c r="AQ184" s="1656">
        <v>26.535204784504245</v>
      </c>
      <c r="AR184" s="1656">
        <v>20.510009202701678</v>
      </c>
      <c r="AS184" s="1656">
        <v>20.875172571295771</v>
      </c>
      <c r="AT184" s="1657">
        <v>29.770913441498301</v>
      </c>
      <c r="AU184" s="1656">
        <v>26.434034268000321</v>
      </c>
      <c r="AV184" s="1656">
        <v>20.43181089063328</v>
      </c>
      <c r="AW184" s="1656">
        <v>20.795582004413099</v>
      </c>
      <c r="AX184" s="1657">
        <v>29.657406170153298</v>
      </c>
      <c r="AY184" s="1656">
        <v>26.496453235293</v>
      </c>
      <c r="AZ184" s="1656">
        <v>20.480056743792986</v>
      </c>
      <c r="BA184" s="1656">
        <v>20.844686834186923</v>
      </c>
      <c r="BB184" s="1673">
        <v>29.727436519927089</v>
      </c>
      <c r="BC184" s="646"/>
      <c r="BD184" s="646"/>
      <c r="BE184" s="655">
        <f t="shared" si="517"/>
        <v>31.015976123085579</v>
      </c>
      <c r="BF184" s="655">
        <f t="shared" si="518"/>
        <v>31.792584225125061</v>
      </c>
      <c r="BG184" s="655">
        <f t="shared" si="519"/>
        <v>25.738371759200557</v>
      </c>
      <c r="BH184" s="655">
        <f t="shared" si="520"/>
        <v>28.627386249565845</v>
      </c>
      <c r="BI184" s="655">
        <f t="shared" si="521"/>
        <v>35.709738207039507</v>
      </c>
      <c r="BJ184" s="655">
        <f t="shared" si="522"/>
        <v>25.681129326815142</v>
      </c>
      <c r="BK184" s="672">
        <f t="shared" si="523"/>
        <v>22.742847795779085</v>
      </c>
      <c r="BL184" s="672">
        <f t="shared" si="524"/>
        <v>24.319090825997485</v>
      </c>
      <c r="BM184" s="672">
        <f t="shared" si="525"/>
        <v>26.83658932285628</v>
      </c>
      <c r="BN184" s="672">
        <f t="shared" si="526"/>
        <v>24.422824999999996</v>
      </c>
      <c r="BO184" s="672">
        <f t="shared" si="527"/>
        <v>24.329708333300001</v>
      </c>
      <c r="BP184" s="672">
        <f t="shared" si="528"/>
        <v>24.3871583333</v>
      </c>
      <c r="BQ184" s="637"/>
      <c r="BR184" s="684"/>
      <c r="BS184" s="685"/>
      <c r="BU184" s="609"/>
      <c r="BV184" s="608"/>
      <c r="BW184" s="608"/>
      <c r="BX184" s="608"/>
    </row>
    <row r="185" spans="2:76" ht="12.75" customHeight="1">
      <c r="B185" s="721"/>
      <c r="C185" s="1744" t="s">
        <v>62</v>
      </c>
      <c r="D185" s="1621"/>
      <c r="E185" s="1621"/>
      <c r="F185" s="1743"/>
      <c r="G185" s="1423">
        <v>27.647922274134451</v>
      </c>
      <c r="H185" s="1654">
        <v>22.058756606684991</v>
      </c>
      <c r="I185" s="1654">
        <v>25.77205439356884</v>
      </c>
      <c r="J185" s="1655">
        <v>20.233505312028988</v>
      </c>
      <c r="K185" s="1423">
        <v>28.117182428522533</v>
      </c>
      <c r="L185" s="1654">
        <v>24.030010341117219</v>
      </c>
      <c r="M185" s="1654">
        <v>25.858050654891304</v>
      </c>
      <c r="N185" s="1655">
        <v>19.96068864096015</v>
      </c>
      <c r="O185" s="1423">
        <v>23.311520222746449</v>
      </c>
      <c r="P185" s="1654">
        <v>18.617785842032969</v>
      </c>
      <c r="Q185" s="1654">
        <v>23.770870774456522</v>
      </c>
      <c r="R185" s="1654">
        <v>21.751328907065218</v>
      </c>
      <c r="S185" s="1423">
        <v>27.102873879810776</v>
      </c>
      <c r="T185" s="1654">
        <v>23.983492510531136</v>
      </c>
      <c r="U185" s="1654">
        <v>24.337539511322465</v>
      </c>
      <c r="V185" s="1655">
        <v>25.034081106974629</v>
      </c>
      <c r="W185" s="1654">
        <v>46.659030578200486</v>
      </c>
      <c r="X185" s="1654">
        <v>25.040844436355307</v>
      </c>
      <c r="Y185" s="1654">
        <v>24.573567941576091</v>
      </c>
      <c r="Z185" s="1655">
        <v>25.868583025362319</v>
      </c>
      <c r="AA185" s="1654">
        <v>29.701038306400971</v>
      </c>
      <c r="AB185" s="1654">
        <v>18.405672966575075</v>
      </c>
      <c r="AC185" s="1654">
        <v>21.186602595561595</v>
      </c>
      <c r="AD185" s="1655">
        <v>19.679295579764492</v>
      </c>
      <c r="AE185" s="1654">
        <v>19.228153737279026</v>
      </c>
      <c r="AF185" s="1654">
        <v>18.306781789377293</v>
      </c>
      <c r="AG185" s="1654">
        <v>21.426197764039859</v>
      </c>
      <c r="AH185" s="1655">
        <v>22.45641746277175</v>
      </c>
      <c r="AI185" s="1654">
        <v>23.077807067310793</v>
      </c>
      <c r="AJ185" s="1656">
        <v>19.554939797619053</v>
      </c>
      <c r="AK185" s="1656">
        <v>18.802316540760863</v>
      </c>
      <c r="AL185" s="1657">
        <v>22.818591313496391</v>
      </c>
      <c r="AM185" s="1656">
        <v>25.592786000905793</v>
      </c>
      <c r="AN185" s="1656">
        <v>19.816666666666666</v>
      </c>
      <c r="AO185" s="1656">
        <v>21.45</v>
      </c>
      <c r="AP185" s="1657">
        <v>20.516666666666669</v>
      </c>
      <c r="AQ185" s="1656">
        <v>27.334808227990884</v>
      </c>
      <c r="AR185" s="1656">
        <v>19.223933699175628</v>
      </c>
      <c r="AS185" s="1656">
        <v>19.937159884736072</v>
      </c>
      <c r="AT185" s="1657">
        <v>20.328731521297417</v>
      </c>
      <c r="AU185" s="1656">
        <v>27.753990948397757</v>
      </c>
      <c r="AV185" s="1656">
        <v>19.518735139073424</v>
      </c>
      <c r="AW185" s="1656">
        <v>20.242898737848368</v>
      </c>
      <c r="AX185" s="1657">
        <v>20.640475174680446</v>
      </c>
      <c r="AY185" s="1656">
        <v>27.7633728168137</v>
      </c>
      <c r="AZ185" s="1656">
        <v>19.52533318852371</v>
      </c>
      <c r="BA185" s="1656">
        <v>20.24974158119543</v>
      </c>
      <c r="BB185" s="1673">
        <v>20.647452413467164</v>
      </c>
      <c r="BC185" s="646"/>
      <c r="BD185" s="646"/>
      <c r="BE185" s="655">
        <f t="shared" si="517"/>
        <v>23.928059646604318</v>
      </c>
      <c r="BF185" s="655">
        <f t="shared" si="518"/>
        <v>24.491483016372804</v>
      </c>
      <c r="BG185" s="655">
        <f t="shared" si="519"/>
        <v>21.862876436575288</v>
      </c>
      <c r="BH185" s="655">
        <f t="shared" si="520"/>
        <v>25.114496752159749</v>
      </c>
      <c r="BI185" s="655">
        <f t="shared" si="521"/>
        <v>30.535506495373554</v>
      </c>
      <c r="BJ185" s="655">
        <f t="shared" si="522"/>
        <v>22.243152362075534</v>
      </c>
      <c r="BK185" s="672">
        <f t="shared" si="523"/>
        <v>20.354387688366984</v>
      </c>
      <c r="BL185" s="672">
        <f t="shared" si="524"/>
        <v>21.063413679796774</v>
      </c>
      <c r="BM185" s="672">
        <f t="shared" si="525"/>
        <v>21.84402983355978</v>
      </c>
      <c r="BN185" s="672">
        <f t="shared" si="526"/>
        <v>21.706158333299999</v>
      </c>
      <c r="BO185" s="672">
        <f t="shared" si="527"/>
        <v>22.039024999999999</v>
      </c>
      <c r="BP185" s="672">
        <f t="shared" si="528"/>
        <v>22.046475000000001</v>
      </c>
      <c r="BQ185" s="637"/>
      <c r="BR185" s="684"/>
      <c r="BS185" s="685"/>
      <c r="BU185" s="609"/>
      <c r="BV185" s="608"/>
      <c r="BW185" s="608"/>
      <c r="BX185" s="608"/>
    </row>
    <row r="186" spans="2:76" ht="12.75" customHeight="1">
      <c r="B186" s="721"/>
      <c r="C186" s="1744" t="s">
        <v>860</v>
      </c>
      <c r="D186" s="1621"/>
      <c r="E186" s="1621"/>
      <c r="F186" s="1743"/>
      <c r="G186" s="1423">
        <v>35.104179045893723</v>
      </c>
      <c r="H186" s="1654">
        <v>28.634282280219779</v>
      </c>
      <c r="I186" s="1654">
        <v>31.990215126811602</v>
      </c>
      <c r="J186" s="1655">
        <v>25.825695788043475</v>
      </c>
      <c r="K186" s="1423">
        <v>29.660326036634473</v>
      </c>
      <c r="L186" s="1654">
        <v>28.345022893772899</v>
      </c>
      <c r="M186" s="1654">
        <v>31.569142889492749</v>
      </c>
      <c r="N186" s="1655">
        <v>23.404596059782612</v>
      </c>
      <c r="O186" s="1423">
        <v>19.561595895046977</v>
      </c>
      <c r="P186" s="1654">
        <v>17.118434065934071</v>
      </c>
      <c r="Q186" s="1654">
        <v>21.168782835144924</v>
      </c>
      <c r="R186" s="1654">
        <v>22.251092119565214</v>
      </c>
      <c r="S186" s="1423">
        <v>23.22272348027375</v>
      </c>
      <c r="T186" s="1654">
        <v>26.715190018315013</v>
      </c>
      <c r="U186" s="1654">
        <v>25.701721014492755</v>
      </c>
      <c r="V186" s="1655">
        <v>27.180492210144916</v>
      </c>
      <c r="W186" s="1654">
        <v>31.78499773550724</v>
      </c>
      <c r="X186" s="1654">
        <v>31.412413003663001</v>
      </c>
      <c r="Y186" s="1654">
        <v>28.854929800724651</v>
      </c>
      <c r="Z186" s="1655">
        <v>25.233000181159419</v>
      </c>
      <c r="AA186" s="1654">
        <v>22.140641555958133</v>
      </c>
      <c r="AB186" s="1654">
        <v>21.621235119047622</v>
      </c>
      <c r="AC186" s="1654">
        <v>20.30612658514492</v>
      </c>
      <c r="AD186" s="1655">
        <v>16.061473550724639</v>
      </c>
      <c r="AE186" s="1654">
        <v>13.842845198279973</v>
      </c>
      <c r="AF186" s="1654">
        <v>14.911001602564097</v>
      </c>
      <c r="AG186" s="1654">
        <v>23.475191349637686</v>
      </c>
      <c r="AH186" s="1655">
        <v>18.614083197463771</v>
      </c>
      <c r="AI186" s="1654">
        <v>19.355630787037047</v>
      </c>
      <c r="AJ186" s="1656">
        <v>24.49456959706961</v>
      </c>
      <c r="AK186" s="1656">
        <v>22.786469655797116</v>
      </c>
      <c r="AL186" s="1657">
        <v>20.007914900362312</v>
      </c>
      <c r="AM186" s="1656">
        <v>20.159236262077297</v>
      </c>
      <c r="AN186" s="1656">
        <v>22.893873333333332</v>
      </c>
      <c r="AO186" s="1656">
        <v>28.907523333333334</v>
      </c>
      <c r="AP186" s="1657">
        <v>20.204750000000001</v>
      </c>
      <c r="AQ186" s="1656">
        <v>20.922026845642609</v>
      </c>
      <c r="AR186" s="1656">
        <v>19.193142488186361</v>
      </c>
      <c r="AS186" s="1656">
        <v>23.750424272466308</v>
      </c>
      <c r="AT186" s="1657">
        <v>20.145536393704717</v>
      </c>
      <c r="AU186" s="1656">
        <v>21.12106749399333</v>
      </c>
      <c r="AV186" s="1656">
        <v>19.375735482303082</v>
      </c>
      <c r="AW186" s="1656">
        <v>23.97637273724332</v>
      </c>
      <c r="AX186" s="1657">
        <v>20.337189939260277</v>
      </c>
      <c r="AY186" s="1656">
        <v>20.82675586398943</v>
      </c>
      <c r="AZ186" s="1656">
        <v>19.105744190719797</v>
      </c>
      <c r="BA186" s="1656">
        <v>23.642273840779588</v>
      </c>
      <c r="BB186" s="1673">
        <v>20.053801255311189</v>
      </c>
      <c r="BC186" s="646"/>
      <c r="BD186" s="646"/>
      <c r="BE186" s="655">
        <f t="shared" si="517"/>
        <v>30.388593060242144</v>
      </c>
      <c r="BF186" s="655">
        <f t="shared" si="518"/>
        <v>28.244771969920684</v>
      </c>
      <c r="BG186" s="655">
        <f t="shared" si="519"/>
        <v>20.024976228922796</v>
      </c>
      <c r="BH186" s="655">
        <f t="shared" si="520"/>
        <v>25.705031680806609</v>
      </c>
      <c r="BI186" s="655">
        <f t="shared" si="521"/>
        <v>29.321335180263574</v>
      </c>
      <c r="BJ186" s="655">
        <f t="shared" si="522"/>
        <v>20.032369202718829</v>
      </c>
      <c r="BK186" s="672">
        <f t="shared" si="523"/>
        <v>17.710780336986382</v>
      </c>
      <c r="BL186" s="672">
        <f t="shared" si="524"/>
        <v>21.661146235066521</v>
      </c>
      <c r="BM186" s="672">
        <f t="shared" si="525"/>
        <v>23.041345732185992</v>
      </c>
      <c r="BN186" s="672">
        <f t="shared" si="526"/>
        <v>21.002782499999999</v>
      </c>
      <c r="BO186" s="672">
        <f t="shared" si="527"/>
        <v>21.202591413200004</v>
      </c>
      <c r="BP186" s="672">
        <f t="shared" si="528"/>
        <v>20.907143787700001</v>
      </c>
      <c r="BQ186" s="637"/>
      <c r="BR186" s="684"/>
      <c r="BS186" s="685"/>
      <c r="BU186" s="609"/>
      <c r="BV186" s="608"/>
      <c r="BW186" s="608"/>
      <c r="BX186" s="608"/>
    </row>
    <row r="187" spans="2:76" ht="12.75" customHeight="1">
      <c r="B187" s="721"/>
      <c r="C187" s="1739" t="s">
        <v>63</v>
      </c>
      <c r="D187" s="1621"/>
      <c r="E187" s="1621"/>
      <c r="F187" s="1743"/>
      <c r="G187" s="1423">
        <v>35.080230324074073</v>
      </c>
      <c r="H187" s="1654">
        <v>28.455611263736266</v>
      </c>
      <c r="I187" s="1654">
        <v>31.678466938405812</v>
      </c>
      <c r="J187" s="1655">
        <v>25.7597316576087</v>
      </c>
      <c r="K187" s="1423">
        <v>30.071405696457326</v>
      </c>
      <c r="L187" s="1654">
        <v>28.042996794871794</v>
      </c>
      <c r="M187" s="1654">
        <v>31.24979846014493</v>
      </c>
      <c r="N187" s="1655">
        <v>23.630269338768127</v>
      </c>
      <c r="O187" s="1423">
        <v>19.53850324494346</v>
      </c>
      <c r="P187" s="1654">
        <v>17.141556776556776</v>
      </c>
      <c r="Q187" s="1654">
        <v>20.815947690217392</v>
      </c>
      <c r="R187" s="1654">
        <v>22.887461865942033</v>
      </c>
      <c r="S187" s="1423">
        <v>23.199066475442827</v>
      </c>
      <c r="T187" s="1654">
        <v>26.300711996337007</v>
      </c>
      <c r="U187" s="1654">
        <v>25.430877490942027</v>
      </c>
      <c r="V187" s="1655">
        <v>26.785470153985496</v>
      </c>
      <c r="W187" s="1654">
        <v>32.004984551127215</v>
      </c>
      <c r="X187" s="1654">
        <v>31.26213713369965</v>
      </c>
      <c r="Y187" s="1654">
        <v>28.32578691123188</v>
      </c>
      <c r="Z187" s="1655">
        <v>25.307324320652167</v>
      </c>
      <c r="AA187" s="1654">
        <v>22.17571215780999</v>
      </c>
      <c r="AB187" s="1654">
        <v>19.319275412087915</v>
      </c>
      <c r="AC187" s="1654">
        <v>19.897398097826084</v>
      </c>
      <c r="AD187" s="1655">
        <v>15.149004076086959</v>
      </c>
      <c r="AE187" s="1654">
        <v>13.804743092052874</v>
      </c>
      <c r="AF187" s="1654">
        <v>14.6552048992674</v>
      </c>
      <c r="AG187" s="1654">
        <v>20.848108016304352</v>
      </c>
      <c r="AH187" s="1655">
        <v>18.255682925724642</v>
      </c>
      <c r="AI187" s="1654">
        <v>17.694403532608696</v>
      </c>
      <c r="AJ187" s="1656">
        <v>19.575868818681322</v>
      </c>
      <c r="AK187" s="1656">
        <v>21.74405457427536</v>
      </c>
      <c r="AL187" s="1657">
        <v>18.065305072463772</v>
      </c>
      <c r="AM187" s="1656">
        <v>19.286005585748793</v>
      </c>
      <c r="AN187" s="1656">
        <v>20.677206666666667</v>
      </c>
      <c r="AO187" s="1656">
        <v>28.640856666666668</v>
      </c>
      <c r="AP187" s="1657">
        <v>19.388083333333331</v>
      </c>
      <c r="AQ187" s="1656">
        <v>20.204147210285914</v>
      </c>
      <c r="AR187" s="1656">
        <v>17.911730019517361</v>
      </c>
      <c r="AS187" s="1656">
        <v>23.181362548745142</v>
      </c>
      <c r="AT187" s="1657">
        <v>18.447223554651586</v>
      </c>
      <c r="AU187" s="1656">
        <v>20.13301243857838</v>
      </c>
      <c r="AV187" s="1656">
        <v>17.848666391413492</v>
      </c>
      <c r="AW187" s="1656">
        <v>23.099745595769516</v>
      </c>
      <c r="AX187" s="1657">
        <v>18.382274560638621</v>
      </c>
      <c r="AY187" s="1656">
        <v>19.630903760724049</v>
      </c>
      <c r="AZ187" s="1656">
        <v>17.403528322254854</v>
      </c>
      <c r="BA187" s="1656">
        <v>22.523647867958136</v>
      </c>
      <c r="BB187" s="1673">
        <v>17.923828533062963</v>
      </c>
      <c r="BC187" s="646"/>
      <c r="BD187" s="646"/>
      <c r="BE187" s="655">
        <f t="shared" si="517"/>
        <v>30.24351004595621</v>
      </c>
      <c r="BF187" s="655">
        <f t="shared" si="518"/>
        <v>28.248617572560544</v>
      </c>
      <c r="BG187" s="655">
        <f t="shared" si="519"/>
        <v>20.095867394414917</v>
      </c>
      <c r="BH187" s="655">
        <f t="shared" si="520"/>
        <v>25.429031529176839</v>
      </c>
      <c r="BI187" s="655">
        <f t="shared" si="521"/>
        <v>29.22505822917773</v>
      </c>
      <c r="BJ187" s="655">
        <f t="shared" si="522"/>
        <v>19.135347435952735</v>
      </c>
      <c r="BK187" s="672">
        <f t="shared" si="523"/>
        <v>16.890934733337318</v>
      </c>
      <c r="BL187" s="672">
        <f t="shared" si="524"/>
        <v>19.269907999507289</v>
      </c>
      <c r="BM187" s="672">
        <f t="shared" si="525"/>
        <v>21.998038063103863</v>
      </c>
      <c r="BN187" s="672">
        <f t="shared" si="526"/>
        <v>19.936115833300001</v>
      </c>
      <c r="BO187" s="672">
        <f t="shared" si="527"/>
        <v>19.865924746600001</v>
      </c>
      <c r="BP187" s="672">
        <f t="shared" si="528"/>
        <v>19.370477121</v>
      </c>
      <c r="BQ187" s="637"/>
      <c r="BR187" s="684"/>
      <c r="BS187" s="685"/>
      <c r="BU187" s="609"/>
      <c r="BV187" s="608"/>
      <c r="BW187" s="608"/>
      <c r="BX187" s="608"/>
    </row>
    <row r="188" spans="2:76" ht="12.75" customHeight="1">
      <c r="B188" s="721"/>
      <c r="C188" s="1739" t="s">
        <v>861</v>
      </c>
      <c r="D188" s="1621"/>
      <c r="E188" s="1621"/>
      <c r="F188" s="1743"/>
      <c r="G188" s="1423">
        <v>35.000784722222228</v>
      </c>
      <c r="H188" s="1654">
        <v>28.382862866300375</v>
      </c>
      <c r="I188" s="1654">
        <v>31.812933650362325</v>
      </c>
      <c r="J188" s="1655">
        <v>25.415262409420293</v>
      </c>
      <c r="K188" s="1423">
        <v>29.8071865942029</v>
      </c>
      <c r="L188" s="1654">
        <v>27.334835164835152</v>
      </c>
      <c r="M188" s="1654">
        <v>31.034110054347821</v>
      </c>
      <c r="N188" s="1655">
        <v>23.925171286231883</v>
      </c>
      <c r="O188" s="1423">
        <v>19.365880564182188</v>
      </c>
      <c r="P188" s="1654">
        <v>16.926233974358968</v>
      </c>
      <c r="Q188" s="1654">
        <v>21.107855525362321</v>
      </c>
      <c r="R188" s="1654">
        <v>22.343847056159426</v>
      </c>
      <c r="S188" s="1423">
        <v>23.143879981884069</v>
      </c>
      <c r="T188" s="1654">
        <v>26.316911630036625</v>
      </c>
      <c r="U188" s="1654">
        <v>25.562675498188408</v>
      </c>
      <c r="V188" s="1655">
        <v>26.801473958333329</v>
      </c>
      <c r="W188" s="1654">
        <v>31.796791113123987</v>
      </c>
      <c r="X188" s="1654">
        <v>30.898569139194134</v>
      </c>
      <c r="Y188" s="1654">
        <v>28.542640398550727</v>
      </c>
      <c r="Z188" s="1655">
        <v>25.265815081521733</v>
      </c>
      <c r="AA188" s="1654">
        <v>22.23049803743962</v>
      </c>
      <c r="AB188" s="1654">
        <v>20.495057234432235</v>
      </c>
      <c r="AC188" s="1654">
        <v>20.106205842391308</v>
      </c>
      <c r="AD188" s="1655">
        <v>15.567165081521738</v>
      </c>
      <c r="AE188" s="1654">
        <v>13.567103589345434</v>
      </c>
      <c r="AF188" s="1654">
        <v>14.551979166666674</v>
      </c>
      <c r="AG188" s="1654">
        <v>21.434193840579709</v>
      </c>
      <c r="AH188" s="1655">
        <v>18.581885235507244</v>
      </c>
      <c r="AI188" s="1654">
        <v>17.745814764492753</v>
      </c>
      <c r="AJ188" s="1656">
        <v>21.731801739926734</v>
      </c>
      <c r="AK188" s="1656">
        <v>23.207665307971009</v>
      </c>
      <c r="AL188" s="1657">
        <v>19.342823505434787</v>
      </c>
      <c r="AM188" s="1656">
        <v>19.624934933574881</v>
      </c>
      <c r="AN188" s="1656">
        <v>22.243873333333337</v>
      </c>
      <c r="AO188" s="1656">
        <v>29.724189999999997</v>
      </c>
      <c r="AP188" s="1657">
        <v>20.288083333333333</v>
      </c>
      <c r="AQ188" s="1656">
        <v>21.213743053469752</v>
      </c>
      <c r="AR188" s="1656">
        <v>19.267514968052225</v>
      </c>
      <c r="AS188" s="1656">
        <v>24.088177775796659</v>
      </c>
      <c r="AT188" s="1657">
        <v>19.651694202681362</v>
      </c>
      <c r="AU188" s="1656">
        <v>21.193400009991446</v>
      </c>
      <c r="AV188" s="1656">
        <v>19.249038271425608</v>
      </c>
      <c r="AW188" s="1656">
        <v>24.065078276261332</v>
      </c>
      <c r="AX188" s="1657">
        <v>19.632849095121614</v>
      </c>
      <c r="AY188" s="1656">
        <v>20.81512679245602</v>
      </c>
      <c r="AZ188" s="1656">
        <v>18.905469252865018</v>
      </c>
      <c r="BA188" s="1656">
        <v>23.635549527428598</v>
      </c>
      <c r="BB188" s="1673">
        <v>19.282429578050358</v>
      </c>
      <c r="BC188" s="646"/>
      <c r="BD188" s="646"/>
      <c r="BE188" s="655">
        <f t="shared" si="517"/>
        <v>30.152960912076306</v>
      </c>
      <c r="BF188" s="655">
        <f t="shared" si="518"/>
        <v>28.025325774904438</v>
      </c>
      <c r="BG188" s="655">
        <f t="shared" si="519"/>
        <v>19.935954280015729</v>
      </c>
      <c r="BH188" s="655">
        <f t="shared" si="520"/>
        <v>25.45623526711061</v>
      </c>
      <c r="BI188" s="655">
        <f t="shared" si="521"/>
        <v>29.125953933097648</v>
      </c>
      <c r="BJ188" s="655">
        <f t="shared" si="522"/>
        <v>19.599731548946224</v>
      </c>
      <c r="BK188" s="672">
        <f t="shared" si="523"/>
        <v>17.033790458024765</v>
      </c>
      <c r="BL188" s="672">
        <f t="shared" si="524"/>
        <v>20.507026329456323</v>
      </c>
      <c r="BM188" s="672">
        <f t="shared" si="525"/>
        <v>22.970270400060386</v>
      </c>
      <c r="BN188" s="672">
        <f t="shared" si="526"/>
        <v>21.055282500000004</v>
      </c>
      <c r="BO188" s="672">
        <f t="shared" si="527"/>
        <v>21.0350914132</v>
      </c>
      <c r="BP188" s="672">
        <f t="shared" si="528"/>
        <v>20.659643787699999</v>
      </c>
      <c r="BQ188" s="637"/>
      <c r="BR188" s="684"/>
      <c r="BS188" s="685"/>
      <c r="BU188" s="609"/>
      <c r="BV188" s="608"/>
      <c r="BW188" s="608"/>
      <c r="BX188" s="608"/>
    </row>
    <row r="189" spans="2:76" ht="12.75" customHeight="1">
      <c r="B189" s="721"/>
      <c r="C189" s="1739" t="s">
        <v>64</v>
      </c>
      <c r="D189" s="1621"/>
      <c r="E189" s="1621"/>
      <c r="F189" s="1743"/>
      <c r="G189" s="1423">
        <v>33.530322580645155</v>
      </c>
      <c r="H189" s="1654">
        <v>26.094333333333331</v>
      </c>
      <c r="I189" s="1654">
        <v>27.91</v>
      </c>
      <c r="J189" s="1655">
        <v>25.807647058823527</v>
      </c>
      <c r="K189" s="1423">
        <v>20.458235294117642</v>
      </c>
      <c r="L189" s="1654">
        <v>15.988181818181818</v>
      </c>
      <c r="M189" s="1654">
        <v>24.526097560975611</v>
      </c>
      <c r="N189" s="1655">
        <v>24.08657894736842</v>
      </c>
      <c r="O189" s="1423">
        <v>19.836734693877553</v>
      </c>
      <c r="P189" s="1654">
        <v>16.344545454545454</v>
      </c>
      <c r="Q189" s="1654">
        <v>20.018333333333338</v>
      </c>
      <c r="R189" s="1654">
        <v>25.022727272727277</v>
      </c>
      <c r="S189" s="1423">
        <v>27.013333333333335</v>
      </c>
      <c r="T189" s="1654">
        <v>26.58642857142857</v>
      </c>
      <c r="U189" s="1654">
        <v>24.336666666666662</v>
      </c>
      <c r="V189" s="1655">
        <v>29.902142857142856</v>
      </c>
      <c r="W189" s="1654">
        <v>37.216206896551725</v>
      </c>
      <c r="X189" s="1654">
        <v>31.198387096774194</v>
      </c>
      <c r="Y189" s="1654">
        <v>31.499310344827585</v>
      </c>
      <c r="Z189" s="1655">
        <v>26.848387096774196</v>
      </c>
      <c r="AA189" s="1654">
        <v>21.951388888888893</v>
      </c>
      <c r="AB189" s="1654">
        <v>21.208409090909093</v>
      </c>
      <c r="AC189" s="1654">
        <v>23.832173913043476</v>
      </c>
      <c r="AD189" s="1655">
        <v>19.805555555555557</v>
      </c>
      <c r="AE189" s="1654">
        <v>16.825681818181817</v>
      </c>
      <c r="AF189" s="1654">
        <v>16.068333333333332</v>
      </c>
      <c r="AG189" s="1654">
        <v>22.099565217391302</v>
      </c>
      <c r="AH189" s="1655">
        <v>21.735135135135135</v>
      </c>
      <c r="AI189" s="1654">
        <v>20.877073170731702</v>
      </c>
      <c r="AJ189" s="1656">
        <v>21.894222222222222</v>
      </c>
      <c r="AK189" s="1656">
        <v>23.702653061224492</v>
      </c>
      <c r="AL189" s="1657">
        <v>23.66375</v>
      </c>
      <c r="AM189" s="1656">
        <v>23.66375</v>
      </c>
      <c r="AN189" s="1656">
        <v>21.866666666666664</v>
      </c>
      <c r="AO189" s="1656">
        <v>25.5</v>
      </c>
      <c r="AP189" s="1657">
        <v>21.55</v>
      </c>
      <c r="AQ189" s="1656">
        <v>24.836427915484958</v>
      </c>
      <c r="AR189" s="1656">
        <v>21.765546372753509</v>
      </c>
      <c r="AS189" s="1656">
        <v>25.429054178110412</v>
      </c>
      <c r="AT189" s="1657">
        <v>25.75230486685113</v>
      </c>
      <c r="AU189" s="1656">
        <v>28.091790633507216</v>
      </c>
      <c r="AV189" s="1656">
        <v>24.61840220372709</v>
      </c>
      <c r="AW189" s="1656">
        <v>28.762093663807821</v>
      </c>
      <c r="AX189" s="1657">
        <v>29.127713498557874</v>
      </c>
      <c r="AY189" s="1656">
        <v>30.585169880556695</v>
      </c>
      <c r="AZ189" s="1656">
        <v>26.803489439749491</v>
      </c>
      <c r="BA189" s="1656">
        <v>31.314967860353057</v>
      </c>
      <c r="BB189" s="1673">
        <v>31.713039485740765</v>
      </c>
      <c r="BC189" s="646"/>
      <c r="BD189" s="646"/>
      <c r="BE189" s="655">
        <f t="shared" si="517"/>
        <v>28.335575743200501</v>
      </c>
      <c r="BF189" s="655">
        <f t="shared" si="518"/>
        <v>21.264773405160874</v>
      </c>
      <c r="BG189" s="655">
        <f t="shared" si="519"/>
        <v>20.305585188620906</v>
      </c>
      <c r="BH189" s="655">
        <f t="shared" si="520"/>
        <v>26.959642857142853</v>
      </c>
      <c r="BI189" s="655">
        <f t="shared" si="521"/>
        <v>31.690572858731926</v>
      </c>
      <c r="BJ189" s="655">
        <f t="shared" si="522"/>
        <v>21.699381862099255</v>
      </c>
      <c r="BK189" s="672">
        <f t="shared" si="523"/>
        <v>19.182178876010397</v>
      </c>
      <c r="BL189" s="672">
        <f t="shared" si="524"/>
        <v>22.534424613544601</v>
      </c>
      <c r="BM189" s="672">
        <f t="shared" si="525"/>
        <v>23.145104166666666</v>
      </c>
      <c r="BN189" s="672">
        <f t="shared" si="526"/>
        <v>24.445833333300005</v>
      </c>
      <c r="BO189" s="672">
        <f t="shared" si="527"/>
        <v>27.649999999899997</v>
      </c>
      <c r="BP189" s="672">
        <f t="shared" si="528"/>
        <v>30.104166666600005</v>
      </c>
      <c r="BQ189" s="637"/>
      <c r="BR189" s="684"/>
      <c r="BS189" s="685"/>
      <c r="BU189" s="609"/>
      <c r="BV189" s="608"/>
      <c r="BW189" s="608"/>
      <c r="BX189" s="608"/>
    </row>
    <row r="190" spans="2:76" ht="12.75" customHeight="1">
      <c r="B190" s="721"/>
      <c r="C190" s="1739" t="s">
        <v>65</v>
      </c>
      <c r="D190" s="1621"/>
      <c r="E190" s="1621"/>
      <c r="F190" s="1743"/>
      <c r="G190" s="1423">
        <v>39.792162207161546</v>
      </c>
      <c r="H190" s="1654">
        <v>18.396992540064101</v>
      </c>
      <c r="I190" s="1654">
        <v>24.471085883152178</v>
      </c>
      <c r="J190" s="1655">
        <v>26.837953423097826</v>
      </c>
      <c r="K190" s="1423">
        <v>18.974865649255229</v>
      </c>
      <c r="L190" s="1654">
        <v>10.592114644001832</v>
      </c>
      <c r="M190" s="1654">
        <v>23.428638822463746</v>
      </c>
      <c r="N190" s="1655">
        <v>24.040611232563403</v>
      </c>
      <c r="O190" s="1423">
        <v>19.574844206780533</v>
      </c>
      <c r="P190" s="1654">
        <v>14.132461858974361</v>
      </c>
      <c r="Q190" s="1654">
        <v>19.690949210824268</v>
      </c>
      <c r="R190" s="1654">
        <v>27.320213811911241</v>
      </c>
      <c r="S190" s="1423">
        <v>34.906394377365146</v>
      </c>
      <c r="T190" s="1654">
        <v>29.51015124084249</v>
      </c>
      <c r="U190" s="1654">
        <v>32.575099427083344</v>
      </c>
      <c r="V190" s="1655">
        <v>37.361519796557985</v>
      </c>
      <c r="W190" s="1654">
        <v>42.627117423409828</v>
      </c>
      <c r="X190" s="1654">
        <v>21.235009505690744</v>
      </c>
      <c r="Y190" s="1654">
        <v>33.125406867559512</v>
      </c>
      <c r="Z190" s="1655">
        <v>32.544144284297367</v>
      </c>
      <c r="AA190" s="1654">
        <v>24.552941132037905</v>
      </c>
      <c r="AB190" s="1654">
        <v>25.405648776654878</v>
      </c>
      <c r="AC190" s="1654">
        <v>28.41391110280798</v>
      </c>
      <c r="AD190" s="1655">
        <v>25.53134713495729</v>
      </c>
      <c r="AE190" s="1654">
        <v>20.780798292565343</v>
      </c>
      <c r="AF190" s="1654">
        <v>18.439791219093404</v>
      </c>
      <c r="AG190" s="1654">
        <v>27.717085095270448</v>
      </c>
      <c r="AH190" s="1655">
        <v>27.225998677746944</v>
      </c>
      <c r="AI190" s="1654">
        <v>23.502615202110384</v>
      </c>
      <c r="AJ190" s="1656">
        <v>22.058978634484564</v>
      </c>
      <c r="AK190" s="1656">
        <v>29.16276689554218</v>
      </c>
      <c r="AL190" s="1657">
        <v>31.166413735261386</v>
      </c>
      <c r="AM190" s="1656">
        <v>27.79077055530394</v>
      </c>
      <c r="AN190" s="1656">
        <v>23.866666666666671</v>
      </c>
      <c r="AO190" s="1656">
        <v>32.4</v>
      </c>
      <c r="AP190" s="1657">
        <v>31.849999999999998</v>
      </c>
      <c r="AQ190" s="1656">
        <v>32.001911923859012</v>
      </c>
      <c r="AR190" s="1656">
        <v>23.464576991634761</v>
      </c>
      <c r="AS190" s="1656">
        <v>31.792406772147991</v>
      </c>
      <c r="AT190" s="1657">
        <v>34.124437645558224</v>
      </c>
      <c r="AU190" s="1656">
        <v>35.011840479141661</v>
      </c>
      <c r="AV190" s="1656">
        <v>25.671529516621057</v>
      </c>
      <c r="AW190" s="1656">
        <v>34.782630394171832</v>
      </c>
      <c r="AX190" s="1657">
        <v>37.333999610065447</v>
      </c>
      <c r="AY190" s="1656">
        <v>36.703552148808996</v>
      </c>
      <c r="AZ190" s="1656">
        <v>26.911933490452423</v>
      </c>
      <c r="BA190" s="1656">
        <v>36.46326702835853</v>
      </c>
      <c r="BB190" s="1673">
        <v>39.137913998780029</v>
      </c>
      <c r="BC190" s="646"/>
      <c r="BD190" s="646"/>
      <c r="BE190" s="655">
        <f t="shared" si="517"/>
        <v>27.374548513368911</v>
      </c>
      <c r="BF190" s="655">
        <f t="shared" si="518"/>
        <v>19.259057587071052</v>
      </c>
      <c r="BG190" s="655">
        <f t="shared" si="519"/>
        <v>20.179617272122602</v>
      </c>
      <c r="BH190" s="655">
        <f t="shared" si="520"/>
        <v>33.588291210462245</v>
      </c>
      <c r="BI190" s="655">
        <f t="shared" si="521"/>
        <v>32.382919520239362</v>
      </c>
      <c r="BJ190" s="655">
        <f t="shared" si="522"/>
        <v>25.975962036614511</v>
      </c>
      <c r="BK190" s="672">
        <f t="shared" si="523"/>
        <v>23.540918321169034</v>
      </c>
      <c r="BL190" s="672">
        <f t="shared" si="524"/>
        <v>26.472693616849629</v>
      </c>
      <c r="BM190" s="672">
        <f t="shared" si="525"/>
        <v>28.976859305492653</v>
      </c>
      <c r="BN190" s="672">
        <f t="shared" si="526"/>
        <v>30.3458333333</v>
      </c>
      <c r="BO190" s="672">
        <f t="shared" si="527"/>
        <v>33.200000000000003</v>
      </c>
      <c r="BP190" s="672">
        <f t="shared" si="528"/>
        <v>34.804166666599997</v>
      </c>
      <c r="BQ190" s="637"/>
      <c r="BR190" s="684"/>
      <c r="BS190" s="685"/>
      <c r="BU190" s="609"/>
      <c r="BV190" s="608"/>
      <c r="BW190" s="608"/>
      <c r="BX190" s="608"/>
    </row>
    <row r="191" spans="2:76" ht="12.75" customHeight="1">
      <c r="B191" s="721"/>
      <c r="C191" s="1739" t="s">
        <v>66</v>
      </c>
      <c r="D191" s="1621"/>
      <c r="E191" s="1621"/>
      <c r="F191" s="1743"/>
      <c r="G191" s="1423">
        <v>37.117594064527246</v>
      </c>
      <c r="H191" s="1654">
        <v>19.113250432692308</v>
      </c>
      <c r="I191" s="1654">
        <v>25.547545279664849</v>
      </c>
      <c r="J191" s="1655">
        <v>27.749613651449284</v>
      </c>
      <c r="K191" s="1423">
        <v>18.722317882447662</v>
      </c>
      <c r="L191" s="1654">
        <v>9.3984892651098875</v>
      </c>
      <c r="M191" s="1654">
        <v>23.640035421195652</v>
      </c>
      <c r="N191" s="1655">
        <v>25.15623199827899</v>
      </c>
      <c r="O191" s="1423">
        <v>20.248332309583525</v>
      </c>
      <c r="P191" s="1654">
        <v>12.638521983745417</v>
      </c>
      <c r="Q191" s="1654">
        <v>18.538177578124998</v>
      </c>
      <c r="R191" s="1654">
        <v>27.611688596331518</v>
      </c>
      <c r="S191" s="1423">
        <v>32.535625475191225</v>
      </c>
      <c r="T191" s="1654">
        <v>29.389078711080582</v>
      </c>
      <c r="U191" s="1654">
        <v>33.408651492300713</v>
      </c>
      <c r="V191" s="1655">
        <v>39.111093514039872</v>
      </c>
      <c r="W191" s="1654">
        <v>43.573062782256443</v>
      </c>
      <c r="X191" s="1654">
        <v>25.133060753891947</v>
      </c>
      <c r="Y191" s="1654">
        <v>33.672098231107654</v>
      </c>
      <c r="Z191" s="1655">
        <v>32.79430912681805</v>
      </c>
      <c r="AA191" s="1654">
        <v>25.992472138601332</v>
      </c>
      <c r="AB191" s="1654">
        <v>27.16867147632129</v>
      </c>
      <c r="AC191" s="1654">
        <v>27.614825502717384</v>
      </c>
      <c r="AD191" s="1655">
        <v>26.110869571577393</v>
      </c>
      <c r="AE191" s="1654">
        <v>20.11139374158903</v>
      </c>
      <c r="AF191" s="1654">
        <v>21.2270874957483</v>
      </c>
      <c r="AG191" s="1654">
        <v>29.189901377458604</v>
      </c>
      <c r="AH191" s="1655">
        <v>28.44518337338728</v>
      </c>
      <c r="AI191" s="1654">
        <v>24.123383839646465</v>
      </c>
      <c r="AJ191" s="1656">
        <v>20.910626551641812</v>
      </c>
      <c r="AK191" s="1656">
        <v>30.198757360248454</v>
      </c>
      <c r="AL191" s="1657">
        <v>30.953927045121635</v>
      </c>
      <c r="AM191" s="1656">
        <v>29.637675953200478</v>
      </c>
      <c r="AN191" s="1656">
        <v>24.700000000000003</v>
      </c>
      <c r="AO191" s="1656">
        <v>32.199999999999996</v>
      </c>
      <c r="AP191" s="1657">
        <v>32.1</v>
      </c>
      <c r="AQ191" s="1656">
        <v>32.382642291161041</v>
      </c>
      <c r="AR191" s="1656">
        <v>24.129274044874869</v>
      </c>
      <c r="AS191" s="1656">
        <v>32.172365393166494</v>
      </c>
      <c r="AT191" s="1657">
        <v>36.099051603997601</v>
      </c>
      <c r="AU191" s="1656">
        <v>35.345392387291405</v>
      </c>
      <c r="AV191" s="1656">
        <v>26.336907639231747</v>
      </c>
      <c r="AW191" s="1656">
        <v>35.115876852309</v>
      </c>
      <c r="AX191" s="1657">
        <v>39.401823121167837</v>
      </c>
      <c r="AY191" s="1656">
        <v>37.010587696706686</v>
      </c>
      <c r="AZ191" s="1656">
        <v>27.577694403877224</v>
      </c>
      <c r="BA191" s="1656">
        <v>36.770259205169637</v>
      </c>
      <c r="BB191" s="1673">
        <v>41.258125360646446</v>
      </c>
      <c r="BC191" s="646"/>
      <c r="BD191" s="646"/>
      <c r="BE191" s="655">
        <f t="shared" si="517"/>
        <v>27.382000857083419</v>
      </c>
      <c r="BF191" s="655">
        <f t="shared" si="518"/>
        <v>19.229268641758047</v>
      </c>
      <c r="BG191" s="655">
        <f t="shared" si="519"/>
        <v>19.759180116946364</v>
      </c>
      <c r="BH191" s="655">
        <f t="shared" si="520"/>
        <v>33.611112298153103</v>
      </c>
      <c r="BI191" s="655">
        <f t="shared" si="521"/>
        <v>33.793132723518525</v>
      </c>
      <c r="BJ191" s="655">
        <f t="shared" si="522"/>
        <v>26.72170967230435</v>
      </c>
      <c r="BK191" s="672">
        <f t="shared" si="523"/>
        <v>24.743391497045803</v>
      </c>
      <c r="BL191" s="672">
        <f t="shared" si="524"/>
        <v>26.54667369916459</v>
      </c>
      <c r="BM191" s="672">
        <f t="shared" si="525"/>
        <v>29.659418988300118</v>
      </c>
      <c r="BN191" s="672">
        <f t="shared" si="526"/>
        <v>31.195833333300001</v>
      </c>
      <c r="BO191" s="672">
        <f t="shared" si="527"/>
        <v>34.049999999999997</v>
      </c>
      <c r="BP191" s="672">
        <f t="shared" si="528"/>
        <v>35.654166666599998</v>
      </c>
      <c r="BQ191" s="637"/>
      <c r="BR191" s="684"/>
      <c r="BS191" s="685"/>
      <c r="BU191" s="609"/>
      <c r="BV191" s="608"/>
      <c r="BW191" s="608"/>
      <c r="BX191" s="608"/>
    </row>
    <row r="192" spans="2:76" ht="12.75" customHeight="1">
      <c r="B192" s="721"/>
      <c r="C192" s="1739" t="s">
        <v>67</v>
      </c>
      <c r="D192" s="1621"/>
      <c r="E192" s="1621"/>
      <c r="F192" s="1743"/>
      <c r="G192" s="1986">
        <v>37.893934426229499</v>
      </c>
      <c r="H192" s="1662">
        <v>20.846551724137928</v>
      </c>
      <c r="I192" s="1662">
        <v>25.973666666666677</v>
      </c>
      <c r="J192" s="1663">
        <v>29.371206896551723</v>
      </c>
      <c r="K192" s="1986">
        <v>16.248095238095239</v>
      </c>
      <c r="L192" s="1662">
        <v>8.8706896551724146</v>
      </c>
      <c r="M192" s="1662">
        <v>19.931132075471702</v>
      </c>
      <c r="N192" s="1663">
        <v>27.305689655172419</v>
      </c>
      <c r="O192" s="1986">
        <v>19.371833333333331</v>
      </c>
      <c r="P192" s="1662">
        <v>7.370967741935433E-2</v>
      </c>
      <c r="Q192" s="1662">
        <v>13.051400000000001</v>
      </c>
      <c r="R192" s="1662">
        <v>25.025692307692317</v>
      </c>
      <c r="S192" s="1986">
        <v>26.816410256410261</v>
      </c>
      <c r="T192" s="1662">
        <v>17.528181818181817</v>
      </c>
      <c r="U192" s="1662">
        <v>23.521739130434778</v>
      </c>
      <c r="V192" s="1663">
        <v>37.909999999999997</v>
      </c>
      <c r="W192" s="1662">
        <v>24.855277777777776</v>
      </c>
      <c r="X192" s="1662">
        <v>13.964473684210526</v>
      </c>
      <c r="Y192" s="1662">
        <v>27.640666666666668</v>
      </c>
      <c r="Z192" s="1663">
        <v>27.14555555555555</v>
      </c>
      <c r="AA192" s="1662">
        <v>15.056279069767442</v>
      </c>
      <c r="AB192" s="1662">
        <v>22.67235294117647</v>
      </c>
      <c r="AC192" s="1662">
        <v>22.541666666666668</v>
      </c>
      <c r="AD192" s="1663">
        <v>19.292727272727276</v>
      </c>
      <c r="AE192" s="1662">
        <v>14.811363636363636</v>
      </c>
      <c r="AF192" s="1662">
        <v>10.678222222222219</v>
      </c>
      <c r="AG192" s="1662">
        <v>23.4837037037037</v>
      </c>
      <c r="AH192" s="1663">
        <v>18.550377358490564</v>
      </c>
      <c r="AI192" s="1662">
        <v>17.034905660377362</v>
      </c>
      <c r="AJ192" s="1664">
        <v>3.7259375000000001</v>
      </c>
      <c r="AK192" s="1664">
        <v>23.68</v>
      </c>
      <c r="AL192" s="1665">
        <v>22.81</v>
      </c>
      <c r="AM192" s="1664">
        <v>17.439166666666669</v>
      </c>
      <c r="AN192" s="1664">
        <v>5.3999999999999995</v>
      </c>
      <c r="AO192" s="1664">
        <v>17.400000000000002</v>
      </c>
      <c r="AP192" s="1665">
        <v>20.55</v>
      </c>
      <c r="AQ192" s="1664">
        <v>24.123736367380481</v>
      </c>
      <c r="AR192" s="1664">
        <v>9.8099081391649516</v>
      </c>
      <c r="AS192" s="1664">
        <v>22.519600445252877</v>
      </c>
      <c r="AT192" s="1665">
        <v>19.730088381401686</v>
      </c>
      <c r="AU192" s="1664">
        <v>28.308843114166567</v>
      </c>
      <c r="AV192" s="1664">
        <v>11.511780192205842</v>
      </c>
      <c r="AW192" s="1664">
        <v>26.426413648774417</v>
      </c>
      <c r="AX192" s="1665">
        <v>23.152963044853177</v>
      </c>
      <c r="AY192" s="1664">
        <v>30.974011975501607</v>
      </c>
      <c r="AZ192" s="1664">
        <v>12.59557008722444</v>
      </c>
      <c r="BA192" s="1664">
        <v>28.914359005263648</v>
      </c>
      <c r="BB192" s="1731">
        <v>25.332725598410299</v>
      </c>
      <c r="BC192" s="646"/>
      <c r="BD192" s="646"/>
      <c r="BE192" s="655">
        <f t="shared" si="517"/>
        <v>28.521339928396458</v>
      </c>
      <c r="BF192" s="655">
        <f t="shared" si="518"/>
        <v>18.088901655977942</v>
      </c>
      <c r="BG192" s="655">
        <f t="shared" si="519"/>
        <v>14.380658829611251</v>
      </c>
      <c r="BH192" s="655">
        <f t="shared" si="520"/>
        <v>26.444082801256712</v>
      </c>
      <c r="BI192" s="655">
        <f t="shared" si="521"/>
        <v>23.401493421052628</v>
      </c>
      <c r="BJ192" s="655">
        <f t="shared" si="522"/>
        <v>19.890756487584465</v>
      </c>
      <c r="BK192" s="672">
        <f t="shared" si="523"/>
        <v>16.880916730195029</v>
      </c>
      <c r="BL192" s="672">
        <f t="shared" si="524"/>
        <v>16.812710790094339</v>
      </c>
      <c r="BM192" s="672">
        <f t="shared" si="525"/>
        <v>15.197291666666668</v>
      </c>
      <c r="BN192" s="672">
        <f t="shared" si="526"/>
        <v>19.045833333299999</v>
      </c>
      <c r="BO192" s="672">
        <f t="shared" si="527"/>
        <v>22.35</v>
      </c>
      <c r="BP192" s="672">
        <f t="shared" si="528"/>
        <v>24.454166666599995</v>
      </c>
      <c r="BQ192" s="637"/>
      <c r="BR192" s="684"/>
      <c r="BS192" s="685"/>
      <c r="BU192" s="609"/>
      <c r="BV192" s="608"/>
      <c r="BW192" s="608"/>
      <c r="BX192" s="608"/>
    </row>
    <row r="193" spans="2:76" ht="12.75" customHeight="1">
      <c r="B193" s="721"/>
      <c r="C193" s="1739"/>
      <c r="D193" s="1621"/>
      <c r="E193" s="1621"/>
      <c r="F193" s="1745"/>
      <c r="G193" s="1423">
        <v>0</v>
      </c>
      <c r="H193" s="1654">
        <v>0</v>
      </c>
      <c r="I193" s="1654">
        <v>0</v>
      </c>
      <c r="J193" s="1655">
        <v>18.965745967741935</v>
      </c>
      <c r="K193" s="1423">
        <v>21.679500452898552</v>
      </c>
      <c r="L193" s="1654">
        <v>15.42058035714286</v>
      </c>
      <c r="M193" s="1654">
        <v>30.891255661231888</v>
      </c>
      <c r="N193" s="1655">
        <v>16.763071376811602</v>
      </c>
      <c r="O193" s="1423">
        <v>13.916985188724318</v>
      </c>
      <c r="P193" s="1654">
        <v>13.258952609890109</v>
      </c>
      <c r="Q193" s="1654">
        <v>19.372339221014496</v>
      </c>
      <c r="R193" s="1654">
        <v>20.709261096014483</v>
      </c>
      <c r="S193" s="1423">
        <v>20.440848782206118</v>
      </c>
      <c r="T193" s="1656">
        <v>23.552954441391933</v>
      </c>
      <c r="U193" s="1656">
        <v>25.64189198369565</v>
      </c>
      <c r="V193" s="1657">
        <v>26.4882361865942</v>
      </c>
      <c r="W193" s="1656">
        <v>32.272174315619957</v>
      </c>
      <c r="X193" s="1656">
        <v>31.134892399267407</v>
      </c>
      <c r="Y193" s="1656">
        <v>28.14129528985508</v>
      </c>
      <c r="Z193" s="1657">
        <v>25.026826811594209</v>
      </c>
      <c r="AA193" s="1656">
        <v>22.267231833735906</v>
      </c>
      <c r="AB193" s="1656">
        <v>19.322938415750922</v>
      </c>
      <c r="AC193" s="1656">
        <v>19.883229166666666</v>
      </c>
      <c r="AD193" s="1657">
        <v>14.538071105072467</v>
      </c>
      <c r="AE193" s="1656">
        <v>13.415166079391629</v>
      </c>
      <c r="AF193" s="1656">
        <v>13.686976877289379</v>
      </c>
      <c r="AG193" s="1656">
        <v>20.563768115942029</v>
      </c>
      <c r="AH193" s="1657">
        <v>17.754754528985508</v>
      </c>
      <c r="AI193" s="1656">
        <v>15.114614834943641</v>
      </c>
      <c r="AJ193" s="1656">
        <v>18.580832188644688</v>
      </c>
      <c r="AK193" s="1656">
        <v>21.66212522644927</v>
      </c>
      <c r="AL193" s="1657">
        <v>17.263756521739129</v>
      </c>
      <c r="AM193" s="1656">
        <v>17.088877969001611</v>
      </c>
      <c r="AN193" s="1656">
        <v>18.510540000000002</v>
      </c>
      <c r="AO193" s="1656">
        <v>27.807523333333336</v>
      </c>
      <c r="AP193" s="1657">
        <v>17.338083333333334</v>
      </c>
      <c r="AQ193" s="1656">
        <v>16.957303958202534</v>
      </c>
      <c r="AR193" s="1656">
        <v>14.649290816252094</v>
      </c>
      <c r="AS193" s="1656">
        <v>20.911155316984395</v>
      </c>
      <c r="AT193" s="1657">
        <v>16.626713241760964</v>
      </c>
      <c r="AU193" s="1656">
        <v>16.447007807315547</v>
      </c>
      <c r="AV193" s="1656">
        <v>14.208449705236832</v>
      </c>
      <c r="AW193" s="1656">
        <v>20.281875916487753</v>
      </c>
      <c r="AX193" s="1657">
        <v>16.126365557359861</v>
      </c>
      <c r="AY193" s="1656">
        <v>15.71573988720429</v>
      </c>
      <c r="AZ193" s="1656">
        <v>13.576712699595451</v>
      </c>
      <c r="BA193" s="1656">
        <v>19.380101843588751</v>
      </c>
      <c r="BB193" s="1673">
        <v>15.409354053611498</v>
      </c>
      <c r="BC193" s="646"/>
      <c r="BD193" s="646"/>
      <c r="BE193" s="655"/>
      <c r="BF193" s="655"/>
      <c r="BG193" s="655"/>
      <c r="BH193" s="655"/>
      <c r="BI193" s="655"/>
      <c r="BJ193" s="655"/>
      <c r="BK193" s="655"/>
      <c r="BL193" s="655"/>
      <c r="BM193" s="655"/>
      <c r="BN193" s="655"/>
      <c r="BO193" s="655"/>
      <c r="BP193" s="655"/>
      <c r="BQ193" s="637"/>
      <c r="BR193" s="638"/>
      <c r="BU193" s="609"/>
      <c r="BV193" s="608"/>
      <c r="BW193" s="608"/>
      <c r="BX193" s="608"/>
    </row>
    <row r="194" spans="2:76" ht="12.75" customHeight="1">
      <c r="B194" s="721"/>
      <c r="C194" s="1746" t="s">
        <v>46</v>
      </c>
      <c r="D194" s="1622"/>
      <c r="E194" s="1622"/>
      <c r="F194" s="1742"/>
      <c r="G194" s="1642"/>
      <c r="H194" s="1649"/>
      <c r="I194" s="1649"/>
      <c r="J194" s="1650"/>
      <c r="K194" s="1642"/>
      <c r="L194" s="1649"/>
      <c r="M194" s="1649"/>
      <c r="N194" s="1650"/>
      <c r="O194" s="1642"/>
      <c r="P194" s="1649"/>
      <c r="Q194" s="1649"/>
      <c r="R194" s="1649"/>
      <c r="S194" s="1985"/>
      <c r="T194" s="1658"/>
      <c r="U194" s="1658"/>
      <c r="V194" s="1659"/>
      <c r="W194" s="1658"/>
      <c r="X194" s="1658"/>
      <c r="Y194" s="1658"/>
      <c r="Z194" s="1659"/>
      <c r="AA194" s="1658"/>
      <c r="AB194" s="1660"/>
      <c r="AC194" s="1660"/>
      <c r="AD194" s="1661"/>
      <c r="AE194" s="1658"/>
      <c r="AF194" s="1660"/>
      <c r="AG194" s="1660"/>
      <c r="AH194" s="1661"/>
      <c r="AI194" s="1658"/>
      <c r="AJ194" s="1660"/>
      <c r="AK194" s="1660"/>
      <c r="AL194" s="1661"/>
      <c r="AM194" s="1660"/>
      <c r="AN194" s="1660"/>
      <c r="AO194" s="1660"/>
      <c r="AP194" s="1661"/>
      <c r="AQ194" s="1660"/>
      <c r="AR194" s="1660"/>
      <c r="AS194" s="1660"/>
      <c r="AT194" s="1661"/>
      <c r="AU194" s="1660"/>
      <c r="AV194" s="1660"/>
      <c r="AW194" s="1660"/>
      <c r="AX194" s="1661"/>
      <c r="AY194" s="1660"/>
      <c r="AZ194" s="1660"/>
      <c r="BA194" s="1660"/>
      <c r="BB194" s="1730"/>
      <c r="BC194" s="669"/>
      <c r="BD194" s="670"/>
      <c r="BE194" s="554"/>
      <c r="BF194" s="554"/>
      <c r="BG194" s="554"/>
      <c r="BH194" s="554"/>
      <c r="BI194" s="554"/>
      <c r="BJ194" s="554"/>
      <c r="BK194" s="554"/>
      <c r="BL194" s="554"/>
      <c r="BM194" s="554"/>
      <c r="BN194" s="554"/>
      <c r="BO194" s="554"/>
      <c r="BP194" s="554"/>
      <c r="BQ194" s="637"/>
      <c r="BR194" s="682"/>
      <c r="BU194" s="609"/>
      <c r="BV194" s="608"/>
      <c r="BW194" s="608"/>
      <c r="BX194" s="608"/>
    </row>
    <row r="195" spans="2:76" ht="12.75" customHeight="1">
      <c r="B195" s="721"/>
      <c r="C195" s="1748" t="s">
        <v>24</v>
      </c>
      <c r="D195" s="1621"/>
      <c r="E195" s="1621"/>
      <c r="F195" s="1745"/>
      <c r="G195" s="1423"/>
      <c r="H195" s="1654"/>
      <c r="I195" s="1654"/>
      <c r="J195" s="1655"/>
      <c r="K195" s="1423"/>
      <c r="L195" s="1654"/>
      <c r="M195" s="1654"/>
      <c r="N195" s="1655"/>
      <c r="O195" s="1423"/>
      <c r="P195" s="1654"/>
      <c r="Q195" s="1654"/>
      <c r="R195" s="1654"/>
      <c r="S195" s="1423"/>
      <c r="T195" s="1656"/>
      <c r="U195" s="1656"/>
      <c r="V195" s="1657"/>
      <c r="W195" s="1656"/>
      <c r="X195" s="1656"/>
      <c r="Y195" s="1656"/>
      <c r="Z195" s="1657"/>
      <c r="AA195" s="1656"/>
      <c r="AB195" s="1656"/>
      <c r="AC195" s="1656"/>
      <c r="AD195" s="1657"/>
      <c r="AE195" s="1656"/>
      <c r="AF195" s="1656"/>
      <c r="AG195" s="1656"/>
      <c r="AH195" s="1657"/>
      <c r="AI195" s="1656"/>
      <c r="AJ195" s="1656"/>
      <c r="AK195" s="1656"/>
      <c r="AL195" s="1657"/>
      <c r="AM195" s="1656"/>
      <c r="AN195" s="1656"/>
      <c r="AO195" s="1656"/>
      <c r="AP195" s="1657"/>
      <c r="AQ195" s="1656"/>
      <c r="AR195" s="1656"/>
      <c r="AS195" s="1656"/>
      <c r="AT195" s="1657"/>
      <c r="AU195" s="1656"/>
      <c r="AV195" s="1656"/>
      <c r="AW195" s="1656"/>
      <c r="AX195" s="1657"/>
      <c r="AY195" s="1656"/>
      <c r="AZ195" s="1656"/>
      <c r="BA195" s="1656"/>
      <c r="BB195" s="1673"/>
      <c r="BC195" s="646"/>
      <c r="BD195" s="646"/>
      <c r="BE195" s="655"/>
      <c r="BF195" s="655"/>
      <c r="BG195" s="655"/>
      <c r="BH195" s="672"/>
      <c r="BI195" s="672"/>
      <c r="BJ195" s="672"/>
      <c r="BK195" s="672"/>
      <c r="BL195" s="672"/>
      <c r="BM195" s="672"/>
      <c r="BN195" s="672"/>
      <c r="BO195" s="672"/>
      <c r="BP195" s="672"/>
      <c r="BQ195" s="637"/>
      <c r="BR195" s="682"/>
      <c r="BU195" s="609"/>
      <c r="BV195" s="608"/>
      <c r="BW195" s="608"/>
      <c r="BX195" s="608"/>
    </row>
    <row r="196" spans="2:76" ht="12.75" customHeight="1">
      <c r="B196" s="721"/>
      <c r="C196" s="1739" t="s">
        <v>761</v>
      </c>
      <c r="D196" s="1621"/>
      <c r="E196" s="1621"/>
      <c r="F196" s="1745"/>
      <c r="G196" s="1423">
        <v>1.3604838709677409</v>
      </c>
      <c r="H196" s="1654">
        <v>0.36958730158730102</v>
      </c>
      <c r="I196" s="1654">
        <v>0.37103124999999881</v>
      </c>
      <c r="J196" s="1655">
        <v>2.0107384615384656</v>
      </c>
      <c r="K196" s="1423">
        <v>2.7836406250000012</v>
      </c>
      <c r="L196" s="1654">
        <v>0.38664062500000007</v>
      </c>
      <c r="M196" s="1654">
        <v>0.58382812500000192</v>
      </c>
      <c r="N196" s="1655">
        <v>0.35206349206349286</v>
      </c>
      <c r="O196" s="1423">
        <v>0.80777777777777793</v>
      </c>
      <c r="P196" s="1654">
        <v>0.20609523809523767</v>
      </c>
      <c r="Q196" s="1654">
        <v>0.18090476190476101</v>
      </c>
      <c r="R196" s="1654">
        <v>0.52926562499999807</v>
      </c>
      <c r="S196" s="1423">
        <v>4.3436166666666658</v>
      </c>
      <c r="T196" s="1654">
        <v>0.30776562499999827</v>
      </c>
      <c r="U196" s="1654">
        <v>0.20923437499999897</v>
      </c>
      <c r="V196" s="1655">
        <v>0.48042187499999889</v>
      </c>
      <c r="W196" s="1423">
        <v>11.865918032786885</v>
      </c>
      <c r="X196" s="1654">
        <v>-0.87728124999999935</v>
      </c>
      <c r="Y196" s="1654">
        <v>-1.3732187500000017</v>
      </c>
      <c r="Z196" s="1655">
        <v>-0.57965624999999754</v>
      </c>
      <c r="AA196" s="1423">
        <v>6.0189193548387117</v>
      </c>
      <c r="AB196" s="1654">
        <v>-0.25368253968253818</v>
      </c>
      <c r="AC196" s="1654">
        <v>-0.4931562499999993</v>
      </c>
      <c r="AD196" s="1655">
        <v>-0.2235238095238099</v>
      </c>
      <c r="AE196" s="1423">
        <v>0.49621311475409802</v>
      </c>
      <c r="AF196" s="1654">
        <v>-0.43893749999999998</v>
      </c>
      <c r="AG196" s="1654">
        <v>-0.95798437499999922</v>
      </c>
      <c r="AH196" s="1655">
        <v>-0.3514999999999997</v>
      </c>
      <c r="AI196" s="1423">
        <v>0.30054838709677556</v>
      </c>
      <c r="AJ196" s="1656">
        <v>-0.38845312499999896</v>
      </c>
      <c r="AK196" s="1656">
        <v>-0.54298412698412557</v>
      </c>
      <c r="AL196" s="1657">
        <v>0.63106451612903358</v>
      </c>
      <c r="AM196" s="1656">
        <v>4.698950819672131</v>
      </c>
      <c r="AN196" s="1656">
        <v>-0.19166666666666643</v>
      </c>
      <c r="AO196" s="1656">
        <v>-0.30999999999999961</v>
      </c>
      <c r="AP196" s="1657">
        <v>0.25666666666666638</v>
      </c>
      <c r="AQ196" s="1656">
        <v>1.637734667576852</v>
      </c>
      <c r="AR196" s="1656">
        <v>-0.69677150590554215</v>
      </c>
      <c r="AS196" s="1656">
        <v>-0.82532002718121711</v>
      </c>
      <c r="AT196" s="1657">
        <v>1.5445568651099078</v>
      </c>
      <c r="AU196" s="1656">
        <v>1.6691288195742207</v>
      </c>
      <c r="AV196" s="1656">
        <v>-0.704374459769459</v>
      </c>
      <c r="AW196" s="1656">
        <v>-0.83498911122825525</v>
      </c>
      <c r="AX196" s="1657">
        <v>1.5745847514234943</v>
      </c>
      <c r="AY196" s="1656">
        <v>1.7632770950378909</v>
      </c>
      <c r="AZ196" s="1656">
        <v>-0.69298925565485447</v>
      </c>
      <c r="BA196" s="1656">
        <v>-0.82743500086795607</v>
      </c>
      <c r="BB196" s="1673">
        <v>1.6671304946849221</v>
      </c>
      <c r="BC196" s="646"/>
      <c r="BD196" s="646"/>
      <c r="BE196" s="655">
        <f t="shared" ref="BE196:BE211" si="529">AVERAGE(G196:J196)</f>
        <v>1.0279602210233767</v>
      </c>
      <c r="BF196" s="655">
        <f t="shared" ref="BF196:BF211" si="530">AVERAGE(K196:N196)</f>
        <v>1.0265432167658739</v>
      </c>
      <c r="BG196" s="655">
        <f t="shared" ref="BG196:BG211" si="531">AVERAGE(O196:R196)</f>
        <v>0.43101085069444367</v>
      </c>
      <c r="BH196" s="672">
        <f t="shared" ref="BH196:BH211" si="532">AVERAGE(S196:V196)</f>
        <v>1.3352596354166657</v>
      </c>
      <c r="BI196" s="672">
        <f t="shared" ref="BI196:BI211" si="533">AVERAGE(W196:Z196)</f>
        <v>2.2589404456967217</v>
      </c>
      <c r="BJ196" s="672">
        <f t="shared" ref="BJ196:BJ211" si="534">AVERAGE(AA196:AD196)</f>
        <v>1.2621391889080911</v>
      </c>
      <c r="BK196" s="672">
        <f t="shared" ref="BK196:BK211" si="535">AVERAGE(AE196:AH196)</f>
        <v>-0.31305219006147522</v>
      </c>
      <c r="BL196" s="672">
        <f t="shared" ref="BL196:BL211" si="536">AVERAGE(AI196:AL196)</f>
        <v>4.3912810421153914E-5</v>
      </c>
      <c r="BM196" s="672">
        <f t="shared" ref="BM196:BM211" si="537">AVERAGE(AM196:AP196)</f>
        <v>1.113487704918033</v>
      </c>
      <c r="BN196" s="672">
        <f t="shared" ref="BN196:BN211" si="538">AVERAGE(AQ196:AT196)</f>
        <v>0.41504999990000013</v>
      </c>
      <c r="BO196" s="672">
        <f t="shared" ref="BO196:BO211" si="539">AVERAGE(AU196:AX196)</f>
        <v>0.42608750000000017</v>
      </c>
      <c r="BP196" s="672">
        <f t="shared" ref="BP196:BP211" si="540">AVERAGE(AY196:BB196)</f>
        <v>0.47749583330000062</v>
      </c>
      <c r="BQ196" s="637"/>
      <c r="BR196" s="684"/>
      <c r="BS196" s="685"/>
      <c r="BU196" s="609"/>
      <c r="BV196" s="608"/>
      <c r="BW196" s="608"/>
      <c r="BX196" s="608"/>
    </row>
    <row r="197" spans="2:76" ht="12.75" customHeight="1">
      <c r="B197" s="721"/>
      <c r="C197" s="1739" t="s">
        <v>25</v>
      </c>
      <c r="D197" s="1621"/>
      <c r="E197" s="1621"/>
      <c r="F197" s="1745"/>
      <c r="G197" s="1423">
        <v>0.89172580645161226</v>
      </c>
      <c r="H197" s="1654">
        <v>0.34730158730158944</v>
      </c>
      <c r="I197" s="1654">
        <v>0.35659375000000004</v>
      </c>
      <c r="J197" s="1655">
        <v>1.4691538461538483</v>
      </c>
      <c r="K197" s="1423">
        <v>1.7646250000000014</v>
      </c>
      <c r="L197" s="1654">
        <v>0.28798437500000063</v>
      </c>
      <c r="M197" s="1654">
        <v>0.25414062500000068</v>
      </c>
      <c r="N197" s="1655">
        <v>0.24365079365079412</v>
      </c>
      <c r="O197" s="1423">
        <v>0.31452380952380965</v>
      </c>
      <c r="P197" s="1654">
        <v>0.1599206349206348</v>
      </c>
      <c r="Q197" s="1654">
        <v>0.16882539682539655</v>
      </c>
      <c r="R197" s="1654">
        <v>0.26892187499999887</v>
      </c>
      <c r="S197" s="1423">
        <v>0.819599999999999</v>
      </c>
      <c r="T197" s="1654">
        <v>0.11882812499999851</v>
      </c>
      <c r="U197" s="1654">
        <v>-1.3265625000001169E-2</v>
      </c>
      <c r="V197" s="1655">
        <v>0.14118750000000091</v>
      </c>
      <c r="W197" s="1423">
        <v>7.5181639344262283</v>
      </c>
      <c r="X197" s="1654">
        <v>-0.89420312500000065</v>
      </c>
      <c r="Y197" s="1654">
        <v>-1.4395156250000012</v>
      </c>
      <c r="Z197" s="1655">
        <v>-1.017578125</v>
      </c>
      <c r="AA197" s="1423">
        <v>3.554258064516127</v>
      </c>
      <c r="AB197" s="1654">
        <v>-1.1179206349206339</v>
      </c>
      <c r="AC197" s="1654">
        <v>-1.3916093749999998</v>
      </c>
      <c r="AD197" s="1655">
        <v>-0.84366666666666723</v>
      </c>
      <c r="AE197" s="1423">
        <v>-0.15401639344262286</v>
      </c>
      <c r="AF197" s="1654">
        <v>-0.55339062499999958</v>
      </c>
      <c r="AG197" s="1654">
        <v>-1.5273593749999999</v>
      </c>
      <c r="AH197" s="1655">
        <v>-0.79788709677419334</v>
      </c>
      <c r="AI197" s="1423">
        <v>-1.6838709677418517E-2</v>
      </c>
      <c r="AJ197" s="1656">
        <v>-0.56160937500000019</v>
      </c>
      <c r="AK197" s="1656">
        <v>-1.2109841269841268</v>
      </c>
      <c r="AL197" s="1657">
        <v>-0.13975806451612982</v>
      </c>
      <c r="AM197" s="1656">
        <v>3.4441967213114757</v>
      </c>
      <c r="AN197" s="1656">
        <v>-0.46333333333333293</v>
      </c>
      <c r="AO197" s="1656">
        <v>-0.59499999999999975</v>
      </c>
      <c r="AP197" s="1657">
        <v>-0.21666666666666679</v>
      </c>
      <c r="AQ197" s="1656">
        <v>0.74457975965344758</v>
      </c>
      <c r="AR197" s="1656">
        <v>-0.76430483819771866</v>
      </c>
      <c r="AS197" s="1656">
        <v>-0.78296558457066712</v>
      </c>
      <c r="AT197" s="1657">
        <v>0.8235214539149398</v>
      </c>
      <c r="AU197" s="1656">
        <v>0.64485745238273218</v>
      </c>
      <c r="AV197" s="1656">
        <v>-0.82982612063011629</v>
      </c>
      <c r="AW197" s="1656">
        <v>-0.84922019602346377</v>
      </c>
      <c r="AX197" s="1657">
        <v>0.71921711267084909</v>
      </c>
      <c r="AY197" s="1656">
        <v>0.64402689825038939</v>
      </c>
      <c r="AZ197" s="1656">
        <v>-0.85250267876937125</v>
      </c>
      <c r="BA197" s="1656">
        <v>-0.87232898455971686</v>
      </c>
      <c r="BB197" s="1673">
        <v>0.71913809827870034</v>
      </c>
      <c r="BC197" s="646"/>
      <c r="BD197" s="646"/>
      <c r="BE197" s="655">
        <f t="shared" si="529"/>
        <v>0.7661937474767625</v>
      </c>
      <c r="BF197" s="655">
        <f t="shared" si="530"/>
        <v>0.63760019841269922</v>
      </c>
      <c r="BG197" s="655">
        <f t="shared" si="531"/>
        <v>0.22804792906745996</v>
      </c>
      <c r="BH197" s="672">
        <f t="shared" si="532"/>
        <v>0.26658749999999931</v>
      </c>
      <c r="BI197" s="672">
        <f t="shared" si="533"/>
        <v>1.0417167648565566</v>
      </c>
      <c r="BJ197" s="672">
        <f t="shared" si="534"/>
        <v>5.0265346982206582E-2</v>
      </c>
      <c r="BK197" s="672">
        <f t="shared" si="535"/>
        <v>-0.75816337255420385</v>
      </c>
      <c r="BL197" s="672">
        <f t="shared" si="536"/>
        <v>-0.48229756904441884</v>
      </c>
      <c r="BM197" s="672">
        <f t="shared" si="537"/>
        <v>0.54229918032786906</v>
      </c>
      <c r="BN197" s="672">
        <f t="shared" si="538"/>
        <v>5.2076977000004021E-3</v>
      </c>
      <c r="BO197" s="672">
        <f t="shared" si="539"/>
        <v>-7.8742937899999699E-2</v>
      </c>
      <c r="BP197" s="672">
        <f t="shared" si="540"/>
        <v>-9.0416666699999593E-2</v>
      </c>
      <c r="BQ197" s="637"/>
      <c r="BR197" s="638"/>
      <c r="BU197" s="609"/>
      <c r="BV197" s="608"/>
      <c r="BW197" s="608"/>
      <c r="BX197" s="608"/>
    </row>
    <row r="198" spans="2:76" ht="12.75" customHeight="1">
      <c r="B198" s="721"/>
      <c r="C198" s="1739" t="s">
        <v>770</v>
      </c>
      <c r="D198" s="1621"/>
      <c r="E198" s="1621"/>
      <c r="F198" s="1745"/>
      <c r="G198" s="1423">
        <v>1.3604838709677409</v>
      </c>
      <c r="H198" s="1654">
        <v>0.36958730158730102</v>
      </c>
      <c r="I198" s="1654">
        <v>0.37103124999999881</v>
      </c>
      <c r="J198" s="1655">
        <v>2.0107384615384656</v>
      </c>
      <c r="K198" s="1423">
        <v>2.7836406250000012</v>
      </c>
      <c r="L198" s="1654">
        <v>0.38664062500000007</v>
      </c>
      <c r="M198" s="1654">
        <v>0.58382812500000192</v>
      </c>
      <c r="N198" s="1655">
        <v>0.35206349206349286</v>
      </c>
      <c r="O198" s="1423">
        <v>0.80777777777777793</v>
      </c>
      <c r="P198" s="1654">
        <v>0.20609523809523767</v>
      </c>
      <c r="Q198" s="1654">
        <v>0.18090476190476101</v>
      </c>
      <c r="R198" s="1654">
        <v>0.52926562499999807</v>
      </c>
      <c r="S198" s="1423">
        <v>4.3436166666666658</v>
      </c>
      <c r="T198" s="1654">
        <v>0.30776562499999827</v>
      </c>
      <c r="U198" s="1654">
        <v>0.20923437499999897</v>
      </c>
      <c r="V198" s="1655">
        <v>0.48042187499999889</v>
      </c>
      <c r="W198" s="1423">
        <v>11.865918032786885</v>
      </c>
      <c r="X198" s="1654">
        <v>-0.87728124999999935</v>
      </c>
      <c r="Y198" s="1654">
        <v>-1.3732187500000017</v>
      </c>
      <c r="Z198" s="1655">
        <v>-0.57965624999999754</v>
      </c>
      <c r="AA198" s="1423">
        <v>6.0189193548387117</v>
      </c>
      <c r="AB198" s="1654">
        <v>-0.25368253968253818</v>
      </c>
      <c r="AC198" s="1654">
        <v>-0.4931562499999993</v>
      </c>
      <c r="AD198" s="1655">
        <v>-0.2235238095238099</v>
      </c>
      <c r="AE198" s="1423">
        <v>0.49621311475409802</v>
      </c>
      <c r="AF198" s="1654">
        <v>-0.43893749999999998</v>
      </c>
      <c r="AG198" s="1654">
        <v>-0.95798437499999922</v>
      </c>
      <c r="AH198" s="1655">
        <v>-0.3514999999999997</v>
      </c>
      <c r="AI198" s="1423">
        <v>0.30054838709677556</v>
      </c>
      <c r="AJ198" s="1656">
        <v>-0.38845312499999896</v>
      </c>
      <c r="AK198" s="1656">
        <v>-0.54298412698412557</v>
      </c>
      <c r="AL198" s="1657">
        <v>0.63106451612903358</v>
      </c>
      <c r="AM198" s="1656">
        <v>4.698950819672131</v>
      </c>
      <c r="AN198" s="1656">
        <v>-0.19166666666666643</v>
      </c>
      <c r="AO198" s="1656">
        <v>-0.30999999999999961</v>
      </c>
      <c r="AP198" s="1657">
        <v>0.25666666666666638</v>
      </c>
      <c r="AQ198" s="1656">
        <v>1.637734667576852</v>
      </c>
      <c r="AR198" s="1656">
        <v>-0.69677150590554215</v>
      </c>
      <c r="AS198" s="1656">
        <v>-0.82532002718121711</v>
      </c>
      <c r="AT198" s="1657">
        <v>1.5445568651099078</v>
      </c>
      <c r="AU198" s="1656">
        <v>1.6691288195742207</v>
      </c>
      <c r="AV198" s="1656">
        <v>-0.704374459769459</v>
      </c>
      <c r="AW198" s="1656">
        <v>-0.83498911122825525</v>
      </c>
      <c r="AX198" s="1657">
        <v>1.5745847514234943</v>
      </c>
      <c r="AY198" s="1656">
        <v>1.7632770950378909</v>
      </c>
      <c r="AZ198" s="1656">
        <v>-0.69298925565485447</v>
      </c>
      <c r="BA198" s="1656">
        <v>-0.82743500086795607</v>
      </c>
      <c r="BB198" s="1673">
        <v>1.6671304946849221</v>
      </c>
      <c r="BC198" s="646"/>
      <c r="BD198" s="646"/>
      <c r="BE198" s="655">
        <f t="shared" si="529"/>
        <v>1.0279602210233767</v>
      </c>
      <c r="BF198" s="655">
        <f t="shared" si="530"/>
        <v>1.0265432167658739</v>
      </c>
      <c r="BG198" s="655">
        <f t="shared" si="531"/>
        <v>0.43101085069444367</v>
      </c>
      <c r="BH198" s="672">
        <f t="shared" si="532"/>
        <v>1.3352596354166657</v>
      </c>
      <c r="BI198" s="672">
        <f t="shared" si="533"/>
        <v>2.2589404456967217</v>
      </c>
      <c r="BJ198" s="672">
        <f t="shared" si="534"/>
        <v>1.2621391889080911</v>
      </c>
      <c r="BK198" s="672">
        <f t="shared" si="535"/>
        <v>-0.31305219006147522</v>
      </c>
      <c r="BL198" s="672">
        <f t="shared" si="536"/>
        <v>4.3912810421153914E-5</v>
      </c>
      <c r="BM198" s="672">
        <f t="shared" si="537"/>
        <v>1.113487704918033</v>
      </c>
      <c r="BN198" s="672">
        <f t="shared" si="538"/>
        <v>0.41504999990000013</v>
      </c>
      <c r="BO198" s="672">
        <f t="shared" si="539"/>
        <v>0.42608750000000017</v>
      </c>
      <c r="BP198" s="672">
        <f t="shared" si="540"/>
        <v>0.47749583330000062</v>
      </c>
      <c r="BQ198" s="637"/>
      <c r="BR198" s="638"/>
      <c r="BU198" s="609"/>
      <c r="BV198" s="608"/>
      <c r="BW198" s="608"/>
      <c r="BX198" s="608"/>
    </row>
    <row r="199" spans="2:76" ht="12.75" customHeight="1">
      <c r="B199" s="721"/>
      <c r="C199" s="1739" t="s">
        <v>771</v>
      </c>
      <c r="D199" s="1621"/>
      <c r="E199" s="1621"/>
      <c r="F199" s="1745"/>
      <c r="G199" s="1423">
        <v>1.3604838709677409</v>
      </c>
      <c r="H199" s="1654">
        <v>0.36958730158730102</v>
      </c>
      <c r="I199" s="1654">
        <v>0.37103124999999881</v>
      </c>
      <c r="J199" s="1655">
        <v>2.0107384615384656</v>
      </c>
      <c r="K199" s="1423">
        <v>2.7836406250000012</v>
      </c>
      <c r="L199" s="1654">
        <v>0.38664062500000007</v>
      </c>
      <c r="M199" s="1654">
        <v>0.58382812500000192</v>
      </c>
      <c r="N199" s="1655">
        <v>0.35206349206349286</v>
      </c>
      <c r="O199" s="1423">
        <v>0.80777777777777793</v>
      </c>
      <c r="P199" s="1654">
        <v>0.20609523809523767</v>
      </c>
      <c r="Q199" s="1654">
        <v>0.18090476190476101</v>
      </c>
      <c r="R199" s="1654">
        <v>0.52926562499999807</v>
      </c>
      <c r="S199" s="1423">
        <v>4.3436166666666658</v>
      </c>
      <c r="T199" s="1654">
        <v>0.30776562499999827</v>
      </c>
      <c r="U199" s="1654">
        <v>0.20923437499999897</v>
      </c>
      <c r="V199" s="1655">
        <v>0.48042187499999889</v>
      </c>
      <c r="W199" s="1423">
        <v>11.865918032786885</v>
      </c>
      <c r="X199" s="1654">
        <v>-0.87728124999999935</v>
      </c>
      <c r="Y199" s="1654">
        <v>-1.3732187500000017</v>
      </c>
      <c r="Z199" s="1655">
        <v>-0.57965624999999754</v>
      </c>
      <c r="AA199" s="1423">
        <v>6.0189193548387117</v>
      </c>
      <c r="AB199" s="1654">
        <v>-0.25368253968253818</v>
      </c>
      <c r="AC199" s="1654">
        <v>-0.4931562499999993</v>
      </c>
      <c r="AD199" s="1655">
        <v>-0.2235238095238099</v>
      </c>
      <c r="AE199" s="1423">
        <v>0.49621311475409802</v>
      </c>
      <c r="AF199" s="1654">
        <v>-0.43893749999999998</v>
      </c>
      <c r="AG199" s="1654">
        <v>-0.95798437499999922</v>
      </c>
      <c r="AH199" s="1655">
        <v>-0.3514999999999997</v>
      </c>
      <c r="AI199" s="1423">
        <v>0.30054838709677556</v>
      </c>
      <c r="AJ199" s="1656">
        <v>-0.38845312499999896</v>
      </c>
      <c r="AK199" s="1656">
        <v>-0.54298412698412557</v>
      </c>
      <c r="AL199" s="1657">
        <v>0.63106451612903358</v>
      </c>
      <c r="AM199" s="1656">
        <v>4.698950819672131</v>
      </c>
      <c r="AN199" s="1656">
        <v>-0.19166666666666643</v>
      </c>
      <c r="AO199" s="1656">
        <v>-0.30999999999999961</v>
      </c>
      <c r="AP199" s="1657">
        <v>0.25666666666666638</v>
      </c>
      <c r="AQ199" s="1656">
        <v>1.637734667576852</v>
      </c>
      <c r="AR199" s="1656">
        <v>-0.69677150590554215</v>
      </c>
      <c r="AS199" s="1656">
        <v>-0.82532002718121711</v>
      </c>
      <c r="AT199" s="1657">
        <v>1.5445568651099078</v>
      </c>
      <c r="AU199" s="1656">
        <v>1.6691288195742207</v>
      </c>
      <c r="AV199" s="1656">
        <v>-0.704374459769459</v>
      </c>
      <c r="AW199" s="1656">
        <v>-0.83498911122825525</v>
      </c>
      <c r="AX199" s="1657">
        <v>1.5745847514234943</v>
      </c>
      <c r="AY199" s="1656">
        <v>1.7632770950378909</v>
      </c>
      <c r="AZ199" s="1656">
        <v>-0.69298925565485447</v>
      </c>
      <c r="BA199" s="1656">
        <v>-0.82743500086795607</v>
      </c>
      <c r="BB199" s="1673">
        <v>1.6671304946849221</v>
      </c>
      <c r="BC199" s="646"/>
      <c r="BD199" s="646"/>
      <c r="BE199" s="655">
        <f t="shared" si="529"/>
        <v>1.0279602210233767</v>
      </c>
      <c r="BF199" s="655">
        <f t="shared" si="530"/>
        <v>1.0265432167658739</v>
      </c>
      <c r="BG199" s="655">
        <f t="shared" si="531"/>
        <v>0.43101085069444367</v>
      </c>
      <c r="BH199" s="672">
        <f t="shared" si="532"/>
        <v>1.3352596354166657</v>
      </c>
      <c r="BI199" s="672">
        <f t="shared" si="533"/>
        <v>2.2589404456967217</v>
      </c>
      <c r="BJ199" s="672">
        <f t="shared" si="534"/>
        <v>1.2621391889080911</v>
      </c>
      <c r="BK199" s="672">
        <f t="shared" si="535"/>
        <v>-0.31305219006147522</v>
      </c>
      <c r="BL199" s="672">
        <f t="shared" si="536"/>
        <v>4.3912810421153914E-5</v>
      </c>
      <c r="BM199" s="672">
        <f t="shared" si="537"/>
        <v>1.113487704918033</v>
      </c>
      <c r="BN199" s="672">
        <f t="shared" si="538"/>
        <v>0.41504999990000013</v>
      </c>
      <c r="BO199" s="672">
        <f t="shared" si="539"/>
        <v>0.42608750000000017</v>
      </c>
      <c r="BP199" s="672">
        <f t="shared" si="540"/>
        <v>0.47749583330000062</v>
      </c>
      <c r="BQ199" s="637"/>
      <c r="BR199" s="638"/>
      <c r="BU199" s="609"/>
      <c r="BV199" s="608"/>
      <c r="BW199" s="608"/>
      <c r="BX199" s="608"/>
    </row>
    <row r="200" spans="2:76" ht="12.75" customHeight="1">
      <c r="B200" s="721"/>
      <c r="C200" s="1744" t="s">
        <v>26</v>
      </c>
      <c r="D200" s="1625"/>
      <c r="E200" s="1625"/>
      <c r="F200" s="1749"/>
      <c r="G200" s="1423">
        <v>0.89172580645161226</v>
      </c>
      <c r="H200" s="1654">
        <v>0.34730158730158944</v>
      </c>
      <c r="I200" s="1654">
        <v>0.35659375000000004</v>
      </c>
      <c r="J200" s="1655">
        <v>1.4691538461538483</v>
      </c>
      <c r="K200" s="1423">
        <v>1.7646250000000014</v>
      </c>
      <c r="L200" s="1654">
        <v>0.28798437500000063</v>
      </c>
      <c r="M200" s="1654">
        <v>0.25414062500000068</v>
      </c>
      <c r="N200" s="1655">
        <v>0.24365079365079412</v>
      </c>
      <c r="O200" s="1423">
        <v>0.31452380952380965</v>
      </c>
      <c r="P200" s="1654">
        <v>0.1599206349206348</v>
      </c>
      <c r="Q200" s="1654">
        <v>0.16882539682539655</v>
      </c>
      <c r="R200" s="1654">
        <v>0.26892187499999887</v>
      </c>
      <c r="S200" s="1423">
        <v>0.819599999999999</v>
      </c>
      <c r="T200" s="1654">
        <v>0.11882812499999851</v>
      </c>
      <c r="U200" s="1654">
        <v>-1.3265625000001169E-2</v>
      </c>
      <c r="V200" s="1655">
        <v>0.14118750000000091</v>
      </c>
      <c r="W200" s="1423">
        <v>7.5181639344262283</v>
      </c>
      <c r="X200" s="1654">
        <v>-0.89420312500000065</v>
      </c>
      <c r="Y200" s="1654">
        <v>-1.4395156250000012</v>
      </c>
      <c r="Z200" s="1655">
        <v>-1.017578125</v>
      </c>
      <c r="AA200" s="1423">
        <v>3.554258064516127</v>
      </c>
      <c r="AB200" s="1654">
        <v>-1.1179206349206339</v>
      </c>
      <c r="AC200" s="1654">
        <v>-1.3916093749999998</v>
      </c>
      <c r="AD200" s="1655">
        <v>-0.84366666666666723</v>
      </c>
      <c r="AE200" s="1423">
        <v>-0.15401639344262286</v>
      </c>
      <c r="AF200" s="1654">
        <v>-0.55339062499999958</v>
      </c>
      <c r="AG200" s="1654">
        <v>-1.5273593749999999</v>
      </c>
      <c r="AH200" s="1655">
        <v>-0.79788709677419334</v>
      </c>
      <c r="AI200" s="1423">
        <v>-1.6838709677418517E-2</v>
      </c>
      <c r="AJ200" s="1656">
        <v>-0.56160937500000019</v>
      </c>
      <c r="AK200" s="1656">
        <v>-1.2109841269841268</v>
      </c>
      <c r="AL200" s="1657">
        <v>-0.13975806451612982</v>
      </c>
      <c r="AM200" s="1656">
        <v>3.4441967213114757</v>
      </c>
      <c r="AN200" s="1656">
        <v>-0.46333333333333293</v>
      </c>
      <c r="AO200" s="1656">
        <v>-0.59499999999999975</v>
      </c>
      <c r="AP200" s="1657">
        <v>-0.21666666666666679</v>
      </c>
      <c r="AQ200" s="1656">
        <v>0.74457975965344758</v>
      </c>
      <c r="AR200" s="1656">
        <v>-0.76430483819771866</v>
      </c>
      <c r="AS200" s="1656">
        <v>-0.78296558457066712</v>
      </c>
      <c r="AT200" s="1657">
        <v>0.8235214539149398</v>
      </c>
      <c r="AU200" s="1656">
        <v>0.64485745238273218</v>
      </c>
      <c r="AV200" s="1656">
        <v>-0.82982612063011629</v>
      </c>
      <c r="AW200" s="1656">
        <v>-0.84922019602346377</v>
      </c>
      <c r="AX200" s="1657">
        <v>0.71921711267084909</v>
      </c>
      <c r="AY200" s="1656">
        <v>0.64402689825038939</v>
      </c>
      <c r="AZ200" s="1656">
        <v>-0.85250267876937125</v>
      </c>
      <c r="BA200" s="1656">
        <v>-0.87232898455971686</v>
      </c>
      <c r="BB200" s="1673">
        <v>0.71913809827870034</v>
      </c>
      <c r="BC200" s="646"/>
      <c r="BD200" s="646"/>
      <c r="BE200" s="655">
        <f t="shared" si="529"/>
        <v>0.7661937474767625</v>
      </c>
      <c r="BF200" s="655">
        <f t="shared" si="530"/>
        <v>0.63760019841269922</v>
      </c>
      <c r="BG200" s="655">
        <f t="shared" si="531"/>
        <v>0.22804792906745996</v>
      </c>
      <c r="BH200" s="672">
        <f t="shared" si="532"/>
        <v>0.26658749999999931</v>
      </c>
      <c r="BI200" s="672">
        <f t="shared" si="533"/>
        <v>1.0417167648565566</v>
      </c>
      <c r="BJ200" s="672">
        <f t="shared" si="534"/>
        <v>5.0265346982206582E-2</v>
      </c>
      <c r="BK200" s="672">
        <f t="shared" si="535"/>
        <v>-0.75816337255420385</v>
      </c>
      <c r="BL200" s="672">
        <f t="shared" si="536"/>
        <v>-0.48229756904441884</v>
      </c>
      <c r="BM200" s="672">
        <f t="shared" si="537"/>
        <v>0.54229918032786906</v>
      </c>
      <c r="BN200" s="672">
        <f t="shared" si="538"/>
        <v>5.2076977000004021E-3</v>
      </c>
      <c r="BO200" s="672">
        <f t="shared" si="539"/>
        <v>-7.8742937899999699E-2</v>
      </c>
      <c r="BP200" s="672">
        <f t="shared" si="540"/>
        <v>-9.0416666699999593E-2</v>
      </c>
      <c r="BQ200" s="637"/>
      <c r="BR200" s="638"/>
      <c r="BU200" s="609"/>
      <c r="BV200" s="608"/>
      <c r="BW200" s="608"/>
      <c r="BX200" s="608"/>
    </row>
    <row r="201" spans="2:76" ht="12.75" customHeight="1">
      <c r="B201" s="721"/>
      <c r="C201" s="1744" t="s">
        <v>762</v>
      </c>
      <c r="D201" s="1625"/>
      <c r="E201" s="1625"/>
      <c r="F201" s="1749"/>
      <c r="G201" s="1423">
        <v>0.89172580645161226</v>
      </c>
      <c r="H201" s="1654">
        <v>0.34730158730158944</v>
      </c>
      <c r="I201" s="1654">
        <v>0.35659375000000004</v>
      </c>
      <c r="J201" s="1655">
        <v>1.4691538461538483</v>
      </c>
      <c r="K201" s="1423">
        <v>1.7646250000000014</v>
      </c>
      <c r="L201" s="1654">
        <v>0.28798437500000063</v>
      </c>
      <c r="M201" s="1654">
        <v>0.25414062500000068</v>
      </c>
      <c r="N201" s="1655">
        <v>0.24365079365079412</v>
      </c>
      <c r="O201" s="1423">
        <v>0.31452380952380965</v>
      </c>
      <c r="P201" s="1654">
        <v>0.1599206349206348</v>
      </c>
      <c r="Q201" s="1654">
        <v>0.16882539682539655</v>
      </c>
      <c r="R201" s="1654">
        <v>0.26892187499999887</v>
      </c>
      <c r="S201" s="1423">
        <v>0.819599999999999</v>
      </c>
      <c r="T201" s="1654">
        <v>0.11882812499999851</v>
      </c>
      <c r="U201" s="1654">
        <v>-1.3265625000001169E-2</v>
      </c>
      <c r="V201" s="1655">
        <v>0.14118750000000091</v>
      </c>
      <c r="W201" s="1423">
        <v>7.5181639344262283</v>
      </c>
      <c r="X201" s="1654">
        <v>-0.89420312500000065</v>
      </c>
      <c r="Y201" s="1654">
        <v>-1.4395156250000012</v>
      </c>
      <c r="Z201" s="1655">
        <v>-1.017578125</v>
      </c>
      <c r="AA201" s="1423">
        <v>3.554258064516127</v>
      </c>
      <c r="AB201" s="1654">
        <v>-1.1179206349206339</v>
      </c>
      <c r="AC201" s="1654">
        <v>-1.3916093749999998</v>
      </c>
      <c r="AD201" s="1655">
        <v>-0.84366666666666723</v>
      </c>
      <c r="AE201" s="1423">
        <v>-0.15401639344262286</v>
      </c>
      <c r="AF201" s="1654">
        <v>-0.55339062499999958</v>
      </c>
      <c r="AG201" s="1654">
        <v>-1.5273593749999999</v>
      </c>
      <c r="AH201" s="1655">
        <v>-0.79788709677419334</v>
      </c>
      <c r="AI201" s="1423">
        <v>-1.6838709677418517E-2</v>
      </c>
      <c r="AJ201" s="1656">
        <v>-0.56160937500000019</v>
      </c>
      <c r="AK201" s="1656">
        <v>-1.2109841269841268</v>
      </c>
      <c r="AL201" s="1657">
        <v>-0.13975806451612982</v>
      </c>
      <c r="AM201" s="1656">
        <v>3.4441967213114757</v>
      </c>
      <c r="AN201" s="1656">
        <v>-0.46333333333333293</v>
      </c>
      <c r="AO201" s="1656">
        <v>-0.59499999999999975</v>
      </c>
      <c r="AP201" s="1657">
        <v>-0.21666666666666679</v>
      </c>
      <c r="AQ201" s="1656">
        <v>0.74457975965344758</v>
      </c>
      <c r="AR201" s="1656">
        <v>-0.76430483819771866</v>
      </c>
      <c r="AS201" s="1656">
        <v>-0.78296558457066712</v>
      </c>
      <c r="AT201" s="1657">
        <v>0.8235214539149398</v>
      </c>
      <c r="AU201" s="1656">
        <v>0.64485745238273218</v>
      </c>
      <c r="AV201" s="1656">
        <v>-0.82982612063011629</v>
      </c>
      <c r="AW201" s="1656">
        <v>-0.84922019602346377</v>
      </c>
      <c r="AX201" s="1657">
        <v>0.71921711267084909</v>
      </c>
      <c r="AY201" s="1656">
        <v>0.64402689825038939</v>
      </c>
      <c r="AZ201" s="1656">
        <v>-0.85250267876937125</v>
      </c>
      <c r="BA201" s="1656">
        <v>-0.87232898455971686</v>
      </c>
      <c r="BB201" s="1673">
        <v>0.71913809827870034</v>
      </c>
      <c r="BC201" s="646"/>
      <c r="BD201" s="646"/>
      <c r="BE201" s="655">
        <f t="shared" si="529"/>
        <v>0.7661937474767625</v>
      </c>
      <c r="BF201" s="655">
        <f t="shared" si="530"/>
        <v>0.63760019841269922</v>
      </c>
      <c r="BG201" s="655">
        <f t="shared" si="531"/>
        <v>0.22804792906745996</v>
      </c>
      <c r="BH201" s="672">
        <f t="shared" si="532"/>
        <v>0.26658749999999931</v>
      </c>
      <c r="BI201" s="672">
        <f t="shared" si="533"/>
        <v>1.0417167648565566</v>
      </c>
      <c r="BJ201" s="672">
        <f t="shared" si="534"/>
        <v>5.0265346982206582E-2</v>
      </c>
      <c r="BK201" s="672">
        <f t="shared" si="535"/>
        <v>-0.75816337255420385</v>
      </c>
      <c r="BL201" s="672">
        <f t="shared" si="536"/>
        <v>-0.48229756904441884</v>
      </c>
      <c r="BM201" s="672">
        <f t="shared" si="537"/>
        <v>0.54229918032786906</v>
      </c>
      <c r="BN201" s="672">
        <f t="shared" si="538"/>
        <v>5.2076977000004021E-3</v>
      </c>
      <c r="BO201" s="672">
        <f t="shared" si="539"/>
        <v>-7.8742937899999699E-2</v>
      </c>
      <c r="BP201" s="672">
        <f t="shared" si="540"/>
        <v>-9.0416666699999593E-2</v>
      </c>
      <c r="BQ201" s="637"/>
      <c r="BR201" s="638"/>
      <c r="BU201" s="609"/>
      <c r="BV201" s="608"/>
      <c r="BW201" s="608"/>
      <c r="BX201" s="608"/>
    </row>
    <row r="202" spans="2:76" ht="12.75" customHeight="1">
      <c r="B202" s="721"/>
      <c r="C202" s="1739" t="s">
        <v>430</v>
      </c>
      <c r="D202" s="1621"/>
      <c r="E202" s="1621"/>
      <c r="F202" s="1745"/>
      <c r="G202" s="1423">
        <v>0.89172580645161226</v>
      </c>
      <c r="H202" s="1654">
        <v>0.34730158730158944</v>
      </c>
      <c r="I202" s="1654">
        <v>0.35659375000000004</v>
      </c>
      <c r="J202" s="1655">
        <v>1.4691538461538483</v>
      </c>
      <c r="K202" s="1423">
        <v>1.7646250000000014</v>
      </c>
      <c r="L202" s="1654">
        <v>0.28798437500000063</v>
      </c>
      <c r="M202" s="1654">
        <v>0.25414062500000068</v>
      </c>
      <c r="N202" s="1655">
        <v>0.24365079365079412</v>
      </c>
      <c r="O202" s="1423">
        <v>0.31452380952380965</v>
      </c>
      <c r="P202" s="1654">
        <v>0.1599206349206348</v>
      </c>
      <c r="Q202" s="1654">
        <v>0.16882539682539655</v>
      </c>
      <c r="R202" s="1654">
        <v>0.26892187499999887</v>
      </c>
      <c r="S202" s="1423">
        <v>0.819599999999999</v>
      </c>
      <c r="T202" s="1654">
        <v>0.11882812499999851</v>
      </c>
      <c r="U202" s="1654">
        <v>-1.3265625000001169E-2</v>
      </c>
      <c r="V202" s="1655">
        <v>0.14118750000000091</v>
      </c>
      <c r="W202" s="1423">
        <v>7.5181639344262283</v>
      </c>
      <c r="X202" s="1654">
        <v>-0.89420312500000065</v>
      </c>
      <c r="Y202" s="1654">
        <v>-1.4395156250000012</v>
      </c>
      <c r="Z202" s="1655">
        <v>-1.017578125</v>
      </c>
      <c r="AA202" s="1423">
        <v>3.554258064516127</v>
      </c>
      <c r="AB202" s="1654">
        <v>-1.1179206349206339</v>
      </c>
      <c r="AC202" s="1654">
        <v>-1.3916093749999998</v>
      </c>
      <c r="AD202" s="1655">
        <v>-0.84366666666666723</v>
      </c>
      <c r="AE202" s="1423">
        <v>-0.15401639344262286</v>
      </c>
      <c r="AF202" s="1654">
        <v>-0.55339062499999958</v>
      </c>
      <c r="AG202" s="1654">
        <v>-1.5273593749999999</v>
      </c>
      <c r="AH202" s="1655">
        <v>-0.79788709677419334</v>
      </c>
      <c r="AI202" s="1423">
        <v>-1.6838709677418517E-2</v>
      </c>
      <c r="AJ202" s="1656">
        <v>-0.56160937500000019</v>
      </c>
      <c r="AK202" s="1656">
        <v>-1.2109841269841268</v>
      </c>
      <c r="AL202" s="1657">
        <v>-0.13975806451612982</v>
      </c>
      <c r="AM202" s="1656">
        <v>3.4441967213114757</v>
      </c>
      <c r="AN202" s="1656">
        <v>0</v>
      </c>
      <c r="AO202" s="1656">
        <v>0</v>
      </c>
      <c r="AP202" s="1657">
        <v>0</v>
      </c>
      <c r="AQ202" s="1656">
        <v>0</v>
      </c>
      <c r="AR202" s="1656">
        <v>0</v>
      </c>
      <c r="AS202" s="1656">
        <v>0</v>
      </c>
      <c r="AT202" s="1657">
        <v>0</v>
      </c>
      <c r="AU202" s="1656">
        <v>0</v>
      </c>
      <c r="AV202" s="1656">
        <v>0</v>
      </c>
      <c r="AW202" s="1656">
        <v>0</v>
      </c>
      <c r="AX202" s="1657">
        <v>0</v>
      </c>
      <c r="AY202" s="1656">
        <v>0</v>
      </c>
      <c r="AZ202" s="1656">
        <v>0</v>
      </c>
      <c r="BA202" s="1656">
        <v>0</v>
      </c>
      <c r="BB202" s="1673">
        <v>0</v>
      </c>
      <c r="BC202" s="646"/>
      <c r="BD202" s="646"/>
      <c r="BE202" s="655">
        <f t="shared" si="529"/>
        <v>0.7661937474767625</v>
      </c>
      <c r="BF202" s="655">
        <f t="shared" si="530"/>
        <v>0.63760019841269922</v>
      </c>
      <c r="BG202" s="655">
        <f t="shared" si="531"/>
        <v>0.22804792906745996</v>
      </c>
      <c r="BH202" s="672">
        <f t="shared" si="532"/>
        <v>0.26658749999999931</v>
      </c>
      <c r="BI202" s="672">
        <f t="shared" si="533"/>
        <v>1.0417167648565566</v>
      </c>
      <c r="BJ202" s="672">
        <f t="shared" si="534"/>
        <v>5.0265346982206582E-2</v>
      </c>
      <c r="BK202" s="672">
        <f t="shared" si="535"/>
        <v>-0.75816337255420385</v>
      </c>
      <c r="BL202" s="672">
        <f t="shared" si="536"/>
        <v>-0.48229756904441884</v>
      </c>
      <c r="BM202" s="672">
        <f t="shared" si="537"/>
        <v>0.86104918032786892</v>
      </c>
      <c r="BN202" s="672">
        <f t="shared" si="538"/>
        <v>0</v>
      </c>
      <c r="BO202" s="672">
        <f t="shared" si="539"/>
        <v>0</v>
      </c>
      <c r="BP202" s="672">
        <f t="shared" si="540"/>
        <v>0</v>
      </c>
      <c r="BQ202" s="637"/>
      <c r="BR202" s="638"/>
      <c r="BU202" s="609"/>
      <c r="BV202" s="608"/>
      <c r="BW202" s="608"/>
      <c r="BX202" s="608"/>
    </row>
    <row r="203" spans="2:76" ht="12.75" customHeight="1">
      <c r="B203" s="721"/>
      <c r="C203" s="1739" t="s">
        <v>772</v>
      </c>
      <c r="D203" s="1621"/>
      <c r="E203" s="1621"/>
      <c r="F203" s="1745"/>
      <c r="G203" s="1423">
        <v>0</v>
      </c>
      <c r="H203" s="1654">
        <v>0</v>
      </c>
      <c r="I203" s="1654">
        <v>0</v>
      </c>
      <c r="J203" s="1655">
        <v>0</v>
      </c>
      <c r="K203" s="1423">
        <v>0</v>
      </c>
      <c r="L203" s="1654">
        <v>0</v>
      </c>
      <c r="M203" s="1654">
        <v>0</v>
      </c>
      <c r="N203" s="1655">
        <v>0</v>
      </c>
      <c r="O203" s="1423">
        <v>0</v>
      </c>
      <c r="P203" s="1654">
        <v>0</v>
      </c>
      <c r="Q203" s="1654">
        <v>0</v>
      </c>
      <c r="R203" s="1654">
        <v>0</v>
      </c>
      <c r="S203" s="1423">
        <v>0</v>
      </c>
      <c r="T203" s="1654">
        <v>0</v>
      </c>
      <c r="U203" s="1654">
        <v>0</v>
      </c>
      <c r="V203" s="1655">
        <v>0</v>
      </c>
      <c r="W203" s="1423">
        <v>0</v>
      </c>
      <c r="X203" s="1654">
        <v>0</v>
      </c>
      <c r="Y203" s="1654">
        <v>0</v>
      </c>
      <c r="Z203" s="1655">
        <v>0</v>
      </c>
      <c r="AA203" s="1423">
        <v>0</v>
      </c>
      <c r="AB203" s="1654">
        <v>0</v>
      </c>
      <c r="AC203" s="1654">
        <v>0</v>
      </c>
      <c r="AD203" s="1655">
        <v>0</v>
      </c>
      <c r="AE203" s="1423">
        <v>0</v>
      </c>
      <c r="AF203" s="1654">
        <v>0</v>
      </c>
      <c r="AG203" s="1654">
        <v>0</v>
      </c>
      <c r="AH203" s="1655">
        <v>0</v>
      </c>
      <c r="AI203" s="1423">
        <v>0</v>
      </c>
      <c r="AJ203" s="1656">
        <v>0</v>
      </c>
      <c r="AK203" s="1656">
        <v>0</v>
      </c>
      <c r="AL203" s="1657">
        <v>0</v>
      </c>
      <c r="AM203" s="1656">
        <v>0</v>
      </c>
      <c r="AN203" s="1656">
        <v>0</v>
      </c>
      <c r="AO203" s="1656">
        <v>0</v>
      </c>
      <c r="AP203" s="1657">
        <v>0</v>
      </c>
      <c r="AQ203" s="1656">
        <v>0</v>
      </c>
      <c r="AR203" s="1656">
        <v>0</v>
      </c>
      <c r="AS203" s="1656">
        <v>0</v>
      </c>
      <c r="AT203" s="1657">
        <v>0</v>
      </c>
      <c r="AU203" s="1656">
        <v>0</v>
      </c>
      <c r="AV203" s="1656">
        <v>0</v>
      </c>
      <c r="AW203" s="1656">
        <v>0</v>
      </c>
      <c r="AX203" s="1657">
        <v>0</v>
      </c>
      <c r="AY203" s="1656">
        <v>0</v>
      </c>
      <c r="AZ203" s="1656">
        <v>0</v>
      </c>
      <c r="BA203" s="1656">
        <v>0</v>
      </c>
      <c r="BB203" s="1673">
        <v>0</v>
      </c>
      <c r="BC203" s="646"/>
      <c r="BD203" s="646"/>
      <c r="BE203" s="655">
        <f t="shared" si="529"/>
        <v>0</v>
      </c>
      <c r="BF203" s="655">
        <f t="shared" si="530"/>
        <v>0</v>
      </c>
      <c r="BG203" s="655">
        <f t="shared" si="531"/>
        <v>0</v>
      </c>
      <c r="BH203" s="672">
        <f t="shared" si="532"/>
        <v>0</v>
      </c>
      <c r="BI203" s="672">
        <f t="shared" si="533"/>
        <v>0</v>
      </c>
      <c r="BJ203" s="672">
        <f t="shared" si="534"/>
        <v>0</v>
      </c>
      <c r="BK203" s="672">
        <f t="shared" si="535"/>
        <v>0</v>
      </c>
      <c r="BL203" s="672">
        <f t="shared" si="536"/>
        <v>0</v>
      </c>
      <c r="BM203" s="672">
        <f t="shared" si="537"/>
        <v>0</v>
      </c>
      <c r="BN203" s="672">
        <f t="shared" si="538"/>
        <v>0</v>
      </c>
      <c r="BO203" s="672">
        <f t="shared" si="539"/>
        <v>0</v>
      </c>
      <c r="BP203" s="672">
        <f t="shared" si="540"/>
        <v>0</v>
      </c>
      <c r="BQ203" s="637"/>
      <c r="BR203" s="638"/>
      <c r="BU203" s="609"/>
      <c r="BV203" s="608"/>
      <c r="BW203" s="608"/>
      <c r="BX203" s="608"/>
    </row>
    <row r="204" spans="2:76" ht="12.75" customHeight="1">
      <c r="B204" s="721"/>
      <c r="C204" s="1739" t="s">
        <v>773</v>
      </c>
      <c r="D204" s="1621"/>
      <c r="E204" s="1621"/>
      <c r="F204" s="1745"/>
      <c r="G204" s="1423">
        <v>0</v>
      </c>
      <c r="H204" s="1654">
        <v>0</v>
      </c>
      <c r="I204" s="1654">
        <v>0</v>
      </c>
      <c r="J204" s="1655">
        <v>0</v>
      </c>
      <c r="K204" s="1423">
        <v>0</v>
      </c>
      <c r="L204" s="1654">
        <v>0</v>
      </c>
      <c r="M204" s="1654">
        <v>0</v>
      </c>
      <c r="N204" s="1655">
        <v>0</v>
      </c>
      <c r="O204" s="1423">
        <v>0</v>
      </c>
      <c r="P204" s="1654">
        <v>0</v>
      </c>
      <c r="Q204" s="1654">
        <v>0</v>
      </c>
      <c r="R204" s="1654">
        <v>0</v>
      </c>
      <c r="S204" s="1423">
        <v>0</v>
      </c>
      <c r="T204" s="1654">
        <v>0</v>
      </c>
      <c r="U204" s="1654">
        <v>0</v>
      </c>
      <c r="V204" s="1655">
        <v>0</v>
      </c>
      <c r="W204" s="1423">
        <v>0</v>
      </c>
      <c r="X204" s="1654">
        <v>0</v>
      </c>
      <c r="Y204" s="1654">
        <v>0</v>
      </c>
      <c r="Z204" s="1655">
        <v>0</v>
      </c>
      <c r="AA204" s="1423">
        <v>0</v>
      </c>
      <c r="AB204" s="1654">
        <v>0</v>
      </c>
      <c r="AC204" s="1654">
        <v>0</v>
      </c>
      <c r="AD204" s="1655">
        <v>0</v>
      </c>
      <c r="AE204" s="1423">
        <v>0</v>
      </c>
      <c r="AF204" s="1654">
        <v>0</v>
      </c>
      <c r="AG204" s="1654">
        <v>0</v>
      </c>
      <c r="AH204" s="1655">
        <v>0</v>
      </c>
      <c r="AI204" s="1423">
        <v>0</v>
      </c>
      <c r="AJ204" s="1656">
        <v>0</v>
      </c>
      <c r="AK204" s="1656">
        <v>0</v>
      </c>
      <c r="AL204" s="1657">
        <v>0</v>
      </c>
      <c r="AM204" s="1656">
        <v>0</v>
      </c>
      <c r="AN204" s="1656">
        <v>0</v>
      </c>
      <c r="AO204" s="1656">
        <v>0</v>
      </c>
      <c r="AP204" s="1657">
        <v>0</v>
      </c>
      <c r="AQ204" s="1656">
        <v>0</v>
      </c>
      <c r="AR204" s="1656">
        <v>0</v>
      </c>
      <c r="AS204" s="1656">
        <v>0</v>
      </c>
      <c r="AT204" s="1657">
        <v>0</v>
      </c>
      <c r="AU204" s="1656">
        <v>0</v>
      </c>
      <c r="AV204" s="1656">
        <v>0</v>
      </c>
      <c r="AW204" s="1656">
        <v>0</v>
      </c>
      <c r="AX204" s="1657">
        <v>0</v>
      </c>
      <c r="AY204" s="1656">
        <v>0</v>
      </c>
      <c r="AZ204" s="1656">
        <v>0</v>
      </c>
      <c r="BA204" s="1656">
        <v>0</v>
      </c>
      <c r="BB204" s="1673">
        <v>0</v>
      </c>
      <c r="BC204" s="646"/>
      <c r="BD204" s="646"/>
      <c r="BE204" s="655">
        <f t="shared" si="529"/>
        <v>0</v>
      </c>
      <c r="BF204" s="655">
        <f t="shared" si="530"/>
        <v>0</v>
      </c>
      <c r="BG204" s="655">
        <f t="shared" si="531"/>
        <v>0</v>
      </c>
      <c r="BH204" s="672">
        <f t="shared" si="532"/>
        <v>0</v>
      </c>
      <c r="BI204" s="672">
        <f t="shared" si="533"/>
        <v>0</v>
      </c>
      <c r="BJ204" s="672">
        <f t="shared" si="534"/>
        <v>0</v>
      </c>
      <c r="BK204" s="672">
        <f t="shared" si="535"/>
        <v>0</v>
      </c>
      <c r="BL204" s="672">
        <f t="shared" si="536"/>
        <v>0</v>
      </c>
      <c r="BM204" s="672">
        <f t="shared" si="537"/>
        <v>0</v>
      </c>
      <c r="BN204" s="672">
        <f t="shared" si="538"/>
        <v>0</v>
      </c>
      <c r="BO204" s="672">
        <f t="shared" si="539"/>
        <v>0</v>
      </c>
      <c r="BP204" s="672">
        <f t="shared" si="540"/>
        <v>0</v>
      </c>
      <c r="BQ204" s="637"/>
      <c r="BR204" s="638"/>
      <c r="BU204" s="609"/>
      <c r="BV204" s="608"/>
      <c r="BW204" s="608"/>
      <c r="BX204" s="608"/>
    </row>
    <row r="205" spans="2:76" ht="12.75" customHeight="1">
      <c r="B205" s="721"/>
      <c r="C205" s="1739" t="s">
        <v>774</v>
      </c>
      <c r="D205" s="1621"/>
      <c r="E205" s="1621"/>
      <c r="F205" s="1745"/>
      <c r="G205" s="1423">
        <v>0</v>
      </c>
      <c r="H205" s="1654">
        <v>0</v>
      </c>
      <c r="I205" s="1654">
        <v>0</v>
      </c>
      <c r="J205" s="1655">
        <v>0</v>
      </c>
      <c r="K205" s="1423">
        <v>0</v>
      </c>
      <c r="L205" s="1654">
        <v>0</v>
      </c>
      <c r="M205" s="1654">
        <v>0</v>
      </c>
      <c r="N205" s="1655">
        <v>0</v>
      </c>
      <c r="O205" s="1423">
        <v>0</v>
      </c>
      <c r="P205" s="1654">
        <v>0</v>
      </c>
      <c r="Q205" s="1654">
        <v>0</v>
      </c>
      <c r="R205" s="1654">
        <v>0</v>
      </c>
      <c r="S205" s="1423">
        <v>0</v>
      </c>
      <c r="T205" s="1654">
        <v>0</v>
      </c>
      <c r="U205" s="1654">
        <v>0</v>
      </c>
      <c r="V205" s="1655">
        <v>0</v>
      </c>
      <c r="W205" s="1423">
        <v>0</v>
      </c>
      <c r="X205" s="1654">
        <v>0</v>
      </c>
      <c r="Y205" s="1654">
        <v>0</v>
      </c>
      <c r="Z205" s="1655">
        <v>0</v>
      </c>
      <c r="AA205" s="1423">
        <v>0</v>
      </c>
      <c r="AB205" s="1654">
        <v>0</v>
      </c>
      <c r="AC205" s="1654">
        <v>0</v>
      </c>
      <c r="AD205" s="1655">
        <v>0</v>
      </c>
      <c r="AE205" s="1423">
        <v>0</v>
      </c>
      <c r="AF205" s="1654">
        <v>0</v>
      </c>
      <c r="AG205" s="1654">
        <v>0</v>
      </c>
      <c r="AH205" s="1655">
        <v>0</v>
      </c>
      <c r="AI205" s="1423">
        <v>0</v>
      </c>
      <c r="AJ205" s="1656">
        <v>0</v>
      </c>
      <c r="AK205" s="1656">
        <v>0</v>
      </c>
      <c r="AL205" s="1657">
        <v>0</v>
      </c>
      <c r="AM205" s="1656">
        <v>0</v>
      </c>
      <c r="AN205" s="1656">
        <v>0</v>
      </c>
      <c r="AO205" s="1656">
        <v>0</v>
      </c>
      <c r="AP205" s="1657">
        <v>0</v>
      </c>
      <c r="AQ205" s="1656">
        <v>0</v>
      </c>
      <c r="AR205" s="1656">
        <v>0</v>
      </c>
      <c r="AS205" s="1656">
        <v>0</v>
      </c>
      <c r="AT205" s="1657">
        <v>0</v>
      </c>
      <c r="AU205" s="1656">
        <v>0</v>
      </c>
      <c r="AV205" s="1656">
        <v>0</v>
      </c>
      <c r="AW205" s="1656">
        <v>0</v>
      </c>
      <c r="AX205" s="1657">
        <v>0</v>
      </c>
      <c r="AY205" s="1656">
        <v>0</v>
      </c>
      <c r="AZ205" s="1656">
        <v>0</v>
      </c>
      <c r="BA205" s="1656">
        <v>0</v>
      </c>
      <c r="BB205" s="1673">
        <v>0</v>
      </c>
      <c r="BC205" s="646"/>
      <c r="BD205" s="646"/>
      <c r="BE205" s="655">
        <f t="shared" si="529"/>
        <v>0</v>
      </c>
      <c r="BF205" s="655">
        <f t="shared" si="530"/>
        <v>0</v>
      </c>
      <c r="BG205" s="655">
        <f t="shared" si="531"/>
        <v>0</v>
      </c>
      <c r="BH205" s="672">
        <f t="shared" si="532"/>
        <v>0</v>
      </c>
      <c r="BI205" s="672">
        <f t="shared" si="533"/>
        <v>0</v>
      </c>
      <c r="BJ205" s="672">
        <f t="shared" si="534"/>
        <v>0</v>
      </c>
      <c r="BK205" s="672">
        <f t="shared" si="535"/>
        <v>0</v>
      </c>
      <c r="BL205" s="672">
        <f t="shared" si="536"/>
        <v>0</v>
      </c>
      <c r="BM205" s="672">
        <f t="shared" si="537"/>
        <v>0</v>
      </c>
      <c r="BN205" s="672">
        <f t="shared" si="538"/>
        <v>0</v>
      </c>
      <c r="BO205" s="672">
        <f t="shared" si="539"/>
        <v>0</v>
      </c>
      <c r="BP205" s="672">
        <f t="shared" si="540"/>
        <v>0</v>
      </c>
      <c r="BQ205" s="637"/>
      <c r="BR205" s="638"/>
      <c r="BU205" s="609"/>
      <c r="BV205" s="608"/>
      <c r="BW205" s="608"/>
      <c r="BX205" s="608"/>
    </row>
    <row r="206" spans="2:76" ht="12.75" customHeight="1">
      <c r="B206" s="721"/>
      <c r="C206" s="1739" t="s">
        <v>775</v>
      </c>
      <c r="D206" s="1621"/>
      <c r="E206" s="1621"/>
      <c r="F206" s="1745"/>
      <c r="G206" s="1423">
        <v>0</v>
      </c>
      <c r="H206" s="1654">
        <v>0</v>
      </c>
      <c r="I206" s="1654">
        <v>0</v>
      </c>
      <c r="J206" s="1655">
        <v>0</v>
      </c>
      <c r="K206" s="1423">
        <v>0</v>
      </c>
      <c r="L206" s="1654">
        <v>0</v>
      </c>
      <c r="M206" s="1654">
        <v>0</v>
      </c>
      <c r="N206" s="1655">
        <v>0</v>
      </c>
      <c r="O206" s="1423">
        <v>0</v>
      </c>
      <c r="P206" s="1654">
        <v>0</v>
      </c>
      <c r="Q206" s="1654">
        <v>0</v>
      </c>
      <c r="R206" s="1654">
        <v>0</v>
      </c>
      <c r="S206" s="1423">
        <v>0</v>
      </c>
      <c r="T206" s="1654">
        <v>0</v>
      </c>
      <c r="U206" s="1654">
        <v>0</v>
      </c>
      <c r="V206" s="1655">
        <v>0</v>
      </c>
      <c r="W206" s="1423">
        <v>0</v>
      </c>
      <c r="X206" s="1654">
        <v>0</v>
      </c>
      <c r="Y206" s="1654">
        <v>0</v>
      </c>
      <c r="Z206" s="1655">
        <v>0</v>
      </c>
      <c r="AA206" s="1423">
        <v>0</v>
      </c>
      <c r="AB206" s="1654">
        <v>0</v>
      </c>
      <c r="AC206" s="1654">
        <v>0</v>
      </c>
      <c r="AD206" s="1655">
        <v>0</v>
      </c>
      <c r="AE206" s="1423">
        <v>0</v>
      </c>
      <c r="AF206" s="1654">
        <v>0</v>
      </c>
      <c r="AG206" s="1654">
        <v>0</v>
      </c>
      <c r="AH206" s="1655">
        <v>0</v>
      </c>
      <c r="AI206" s="1423">
        <v>0</v>
      </c>
      <c r="AJ206" s="1656">
        <v>0</v>
      </c>
      <c r="AK206" s="1656">
        <v>0</v>
      </c>
      <c r="AL206" s="1657">
        <v>0</v>
      </c>
      <c r="AM206" s="1656">
        <v>0</v>
      </c>
      <c r="AN206" s="1656">
        <v>0</v>
      </c>
      <c r="AO206" s="1656">
        <v>0</v>
      </c>
      <c r="AP206" s="1657">
        <v>0</v>
      </c>
      <c r="AQ206" s="1656">
        <v>0</v>
      </c>
      <c r="AR206" s="1656">
        <v>0</v>
      </c>
      <c r="AS206" s="1656">
        <v>0</v>
      </c>
      <c r="AT206" s="1657">
        <v>0</v>
      </c>
      <c r="AU206" s="1656">
        <v>0</v>
      </c>
      <c r="AV206" s="1656">
        <v>0</v>
      </c>
      <c r="AW206" s="1656">
        <v>0</v>
      </c>
      <c r="AX206" s="1657">
        <v>0</v>
      </c>
      <c r="AY206" s="1656">
        <v>0</v>
      </c>
      <c r="AZ206" s="1656">
        <v>0</v>
      </c>
      <c r="BA206" s="1656">
        <v>0</v>
      </c>
      <c r="BB206" s="1673">
        <v>0</v>
      </c>
      <c r="BC206" s="646"/>
      <c r="BD206" s="646"/>
      <c r="BE206" s="655">
        <f t="shared" si="529"/>
        <v>0</v>
      </c>
      <c r="BF206" s="655">
        <f t="shared" si="530"/>
        <v>0</v>
      </c>
      <c r="BG206" s="655">
        <f t="shared" si="531"/>
        <v>0</v>
      </c>
      <c r="BH206" s="672">
        <f t="shared" si="532"/>
        <v>0</v>
      </c>
      <c r="BI206" s="672">
        <f t="shared" si="533"/>
        <v>0</v>
      </c>
      <c r="BJ206" s="672">
        <f t="shared" si="534"/>
        <v>0</v>
      </c>
      <c r="BK206" s="672">
        <f t="shared" si="535"/>
        <v>0</v>
      </c>
      <c r="BL206" s="672">
        <f t="shared" si="536"/>
        <v>0</v>
      </c>
      <c r="BM206" s="672">
        <f t="shared" si="537"/>
        <v>0</v>
      </c>
      <c r="BN206" s="672">
        <f t="shared" si="538"/>
        <v>0</v>
      </c>
      <c r="BO206" s="672">
        <f t="shared" si="539"/>
        <v>0</v>
      </c>
      <c r="BP206" s="672">
        <f t="shared" si="540"/>
        <v>0</v>
      </c>
      <c r="BQ206" s="637"/>
      <c r="BR206" s="638"/>
      <c r="BU206" s="609"/>
      <c r="BV206" s="608"/>
      <c r="BW206" s="608"/>
      <c r="BX206" s="608"/>
    </row>
    <row r="207" spans="2:76" ht="12.75" customHeight="1">
      <c r="B207" s="721"/>
      <c r="C207" s="1739" t="s">
        <v>776</v>
      </c>
      <c r="D207" s="1621"/>
      <c r="E207" s="1621"/>
      <c r="F207" s="1745"/>
      <c r="G207" s="1423">
        <v>0</v>
      </c>
      <c r="H207" s="1654">
        <v>0</v>
      </c>
      <c r="I207" s="1654">
        <v>0</v>
      </c>
      <c r="J207" s="1655">
        <v>0</v>
      </c>
      <c r="K207" s="1423">
        <v>0</v>
      </c>
      <c r="L207" s="1654">
        <v>0</v>
      </c>
      <c r="M207" s="1654">
        <v>0</v>
      </c>
      <c r="N207" s="1655">
        <v>0</v>
      </c>
      <c r="O207" s="1423">
        <v>0</v>
      </c>
      <c r="P207" s="1654">
        <v>0</v>
      </c>
      <c r="Q207" s="1654">
        <v>0</v>
      </c>
      <c r="R207" s="1654">
        <v>0</v>
      </c>
      <c r="S207" s="1423">
        <v>0</v>
      </c>
      <c r="T207" s="1654">
        <v>0</v>
      </c>
      <c r="U207" s="1654">
        <v>0</v>
      </c>
      <c r="V207" s="1655">
        <v>0</v>
      </c>
      <c r="W207" s="1423">
        <v>0</v>
      </c>
      <c r="X207" s="1654">
        <v>0</v>
      </c>
      <c r="Y207" s="1654">
        <v>0</v>
      </c>
      <c r="Z207" s="1655">
        <v>0</v>
      </c>
      <c r="AA207" s="1423">
        <v>0</v>
      </c>
      <c r="AB207" s="1654">
        <v>0</v>
      </c>
      <c r="AC207" s="1654">
        <v>0</v>
      </c>
      <c r="AD207" s="1655">
        <v>0</v>
      </c>
      <c r="AE207" s="1423">
        <v>0</v>
      </c>
      <c r="AF207" s="1654">
        <v>0</v>
      </c>
      <c r="AG207" s="1654">
        <v>0</v>
      </c>
      <c r="AH207" s="1655">
        <v>0</v>
      </c>
      <c r="AI207" s="1423">
        <v>0</v>
      </c>
      <c r="AJ207" s="1656">
        <v>0</v>
      </c>
      <c r="AK207" s="1656">
        <v>0</v>
      </c>
      <c r="AL207" s="1657">
        <v>0</v>
      </c>
      <c r="AM207" s="1656">
        <v>0</v>
      </c>
      <c r="AN207" s="1656">
        <v>0</v>
      </c>
      <c r="AO207" s="1656">
        <v>0</v>
      </c>
      <c r="AP207" s="1657">
        <v>0</v>
      </c>
      <c r="AQ207" s="1656">
        <v>0</v>
      </c>
      <c r="AR207" s="1656">
        <v>0</v>
      </c>
      <c r="AS207" s="1656">
        <v>0</v>
      </c>
      <c r="AT207" s="1657">
        <v>0</v>
      </c>
      <c r="AU207" s="1656">
        <v>0</v>
      </c>
      <c r="AV207" s="1656">
        <v>0</v>
      </c>
      <c r="AW207" s="1656">
        <v>0</v>
      </c>
      <c r="AX207" s="1657">
        <v>0</v>
      </c>
      <c r="AY207" s="1656">
        <v>0</v>
      </c>
      <c r="AZ207" s="1656">
        <v>0</v>
      </c>
      <c r="BA207" s="1656">
        <v>0</v>
      </c>
      <c r="BB207" s="1673">
        <v>0</v>
      </c>
      <c r="BC207" s="646"/>
      <c r="BD207" s="646"/>
      <c r="BE207" s="655">
        <f t="shared" si="529"/>
        <v>0</v>
      </c>
      <c r="BF207" s="655">
        <f t="shared" si="530"/>
        <v>0</v>
      </c>
      <c r="BG207" s="655">
        <f t="shared" si="531"/>
        <v>0</v>
      </c>
      <c r="BH207" s="672">
        <f t="shared" si="532"/>
        <v>0</v>
      </c>
      <c r="BI207" s="672">
        <f t="shared" si="533"/>
        <v>0</v>
      </c>
      <c r="BJ207" s="672">
        <f t="shared" si="534"/>
        <v>0</v>
      </c>
      <c r="BK207" s="672">
        <f t="shared" si="535"/>
        <v>0</v>
      </c>
      <c r="BL207" s="672">
        <f t="shared" si="536"/>
        <v>0</v>
      </c>
      <c r="BM207" s="672">
        <f t="shared" si="537"/>
        <v>0</v>
      </c>
      <c r="BN207" s="672">
        <f t="shared" si="538"/>
        <v>0</v>
      </c>
      <c r="BO207" s="672">
        <f t="shared" si="539"/>
        <v>0</v>
      </c>
      <c r="BP207" s="672">
        <f t="shared" si="540"/>
        <v>0</v>
      </c>
      <c r="BQ207" s="637"/>
      <c r="BR207" s="638"/>
      <c r="BU207" s="609"/>
      <c r="BV207" s="608"/>
      <c r="BW207" s="608"/>
      <c r="BX207" s="608"/>
    </row>
    <row r="208" spans="2:76" ht="12.75" customHeight="1">
      <c r="B208" s="721"/>
      <c r="C208" s="1739" t="s">
        <v>777</v>
      </c>
      <c r="D208" s="1621"/>
      <c r="E208" s="1621"/>
      <c r="F208" s="1745"/>
      <c r="G208" s="1423">
        <v>-5.9550084889643529E-3</v>
      </c>
      <c r="H208" s="1654">
        <v>-0.1638730158730155</v>
      </c>
      <c r="I208" s="1654">
        <v>-0.31553124999999982</v>
      </c>
      <c r="J208" s="1655">
        <v>2.7430769230770924E-2</v>
      </c>
      <c r="K208" s="1423">
        <v>-4.0562500000001833E-2</v>
      </c>
      <c r="L208" s="1654">
        <v>2.5078125000001172E-2</v>
      </c>
      <c r="M208" s="1654">
        <v>0.14203125000000227</v>
      </c>
      <c r="N208" s="1655">
        <v>0.29906349206349114</v>
      </c>
      <c r="O208" s="1423">
        <v>0.31830158730158775</v>
      </c>
      <c r="P208" s="1654">
        <v>0.28319047619047666</v>
      </c>
      <c r="Q208" s="1654">
        <v>0.20952380952380834</v>
      </c>
      <c r="R208" s="1654">
        <v>0.32709374999999907</v>
      </c>
      <c r="S208" s="1423">
        <v>0.26973333333333294</v>
      </c>
      <c r="T208" s="1654">
        <v>0.15754687499999775</v>
      </c>
      <c r="U208" s="1654">
        <v>0.23087499999999972</v>
      </c>
      <c r="V208" s="1655">
        <v>0.29959375000000188</v>
      </c>
      <c r="W208" s="1423">
        <v>0.30404918032786998</v>
      </c>
      <c r="X208" s="1654">
        <v>0.30642187499999984</v>
      </c>
      <c r="Y208" s="1654">
        <v>0.50754687499999829</v>
      </c>
      <c r="Z208" s="1655">
        <v>0.25204687500000134</v>
      </c>
      <c r="AA208" s="1423">
        <v>-3.7548387096775215E-2</v>
      </c>
      <c r="AB208" s="1654">
        <v>6.8507936507938183E-2</v>
      </c>
      <c r="AC208" s="1654">
        <v>0.26343749999999932</v>
      </c>
      <c r="AD208" s="1655">
        <v>0.35907936507936444</v>
      </c>
      <c r="AE208" s="1423">
        <v>0.10468852459016342</v>
      </c>
      <c r="AF208" s="1654">
        <v>7.9562500000000203E-2</v>
      </c>
      <c r="AG208" s="1654">
        <v>3.6515625000000718E-2</v>
      </c>
      <c r="AH208" s="1655">
        <v>4.9693548387096609E-2</v>
      </c>
      <c r="AI208" s="1423">
        <v>0.15672580645161371</v>
      </c>
      <c r="AJ208" s="1656">
        <v>0.10859375000000027</v>
      </c>
      <c r="AK208" s="1656">
        <v>0.25880952380952404</v>
      </c>
      <c r="AL208" s="1657">
        <v>1.4901290322580647</v>
      </c>
      <c r="AM208" s="1656">
        <v>0.7802950819672132</v>
      </c>
      <c r="AN208" s="1656">
        <v>-0.66499999999999959</v>
      </c>
      <c r="AO208" s="1656">
        <v>-0.37199999999999989</v>
      </c>
      <c r="AP208" s="1657">
        <v>-0.49500000000000055</v>
      </c>
      <c r="AQ208" s="1656">
        <v>-0.30713417480557936</v>
      </c>
      <c r="AR208" s="1656">
        <v>-0.75064523540322092</v>
      </c>
      <c r="AS208" s="1656">
        <v>-0.53237727470099783</v>
      </c>
      <c r="AT208" s="1657">
        <v>-0.20050998189020053</v>
      </c>
      <c r="AU208" s="1656">
        <v>-0.26491667997570767</v>
      </c>
      <c r="AV208" s="1656">
        <v>-0.72952134616272168</v>
      </c>
      <c r="AW208" s="1656">
        <v>-0.50344822491097485</v>
      </c>
      <c r="AX208" s="1657">
        <v>-0.15278041575059387</v>
      </c>
      <c r="AY208" s="1656">
        <v>-0.18976284925876685</v>
      </c>
      <c r="AZ208" s="1656">
        <v>-0.6882236801665047</v>
      </c>
      <c r="BA208" s="1656">
        <v>-0.44995803943269674</v>
      </c>
      <c r="BB208" s="1673">
        <v>-6.8722097942030214E-2</v>
      </c>
      <c r="BC208" s="646"/>
      <c r="BD208" s="646"/>
      <c r="BE208" s="655">
        <f t="shared" si="529"/>
        <v>-0.11448212628280219</v>
      </c>
      <c r="BF208" s="655">
        <f t="shared" si="530"/>
        <v>0.10640259176587319</v>
      </c>
      <c r="BG208" s="655">
        <f t="shared" si="531"/>
        <v>0.28452740575396795</v>
      </c>
      <c r="BH208" s="672">
        <f t="shared" si="532"/>
        <v>0.23943723958333307</v>
      </c>
      <c r="BI208" s="672">
        <f t="shared" si="533"/>
        <v>0.34251620133196736</v>
      </c>
      <c r="BJ208" s="672">
        <f t="shared" si="534"/>
        <v>0.16336910362263168</v>
      </c>
      <c r="BK208" s="672">
        <f t="shared" si="535"/>
        <v>6.7615049494315238E-2</v>
      </c>
      <c r="BL208" s="672">
        <f t="shared" si="536"/>
        <v>0.50356452812980068</v>
      </c>
      <c r="BM208" s="672">
        <f t="shared" si="537"/>
        <v>-0.18792622950819671</v>
      </c>
      <c r="BN208" s="672">
        <f t="shared" si="538"/>
        <v>-0.44766666669999966</v>
      </c>
      <c r="BO208" s="672">
        <f t="shared" si="539"/>
        <v>-0.41266666669999952</v>
      </c>
      <c r="BP208" s="672">
        <f t="shared" si="540"/>
        <v>-0.34916666669999963</v>
      </c>
      <c r="BQ208" s="637"/>
      <c r="BR208" s="638"/>
      <c r="BU208" s="609"/>
      <c r="BV208" s="608"/>
      <c r="BW208" s="608"/>
      <c r="BX208" s="608"/>
    </row>
    <row r="209" spans="2:76" ht="12.75" customHeight="1">
      <c r="B209" s="721"/>
      <c r="C209" s="1739" t="s">
        <v>778</v>
      </c>
      <c r="D209" s="1621"/>
      <c r="E209" s="1621"/>
      <c r="F209" s="1745"/>
      <c r="G209" s="1423">
        <v>-5.9550084889643529E-3</v>
      </c>
      <c r="H209" s="1654">
        <v>-0.1638730158730155</v>
      </c>
      <c r="I209" s="1654">
        <v>-0.31553124999999982</v>
      </c>
      <c r="J209" s="1655">
        <v>2.7430769230770924E-2</v>
      </c>
      <c r="K209" s="1423">
        <v>-4.0562500000001833E-2</v>
      </c>
      <c r="L209" s="1654">
        <v>2.5078125000001172E-2</v>
      </c>
      <c r="M209" s="1654">
        <v>0.14203125000000227</v>
      </c>
      <c r="N209" s="1655">
        <v>0.29906349206349114</v>
      </c>
      <c r="O209" s="1423">
        <v>0.31830158730158775</v>
      </c>
      <c r="P209" s="1654">
        <v>0.28319047619047666</v>
      </c>
      <c r="Q209" s="1654">
        <v>0.20952380952380834</v>
      </c>
      <c r="R209" s="1654">
        <v>0.32709374999999907</v>
      </c>
      <c r="S209" s="1423">
        <v>0.26973333333333294</v>
      </c>
      <c r="T209" s="1654">
        <v>0.15754687499999775</v>
      </c>
      <c r="U209" s="1654">
        <v>0.23087499999999972</v>
      </c>
      <c r="V209" s="1655">
        <v>0.29959375000000188</v>
      </c>
      <c r="W209" s="1423">
        <v>0.30404918032786998</v>
      </c>
      <c r="X209" s="1654">
        <v>0.30642187499999984</v>
      </c>
      <c r="Y209" s="1654">
        <v>0.50754687499999829</v>
      </c>
      <c r="Z209" s="1655">
        <v>0.25204687500000134</v>
      </c>
      <c r="AA209" s="1423">
        <v>-3.7548387096775215E-2</v>
      </c>
      <c r="AB209" s="1654">
        <v>6.8507936507938183E-2</v>
      </c>
      <c r="AC209" s="1654">
        <v>0.26343749999999932</v>
      </c>
      <c r="AD209" s="1655">
        <v>0.35907936507936444</v>
      </c>
      <c r="AE209" s="1423">
        <v>0.10468852459016342</v>
      </c>
      <c r="AF209" s="1654">
        <v>7.9562500000000203E-2</v>
      </c>
      <c r="AG209" s="1654">
        <v>3.6515625000000718E-2</v>
      </c>
      <c r="AH209" s="1655">
        <v>4.9693548387096609E-2</v>
      </c>
      <c r="AI209" s="1423">
        <v>0.15672580645161371</v>
      </c>
      <c r="AJ209" s="1656">
        <v>0.10859375000000027</v>
      </c>
      <c r="AK209" s="1656">
        <v>0.25880952380952404</v>
      </c>
      <c r="AL209" s="1657">
        <v>1.4901290322580647</v>
      </c>
      <c r="AM209" s="1656">
        <v>0.7802950819672132</v>
      </c>
      <c r="AN209" s="1656">
        <v>-0.66499999999999959</v>
      </c>
      <c r="AO209" s="1656">
        <v>-0.37199999999999989</v>
      </c>
      <c r="AP209" s="1657">
        <v>-0.49500000000000055</v>
      </c>
      <c r="AQ209" s="1656">
        <v>-0.30713417480557936</v>
      </c>
      <c r="AR209" s="1656">
        <v>-0.75064523540322092</v>
      </c>
      <c r="AS209" s="1656">
        <v>-0.53237727470099783</v>
      </c>
      <c r="AT209" s="1657">
        <v>-0.20050998189020053</v>
      </c>
      <c r="AU209" s="1656">
        <v>-0.26491667997570767</v>
      </c>
      <c r="AV209" s="1656">
        <v>-0.72952134616272168</v>
      </c>
      <c r="AW209" s="1656">
        <v>-0.50344822491097485</v>
      </c>
      <c r="AX209" s="1657">
        <v>-0.15278041575059387</v>
      </c>
      <c r="AY209" s="1656">
        <v>-0.18976284925876685</v>
      </c>
      <c r="AZ209" s="1656">
        <v>-0.6882236801665047</v>
      </c>
      <c r="BA209" s="1656">
        <v>-0.44995803943269674</v>
      </c>
      <c r="BB209" s="1673">
        <v>-6.8722097942030214E-2</v>
      </c>
      <c r="BC209" s="646"/>
      <c r="BD209" s="646"/>
      <c r="BE209" s="655">
        <f t="shared" si="529"/>
        <v>-0.11448212628280219</v>
      </c>
      <c r="BF209" s="655">
        <f t="shared" si="530"/>
        <v>0.10640259176587319</v>
      </c>
      <c r="BG209" s="655">
        <f t="shared" si="531"/>
        <v>0.28452740575396795</v>
      </c>
      <c r="BH209" s="672">
        <f t="shared" si="532"/>
        <v>0.23943723958333307</v>
      </c>
      <c r="BI209" s="672">
        <f t="shared" si="533"/>
        <v>0.34251620133196736</v>
      </c>
      <c r="BJ209" s="672">
        <f t="shared" si="534"/>
        <v>0.16336910362263168</v>
      </c>
      <c r="BK209" s="672">
        <f t="shared" si="535"/>
        <v>6.7615049494315238E-2</v>
      </c>
      <c r="BL209" s="672">
        <f t="shared" si="536"/>
        <v>0.50356452812980068</v>
      </c>
      <c r="BM209" s="672">
        <f t="shared" si="537"/>
        <v>-0.18792622950819671</v>
      </c>
      <c r="BN209" s="672">
        <f t="shared" si="538"/>
        <v>-0.44766666669999966</v>
      </c>
      <c r="BO209" s="672">
        <f t="shared" si="539"/>
        <v>-0.41266666669999952</v>
      </c>
      <c r="BP209" s="672">
        <f t="shared" si="540"/>
        <v>-0.34916666669999963</v>
      </c>
      <c r="BQ209" s="637"/>
      <c r="BR209" s="638"/>
      <c r="BU209" s="609"/>
      <c r="BV209" s="608"/>
      <c r="BW209" s="608"/>
      <c r="BX209" s="608"/>
    </row>
    <row r="210" spans="2:76" ht="12.75" customHeight="1">
      <c r="B210" s="721"/>
      <c r="C210" s="1739" t="s">
        <v>779</v>
      </c>
      <c r="D210" s="1621"/>
      <c r="E210" s="1621"/>
      <c r="F210" s="1745"/>
      <c r="G210" s="1423">
        <v>-5.9550084889643529E-3</v>
      </c>
      <c r="H210" s="1654">
        <v>-0.1638730158730155</v>
      </c>
      <c r="I210" s="1654">
        <v>-0.31553124999999982</v>
      </c>
      <c r="J210" s="1655">
        <v>2.7430769230770924E-2</v>
      </c>
      <c r="K210" s="1423">
        <v>-4.0562500000001833E-2</v>
      </c>
      <c r="L210" s="1654">
        <v>2.5078125000001172E-2</v>
      </c>
      <c r="M210" s="1654">
        <v>0.14203125000000227</v>
      </c>
      <c r="N210" s="1655">
        <v>0.29906349206349114</v>
      </c>
      <c r="O210" s="1423">
        <v>0.31830158730158775</v>
      </c>
      <c r="P210" s="1654">
        <v>0.28319047619047666</v>
      </c>
      <c r="Q210" s="1654">
        <v>0.20952380952380834</v>
      </c>
      <c r="R210" s="1654">
        <v>0.32709374999999907</v>
      </c>
      <c r="S210" s="1423">
        <v>0.26973333333333294</v>
      </c>
      <c r="T210" s="1654">
        <v>0.15754687499999775</v>
      </c>
      <c r="U210" s="1654">
        <v>0.23087499999999972</v>
      </c>
      <c r="V210" s="1655">
        <v>0.29959375000000188</v>
      </c>
      <c r="W210" s="1423">
        <v>0.30404918032786998</v>
      </c>
      <c r="X210" s="1654">
        <v>0.30642187499999984</v>
      </c>
      <c r="Y210" s="1654">
        <v>0.50754687499999829</v>
      </c>
      <c r="Z210" s="1655">
        <v>0.25204687500000134</v>
      </c>
      <c r="AA210" s="1423">
        <v>-3.7548387096775215E-2</v>
      </c>
      <c r="AB210" s="1654">
        <v>6.8507936507938183E-2</v>
      </c>
      <c r="AC210" s="1654">
        <v>0.26343749999999932</v>
      </c>
      <c r="AD210" s="1655">
        <v>0.35907936507936444</v>
      </c>
      <c r="AE210" s="1423">
        <v>0.10468852459016342</v>
      </c>
      <c r="AF210" s="1654">
        <v>7.9562500000000203E-2</v>
      </c>
      <c r="AG210" s="1654">
        <v>3.6515625000000718E-2</v>
      </c>
      <c r="AH210" s="1655">
        <v>4.9693548387096609E-2</v>
      </c>
      <c r="AI210" s="1423">
        <v>0.15672580645161371</v>
      </c>
      <c r="AJ210" s="1656">
        <v>0.10859375000000027</v>
      </c>
      <c r="AK210" s="1656">
        <v>0.25880952380952404</v>
      </c>
      <c r="AL210" s="1657">
        <v>1.4901290322580647</v>
      </c>
      <c r="AM210" s="1656">
        <v>0.7802950819672132</v>
      </c>
      <c r="AN210" s="1656">
        <v>-0.66499999999999959</v>
      </c>
      <c r="AO210" s="1656">
        <v>-0.37199999999999989</v>
      </c>
      <c r="AP210" s="1657">
        <v>-0.49500000000000055</v>
      </c>
      <c r="AQ210" s="1656">
        <v>-0.30713417480557936</v>
      </c>
      <c r="AR210" s="1656">
        <v>-0.75064523540322092</v>
      </c>
      <c r="AS210" s="1656">
        <v>-0.53237727470099783</v>
      </c>
      <c r="AT210" s="1657">
        <v>-0.20050998189020053</v>
      </c>
      <c r="AU210" s="1656">
        <v>-0.26491667997570767</v>
      </c>
      <c r="AV210" s="1656">
        <v>-0.72952134616272168</v>
      </c>
      <c r="AW210" s="1656">
        <v>-0.50344822491097485</v>
      </c>
      <c r="AX210" s="1657">
        <v>-0.15278041575059387</v>
      </c>
      <c r="AY210" s="1656">
        <v>-0.18976284925876685</v>
      </c>
      <c r="AZ210" s="1656">
        <v>-0.6882236801665047</v>
      </c>
      <c r="BA210" s="1656">
        <v>-0.44995803943269674</v>
      </c>
      <c r="BB210" s="1673">
        <v>-6.8722097942030214E-2</v>
      </c>
      <c r="BC210" s="646"/>
      <c r="BD210" s="646"/>
      <c r="BE210" s="655">
        <f t="shared" si="529"/>
        <v>-0.11448212628280219</v>
      </c>
      <c r="BF210" s="655">
        <f t="shared" si="530"/>
        <v>0.10640259176587319</v>
      </c>
      <c r="BG210" s="655">
        <f t="shared" si="531"/>
        <v>0.28452740575396795</v>
      </c>
      <c r="BH210" s="672">
        <f t="shared" si="532"/>
        <v>0.23943723958333307</v>
      </c>
      <c r="BI210" s="672">
        <f t="shared" si="533"/>
        <v>0.34251620133196736</v>
      </c>
      <c r="BJ210" s="672">
        <f t="shared" si="534"/>
        <v>0.16336910362263168</v>
      </c>
      <c r="BK210" s="672">
        <f t="shared" si="535"/>
        <v>6.7615049494315238E-2</v>
      </c>
      <c r="BL210" s="672">
        <f t="shared" si="536"/>
        <v>0.50356452812980068</v>
      </c>
      <c r="BM210" s="672">
        <f t="shared" si="537"/>
        <v>-0.18792622950819671</v>
      </c>
      <c r="BN210" s="672">
        <f t="shared" si="538"/>
        <v>-0.44766666669999966</v>
      </c>
      <c r="BO210" s="672">
        <f t="shared" si="539"/>
        <v>-0.41266666669999952</v>
      </c>
      <c r="BP210" s="672">
        <f t="shared" si="540"/>
        <v>-0.34916666669999963</v>
      </c>
      <c r="BQ210" s="637"/>
      <c r="BR210" s="638"/>
      <c r="BU210" s="609"/>
      <c r="BV210" s="608"/>
      <c r="BW210" s="608"/>
      <c r="BX210" s="608"/>
    </row>
    <row r="211" spans="2:76" ht="12.75" customHeight="1">
      <c r="B211" s="721"/>
      <c r="C211" s="1739" t="s">
        <v>780</v>
      </c>
      <c r="D211" s="1621"/>
      <c r="E211" s="1621"/>
      <c r="F211" s="1745"/>
      <c r="G211" s="1423">
        <v>-5.9550084889643529E-3</v>
      </c>
      <c r="H211" s="1654">
        <v>-0.1638730158730155</v>
      </c>
      <c r="I211" s="1654">
        <v>-0.31553124999999982</v>
      </c>
      <c r="J211" s="1655">
        <v>2.7430769230770924E-2</v>
      </c>
      <c r="K211" s="1423">
        <v>-4.0562500000001833E-2</v>
      </c>
      <c r="L211" s="1654">
        <v>2.5078125000001172E-2</v>
      </c>
      <c r="M211" s="1654">
        <v>0.14203125000000227</v>
      </c>
      <c r="N211" s="1655">
        <v>0.29906349206349114</v>
      </c>
      <c r="O211" s="1423">
        <v>0.31830158730158775</v>
      </c>
      <c r="P211" s="1654">
        <v>0.28319047619047666</v>
      </c>
      <c r="Q211" s="1654">
        <v>0.20952380952380834</v>
      </c>
      <c r="R211" s="1654">
        <v>0.32709374999999907</v>
      </c>
      <c r="S211" s="1423">
        <v>0.26973333333333294</v>
      </c>
      <c r="T211" s="1654">
        <v>0.15754687499999775</v>
      </c>
      <c r="U211" s="1654">
        <v>0.23087499999999972</v>
      </c>
      <c r="V211" s="1655">
        <v>0.29959375000000188</v>
      </c>
      <c r="W211" s="1423">
        <v>0.30404918032786998</v>
      </c>
      <c r="X211" s="1654">
        <v>0.30642187499999984</v>
      </c>
      <c r="Y211" s="1654">
        <v>0.50754687499999829</v>
      </c>
      <c r="Z211" s="1655">
        <v>0.25204687500000134</v>
      </c>
      <c r="AA211" s="1423">
        <v>-3.7548387096775215E-2</v>
      </c>
      <c r="AB211" s="1654">
        <v>6.8507936507938183E-2</v>
      </c>
      <c r="AC211" s="1654">
        <v>0.26343749999999932</v>
      </c>
      <c r="AD211" s="1655">
        <v>0.35907936507936444</v>
      </c>
      <c r="AE211" s="1423">
        <v>0.10468852459016342</v>
      </c>
      <c r="AF211" s="1654">
        <v>7.9562500000000203E-2</v>
      </c>
      <c r="AG211" s="1654">
        <v>3.6515625000000718E-2</v>
      </c>
      <c r="AH211" s="1655">
        <v>4.9693548387096609E-2</v>
      </c>
      <c r="AI211" s="1423">
        <v>0.15672580645161371</v>
      </c>
      <c r="AJ211" s="1656">
        <v>0.10859375000000027</v>
      </c>
      <c r="AK211" s="1656">
        <v>0.25880952380952404</v>
      </c>
      <c r="AL211" s="1657">
        <v>1.4901290322580647</v>
      </c>
      <c r="AM211" s="1656">
        <v>0.7802950819672132</v>
      </c>
      <c r="AN211" s="1656">
        <v>-0.66499999999999959</v>
      </c>
      <c r="AO211" s="1656">
        <v>-0.37199999999999989</v>
      </c>
      <c r="AP211" s="1657">
        <v>-0.49500000000000055</v>
      </c>
      <c r="AQ211" s="1656">
        <v>-0.30713417480557936</v>
      </c>
      <c r="AR211" s="1656">
        <v>-0.75064523540322092</v>
      </c>
      <c r="AS211" s="1656">
        <v>-0.53237727470099783</v>
      </c>
      <c r="AT211" s="1657">
        <v>-0.20050998189020053</v>
      </c>
      <c r="AU211" s="1656">
        <v>-0.26491667997570767</v>
      </c>
      <c r="AV211" s="1656">
        <v>-0.72952134616272168</v>
      </c>
      <c r="AW211" s="1656">
        <v>-0.50344822491097485</v>
      </c>
      <c r="AX211" s="1657">
        <v>-0.15278041575059387</v>
      </c>
      <c r="AY211" s="1656">
        <v>-0.18976284925876685</v>
      </c>
      <c r="AZ211" s="1656">
        <v>-0.6882236801665047</v>
      </c>
      <c r="BA211" s="1656">
        <v>-0.44995803943269674</v>
      </c>
      <c r="BB211" s="1673">
        <v>-6.8722097942030214E-2</v>
      </c>
      <c r="BC211" s="646"/>
      <c r="BD211" s="646"/>
      <c r="BE211" s="655">
        <f t="shared" si="529"/>
        <v>-0.11448212628280219</v>
      </c>
      <c r="BF211" s="655">
        <f t="shared" si="530"/>
        <v>0.10640259176587319</v>
      </c>
      <c r="BG211" s="655">
        <f t="shared" si="531"/>
        <v>0.28452740575396795</v>
      </c>
      <c r="BH211" s="672">
        <f t="shared" si="532"/>
        <v>0.23943723958333307</v>
      </c>
      <c r="BI211" s="672">
        <f t="shared" si="533"/>
        <v>0.34251620133196736</v>
      </c>
      <c r="BJ211" s="672">
        <f t="shared" si="534"/>
        <v>0.16336910362263168</v>
      </c>
      <c r="BK211" s="672">
        <f t="shared" si="535"/>
        <v>6.7615049494315238E-2</v>
      </c>
      <c r="BL211" s="672">
        <f t="shared" si="536"/>
        <v>0.50356452812980068</v>
      </c>
      <c r="BM211" s="672">
        <f t="shared" si="537"/>
        <v>-0.18792622950819671</v>
      </c>
      <c r="BN211" s="672">
        <f t="shared" si="538"/>
        <v>-0.44766666669999966</v>
      </c>
      <c r="BO211" s="672">
        <f t="shared" si="539"/>
        <v>-0.41266666669999952</v>
      </c>
      <c r="BP211" s="672">
        <f t="shared" si="540"/>
        <v>-0.34916666669999963</v>
      </c>
      <c r="BQ211" s="637"/>
      <c r="BR211" s="638"/>
      <c r="BU211" s="609"/>
      <c r="BV211" s="608"/>
      <c r="BW211" s="608"/>
      <c r="BX211" s="608"/>
    </row>
    <row r="212" spans="2:76" ht="12.75" customHeight="1">
      <c r="B212" s="721"/>
      <c r="C212" s="1739"/>
      <c r="D212" s="1621"/>
      <c r="E212" s="1621"/>
      <c r="F212" s="1740"/>
      <c r="G212" s="1423">
        <v>-8.7661290322580854E-2</v>
      </c>
      <c r="H212" s="1654">
        <v>-0.16344444444444317</v>
      </c>
      <c r="I212" s="1654">
        <v>-0.26625000000000032</v>
      </c>
      <c r="J212" s="1655">
        <v>-0.10644615384615275</v>
      </c>
      <c r="K212" s="1423">
        <v>-3.8796875000000064E-2</v>
      </c>
      <c r="L212" s="1654">
        <v>-0.11246874999999878</v>
      </c>
      <c r="M212" s="1654">
        <v>-8.0437500000000384E-2</v>
      </c>
      <c r="N212" s="1655">
        <v>-7.6968253968253908E-2</v>
      </c>
      <c r="O212" s="1423">
        <v>-6.4174603174603106E-2</v>
      </c>
      <c r="P212" s="1654">
        <v>-5.0873015873015071E-2</v>
      </c>
      <c r="Q212" s="1654">
        <v>-6.5730158730158195E-2</v>
      </c>
      <c r="R212" s="1654">
        <v>-7.0828125000001574E-2</v>
      </c>
      <c r="S212" s="1423">
        <v>-6.5516666666667334E-2</v>
      </c>
      <c r="T212" s="1656">
        <v>-0.10400000000000054</v>
      </c>
      <c r="U212" s="1656">
        <v>-6.8781250000001126E-2</v>
      </c>
      <c r="V212" s="1657">
        <v>-4.9484375000000469E-2</v>
      </c>
      <c r="W212" s="1656">
        <v>0.13100000000000023</v>
      </c>
      <c r="X212" s="1656">
        <v>-0.1406093749999977</v>
      </c>
      <c r="Y212" s="1656">
        <v>-8.2046874999999631E-2</v>
      </c>
      <c r="Z212" s="1657">
        <v>-0.13220312499999887</v>
      </c>
      <c r="AA212" s="1656">
        <v>-0.18638709677419296</v>
      </c>
      <c r="AB212" s="1656">
        <v>-0.1698571428571416</v>
      </c>
      <c r="AC212" s="1656">
        <v>-9.4734374999999815E-2</v>
      </c>
      <c r="AD212" s="1657">
        <v>-7.3825396825397682E-2</v>
      </c>
      <c r="AE212" s="1656">
        <v>-0.13737704918032856</v>
      </c>
      <c r="AF212" s="1656">
        <v>-0.15981249999999947</v>
      </c>
      <c r="AG212" s="1656">
        <v>-0.16378125000000088</v>
      </c>
      <c r="AH212" s="1657">
        <v>-0.1974516129032251</v>
      </c>
      <c r="AI212" s="1656">
        <v>-0.2175806451612905</v>
      </c>
      <c r="AJ212" s="1656">
        <v>-0.31395312499999983</v>
      </c>
      <c r="AK212" s="1656">
        <v>-0.23814285714285521</v>
      </c>
      <c r="AL212" s="1657">
        <v>-0.332435483870968</v>
      </c>
      <c r="AM212" s="1656">
        <v>-0.44990163934426253</v>
      </c>
      <c r="AN212" s="1656">
        <v>-0.37966666666666615</v>
      </c>
      <c r="AO212" s="1656">
        <v>-0.39166666666666661</v>
      </c>
      <c r="AP212" s="1657">
        <v>-0.37166666666666703</v>
      </c>
      <c r="AQ212" s="1656">
        <v>-0.19602769763382533</v>
      </c>
      <c r="AR212" s="1656">
        <v>-0.300845626465994</v>
      </c>
      <c r="AS212" s="1656">
        <v>-0.18112311230464595</v>
      </c>
      <c r="AT212" s="1657">
        <v>-0.4933368969288674</v>
      </c>
      <c r="AU212" s="1656">
        <v>-0.21941821857145705</v>
      </c>
      <c r="AV212" s="1656">
        <v>-0.28887692999624326</v>
      </c>
      <c r="AW212" s="1656">
        <v>-0.1563235091335029</v>
      </c>
      <c r="AX212" s="1657">
        <v>-0.48504800896546163</v>
      </c>
      <c r="AY212" s="1656">
        <v>-0.2167463007799646</v>
      </c>
      <c r="AZ212" s="1656">
        <v>-0.28245768253923886</v>
      </c>
      <c r="BA212" s="1656">
        <v>-0.14056807383264047</v>
      </c>
      <c r="BB212" s="1673">
        <v>-0.47456127618148791</v>
      </c>
      <c r="BC212" s="646"/>
      <c r="BD212" s="646"/>
      <c r="BE212" s="655"/>
      <c r="BF212" s="655"/>
      <c r="BG212" s="655"/>
      <c r="BH212" s="672"/>
      <c r="BI212" s="672"/>
      <c r="BJ212" s="672"/>
      <c r="BK212" s="672"/>
      <c r="BL212" s="672"/>
      <c r="BM212" s="672"/>
      <c r="BN212" s="672"/>
      <c r="BO212" s="672"/>
      <c r="BP212" s="672"/>
      <c r="BQ212" s="637"/>
      <c r="BR212" s="682"/>
      <c r="BU212" s="609"/>
      <c r="BV212" s="608"/>
      <c r="BW212" s="608"/>
      <c r="BX212" s="608"/>
    </row>
    <row r="213" spans="2:76" ht="12.75" customHeight="1">
      <c r="B213" s="721"/>
      <c r="C213" s="1739"/>
      <c r="D213" s="1621"/>
      <c r="E213" s="1621"/>
      <c r="F213" s="1740"/>
      <c r="G213" s="1423"/>
      <c r="H213" s="1654"/>
      <c r="I213" s="1654"/>
      <c r="J213" s="1655"/>
      <c r="K213" s="1423"/>
      <c r="L213" s="1654"/>
      <c r="M213" s="1654"/>
      <c r="N213" s="1655"/>
      <c r="O213" s="1423"/>
      <c r="P213" s="1654"/>
      <c r="Q213" s="1654"/>
      <c r="R213" s="1654"/>
      <c r="S213" s="1423"/>
      <c r="T213" s="1656"/>
      <c r="U213" s="1656"/>
      <c r="V213" s="1657"/>
      <c r="W213" s="1656"/>
      <c r="X213" s="1656"/>
      <c r="Y213" s="1656"/>
      <c r="Z213" s="1657"/>
      <c r="AA213" s="1656"/>
      <c r="AB213" s="1656"/>
      <c r="AC213" s="1656"/>
      <c r="AD213" s="1657"/>
      <c r="AE213" s="1656"/>
      <c r="AF213" s="1656"/>
      <c r="AG213" s="1656"/>
      <c r="AH213" s="1657"/>
      <c r="AI213" s="1656"/>
      <c r="AJ213" s="1656"/>
      <c r="AK213" s="1656"/>
      <c r="AL213" s="1657"/>
      <c r="AM213" s="1656"/>
      <c r="AN213" s="1656"/>
      <c r="AO213" s="1656"/>
      <c r="AP213" s="1657"/>
      <c r="AQ213" s="1656"/>
      <c r="AR213" s="1656"/>
      <c r="AS213" s="1656"/>
      <c r="AT213" s="1657"/>
      <c r="AU213" s="1656"/>
      <c r="AV213" s="1656"/>
      <c r="AW213" s="1656"/>
      <c r="AX213" s="1657"/>
      <c r="AY213" s="1656"/>
      <c r="AZ213" s="1656"/>
      <c r="BA213" s="1656"/>
      <c r="BB213" s="1673"/>
      <c r="BC213" s="646"/>
      <c r="BD213" s="646"/>
      <c r="BE213" s="655"/>
      <c r="BF213" s="655"/>
      <c r="BG213" s="655"/>
      <c r="BH213" s="672"/>
      <c r="BI213" s="672"/>
      <c r="BJ213" s="672"/>
      <c r="BK213" s="672"/>
      <c r="BL213" s="672"/>
      <c r="BM213" s="672"/>
      <c r="BN213" s="672"/>
      <c r="BO213" s="672"/>
      <c r="BP213" s="672"/>
      <c r="BQ213" s="637"/>
      <c r="BR213" s="638"/>
      <c r="BU213" s="609"/>
      <c r="BV213" s="608"/>
      <c r="BW213" s="608"/>
      <c r="BX213" s="608"/>
    </row>
    <row r="214" spans="2:76" ht="12.75" customHeight="1">
      <c r="B214" s="721"/>
      <c r="C214" s="1741" t="s">
        <v>722</v>
      </c>
      <c r="D214" s="1627"/>
      <c r="E214" s="1627"/>
      <c r="F214" s="1750"/>
      <c r="G214" s="1423"/>
      <c r="H214" s="1654"/>
      <c r="I214" s="1654"/>
      <c r="J214" s="1655"/>
      <c r="K214" s="1423"/>
      <c r="L214" s="1654"/>
      <c r="M214" s="1654"/>
      <c r="N214" s="1655"/>
      <c r="O214" s="1423"/>
      <c r="P214" s="1654"/>
      <c r="Q214" s="1654"/>
      <c r="R214" s="1654"/>
      <c r="S214" s="1423"/>
      <c r="T214" s="1656"/>
      <c r="U214" s="1656"/>
      <c r="V214" s="1657"/>
      <c r="W214" s="1656"/>
      <c r="X214" s="1656"/>
      <c r="Y214" s="1656"/>
      <c r="Z214" s="1657"/>
      <c r="AA214" s="1656"/>
      <c r="AB214" s="1656"/>
      <c r="AC214" s="1656"/>
      <c r="AD214" s="1657"/>
      <c r="AE214" s="1656"/>
      <c r="AF214" s="1656"/>
      <c r="AG214" s="1656"/>
      <c r="AH214" s="1657"/>
      <c r="AI214" s="1656"/>
      <c r="AJ214" s="1656"/>
      <c r="AK214" s="1656"/>
      <c r="AL214" s="1657"/>
      <c r="AM214" s="1656"/>
      <c r="AN214" s="1656"/>
      <c r="AO214" s="1656"/>
      <c r="AP214" s="1657"/>
      <c r="AQ214" s="1656"/>
      <c r="AR214" s="1656"/>
      <c r="AS214" s="1656"/>
      <c r="AT214" s="1657"/>
      <c r="AU214" s="1656"/>
      <c r="AV214" s="1656"/>
      <c r="AW214" s="1656"/>
      <c r="AX214" s="1657"/>
      <c r="AY214" s="1656"/>
      <c r="AZ214" s="1656"/>
      <c r="BA214" s="1656"/>
      <c r="BB214" s="1673"/>
      <c r="BC214" s="646"/>
      <c r="BD214" s="646"/>
      <c r="BE214" s="655"/>
      <c r="BF214" s="655"/>
      <c r="BG214" s="655"/>
      <c r="BH214" s="655"/>
      <c r="BI214" s="655"/>
      <c r="BJ214" s="655"/>
      <c r="BK214" s="655"/>
      <c r="BL214" s="655"/>
      <c r="BM214" s="655"/>
      <c r="BN214" s="655"/>
      <c r="BO214" s="655"/>
      <c r="BP214" s="655"/>
      <c r="BQ214" s="637"/>
      <c r="BR214" s="638"/>
      <c r="BU214" s="609"/>
      <c r="BV214" s="608"/>
      <c r="BW214" s="608"/>
      <c r="BX214" s="608"/>
    </row>
    <row r="215" spans="2:76" ht="12.75" customHeight="1">
      <c r="B215" s="721"/>
      <c r="C215" s="1739" t="s">
        <v>147</v>
      </c>
      <c r="D215" s="1621"/>
      <c r="E215" s="1621"/>
      <c r="F215" s="1740"/>
      <c r="G215" s="1983">
        <v>5</v>
      </c>
      <c r="H215" s="1656">
        <v>5</v>
      </c>
      <c r="I215" s="1656">
        <v>5</v>
      </c>
      <c r="J215" s="1657">
        <v>5</v>
      </c>
      <c r="K215" s="1983">
        <v>5</v>
      </c>
      <c r="L215" s="1656">
        <v>5</v>
      </c>
      <c r="M215" s="1656">
        <v>5</v>
      </c>
      <c r="N215" s="1657">
        <v>5</v>
      </c>
      <c r="O215" s="1983">
        <v>5</v>
      </c>
      <c r="P215" s="1656">
        <v>5</v>
      </c>
      <c r="Q215" s="1656">
        <v>5</v>
      </c>
      <c r="R215" s="1656">
        <v>5</v>
      </c>
      <c r="S215" s="1983">
        <v>5</v>
      </c>
      <c r="T215" s="1656">
        <v>5</v>
      </c>
      <c r="U215" s="1656">
        <v>5</v>
      </c>
      <c r="V215" s="1657">
        <v>5</v>
      </c>
      <c r="W215" s="1656">
        <v>5</v>
      </c>
      <c r="X215" s="1656">
        <v>5</v>
      </c>
      <c r="Y215" s="1656">
        <v>5</v>
      </c>
      <c r="Z215" s="1657">
        <v>5</v>
      </c>
      <c r="AA215" s="1656">
        <v>5</v>
      </c>
      <c r="AB215" s="1656">
        <v>5</v>
      </c>
      <c r="AC215" s="1656">
        <v>5</v>
      </c>
      <c r="AD215" s="1657">
        <v>5</v>
      </c>
      <c r="AE215" s="1656">
        <v>5</v>
      </c>
      <c r="AF215" s="1656">
        <v>5</v>
      </c>
      <c r="AG215" s="1656">
        <v>5</v>
      </c>
      <c r="AH215" s="1657">
        <v>5</v>
      </c>
      <c r="AI215" s="1656">
        <v>5</v>
      </c>
      <c r="AJ215" s="1656">
        <v>5</v>
      </c>
      <c r="AK215" s="1656">
        <v>5</v>
      </c>
      <c r="AL215" s="1657">
        <v>5</v>
      </c>
      <c r="AM215" s="1656">
        <v>5</v>
      </c>
      <c r="AN215" s="1656">
        <v>5</v>
      </c>
      <c r="AO215" s="1656">
        <v>5</v>
      </c>
      <c r="AP215" s="1657">
        <v>5</v>
      </c>
      <c r="AQ215" s="1656">
        <v>5</v>
      </c>
      <c r="AR215" s="1656">
        <v>5</v>
      </c>
      <c r="AS215" s="1656">
        <v>5</v>
      </c>
      <c r="AT215" s="1657">
        <v>5</v>
      </c>
      <c r="AU215" s="1656">
        <v>5</v>
      </c>
      <c r="AV215" s="1656">
        <v>5</v>
      </c>
      <c r="AW215" s="1656">
        <v>5</v>
      </c>
      <c r="AX215" s="1657">
        <v>5</v>
      </c>
      <c r="AY215" s="1656">
        <v>5</v>
      </c>
      <c r="AZ215" s="1656">
        <v>5</v>
      </c>
      <c r="BA215" s="1656">
        <v>5</v>
      </c>
      <c r="BB215" s="1673">
        <v>5</v>
      </c>
      <c r="BC215" s="646"/>
      <c r="BD215" s="646"/>
      <c r="BE215" s="655">
        <f>AVERAGE(G215:J215)</f>
        <v>5</v>
      </c>
      <c r="BF215" s="655">
        <f>AVERAGE(K215:N215)</f>
        <v>5</v>
      </c>
      <c r="BG215" s="655">
        <f>AVERAGE(O215:R215)</f>
        <v>5</v>
      </c>
      <c r="BH215" s="655">
        <f>AVERAGE(S215:V215)</f>
        <v>5</v>
      </c>
      <c r="BI215" s="655">
        <f>AVERAGE(W215:Z215)</f>
        <v>5</v>
      </c>
      <c r="BJ215" s="655">
        <f>AVERAGE(AA215:AD215)</f>
        <v>5</v>
      </c>
      <c r="BK215" s="655">
        <f>AVERAGE(AE215:AH215)</f>
        <v>5</v>
      </c>
      <c r="BL215" s="655">
        <f>AVERAGE(AI215:AL215)</f>
        <v>5</v>
      </c>
      <c r="BM215" s="672">
        <f>AVERAGE(AM215:AP215)</f>
        <v>5</v>
      </c>
      <c r="BN215" s="672">
        <f t="shared" ref="BN215:BN217" si="541">AVERAGE(AQ215:AT215)</f>
        <v>5</v>
      </c>
      <c r="BO215" s="672">
        <f t="shared" ref="BO215:BO217" si="542">AVERAGE(AU215:AX215)</f>
        <v>5</v>
      </c>
      <c r="BP215" s="672">
        <f t="shared" ref="BP215:BP217" si="543">AVERAGE(AY215:BB215)</f>
        <v>5</v>
      </c>
      <c r="BQ215" s="637"/>
      <c r="BR215" s="638"/>
      <c r="BU215" s="609"/>
      <c r="BV215" s="608"/>
      <c r="BW215" s="608"/>
      <c r="BX215" s="608"/>
    </row>
    <row r="216" spans="2:76" ht="12.75" customHeight="1">
      <c r="B216" s="721"/>
      <c r="C216" s="1739" t="s">
        <v>31</v>
      </c>
      <c r="D216" s="1621"/>
      <c r="E216" s="1621"/>
      <c r="F216" s="1740"/>
      <c r="G216" s="1983">
        <v>15</v>
      </c>
      <c r="H216" s="1656">
        <v>15</v>
      </c>
      <c r="I216" s="1656">
        <v>15</v>
      </c>
      <c r="J216" s="1657">
        <v>15</v>
      </c>
      <c r="K216" s="1983">
        <v>15</v>
      </c>
      <c r="L216" s="1656">
        <v>15</v>
      </c>
      <c r="M216" s="1656">
        <v>15</v>
      </c>
      <c r="N216" s="1657">
        <v>15</v>
      </c>
      <c r="O216" s="1983">
        <v>15</v>
      </c>
      <c r="P216" s="1656">
        <v>15</v>
      </c>
      <c r="Q216" s="1656">
        <v>15</v>
      </c>
      <c r="R216" s="1656">
        <v>15</v>
      </c>
      <c r="S216" s="1983">
        <v>15</v>
      </c>
      <c r="T216" s="1656">
        <v>15</v>
      </c>
      <c r="U216" s="1656">
        <v>15</v>
      </c>
      <c r="V216" s="1657">
        <v>15</v>
      </c>
      <c r="W216" s="1656">
        <v>15</v>
      </c>
      <c r="X216" s="1656">
        <v>15</v>
      </c>
      <c r="Y216" s="1656">
        <v>15</v>
      </c>
      <c r="Z216" s="1657">
        <v>15</v>
      </c>
      <c r="AA216" s="1656">
        <v>15</v>
      </c>
      <c r="AB216" s="1656">
        <v>15</v>
      </c>
      <c r="AC216" s="1656">
        <v>15</v>
      </c>
      <c r="AD216" s="1657">
        <v>15</v>
      </c>
      <c r="AE216" s="1656">
        <v>15</v>
      </c>
      <c r="AF216" s="1656">
        <v>15</v>
      </c>
      <c r="AG216" s="1656">
        <v>15</v>
      </c>
      <c r="AH216" s="1657">
        <v>15</v>
      </c>
      <c r="AI216" s="1656">
        <v>15</v>
      </c>
      <c r="AJ216" s="1656">
        <v>15</v>
      </c>
      <c r="AK216" s="1656">
        <v>15</v>
      </c>
      <c r="AL216" s="1657">
        <v>15</v>
      </c>
      <c r="AM216" s="1656">
        <v>15</v>
      </c>
      <c r="AN216" s="1656">
        <v>15</v>
      </c>
      <c r="AO216" s="1656">
        <v>15</v>
      </c>
      <c r="AP216" s="1657">
        <v>15</v>
      </c>
      <c r="AQ216" s="1656">
        <v>15</v>
      </c>
      <c r="AR216" s="1656">
        <v>15</v>
      </c>
      <c r="AS216" s="1656">
        <v>15</v>
      </c>
      <c r="AT216" s="1657">
        <v>15</v>
      </c>
      <c r="AU216" s="1656">
        <v>15</v>
      </c>
      <c r="AV216" s="1656">
        <v>15</v>
      </c>
      <c r="AW216" s="1656">
        <v>15</v>
      </c>
      <c r="AX216" s="1657">
        <v>15</v>
      </c>
      <c r="AY216" s="1656">
        <v>15</v>
      </c>
      <c r="AZ216" s="1656">
        <v>15</v>
      </c>
      <c r="BA216" s="1656">
        <v>15</v>
      </c>
      <c r="BB216" s="1673">
        <v>15</v>
      </c>
      <c r="BC216" s="646"/>
      <c r="BD216" s="646"/>
      <c r="BE216" s="655">
        <f>AVERAGE(G216:J216)</f>
        <v>15</v>
      </c>
      <c r="BF216" s="655">
        <f>AVERAGE(K216:N216)</f>
        <v>15</v>
      </c>
      <c r="BG216" s="655">
        <f>AVERAGE(O216:R216)</f>
        <v>15</v>
      </c>
      <c r="BH216" s="655">
        <f>AVERAGE(S216:V216)</f>
        <v>15</v>
      </c>
      <c r="BI216" s="655">
        <f>AVERAGE(W216:Z216)</f>
        <v>15</v>
      </c>
      <c r="BJ216" s="655">
        <f>AVERAGE(AA216:AD216)</f>
        <v>15</v>
      </c>
      <c r="BK216" s="655">
        <f>AVERAGE(AE216:AH216)</f>
        <v>15</v>
      </c>
      <c r="BL216" s="655">
        <f>AVERAGE(AI216:AL216)</f>
        <v>15</v>
      </c>
      <c r="BM216" s="672">
        <f>AVERAGE(AM216:AP216)</f>
        <v>15</v>
      </c>
      <c r="BN216" s="672">
        <f t="shared" si="541"/>
        <v>15</v>
      </c>
      <c r="BO216" s="672">
        <f t="shared" si="542"/>
        <v>15</v>
      </c>
      <c r="BP216" s="672">
        <f t="shared" si="543"/>
        <v>15</v>
      </c>
      <c r="BQ216" s="637"/>
      <c r="BR216" s="638"/>
      <c r="BU216" s="609"/>
      <c r="BV216" s="608"/>
      <c r="BW216" s="608"/>
      <c r="BX216" s="608"/>
    </row>
    <row r="217" spans="2:76" ht="12.75" customHeight="1">
      <c r="B217" s="721"/>
      <c r="C217" s="1739" t="s">
        <v>32</v>
      </c>
      <c r="D217" s="1621"/>
      <c r="E217" s="1621"/>
      <c r="F217" s="1740"/>
      <c r="G217" s="1983">
        <v>25</v>
      </c>
      <c r="H217" s="1656">
        <v>25</v>
      </c>
      <c r="I217" s="1656">
        <v>25</v>
      </c>
      <c r="J217" s="1657">
        <v>25</v>
      </c>
      <c r="K217" s="1983">
        <v>25</v>
      </c>
      <c r="L217" s="1656">
        <v>25</v>
      </c>
      <c r="M217" s="1656">
        <v>25</v>
      </c>
      <c r="N217" s="1657">
        <v>25</v>
      </c>
      <c r="O217" s="1983">
        <v>25</v>
      </c>
      <c r="P217" s="1656">
        <v>25</v>
      </c>
      <c r="Q217" s="1656">
        <v>25</v>
      </c>
      <c r="R217" s="1656">
        <v>25</v>
      </c>
      <c r="S217" s="1983">
        <v>25</v>
      </c>
      <c r="T217" s="1656">
        <v>25</v>
      </c>
      <c r="U217" s="1656">
        <v>25</v>
      </c>
      <c r="V217" s="1657">
        <v>25</v>
      </c>
      <c r="W217" s="1656">
        <v>25</v>
      </c>
      <c r="X217" s="1656">
        <v>25</v>
      </c>
      <c r="Y217" s="1656">
        <v>25</v>
      </c>
      <c r="Z217" s="1657">
        <v>25</v>
      </c>
      <c r="AA217" s="1656">
        <v>25</v>
      </c>
      <c r="AB217" s="1656">
        <v>25</v>
      </c>
      <c r="AC217" s="1656">
        <v>25</v>
      </c>
      <c r="AD217" s="1657">
        <v>25</v>
      </c>
      <c r="AE217" s="1656">
        <v>25</v>
      </c>
      <c r="AF217" s="1656">
        <v>25</v>
      </c>
      <c r="AG217" s="1656">
        <v>25</v>
      </c>
      <c r="AH217" s="1657">
        <v>25</v>
      </c>
      <c r="AI217" s="1656">
        <v>25</v>
      </c>
      <c r="AJ217" s="1656">
        <v>25</v>
      </c>
      <c r="AK217" s="1656">
        <v>25</v>
      </c>
      <c r="AL217" s="1657">
        <v>25</v>
      </c>
      <c r="AM217" s="1656">
        <v>25</v>
      </c>
      <c r="AN217" s="1656">
        <v>25</v>
      </c>
      <c r="AO217" s="1656">
        <v>25</v>
      </c>
      <c r="AP217" s="1657">
        <v>25</v>
      </c>
      <c r="AQ217" s="1656">
        <v>25</v>
      </c>
      <c r="AR217" s="1656">
        <v>25</v>
      </c>
      <c r="AS217" s="1656">
        <v>25</v>
      </c>
      <c r="AT217" s="1657">
        <v>25</v>
      </c>
      <c r="AU217" s="1656">
        <v>25</v>
      </c>
      <c r="AV217" s="1656">
        <v>25</v>
      </c>
      <c r="AW217" s="1656">
        <v>25</v>
      </c>
      <c r="AX217" s="1657">
        <v>25</v>
      </c>
      <c r="AY217" s="1656">
        <v>25</v>
      </c>
      <c r="AZ217" s="1656">
        <v>25</v>
      </c>
      <c r="BA217" s="1656">
        <v>25</v>
      </c>
      <c r="BB217" s="1673">
        <v>25</v>
      </c>
      <c r="BC217" s="646"/>
      <c r="BD217" s="646"/>
      <c r="BE217" s="655">
        <f>AVERAGE(G217:J217)</f>
        <v>25</v>
      </c>
      <c r="BF217" s="655">
        <f>AVERAGE(K217:N217)</f>
        <v>25</v>
      </c>
      <c r="BG217" s="655">
        <f>AVERAGE(O217:R217)</f>
        <v>25</v>
      </c>
      <c r="BH217" s="655">
        <f>AVERAGE(S217:V217)</f>
        <v>25</v>
      </c>
      <c r="BI217" s="655">
        <f>AVERAGE(W217:Z217)</f>
        <v>25</v>
      </c>
      <c r="BJ217" s="655">
        <f>AVERAGE(AA217:AD217)</f>
        <v>25</v>
      </c>
      <c r="BK217" s="655">
        <f>AVERAGE(AE217:AH217)</f>
        <v>25</v>
      </c>
      <c r="BL217" s="655">
        <f>AVERAGE(AI217:AL217)</f>
        <v>25</v>
      </c>
      <c r="BM217" s="672">
        <f>AVERAGE(AM217:AP217)</f>
        <v>25</v>
      </c>
      <c r="BN217" s="672">
        <f t="shared" si="541"/>
        <v>25</v>
      </c>
      <c r="BO217" s="672">
        <f t="shared" si="542"/>
        <v>25</v>
      </c>
      <c r="BP217" s="672">
        <f t="shared" si="543"/>
        <v>25</v>
      </c>
      <c r="BQ217" s="637"/>
      <c r="BR217" s="638"/>
      <c r="BU217" s="609"/>
      <c r="BV217" s="608"/>
      <c r="BW217" s="608"/>
      <c r="BX217" s="608"/>
    </row>
    <row r="218" spans="2:76" ht="12.75" customHeight="1">
      <c r="B218" s="721"/>
      <c r="C218" s="1739"/>
      <c r="D218" s="1621"/>
      <c r="E218" s="1621"/>
      <c r="F218" s="1740"/>
      <c r="G218" s="1423"/>
      <c r="H218" s="1654"/>
      <c r="I218" s="1654"/>
      <c r="J218" s="1655"/>
      <c r="K218" s="1423"/>
      <c r="L218" s="1654"/>
      <c r="M218" s="1654"/>
      <c r="N218" s="1655"/>
      <c r="O218" s="1423"/>
      <c r="P218" s="1654"/>
      <c r="Q218" s="1654"/>
      <c r="R218" s="1654"/>
      <c r="S218" s="1423"/>
      <c r="T218" s="1656"/>
      <c r="U218" s="1656"/>
      <c r="V218" s="1657"/>
      <c r="W218" s="1656"/>
      <c r="X218" s="1656"/>
      <c r="Y218" s="1656"/>
      <c r="Z218" s="1657"/>
      <c r="AA218" s="1656"/>
      <c r="AB218" s="1656"/>
      <c r="AC218" s="1656"/>
      <c r="AD218" s="1657"/>
      <c r="AE218" s="1656"/>
      <c r="AF218" s="1656"/>
      <c r="AG218" s="1656"/>
      <c r="AH218" s="1657"/>
      <c r="AI218" s="1656"/>
      <c r="AJ218" s="1656"/>
      <c r="AK218" s="1656"/>
      <c r="AL218" s="1657"/>
      <c r="AM218" s="1656"/>
      <c r="AN218" s="1656"/>
      <c r="AO218" s="1656"/>
      <c r="AP218" s="1657"/>
      <c r="AQ218" s="1656"/>
      <c r="AR218" s="1656"/>
      <c r="AS218" s="1656"/>
      <c r="AT218" s="1657"/>
      <c r="AU218" s="1656"/>
      <c r="AV218" s="1656"/>
      <c r="AW218" s="1656"/>
      <c r="AX218" s="1657"/>
      <c r="AY218" s="1656"/>
      <c r="AZ218" s="1656"/>
      <c r="BA218" s="1656"/>
      <c r="BB218" s="1673"/>
      <c r="BC218" s="646"/>
      <c r="BD218" s="646"/>
      <c r="BE218" s="655"/>
      <c r="BF218" s="655"/>
      <c r="BG218" s="655"/>
      <c r="BH218" s="672"/>
      <c r="BI218" s="672"/>
      <c r="BJ218" s="672"/>
      <c r="BK218" s="672"/>
      <c r="BL218" s="672"/>
      <c r="BM218" s="672"/>
      <c r="BN218" s="672"/>
      <c r="BO218" s="672"/>
      <c r="BP218" s="672"/>
      <c r="BQ218" s="637"/>
      <c r="BR218" s="682"/>
      <c r="BU218" s="609"/>
      <c r="BV218" s="608"/>
      <c r="BW218" s="608"/>
      <c r="BX218" s="608"/>
    </row>
    <row r="219" spans="2:76" ht="12.75" customHeight="1">
      <c r="B219" s="721"/>
      <c r="C219" s="1739"/>
      <c r="D219" s="1621"/>
      <c r="E219" s="1621"/>
      <c r="F219" s="1740"/>
      <c r="G219" s="1642"/>
      <c r="H219" s="1649"/>
      <c r="I219" s="1649"/>
      <c r="J219" s="1650"/>
      <c r="K219" s="1642"/>
      <c r="L219" s="1649"/>
      <c r="M219" s="1649"/>
      <c r="N219" s="1650"/>
      <c r="O219" s="1642"/>
      <c r="P219" s="1649"/>
      <c r="Q219" s="1649"/>
      <c r="R219" s="1649"/>
      <c r="S219" s="1985"/>
      <c r="T219" s="1658"/>
      <c r="U219" s="1658"/>
      <c r="V219" s="1659"/>
      <c r="W219" s="1658"/>
      <c r="X219" s="1658"/>
      <c r="Y219" s="1658"/>
      <c r="Z219" s="1661"/>
      <c r="AA219" s="1660"/>
      <c r="AB219" s="1660"/>
      <c r="AC219" s="1660"/>
      <c r="AD219" s="1661"/>
      <c r="AE219" s="1660"/>
      <c r="AF219" s="1660"/>
      <c r="AG219" s="1660"/>
      <c r="AH219" s="1661"/>
      <c r="AI219" s="1660"/>
      <c r="AJ219" s="1660"/>
      <c r="AK219" s="1660"/>
      <c r="AL219" s="1661"/>
      <c r="AM219" s="1660"/>
      <c r="AN219" s="1660"/>
      <c r="AO219" s="1660"/>
      <c r="AP219" s="1661"/>
      <c r="AQ219" s="1660"/>
      <c r="AR219" s="1660"/>
      <c r="AS219" s="1660"/>
      <c r="AT219" s="1661"/>
      <c r="AU219" s="1660"/>
      <c r="AV219" s="1660"/>
      <c r="AW219" s="1660"/>
      <c r="AX219" s="1661"/>
      <c r="AY219" s="1660"/>
      <c r="AZ219" s="1660"/>
      <c r="BA219" s="1660"/>
      <c r="BB219" s="1730"/>
      <c r="BC219" s="669"/>
      <c r="BD219" s="670"/>
      <c r="BE219" s="671"/>
      <c r="BF219" s="671"/>
      <c r="BG219" s="671"/>
      <c r="BH219" s="671"/>
      <c r="BI219" s="671"/>
      <c r="BJ219" s="671"/>
      <c r="BK219" s="671"/>
      <c r="BL219" s="671"/>
      <c r="BM219" s="671"/>
      <c r="BN219" s="671"/>
      <c r="BO219" s="671"/>
      <c r="BP219" s="671"/>
      <c r="BQ219" s="637"/>
      <c r="BR219" s="682"/>
      <c r="BU219" s="609"/>
      <c r="BV219" s="608"/>
      <c r="BW219" s="608"/>
      <c r="BX219" s="608"/>
    </row>
    <row r="220" spans="2:76" ht="12.75" customHeight="1">
      <c r="B220" s="721"/>
      <c r="C220" s="1741" t="s">
        <v>724</v>
      </c>
      <c r="D220" s="1622"/>
      <c r="E220" s="1622"/>
      <c r="F220" s="1742"/>
      <c r="G220" s="1423"/>
      <c r="H220" s="1654"/>
      <c r="I220" s="1654"/>
      <c r="J220" s="1655"/>
      <c r="K220" s="1423"/>
      <c r="L220" s="1654"/>
      <c r="M220" s="1654"/>
      <c r="N220" s="1655"/>
      <c r="O220" s="1423"/>
      <c r="P220" s="1654"/>
      <c r="Q220" s="1654"/>
      <c r="R220" s="1654"/>
      <c r="S220" s="1423"/>
      <c r="T220" s="1656"/>
      <c r="U220" s="1656"/>
      <c r="V220" s="1657"/>
      <c r="W220" s="1656"/>
      <c r="X220" s="1656"/>
      <c r="Y220" s="1656"/>
      <c r="Z220" s="1657"/>
      <c r="AA220" s="1656"/>
      <c r="AB220" s="1656"/>
      <c r="AC220" s="1656"/>
      <c r="AD220" s="1657"/>
      <c r="AE220" s="1656"/>
      <c r="AF220" s="1656"/>
      <c r="AG220" s="1656"/>
      <c r="AH220" s="1657"/>
      <c r="AI220" s="1656"/>
      <c r="AJ220" s="1656"/>
      <c r="AK220" s="1656"/>
      <c r="AL220" s="1657"/>
      <c r="AM220" s="1656"/>
      <c r="AN220" s="1656"/>
      <c r="AO220" s="1656"/>
      <c r="AP220" s="1657"/>
      <c r="AQ220" s="1656"/>
      <c r="AR220" s="1656"/>
      <c r="AS220" s="1656"/>
      <c r="AT220" s="1657"/>
      <c r="AU220" s="1656"/>
      <c r="AV220" s="1656"/>
      <c r="AW220" s="1656"/>
      <c r="AX220" s="1657"/>
      <c r="AY220" s="1656"/>
      <c r="AZ220" s="1656"/>
      <c r="BA220" s="1656"/>
      <c r="BB220" s="1673"/>
      <c r="BC220" s="646"/>
      <c r="BD220" s="646"/>
      <c r="BE220" s="655"/>
      <c r="BF220" s="655"/>
      <c r="BG220" s="655"/>
      <c r="BH220" s="655"/>
      <c r="BI220" s="655"/>
      <c r="BJ220" s="655"/>
      <c r="BK220" s="655"/>
      <c r="BL220" s="655"/>
      <c r="BM220" s="655"/>
      <c r="BN220" s="655"/>
      <c r="BO220" s="655"/>
      <c r="BP220" s="655"/>
      <c r="BQ220" s="637"/>
      <c r="BR220" s="682"/>
      <c r="BU220" s="609"/>
      <c r="BV220" s="608"/>
      <c r="BW220" s="608"/>
      <c r="BX220" s="608"/>
    </row>
    <row r="221" spans="2:76" ht="12.75" customHeight="1">
      <c r="B221" s="721"/>
      <c r="C221" s="1739" t="s">
        <v>238</v>
      </c>
      <c r="D221" s="1621"/>
      <c r="E221" s="1621"/>
      <c r="F221" s="1740"/>
      <c r="G221" s="1424">
        <v>8528.0969298430045</v>
      </c>
      <c r="H221" s="1425">
        <v>10939.694023823055</v>
      </c>
      <c r="I221" s="1425">
        <v>14421.989330928911</v>
      </c>
      <c r="J221" s="1426">
        <v>8861.0131998359921</v>
      </c>
      <c r="K221" s="1424">
        <v>9167.0595922106477</v>
      </c>
      <c r="L221" s="1425">
        <v>10189.12960248709</v>
      </c>
      <c r="M221" s="1425">
        <v>11710.045508691945</v>
      </c>
      <c r="N221" s="1426">
        <v>11336.882768537926</v>
      </c>
      <c r="O221" s="1424">
        <v>10207.718317800258</v>
      </c>
      <c r="P221" s="1425">
        <v>13937.121379905617</v>
      </c>
      <c r="Q221" s="1425">
        <v>15132.551384701612</v>
      </c>
      <c r="R221" s="1425">
        <v>12963.880511989042</v>
      </c>
      <c r="S221" s="1424">
        <v>11474.979818138521</v>
      </c>
      <c r="T221" s="1425">
        <v>10402.131258701407</v>
      </c>
      <c r="U221" s="1425">
        <v>14595.99188276675</v>
      </c>
      <c r="V221" s="1425">
        <v>15599.608908418337</v>
      </c>
      <c r="W221" s="1424">
        <v>9818.857351275652</v>
      </c>
      <c r="X221" s="1425">
        <v>11887.120339338082</v>
      </c>
      <c r="Y221" s="1425">
        <v>15922.771678283798</v>
      </c>
      <c r="Z221" s="1426">
        <v>15026.318812665288</v>
      </c>
      <c r="AA221" s="1424">
        <v>9835.9779023649571</v>
      </c>
      <c r="AB221" s="1425">
        <v>11407.233144218615</v>
      </c>
      <c r="AC221" s="1425">
        <v>18666.071155473397</v>
      </c>
      <c r="AD221" s="1426">
        <v>17315.33127145606</v>
      </c>
      <c r="AE221" s="1424">
        <v>12206.386279703562</v>
      </c>
      <c r="AF221" s="1425">
        <v>16621.31367909328</v>
      </c>
      <c r="AG221" s="1425">
        <v>22288.404958475618</v>
      </c>
      <c r="AH221" s="1426">
        <v>14434.588536316558</v>
      </c>
      <c r="AI221" s="1424">
        <v>10264.218099859183</v>
      </c>
      <c r="AJ221" s="1648">
        <v>12389.285901147583</v>
      </c>
      <c r="AK221" s="1648">
        <v>13153.218506204936</v>
      </c>
      <c r="AL221" s="1647">
        <v>14925.254225358662</v>
      </c>
      <c r="AM221" s="1648">
        <v>7994.7887216424933</v>
      </c>
      <c r="AN221" s="1648">
        <v>13122.990353697749</v>
      </c>
      <c r="AO221" s="1648">
        <v>14125.083166999331</v>
      </c>
      <c r="AP221" s="1647">
        <v>13408.970976253298</v>
      </c>
      <c r="AQ221" s="1648">
        <v>16121.702235183328</v>
      </c>
      <c r="AR221" s="1648">
        <v>17104.044129356756</v>
      </c>
      <c r="AS221" s="1648">
        <v>21029.097168692006</v>
      </c>
      <c r="AT221" s="1647">
        <v>8461.414086437906</v>
      </c>
      <c r="AU221" s="1648">
        <v>15860.467045238278</v>
      </c>
      <c r="AV221" s="1648">
        <v>16826.891124557431</v>
      </c>
      <c r="AW221" s="1648">
        <v>20688.34281700529</v>
      </c>
      <c r="AX221" s="1647">
        <v>8324.3057908107585</v>
      </c>
      <c r="AY221" s="1648">
        <v>15390.53594374832</v>
      </c>
      <c r="AZ221" s="1648">
        <v>16328.325763382341</v>
      </c>
      <c r="BA221" s="1648">
        <v>20075.366181432888</v>
      </c>
      <c r="BB221" s="1732">
        <v>8077.6642399499096</v>
      </c>
      <c r="BC221" s="700"/>
      <c r="BD221" s="700"/>
      <c r="BE221" s="701">
        <f t="shared" ref="BE221:BE236" si="544">AVERAGE(G221:J221)</f>
        <v>10687.698371107741</v>
      </c>
      <c r="BF221" s="701">
        <f t="shared" ref="BF221:BF236" si="545">AVERAGE(K221:N221)</f>
        <v>10600.779367981901</v>
      </c>
      <c r="BG221" s="701">
        <f t="shared" ref="BG221:BG236" si="546">AVERAGE(O221:R221)</f>
        <v>13060.317898599133</v>
      </c>
      <c r="BH221" s="701">
        <f t="shared" ref="BH221:BH236" si="547">AVERAGE(S221:V221)</f>
        <v>13018.177967006253</v>
      </c>
      <c r="BI221" s="701">
        <f t="shared" ref="BI221:BI236" si="548">AVERAGE(W221:Z221)</f>
        <v>13163.767045390705</v>
      </c>
      <c r="BJ221" s="701">
        <f t="shared" ref="BJ221:BJ236" si="549">AVERAGE(AA221:AD221)</f>
        <v>14306.153368378258</v>
      </c>
      <c r="BK221" s="701">
        <f t="shared" ref="BK221:BK236" si="550">AVERAGE(AE221:AH221)</f>
        <v>16387.673363397254</v>
      </c>
      <c r="BL221" s="701">
        <f t="shared" ref="BL221:BL236" si="551">AVERAGE(AI221:AL221)</f>
        <v>12682.994183142589</v>
      </c>
      <c r="BM221" s="1582">
        <f t="shared" ref="BM221:BM236" si="552">AVERAGE(AM221:AP221)</f>
        <v>12162.958304648218</v>
      </c>
      <c r="BN221" s="1582">
        <f t="shared" ref="BN221:BN236" si="553">AVERAGE(AQ221:AT221)</f>
        <v>15679.064404917501</v>
      </c>
      <c r="BO221" s="1582">
        <f t="shared" ref="BO221:BO236" si="554">AVERAGE(AU221:AX221)</f>
        <v>15425.001694402939</v>
      </c>
      <c r="BP221" s="1582">
        <f t="shared" ref="BP221:BP236" si="555">AVERAGE(AY221:BB221)</f>
        <v>14967.973032128364</v>
      </c>
      <c r="BQ221" s="637"/>
      <c r="BR221" s="702"/>
      <c r="BU221" s="609"/>
      <c r="BV221" s="608"/>
      <c r="BW221" s="608"/>
      <c r="BX221" s="608"/>
    </row>
    <row r="222" spans="2:76" ht="12.75" customHeight="1">
      <c r="B222" s="721"/>
      <c r="C222" s="1739" t="s">
        <v>859</v>
      </c>
      <c r="D222" s="1621"/>
      <c r="E222" s="1621"/>
      <c r="F222" s="1740"/>
      <c r="G222" s="1424">
        <v>6354.9851186486494</v>
      </c>
      <c r="H222" s="1425">
        <v>9234.2721012697057</v>
      </c>
      <c r="I222" s="1425">
        <v>11593.947010070106</v>
      </c>
      <c r="J222" s="1426">
        <v>7986.3843661035107</v>
      </c>
      <c r="K222" s="1424">
        <v>6840.1396780303039</v>
      </c>
      <c r="L222" s="1425">
        <v>9130.7265133667552</v>
      </c>
      <c r="M222" s="1425">
        <v>10816.593582639658</v>
      </c>
      <c r="N222" s="1426">
        <v>10282.027240426369</v>
      </c>
      <c r="O222" s="1424">
        <v>11040.263568617833</v>
      </c>
      <c r="P222" s="1425">
        <v>14052.827281024129</v>
      </c>
      <c r="Q222" s="1425">
        <v>13593.795584312746</v>
      </c>
      <c r="R222" s="1425">
        <v>10650.641750476832</v>
      </c>
      <c r="S222" s="1424">
        <v>10613.332343739214</v>
      </c>
      <c r="T222" s="1425">
        <v>9814.6604717116315</v>
      </c>
      <c r="U222" s="1425">
        <v>15217.027511328975</v>
      </c>
      <c r="V222" s="1425">
        <v>11622.060695219723</v>
      </c>
      <c r="W222" s="1424">
        <v>8339.8677320762581</v>
      </c>
      <c r="X222" s="1425">
        <v>12089.696865123291</v>
      </c>
      <c r="Y222" s="1425">
        <v>17008.913404698229</v>
      </c>
      <c r="Z222" s="1426">
        <v>14242.244323975263</v>
      </c>
      <c r="AA222" s="1424">
        <v>8245.126379457306</v>
      </c>
      <c r="AB222" s="1425">
        <v>23636.495062483507</v>
      </c>
      <c r="AC222" s="1425">
        <v>29559.964278835214</v>
      </c>
      <c r="AD222" s="1426">
        <v>26840.274598772085</v>
      </c>
      <c r="AE222" s="1424">
        <v>16770.720038090938</v>
      </c>
      <c r="AF222" s="1425">
        <v>22601.852674604575</v>
      </c>
      <c r="AG222" s="1425">
        <v>34191.352496551095</v>
      </c>
      <c r="AH222" s="1426">
        <v>12233.948471734455</v>
      </c>
      <c r="AI222" s="1424">
        <v>9237.5699548947559</v>
      </c>
      <c r="AJ222" s="1648">
        <v>13374.181331245492</v>
      </c>
      <c r="AK222" s="1648">
        <v>19942.594548815701</v>
      </c>
      <c r="AL222" s="1647">
        <v>12811.212946664498</v>
      </c>
      <c r="AM222" s="1648">
        <v>5561.1264063691815</v>
      </c>
      <c r="AN222" s="1648">
        <v>16904.797713941942</v>
      </c>
      <c r="AO222" s="1648">
        <v>15195.195195195192</v>
      </c>
      <c r="AP222" s="1647">
        <v>14065.797641216635</v>
      </c>
      <c r="AQ222" s="1648">
        <v>14527.253857531297</v>
      </c>
      <c r="AR222" s="1648">
        <v>19603.903225075555</v>
      </c>
      <c r="AS222" s="1648">
        <v>17640.554959788038</v>
      </c>
      <c r="AT222" s="1647">
        <v>7417.7739790369633</v>
      </c>
      <c r="AU222" s="1648">
        <v>14642.155761170308</v>
      </c>
      <c r="AV222" s="1648">
        <v>19758.958393891811</v>
      </c>
      <c r="AW222" s="1648">
        <v>17780.081216161496</v>
      </c>
      <c r="AX222" s="1647">
        <v>7476.4441419813102</v>
      </c>
      <c r="AY222" s="1648">
        <v>14513.506709443927</v>
      </c>
      <c r="AZ222" s="1648">
        <v>19585.352040979196</v>
      </c>
      <c r="BA222" s="1648">
        <v>17623.861693204144</v>
      </c>
      <c r="BB222" s="1732">
        <v>7410.7545355572447</v>
      </c>
      <c r="BC222" s="700"/>
      <c r="BD222" s="700"/>
      <c r="BE222" s="701">
        <f t="shared" si="544"/>
        <v>8792.3971490229942</v>
      </c>
      <c r="BF222" s="701">
        <f t="shared" si="545"/>
        <v>9267.371753615771</v>
      </c>
      <c r="BG222" s="701">
        <f t="shared" si="546"/>
        <v>12334.382046107885</v>
      </c>
      <c r="BH222" s="701">
        <f t="shared" si="547"/>
        <v>11816.770255499887</v>
      </c>
      <c r="BI222" s="701">
        <f t="shared" si="548"/>
        <v>12920.180581468259</v>
      </c>
      <c r="BJ222" s="701">
        <f t="shared" si="549"/>
        <v>22070.465079887028</v>
      </c>
      <c r="BK222" s="701">
        <f t="shared" si="550"/>
        <v>21449.468420245266</v>
      </c>
      <c r="BL222" s="701">
        <f t="shared" si="551"/>
        <v>13841.389695405112</v>
      </c>
      <c r="BM222" s="1582">
        <f t="shared" si="552"/>
        <v>12931.729239180739</v>
      </c>
      <c r="BN222" s="1582">
        <f t="shared" si="553"/>
        <v>14797.371505357962</v>
      </c>
      <c r="BO222" s="1582">
        <f t="shared" si="554"/>
        <v>14914.40987830123</v>
      </c>
      <c r="BP222" s="1582">
        <f t="shared" si="555"/>
        <v>14783.368744796129</v>
      </c>
      <c r="BQ222" s="637"/>
      <c r="BR222" s="638"/>
      <c r="BU222" s="609"/>
      <c r="BV222" s="608"/>
      <c r="BW222" s="608"/>
      <c r="BX222" s="608"/>
    </row>
    <row r="223" spans="2:76" ht="12.75" customHeight="1">
      <c r="B223" s="721"/>
      <c r="C223" s="1739" t="s">
        <v>857</v>
      </c>
      <c r="D223" s="1621"/>
      <c r="E223" s="1621"/>
      <c r="F223" s="1740"/>
      <c r="G223" s="1424">
        <v>8543.6664872269102</v>
      </c>
      <c r="H223" s="1425">
        <v>11733.472288175466</v>
      </c>
      <c r="I223" s="1425">
        <v>15567.424976285371</v>
      </c>
      <c r="J223" s="1426">
        <v>9467.1210998981551</v>
      </c>
      <c r="K223" s="1424">
        <v>8811.5559963805918</v>
      </c>
      <c r="L223" s="1425">
        <v>11833.163129494042</v>
      </c>
      <c r="M223" s="1425">
        <v>13749.375769400505</v>
      </c>
      <c r="N223" s="1426">
        <v>11401.789212415018</v>
      </c>
      <c r="O223" s="1424">
        <v>10858.411061353236</v>
      </c>
      <c r="P223" s="1425">
        <v>17096.327622236855</v>
      </c>
      <c r="Q223" s="1425">
        <v>16321.388541509912</v>
      </c>
      <c r="R223" s="1425">
        <v>11936.102955529621</v>
      </c>
      <c r="S223" s="1424">
        <v>9200.0602031750641</v>
      </c>
      <c r="T223" s="1425">
        <v>10943.30469533352</v>
      </c>
      <c r="U223" s="1425">
        <v>16839.305638511436</v>
      </c>
      <c r="V223" s="1425">
        <v>11507.281614895146</v>
      </c>
      <c r="W223" s="1424">
        <v>8513.2984461369888</v>
      </c>
      <c r="X223" s="1425">
        <v>12214.306661080853</v>
      </c>
      <c r="Y223" s="1425">
        <v>15533.074957564382</v>
      </c>
      <c r="Z223" s="1426">
        <v>13169.174296902111</v>
      </c>
      <c r="AA223" s="1424">
        <v>8752.0153850948955</v>
      </c>
      <c r="AB223" s="1425">
        <v>13044.571585464208</v>
      </c>
      <c r="AC223" s="1425">
        <v>16897.690788927091</v>
      </c>
      <c r="AD223" s="1426">
        <v>14276.849559241589</v>
      </c>
      <c r="AE223" s="1424">
        <v>12408.032404772037</v>
      </c>
      <c r="AF223" s="1425">
        <v>16600.643581221062</v>
      </c>
      <c r="AG223" s="1425">
        <v>20653.382464404767</v>
      </c>
      <c r="AH223" s="1426">
        <v>13059.678246218231</v>
      </c>
      <c r="AI223" s="1424">
        <v>10564.639678870024</v>
      </c>
      <c r="AJ223" s="1648">
        <v>12417.855523387629</v>
      </c>
      <c r="AK223" s="1648">
        <v>13595.184996214484</v>
      </c>
      <c r="AL223" s="1647">
        <v>11881.520868816107</v>
      </c>
      <c r="AM223" s="1648">
        <v>6442.6306762573604</v>
      </c>
      <c r="AN223" s="1648">
        <v>14924.97320471597</v>
      </c>
      <c r="AO223" s="1648">
        <v>11663.33998669328</v>
      </c>
      <c r="AP223" s="1647">
        <v>13240.105540897099</v>
      </c>
      <c r="AQ223" s="1648">
        <v>15902.941350771327</v>
      </c>
      <c r="AR223" s="1648">
        <v>19127.171748689459</v>
      </c>
      <c r="AS223" s="1648">
        <v>16072.965189791517</v>
      </c>
      <c r="AT223" s="1647">
        <v>6473.9168195960674</v>
      </c>
      <c r="AU223" s="1648">
        <v>15877.25457081885</v>
      </c>
      <c r="AV223" s="1648">
        <v>19096.277121023737</v>
      </c>
      <c r="AW223" s="1648">
        <v>16047.003783602089</v>
      </c>
      <c r="AX223" s="1647">
        <v>6463.460007041228</v>
      </c>
      <c r="AY223" s="1648">
        <v>15501.066136796249</v>
      </c>
      <c r="AZ223" s="1648">
        <v>18643.818633709263</v>
      </c>
      <c r="BA223" s="1648">
        <v>15666.79338909201</v>
      </c>
      <c r="BB223" s="1732">
        <v>6310.3177312421476</v>
      </c>
      <c r="BC223" s="700"/>
      <c r="BD223" s="700"/>
      <c r="BE223" s="701">
        <f t="shared" si="544"/>
        <v>11327.921212896475</v>
      </c>
      <c r="BF223" s="701">
        <f t="shared" si="545"/>
        <v>11448.971026922538</v>
      </c>
      <c r="BG223" s="701">
        <f t="shared" si="546"/>
        <v>14053.057545157406</v>
      </c>
      <c r="BH223" s="701">
        <f t="shared" si="547"/>
        <v>12122.488037978792</v>
      </c>
      <c r="BI223" s="701">
        <f t="shared" si="548"/>
        <v>12357.463590421085</v>
      </c>
      <c r="BJ223" s="701">
        <f t="shared" si="549"/>
        <v>13242.781829681946</v>
      </c>
      <c r="BK223" s="701">
        <f t="shared" si="550"/>
        <v>15680.434174154023</v>
      </c>
      <c r="BL223" s="701">
        <f t="shared" si="551"/>
        <v>12114.800266822062</v>
      </c>
      <c r="BM223" s="1582">
        <f t="shared" si="552"/>
        <v>11567.762352140928</v>
      </c>
      <c r="BN223" s="1582">
        <f t="shared" si="553"/>
        <v>14394.248777212093</v>
      </c>
      <c r="BO223" s="1582">
        <f t="shared" si="554"/>
        <v>14370.998870621475</v>
      </c>
      <c r="BP223" s="1582">
        <f t="shared" si="555"/>
        <v>14030.498972709916</v>
      </c>
      <c r="BQ223" s="637"/>
      <c r="BR223" s="638"/>
      <c r="BU223" s="609"/>
      <c r="BV223" s="608"/>
      <c r="BW223" s="608"/>
      <c r="BX223" s="608"/>
    </row>
    <row r="224" spans="2:76" ht="12.75" customHeight="1">
      <c r="B224" s="721"/>
      <c r="C224" s="1739" t="s">
        <v>858</v>
      </c>
      <c r="D224" s="1621"/>
      <c r="E224" s="1621"/>
      <c r="F224" s="1740"/>
      <c r="G224" s="1424">
        <v>9392.5798896790966</v>
      </c>
      <c r="H224" s="1425">
        <v>13697.35313631684</v>
      </c>
      <c r="I224" s="1425">
        <v>17284.703810095227</v>
      </c>
      <c r="J224" s="1426">
        <v>10274.047045908441</v>
      </c>
      <c r="K224" s="1424">
        <v>10183.447113344422</v>
      </c>
      <c r="L224" s="1425">
        <v>13001.009310136313</v>
      </c>
      <c r="M224" s="1425">
        <v>14568.584070796462</v>
      </c>
      <c r="N224" s="1426">
        <v>12436.247938794573</v>
      </c>
      <c r="O224" s="1424">
        <v>12425.14553153737</v>
      </c>
      <c r="P224" s="1425">
        <v>18031.971093165863</v>
      </c>
      <c r="Q224" s="1425">
        <v>17146.378293109447</v>
      </c>
      <c r="R224" s="1425">
        <v>12431.863270403677</v>
      </c>
      <c r="S224" s="1424">
        <v>10578.39992459892</v>
      </c>
      <c r="T224" s="1425">
        <v>11999.78855129232</v>
      </c>
      <c r="U224" s="1425">
        <v>17812.227801005432</v>
      </c>
      <c r="V224" s="1425">
        <v>11729.179938323001</v>
      </c>
      <c r="W224" s="1424">
        <v>9203.1098350249158</v>
      </c>
      <c r="X224" s="1425">
        <v>12626.733347297857</v>
      </c>
      <c r="Y224" s="1425">
        <v>15897.562359300329</v>
      </c>
      <c r="Z224" s="1426">
        <v>13240.978153002308</v>
      </c>
      <c r="AA224" s="1424">
        <v>9018.8976375690818</v>
      </c>
      <c r="AB224" s="1425">
        <v>13894.286417546622</v>
      </c>
      <c r="AC224" s="1425">
        <v>18107.995319874713</v>
      </c>
      <c r="AD224" s="1426">
        <v>14745.056501394383</v>
      </c>
      <c r="AE224" s="1424">
        <v>13209.269974318235</v>
      </c>
      <c r="AF224" s="1425">
        <v>17254.346935393285</v>
      </c>
      <c r="AG224" s="1425">
        <v>22217.55576655066</v>
      </c>
      <c r="AH224" s="1426">
        <v>13392.414325610831</v>
      </c>
      <c r="AI224" s="1424">
        <v>10821.778932940791</v>
      </c>
      <c r="AJ224" s="1648">
        <v>14506.809765484199</v>
      </c>
      <c r="AK224" s="1648">
        <v>14815.14368478225</v>
      </c>
      <c r="AL224" s="1647">
        <v>12173.228816928658</v>
      </c>
      <c r="AM224" s="1648">
        <v>7815.56322828876</v>
      </c>
      <c r="AN224" s="1648">
        <v>16606.377277599146</v>
      </c>
      <c r="AO224" s="1648">
        <v>13626.081170991349</v>
      </c>
      <c r="AP224" s="1647">
        <v>14369.39313984169</v>
      </c>
      <c r="AQ224" s="1648">
        <v>16741.315089166317</v>
      </c>
      <c r="AR224" s="1648">
        <v>20687.340048570692</v>
      </c>
      <c r="AS224" s="1648">
        <v>18591.892964046394</v>
      </c>
      <c r="AT224" s="1647">
        <v>8151.6242564083632</v>
      </c>
      <c r="AU224" s="1648">
        <v>16761.003464683836</v>
      </c>
      <c r="AV224" s="1648">
        <v>20711.669088264731</v>
      </c>
      <c r="AW224" s="1648">
        <v>18613.757684249551</v>
      </c>
      <c r="AX224" s="1647">
        <v>8161.210853314461</v>
      </c>
      <c r="AY224" s="1648">
        <v>16419.071657976107</v>
      </c>
      <c r="AZ224" s="1648">
        <v>20289.14197369161</v>
      </c>
      <c r="BA224" s="1648">
        <v>18234.028880541242</v>
      </c>
      <c r="BB224" s="1732">
        <v>7994.7185798729333</v>
      </c>
      <c r="BC224" s="700"/>
      <c r="BD224" s="700"/>
      <c r="BE224" s="701">
        <f t="shared" si="544"/>
        <v>12662.170970499901</v>
      </c>
      <c r="BF224" s="701">
        <f t="shared" si="545"/>
        <v>12547.322108267941</v>
      </c>
      <c r="BG224" s="701">
        <f t="shared" si="546"/>
        <v>15008.839547054089</v>
      </c>
      <c r="BH224" s="701">
        <f t="shared" si="547"/>
        <v>13029.89905380492</v>
      </c>
      <c r="BI224" s="701">
        <f t="shared" si="548"/>
        <v>12742.095923656352</v>
      </c>
      <c r="BJ224" s="701">
        <f t="shared" si="549"/>
        <v>13941.558969096201</v>
      </c>
      <c r="BK224" s="701">
        <f t="shared" si="550"/>
        <v>16518.396750468255</v>
      </c>
      <c r="BL224" s="701">
        <f t="shared" si="551"/>
        <v>13079.240300033973</v>
      </c>
      <c r="BM224" s="1582">
        <f t="shared" si="552"/>
        <v>13104.353704180236</v>
      </c>
      <c r="BN224" s="1582">
        <f t="shared" si="553"/>
        <v>16043.04308954794</v>
      </c>
      <c r="BO224" s="1582">
        <f t="shared" si="554"/>
        <v>16061.910272628145</v>
      </c>
      <c r="BP224" s="1582">
        <f t="shared" si="555"/>
        <v>15734.240273020474</v>
      </c>
      <c r="BQ224" s="637"/>
      <c r="BR224" s="638"/>
      <c r="BU224" s="609"/>
      <c r="BV224" s="608"/>
      <c r="BW224" s="608"/>
      <c r="BX224" s="608"/>
    </row>
    <row r="225" spans="2:76" ht="12.75" customHeight="1">
      <c r="B225" s="721"/>
      <c r="C225" s="1739" t="s">
        <v>854</v>
      </c>
      <c r="D225" s="1621"/>
      <c r="E225" s="1621"/>
      <c r="F225" s="1740"/>
      <c r="G225" s="1424">
        <v>7982.4119503554102</v>
      </c>
      <c r="H225" s="1425">
        <v>11041.103779988538</v>
      </c>
      <c r="I225" s="1425">
        <v>14228.587132037725</v>
      </c>
      <c r="J225" s="1426">
        <v>9383.2805134876544</v>
      </c>
      <c r="K225" s="1424">
        <v>8427.5939587936628</v>
      </c>
      <c r="L225" s="1425">
        <v>12841.345055255759</v>
      </c>
      <c r="M225" s="1425">
        <v>13053.181206760597</v>
      </c>
      <c r="N225" s="1426">
        <v>10988.427298979313</v>
      </c>
      <c r="O225" s="1424">
        <v>12399.269052277541</v>
      </c>
      <c r="P225" s="1425">
        <v>15811.917941469588</v>
      </c>
      <c r="Q225" s="1425">
        <v>16066.421494696588</v>
      </c>
      <c r="R225" s="1425">
        <v>11326.798880136883</v>
      </c>
      <c r="S225" s="1424">
        <v>9769.8876086014934</v>
      </c>
      <c r="T225" s="1425">
        <v>10989.280048611789</v>
      </c>
      <c r="U225" s="1425">
        <v>13580.3682962901</v>
      </c>
      <c r="V225" s="1425">
        <v>10104.935635805112</v>
      </c>
      <c r="W225" s="1424">
        <v>8947.0994834564881</v>
      </c>
      <c r="X225" s="1425">
        <v>13598.639044134061</v>
      </c>
      <c r="Y225" s="1425">
        <v>16362.499285784888</v>
      </c>
      <c r="Z225" s="1426">
        <v>14636.185295017334</v>
      </c>
      <c r="AA225" s="1424">
        <v>8819.9510291713868</v>
      </c>
      <c r="AB225" s="1425">
        <v>24123.141529550368</v>
      </c>
      <c r="AC225" s="1425">
        <v>28747.430408517044</v>
      </c>
      <c r="AD225" s="1426">
        <v>24735.597244755765</v>
      </c>
      <c r="AE225" s="1424">
        <v>16416.865442427312</v>
      </c>
      <c r="AF225" s="1425">
        <v>20663.424419465664</v>
      </c>
      <c r="AG225" s="1425">
        <v>28889.206582791372</v>
      </c>
      <c r="AH225" s="1426">
        <v>14896.780177793647</v>
      </c>
      <c r="AI225" s="1424">
        <v>10739.7501298603</v>
      </c>
      <c r="AJ225" s="1648">
        <v>13045.335901964805</v>
      </c>
      <c r="AK225" s="1648">
        <v>20361.658997618648</v>
      </c>
      <c r="AL225" s="1647">
        <v>13616.365420376185</v>
      </c>
      <c r="AM225" s="1648">
        <v>7345.4940065431902</v>
      </c>
      <c r="AN225" s="1648">
        <v>15566.250563994585</v>
      </c>
      <c r="AO225" s="1648">
        <v>16621.62162162162</v>
      </c>
      <c r="AP225" s="1647">
        <v>12917.442582247049</v>
      </c>
      <c r="AQ225" s="1648">
        <v>11104.548723888633</v>
      </c>
      <c r="AR225" s="1648">
        <v>16674.490418195121</v>
      </c>
      <c r="AS225" s="1648">
        <v>17885.095700846545</v>
      </c>
      <c r="AT225" s="1647">
        <v>10165.322792411107</v>
      </c>
      <c r="AU225" s="1648">
        <v>11252.137629199777</v>
      </c>
      <c r="AV225" s="1648">
        <v>16896.108590048279</v>
      </c>
      <c r="AW225" s="1648">
        <v>18122.803847436458</v>
      </c>
      <c r="AX225" s="1647">
        <v>10300.428585574848</v>
      </c>
      <c r="AY225" s="1648">
        <v>11109.283737185371</v>
      </c>
      <c r="AZ225" s="1648">
        <v>16681.6004715444</v>
      </c>
      <c r="BA225" s="1648">
        <v>17892.721959964558</v>
      </c>
      <c r="BB225" s="1732">
        <v>10169.657316918545</v>
      </c>
      <c r="BC225" s="700"/>
      <c r="BD225" s="700"/>
      <c r="BE225" s="701">
        <f t="shared" si="544"/>
        <v>10658.845843967332</v>
      </c>
      <c r="BF225" s="701">
        <f t="shared" si="545"/>
        <v>11327.636879947331</v>
      </c>
      <c r="BG225" s="701">
        <f t="shared" si="546"/>
        <v>13901.10184214515</v>
      </c>
      <c r="BH225" s="701">
        <f t="shared" si="547"/>
        <v>11111.117897327124</v>
      </c>
      <c r="BI225" s="701">
        <f t="shared" si="548"/>
        <v>13386.105777098193</v>
      </c>
      <c r="BJ225" s="701">
        <f t="shared" si="549"/>
        <v>21606.530052998642</v>
      </c>
      <c r="BK225" s="701">
        <f t="shared" si="550"/>
        <v>20216.569155619502</v>
      </c>
      <c r="BL225" s="701">
        <f t="shared" si="551"/>
        <v>14440.777612454986</v>
      </c>
      <c r="BM225" s="1582">
        <f t="shared" si="552"/>
        <v>13112.702193601612</v>
      </c>
      <c r="BN225" s="1582">
        <f t="shared" si="553"/>
        <v>13957.364408835352</v>
      </c>
      <c r="BO225" s="1582">
        <f t="shared" si="554"/>
        <v>14142.869663064841</v>
      </c>
      <c r="BP225" s="1582">
        <f t="shared" si="555"/>
        <v>13963.315871403218</v>
      </c>
      <c r="BQ225" s="637"/>
      <c r="BR225" s="638"/>
      <c r="BU225" s="609"/>
      <c r="BV225" s="608"/>
      <c r="BW225" s="608"/>
      <c r="BX225" s="608"/>
    </row>
    <row r="226" spans="2:76" ht="12.75" customHeight="1">
      <c r="B226" s="721"/>
      <c r="C226" s="1739" t="s">
        <v>149</v>
      </c>
      <c r="D226" s="1621"/>
      <c r="E226" s="1621"/>
      <c r="F226" s="1740"/>
      <c r="G226" s="1424">
        <v>8711.9060675020501</v>
      </c>
      <c r="H226" s="1425">
        <v>12152.629284719847</v>
      </c>
      <c r="I226" s="1425">
        <v>17173.13306743103</v>
      </c>
      <c r="J226" s="1426">
        <v>10120.881701897726</v>
      </c>
      <c r="K226" s="1424">
        <v>9486.4861275515559</v>
      </c>
      <c r="L226" s="1425">
        <v>14083.274067213015</v>
      </c>
      <c r="M226" s="1425">
        <v>15184.902828423206</v>
      </c>
      <c r="N226" s="1426">
        <v>11452.068410464995</v>
      </c>
      <c r="O226" s="1424">
        <v>13882.378537887873</v>
      </c>
      <c r="P226" s="1425">
        <v>15168.285590046735</v>
      </c>
      <c r="Q226" s="1425">
        <v>18341.98697135222</v>
      </c>
      <c r="R226" s="1425">
        <v>12596.345207299488</v>
      </c>
      <c r="S226" s="1424">
        <v>9911.8076792134689</v>
      </c>
      <c r="T226" s="1425">
        <v>11384.147247720264</v>
      </c>
      <c r="U226" s="1425">
        <v>15573.185234756584</v>
      </c>
      <c r="V226" s="1425">
        <v>10607.460008072527</v>
      </c>
      <c r="W226" s="1424">
        <v>10425.452124530333</v>
      </c>
      <c r="X226" s="1425">
        <v>14513.982866861383</v>
      </c>
      <c r="Y226" s="1425">
        <v>17923.159637116962</v>
      </c>
      <c r="Z226" s="1426">
        <v>17808.177795314739</v>
      </c>
      <c r="AA226" s="1424">
        <v>10435.739406819961</v>
      </c>
      <c r="AB226" s="1425">
        <v>22688.465601410513</v>
      </c>
      <c r="AC226" s="1425">
        <v>29063.334258348081</v>
      </c>
      <c r="AD226" s="1426">
        <v>23298.162468780309</v>
      </c>
      <c r="AE226" s="1424">
        <v>17051.205582715174</v>
      </c>
      <c r="AF226" s="1425">
        <v>18139.264256659353</v>
      </c>
      <c r="AG226" s="1425">
        <v>30127.615946596885</v>
      </c>
      <c r="AH226" s="1426">
        <v>12908.049102170644</v>
      </c>
      <c r="AI226" s="1424">
        <v>11111.448318537523</v>
      </c>
      <c r="AJ226" s="1648">
        <v>12879.867308086643</v>
      </c>
      <c r="AK226" s="1648">
        <v>19709.573082387014</v>
      </c>
      <c r="AL226" s="1647">
        <v>14197.025620468919</v>
      </c>
      <c r="AM226" s="1648">
        <v>7552.144985638347</v>
      </c>
      <c r="AN226" s="1648">
        <v>15508.196721311475</v>
      </c>
      <c r="AO226" s="1648">
        <v>17145.420420420422</v>
      </c>
      <c r="AP226" s="1647">
        <v>12891.744258224702</v>
      </c>
      <c r="AQ226" s="1648">
        <v>12752.248157113403</v>
      </c>
      <c r="AR226" s="1648">
        <v>17021.585855808447</v>
      </c>
      <c r="AS226" s="1648">
        <v>18914.044155281495</v>
      </c>
      <c r="AT226" s="1647">
        <v>9489.5496195419528</v>
      </c>
      <c r="AU226" s="1648">
        <v>12943.493840954505</v>
      </c>
      <c r="AV226" s="1648">
        <v>17276.858870177937</v>
      </c>
      <c r="AW226" s="1648">
        <v>19197.698399153764</v>
      </c>
      <c r="AX226" s="1647">
        <v>9631.864557580624</v>
      </c>
      <c r="AY226" s="1648">
        <v>12841.205970069279</v>
      </c>
      <c r="AZ226" s="1648">
        <v>17140.325942428291</v>
      </c>
      <c r="BA226" s="1648">
        <v>19045.985753458921</v>
      </c>
      <c r="BB226" s="1732">
        <v>9555.7473259926228</v>
      </c>
      <c r="BC226" s="700"/>
      <c r="BD226" s="700"/>
      <c r="BE226" s="701">
        <f t="shared" si="544"/>
        <v>12039.637530387663</v>
      </c>
      <c r="BF226" s="701">
        <f t="shared" si="545"/>
        <v>12551.682858413194</v>
      </c>
      <c r="BG226" s="701">
        <f t="shared" si="546"/>
        <v>14997.249076646578</v>
      </c>
      <c r="BH226" s="701">
        <f t="shared" si="547"/>
        <v>11869.150042440711</v>
      </c>
      <c r="BI226" s="701">
        <f t="shared" si="548"/>
        <v>15167.693105955856</v>
      </c>
      <c r="BJ226" s="701">
        <f t="shared" si="549"/>
        <v>21371.425433839719</v>
      </c>
      <c r="BK226" s="701">
        <f t="shared" si="550"/>
        <v>19556.533722035514</v>
      </c>
      <c r="BL226" s="701">
        <f t="shared" si="551"/>
        <v>14474.478582370026</v>
      </c>
      <c r="BM226" s="1582">
        <f t="shared" si="552"/>
        <v>13274.376596398735</v>
      </c>
      <c r="BN226" s="1582">
        <f t="shared" si="553"/>
        <v>14544.356946936325</v>
      </c>
      <c r="BO226" s="1582">
        <f t="shared" si="554"/>
        <v>14762.478916966707</v>
      </c>
      <c r="BP226" s="1582">
        <f t="shared" si="555"/>
        <v>14645.816247987277</v>
      </c>
      <c r="BQ226" s="637"/>
      <c r="BR226" s="638"/>
      <c r="BU226" s="609"/>
      <c r="BV226" s="608"/>
      <c r="BW226" s="608"/>
      <c r="BX226" s="608"/>
    </row>
    <row r="227" spans="2:76" ht="12.75" customHeight="1">
      <c r="B227" s="721"/>
      <c r="C227" s="1739" t="s">
        <v>23</v>
      </c>
      <c r="D227" s="1621"/>
      <c r="E227" s="1621"/>
      <c r="F227" s="1740"/>
      <c r="G227" s="1424">
        <v>7034.5564560522225</v>
      </c>
      <c r="H227" s="1425">
        <v>9219.5630628076833</v>
      </c>
      <c r="I227" s="1425">
        <v>11045.187830976916</v>
      </c>
      <c r="J227" s="1426">
        <v>7381.5895861529834</v>
      </c>
      <c r="K227" s="1424">
        <v>6978.2974668560619</v>
      </c>
      <c r="L227" s="1425">
        <v>10974.737677781584</v>
      </c>
      <c r="M227" s="1425">
        <v>11488.370939644137</v>
      </c>
      <c r="N227" s="1426">
        <v>10454.753259779891</v>
      </c>
      <c r="O227" s="1424">
        <v>11590.193568861898</v>
      </c>
      <c r="P227" s="1425">
        <v>14239.168969349786</v>
      </c>
      <c r="Q227" s="1425">
        <v>14649.640167203261</v>
      </c>
      <c r="R227" s="1425">
        <v>10401.683528262198</v>
      </c>
      <c r="S227" s="1424">
        <v>8843.8741816001238</v>
      </c>
      <c r="T227" s="1425">
        <v>10090.605702834497</v>
      </c>
      <c r="U227" s="1425">
        <v>11784.929103005486</v>
      </c>
      <c r="V227" s="1425">
        <v>9055.3075246398785</v>
      </c>
      <c r="W227" s="1424">
        <v>6250.8834115149521</v>
      </c>
      <c r="X227" s="1425">
        <v>13598.445413206973</v>
      </c>
      <c r="Y227" s="1425">
        <v>15115.206481521522</v>
      </c>
      <c r="Z227" s="1426">
        <v>14526.341739741243</v>
      </c>
      <c r="AA227" s="1424">
        <v>6685.8777350899572</v>
      </c>
      <c r="AB227" s="1425">
        <v>22536.074157139941</v>
      </c>
      <c r="AC227" s="1425">
        <v>26155.148246335953</v>
      </c>
      <c r="AD227" s="1426">
        <v>23909.989823722273</v>
      </c>
      <c r="AE227" s="1424">
        <v>14978.836309235272</v>
      </c>
      <c r="AF227" s="1425">
        <v>19797.287168266088</v>
      </c>
      <c r="AG227" s="1425">
        <v>28019.254671976272</v>
      </c>
      <c r="AH227" s="1426">
        <v>14526.175995021027</v>
      </c>
      <c r="AI227" s="1424">
        <v>10353.203493698842</v>
      </c>
      <c r="AJ227" s="1648">
        <v>13146.418491195038</v>
      </c>
      <c r="AK227" s="1648">
        <v>20992.620308985443</v>
      </c>
      <c r="AL227" s="1647">
        <v>11673.338698911291</v>
      </c>
      <c r="AM227" s="1648">
        <v>6038.4727262704982</v>
      </c>
      <c r="AN227" s="1648">
        <v>13216.818012190572</v>
      </c>
      <c r="AO227" s="1648">
        <v>13392.53996447602</v>
      </c>
      <c r="AP227" s="1647">
        <v>11740.379092475589</v>
      </c>
      <c r="AQ227" s="1648">
        <v>12782.858661912423</v>
      </c>
      <c r="AR227" s="1648">
        <v>12270.005904552587</v>
      </c>
      <c r="AS227" s="1648">
        <v>13129.877577825491</v>
      </c>
      <c r="AT227" s="1647">
        <v>11979.669391553554</v>
      </c>
      <c r="AU227" s="1648">
        <v>12476.88178267494</v>
      </c>
      <c r="AV227" s="1648">
        <v>11976.304924654652</v>
      </c>
      <c r="AW227" s="1648">
        <v>12815.594280772109</v>
      </c>
      <c r="AX227" s="1647">
        <v>11692.918051210097</v>
      </c>
      <c r="AY227" s="1648">
        <v>12273.714143985671</v>
      </c>
      <c r="AZ227" s="1648">
        <v>11781.288442640418</v>
      </c>
      <c r="BA227" s="1648">
        <v>12606.911208047992</v>
      </c>
      <c r="BB227" s="1732">
        <v>11502.516106939836</v>
      </c>
      <c r="BC227" s="700"/>
      <c r="BD227" s="700"/>
      <c r="BE227" s="701">
        <f t="shared" si="544"/>
        <v>8670.2242339974509</v>
      </c>
      <c r="BF227" s="701">
        <f t="shared" si="545"/>
        <v>9974.0398360154177</v>
      </c>
      <c r="BG227" s="701">
        <f t="shared" si="546"/>
        <v>12720.171558419286</v>
      </c>
      <c r="BH227" s="701">
        <f t="shared" si="547"/>
        <v>9943.6791280199977</v>
      </c>
      <c r="BI227" s="701">
        <f t="shared" si="548"/>
        <v>12372.719261496171</v>
      </c>
      <c r="BJ227" s="701">
        <f t="shared" si="549"/>
        <v>19821.772490572032</v>
      </c>
      <c r="BK227" s="701">
        <f t="shared" si="550"/>
        <v>19330.388536124665</v>
      </c>
      <c r="BL227" s="701">
        <f t="shared" si="551"/>
        <v>14041.395248197652</v>
      </c>
      <c r="BM227" s="1582">
        <f t="shared" si="552"/>
        <v>11097.05244885317</v>
      </c>
      <c r="BN227" s="1582">
        <f t="shared" si="553"/>
        <v>12540.602883961015</v>
      </c>
      <c r="BO227" s="1582">
        <f t="shared" si="554"/>
        <v>12240.424759827951</v>
      </c>
      <c r="BP227" s="1582">
        <f t="shared" si="555"/>
        <v>12041.10747540348</v>
      </c>
      <c r="BQ227" s="637"/>
      <c r="BR227" s="638"/>
      <c r="BU227" s="609"/>
      <c r="BV227" s="608"/>
      <c r="BW227" s="608"/>
      <c r="BX227" s="608"/>
    </row>
    <row r="228" spans="2:76" ht="12.75" customHeight="1">
      <c r="B228" s="721"/>
      <c r="C228" s="1739" t="s">
        <v>402</v>
      </c>
      <c r="D228" s="1621"/>
      <c r="E228" s="1621"/>
      <c r="F228" s="1740"/>
      <c r="G228" s="1424">
        <v>8259.8996262013297</v>
      </c>
      <c r="H228" s="1425">
        <v>10003.549383125364</v>
      </c>
      <c r="I228" s="1425">
        <v>12028.047815312115</v>
      </c>
      <c r="J228" s="1426">
        <v>10227.868758263019</v>
      </c>
      <c r="K228" s="1424">
        <v>9936.5439224208931</v>
      </c>
      <c r="L228" s="1425">
        <v>11672.791950011986</v>
      </c>
      <c r="M228" s="1425">
        <v>12186.105777662253</v>
      </c>
      <c r="N228" s="1426">
        <v>11252.850685073325</v>
      </c>
      <c r="O228" s="1424">
        <v>13099.854320578041</v>
      </c>
      <c r="P228" s="1425">
        <v>15290.619466270606</v>
      </c>
      <c r="Q228" s="1425">
        <v>15612.213249244409</v>
      </c>
      <c r="R228" s="1425">
        <v>11258.478019599537</v>
      </c>
      <c r="S228" s="1424">
        <v>10840.629181716851</v>
      </c>
      <c r="T228" s="1425">
        <v>10433.524268414367</v>
      </c>
      <c r="U228" s="1425">
        <v>11783.624476286885</v>
      </c>
      <c r="V228" s="1425">
        <v>9410.7450433957438</v>
      </c>
      <c r="W228" s="1424">
        <v>15318.186620328099</v>
      </c>
      <c r="X228" s="1425">
        <v>10985.588769221897</v>
      </c>
      <c r="Y228" s="1425">
        <v>9630.6910356468015</v>
      </c>
      <c r="Z228" s="1426">
        <v>10341.789794005559</v>
      </c>
      <c r="AA228" s="1424">
        <v>14856.332241024871</v>
      </c>
      <c r="AB228" s="1425">
        <v>12927.939921820258</v>
      </c>
      <c r="AC228" s="1425">
        <v>12745.79802165131</v>
      </c>
      <c r="AD228" s="1426">
        <v>14436.141757625302</v>
      </c>
      <c r="AE228" s="1424">
        <v>13712.372915511156</v>
      </c>
      <c r="AF228" s="1425">
        <v>14788.269551509478</v>
      </c>
      <c r="AG228" s="1425">
        <v>13349.72491644476</v>
      </c>
      <c r="AH228" s="1426">
        <v>10706.4109123743</v>
      </c>
      <c r="AI228" s="1424">
        <v>10324.076252256546</v>
      </c>
      <c r="AJ228" s="1648">
        <v>10803.742971428574</v>
      </c>
      <c r="AK228" s="1648">
        <v>12479.580188793305</v>
      </c>
      <c r="AL228" s="1647">
        <v>11085.597339180495</v>
      </c>
      <c r="AM228" s="1648">
        <v>12354.403745497164</v>
      </c>
      <c r="AN228" s="1648">
        <v>12625.948501057348</v>
      </c>
      <c r="AO228" s="1648">
        <v>12901.124925991713</v>
      </c>
      <c r="AP228" s="1647">
        <v>11585.295807007466</v>
      </c>
      <c r="AQ228" s="1648">
        <v>11887.424379313399</v>
      </c>
      <c r="AR228" s="1648">
        <v>11870.343784498289</v>
      </c>
      <c r="AS228" s="1648">
        <v>12919.05721085627</v>
      </c>
      <c r="AT228" s="1647">
        <v>12181.915144547824</v>
      </c>
      <c r="AU228" s="1648">
        <v>11741.640116388797</v>
      </c>
      <c r="AV228" s="1648">
        <v>11724.768993520336</v>
      </c>
      <c r="AW228" s="1648">
        <v>12760.621272753231</v>
      </c>
      <c r="AX228" s="1647">
        <v>12032.519323915016</v>
      </c>
      <c r="AY228" s="1648">
        <v>11591.847999052185</v>
      </c>
      <c r="AZ228" s="1648">
        <v>11575.192106866258</v>
      </c>
      <c r="BA228" s="1648">
        <v>12597.829664423458</v>
      </c>
      <c r="BB228" s="1732">
        <v>11879.016361078739</v>
      </c>
      <c r="BC228" s="700"/>
      <c r="BD228" s="700"/>
      <c r="BE228" s="701">
        <f t="shared" si="544"/>
        <v>10129.841395725456</v>
      </c>
      <c r="BF228" s="701">
        <f t="shared" si="545"/>
        <v>11262.073083792115</v>
      </c>
      <c r="BG228" s="701">
        <f t="shared" si="546"/>
        <v>13815.291263923147</v>
      </c>
      <c r="BH228" s="701">
        <f t="shared" si="547"/>
        <v>10617.130742453461</v>
      </c>
      <c r="BI228" s="701">
        <f t="shared" si="548"/>
        <v>11569.06405480059</v>
      </c>
      <c r="BJ228" s="701">
        <f t="shared" si="549"/>
        <v>13741.552985530434</v>
      </c>
      <c r="BK228" s="701">
        <f t="shared" si="550"/>
        <v>13139.194573959921</v>
      </c>
      <c r="BL228" s="701">
        <f t="shared" si="551"/>
        <v>11173.249187914729</v>
      </c>
      <c r="BM228" s="1582">
        <f t="shared" si="552"/>
        <v>12366.693244888422</v>
      </c>
      <c r="BN228" s="1582">
        <f t="shared" si="553"/>
        <v>12214.685129803944</v>
      </c>
      <c r="BO228" s="1582">
        <f t="shared" si="554"/>
        <v>12064.887426644345</v>
      </c>
      <c r="BP228" s="1582">
        <f t="shared" si="555"/>
        <v>11910.971532855161</v>
      </c>
      <c r="BQ228" s="637"/>
      <c r="BR228" s="638"/>
      <c r="BU228" s="609"/>
      <c r="BV228" s="608"/>
      <c r="BW228" s="608"/>
      <c r="BX228" s="608"/>
    </row>
    <row r="229" spans="2:76" ht="12.75" customHeight="1">
      <c r="B229" s="721"/>
      <c r="C229" s="1739" t="s">
        <v>62</v>
      </c>
      <c r="D229" s="1621"/>
      <c r="E229" s="1621"/>
      <c r="F229" s="1740"/>
      <c r="G229" s="1424">
        <v>7879.0781844521443</v>
      </c>
      <c r="H229" s="1425">
        <v>9492.1346187852487</v>
      </c>
      <c r="I229" s="1425">
        <v>11670.518647143224</v>
      </c>
      <c r="J229" s="1426">
        <v>9043.648694139978</v>
      </c>
      <c r="K229" s="1424">
        <v>9487.2668594512506</v>
      </c>
      <c r="L229" s="1425">
        <v>10409.06834561809</v>
      </c>
      <c r="M229" s="1425">
        <v>11468.42132683538</v>
      </c>
      <c r="N229" s="1426">
        <v>9514.2850054382216</v>
      </c>
      <c r="O229" s="1424">
        <v>12376.233457669894</v>
      </c>
      <c r="P229" s="1425">
        <v>14387.401369304029</v>
      </c>
      <c r="Q229" s="1425">
        <v>15593.259988776501</v>
      </c>
      <c r="R229" s="1425">
        <v>10321.248406616682</v>
      </c>
      <c r="S229" s="1424">
        <v>10013.535130755854</v>
      </c>
      <c r="T229" s="1425">
        <v>9797.5059785309622</v>
      </c>
      <c r="U229" s="1425">
        <v>11556.783290642117</v>
      </c>
      <c r="V229" s="1425">
        <v>8955.14579243558</v>
      </c>
      <c r="W229" s="1424">
        <v>14102.021173316958</v>
      </c>
      <c r="X229" s="1425">
        <v>10515.051888952205</v>
      </c>
      <c r="Y229" s="1425">
        <v>9329.8105397704876</v>
      </c>
      <c r="Z229" s="1426">
        <v>10242.15556320529</v>
      </c>
      <c r="AA229" s="1424">
        <v>13812.6485828859</v>
      </c>
      <c r="AB229" s="1425">
        <v>11166.919578014331</v>
      </c>
      <c r="AC229" s="1425">
        <v>12281.123997010438</v>
      </c>
      <c r="AD229" s="1426">
        <v>14039.404430911989</v>
      </c>
      <c r="AE229" s="1424">
        <v>13452.093034820135</v>
      </c>
      <c r="AF229" s="1425">
        <v>13851.754927196182</v>
      </c>
      <c r="AG229" s="1425">
        <v>13069.487986386619</v>
      </c>
      <c r="AH229" s="1426">
        <v>10415.320938137747</v>
      </c>
      <c r="AI229" s="1424">
        <v>9752.8895345008495</v>
      </c>
      <c r="AJ229" s="1648">
        <v>10932.723139999998</v>
      </c>
      <c r="AK229" s="1648">
        <v>11696.829462716889</v>
      </c>
      <c r="AL229" s="1647">
        <v>10483.05478949106</v>
      </c>
      <c r="AM229" s="1648">
        <v>10268.572478822029</v>
      </c>
      <c r="AN229" s="1648">
        <v>11220.301032466725</v>
      </c>
      <c r="AO229" s="1648">
        <v>12291.296625222027</v>
      </c>
      <c r="AP229" s="1647">
        <v>10396.323951751867</v>
      </c>
      <c r="AQ229" s="1648">
        <v>11688.854504578794</v>
      </c>
      <c r="AR229" s="1648">
        <v>11265.073570860448</v>
      </c>
      <c r="AS229" s="1648">
        <v>12554.63520359593</v>
      </c>
      <c r="AT229" s="1647">
        <v>9606.3783866369322</v>
      </c>
      <c r="AU229" s="1648">
        <v>11517.869933034026</v>
      </c>
      <c r="AV229" s="1648">
        <v>11100.28806709878</v>
      </c>
      <c r="AW229" s="1648">
        <v>12370.985991404368</v>
      </c>
      <c r="AX229" s="1647">
        <v>9465.8562771442867</v>
      </c>
      <c r="AY229" s="1648">
        <v>11377.488041924906</v>
      </c>
      <c r="AZ229" s="1648">
        <v>10964.995739630653</v>
      </c>
      <c r="BA229" s="1648">
        <v>12220.206166796617</v>
      </c>
      <c r="BB229" s="1732">
        <v>9350.4847012471237</v>
      </c>
      <c r="BC229" s="700"/>
      <c r="BD229" s="700"/>
      <c r="BE229" s="701">
        <f t="shared" si="544"/>
        <v>9521.3450361301493</v>
      </c>
      <c r="BF229" s="701">
        <f t="shared" si="545"/>
        <v>10219.760384335736</v>
      </c>
      <c r="BG229" s="701">
        <f t="shared" si="546"/>
        <v>13169.535805591777</v>
      </c>
      <c r="BH229" s="701">
        <f t="shared" si="547"/>
        <v>10080.742548091128</v>
      </c>
      <c r="BI229" s="701">
        <f t="shared" si="548"/>
        <v>11047.259791311235</v>
      </c>
      <c r="BJ229" s="701">
        <f t="shared" si="549"/>
        <v>12825.024147205666</v>
      </c>
      <c r="BK229" s="701">
        <f t="shared" si="550"/>
        <v>12697.16422163517</v>
      </c>
      <c r="BL229" s="701">
        <f t="shared" si="551"/>
        <v>10716.3742316772</v>
      </c>
      <c r="BM229" s="1582">
        <f t="shared" si="552"/>
        <v>11044.123522065662</v>
      </c>
      <c r="BN229" s="1582">
        <f t="shared" si="553"/>
        <v>11278.735416418027</v>
      </c>
      <c r="BO229" s="1582">
        <f t="shared" si="554"/>
        <v>11113.750067170366</v>
      </c>
      <c r="BP229" s="1582">
        <f t="shared" si="555"/>
        <v>10978.293662399825</v>
      </c>
      <c r="BQ229" s="637"/>
      <c r="BR229" s="638"/>
      <c r="BU229" s="609"/>
      <c r="BV229" s="608"/>
      <c r="BW229" s="608"/>
      <c r="BX229" s="608"/>
    </row>
    <row r="230" spans="2:76" ht="12.75" customHeight="1">
      <c r="B230" s="721"/>
      <c r="C230" s="1739" t="s">
        <v>860</v>
      </c>
      <c r="D230" s="1621"/>
      <c r="E230" s="1621"/>
      <c r="F230" s="1740"/>
      <c r="G230" s="1424">
        <v>8067.5859433413843</v>
      </c>
      <c r="H230" s="1425">
        <v>9108.0848492485366</v>
      </c>
      <c r="I230" s="1425">
        <v>11390.781083275977</v>
      </c>
      <c r="J230" s="1426">
        <v>8539.6099607496708</v>
      </c>
      <c r="K230" s="1424">
        <v>11901.725588831843</v>
      </c>
      <c r="L230" s="1425">
        <v>9599.6827009411682</v>
      </c>
      <c r="M230" s="1425">
        <v>26908.502434603772</v>
      </c>
      <c r="N230" s="1426">
        <v>8859.7893372745511</v>
      </c>
      <c r="O230" s="1424">
        <v>10308.713276672239</v>
      </c>
      <c r="P230" s="1425">
        <v>13533.712435401714</v>
      </c>
      <c r="Q230" s="1425">
        <v>10986.165899589667</v>
      </c>
      <c r="R230" s="1425">
        <v>8231.0646137657277</v>
      </c>
      <c r="S230" s="1424">
        <v>8288.1335792918544</v>
      </c>
      <c r="T230" s="1425">
        <v>9101.2420308902474</v>
      </c>
      <c r="U230" s="1425">
        <v>12127.883029718798</v>
      </c>
      <c r="V230" s="1425">
        <v>9584.0310133954554</v>
      </c>
      <c r="W230" s="1424">
        <v>11152.119574375303</v>
      </c>
      <c r="X230" s="1425">
        <v>9729.5722809534491</v>
      </c>
      <c r="Y230" s="1425">
        <v>9717.3949147704898</v>
      </c>
      <c r="Z230" s="1426">
        <v>8918.234962157112</v>
      </c>
      <c r="AA230" s="1424">
        <v>9169.9242686486396</v>
      </c>
      <c r="AB230" s="1425">
        <v>10170.713295240166</v>
      </c>
      <c r="AC230" s="1425">
        <v>12578.254164458334</v>
      </c>
      <c r="AD230" s="1426">
        <v>10933.409709833057</v>
      </c>
      <c r="AE230" s="1424">
        <v>10328.87726941304</v>
      </c>
      <c r="AF230" s="1425">
        <v>11427.537023693696</v>
      </c>
      <c r="AG230" s="1425">
        <v>11549.861420574975</v>
      </c>
      <c r="AH230" s="1426">
        <v>9815.8983124706374</v>
      </c>
      <c r="AI230" s="1424">
        <v>9203.2418044317055</v>
      </c>
      <c r="AJ230" s="1648">
        <v>15003.296031746037</v>
      </c>
      <c r="AK230" s="1648">
        <v>11185.979672546924</v>
      </c>
      <c r="AL230" s="1647">
        <v>10103.434985375012</v>
      </c>
      <c r="AM230" s="1648">
        <v>10702.474722563386</v>
      </c>
      <c r="AN230" s="1648">
        <v>13950.242567483521</v>
      </c>
      <c r="AO230" s="1648">
        <v>42227.750148016574</v>
      </c>
      <c r="AP230" s="1647">
        <v>9375.9103963239504</v>
      </c>
      <c r="AQ230" s="1648">
        <v>8449.0783547043502</v>
      </c>
      <c r="AR230" s="1648">
        <v>10350.829814619823</v>
      </c>
      <c r="AS230" s="1648">
        <v>27931.411143747304</v>
      </c>
      <c r="AT230" s="1647">
        <v>15077.400848592317</v>
      </c>
      <c r="AU230" s="1648">
        <v>7649.6148048687883</v>
      </c>
      <c r="AV230" s="1648">
        <v>9371.419895580284</v>
      </c>
      <c r="AW230" s="1648">
        <v>25288.502158004081</v>
      </c>
      <c r="AX230" s="1647">
        <v>13650.756201842432</v>
      </c>
      <c r="AY230" s="1648">
        <v>7140.7975020316026</v>
      </c>
      <c r="AZ230" s="1648">
        <v>8748.076012697582</v>
      </c>
      <c r="BA230" s="1648">
        <v>23606.426943885024</v>
      </c>
      <c r="BB230" s="1732">
        <v>12742.770488903179</v>
      </c>
      <c r="BC230" s="700"/>
      <c r="BD230" s="700"/>
      <c r="BE230" s="701">
        <f t="shared" si="544"/>
        <v>9276.5154591538922</v>
      </c>
      <c r="BF230" s="701">
        <f t="shared" si="545"/>
        <v>14317.425015412833</v>
      </c>
      <c r="BG230" s="701">
        <f t="shared" si="546"/>
        <v>10764.914056357338</v>
      </c>
      <c r="BH230" s="701">
        <f t="shared" si="547"/>
        <v>9775.3224133240892</v>
      </c>
      <c r="BI230" s="701">
        <f t="shared" si="548"/>
        <v>9879.3304330640894</v>
      </c>
      <c r="BJ230" s="701">
        <f t="shared" si="549"/>
        <v>10713.075359545048</v>
      </c>
      <c r="BK230" s="701">
        <f t="shared" si="550"/>
        <v>10780.543506538086</v>
      </c>
      <c r="BL230" s="701">
        <f t="shared" si="551"/>
        <v>11373.988123524918</v>
      </c>
      <c r="BM230" s="1582">
        <f t="shared" si="552"/>
        <v>19064.094458596857</v>
      </c>
      <c r="BN230" s="1582">
        <f t="shared" si="553"/>
        <v>15452.180040415949</v>
      </c>
      <c r="BO230" s="1582">
        <f t="shared" si="554"/>
        <v>13990.073265073897</v>
      </c>
      <c r="BP230" s="1582">
        <f t="shared" si="555"/>
        <v>13059.517736879347</v>
      </c>
      <c r="BQ230" s="637"/>
      <c r="BR230" s="638"/>
      <c r="BU230" s="609"/>
      <c r="BV230" s="608"/>
      <c r="BW230" s="608"/>
      <c r="BX230" s="608"/>
    </row>
    <row r="231" spans="2:76" ht="12.75" customHeight="1">
      <c r="B231" s="721"/>
      <c r="C231" s="1739" t="s">
        <v>63</v>
      </c>
      <c r="D231" s="1621"/>
      <c r="E231" s="1621"/>
      <c r="F231" s="1740"/>
      <c r="G231" s="1424">
        <v>8091.7737343918488</v>
      </c>
      <c r="H231" s="1425">
        <v>9071.6445094720693</v>
      </c>
      <c r="I231" s="1425">
        <v>11366.418321843603</v>
      </c>
      <c r="J231" s="1426">
        <v>8613.7018460944528</v>
      </c>
      <c r="K231" s="1424">
        <v>12155.959864196333</v>
      </c>
      <c r="L231" s="1425">
        <v>9203.9559760970442</v>
      </c>
      <c r="M231" s="1425">
        <v>25900.934188048766</v>
      </c>
      <c r="N231" s="1426">
        <v>8685.0849291008017</v>
      </c>
      <c r="O231" s="1424">
        <v>10275.170594208994</v>
      </c>
      <c r="P231" s="1425">
        <v>13744.748394706701</v>
      </c>
      <c r="Q231" s="1425">
        <v>11197.401049824619</v>
      </c>
      <c r="R231" s="1425">
        <v>8328.7852639674329</v>
      </c>
      <c r="S231" s="1424">
        <v>8348.2723136297336</v>
      </c>
      <c r="T231" s="1425">
        <v>8745.2844176240596</v>
      </c>
      <c r="U231" s="1425">
        <v>10802.091476322017</v>
      </c>
      <c r="V231" s="1425">
        <v>9346.0347165938329</v>
      </c>
      <c r="W231" s="1424">
        <v>11627.729500479627</v>
      </c>
      <c r="X231" s="1425">
        <v>8807.1484775102963</v>
      </c>
      <c r="Y231" s="1425">
        <v>9558.6137410440133</v>
      </c>
      <c r="Z231" s="1426">
        <v>9127.0058129911431</v>
      </c>
      <c r="AA231" s="1424">
        <v>9202.2654654879479</v>
      </c>
      <c r="AB231" s="1425">
        <v>10105.637756293225</v>
      </c>
      <c r="AC231" s="1425">
        <v>12701.782913818659</v>
      </c>
      <c r="AD231" s="1426">
        <v>9778.5805528245146</v>
      </c>
      <c r="AE231" s="1424">
        <v>9897.4409429729876</v>
      </c>
      <c r="AF231" s="1425">
        <v>10464.020312282828</v>
      </c>
      <c r="AG231" s="1425">
        <v>10646.473017770773</v>
      </c>
      <c r="AH231" s="1426">
        <v>8485.0446654235948</v>
      </c>
      <c r="AI231" s="1424">
        <v>7557.3594798727981</v>
      </c>
      <c r="AJ231" s="1648">
        <v>9066.5579365079357</v>
      </c>
      <c r="AK231" s="1648">
        <v>9959.2555936766203</v>
      </c>
      <c r="AL231" s="1647">
        <v>8152.0371878580636</v>
      </c>
      <c r="AM231" s="1648">
        <v>10217.942265440148</v>
      </c>
      <c r="AN231" s="1648">
        <v>13185.222042542606</v>
      </c>
      <c r="AO231" s="1648">
        <v>42121.178211959741</v>
      </c>
      <c r="AP231" s="1647">
        <v>9054.2561746122919</v>
      </c>
      <c r="AQ231" s="1648">
        <v>8124.4846766764404</v>
      </c>
      <c r="AR231" s="1648">
        <v>9664.2180564318169</v>
      </c>
      <c r="AS231" s="1648">
        <v>27348.703499911488</v>
      </c>
      <c r="AT231" s="1647">
        <v>14449.467045874115</v>
      </c>
      <c r="AU231" s="1648">
        <v>7249.1447994286054</v>
      </c>
      <c r="AV231" s="1648">
        <v>8622.9858080039758</v>
      </c>
      <c r="AW231" s="1648">
        <v>24402.127597906943</v>
      </c>
      <c r="AX231" s="1647">
        <v>12892.66741936461</v>
      </c>
      <c r="AY231" s="1648">
        <v>6710.1011029636156</v>
      </c>
      <c r="AZ231" s="1648">
        <v>7981.783807889703</v>
      </c>
      <c r="BA231" s="1648">
        <v>22587.594514911703</v>
      </c>
      <c r="BB231" s="1732">
        <v>11933.973491278659</v>
      </c>
      <c r="BC231" s="700"/>
      <c r="BD231" s="700"/>
      <c r="BE231" s="701">
        <f t="shared" si="544"/>
        <v>9285.884602950493</v>
      </c>
      <c r="BF231" s="701">
        <f t="shared" si="545"/>
        <v>13986.483739360738</v>
      </c>
      <c r="BG231" s="701">
        <f t="shared" si="546"/>
        <v>10886.526325676936</v>
      </c>
      <c r="BH231" s="701">
        <f t="shared" si="547"/>
        <v>9310.4207310424099</v>
      </c>
      <c r="BI231" s="701">
        <f t="shared" si="548"/>
        <v>9780.1243830062704</v>
      </c>
      <c r="BJ231" s="701">
        <f t="shared" si="549"/>
        <v>10447.066672106088</v>
      </c>
      <c r="BK231" s="701">
        <f t="shared" si="550"/>
        <v>9873.2447346125464</v>
      </c>
      <c r="BL231" s="701">
        <f t="shared" si="551"/>
        <v>8683.8025494788544</v>
      </c>
      <c r="BM231" s="1582">
        <f t="shared" si="552"/>
        <v>18644.649673638698</v>
      </c>
      <c r="BN231" s="1582">
        <f t="shared" si="553"/>
        <v>14896.718319723466</v>
      </c>
      <c r="BO231" s="1582">
        <f t="shared" si="554"/>
        <v>13291.731406176033</v>
      </c>
      <c r="BP231" s="1582">
        <f t="shared" si="555"/>
        <v>12303.36322926092</v>
      </c>
      <c r="BQ231" s="637"/>
      <c r="BR231" s="638"/>
      <c r="BU231" s="609"/>
      <c r="BV231" s="608"/>
      <c r="BW231" s="608"/>
      <c r="BX231" s="608"/>
    </row>
    <row r="232" spans="2:76" ht="12.75" customHeight="1">
      <c r="B232" s="721"/>
      <c r="C232" s="1739" t="s">
        <v>861</v>
      </c>
      <c r="D232" s="1621"/>
      <c r="E232" s="1621"/>
      <c r="F232" s="1740"/>
      <c r="G232" s="1424">
        <v>8041.7960553910534</v>
      </c>
      <c r="H232" s="1425">
        <v>9062.2667008499466</v>
      </c>
      <c r="I232" s="1425">
        <v>11356.87806590117</v>
      </c>
      <c r="J232" s="1426">
        <v>8347.9637882575953</v>
      </c>
      <c r="K232" s="1424">
        <v>13250.060693463165</v>
      </c>
      <c r="L232" s="1425">
        <v>9071.8879562291859</v>
      </c>
      <c r="M232" s="1425">
        <v>25893.818464353088</v>
      </c>
      <c r="N232" s="1426">
        <v>8802.8017856887855</v>
      </c>
      <c r="O232" s="1424">
        <v>10427.411930587574</v>
      </c>
      <c r="P232" s="1425">
        <v>13149.847473997354</v>
      </c>
      <c r="Q232" s="1425">
        <v>10844.312381422489</v>
      </c>
      <c r="R232" s="1425">
        <v>8425.2985003315698</v>
      </c>
      <c r="S232" s="1424">
        <v>8251.6765077448854</v>
      </c>
      <c r="T232" s="1425">
        <v>9002.9603883800482</v>
      </c>
      <c r="U232" s="1425">
        <v>11341.851539958103</v>
      </c>
      <c r="V232" s="1425">
        <v>9463.0903276979279</v>
      </c>
      <c r="W232" s="1424">
        <v>11411.501790347942</v>
      </c>
      <c r="X232" s="1425">
        <v>9045.8599574014897</v>
      </c>
      <c r="Y232" s="1425">
        <v>9605.4610611369171</v>
      </c>
      <c r="Z232" s="1426">
        <v>9120.4883109117491</v>
      </c>
      <c r="AA232" s="1424">
        <v>9136.8775797345152</v>
      </c>
      <c r="AB232" s="1425">
        <v>10167.155492757694</v>
      </c>
      <c r="AC232" s="1425">
        <v>12511.457613677228</v>
      </c>
      <c r="AD232" s="1426">
        <v>10876.683448674665</v>
      </c>
      <c r="AE232" s="1424">
        <v>10196.657106772524</v>
      </c>
      <c r="AF232" s="1425">
        <v>10689.109099653992</v>
      </c>
      <c r="AG232" s="1425">
        <v>10773.277437367538</v>
      </c>
      <c r="AH232" s="1426">
        <v>9535.7355641636423</v>
      </c>
      <c r="AI232" s="1424">
        <v>8034.3920235132791</v>
      </c>
      <c r="AJ232" s="1648">
        <v>11540.407142857141</v>
      </c>
      <c r="AK232" s="1648">
        <v>10385.636582967496</v>
      </c>
      <c r="AL232" s="1647">
        <v>9183.4832108958926</v>
      </c>
      <c r="AM232" s="1648">
        <v>10634.225607691036</v>
      </c>
      <c r="AN232" s="1648">
        <v>14236.347804453289</v>
      </c>
      <c r="AO232" s="1648">
        <v>42547.465956187094</v>
      </c>
      <c r="AP232" s="1647">
        <v>9496.5307294658251</v>
      </c>
      <c r="AQ232" s="1648">
        <v>8720.1192578699338</v>
      </c>
      <c r="AR232" s="1648">
        <v>10430.226716582347</v>
      </c>
      <c r="AS232" s="1648">
        <v>28181.026283720643</v>
      </c>
      <c r="AT232" s="1647">
        <v>14900.784624033387</v>
      </c>
      <c r="AU232" s="1648">
        <v>7855.5760409850509</v>
      </c>
      <c r="AV232" s="1648">
        <v>9396.1374465010304</v>
      </c>
      <c r="AW232" s="1648">
        <v>25387.06046766177</v>
      </c>
      <c r="AX232" s="1647">
        <v>13423.468558505469</v>
      </c>
      <c r="AY232" s="1648">
        <v>7313.7196348895295</v>
      </c>
      <c r="AZ232" s="1648">
        <v>8748.0172779255663</v>
      </c>
      <c r="BA232" s="1648">
        <v>23635.929643573669</v>
      </c>
      <c r="BB232" s="1732">
        <v>12497.553973438842</v>
      </c>
      <c r="BC232" s="700"/>
      <c r="BD232" s="700"/>
      <c r="BE232" s="701">
        <f t="shared" si="544"/>
        <v>9202.226152599942</v>
      </c>
      <c r="BF232" s="701">
        <f t="shared" si="545"/>
        <v>14254.642224933556</v>
      </c>
      <c r="BG232" s="701">
        <f t="shared" si="546"/>
        <v>10711.717571584746</v>
      </c>
      <c r="BH232" s="701">
        <f t="shared" si="547"/>
        <v>9514.8946909452407</v>
      </c>
      <c r="BI232" s="701">
        <f t="shared" si="548"/>
        <v>9795.8277799495245</v>
      </c>
      <c r="BJ232" s="701">
        <f t="shared" si="549"/>
        <v>10673.043533711027</v>
      </c>
      <c r="BK232" s="701">
        <f t="shared" si="550"/>
        <v>10298.694801989424</v>
      </c>
      <c r="BL232" s="701">
        <f t="shared" si="551"/>
        <v>9785.9797400584521</v>
      </c>
      <c r="BM232" s="1582">
        <f t="shared" si="552"/>
        <v>19228.642524449311</v>
      </c>
      <c r="BN232" s="1582">
        <f t="shared" si="553"/>
        <v>15558.039220551578</v>
      </c>
      <c r="BO232" s="1582">
        <f t="shared" si="554"/>
        <v>14015.56062841333</v>
      </c>
      <c r="BP232" s="1582">
        <f t="shared" si="555"/>
        <v>13048.805132456902</v>
      </c>
      <c r="BQ232" s="637"/>
      <c r="BR232" s="638"/>
      <c r="BU232" s="609"/>
      <c r="BV232" s="608"/>
      <c r="BW232" s="608"/>
      <c r="BX232" s="608"/>
    </row>
    <row r="233" spans="2:76" ht="12.75" customHeight="1">
      <c r="B233" s="721"/>
      <c r="C233" s="1739" t="s">
        <v>64</v>
      </c>
      <c r="D233" s="1621"/>
      <c r="E233" s="1621"/>
      <c r="F233" s="1740"/>
      <c r="G233" s="1424">
        <v>8775.1623905256511</v>
      </c>
      <c r="H233" s="1425">
        <v>8621.9499063828898</v>
      </c>
      <c r="I233" s="1425">
        <v>10207.705218967056</v>
      </c>
      <c r="J233" s="1426">
        <v>8941.757526174677</v>
      </c>
      <c r="K233" s="1424">
        <v>7843.2743322702108</v>
      </c>
      <c r="L233" s="1425">
        <v>8392.0085932164784</v>
      </c>
      <c r="M233" s="1425">
        <v>10046.833347980197</v>
      </c>
      <c r="N233" s="1426">
        <v>9235.6105140044056</v>
      </c>
      <c r="O233" s="1424">
        <v>9126.4511339092878</v>
      </c>
      <c r="P233" s="1425">
        <v>10134.401783568745</v>
      </c>
      <c r="Q233" s="1425">
        <v>11754.765674803102</v>
      </c>
      <c r="R233" s="1425">
        <v>8337.2335194144489</v>
      </c>
      <c r="S233" s="1424">
        <v>8672.5647979371352</v>
      </c>
      <c r="T233" s="1425">
        <v>9118.2506926640854</v>
      </c>
      <c r="U233" s="1425">
        <v>11096.928780874063</v>
      </c>
      <c r="V233" s="1425">
        <v>9096.6925445307006</v>
      </c>
      <c r="W233" s="1424">
        <v>8683.9376258463581</v>
      </c>
      <c r="X233" s="1425">
        <v>8703.3115203962152</v>
      </c>
      <c r="Y233" s="1425">
        <v>9652.6653325011466</v>
      </c>
      <c r="Z233" s="1426">
        <v>8969.1141558179552</v>
      </c>
      <c r="AA233" s="1424">
        <v>8901.1780605231725</v>
      </c>
      <c r="AB233" s="1425">
        <v>9551.0277881366437</v>
      </c>
      <c r="AC233" s="1425">
        <v>10951.734672288083</v>
      </c>
      <c r="AD233" s="1426">
        <v>9622.1211658004722</v>
      </c>
      <c r="AE233" s="1424">
        <v>9084.1070239354394</v>
      </c>
      <c r="AF233" s="1425">
        <v>10170.034204309035</v>
      </c>
      <c r="AG233" s="1425">
        <v>11984.899139776866</v>
      </c>
      <c r="AH233" s="1426">
        <v>8184.3072380613366</v>
      </c>
      <c r="AI233" s="1424">
        <v>7389.8139328772922</v>
      </c>
      <c r="AJ233" s="1648">
        <v>10342.646878449652</v>
      </c>
      <c r="AK233" s="1648">
        <v>13770.107900873485</v>
      </c>
      <c r="AL233" s="1647">
        <v>7056.5902948086296</v>
      </c>
      <c r="AM233" s="1648">
        <v>6781.1777196375069</v>
      </c>
      <c r="AN233" s="1648">
        <v>13492.720052945069</v>
      </c>
      <c r="AO233" s="1648">
        <v>17437.576749897667</v>
      </c>
      <c r="AP233" s="1647">
        <v>10429.362880886429</v>
      </c>
      <c r="AQ233" s="1648">
        <v>10014.399767955705</v>
      </c>
      <c r="AR233" s="1648">
        <v>14267.477999292238</v>
      </c>
      <c r="AS233" s="1648">
        <v>19740.487786195776</v>
      </c>
      <c r="AT233" s="1647">
        <v>10827.913239907981</v>
      </c>
      <c r="AU233" s="1648">
        <v>10617.254547706931</v>
      </c>
      <c r="AV233" s="1648">
        <v>15126.362955572005</v>
      </c>
      <c r="AW233" s="1648">
        <v>20928.841326325935</v>
      </c>
      <c r="AX233" s="1647">
        <v>11479.740548849391</v>
      </c>
      <c r="AY233" s="1648">
        <v>10827.965041019528</v>
      </c>
      <c r="AZ233" s="1648">
        <v>15426.561409520005</v>
      </c>
      <c r="BA233" s="1648">
        <v>21344.196017175243</v>
      </c>
      <c r="BB233" s="1732">
        <v>11707.567976672637</v>
      </c>
      <c r="BC233" s="700"/>
      <c r="BD233" s="700"/>
      <c r="BE233" s="701">
        <f t="shared" si="544"/>
        <v>9136.6437605125684</v>
      </c>
      <c r="BF233" s="701">
        <f t="shared" si="545"/>
        <v>8879.4316968678213</v>
      </c>
      <c r="BG233" s="701">
        <f t="shared" si="546"/>
        <v>9838.2130279238954</v>
      </c>
      <c r="BH233" s="701">
        <f t="shared" si="547"/>
        <v>9496.1092040014955</v>
      </c>
      <c r="BI233" s="701">
        <f t="shared" si="548"/>
        <v>9002.2571586404192</v>
      </c>
      <c r="BJ233" s="701">
        <f t="shared" si="549"/>
        <v>9756.5154216870942</v>
      </c>
      <c r="BK233" s="701">
        <f t="shared" si="550"/>
        <v>9855.8369015206681</v>
      </c>
      <c r="BL233" s="701">
        <f t="shared" si="551"/>
        <v>9639.7897517522651</v>
      </c>
      <c r="BM233" s="1582">
        <f t="shared" si="552"/>
        <v>12035.209350841669</v>
      </c>
      <c r="BN233" s="1582">
        <f t="shared" si="553"/>
        <v>13712.569698337924</v>
      </c>
      <c r="BO233" s="1582">
        <f t="shared" si="554"/>
        <v>14538.049844613566</v>
      </c>
      <c r="BP233" s="1582">
        <f t="shared" si="555"/>
        <v>14826.572611096854</v>
      </c>
      <c r="BQ233" s="637"/>
      <c r="BR233" s="638"/>
      <c r="BU233" s="609"/>
      <c r="BV233" s="608"/>
      <c r="BW233" s="608"/>
      <c r="BX233" s="608"/>
    </row>
    <row r="234" spans="2:76" ht="12.75" customHeight="1">
      <c r="B234" s="721"/>
      <c r="C234" s="1739" t="s">
        <v>65</v>
      </c>
      <c r="D234" s="1621"/>
      <c r="E234" s="1621"/>
      <c r="F234" s="1740"/>
      <c r="G234" s="1424">
        <v>11748.084932868991</v>
      </c>
      <c r="H234" s="1425">
        <v>7677.8064845469125</v>
      </c>
      <c r="I234" s="1425">
        <v>9417.3479567810555</v>
      </c>
      <c r="J234" s="1426">
        <v>8861.4285224737796</v>
      </c>
      <c r="K234" s="1424">
        <v>7380.0484170231503</v>
      </c>
      <c r="L234" s="1425">
        <v>7514.6167798312563</v>
      </c>
      <c r="M234" s="1425">
        <v>9858.7607644940235</v>
      </c>
      <c r="N234" s="1426">
        <v>9067.8163253889288</v>
      </c>
      <c r="O234" s="1424">
        <v>9110.09482114807</v>
      </c>
      <c r="P234" s="1425">
        <v>8904.2289277994641</v>
      </c>
      <c r="Q234" s="1425">
        <v>11626.092314450982</v>
      </c>
      <c r="R234" s="1425">
        <v>11418.003440809496</v>
      </c>
      <c r="S234" s="1424">
        <v>11446.755519845941</v>
      </c>
      <c r="T234" s="1425">
        <v>10899.370648108434</v>
      </c>
      <c r="U234" s="1425">
        <v>12691.456396801643</v>
      </c>
      <c r="V234" s="1425">
        <v>10961.734784397329</v>
      </c>
      <c r="W234" s="1424">
        <v>9780.5118738082929</v>
      </c>
      <c r="X234" s="1425">
        <v>8324.2136157281893</v>
      </c>
      <c r="Y234" s="1425">
        <v>10316.639645621897</v>
      </c>
      <c r="Z234" s="1426">
        <v>10289.620298252388</v>
      </c>
      <c r="AA234" s="1424">
        <v>10095.511697752157</v>
      </c>
      <c r="AB234" s="1425">
        <v>10336.636771049025</v>
      </c>
      <c r="AC234" s="1425">
        <v>11870.802114159645</v>
      </c>
      <c r="AD234" s="1426">
        <v>12988.979109047015</v>
      </c>
      <c r="AE234" s="1424">
        <v>10470.96990745581</v>
      </c>
      <c r="AF234" s="1425">
        <v>9544.9231897338559</v>
      </c>
      <c r="AG234" s="1425">
        <v>12095.15192624512</v>
      </c>
      <c r="AH234" s="1426">
        <v>10647.652335388861</v>
      </c>
      <c r="AI234" s="1424">
        <v>8571.6422127332826</v>
      </c>
      <c r="AJ234" s="1648">
        <v>10073.898611437213</v>
      </c>
      <c r="AK234" s="1648">
        <v>13498.819391065657</v>
      </c>
      <c r="AL234" s="1647">
        <v>11005.243762763848</v>
      </c>
      <c r="AM234" s="1648">
        <v>8859.7525685270448</v>
      </c>
      <c r="AN234" s="1648">
        <v>13716.08206485771</v>
      </c>
      <c r="AO234" s="1648">
        <v>18972.574703233728</v>
      </c>
      <c r="AP234" s="1647">
        <v>16516.620498614961</v>
      </c>
      <c r="AQ234" s="1648">
        <v>13499.713741880851</v>
      </c>
      <c r="AR234" s="1648">
        <v>14061.965375588867</v>
      </c>
      <c r="AS234" s="1648">
        <v>19672.051621639861</v>
      </c>
      <c r="AT234" s="1647">
        <v>15045.105469581529</v>
      </c>
      <c r="AU234" s="1648">
        <v>14061.523642976674</v>
      </c>
      <c r="AV234" s="1648">
        <v>14647.174182821826</v>
      </c>
      <c r="AW234" s="1648">
        <v>20490.732194222554</v>
      </c>
      <c r="AX234" s="1647">
        <v>15671.229058381727</v>
      </c>
      <c r="AY234" s="1648">
        <v>13906.632702001074</v>
      </c>
      <c r="AZ234" s="1648">
        <v>14485.832165454884</v>
      </c>
      <c r="BA234" s="1648">
        <v>20265.02203141047</v>
      </c>
      <c r="BB234" s="1732">
        <v>15498.606839287475</v>
      </c>
      <c r="BC234" s="700"/>
      <c r="BD234" s="700"/>
      <c r="BE234" s="701">
        <f t="shared" si="544"/>
        <v>9426.1669741676851</v>
      </c>
      <c r="BF234" s="701">
        <f t="shared" si="545"/>
        <v>8455.3105716843402</v>
      </c>
      <c r="BG234" s="701">
        <f t="shared" si="546"/>
        <v>10264.604876052003</v>
      </c>
      <c r="BH234" s="701">
        <f t="shared" si="547"/>
        <v>11499.829337288338</v>
      </c>
      <c r="BI234" s="701">
        <f t="shared" si="548"/>
        <v>9677.7463583526915</v>
      </c>
      <c r="BJ234" s="701">
        <f t="shared" si="549"/>
        <v>11322.982423001962</v>
      </c>
      <c r="BK234" s="701">
        <f t="shared" si="550"/>
        <v>10689.674339705913</v>
      </c>
      <c r="BL234" s="701">
        <f t="shared" si="551"/>
        <v>10787.4009945</v>
      </c>
      <c r="BM234" s="1582">
        <f t="shared" si="552"/>
        <v>14516.257458808361</v>
      </c>
      <c r="BN234" s="1582">
        <f t="shared" si="553"/>
        <v>15569.709052172777</v>
      </c>
      <c r="BO234" s="1582">
        <f t="shared" si="554"/>
        <v>16217.664769600695</v>
      </c>
      <c r="BP234" s="1582">
        <f t="shared" si="555"/>
        <v>16039.023434538474</v>
      </c>
      <c r="BQ234" s="637"/>
      <c r="BR234" s="638"/>
      <c r="BU234" s="609"/>
      <c r="BV234" s="608"/>
      <c r="BW234" s="608"/>
      <c r="BX234" s="608"/>
    </row>
    <row r="235" spans="2:76" ht="12.75" customHeight="1">
      <c r="B235" s="721"/>
      <c r="C235" s="1739" t="s">
        <v>66</v>
      </c>
      <c r="D235" s="1621"/>
      <c r="E235" s="1621"/>
      <c r="F235" s="1740"/>
      <c r="G235" s="1424">
        <v>8818.9270982303533</v>
      </c>
      <c r="H235" s="1425">
        <v>7516.769717405763</v>
      </c>
      <c r="I235" s="1425">
        <v>9030.4493391427277</v>
      </c>
      <c r="J235" s="1426">
        <v>8952.3408360904396</v>
      </c>
      <c r="K235" s="1424">
        <v>7313.7886058323793</v>
      </c>
      <c r="L235" s="1425">
        <v>7216.4963764112617</v>
      </c>
      <c r="M235" s="1425">
        <v>9638.9175401523808</v>
      </c>
      <c r="N235" s="1426">
        <v>9023.6993277436741</v>
      </c>
      <c r="O235" s="1424">
        <v>9302.9595264683994</v>
      </c>
      <c r="P235" s="1425">
        <v>10497.69497247698</v>
      </c>
      <c r="Q235" s="1425">
        <v>10394.090269805383</v>
      </c>
      <c r="R235" s="1425">
        <v>9503.8147240986618</v>
      </c>
      <c r="S235" s="1424">
        <v>10227.558514001141</v>
      </c>
      <c r="T235" s="1425">
        <v>12726.79042355791</v>
      </c>
      <c r="U235" s="1425">
        <v>11380.821957728594</v>
      </c>
      <c r="V235" s="1425">
        <v>11365.162652273772</v>
      </c>
      <c r="W235" s="1424">
        <v>9936.1125151956894</v>
      </c>
      <c r="X235" s="1425">
        <v>8914.437491759827</v>
      </c>
      <c r="Y235" s="1425">
        <v>10324.753615972111</v>
      </c>
      <c r="Z235" s="1426">
        <v>10613.533213405261</v>
      </c>
      <c r="AA235" s="1424">
        <v>10794.686554329206</v>
      </c>
      <c r="AB235" s="1425">
        <v>13050.491884183193</v>
      </c>
      <c r="AC235" s="1425">
        <v>11947.399352794859</v>
      </c>
      <c r="AD235" s="1426">
        <v>12563.163583983367</v>
      </c>
      <c r="AE235" s="1424">
        <v>11106.232529645211</v>
      </c>
      <c r="AF235" s="1425">
        <v>11716.347808318487</v>
      </c>
      <c r="AG235" s="1425">
        <v>12357.27579637696</v>
      </c>
      <c r="AH235" s="1426">
        <v>11990.682866775438</v>
      </c>
      <c r="AI235" s="1424">
        <v>9449.9884488374046</v>
      </c>
      <c r="AJ235" s="1648">
        <v>11403.16250934641</v>
      </c>
      <c r="AK235" s="1648">
        <v>14923.468157166129</v>
      </c>
      <c r="AL235" s="1647">
        <v>11110.096130842672</v>
      </c>
      <c r="AM235" s="1648">
        <v>8835.3985409444631</v>
      </c>
      <c r="AN235" s="1648">
        <v>14377.895433487756</v>
      </c>
      <c r="AO235" s="1648">
        <v>18051.575931232092</v>
      </c>
      <c r="AP235" s="1647">
        <v>16724.376731301942</v>
      </c>
      <c r="AQ235" s="1648">
        <v>14738.837139255675</v>
      </c>
      <c r="AR235" s="1648">
        <v>16182.133515390124</v>
      </c>
      <c r="AS235" s="1648">
        <v>20299.089540990994</v>
      </c>
      <c r="AT235" s="1647">
        <v>14937.966413316562</v>
      </c>
      <c r="AU235" s="1648">
        <v>15408.24352602746</v>
      </c>
      <c r="AV235" s="1648">
        <v>16917.091329527619</v>
      </c>
      <c r="AW235" s="1648">
        <v>21221.030672167504</v>
      </c>
      <c r="AX235" s="1647">
        <v>15616.416824836715</v>
      </c>
      <c r="AY235" s="1648">
        <v>15207.123389084334</v>
      </c>
      <c r="AZ235" s="1648">
        <v>16696.27656117802</v>
      </c>
      <c r="BA235" s="1648">
        <v>20944.037607536149</v>
      </c>
      <c r="BB235" s="1732">
        <v>15412.579451351106</v>
      </c>
      <c r="BC235" s="700"/>
      <c r="BD235" s="700"/>
      <c r="BE235" s="701">
        <f t="shared" si="544"/>
        <v>8579.6217477173195</v>
      </c>
      <c r="BF235" s="701">
        <f t="shared" si="545"/>
        <v>8298.2254625349233</v>
      </c>
      <c r="BG235" s="701">
        <f t="shared" si="546"/>
        <v>9924.6398732123562</v>
      </c>
      <c r="BH235" s="701">
        <f t="shared" si="547"/>
        <v>11425.083386890354</v>
      </c>
      <c r="BI235" s="701">
        <f t="shared" si="548"/>
        <v>9947.2092090832211</v>
      </c>
      <c r="BJ235" s="701">
        <f t="shared" si="549"/>
        <v>12088.935343822655</v>
      </c>
      <c r="BK235" s="701">
        <f t="shared" si="550"/>
        <v>11792.634750279025</v>
      </c>
      <c r="BL235" s="701">
        <f t="shared" si="551"/>
        <v>11721.678811548154</v>
      </c>
      <c r="BM235" s="1582">
        <f t="shared" si="552"/>
        <v>14497.311659241563</v>
      </c>
      <c r="BN235" s="1582">
        <f t="shared" si="553"/>
        <v>16539.506652238339</v>
      </c>
      <c r="BO235" s="1582">
        <f t="shared" si="554"/>
        <v>17290.695588139824</v>
      </c>
      <c r="BP235" s="1582">
        <f t="shared" si="555"/>
        <v>17065.004252287403</v>
      </c>
      <c r="BQ235" s="637"/>
      <c r="BR235" s="638"/>
      <c r="BU235" s="609"/>
      <c r="BV235" s="608"/>
      <c r="BW235" s="608"/>
      <c r="BX235" s="608"/>
    </row>
    <row r="236" spans="2:76" ht="12.75" customHeight="1">
      <c r="B236" s="721"/>
      <c r="C236" s="1739" t="s">
        <v>67</v>
      </c>
      <c r="D236" s="1621"/>
      <c r="E236" s="1621"/>
      <c r="F236" s="1740"/>
      <c r="G236" s="1424">
        <v>8563.562822424461</v>
      </c>
      <c r="H236" s="1425">
        <v>6860.4941925393041</v>
      </c>
      <c r="I236" s="1425">
        <v>9589.8568783682331</v>
      </c>
      <c r="J236" s="1426">
        <v>8761.3924824907463</v>
      </c>
      <c r="K236" s="1424">
        <v>6370.4143174569617</v>
      </c>
      <c r="L236" s="1425">
        <v>6211.3020714773484</v>
      </c>
      <c r="M236" s="1425">
        <v>7826.6983038931385</v>
      </c>
      <c r="N236" s="1426">
        <v>8505.2239404965749</v>
      </c>
      <c r="O236" s="1424">
        <v>8361.8498020158422</v>
      </c>
      <c r="P236" s="1425">
        <v>4692.7816196299354</v>
      </c>
      <c r="Q236" s="1425">
        <v>8714.24458656358</v>
      </c>
      <c r="R236" s="1425">
        <v>7915.5249031846197</v>
      </c>
      <c r="S236" s="1424">
        <v>8087.8495531943299</v>
      </c>
      <c r="T236" s="1425">
        <v>7996.3027258199882</v>
      </c>
      <c r="U236" s="1425">
        <v>11211.620071182011</v>
      </c>
      <c r="V236" s="1425">
        <v>10542.452919287505</v>
      </c>
      <c r="W236" s="1424">
        <v>8657.5971567442921</v>
      </c>
      <c r="X236" s="1425">
        <v>6886.9565387563089</v>
      </c>
      <c r="Y236" s="1425">
        <v>9018.6289233419629</v>
      </c>
      <c r="Z236" s="1426">
        <v>8128.1906062345806</v>
      </c>
      <c r="AA236" s="1424">
        <v>7254.6062172011279</v>
      </c>
      <c r="AB236" s="1425">
        <v>10198.607768021606</v>
      </c>
      <c r="AC236" s="1425">
        <v>11012.575922552551</v>
      </c>
      <c r="AD236" s="1426">
        <v>8791.3991643737936</v>
      </c>
      <c r="AE236" s="1424">
        <v>8374.7404708739778</v>
      </c>
      <c r="AF236" s="1425">
        <v>7523.2554039282049</v>
      </c>
      <c r="AG236" s="1425">
        <v>10999.855109017048</v>
      </c>
      <c r="AH236" s="1426">
        <v>8339.4758609136315</v>
      </c>
      <c r="AI236" s="1424">
        <v>7363.9896702949682</v>
      </c>
      <c r="AJ236" s="1648">
        <v>5110.2170980007359</v>
      </c>
      <c r="AK236" s="1648">
        <v>11913.659539148653</v>
      </c>
      <c r="AL236" s="1647">
        <v>6198.0513024458141</v>
      </c>
      <c r="AM236" s="1648">
        <v>5605.4382217503589</v>
      </c>
      <c r="AN236" s="1648">
        <v>6543.6796823295826</v>
      </c>
      <c r="AO236" s="1648">
        <v>11727.384363487512</v>
      </c>
      <c r="AP236" s="1647">
        <v>9868.4210526315801</v>
      </c>
      <c r="AQ236" s="1648">
        <v>10559.234578577465</v>
      </c>
      <c r="AR236" s="1648">
        <v>10219.421198025182</v>
      </c>
      <c r="AS236" s="1648">
        <v>15787.035019442665</v>
      </c>
      <c r="AT236" s="1647">
        <v>7959.8436172566526</v>
      </c>
      <c r="AU236" s="1648">
        <v>11509.813054563114</v>
      </c>
      <c r="AV236" s="1648">
        <v>11139.408509187173</v>
      </c>
      <c r="AW236" s="1648">
        <v>17208.238003185412</v>
      </c>
      <c r="AX236" s="1647">
        <v>8676.4160125822291</v>
      </c>
      <c r="AY236" s="1648">
        <v>11745.513775169822</v>
      </c>
      <c r="AZ236" s="1648">
        <v>11367.523996406751</v>
      </c>
      <c r="BA236" s="1648">
        <v>17560.632440740112</v>
      </c>
      <c r="BB236" s="1732">
        <v>8854.0937469428645</v>
      </c>
      <c r="BC236" s="700"/>
      <c r="BD236" s="700"/>
      <c r="BE236" s="701">
        <f t="shared" si="544"/>
        <v>8443.8265939556859</v>
      </c>
      <c r="BF236" s="701">
        <f t="shared" si="545"/>
        <v>7228.4096583310056</v>
      </c>
      <c r="BG236" s="701">
        <f t="shared" si="546"/>
        <v>7421.1002278484939</v>
      </c>
      <c r="BH236" s="701">
        <f t="shared" si="547"/>
        <v>9459.5563173709579</v>
      </c>
      <c r="BI236" s="701">
        <f t="shared" si="548"/>
        <v>8172.8433062692857</v>
      </c>
      <c r="BJ236" s="701">
        <f t="shared" si="549"/>
        <v>9314.2972680372695</v>
      </c>
      <c r="BK236" s="701">
        <f t="shared" si="550"/>
        <v>8809.3317111832148</v>
      </c>
      <c r="BL236" s="701">
        <f t="shared" si="551"/>
        <v>7646.4794024725434</v>
      </c>
      <c r="BM236" s="1582">
        <f t="shared" si="552"/>
        <v>8436.2308300497589</v>
      </c>
      <c r="BN236" s="1582">
        <f t="shared" si="553"/>
        <v>11131.38360332549</v>
      </c>
      <c r="BO236" s="1582">
        <f t="shared" si="554"/>
        <v>12133.468894879483</v>
      </c>
      <c r="BP236" s="1582">
        <f t="shared" si="555"/>
        <v>12381.940989814888</v>
      </c>
      <c r="BQ236" s="637"/>
      <c r="BR236" s="638"/>
      <c r="BU236" s="609"/>
      <c r="BV236" s="608"/>
      <c r="BW236" s="608"/>
      <c r="BX236" s="608"/>
    </row>
    <row r="237" spans="2:76" ht="12.75" customHeight="1">
      <c r="B237" s="721"/>
      <c r="C237" s="1739"/>
      <c r="D237" s="1621"/>
      <c r="E237" s="1621"/>
      <c r="F237" s="1740"/>
      <c r="G237" s="1424">
        <v>0</v>
      </c>
      <c r="H237" s="1425">
        <v>0</v>
      </c>
      <c r="I237" s="1425">
        <v>0</v>
      </c>
      <c r="J237" s="1426">
        <v>7045.0118387558323</v>
      </c>
      <c r="K237" s="1642">
        <v>10647.814160821332</v>
      </c>
      <c r="L237" s="1425">
        <v>7643.6811086143116</v>
      </c>
      <c r="M237" s="1425">
        <v>26701.729930116137</v>
      </c>
      <c r="N237" s="1426">
        <v>7717.4624704002181</v>
      </c>
      <c r="O237" s="1424">
        <v>9345.1720004820509</v>
      </c>
      <c r="P237" s="1425">
        <v>13807.306134001437</v>
      </c>
      <c r="Q237" s="1425">
        <v>11418.664456046279</v>
      </c>
      <c r="R237" s="1425">
        <v>8673.5340286433238</v>
      </c>
      <c r="S237" s="1424">
        <v>7845.0122816990479</v>
      </c>
      <c r="T237" s="1425">
        <v>8620.1610645234541</v>
      </c>
      <c r="U237" s="1648">
        <v>11174.409787997261</v>
      </c>
      <c r="V237" s="1647">
        <v>9641.3794179416109</v>
      </c>
      <c r="W237" s="1648">
        <v>11434.96156525798</v>
      </c>
      <c r="X237" s="1648">
        <v>9116.0759733353843</v>
      </c>
      <c r="Y237" s="1648">
        <v>9563.9321770397437</v>
      </c>
      <c r="Z237" s="1647">
        <v>9368.9160620250805</v>
      </c>
      <c r="AA237" s="1648">
        <v>9823.1629948743193</v>
      </c>
      <c r="AB237" s="1648">
        <v>10996.392826599309</v>
      </c>
      <c r="AC237" s="1648">
        <v>13165.051909345491</v>
      </c>
      <c r="AD237" s="1647">
        <v>9966.0748691142107</v>
      </c>
      <c r="AE237" s="1648">
        <v>10081.840893466653</v>
      </c>
      <c r="AF237" s="1648">
        <v>10532.235866772089</v>
      </c>
      <c r="AG237" s="1648">
        <v>11115.580950912827</v>
      </c>
      <c r="AH237" s="1647">
        <v>9206.0011555017081</v>
      </c>
      <c r="AI237" s="1648">
        <v>7599.395244266987</v>
      </c>
      <c r="AJ237" s="1648">
        <v>9658.4255255059925</v>
      </c>
      <c r="AK237" s="1648">
        <v>10542.679719462296</v>
      </c>
      <c r="AL237" s="1647">
        <v>9173.459524044767</v>
      </c>
      <c r="AM237" s="1648">
        <v>11552.579721769785</v>
      </c>
      <c r="AN237" s="1648">
        <v>14542.898550724636</v>
      </c>
      <c r="AO237" s="1648">
        <v>48571.299862448417</v>
      </c>
      <c r="AP237" s="1647">
        <v>9541.1462450592899</v>
      </c>
      <c r="AQ237" s="1648">
        <v>8001.7503919318342</v>
      </c>
      <c r="AR237" s="1648">
        <v>10020.549611895432</v>
      </c>
      <c r="AS237" s="1648">
        <v>28583.139290052815</v>
      </c>
      <c r="AT237" s="1647">
        <v>16581.596089097558</v>
      </c>
      <c r="AU237" s="1648">
        <v>7062.8307008244701</v>
      </c>
      <c r="AV237" s="1648">
        <v>8715.8398035065438</v>
      </c>
      <c r="AW237" s="1648">
        <v>24761.304736514343</v>
      </c>
      <c r="AX237" s="1647">
        <v>14438.494039488984</v>
      </c>
      <c r="AY237" s="1648">
        <v>6423.7196260689134</v>
      </c>
      <c r="AZ237" s="1648">
        <v>7906.2276542927948</v>
      </c>
      <c r="BA237" s="1648">
        <v>22408.946307746035</v>
      </c>
      <c r="BB237" s="1732">
        <v>13065.522005420524</v>
      </c>
      <c r="BC237" s="700"/>
      <c r="BD237" s="700"/>
      <c r="BE237" s="701"/>
      <c r="BF237" s="701"/>
      <c r="BG237" s="701"/>
      <c r="BH237" s="701"/>
      <c r="BI237" s="701"/>
      <c r="BJ237" s="701"/>
      <c r="BK237" s="701"/>
      <c r="BL237" s="701"/>
      <c r="BM237" s="701"/>
      <c r="BN237" s="701"/>
      <c r="BO237" s="701"/>
      <c r="BP237" s="701"/>
      <c r="BQ237" s="637"/>
      <c r="BR237" s="638"/>
      <c r="BU237" s="609"/>
      <c r="BV237" s="608"/>
      <c r="BW237" s="608"/>
      <c r="BX237" s="608"/>
    </row>
    <row r="238" spans="2:76" ht="12.75" customHeight="1">
      <c r="B238" s="721"/>
      <c r="C238" s="1746" t="s">
        <v>725</v>
      </c>
      <c r="D238" s="1626"/>
      <c r="E238" s="1626"/>
      <c r="F238" s="1747"/>
      <c r="G238" s="1642"/>
      <c r="H238" s="1649"/>
      <c r="I238" s="1649"/>
      <c r="J238" s="1650"/>
      <c r="K238" s="1424"/>
      <c r="L238" s="1649"/>
      <c r="M238" s="1649"/>
      <c r="N238" s="1650"/>
      <c r="O238" s="1642"/>
      <c r="P238" s="1649"/>
      <c r="Q238" s="1649"/>
      <c r="R238" s="1649"/>
      <c r="S238" s="1985"/>
      <c r="T238" s="1649"/>
      <c r="U238" s="1658"/>
      <c r="V238" s="1659"/>
      <c r="W238" s="1658"/>
      <c r="X238" s="1649"/>
      <c r="Y238" s="1649"/>
      <c r="Z238" s="1659"/>
      <c r="AA238" s="1660"/>
      <c r="AB238" s="1649"/>
      <c r="AC238" s="1649"/>
      <c r="AD238" s="1661"/>
      <c r="AE238" s="1660"/>
      <c r="AF238" s="1649"/>
      <c r="AG238" s="1649"/>
      <c r="AH238" s="1661"/>
      <c r="AI238" s="1660"/>
      <c r="AJ238" s="1660"/>
      <c r="AK238" s="1660"/>
      <c r="AL238" s="1661"/>
      <c r="AM238" s="1660"/>
      <c r="AN238" s="1660"/>
      <c r="AO238" s="1660"/>
      <c r="AP238" s="1661"/>
      <c r="AQ238" s="1660"/>
      <c r="AR238" s="1660"/>
      <c r="AS238" s="1660"/>
      <c r="AT238" s="1661"/>
      <c r="AU238" s="1660"/>
      <c r="AV238" s="1660"/>
      <c r="AW238" s="1660"/>
      <c r="AX238" s="1661"/>
      <c r="AY238" s="1660"/>
      <c r="AZ238" s="1660"/>
      <c r="BA238" s="1660"/>
      <c r="BB238" s="1730"/>
      <c r="BC238" s="669"/>
      <c r="BD238" s="670"/>
      <c r="BE238" s="671"/>
      <c r="BF238" s="671"/>
      <c r="BG238" s="671"/>
      <c r="BH238" s="671"/>
      <c r="BI238" s="671"/>
      <c r="BJ238" s="671"/>
      <c r="BK238" s="671"/>
      <c r="BL238" s="671"/>
      <c r="BM238" s="1583"/>
      <c r="BN238" s="1583"/>
      <c r="BO238" s="1583"/>
      <c r="BP238" s="1583"/>
      <c r="BQ238" s="637"/>
      <c r="BR238" s="638"/>
      <c r="BU238" s="609"/>
      <c r="BV238" s="608"/>
      <c r="BW238" s="608"/>
      <c r="BX238" s="608"/>
    </row>
    <row r="239" spans="2:76" ht="12.75" customHeight="1">
      <c r="B239" s="721"/>
      <c r="C239" s="1739" t="s">
        <v>238</v>
      </c>
      <c r="D239" s="1621"/>
      <c r="E239" s="1621"/>
      <c r="F239" s="1740"/>
      <c r="G239" s="1424">
        <v>6909.3096327633702</v>
      </c>
      <c r="H239" s="1425">
        <v>8182.0786967062631</v>
      </c>
      <c r="I239" s="1425">
        <v>8843.0635104283465</v>
      </c>
      <c r="J239" s="1426">
        <v>7237.1775828593409</v>
      </c>
      <c r="K239" s="1424">
        <v>7371.9217492476137</v>
      </c>
      <c r="L239" s="1425">
        <v>7960.8997122438159</v>
      </c>
      <c r="M239" s="1425">
        <v>8379.919228064944</v>
      </c>
      <c r="N239" s="1426">
        <v>8819.7944279269213</v>
      </c>
      <c r="O239" s="1424">
        <v>8447.2140034917284</v>
      </c>
      <c r="P239" s="1425">
        <v>9230.5387992588858</v>
      </c>
      <c r="Q239" s="1425">
        <v>10110.347551066592</v>
      </c>
      <c r="R239" s="1425">
        <v>9797.5546476884065</v>
      </c>
      <c r="S239" s="1424">
        <v>9282.9445192863459</v>
      </c>
      <c r="T239" s="1425">
        <v>7879.1357555234736</v>
      </c>
      <c r="U239" s="1425">
        <v>8084.3226123072382</v>
      </c>
      <c r="V239" s="1425">
        <v>11842.479560862408</v>
      </c>
      <c r="W239" s="1424">
        <v>7345.0633802143266</v>
      </c>
      <c r="X239" s="1425">
        <v>8666.8096880078447</v>
      </c>
      <c r="Y239" s="1425">
        <v>10315.050379273025</v>
      </c>
      <c r="Z239" s="1426">
        <v>9714.574534358846</v>
      </c>
      <c r="AA239" s="1424">
        <v>8382.8453222230091</v>
      </c>
      <c r="AB239" s="1425">
        <v>7537.8738784383268</v>
      </c>
      <c r="AC239" s="1425">
        <v>9837.7064039165271</v>
      </c>
      <c r="AD239" s="1426">
        <v>10577.262881497305</v>
      </c>
      <c r="AE239" s="1424">
        <v>9019.4014549612002</v>
      </c>
      <c r="AF239" s="1425">
        <v>10967.114786064982</v>
      </c>
      <c r="AG239" s="1425">
        <v>11335.823461467095</v>
      </c>
      <c r="AH239" s="1426">
        <v>10726.933653066462</v>
      </c>
      <c r="AI239" s="1424">
        <v>9142.7185751590077</v>
      </c>
      <c r="AJ239" s="1648">
        <v>8545.6610120881614</v>
      </c>
      <c r="AK239" s="1648">
        <v>8055.4469835426908</v>
      </c>
      <c r="AL239" s="1647">
        <v>11859.057936160812</v>
      </c>
      <c r="AM239" s="1648">
        <v>7106.0534420152553</v>
      </c>
      <c r="AN239" s="1648">
        <v>9713.2904608788867</v>
      </c>
      <c r="AO239" s="1648">
        <v>9301.3972055888225</v>
      </c>
      <c r="AP239" s="1647">
        <v>10670.184696569921</v>
      </c>
      <c r="AQ239" s="1648">
        <v>12523.856192309457</v>
      </c>
      <c r="AR239" s="1648">
        <v>12126.37627431892</v>
      </c>
      <c r="AS239" s="1648">
        <v>13524.643202910216</v>
      </c>
      <c r="AT239" s="1647">
        <v>7225.3549785020023</v>
      </c>
      <c r="AU239" s="1648">
        <v>12284.65865189438</v>
      </c>
      <c r="AV239" s="1648">
        <v>11894.770342853019</v>
      </c>
      <c r="AW239" s="1648">
        <v>13266.331278894815</v>
      </c>
      <c r="AX239" s="1647">
        <v>7087.3553789421785</v>
      </c>
      <c r="AY239" s="1648">
        <v>11964.479552774072</v>
      </c>
      <c r="AZ239" s="1648">
        <v>11584.75303097351</v>
      </c>
      <c r="BA239" s="1648">
        <v>12920.56652320475</v>
      </c>
      <c r="BB239" s="1732">
        <v>6902.6353045243814</v>
      </c>
      <c r="BC239" s="700"/>
      <c r="BD239" s="700"/>
      <c r="BE239" s="701">
        <f t="shared" ref="BE239:BE254" si="556">AVERAGE(G239:J239)</f>
        <v>7792.90735568933</v>
      </c>
      <c r="BF239" s="701">
        <f t="shared" ref="BF239:BF254" si="557">AVERAGE(K239:N239)</f>
        <v>8133.1337793708235</v>
      </c>
      <c r="BG239" s="701">
        <f t="shared" ref="BG239:BG254" si="558">AVERAGE(O239:R239)</f>
        <v>9396.4137503764032</v>
      </c>
      <c r="BH239" s="701">
        <f t="shared" ref="BH239:BH254" si="559">AVERAGE(S239:V239)</f>
        <v>9272.2206119948678</v>
      </c>
      <c r="BI239" s="701">
        <f t="shared" ref="BI239:BI254" si="560">AVERAGE(W239:Z239)</f>
        <v>9010.3744954635113</v>
      </c>
      <c r="BJ239" s="701">
        <f t="shared" ref="BJ239:BJ254" si="561">AVERAGE(AA239:AD239)</f>
        <v>9083.9221215187918</v>
      </c>
      <c r="BK239" s="701">
        <f t="shared" ref="BK239:BK254" si="562">AVERAGE(AE239:AH239)</f>
        <v>10512.318338889934</v>
      </c>
      <c r="BL239" s="701">
        <f t="shared" ref="BL239:BL254" si="563">AVERAGE(AI239:AL239)</f>
        <v>9400.7211267376679</v>
      </c>
      <c r="BM239" s="1582">
        <f t="shared" ref="BM239:BM254" si="564">AVERAGE(AM239:AP239)</f>
        <v>9197.731451263222</v>
      </c>
      <c r="BN239" s="1582">
        <f t="shared" ref="BN239:BN254" si="565">AVERAGE(AQ239:AT239)</f>
        <v>11350.057662010147</v>
      </c>
      <c r="BO239" s="1582">
        <f t="shared" ref="BO239:BO254" si="566">AVERAGE(AU239:AX239)</f>
        <v>11133.278913146098</v>
      </c>
      <c r="BP239" s="1582">
        <f t="shared" ref="BP239:BP254" si="567">AVERAGE(AY239:BB239)</f>
        <v>10843.108602869177</v>
      </c>
      <c r="BQ239" s="637"/>
      <c r="BR239" s="638"/>
      <c r="BU239" s="609"/>
      <c r="BV239" s="608"/>
      <c r="BW239" s="608"/>
      <c r="BX239" s="608"/>
    </row>
    <row r="240" spans="2:76" ht="12.75" customHeight="1">
      <c r="B240" s="721"/>
      <c r="C240" s="1739" t="s">
        <v>859</v>
      </c>
      <c r="D240" s="1621"/>
      <c r="E240" s="1621"/>
      <c r="F240" s="1740"/>
      <c r="G240" s="1424">
        <v>5088.54736817501</v>
      </c>
      <c r="H240" s="1425">
        <v>7028.1794383085698</v>
      </c>
      <c r="I240" s="1425">
        <v>8292.7749177879778</v>
      </c>
      <c r="J240" s="1426">
        <v>6485.8213553112255</v>
      </c>
      <c r="K240" s="1424">
        <v>6023.4534353193767</v>
      </c>
      <c r="L240" s="1425">
        <v>6697.9018560678951</v>
      </c>
      <c r="M240" s="1425">
        <v>7684.5603729599397</v>
      </c>
      <c r="N240" s="1426">
        <v>7744.4976746612501</v>
      </c>
      <c r="O240" s="1424">
        <v>8639.8374439110084</v>
      </c>
      <c r="P240" s="1425">
        <v>8438.5265301215695</v>
      </c>
      <c r="Q240" s="1425">
        <v>8950.6358841748479</v>
      </c>
      <c r="R240" s="1425">
        <v>8360.5518128974873</v>
      </c>
      <c r="S240" s="1424">
        <v>8283.8886860413586</v>
      </c>
      <c r="T240" s="1425">
        <v>6843.1719383213203</v>
      </c>
      <c r="U240" s="1425">
        <v>7359.8377490323146</v>
      </c>
      <c r="V240" s="1425">
        <v>7354.2240723278701</v>
      </c>
      <c r="W240" s="1424">
        <v>5887.49512865822</v>
      </c>
      <c r="X240" s="1425">
        <v>7342.5870896590586</v>
      </c>
      <c r="Y240" s="1425">
        <v>9428.2420655372098</v>
      </c>
      <c r="Z240" s="1426">
        <v>7903.1028409842911</v>
      </c>
      <c r="AA240" s="1424">
        <v>5838.4228171684554</v>
      </c>
      <c r="AB240" s="1425">
        <v>11231.838014387387</v>
      </c>
      <c r="AC240" s="1425">
        <v>14895.865292939685</v>
      </c>
      <c r="AD240" s="1426">
        <v>11088.680104153016</v>
      </c>
      <c r="AE240" s="1424">
        <v>7430.0572431015753</v>
      </c>
      <c r="AF240" s="1425">
        <v>9854.2125554743252</v>
      </c>
      <c r="AG240" s="1425">
        <v>14312.880773121604</v>
      </c>
      <c r="AH240" s="1426">
        <v>7721.1693236924348</v>
      </c>
      <c r="AI240" s="1424">
        <v>6476.9106982314634</v>
      </c>
      <c r="AJ240" s="1648">
        <v>5766.6546578633643</v>
      </c>
      <c r="AK240" s="1648">
        <v>9936.1248110884608</v>
      </c>
      <c r="AL240" s="1647">
        <v>7145.8747184646672</v>
      </c>
      <c r="AM240" s="1648">
        <v>4993.9723459738043</v>
      </c>
      <c r="AN240" s="1648">
        <v>14859.377349977438</v>
      </c>
      <c r="AO240" s="1648">
        <v>13198.198198198197</v>
      </c>
      <c r="AP240" s="1647">
        <v>12321.539416511485</v>
      </c>
      <c r="AQ240" s="1648">
        <v>13766.147964572425</v>
      </c>
      <c r="AR240" s="1648">
        <v>17987.083179969206</v>
      </c>
      <c r="AS240" s="1648">
        <v>15264.015012002199</v>
      </c>
      <c r="AT240" s="1647">
        <v>6334.5447057720257</v>
      </c>
      <c r="AU240" s="1648">
        <v>13835.817936941603</v>
      </c>
      <c r="AV240" s="1648">
        <v>18078.115151394733</v>
      </c>
      <c r="AW240" s="1648">
        <v>15341.265634824622</v>
      </c>
      <c r="AX240" s="1647">
        <v>6366.603605310097</v>
      </c>
      <c r="AY240" s="1648">
        <v>13642.039241588413</v>
      </c>
      <c r="AZ240" s="1648">
        <v>17824.920610642024</v>
      </c>
      <c r="BA240" s="1648">
        <v>15126.402266910129</v>
      </c>
      <c r="BB240" s="1732">
        <v>6277.4356106103478</v>
      </c>
      <c r="BC240" s="700"/>
      <c r="BD240" s="700"/>
      <c r="BE240" s="701">
        <f t="shared" si="556"/>
        <v>6723.830769895696</v>
      </c>
      <c r="BF240" s="701">
        <f t="shared" si="557"/>
        <v>7037.6033347521152</v>
      </c>
      <c r="BG240" s="701">
        <f t="shared" si="558"/>
        <v>8597.3879177762283</v>
      </c>
      <c r="BH240" s="701">
        <f t="shared" si="559"/>
        <v>7460.2806114307159</v>
      </c>
      <c r="BI240" s="701">
        <f t="shared" si="560"/>
        <v>7640.3567812096953</v>
      </c>
      <c r="BJ240" s="701">
        <f t="shared" si="561"/>
        <v>10763.701557162136</v>
      </c>
      <c r="BK240" s="701">
        <f t="shared" si="562"/>
        <v>9829.5799738474852</v>
      </c>
      <c r="BL240" s="701">
        <f t="shared" si="563"/>
        <v>7331.3912214119891</v>
      </c>
      <c r="BM240" s="1582">
        <f t="shared" si="564"/>
        <v>11343.27182766523</v>
      </c>
      <c r="BN240" s="1582">
        <f t="shared" si="565"/>
        <v>13337.947715578963</v>
      </c>
      <c r="BO240" s="1582">
        <f t="shared" si="566"/>
        <v>13405.450582117764</v>
      </c>
      <c r="BP240" s="1582">
        <f t="shared" si="567"/>
        <v>13217.69943243773</v>
      </c>
      <c r="BQ240" s="637"/>
      <c r="BR240" s="638"/>
      <c r="BU240" s="609"/>
      <c r="BV240" s="608"/>
      <c r="BW240" s="608"/>
      <c r="BX240" s="608"/>
    </row>
    <row r="241" spans="2:76" ht="12.75" customHeight="1">
      <c r="B241" s="721"/>
      <c r="C241" s="1739" t="s">
        <v>857</v>
      </c>
      <c r="D241" s="1621"/>
      <c r="E241" s="1621"/>
      <c r="F241" s="1740"/>
      <c r="G241" s="1424">
        <v>6606.7874609416886</v>
      </c>
      <c r="H241" s="1425">
        <v>8306.5809607562096</v>
      </c>
      <c r="I241" s="1425">
        <v>9423.2283467435736</v>
      </c>
      <c r="J241" s="1426">
        <v>7028.9542841002922</v>
      </c>
      <c r="K241" s="1424">
        <v>7074.1943976919974</v>
      </c>
      <c r="L241" s="1425">
        <v>7547.8657501188482</v>
      </c>
      <c r="M241" s="1425">
        <v>8439.3885162200022</v>
      </c>
      <c r="N241" s="1426">
        <v>8268.6653113423945</v>
      </c>
      <c r="O241" s="1424">
        <v>8437.495171565226</v>
      </c>
      <c r="P241" s="1425">
        <v>8970.6692026012824</v>
      </c>
      <c r="Q241" s="1425">
        <v>10076.119613780258</v>
      </c>
      <c r="R241" s="1425">
        <v>9230.9471653996989</v>
      </c>
      <c r="S241" s="1424">
        <v>7249.062381710246</v>
      </c>
      <c r="T241" s="1425">
        <v>7720.0856088085848</v>
      </c>
      <c r="U241" s="1425">
        <v>8293.4171259897885</v>
      </c>
      <c r="V241" s="1425">
        <v>8457.6272733481783</v>
      </c>
      <c r="W241" s="1424">
        <v>6117.7451995103747</v>
      </c>
      <c r="X241" s="1425">
        <v>8147.412648795138</v>
      </c>
      <c r="Y241" s="1425">
        <v>9952.2595955805282</v>
      </c>
      <c r="Z241" s="1426">
        <v>8215.7123443567598</v>
      </c>
      <c r="AA241" s="1424">
        <v>6590.0424387770508</v>
      </c>
      <c r="AB241" s="1425">
        <v>7771.3067261298047</v>
      </c>
      <c r="AC241" s="1425">
        <v>9737.8690075852119</v>
      </c>
      <c r="AD241" s="1426">
        <v>9049.3951916015685</v>
      </c>
      <c r="AE241" s="1424">
        <v>8212.0800442138498</v>
      </c>
      <c r="AF241" s="1425">
        <v>11384.80330532701</v>
      </c>
      <c r="AG241" s="1425">
        <v>11578.755646993332</v>
      </c>
      <c r="AH241" s="1426">
        <v>9606.9455878853478</v>
      </c>
      <c r="AI241" s="1424">
        <v>8859.0498337299687</v>
      </c>
      <c r="AJ241" s="1648">
        <v>7917.1918496624576</v>
      </c>
      <c r="AK241" s="1648">
        <v>7966.5045898410899</v>
      </c>
      <c r="AL241" s="1647">
        <v>8139.7228227011701</v>
      </c>
      <c r="AM241" s="1648">
        <v>5720.6374459995504</v>
      </c>
      <c r="AN241" s="1648">
        <v>15353.697749196142</v>
      </c>
      <c r="AO241" s="1648">
        <v>13013.972055888224</v>
      </c>
      <c r="AP241" s="1647">
        <v>13234.828496042217</v>
      </c>
      <c r="AQ241" s="1648">
        <v>14914.155984907466</v>
      </c>
      <c r="AR241" s="1648">
        <v>20592.143562519603</v>
      </c>
      <c r="AS241" s="1648">
        <v>17789.229705526392</v>
      </c>
      <c r="AT241" s="1647">
        <v>6358.814301275911</v>
      </c>
      <c r="AU241" s="1648">
        <v>14783.03187245478</v>
      </c>
      <c r="AV241" s="1648">
        <v>20411.099019947695</v>
      </c>
      <c r="AW241" s="1648">
        <v>17632.828166028303</v>
      </c>
      <c r="AX241" s="1647">
        <v>6302.9080949609152</v>
      </c>
      <c r="AY241" s="1648">
        <v>14415.982411492447</v>
      </c>
      <c r="AZ241" s="1648">
        <v>19904.309684880362</v>
      </c>
      <c r="BA241" s="1648">
        <v>17195.020811662678</v>
      </c>
      <c r="BB241" s="1732">
        <v>6146.4125236389573</v>
      </c>
      <c r="BC241" s="700"/>
      <c r="BD241" s="700"/>
      <c r="BE241" s="701">
        <f t="shared" si="556"/>
        <v>7841.3877631354408</v>
      </c>
      <c r="BF241" s="701">
        <f t="shared" si="557"/>
        <v>7832.5284938433106</v>
      </c>
      <c r="BG241" s="701">
        <f t="shared" si="558"/>
        <v>9178.8077883366168</v>
      </c>
      <c r="BH241" s="701">
        <f t="shared" si="559"/>
        <v>7930.0480974641996</v>
      </c>
      <c r="BI241" s="701">
        <f t="shared" si="560"/>
        <v>8108.2824470607011</v>
      </c>
      <c r="BJ241" s="701">
        <f t="shared" si="561"/>
        <v>8287.1533410234078</v>
      </c>
      <c r="BK241" s="701">
        <f t="shared" si="562"/>
        <v>10195.646146104886</v>
      </c>
      <c r="BL241" s="701">
        <f t="shared" si="563"/>
        <v>8220.6172739836711</v>
      </c>
      <c r="BM241" s="1582">
        <f t="shared" si="564"/>
        <v>11830.783936781534</v>
      </c>
      <c r="BN241" s="1582">
        <f t="shared" si="565"/>
        <v>14913.585888557343</v>
      </c>
      <c r="BO241" s="1582">
        <f t="shared" si="566"/>
        <v>14782.466788347923</v>
      </c>
      <c r="BP241" s="1582">
        <f t="shared" si="567"/>
        <v>14415.431357918611</v>
      </c>
      <c r="BQ241" s="637"/>
      <c r="BR241" s="638"/>
      <c r="BU241" s="609"/>
      <c r="BV241" s="608"/>
      <c r="BW241" s="608"/>
      <c r="BX241" s="608"/>
    </row>
    <row r="242" spans="2:76" ht="12.75" customHeight="1">
      <c r="B242" s="721"/>
      <c r="C242" s="1739" t="s">
        <v>858</v>
      </c>
      <c r="D242" s="1621"/>
      <c r="E242" s="1621"/>
      <c r="F242" s="1740"/>
      <c r="G242" s="1424">
        <v>6748.7681006218027</v>
      </c>
      <c r="H242" s="1425">
        <v>8884.2082613828734</v>
      </c>
      <c r="I242" s="1425">
        <v>10083.180834408246</v>
      </c>
      <c r="J242" s="1426">
        <v>7087.3029977862207</v>
      </c>
      <c r="K242" s="1424">
        <v>7340.2263410942887</v>
      </c>
      <c r="L242" s="1425">
        <v>7798.9509690638888</v>
      </c>
      <c r="M242" s="1425">
        <v>8927.1882569122845</v>
      </c>
      <c r="N242" s="1426">
        <v>8345.6002027089799</v>
      </c>
      <c r="O242" s="1424">
        <v>8645.3846646133316</v>
      </c>
      <c r="P242" s="1425">
        <v>9156.0025011957878</v>
      </c>
      <c r="Q242" s="1425">
        <v>10477.185224637948</v>
      </c>
      <c r="R242" s="1425">
        <v>9423.1828285744832</v>
      </c>
      <c r="S242" s="1424">
        <v>7423.784925032689</v>
      </c>
      <c r="T242" s="1425">
        <v>7850.7305463093289</v>
      </c>
      <c r="U242" s="1425">
        <v>8892.078482518069</v>
      </c>
      <c r="V242" s="1425">
        <v>8316.9515771291517</v>
      </c>
      <c r="W242" s="1424">
        <v>6133.6490987913385</v>
      </c>
      <c r="X242" s="1425">
        <v>8213.4148493595476</v>
      </c>
      <c r="Y242" s="1425">
        <v>10122.829083489969</v>
      </c>
      <c r="Z242" s="1426">
        <v>8243.0500509012982</v>
      </c>
      <c r="AA242" s="1424">
        <v>6629.8219138086515</v>
      </c>
      <c r="AB242" s="1425">
        <v>7973.4326856799471</v>
      </c>
      <c r="AC242" s="1425">
        <v>10477.845810963989</v>
      </c>
      <c r="AD242" s="1426">
        <v>9160.039878142039</v>
      </c>
      <c r="AE242" s="1424">
        <v>8558.8324115569685</v>
      </c>
      <c r="AF242" s="1425">
        <v>12102.625348797468</v>
      </c>
      <c r="AG242" s="1425">
        <v>12591.843997641919</v>
      </c>
      <c r="AH242" s="1426">
        <v>9646.0234098480669</v>
      </c>
      <c r="AI242" s="1424">
        <v>8902.6133060085667</v>
      </c>
      <c r="AJ242" s="1648">
        <v>8502.4785656129588</v>
      </c>
      <c r="AK242" s="1648">
        <v>8317.9199339646766</v>
      </c>
      <c r="AL242" s="1647">
        <v>8247.7510387057664</v>
      </c>
      <c r="AM242" s="1648">
        <v>6014.3501087297491</v>
      </c>
      <c r="AN242" s="1648">
        <v>16016.881028938908</v>
      </c>
      <c r="AO242" s="1648">
        <v>13685.961410512306</v>
      </c>
      <c r="AP242" s="1647">
        <v>13635.883905013192</v>
      </c>
      <c r="AQ242" s="1648">
        <v>15581.860761896291</v>
      </c>
      <c r="AR242" s="1648">
        <v>21684.767581360513</v>
      </c>
      <c r="AS242" s="1648">
        <v>18977.134817803846</v>
      </c>
      <c r="AT242" s="1647">
        <v>6534.6362240548142</v>
      </c>
      <c r="AU242" s="1648">
        <v>15474.866268858676</v>
      </c>
      <c r="AV242" s="1648">
        <v>21535.866833917054</v>
      </c>
      <c r="AW242" s="1648">
        <v>18846.826316774066</v>
      </c>
      <c r="AX242" s="1647">
        <v>6489.7654540831209</v>
      </c>
      <c r="AY242" s="1648">
        <v>15153.832115448648</v>
      </c>
      <c r="AZ242" s="1648">
        <v>21089.09406981953</v>
      </c>
      <c r="BA242" s="1648">
        <v>18455.83909750179</v>
      </c>
      <c r="BB242" s="1732">
        <v>6355.1318926562371</v>
      </c>
      <c r="BC242" s="700"/>
      <c r="BD242" s="700"/>
      <c r="BE242" s="701">
        <f t="shared" si="556"/>
        <v>8200.8650485497856</v>
      </c>
      <c r="BF242" s="701">
        <f t="shared" si="557"/>
        <v>8102.9914424448598</v>
      </c>
      <c r="BG242" s="701">
        <f t="shared" si="558"/>
        <v>9425.4388047553875</v>
      </c>
      <c r="BH242" s="701">
        <f t="shared" si="559"/>
        <v>8120.8863827473097</v>
      </c>
      <c r="BI242" s="701">
        <f t="shared" si="560"/>
        <v>8178.2357706355378</v>
      </c>
      <c r="BJ242" s="701">
        <f t="shared" si="561"/>
        <v>8560.2850721486557</v>
      </c>
      <c r="BK242" s="701">
        <f t="shared" si="562"/>
        <v>10724.831291961105</v>
      </c>
      <c r="BL242" s="701">
        <f t="shared" si="563"/>
        <v>8492.6907110729917</v>
      </c>
      <c r="BM242" s="1582">
        <f t="shared" si="564"/>
        <v>12338.269113298538</v>
      </c>
      <c r="BN242" s="1582">
        <f t="shared" si="565"/>
        <v>15694.599846278865</v>
      </c>
      <c r="BO242" s="1582">
        <f t="shared" si="566"/>
        <v>15586.83121840823</v>
      </c>
      <c r="BP242" s="1582">
        <f t="shared" si="567"/>
        <v>15263.474293856552</v>
      </c>
      <c r="BQ242" s="637"/>
      <c r="BR242" s="638"/>
      <c r="BU242" s="609"/>
      <c r="BV242" s="608"/>
      <c r="BW242" s="608"/>
      <c r="BX242" s="608"/>
    </row>
    <row r="243" spans="2:76" ht="12.75" customHeight="1">
      <c r="B243" s="721"/>
      <c r="C243" s="1739" t="s">
        <v>854</v>
      </c>
      <c r="D243" s="1621"/>
      <c r="E243" s="1621"/>
      <c r="F243" s="1740"/>
      <c r="G243" s="1424">
        <v>6557.38700888317</v>
      </c>
      <c r="H243" s="1425">
        <v>7054.57307272854</v>
      </c>
      <c r="I243" s="1425">
        <v>8131.2298382658046</v>
      </c>
      <c r="J243" s="1426">
        <v>7228.7968443687932</v>
      </c>
      <c r="K243" s="1424">
        <v>6878.6075683160079</v>
      </c>
      <c r="L243" s="1425">
        <v>7284.5320546195644</v>
      </c>
      <c r="M243" s="1425">
        <v>7779.5784938790375</v>
      </c>
      <c r="N243" s="1426">
        <v>8695.2045434184238</v>
      </c>
      <c r="O243" s="1424">
        <v>9841.700334411802</v>
      </c>
      <c r="P243" s="1425">
        <v>9039.2719380663311</v>
      </c>
      <c r="Q243" s="1425">
        <v>8835.1893477360536</v>
      </c>
      <c r="R243" s="1425">
        <v>8429.9253921288018</v>
      </c>
      <c r="S243" s="1424">
        <v>7789.8114136442509</v>
      </c>
      <c r="T243" s="1425">
        <v>7147.248796830625</v>
      </c>
      <c r="U243" s="1425">
        <v>8031.1736003835267</v>
      </c>
      <c r="V243" s="1425">
        <v>7795.107694833674</v>
      </c>
      <c r="W243" s="1424">
        <v>6166.530696296164</v>
      </c>
      <c r="X243" s="1425">
        <v>8263.5632022788723</v>
      </c>
      <c r="Y243" s="1425">
        <v>10837.129084616699</v>
      </c>
      <c r="Z243" s="1426">
        <v>10859.130824743526</v>
      </c>
      <c r="AA243" s="1424">
        <v>6858.1083928038697</v>
      </c>
      <c r="AB243" s="1425">
        <v>15422.985685691838</v>
      </c>
      <c r="AC243" s="1425">
        <v>16917.689223633119</v>
      </c>
      <c r="AD243" s="1426">
        <v>17146.191788467313</v>
      </c>
      <c r="AE243" s="1424">
        <v>13082.44971352325</v>
      </c>
      <c r="AF243" s="1425">
        <v>13437.831424583155</v>
      </c>
      <c r="AG243" s="1425">
        <v>16998.184607495699</v>
      </c>
      <c r="AH243" s="1426">
        <v>11310.225430871806</v>
      </c>
      <c r="AI243" s="1424">
        <v>9046.2979187077945</v>
      </c>
      <c r="AJ243" s="1648">
        <v>8797.2641070890259</v>
      </c>
      <c r="AK243" s="1648">
        <v>12592.415236425988</v>
      </c>
      <c r="AL243" s="1647">
        <v>10428.152314932511</v>
      </c>
      <c r="AM243" s="1648">
        <v>6682.4698912828535</v>
      </c>
      <c r="AN243" s="1648">
        <v>11257.331929613474</v>
      </c>
      <c r="AO243" s="1648">
        <v>11163.663663663663</v>
      </c>
      <c r="AP243" s="1647">
        <v>9565.4872749844817</v>
      </c>
      <c r="AQ243" s="1648">
        <v>8968.4071460360283</v>
      </c>
      <c r="AR243" s="1648">
        <v>11591.660811253709</v>
      </c>
      <c r="AS243" s="1648">
        <v>11437.093284386061</v>
      </c>
      <c r="AT243" s="1647">
        <v>8324.117177218186</v>
      </c>
      <c r="AU243" s="1648">
        <v>9005.6896599988304</v>
      </c>
      <c r="AV243" s="1648">
        <v>11639.848437998402</v>
      </c>
      <c r="AW243" s="1648">
        <v>11484.6383593504</v>
      </c>
      <c r="AX243" s="1647">
        <v>8358.7213170430405</v>
      </c>
      <c r="AY243" s="1648">
        <v>8883.1264622192248</v>
      </c>
      <c r="AZ243" s="1648">
        <v>11481.435579006858</v>
      </c>
      <c r="BA243" s="1648">
        <v>11328.337836480232</v>
      </c>
      <c r="BB243" s="1732">
        <v>8244.9630539179179</v>
      </c>
      <c r="BC243" s="700"/>
      <c r="BD243" s="700"/>
      <c r="BE243" s="701">
        <f t="shared" si="556"/>
        <v>7242.9966910615767</v>
      </c>
      <c r="BF243" s="701">
        <f t="shared" si="557"/>
        <v>7659.4806650582577</v>
      </c>
      <c r="BG243" s="701">
        <f t="shared" si="558"/>
        <v>9036.5217530857462</v>
      </c>
      <c r="BH243" s="701">
        <f t="shared" si="559"/>
        <v>7690.8353764230187</v>
      </c>
      <c r="BI243" s="701">
        <f t="shared" si="560"/>
        <v>9031.5884519838146</v>
      </c>
      <c r="BJ243" s="701">
        <f t="shared" si="561"/>
        <v>14086.243772649035</v>
      </c>
      <c r="BK243" s="701">
        <f t="shared" si="562"/>
        <v>13707.172794118478</v>
      </c>
      <c r="BL243" s="701">
        <f t="shared" si="563"/>
        <v>10216.032394288828</v>
      </c>
      <c r="BM243" s="1582">
        <f t="shared" si="564"/>
        <v>9667.2381898861167</v>
      </c>
      <c r="BN243" s="1582">
        <f t="shared" si="565"/>
        <v>10080.319604723496</v>
      </c>
      <c r="BO243" s="1582">
        <f t="shared" si="566"/>
        <v>10122.224443597668</v>
      </c>
      <c r="BP243" s="1582">
        <f t="shared" si="567"/>
        <v>9984.4657329060592</v>
      </c>
      <c r="BQ243" s="637"/>
      <c r="BR243" s="638"/>
      <c r="BU243" s="609"/>
      <c r="BV243" s="608"/>
      <c r="BW243" s="608"/>
      <c r="BX243" s="608"/>
    </row>
    <row r="244" spans="2:76" ht="12.75" customHeight="1">
      <c r="B244" s="721"/>
      <c r="C244" s="1739" t="s">
        <v>149</v>
      </c>
      <c r="D244" s="1621"/>
      <c r="E244" s="1621"/>
      <c r="F244" s="1740"/>
      <c r="G244" s="1424">
        <v>7169.0554409439437</v>
      </c>
      <c r="H244" s="1425">
        <v>7640.4485499059529</v>
      </c>
      <c r="I244" s="1425">
        <v>9025.3869993302178</v>
      </c>
      <c r="J244" s="1426">
        <v>7413.0740656652906</v>
      </c>
      <c r="K244" s="1424">
        <v>7669.8052364764089</v>
      </c>
      <c r="L244" s="1425">
        <v>7622.3652447041277</v>
      </c>
      <c r="M244" s="1425">
        <v>8474.1679552486985</v>
      </c>
      <c r="N244" s="1426">
        <v>8622.2045860397502</v>
      </c>
      <c r="O244" s="1424">
        <v>10395.317989886589</v>
      </c>
      <c r="P244" s="1425">
        <v>8857.6301713450721</v>
      </c>
      <c r="Q244" s="1425">
        <v>9886.5109657382072</v>
      </c>
      <c r="R244" s="1425">
        <v>8860.9682958716039</v>
      </c>
      <c r="S244" s="1424">
        <v>8039.5762260747151</v>
      </c>
      <c r="T244" s="1425">
        <v>7560.6867566728806</v>
      </c>
      <c r="U244" s="1425">
        <v>8465.7345865797197</v>
      </c>
      <c r="V244" s="1425">
        <v>8094.5011996556996</v>
      </c>
      <c r="W244" s="1424">
        <v>7151.6799340099105</v>
      </c>
      <c r="X244" s="1425">
        <v>8251.2040516581637</v>
      </c>
      <c r="Y244" s="1425">
        <v>10479.170149283662</v>
      </c>
      <c r="Z244" s="1426">
        <v>13653.53156496323</v>
      </c>
      <c r="AA244" s="1424">
        <v>8207.0387690658226</v>
      </c>
      <c r="AB244" s="1425">
        <v>15499.45605967582</v>
      </c>
      <c r="AC244" s="1425">
        <v>15178.412461854665</v>
      </c>
      <c r="AD244" s="1426">
        <v>19658.072019603624</v>
      </c>
      <c r="AE244" s="1424">
        <v>13822.547494014379</v>
      </c>
      <c r="AF244" s="1425">
        <v>12166.262278237393</v>
      </c>
      <c r="AG244" s="1425">
        <v>15635.007649191331</v>
      </c>
      <c r="AH244" s="1426">
        <v>9544.6541456185332</v>
      </c>
      <c r="AI244" s="1424">
        <v>9801.7076446894607</v>
      </c>
      <c r="AJ244" s="1648">
        <v>8644.1370259993801</v>
      </c>
      <c r="AK244" s="1648">
        <v>11004.438339609598</v>
      </c>
      <c r="AL244" s="1647">
        <v>12310.44340491018</v>
      </c>
      <c r="AM244" s="1648">
        <v>7116.8692303849139</v>
      </c>
      <c r="AN244" s="1648">
        <v>11351.481425778313</v>
      </c>
      <c r="AO244" s="1648">
        <v>11381.381381381379</v>
      </c>
      <c r="AP244" s="1647">
        <v>9497.1446306641828</v>
      </c>
      <c r="AQ244" s="1648">
        <v>10240.121890620401</v>
      </c>
      <c r="AR244" s="1648">
        <v>11655.324608823219</v>
      </c>
      <c r="AS244" s="1648">
        <v>11808.620980409776</v>
      </c>
      <c r="AT244" s="1647">
        <v>8077.2747597348434</v>
      </c>
      <c r="AU244" s="1648">
        <v>10309.484579678321</v>
      </c>
      <c r="AV244" s="1648">
        <v>11734.273342573297</v>
      </c>
      <c r="AW244" s="1648">
        <v>11888.608085447777</v>
      </c>
      <c r="AX244" s="1647">
        <v>8131.9871453469759</v>
      </c>
      <c r="AY244" s="1648">
        <v>10242.624743435623</v>
      </c>
      <c r="AZ244" s="1648">
        <v>11658.173360265939</v>
      </c>
      <c r="BA244" s="1648">
        <v>11811.507199986107</v>
      </c>
      <c r="BB244" s="1732">
        <v>8079.2489774333872</v>
      </c>
      <c r="BC244" s="700"/>
      <c r="BD244" s="700"/>
      <c r="BE244" s="701">
        <f t="shared" si="556"/>
        <v>7811.9912639613522</v>
      </c>
      <c r="BF244" s="701">
        <f t="shared" si="557"/>
        <v>8097.1357556172461</v>
      </c>
      <c r="BG244" s="701">
        <f t="shared" si="558"/>
        <v>9500.1068557103681</v>
      </c>
      <c r="BH244" s="701">
        <f t="shared" si="559"/>
        <v>8040.124692245754</v>
      </c>
      <c r="BI244" s="701">
        <f t="shared" si="560"/>
        <v>9883.8964249787423</v>
      </c>
      <c r="BJ244" s="701">
        <f t="shared" si="561"/>
        <v>14635.744827549981</v>
      </c>
      <c r="BK244" s="701">
        <f t="shared" si="562"/>
        <v>12792.117891765411</v>
      </c>
      <c r="BL244" s="701">
        <f t="shared" si="563"/>
        <v>10440.181603802155</v>
      </c>
      <c r="BM244" s="1582">
        <f t="shared" si="564"/>
        <v>9836.719167052197</v>
      </c>
      <c r="BN244" s="1582">
        <f t="shared" si="565"/>
        <v>10445.335559897059</v>
      </c>
      <c r="BO244" s="1582">
        <f t="shared" si="566"/>
        <v>10516.088288261593</v>
      </c>
      <c r="BP244" s="1582">
        <f t="shared" si="567"/>
        <v>10447.888570280264</v>
      </c>
      <c r="BQ244" s="637"/>
      <c r="BR244" s="638"/>
      <c r="BU244" s="609"/>
      <c r="BV244" s="608"/>
      <c r="BW244" s="608"/>
      <c r="BX244" s="608"/>
    </row>
    <row r="245" spans="2:76" ht="12.75" customHeight="1">
      <c r="B245" s="721"/>
      <c r="C245" s="1739" t="s">
        <v>23</v>
      </c>
      <c r="D245" s="1621"/>
      <c r="E245" s="1621"/>
      <c r="F245" s="1740"/>
      <c r="G245" s="1424">
        <v>5594.4105258064828</v>
      </c>
      <c r="H245" s="1425">
        <v>5980.4576806649147</v>
      </c>
      <c r="I245" s="1425">
        <v>6684.7232199578648</v>
      </c>
      <c r="J245" s="1426">
        <v>5911.4648985987124</v>
      </c>
      <c r="K245" s="1424">
        <v>5617.3159739843395</v>
      </c>
      <c r="L245" s="1425">
        <v>6655.7582528218209</v>
      </c>
      <c r="M245" s="1425">
        <v>7303.4594565022162</v>
      </c>
      <c r="N245" s="1426">
        <v>8538.4108780017341</v>
      </c>
      <c r="O245" s="1424">
        <v>9256.1029733562991</v>
      </c>
      <c r="P245" s="1425">
        <v>8884.5574896313938</v>
      </c>
      <c r="Q245" s="1425">
        <v>8401.9636033328952</v>
      </c>
      <c r="R245" s="1425">
        <v>8108.3969931427564</v>
      </c>
      <c r="S245" s="1424">
        <v>7144.68170956227</v>
      </c>
      <c r="T245" s="1425">
        <v>6923.1901425772967</v>
      </c>
      <c r="U245" s="1425">
        <v>7416.937285038297</v>
      </c>
      <c r="V245" s="1425">
        <v>7186.3638244491658</v>
      </c>
      <c r="W245" s="1424">
        <v>4378.4476589144797</v>
      </c>
      <c r="X245" s="1425">
        <v>8308.8842312669221</v>
      </c>
      <c r="Y245" s="1425">
        <v>10465.996871575519</v>
      </c>
      <c r="Z245" s="1426">
        <v>10914.824746114929</v>
      </c>
      <c r="AA245" s="1424">
        <v>5222.5069289009616</v>
      </c>
      <c r="AB245" s="1425">
        <v>15040.786920718157</v>
      </c>
      <c r="AC245" s="1425">
        <v>16577.780229416356</v>
      </c>
      <c r="AD245" s="1426">
        <v>17065.861366193356</v>
      </c>
      <c r="AE245" s="1424">
        <v>11965.339455583016</v>
      </c>
      <c r="AF245" s="1425">
        <v>13392.335283854029</v>
      </c>
      <c r="AG245" s="1425">
        <v>16617.582565885587</v>
      </c>
      <c r="AH245" s="1426">
        <v>11247.328225526811</v>
      </c>
      <c r="AI245" s="1424">
        <v>8556.6131079873394</v>
      </c>
      <c r="AJ245" s="1648">
        <v>8971.0519258287495</v>
      </c>
      <c r="AK245" s="1648">
        <v>13054.147515117875</v>
      </c>
      <c r="AL245" s="1647">
        <v>9524.2185088378228</v>
      </c>
      <c r="AM245" s="1648">
        <v>5253.5008504221041</v>
      </c>
      <c r="AN245" s="1648">
        <v>9534.7680059708928</v>
      </c>
      <c r="AO245" s="1648">
        <v>8957.9632918886928</v>
      </c>
      <c r="AP245" s="1647">
        <v>8724.870763928775</v>
      </c>
      <c r="AQ245" s="1648">
        <v>10357.798701457919</v>
      </c>
      <c r="AR245" s="1648">
        <v>8488.7960907604192</v>
      </c>
      <c r="AS245" s="1648">
        <v>8528.2593221072202</v>
      </c>
      <c r="AT245" s="1647">
        <v>9517.0351924681836</v>
      </c>
      <c r="AU245" s="1648">
        <v>10049.931204538312</v>
      </c>
      <c r="AV245" s="1648">
        <v>8236.4814359143529</v>
      </c>
      <c r="AW245" s="1648">
        <v>8274.7716915541296</v>
      </c>
      <c r="AX245" s="1647">
        <v>9234.1579241168911</v>
      </c>
      <c r="AY245" s="1648">
        <v>9861.0170236466547</v>
      </c>
      <c r="AZ245" s="1648">
        <v>8081.6556851477762</v>
      </c>
      <c r="BA245" s="1648">
        <v>8119.2261774246881</v>
      </c>
      <c r="BB245" s="1732">
        <v>9060.5782900920312</v>
      </c>
      <c r="BC245" s="700"/>
      <c r="BD245" s="700"/>
      <c r="BE245" s="701">
        <f t="shared" si="556"/>
        <v>6042.7640812569934</v>
      </c>
      <c r="BF245" s="701">
        <f t="shared" si="557"/>
        <v>7028.7361403275281</v>
      </c>
      <c r="BG245" s="701">
        <f t="shared" si="558"/>
        <v>8662.7552648658366</v>
      </c>
      <c r="BH245" s="701">
        <f t="shared" si="559"/>
        <v>7167.7932404067578</v>
      </c>
      <c r="BI245" s="701">
        <f t="shared" si="560"/>
        <v>8517.0383769679629</v>
      </c>
      <c r="BJ245" s="701">
        <f t="shared" si="561"/>
        <v>13476.733861307208</v>
      </c>
      <c r="BK245" s="701">
        <f t="shared" si="562"/>
        <v>13305.646382712363</v>
      </c>
      <c r="BL245" s="701">
        <f t="shared" si="563"/>
        <v>10026.507764442948</v>
      </c>
      <c r="BM245" s="1582">
        <f t="shared" si="564"/>
        <v>8117.7757280526166</v>
      </c>
      <c r="BN245" s="1582">
        <f t="shared" si="565"/>
        <v>9222.9723266984365</v>
      </c>
      <c r="BO245" s="1582">
        <f t="shared" si="566"/>
        <v>8948.8355640309201</v>
      </c>
      <c r="BP245" s="1582">
        <f t="shared" si="567"/>
        <v>8780.6192940777873</v>
      </c>
      <c r="BQ245" s="637"/>
      <c r="BR245" s="638"/>
      <c r="BU245" s="609"/>
      <c r="BV245" s="608"/>
      <c r="BW245" s="608"/>
      <c r="BX245" s="608"/>
    </row>
    <row r="246" spans="2:76" ht="12.75" customHeight="1">
      <c r="B246" s="721"/>
      <c r="C246" s="1739" t="s">
        <v>402</v>
      </c>
      <c r="D246" s="1621"/>
      <c r="E246" s="1621"/>
      <c r="F246" s="1740"/>
      <c r="G246" s="1424">
        <v>6552.7674043199286</v>
      </c>
      <c r="H246" s="1425">
        <v>6476.0723404537666</v>
      </c>
      <c r="I246" s="1425">
        <v>7271.6763952678921</v>
      </c>
      <c r="J246" s="1426">
        <v>8220.4093352115033</v>
      </c>
      <c r="K246" s="1424">
        <v>7979.1747211275315</v>
      </c>
      <c r="L246" s="1425">
        <v>7104.9821374667526</v>
      </c>
      <c r="M246" s="1425">
        <v>7790.7372328055353</v>
      </c>
      <c r="N246" s="1426">
        <v>9201.0167150006782</v>
      </c>
      <c r="O246" s="1424">
        <v>10440.014917886665</v>
      </c>
      <c r="P246" s="1425">
        <v>9560.11803419846</v>
      </c>
      <c r="Q246" s="1425">
        <v>8935.6748974826023</v>
      </c>
      <c r="R246" s="1425">
        <v>8777.6380248240494</v>
      </c>
      <c r="S246" s="1424">
        <v>8794.3099226617105</v>
      </c>
      <c r="T246" s="1425">
        <v>7170.3250164574647</v>
      </c>
      <c r="U246" s="1425">
        <v>7427.6377278135369</v>
      </c>
      <c r="V246" s="1425">
        <v>7463.0119522202085</v>
      </c>
      <c r="W246" s="1424">
        <v>10672.862043942654</v>
      </c>
      <c r="X246" s="1425">
        <v>6748.9575207808848</v>
      </c>
      <c r="Y246" s="1425">
        <v>6693.0721564774667</v>
      </c>
      <c r="Z246" s="1426">
        <v>7928.0928377524915</v>
      </c>
      <c r="AA246" s="1424">
        <v>11594.576778630564</v>
      </c>
      <c r="AB246" s="1425">
        <v>8884.7428686240874</v>
      </c>
      <c r="AC246" s="1425">
        <v>8259.4626536542146</v>
      </c>
      <c r="AD246" s="1426">
        <v>10311.27373307398</v>
      </c>
      <c r="AE246" s="1424">
        <v>11099.393407137786</v>
      </c>
      <c r="AF246" s="1425">
        <v>9992.6370455412834</v>
      </c>
      <c r="AG246" s="1425">
        <v>7829.6864609595132</v>
      </c>
      <c r="AH246" s="1426">
        <v>8265.1158346907469</v>
      </c>
      <c r="AI246" s="1424">
        <v>8517.9614097697577</v>
      </c>
      <c r="AJ246" s="1648">
        <v>7365.7185946531754</v>
      </c>
      <c r="AK246" s="1648">
        <v>7744.3815502968346</v>
      </c>
      <c r="AL246" s="1647">
        <v>9032.4298573449232</v>
      </c>
      <c r="AM246" s="1648">
        <v>10767.751699666062</v>
      </c>
      <c r="AN246" s="1648">
        <v>9068.2920761288733</v>
      </c>
      <c r="AO246" s="1648">
        <v>8780.343398460629</v>
      </c>
      <c r="AP246" s="1647">
        <v>8558.2998276852377</v>
      </c>
      <c r="AQ246" s="1648">
        <v>9141.5772569286164</v>
      </c>
      <c r="AR246" s="1648">
        <v>8061.5434396640903</v>
      </c>
      <c r="AS246" s="1648">
        <v>8098.0895888361283</v>
      </c>
      <c r="AT246" s="1647">
        <v>9879.7162281589626</v>
      </c>
      <c r="AU246" s="1648">
        <v>8972.5976330324702</v>
      </c>
      <c r="AV246" s="1648">
        <v>7912.5279535865184</v>
      </c>
      <c r="AW246" s="1648">
        <v>7948.3985569125425</v>
      </c>
      <c r="AX246" s="1647">
        <v>9697.0923017277073</v>
      </c>
      <c r="AY246" s="1648">
        <v>8822.1145485094949</v>
      </c>
      <c r="AZ246" s="1648">
        <v>7779.8237288426817</v>
      </c>
      <c r="BA246" s="1648">
        <v>7815.092731689896</v>
      </c>
      <c r="BB246" s="1732">
        <v>9534.4584224266036</v>
      </c>
      <c r="BC246" s="700"/>
      <c r="BD246" s="700"/>
      <c r="BE246" s="701">
        <f t="shared" si="556"/>
        <v>7130.2313688132726</v>
      </c>
      <c r="BF246" s="701">
        <f t="shared" si="557"/>
        <v>8018.9777016001244</v>
      </c>
      <c r="BG246" s="701">
        <f t="shared" si="558"/>
        <v>9428.3614685979446</v>
      </c>
      <c r="BH246" s="701">
        <f t="shared" si="559"/>
        <v>7713.8211547882302</v>
      </c>
      <c r="BI246" s="701">
        <f t="shared" si="560"/>
        <v>8010.746139738374</v>
      </c>
      <c r="BJ246" s="701">
        <f t="shared" si="561"/>
        <v>9762.5140084957129</v>
      </c>
      <c r="BK246" s="701">
        <f t="shared" si="562"/>
        <v>9296.7081870823331</v>
      </c>
      <c r="BL246" s="701">
        <f t="shared" si="563"/>
        <v>8165.1228530161725</v>
      </c>
      <c r="BM246" s="1582">
        <f t="shared" si="564"/>
        <v>9293.6717504852004</v>
      </c>
      <c r="BN246" s="1582">
        <f t="shared" si="565"/>
        <v>8795.2316283969485</v>
      </c>
      <c r="BO246" s="1582">
        <f t="shared" si="566"/>
        <v>8632.6541113148105</v>
      </c>
      <c r="BP246" s="1582">
        <f t="shared" si="567"/>
        <v>8487.8723578671688</v>
      </c>
      <c r="BQ246" s="637"/>
      <c r="BR246" s="638"/>
      <c r="BU246" s="609"/>
      <c r="BV246" s="608"/>
      <c r="BW246" s="608"/>
      <c r="BX246" s="608"/>
    </row>
    <row r="247" spans="2:76" ht="12.75" customHeight="1">
      <c r="B247" s="721"/>
      <c r="C247" s="1739" t="s">
        <v>62</v>
      </c>
      <c r="D247" s="1621"/>
      <c r="E247" s="1621"/>
      <c r="F247" s="1740"/>
      <c r="G247" s="1424">
        <v>5395.6504855170397</v>
      </c>
      <c r="H247" s="1425">
        <v>5100.5900565632073</v>
      </c>
      <c r="I247" s="1425">
        <v>6006.74992147799</v>
      </c>
      <c r="J247" s="1426">
        <v>5317.3518126357339</v>
      </c>
      <c r="K247" s="1424">
        <v>6734.0496191414031</v>
      </c>
      <c r="L247" s="1425">
        <v>5501.4743918965405</v>
      </c>
      <c r="M247" s="1425">
        <v>6268.4758752189118</v>
      </c>
      <c r="N247" s="1426">
        <v>5985.7267911888366</v>
      </c>
      <c r="O247" s="1424">
        <v>9477.3896272805832</v>
      </c>
      <c r="P247" s="1425">
        <v>8173.946883501706</v>
      </c>
      <c r="Q247" s="1425">
        <v>8259.4192392880977</v>
      </c>
      <c r="R247" s="1425">
        <v>6410.7661597259648</v>
      </c>
      <c r="S247" s="1424">
        <v>7790.1968554542191</v>
      </c>
      <c r="T247" s="1425">
        <v>5959.6264930636416</v>
      </c>
      <c r="U247" s="1425">
        <v>6840.5607736665088</v>
      </c>
      <c r="V247" s="1425">
        <v>6525.372318959221</v>
      </c>
      <c r="W247" s="1424">
        <v>9013.981977331181</v>
      </c>
      <c r="X247" s="1425">
        <v>5435.4274567969042</v>
      </c>
      <c r="Y247" s="1425">
        <v>6191.277648456301</v>
      </c>
      <c r="Z247" s="1426">
        <v>6850.9884407370319</v>
      </c>
      <c r="AA247" s="1424">
        <v>10265.602875410354</v>
      </c>
      <c r="AB247" s="1425">
        <v>6715.6093086897836</v>
      </c>
      <c r="AC247" s="1425">
        <v>7664.0265319712089</v>
      </c>
      <c r="AD247" s="1426">
        <v>9225.6308062235858</v>
      </c>
      <c r="AE247" s="1424">
        <v>9673.625167828357</v>
      </c>
      <c r="AF247" s="1425">
        <v>8570.6534203356659</v>
      </c>
      <c r="AG247" s="1425">
        <v>7452.1855165401403</v>
      </c>
      <c r="AH247" s="1426">
        <v>7408.3223776683062</v>
      </c>
      <c r="AI247" s="1424">
        <v>7667.4563966200603</v>
      </c>
      <c r="AJ247" s="1648">
        <v>6356.9074135752089</v>
      </c>
      <c r="AK247" s="1648">
        <v>6365.0018649239109</v>
      </c>
      <c r="AL247" s="1647">
        <v>7895.7944693923155</v>
      </c>
      <c r="AM247" s="1648">
        <v>8227.0666796054647</v>
      </c>
      <c r="AN247" s="1648">
        <v>7395.1984077621601</v>
      </c>
      <c r="AO247" s="1648">
        <v>7619.8934280639423</v>
      </c>
      <c r="AP247" s="1647">
        <v>7070.6490522688118</v>
      </c>
      <c r="AQ247" s="1648">
        <v>9417.0466461005399</v>
      </c>
      <c r="AR247" s="1648">
        <v>7556.0461755771757</v>
      </c>
      <c r="AS247" s="1648">
        <v>7734.2070510855065</v>
      </c>
      <c r="AT247" s="1647">
        <v>6746.2524824277207</v>
      </c>
      <c r="AU247" s="1648">
        <v>9420.6351919674853</v>
      </c>
      <c r="AV247" s="1648">
        <v>7558.9255515952455</v>
      </c>
      <c r="AW247" s="1648">
        <v>7737.1543187151901</v>
      </c>
      <c r="AX247" s="1647">
        <v>6748.8232710595485</v>
      </c>
      <c r="AY247" s="1648">
        <v>9243.941182160137</v>
      </c>
      <c r="AZ247" s="1648">
        <v>7417.1498816610774</v>
      </c>
      <c r="BA247" s="1648">
        <v>7592.0357791248134</v>
      </c>
      <c r="BB247" s="1732">
        <v>6622.2419290433099</v>
      </c>
      <c r="BC247" s="700"/>
      <c r="BD247" s="700"/>
      <c r="BE247" s="701">
        <f t="shared" si="556"/>
        <v>5455.0855690484923</v>
      </c>
      <c r="BF247" s="701">
        <f t="shared" si="557"/>
        <v>6122.4316693614228</v>
      </c>
      <c r="BG247" s="701">
        <f t="shared" si="558"/>
        <v>8080.3804774490882</v>
      </c>
      <c r="BH247" s="701">
        <f t="shared" si="559"/>
        <v>6778.9391102858972</v>
      </c>
      <c r="BI247" s="701">
        <f t="shared" si="560"/>
        <v>6872.9188808303552</v>
      </c>
      <c r="BJ247" s="701">
        <f t="shared" si="561"/>
        <v>8467.717380573733</v>
      </c>
      <c r="BK247" s="701">
        <f t="shared" si="562"/>
        <v>8276.1966205931167</v>
      </c>
      <c r="BL247" s="701">
        <f t="shared" si="563"/>
        <v>7071.2900361278744</v>
      </c>
      <c r="BM247" s="1582">
        <f t="shared" si="564"/>
        <v>7578.201891925095</v>
      </c>
      <c r="BN247" s="1582">
        <f t="shared" si="565"/>
        <v>7863.3880887977357</v>
      </c>
      <c r="BO247" s="1582">
        <f t="shared" si="566"/>
        <v>7866.3845833343676</v>
      </c>
      <c r="BP247" s="1582">
        <f t="shared" si="567"/>
        <v>7718.8421929973347</v>
      </c>
      <c r="BQ247" s="637"/>
      <c r="BR247" s="638"/>
      <c r="BU247" s="609"/>
      <c r="BV247" s="608"/>
      <c r="BW247" s="608"/>
      <c r="BX247" s="608"/>
    </row>
    <row r="248" spans="2:76" ht="12.75" customHeight="1">
      <c r="B248" s="721"/>
      <c r="C248" s="1739" t="s">
        <v>860</v>
      </c>
      <c r="D248" s="1621"/>
      <c r="E248" s="1621"/>
      <c r="F248" s="1740"/>
      <c r="G248" s="1424">
        <v>6850.7817272711591</v>
      </c>
      <c r="H248" s="1425">
        <v>6621.032095301849</v>
      </c>
      <c r="I248" s="1425">
        <v>7456.0304454809211</v>
      </c>
      <c r="J248" s="1426">
        <v>6786.9757708018869</v>
      </c>
      <c r="K248" s="1424">
        <v>7103.6316586257462</v>
      </c>
      <c r="L248" s="1425">
        <v>6489.3612351463817</v>
      </c>
      <c r="M248" s="1425">
        <v>7652.9516182493453</v>
      </c>
      <c r="N248" s="1426">
        <v>7018.4711655947503</v>
      </c>
      <c r="O248" s="1424">
        <v>7952.8432404796031</v>
      </c>
      <c r="P248" s="1425">
        <v>7515.6719478298664</v>
      </c>
      <c r="Q248" s="1425">
        <v>7355.2985870752173</v>
      </c>
      <c r="R248" s="1425">
        <v>6558.0613022094312</v>
      </c>
      <c r="S248" s="1424">
        <v>6674.9226754832425</v>
      </c>
      <c r="T248" s="1425">
        <v>6638.422412018157</v>
      </c>
      <c r="U248" s="1425">
        <v>7223.9917476319215</v>
      </c>
      <c r="V248" s="1425">
        <v>7084.8548714796698</v>
      </c>
      <c r="W248" s="1424">
        <v>6140.4918444926798</v>
      </c>
      <c r="X248" s="1425">
        <v>6818.4558455411725</v>
      </c>
      <c r="Y248" s="1425">
        <v>7269.96105521761</v>
      </c>
      <c r="Z248" s="1426">
        <v>6682.661837208123</v>
      </c>
      <c r="AA248" s="1424">
        <v>7652.4945449900451</v>
      </c>
      <c r="AB248" s="1425">
        <v>7888.8594888397292</v>
      </c>
      <c r="AC248" s="1425">
        <v>7345.5237671149316</v>
      </c>
      <c r="AD248" s="1426">
        <v>7529.6000602417816</v>
      </c>
      <c r="AE248" s="1424">
        <v>6964.2929599013441</v>
      </c>
      <c r="AF248" s="1425">
        <v>6980.8570592020815</v>
      </c>
      <c r="AG248" s="1425">
        <v>8164.8402063845024</v>
      </c>
      <c r="AH248" s="1426">
        <v>6140.7448147131954</v>
      </c>
      <c r="AI248" s="1424">
        <v>6430.7867145184991</v>
      </c>
      <c r="AJ248" s="1648">
        <v>7962.6791325077083</v>
      </c>
      <c r="AK248" s="1648">
        <v>7713.7262070746765</v>
      </c>
      <c r="AL248" s="1647">
        <v>6923.2312215922902</v>
      </c>
      <c r="AM248" s="1648">
        <v>6480.3957229260004</v>
      </c>
      <c r="AN248" s="1648">
        <v>8543.5526806816761</v>
      </c>
      <c r="AO248" s="1648">
        <v>10269.102427471877</v>
      </c>
      <c r="AP248" s="1647">
        <v>6963.1533601378515</v>
      </c>
      <c r="AQ248" s="1648">
        <v>7207.7953169845769</v>
      </c>
      <c r="AR248" s="1648">
        <v>7543.9435635063273</v>
      </c>
      <c r="AS248" s="1648">
        <v>9213.4837628008991</v>
      </c>
      <c r="AT248" s="1647">
        <v>6685.4577110965065</v>
      </c>
      <c r="AU248" s="1648">
        <v>7169.198552229147</v>
      </c>
      <c r="AV248" s="1648">
        <v>7503.5467705559522</v>
      </c>
      <c r="AW248" s="1648">
        <v>9164.1468088875699</v>
      </c>
      <c r="AX248" s="1647">
        <v>6649.6579932619125</v>
      </c>
      <c r="AY248" s="1648">
        <v>6934.3630362278864</v>
      </c>
      <c r="AZ248" s="1648">
        <v>7257.7592861020321</v>
      </c>
      <c r="BA248" s="1648">
        <v>8863.9644204520755</v>
      </c>
      <c r="BB248" s="1732">
        <v>6431.8406382670464</v>
      </c>
      <c r="BC248" s="700"/>
      <c r="BD248" s="700"/>
      <c r="BE248" s="701">
        <f t="shared" si="556"/>
        <v>6928.7050097139545</v>
      </c>
      <c r="BF248" s="701">
        <f t="shared" si="557"/>
        <v>7066.1039194040559</v>
      </c>
      <c r="BG248" s="701">
        <f t="shared" si="558"/>
        <v>7345.4687693985288</v>
      </c>
      <c r="BH248" s="701">
        <f t="shared" si="559"/>
        <v>6905.5479266532475</v>
      </c>
      <c r="BI248" s="701">
        <f t="shared" si="560"/>
        <v>6727.8926456148965</v>
      </c>
      <c r="BJ248" s="701">
        <f t="shared" si="561"/>
        <v>7604.1194652966215</v>
      </c>
      <c r="BK248" s="701">
        <f t="shared" si="562"/>
        <v>7062.6837600502804</v>
      </c>
      <c r="BL248" s="701">
        <f t="shared" si="563"/>
        <v>7257.6058189232936</v>
      </c>
      <c r="BM248" s="1582">
        <f t="shared" si="564"/>
        <v>8064.0510478043507</v>
      </c>
      <c r="BN248" s="1582">
        <f t="shared" si="565"/>
        <v>7662.6700885970777</v>
      </c>
      <c r="BO248" s="1582">
        <f t="shared" si="566"/>
        <v>7621.6375312336459</v>
      </c>
      <c r="BP248" s="1582">
        <f t="shared" si="567"/>
        <v>7371.9818452622603</v>
      </c>
      <c r="BQ248" s="637"/>
      <c r="BR248" s="638"/>
      <c r="BU248" s="609"/>
      <c r="BV248" s="608"/>
      <c r="BW248" s="608"/>
      <c r="BX248" s="608"/>
    </row>
    <row r="249" spans="2:76" ht="12.75" customHeight="1">
      <c r="B249" s="721"/>
      <c r="C249" s="1739" t="s">
        <v>63</v>
      </c>
      <c r="D249" s="1621"/>
      <c r="E249" s="1621"/>
      <c r="F249" s="1740"/>
      <c r="G249" s="1424">
        <v>6846.1079969549173</v>
      </c>
      <c r="H249" s="1425">
        <v>6579.7184516400084</v>
      </c>
      <c r="I249" s="1425">
        <v>7383.37060324907</v>
      </c>
      <c r="J249" s="1426">
        <v>6769.6404409553197</v>
      </c>
      <c r="K249" s="1424">
        <v>7202.0850094799453</v>
      </c>
      <c r="L249" s="1425">
        <v>6420.214829248016</v>
      </c>
      <c r="M249" s="1425">
        <v>7575.5365463257504</v>
      </c>
      <c r="N249" s="1426">
        <v>7086.1451129407897</v>
      </c>
      <c r="O249" s="1424">
        <v>7943.4548333544453</v>
      </c>
      <c r="P249" s="1425">
        <v>7525.8237354826097</v>
      </c>
      <c r="Q249" s="1425">
        <v>7232.7025992394247</v>
      </c>
      <c r="R249" s="1425">
        <v>6745.6184695244247</v>
      </c>
      <c r="S249" s="1424">
        <v>6668.1229270336653</v>
      </c>
      <c r="T249" s="1425">
        <v>6535.4293137657605</v>
      </c>
      <c r="U249" s="1425">
        <v>7147.865663393176</v>
      </c>
      <c r="V249" s="1425">
        <v>6981.8886000345046</v>
      </c>
      <c r="W249" s="1424">
        <v>6182.9907384190228</v>
      </c>
      <c r="X249" s="1425">
        <v>6785.8365945503001</v>
      </c>
      <c r="Y249" s="1425">
        <v>7136.6442103725694</v>
      </c>
      <c r="Z249" s="1426">
        <v>6702.3457070216837</v>
      </c>
      <c r="AA249" s="1424">
        <v>7664.6160360806507</v>
      </c>
      <c r="AB249" s="1425">
        <v>7048.9520285495655</v>
      </c>
      <c r="AC249" s="1425">
        <v>7197.670615244313</v>
      </c>
      <c r="AD249" s="1426">
        <v>7101.8354351902599</v>
      </c>
      <c r="AE249" s="1424">
        <v>6945.1239071268637</v>
      </c>
      <c r="AF249" s="1425">
        <v>6861.101172272105</v>
      </c>
      <c r="AG249" s="1425">
        <v>7251.121749054284</v>
      </c>
      <c r="AH249" s="1426">
        <v>6022.5093589603321</v>
      </c>
      <c r="AI249" s="1424">
        <v>5878.8543969869743</v>
      </c>
      <c r="AJ249" s="1648">
        <v>6363.7110064538647</v>
      </c>
      <c r="AK249" s="1648">
        <v>7360.8455434858543</v>
      </c>
      <c r="AL249" s="1647">
        <v>6251.0403871722756</v>
      </c>
      <c r="AM249" s="1648">
        <v>6199.6866590289592</v>
      </c>
      <c r="AN249" s="1648">
        <v>7716.3353650951622</v>
      </c>
      <c r="AO249" s="1648">
        <v>10174.371817643576</v>
      </c>
      <c r="AP249" s="1647">
        <v>6681.7059161401476</v>
      </c>
      <c r="AQ249" s="1648">
        <v>6960.4803932414106</v>
      </c>
      <c r="AR249" s="1648">
        <v>7040.2791244410537</v>
      </c>
      <c r="AS249" s="1648">
        <v>8992.7280873911477</v>
      </c>
      <c r="AT249" s="1647">
        <v>6121.8589841224284</v>
      </c>
      <c r="AU249" s="1648">
        <v>6833.8195343448451</v>
      </c>
      <c r="AV249" s="1648">
        <v>6912.1661566006269</v>
      </c>
      <c r="AW249" s="1648">
        <v>8829.0861260578167</v>
      </c>
      <c r="AX249" s="1647">
        <v>6010.4586391511948</v>
      </c>
      <c r="AY249" s="1648">
        <v>6536.1986425108153</v>
      </c>
      <c r="AZ249" s="1648">
        <v>6611.1331770650186</v>
      </c>
      <c r="BA249" s="1648">
        <v>8444.5690234754893</v>
      </c>
      <c r="BB249" s="1732">
        <v>5748.6960843272727</v>
      </c>
      <c r="BC249" s="700"/>
      <c r="BD249" s="700"/>
      <c r="BE249" s="701">
        <f t="shared" si="556"/>
        <v>6894.7093731998284</v>
      </c>
      <c r="BF249" s="701">
        <f t="shared" si="557"/>
        <v>7070.995374498626</v>
      </c>
      <c r="BG249" s="701">
        <f t="shared" si="558"/>
        <v>7361.8999094002265</v>
      </c>
      <c r="BH249" s="701">
        <f t="shared" si="559"/>
        <v>6833.3266260567761</v>
      </c>
      <c r="BI249" s="701">
        <f t="shared" si="560"/>
        <v>6701.9543125908931</v>
      </c>
      <c r="BJ249" s="701">
        <f t="shared" si="561"/>
        <v>7253.2685287661971</v>
      </c>
      <c r="BK249" s="701">
        <f t="shared" si="562"/>
        <v>6769.9640468533962</v>
      </c>
      <c r="BL249" s="701">
        <f t="shared" si="563"/>
        <v>6463.6128335247431</v>
      </c>
      <c r="BM249" s="1582">
        <f t="shared" si="564"/>
        <v>7693.0249394769617</v>
      </c>
      <c r="BN249" s="1582">
        <f t="shared" si="565"/>
        <v>7278.8366472990101</v>
      </c>
      <c r="BO249" s="1582">
        <f t="shared" si="566"/>
        <v>7146.3826140386209</v>
      </c>
      <c r="BP249" s="1582">
        <f t="shared" si="567"/>
        <v>6835.1492318446481</v>
      </c>
      <c r="BQ249" s="637"/>
      <c r="BR249" s="638"/>
      <c r="BU249" s="609"/>
      <c r="BV249" s="608"/>
      <c r="BW249" s="608"/>
      <c r="BX249" s="608"/>
    </row>
    <row r="250" spans="2:76" ht="12.75" customHeight="1">
      <c r="B250" s="721"/>
      <c r="C250" s="1739" t="s">
        <v>861</v>
      </c>
      <c r="D250" s="1621"/>
      <c r="E250" s="1621"/>
      <c r="F250" s="1740"/>
      <c r="G250" s="1424">
        <v>6830.6037324407944</v>
      </c>
      <c r="H250" s="1425">
        <v>6562.8970251557994</v>
      </c>
      <c r="I250" s="1425">
        <v>7414.7110582687419</v>
      </c>
      <c r="J250" s="1426">
        <v>6679.1141503791168</v>
      </c>
      <c r="K250" s="1424">
        <v>7138.8046808257704</v>
      </c>
      <c r="L250" s="1425">
        <v>6258.087014167384</v>
      </c>
      <c r="M250" s="1425">
        <v>7523.249636289559</v>
      </c>
      <c r="N250" s="1426">
        <v>7174.579060258885</v>
      </c>
      <c r="O250" s="1424">
        <v>7873.2744080347829</v>
      </c>
      <c r="P250" s="1425">
        <v>7431.2884796307553</v>
      </c>
      <c r="Q250" s="1425">
        <v>7334.1288032927387</v>
      </c>
      <c r="R250" s="1425">
        <v>6585.3989518402341</v>
      </c>
      <c r="S250" s="1424">
        <v>6652.2606369130135</v>
      </c>
      <c r="T250" s="1425">
        <v>6539.4547394260053</v>
      </c>
      <c r="U250" s="1425">
        <v>7184.9101755550391</v>
      </c>
      <c r="V250" s="1425">
        <v>6986.060144475985</v>
      </c>
      <c r="W250" s="1424">
        <v>6142.7701878695543</v>
      </c>
      <c r="X250" s="1425">
        <v>6706.9196289195888</v>
      </c>
      <c r="Y250" s="1425">
        <v>7191.2801571027721</v>
      </c>
      <c r="Z250" s="1426">
        <v>6691.3524756882343</v>
      </c>
      <c r="AA250" s="1424">
        <v>7683.5517405383844</v>
      </c>
      <c r="AB250" s="1425">
        <v>7477.9551606525392</v>
      </c>
      <c r="AC250" s="1425">
        <v>7273.2045800322394</v>
      </c>
      <c r="AD250" s="1426">
        <v>7297.8688266327545</v>
      </c>
      <c r="AE250" s="1424">
        <v>6825.5682022125657</v>
      </c>
      <c r="AF250" s="1425">
        <v>6812.7741649171348</v>
      </c>
      <c r="AG250" s="1425">
        <v>7454.9666094076501</v>
      </c>
      <c r="AH250" s="1426">
        <v>6130.1227783855711</v>
      </c>
      <c r="AI250" s="1424">
        <v>5895.9354557555907</v>
      </c>
      <c r="AJ250" s="1648">
        <v>7064.5603116460243</v>
      </c>
      <c r="AK250" s="1648">
        <v>7856.3102926990641</v>
      </c>
      <c r="AL250" s="1647">
        <v>6693.0932220303657</v>
      </c>
      <c r="AM250" s="1648">
        <v>6308.6390155305817</v>
      </c>
      <c r="AN250" s="1648">
        <v>8300.9851971638291</v>
      </c>
      <c r="AO250" s="1648">
        <v>10559.214920071048</v>
      </c>
      <c r="AP250" s="1647">
        <v>6991.8724870763926</v>
      </c>
      <c r="AQ250" s="1648">
        <v>7308.293740592273</v>
      </c>
      <c r="AR250" s="1648">
        <v>7573.1759724842441</v>
      </c>
      <c r="AS250" s="1648">
        <v>9344.5082187459211</v>
      </c>
      <c r="AT250" s="1647">
        <v>6521.5722220472508</v>
      </c>
      <c r="AU250" s="1648">
        <v>7193.750633657809</v>
      </c>
      <c r="AV250" s="1648">
        <v>7454.4813583868809</v>
      </c>
      <c r="AW250" s="1648">
        <v>9198.0514612397492</v>
      </c>
      <c r="AX250" s="1647">
        <v>6419.3594250626784</v>
      </c>
      <c r="AY250" s="1648">
        <v>6930.4910839990544</v>
      </c>
      <c r="AZ250" s="1648">
        <v>7181.6802139926585</v>
      </c>
      <c r="BA250" s="1648">
        <v>8861.4433400053931</v>
      </c>
      <c r="BB250" s="1732">
        <v>6184.4391786709302</v>
      </c>
      <c r="BC250" s="700"/>
      <c r="BD250" s="700"/>
      <c r="BE250" s="701">
        <f t="shared" si="556"/>
        <v>6871.8314915611136</v>
      </c>
      <c r="BF250" s="701">
        <f t="shared" si="557"/>
        <v>7023.6800978853998</v>
      </c>
      <c r="BG250" s="701">
        <f t="shared" si="558"/>
        <v>7306.0226606996284</v>
      </c>
      <c r="BH250" s="701">
        <f t="shared" si="559"/>
        <v>6840.6714240925112</v>
      </c>
      <c r="BI250" s="701">
        <f t="shared" si="560"/>
        <v>6683.080612395037</v>
      </c>
      <c r="BJ250" s="701">
        <f t="shared" si="561"/>
        <v>7433.1450769639796</v>
      </c>
      <c r="BK250" s="701">
        <f t="shared" si="562"/>
        <v>6805.8579387307309</v>
      </c>
      <c r="BL250" s="701">
        <f t="shared" si="563"/>
        <v>6877.4748205327614</v>
      </c>
      <c r="BM250" s="1582">
        <f t="shared" si="564"/>
        <v>8040.1779049604629</v>
      </c>
      <c r="BN250" s="1582">
        <f t="shared" si="565"/>
        <v>7686.8875384674229</v>
      </c>
      <c r="BO250" s="1582">
        <f t="shared" si="566"/>
        <v>7566.4107195867791</v>
      </c>
      <c r="BP250" s="1582">
        <f t="shared" si="567"/>
        <v>7289.5134541670095</v>
      </c>
      <c r="BQ250" s="637"/>
      <c r="BR250" s="638"/>
      <c r="BU250" s="609"/>
      <c r="BV250" s="608"/>
      <c r="BW250" s="608"/>
      <c r="BX250" s="608"/>
    </row>
    <row r="251" spans="2:76" ht="12.75" customHeight="1">
      <c r="B251" s="721"/>
      <c r="C251" s="1739" t="s">
        <v>64</v>
      </c>
      <c r="D251" s="1621"/>
      <c r="E251" s="1621"/>
      <c r="F251" s="1740"/>
      <c r="G251" s="1424">
        <v>6551.2481776158975</v>
      </c>
      <c r="H251" s="1425">
        <v>6271.3601770080304</v>
      </c>
      <c r="I251" s="1425">
        <v>7021.4112476857217</v>
      </c>
      <c r="J251" s="1426">
        <v>6733.6908270051736</v>
      </c>
      <c r="K251" s="1424">
        <v>4947.8024200898235</v>
      </c>
      <c r="L251" s="1425">
        <v>3639.4677482772172</v>
      </c>
      <c r="M251" s="1425">
        <v>5747.6866885726586</v>
      </c>
      <c r="N251" s="1426">
        <v>6628.5228267586781</v>
      </c>
      <c r="O251" s="1424">
        <v>7140.6532375369161</v>
      </c>
      <c r="P251" s="1425">
        <v>6382.371966804455</v>
      </c>
      <c r="Q251" s="1425">
        <v>6483.5540521088269</v>
      </c>
      <c r="R251" s="1425">
        <v>6726.4830833685282</v>
      </c>
      <c r="S251" s="1424">
        <v>7205.7973591784121</v>
      </c>
      <c r="T251" s="1425">
        <v>6357.537844012214</v>
      </c>
      <c r="U251" s="1425">
        <v>6423.4820897102254</v>
      </c>
      <c r="V251" s="1425">
        <v>7229.6977497861471</v>
      </c>
      <c r="W251" s="1424">
        <v>6790.8520186587984</v>
      </c>
      <c r="X251" s="1425">
        <v>6349.6655319918109</v>
      </c>
      <c r="Y251" s="1425">
        <v>7036.4214757575519</v>
      </c>
      <c r="Z251" s="1426">
        <v>6665.5421283905716</v>
      </c>
      <c r="AA251" s="1424">
        <v>7686.8419302083648</v>
      </c>
      <c r="AB251" s="1425">
        <v>7549.5235262753986</v>
      </c>
      <c r="AC251" s="1425">
        <v>7870.964586340303</v>
      </c>
      <c r="AD251" s="1426">
        <v>7947.0472842148192</v>
      </c>
      <c r="AE251" s="1424">
        <v>8041.4196020612753</v>
      </c>
      <c r="AF251" s="1425">
        <v>7252.5359380326045</v>
      </c>
      <c r="AG251" s="1425">
        <v>7589.9916495196767</v>
      </c>
      <c r="AH251" s="1426">
        <v>7054.7193373314476</v>
      </c>
      <c r="AI251" s="1424">
        <v>6592.9726251884122</v>
      </c>
      <c r="AJ251" s="1648">
        <v>6874.6729901740318</v>
      </c>
      <c r="AK251" s="1648">
        <v>7377.5104880100744</v>
      </c>
      <c r="AL251" s="1647">
        <v>5402.5632811176656</v>
      </c>
      <c r="AM251" s="1648">
        <v>6081.509077044283</v>
      </c>
      <c r="AN251" s="1648">
        <v>10853.739245532757</v>
      </c>
      <c r="AO251" s="1648">
        <v>10437.986082685222</v>
      </c>
      <c r="AP251" s="1647">
        <v>8954.2936288088658</v>
      </c>
      <c r="AQ251" s="1648">
        <v>9568.8121647134849</v>
      </c>
      <c r="AR251" s="1648">
        <v>12135.565714038688</v>
      </c>
      <c r="AS251" s="1648">
        <v>12432.237568226872</v>
      </c>
      <c r="AT251" s="1647">
        <v>9155.3108828586155</v>
      </c>
      <c r="AU251" s="1648">
        <v>10477.444338766418</v>
      </c>
      <c r="AV251" s="1648">
        <v>13287.930842363825</v>
      </c>
      <c r="AW251" s="1648">
        <v>13612.773966633513</v>
      </c>
      <c r="AX251" s="1647">
        <v>10024.677935782822</v>
      </c>
      <c r="AY251" s="1648">
        <v>10870.28187437005</v>
      </c>
      <c r="AZ251" s="1648">
        <v>13786.143749691979</v>
      </c>
      <c r="BA251" s="1648">
        <v>14123.166425412372</v>
      </c>
      <c r="BB251" s="1732">
        <v>10400.539610460706</v>
      </c>
      <c r="BC251" s="700"/>
      <c r="BD251" s="700"/>
      <c r="BE251" s="701">
        <f t="shared" si="556"/>
        <v>6644.4276073287056</v>
      </c>
      <c r="BF251" s="701">
        <f t="shared" si="557"/>
        <v>5240.8699209245942</v>
      </c>
      <c r="BG251" s="701">
        <f t="shared" si="558"/>
        <v>6683.2655849546809</v>
      </c>
      <c r="BH251" s="701">
        <f t="shared" si="559"/>
        <v>6804.1287606717497</v>
      </c>
      <c r="BI251" s="701">
        <f t="shared" si="560"/>
        <v>6710.6202886996825</v>
      </c>
      <c r="BJ251" s="701">
        <f t="shared" si="561"/>
        <v>7763.5943317597212</v>
      </c>
      <c r="BK251" s="701">
        <f t="shared" si="562"/>
        <v>7484.6666317362515</v>
      </c>
      <c r="BL251" s="701">
        <f t="shared" si="563"/>
        <v>6561.9298461225462</v>
      </c>
      <c r="BM251" s="1582">
        <f t="shared" si="564"/>
        <v>9081.8820085177831</v>
      </c>
      <c r="BN251" s="1582">
        <f t="shared" si="565"/>
        <v>10822.981582459415</v>
      </c>
      <c r="BO251" s="1582">
        <f t="shared" si="566"/>
        <v>11850.706770886643</v>
      </c>
      <c r="BP251" s="1582">
        <f t="shared" si="567"/>
        <v>12295.032914983778</v>
      </c>
      <c r="BQ251" s="637"/>
      <c r="BR251" s="638"/>
      <c r="BU251" s="609"/>
      <c r="BV251" s="608"/>
      <c r="BW251" s="608"/>
      <c r="BX251" s="608"/>
    </row>
    <row r="252" spans="2:76" ht="12.75" customHeight="1">
      <c r="B252" s="721"/>
      <c r="C252" s="1739" t="s">
        <v>65</v>
      </c>
      <c r="D252" s="1621"/>
      <c r="E252" s="1621"/>
      <c r="F252" s="1740"/>
      <c r="G252" s="1424">
        <v>7774.7039121401549</v>
      </c>
      <c r="H252" s="1425">
        <v>4421.426097331675</v>
      </c>
      <c r="I252" s="1425">
        <v>6156.2722201020406</v>
      </c>
      <c r="J252" s="1426">
        <v>7002.5167489617788</v>
      </c>
      <c r="K252" s="1424">
        <v>4589.0510511069697</v>
      </c>
      <c r="L252" s="1425">
        <v>2411.1346788076098</v>
      </c>
      <c r="M252" s="1425">
        <v>5490.4974244869181</v>
      </c>
      <c r="N252" s="1426">
        <v>6615.8727095483928</v>
      </c>
      <c r="O252" s="1424">
        <v>7046.3802040246701</v>
      </c>
      <c r="P252" s="1425">
        <v>5518.5767411822817</v>
      </c>
      <c r="Q252" s="1425">
        <v>6377.5206167201122</v>
      </c>
      <c r="R252" s="1425">
        <v>7344.081803590022</v>
      </c>
      <c r="S252" s="1424">
        <v>9311.2686731067824</v>
      </c>
      <c r="T252" s="1425">
        <v>7056.6794179267672</v>
      </c>
      <c r="U252" s="1425">
        <v>8597.9551187672805</v>
      </c>
      <c r="V252" s="1425">
        <v>9033.2153415300436</v>
      </c>
      <c r="W252" s="1424">
        <v>7778.1824249044994</v>
      </c>
      <c r="X252" s="1425">
        <v>4321.8647012602933</v>
      </c>
      <c r="Y252" s="1425">
        <v>7399.6643648541531</v>
      </c>
      <c r="Z252" s="1426">
        <v>8079.6050793482691</v>
      </c>
      <c r="AA252" s="1424">
        <v>8597.8421847930604</v>
      </c>
      <c r="AB252" s="1425">
        <v>9043.6082365961338</v>
      </c>
      <c r="AC252" s="1425">
        <v>9384.1581076756538</v>
      </c>
      <c r="AD252" s="1426">
        <v>10244.540848251741</v>
      </c>
      <c r="AE252" s="1424">
        <v>9931.6699639321978</v>
      </c>
      <c r="AF252" s="1425">
        <v>8322.9072817939832</v>
      </c>
      <c r="AG252" s="1425">
        <v>9519.3024094689408</v>
      </c>
      <c r="AH252" s="1426">
        <v>8836.9259337879703</v>
      </c>
      <c r="AI252" s="1424">
        <v>7422.1179080352858</v>
      </c>
      <c r="AJ252" s="1648">
        <v>6926.4056548853769</v>
      </c>
      <c r="AK252" s="1648">
        <v>9076.9846765896473</v>
      </c>
      <c r="AL252" s="1647">
        <v>7115.4623612168161</v>
      </c>
      <c r="AM252" s="1648">
        <v>7142.1403365965198</v>
      </c>
      <c r="AN252" s="1648">
        <v>11846.45929847783</v>
      </c>
      <c r="AO252" s="1648">
        <v>13262.382316823576</v>
      </c>
      <c r="AP252" s="1647">
        <v>13234.072022160666</v>
      </c>
      <c r="AQ252" s="1648">
        <v>12329.48172551779</v>
      </c>
      <c r="AR252" s="1648">
        <v>13082.874702863712</v>
      </c>
      <c r="AS252" s="1648">
        <v>15543.273890119144</v>
      </c>
      <c r="AT252" s="1647">
        <v>12131.723236546579</v>
      </c>
      <c r="AU252" s="1648">
        <v>13058.427446074731</v>
      </c>
      <c r="AV252" s="1648">
        <v>13856.36265146884</v>
      </c>
      <c r="AW252" s="1648">
        <v>16462.225978932187</v>
      </c>
      <c r="AX252" s="1647">
        <v>12848.977046003884</v>
      </c>
      <c r="AY252" s="1648">
        <v>13044.817446046907</v>
      </c>
      <c r="AZ252" s="1648">
        <v>13841.92101239317</v>
      </c>
      <c r="BA252" s="1648">
        <v>16445.068407933952</v>
      </c>
      <c r="BB252" s="1732">
        <v>12835.585343314124</v>
      </c>
      <c r="BC252" s="700"/>
      <c r="BD252" s="700"/>
      <c r="BE252" s="701">
        <f t="shared" si="556"/>
        <v>6338.7297446339117</v>
      </c>
      <c r="BF252" s="701">
        <f t="shared" si="557"/>
        <v>4776.6389659874721</v>
      </c>
      <c r="BG252" s="701">
        <f t="shared" si="558"/>
        <v>6571.6398413792722</v>
      </c>
      <c r="BH252" s="701">
        <f t="shared" si="559"/>
        <v>8499.7796378327184</v>
      </c>
      <c r="BI252" s="701">
        <f t="shared" si="560"/>
        <v>6894.8291425918032</v>
      </c>
      <c r="BJ252" s="701">
        <f t="shared" si="561"/>
        <v>9317.5373443291464</v>
      </c>
      <c r="BK252" s="701">
        <f t="shared" si="562"/>
        <v>9152.7013972457735</v>
      </c>
      <c r="BL252" s="701">
        <f t="shared" si="563"/>
        <v>7635.2426501817808</v>
      </c>
      <c r="BM252" s="1582">
        <f t="shared" si="564"/>
        <v>11371.263493514649</v>
      </c>
      <c r="BN252" s="1582">
        <f t="shared" si="565"/>
        <v>13271.838388761804</v>
      </c>
      <c r="BO252" s="1582">
        <f t="shared" si="566"/>
        <v>14056.498280619911</v>
      </c>
      <c r="BP252" s="1582">
        <f t="shared" si="567"/>
        <v>14041.848052422038</v>
      </c>
      <c r="BQ252" s="637"/>
      <c r="BR252" s="638"/>
      <c r="BU252" s="609"/>
      <c r="BV252" s="608"/>
      <c r="BW252" s="608"/>
      <c r="BX252" s="608"/>
    </row>
    <row r="253" spans="2:76" ht="12.75" customHeight="1">
      <c r="B253" s="721"/>
      <c r="C253" s="1739" t="s">
        <v>66</v>
      </c>
      <c r="D253" s="1621"/>
      <c r="E253" s="1621"/>
      <c r="F253" s="1740"/>
      <c r="G253" s="1424">
        <v>7252.1393102577795</v>
      </c>
      <c r="H253" s="1425">
        <v>4593.567349875505</v>
      </c>
      <c r="I253" s="1425">
        <v>6427.0806799498041</v>
      </c>
      <c r="J253" s="1426">
        <v>7240.3857070656832</v>
      </c>
      <c r="K253" s="1424">
        <v>4527.9726426404268</v>
      </c>
      <c r="L253" s="1425">
        <v>2139.4239164830151</v>
      </c>
      <c r="M253" s="1425">
        <v>5540.0381805538027</v>
      </c>
      <c r="N253" s="1426">
        <v>6922.8867412093605</v>
      </c>
      <c r="O253" s="1424">
        <v>7288.8165261279782</v>
      </c>
      <c r="P253" s="1425">
        <v>4935.209035652063</v>
      </c>
      <c r="Q253" s="1425">
        <v>6004.1600044308707</v>
      </c>
      <c r="R253" s="1425">
        <v>7422.4345820566759</v>
      </c>
      <c r="S253" s="1424">
        <v>8678.8668853041981</v>
      </c>
      <c r="T253" s="1425">
        <v>7027.7276846105133</v>
      </c>
      <c r="U253" s="1425">
        <v>8817.9649843376701</v>
      </c>
      <c r="V253" s="1425">
        <v>9456.2247970327371</v>
      </c>
      <c r="W253" s="1424">
        <v>7950.7893476766221</v>
      </c>
      <c r="X253" s="1425">
        <v>5115.2173055428402</v>
      </c>
      <c r="Y253" s="1425">
        <v>7521.7861132026201</v>
      </c>
      <c r="Z253" s="1426">
        <v>8141.7125084036306</v>
      </c>
      <c r="AA253" s="1424">
        <v>9101.9308944914155</v>
      </c>
      <c r="AB253" s="1425">
        <v>9671.1886124478242</v>
      </c>
      <c r="AC253" s="1425">
        <v>9120.2470401114297</v>
      </c>
      <c r="AD253" s="1426">
        <v>10477.07621910588</v>
      </c>
      <c r="AE253" s="1424">
        <v>9611.7445703524172</v>
      </c>
      <c r="AF253" s="1425">
        <v>9580.9697078732752</v>
      </c>
      <c r="AG253" s="1425">
        <v>10025.134228924268</v>
      </c>
      <c r="AH253" s="1426">
        <v>9232.644929535496</v>
      </c>
      <c r="AI253" s="1424">
        <v>7618.1564331858617</v>
      </c>
      <c r="AJ253" s="1648">
        <v>6565.829016583225</v>
      </c>
      <c r="AK253" s="1648">
        <v>9399.4393190765804</v>
      </c>
      <c r="AL253" s="1647">
        <v>7066.9504901112114</v>
      </c>
      <c r="AM253" s="1648">
        <v>7616.7891957904303</v>
      </c>
      <c r="AN253" s="1648">
        <v>12260.09265387161</v>
      </c>
      <c r="AO253" s="1648">
        <v>13180.515759312319</v>
      </c>
      <c r="AP253" s="1647">
        <v>13337.950138504159</v>
      </c>
      <c r="AQ253" s="1648">
        <v>12476.166964736271</v>
      </c>
      <c r="AR253" s="1648">
        <v>13453.482204801772</v>
      </c>
      <c r="AS253" s="1648">
        <v>15729.035256212897</v>
      </c>
      <c r="AT253" s="1647">
        <v>12833.726601162503</v>
      </c>
      <c r="AU253" s="1648">
        <v>13182.832885276595</v>
      </c>
      <c r="AV253" s="1648">
        <v>14215.504500078907</v>
      </c>
      <c r="AW253" s="1648">
        <v>16619.947762430536</v>
      </c>
      <c r="AX253" s="1647">
        <v>13560.64515300677</v>
      </c>
      <c r="AY253" s="1648">
        <v>13153.941016853727</v>
      </c>
      <c r="AZ253" s="1648">
        <v>14184.349399414645</v>
      </c>
      <c r="BA253" s="1648">
        <v>16583.523016086117</v>
      </c>
      <c r="BB253" s="1732">
        <v>13530.925260560325</v>
      </c>
      <c r="BC253" s="700"/>
      <c r="BD253" s="700"/>
      <c r="BE253" s="701">
        <f t="shared" si="556"/>
        <v>6378.293261787192</v>
      </c>
      <c r="BF253" s="701">
        <f t="shared" si="557"/>
        <v>4782.5803702216508</v>
      </c>
      <c r="BG253" s="701">
        <f t="shared" si="558"/>
        <v>6412.6550370668974</v>
      </c>
      <c r="BH253" s="701">
        <f t="shared" si="559"/>
        <v>8495.1960878212794</v>
      </c>
      <c r="BI253" s="701">
        <f t="shared" si="560"/>
        <v>7182.3763187064278</v>
      </c>
      <c r="BJ253" s="701">
        <f t="shared" si="561"/>
        <v>9592.6106915391374</v>
      </c>
      <c r="BK253" s="701">
        <f t="shared" si="562"/>
        <v>9612.6233591713644</v>
      </c>
      <c r="BL253" s="701">
        <f t="shared" si="563"/>
        <v>7662.5938147392199</v>
      </c>
      <c r="BM253" s="1582">
        <f t="shared" si="564"/>
        <v>11598.836936869629</v>
      </c>
      <c r="BN253" s="1582">
        <f t="shared" si="565"/>
        <v>13623.10275672836</v>
      </c>
      <c r="BO253" s="1582">
        <f t="shared" si="566"/>
        <v>14394.732575198203</v>
      </c>
      <c r="BP253" s="1582">
        <f t="shared" si="567"/>
        <v>14363.184673228703</v>
      </c>
      <c r="BQ253" s="637"/>
      <c r="BR253" s="638"/>
      <c r="BU253" s="609"/>
      <c r="BV253" s="608"/>
      <c r="BW253" s="608"/>
      <c r="BX253" s="608"/>
    </row>
    <row r="254" spans="2:76" ht="12.75" customHeight="1">
      <c r="B254" s="721"/>
      <c r="C254" s="1739" t="s">
        <v>67</v>
      </c>
      <c r="D254" s="1621"/>
      <c r="E254" s="1621"/>
      <c r="F254" s="1740"/>
      <c r="G254" s="1424">
        <v>7403.8228607986066</v>
      </c>
      <c r="H254" s="1425">
        <v>5010.1388926342906</v>
      </c>
      <c r="I254" s="1425">
        <v>6534.2814502677575</v>
      </c>
      <c r="J254" s="1426">
        <v>7663.4892753526874</v>
      </c>
      <c r="K254" s="1424">
        <v>3929.5845308814478</v>
      </c>
      <c r="L254" s="1425">
        <v>2019.2783189557053</v>
      </c>
      <c r="M254" s="1425">
        <v>4670.8573279366547</v>
      </c>
      <c r="N254" s="1426">
        <v>7514.4082343612945</v>
      </c>
      <c r="O254" s="1424">
        <v>6973.3021358291335</v>
      </c>
      <c r="P254" s="1425">
        <v>28.782848697248738</v>
      </c>
      <c r="Q254" s="1425">
        <v>4227.0980279257255</v>
      </c>
      <c r="R254" s="1425">
        <v>6727.2801290828729</v>
      </c>
      <c r="S254" s="1424">
        <v>7153.2681962593506</v>
      </c>
      <c r="T254" s="1425">
        <v>4191.4647898805733</v>
      </c>
      <c r="U254" s="1425">
        <v>6208.3880299897546</v>
      </c>
      <c r="V254" s="1425">
        <v>9165.8261083092457</v>
      </c>
      <c r="W254" s="1424">
        <v>4535.3497131161557</v>
      </c>
      <c r="X254" s="1425">
        <v>2842.1256826512813</v>
      </c>
      <c r="Y254" s="1425">
        <v>6174.4647234642125</v>
      </c>
      <c r="Z254" s="1426">
        <v>6739.3189580413173</v>
      </c>
      <c r="AA254" s="1424">
        <v>5272.3423493712744</v>
      </c>
      <c r="AB254" s="1425">
        <v>8070.6412815660206</v>
      </c>
      <c r="AC254" s="1425">
        <v>7444.7534957486841</v>
      </c>
      <c r="AD254" s="1426">
        <v>7741.2731719518661</v>
      </c>
      <c r="AE254" s="1424">
        <v>7078.7259123138783</v>
      </c>
      <c r="AF254" s="1425">
        <v>4819.6778604479841</v>
      </c>
      <c r="AG254" s="1425">
        <v>8065.3674973948418</v>
      </c>
      <c r="AH254" s="1426">
        <v>6021.0210358521981</v>
      </c>
      <c r="AI254" s="1424">
        <v>5379.6174287968361</v>
      </c>
      <c r="AJ254" s="1648">
        <v>1169.9251809150007</v>
      </c>
      <c r="AK254" s="1648">
        <v>7370.4596656258645</v>
      </c>
      <c r="AL254" s="1647">
        <v>5207.6474963728888</v>
      </c>
      <c r="AM254" s="1648">
        <v>4481.8108025744623</v>
      </c>
      <c r="AN254" s="1648">
        <v>2680.344142951687</v>
      </c>
      <c r="AO254" s="1648">
        <v>7122.3905034793297</v>
      </c>
      <c r="AP254" s="1647">
        <v>8538.7811634349055</v>
      </c>
      <c r="AQ254" s="1648">
        <v>9294.2311509543069</v>
      </c>
      <c r="AR254" s="1648">
        <v>5469.5978144865967</v>
      </c>
      <c r="AS254" s="1648">
        <v>11009.808729651124</v>
      </c>
      <c r="AT254" s="1647">
        <v>7014.3272150574057</v>
      </c>
      <c r="AU254" s="1648">
        <v>10558.398782517217</v>
      </c>
      <c r="AV254" s="1648">
        <v>6213.5526830968138</v>
      </c>
      <c r="AW254" s="1648">
        <v>12507.32300486846</v>
      </c>
      <c r="AX254" s="1647">
        <v>7968.3905774212635</v>
      </c>
      <c r="AY254" s="1648">
        <v>11008.480327842066</v>
      </c>
      <c r="AZ254" s="1648">
        <v>6478.4229016943764</v>
      </c>
      <c r="BA254" s="1648">
        <v>13040.482945297053</v>
      </c>
      <c r="BB254" s="1732">
        <v>8308.0657136527334</v>
      </c>
      <c r="BC254" s="700"/>
      <c r="BD254" s="700"/>
      <c r="BE254" s="701">
        <f t="shared" si="556"/>
        <v>6652.9331197633355</v>
      </c>
      <c r="BF254" s="701">
        <f t="shared" si="557"/>
        <v>4533.5321030337755</v>
      </c>
      <c r="BG254" s="701">
        <f t="shared" si="558"/>
        <v>4489.1157853837449</v>
      </c>
      <c r="BH254" s="701">
        <f t="shared" si="559"/>
        <v>6679.7367811097301</v>
      </c>
      <c r="BI254" s="701">
        <f t="shared" si="560"/>
        <v>5072.8147693182418</v>
      </c>
      <c r="BJ254" s="701">
        <f t="shared" si="561"/>
        <v>7132.2525746594611</v>
      </c>
      <c r="BK254" s="701">
        <f t="shared" si="562"/>
        <v>6496.1980765022263</v>
      </c>
      <c r="BL254" s="701">
        <f t="shared" si="563"/>
        <v>4781.9124429276471</v>
      </c>
      <c r="BM254" s="1582">
        <f t="shared" si="564"/>
        <v>5705.8316531100963</v>
      </c>
      <c r="BN254" s="1582">
        <f t="shared" si="565"/>
        <v>8196.991227537359</v>
      </c>
      <c r="BO254" s="1582">
        <f t="shared" si="566"/>
        <v>9311.9162619759391</v>
      </c>
      <c r="BP254" s="1582">
        <f t="shared" si="567"/>
        <v>9708.8629721215584</v>
      </c>
      <c r="BQ254" s="637"/>
      <c r="BR254" s="638"/>
      <c r="BU254" s="609"/>
      <c r="BV254" s="608"/>
      <c r="BW254" s="608"/>
      <c r="BX254" s="608"/>
    </row>
    <row r="255" spans="2:76" ht="12.75" customHeight="1">
      <c r="B255" s="721"/>
      <c r="C255" s="1739"/>
      <c r="D255" s="1621"/>
      <c r="E255" s="1621"/>
      <c r="F255" s="1740"/>
      <c r="G255" s="1612">
        <v>0</v>
      </c>
      <c r="H255" s="1612">
        <v>0</v>
      </c>
      <c r="I255" s="1612">
        <v>0</v>
      </c>
      <c r="J255" s="1617">
        <v>5127.6255850361686</v>
      </c>
      <c r="K255" s="1618">
        <v>5240.9261466320195</v>
      </c>
      <c r="L255" s="1612">
        <v>3623.7222932969935</v>
      </c>
      <c r="M255" s="1612">
        <v>7637.5478537222789</v>
      </c>
      <c r="N255" s="1617">
        <v>5145.6041120023128</v>
      </c>
      <c r="O255" s="1616">
        <v>5809.5791548366151</v>
      </c>
      <c r="P255" s="1612">
        <v>5954.1949848390959</v>
      </c>
      <c r="Q255" s="1612">
        <v>6888.4287903141694</v>
      </c>
      <c r="R255" s="1615">
        <v>6233.7685965003757</v>
      </c>
      <c r="S255" s="1614">
        <v>5988.0913357535692</v>
      </c>
      <c r="T255" s="1613">
        <v>6007.9038515154725</v>
      </c>
      <c r="U255" s="1613">
        <v>7349.2540806565275</v>
      </c>
      <c r="V255" s="1615">
        <v>6994.6325194419514</v>
      </c>
      <c r="W255" s="1648">
        <v>6080.7198049477747</v>
      </c>
      <c r="X255" s="1648">
        <v>6970.9778782114672</v>
      </c>
      <c r="Y255" s="1648">
        <v>7239.820470198154</v>
      </c>
      <c r="Z255" s="1647">
        <v>6868.5436968988715</v>
      </c>
      <c r="AA255" s="1648">
        <v>8226.1888723536613</v>
      </c>
      <c r="AB255" s="1648">
        <v>7516.0998993134817</v>
      </c>
      <c r="AC255" s="1648">
        <v>7447.7740060088181</v>
      </c>
      <c r="AD255" s="1647">
        <v>7059.7639774892332</v>
      </c>
      <c r="AE255" s="1648">
        <v>7250.2204400046912</v>
      </c>
      <c r="AF255" s="1648">
        <v>6926.0052986481123</v>
      </c>
      <c r="AG255" s="1648">
        <v>7584.2582143532491</v>
      </c>
      <c r="AH255" s="1647">
        <v>6265.3734073086953</v>
      </c>
      <c r="AI255" s="1648">
        <v>5413.0436677824982</v>
      </c>
      <c r="AJ255" s="1648">
        <v>6726.7779529208856</v>
      </c>
      <c r="AK255" s="1648">
        <v>7976.1185813343263</v>
      </c>
      <c r="AL255" s="1647">
        <v>6750.161788693903</v>
      </c>
      <c r="AM255" s="1648">
        <v>6422.2133266124401</v>
      </c>
      <c r="AN255" s="1648">
        <v>8048.0608695652172</v>
      </c>
      <c r="AO255" s="1648">
        <v>11474.906464924346</v>
      </c>
      <c r="AP255" s="1647">
        <v>6852.997364953887</v>
      </c>
      <c r="AQ255" s="1648">
        <v>6265.0137776610345</v>
      </c>
      <c r="AR255" s="1648">
        <v>6530.144494614603</v>
      </c>
      <c r="AS255" s="1648">
        <v>8725.0995759322941</v>
      </c>
      <c r="AT255" s="1647">
        <v>6597.9020800638746</v>
      </c>
      <c r="AU255" s="1648">
        <v>6031.9099537832089</v>
      </c>
      <c r="AV255" s="1648">
        <v>6195.5449296090837</v>
      </c>
      <c r="AW255" s="1648">
        <v>8244.6650067023384</v>
      </c>
      <c r="AX255" s="1647">
        <v>6266.7223668496872</v>
      </c>
      <c r="AY255" s="1648">
        <v>5639.6195767479512</v>
      </c>
      <c r="AZ255" s="1648">
        <v>5777.3245530193408</v>
      </c>
      <c r="BA255" s="1648">
        <v>7670.2250040588715</v>
      </c>
      <c r="BB255" s="1732">
        <v>5829.5160354141863</v>
      </c>
      <c r="BC255" s="700"/>
      <c r="BD255" s="700"/>
      <c r="BE255" s="701"/>
      <c r="BF255" s="701"/>
      <c r="BG255" s="701"/>
      <c r="BH255" s="701"/>
      <c r="BI255" s="701"/>
      <c r="BJ255" s="701"/>
      <c r="BK255" s="701"/>
      <c r="BL255" s="701"/>
      <c r="BM255" s="701"/>
      <c r="BN255" s="701"/>
      <c r="BO255" s="701"/>
      <c r="BP255" s="701"/>
      <c r="BQ255" s="637"/>
      <c r="BR255" s="638"/>
      <c r="BU255" s="609"/>
      <c r="BV255" s="608"/>
      <c r="BW255" s="608"/>
      <c r="BX255" s="608"/>
    </row>
    <row r="256" spans="2:76" ht="12.75" customHeight="1">
      <c r="B256" s="721"/>
      <c r="C256" s="1746" t="s">
        <v>630</v>
      </c>
      <c r="D256" s="1626"/>
      <c r="E256" s="1626"/>
      <c r="F256" s="1747"/>
      <c r="G256" s="1734"/>
      <c r="H256" s="1619"/>
      <c r="I256" s="1619"/>
      <c r="J256" s="1620"/>
      <c r="K256" s="1618"/>
      <c r="L256" s="1619"/>
      <c r="M256" s="1619"/>
      <c r="N256" s="1620"/>
      <c r="O256" s="1618"/>
      <c r="P256" s="1619"/>
      <c r="Q256" s="1619"/>
      <c r="R256" s="1611"/>
      <c r="S256" s="1610"/>
      <c r="T256" s="1609"/>
      <c r="U256" s="1609"/>
      <c r="V256" s="1611"/>
      <c r="W256" s="1658"/>
      <c r="X256" s="1658"/>
      <c r="Y256" s="1658"/>
      <c r="Z256" s="1661"/>
      <c r="AA256" s="1660"/>
      <c r="AB256" s="1660"/>
      <c r="AC256" s="1660"/>
      <c r="AD256" s="1661"/>
      <c r="AE256" s="1660"/>
      <c r="AF256" s="1660"/>
      <c r="AG256" s="1660"/>
      <c r="AH256" s="1661"/>
      <c r="AI256" s="1660"/>
      <c r="AJ256" s="1660"/>
      <c r="AK256" s="1660"/>
      <c r="AL256" s="1661"/>
      <c r="AM256" s="1660"/>
      <c r="AN256" s="1660"/>
      <c r="AO256" s="1660"/>
      <c r="AP256" s="1661"/>
      <c r="AQ256" s="1660"/>
      <c r="AR256" s="1660"/>
      <c r="AS256" s="1660"/>
      <c r="AT256" s="1661"/>
      <c r="AU256" s="1660"/>
      <c r="AV256" s="1660"/>
      <c r="AW256" s="1660"/>
      <c r="AX256" s="1661"/>
      <c r="AY256" s="1660"/>
      <c r="AZ256" s="1660"/>
      <c r="BA256" s="1660"/>
      <c r="BB256" s="1730"/>
      <c r="BC256" s="669"/>
      <c r="BD256" s="670"/>
      <c r="BE256" s="671"/>
      <c r="BF256" s="671"/>
      <c r="BG256" s="671"/>
      <c r="BH256" s="671"/>
      <c r="BI256" s="671"/>
      <c r="BJ256" s="671"/>
      <c r="BK256" s="671"/>
      <c r="BL256" s="671"/>
      <c r="BM256" s="1583"/>
      <c r="BN256" s="1583"/>
      <c r="BO256" s="1583"/>
      <c r="BP256" s="1583"/>
      <c r="BQ256" s="637"/>
      <c r="BR256" s="638"/>
      <c r="BU256" s="609"/>
      <c r="BV256" s="608"/>
      <c r="BW256" s="608"/>
      <c r="BX256" s="608"/>
    </row>
    <row r="257" spans="2:76" ht="12.75" customHeight="1">
      <c r="B257" s="721"/>
      <c r="C257" s="1739" t="s">
        <v>827</v>
      </c>
      <c r="D257" s="1621"/>
      <c r="E257" s="1621"/>
      <c r="F257" s="1745"/>
      <c r="G257" s="1734"/>
      <c r="H257" s="1619"/>
      <c r="I257" s="1619"/>
      <c r="J257" s="1620"/>
      <c r="K257" s="1616"/>
      <c r="L257" s="1619"/>
      <c r="M257" s="1619"/>
      <c r="N257" s="1620"/>
      <c r="O257" s="1628">
        <v>102.54</v>
      </c>
      <c r="P257" s="1629">
        <v>95.373333333333335</v>
      </c>
      <c r="Q257" s="1629">
        <v>81.040000000000006</v>
      </c>
      <c r="R257" s="1630">
        <v>81.040000000000006</v>
      </c>
      <c r="S257" s="1628">
        <v>81.040000000000006</v>
      </c>
      <c r="T257" s="1629">
        <v>79.626666666666665</v>
      </c>
      <c r="U257" s="1629">
        <v>76.8</v>
      </c>
      <c r="V257" s="1630">
        <v>76.8</v>
      </c>
      <c r="W257" s="1644">
        <v>76.8</v>
      </c>
      <c r="X257" s="1644">
        <v>82.486666666666665</v>
      </c>
      <c r="Y257" s="1644">
        <v>93.86</v>
      </c>
      <c r="Z257" s="1645">
        <v>93.86</v>
      </c>
      <c r="AA257" s="1644">
        <v>93.86</v>
      </c>
      <c r="AB257" s="1644">
        <v>96.874703196347028</v>
      </c>
      <c r="AC257" s="1644">
        <v>102.9041095890411</v>
      </c>
      <c r="AD257" s="1645">
        <v>102.9041095890411</v>
      </c>
      <c r="AE257" s="1644">
        <v>103</v>
      </c>
      <c r="AF257" s="1644">
        <v>98.736666666666665</v>
      </c>
      <c r="AG257" s="1644">
        <v>90.21</v>
      </c>
      <c r="AH257" s="1645">
        <v>90.21</v>
      </c>
      <c r="AI257" s="1633">
        <v>90.21</v>
      </c>
      <c r="AJ257" s="1633">
        <v>137.126301369863</v>
      </c>
      <c r="AK257" s="1633">
        <v>230.95890410958907</v>
      </c>
      <c r="AL257" s="1634">
        <v>230.95890410958907</v>
      </c>
      <c r="AM257" s="1633">
        <v>230.95890410958907</v>
      </c>
      <c r="AN257" s="1633">
        <v>258.63013698630141</v>
      </c>
      <c r="AO257" s="1633">
        <v>313.97260273972609</v>
      </c>
      <c r="AP257" s="1634">
        <v>313.97260273972609</v>
      </c>
      <c r="AQ257" s="1633">
        <v>313.97260273972609</v>
      </c>
      <c r="AR257" s="1632">
        <v>286.35616438356169</v>
      </c>
      <c r="AS257" s="1632">
        <v>231.12328767123287</v>
      </c>
      <c r="AT257" s="1631">
        <v>231.12328767123287</v>
      </c>
      <c r="AU257" s="1632">
        <v>231.12328767123287</v>
      </c>
      <c r="AV257" s="1632">
        <v>231.12328767123287</v>
      </c>
      <c r="AW257" s="1632">
        <v>231.12328767123287</v>
      </c>
      <c r="AX257" s="1631">
        <v>231.12328767123287</v>
      </c>
      <c r="AY257" s="1632">
        <v>231.12328767123287</v>
      </c>
      <c r="AZ257" s="1632">
        <v>231.12328767123287</v>
      </c>
      <c r="BA257" s="1632">
        <v>231.12328767123287</v>
      </c>
      <c r="BB257" s="1733">
        <v>231.12328767123287</v>
      </c>
      <c r="BC257" s="669"/>
      <c r="BD257" s="670"/>
      <c r="BE257" s="701"/>
      <c r="BF257" s="701"/>
      <c r="BG257" s="701">
        <f t="shared" ref="BG257:BG271" si="568">AVERAGE(O257:R257)</f>
        <v>89.998333333333349</v>
      </c>
      <c r="BH257" s="701">
        <f t="shared" ref="BH257:BH271" si="569">AVERAGE(S257:V257)</f>
        <v>78.566666666666677</v>
      </c>
      <c r="BI257" s="701">
        <f t="shared" ref="BI257:BI271" si="570">AVERAGE(W257:Z257)</f>
        <v>86.751666666666665</v>
      </c>
      <c r="BJ257" s="701">
        <f t="shared" ref="BJ257:BJ271" si="571">AVERAGE(AA257:AD257)</f>
        <v>99.13573059360732</v>
      </c>
      <c r="BK257" s="701">
        <f t="shared" ref="BK257:BK271" si="572">AVERAGE(AE257:AH257)</f>
        <v>95.539166666666659</v>
      </c>
      <c r="BL257" s="701">
        <f t="shared" ref="BL257:BL271" si="573">AVERAGE(AI257:AL257)</f>
        <v>172.31352739726029</v>
      </c>
      <c r="BM257" s="1582">
        <f t="shared" ref="BM257:BM271" si="574">AVERAGE(AM257:AP257)</f>
        <v>279.38356164383566</v>
      </c>
      <c r="BN257" s="1582">
        <f t="shared" ref="BN257:BN271" si="575">AVERAGE(AQ257:AT257)</f>
        <v>265.64383561643837</v>
      </c>
      <c r="BO257" s="1582">
        <f t="shared" ref="BO257:BO271" si="576">AVERAGE(AU257:AX257)</f>
        <v>231.12328767123287</v>
      </c>
      <c r="BP257" s="1582">
        <f t="shared" ref="BP257:BP273" si="577">AVERAGE(AY257:BB257)</f>
        <v>231.12328767123287</v>
      </c>
      <c r="BQ257" s="637"/>
      <c r="BR257" s="638"/>
      <c r="BU257" s="609"/>
      <c r="BV257" s="608"/>
      <c r="BW257" s="608"/>
      <c r="BX257" s="608"/>
    </row>
    <row r="258" spans="2:76" ht="12.75" customHeight="1">
      <c r="B258" s="721"/>
      <c r="C258" s="1739" t="s">
        <v>36</v>
      </c>
      <c r="D258" s="1621"/>
      <c r="E258" s="1621"/>
      <c r="F258" s="1740"/>
      <c r="G258" s="1612"/>
      <c r="H258" s="1612"/>
      <c r="I258" s="1612"/>
      <c r="J258" s="1617"/>
      <c r="K258" s="1616"/>
      <c r="L258" s="1612"/>
      <c r="M258" s="1612"/>
      <c r="N258" s="1617"/>
      <c r="O258" s="1628">
        <v>102.54</v>
      </c>
      <c r="P258" s="1629">
        <v>96.14</v>
      </c>
      <c r="Q258" s="1629">
        <v>83.34</v>
      </c>
      <c r="R258" s="1630">
        <v>83.34</v>
      </c>
      <c r="S258" s="1628">
        <v>83.34</v>
      </c>
      <c r="T258" s="1629">
        <v>83.13333333333334</v>
      </c>
      <c r="U258" s="1629">
        <v>82.72</v>
      </c>
      <c r="V258" s="1630">
        <v>82.72</v>
      </c>
      <c r="W258" s="1644">
        <v>82.72</v>
      </c>
      <c r="X258" s="1644">
        <v>86.433333333333337</v>
      </c>
      <c r="Y258" s="1644">
        <v>93.86</v>
      </c>
      <c r="Z258" s="1645">
        <v>93.86</v>
      </c>
      <c r="AA258" s="1644">
        <v>93.86</v>
      </c>
      <c r="AB258" s="1644">
        <v>96.874703196347028</v>
      </c>
      <c r="AC258" s="1644">
        <v>102.9041095890411</v>
      </c>
      <c r="AD258" s="1645">
        <v>102.9041095890411</v>
      </c>
      <c r="AE258" s="1644">
        <v>103</v>
      </c>
      <c r="AF258" s="1644">
        <v>98.736666666666665</v>
      </c>
      <c r="AG258" s="1644">
        <v>90.21</v>
      </c>
      <c r="AH258" s="1645">
        <v>90.21</v>
      </c>
      <c r="AI258" s="1633">
        <v>90.21</v>
      </c>
      <c r="AJ258" s="1633">
        <v>137.126301369863</v>
      </c>
      <c r="AK258" s="1633">
        <v>230.95890410958907</v>
      </c>
      <c r="AL258" s="1634">
        <v>230.95890410958907</v>
      </c>
      <c r="AM258" s="1633">
        <v>230.95890410958907</v>
      </c>
      <c r="AN258" s="1633">
        <v>258.63013698630141</v>
      </c>
      <c r="AO258" s="1633">
        <v>313.97260273972609</v>
      </c>
      <c r="AP258" s="1634">
        <v>313.97260273972609</v>
      </c>
      <c r="AQ258" s="1633">
        <v>313.97260273972609</v>
      </c>
      <c r="AR258" s="1632">
        <v>286.35616438356169</v>
      </c>
      <c r="AS258" s="1632">
        <v>231.12328767123287</v>
      </c>
      <c r="AT258" s="1631">
        <v>231.12328767123287</v>
      </c>
      <c r="AU258" s="1632">
        <v>231.12328767123287</v>
      </c>
      <c r="AV258" s="1632">
        <v>231.12328767123287</v>
      </c>
      <c r="AW258" s="1632">
        <v>231.12328767123287</v>
      </c>
      <c r="AX258" s="1631">
        <v>231.12328767123287</v>
      </c>
      <c r="AY258" s="1632">
        <v>231.12328767123287</v>
      </c>
      <c r="AZ258" s="1632">
        <v>231.12328767123287</v>
      </c>
      <c r="BA258" s="1632">
        <v>231.12328767123287</v>
      </c>
      <c r="BB258" s="1733">
        <v>231.12328767123287</v>
      </c>
      <c r="BC258" s="669"/>
      <c r="BD258" s="700"/>
      <c r="BE258" s="701"/>
      <c r="BF258" s="701"/>
      <c r="BG258" s="701">
        <f t="shared" si="568"/>
        <v>91.34</v>
      </c>
      <c r="BH258" s="701">
        <f t="shared" si="569"/>
        <v>82.978333333333339</v>
      </c>
      <c r="BI258" s="701">
        <f t="shared" si="570"/>
        <v>89.218333333333334</v>
      </c>
      <c r="BJ258" s="701">
        <f t="shared" si="571"/>
        <v>99.13573059360732</v>
      </c>
      <c r="BK258" s="701">
        <f t="shared" si="572"/>
        <v>95.539166666666659</v>
      </c>
      <c r="BL258" s="701">
        <f t="shared" si="573"/>
        <v>172.31352739726029</v>
      </c>
      <c r="BM258" s="1582">
        <f t="shared" si="574"/>
        <v>279.38356164383566</v>
      </c>
      <c r="BN258" s="1582">
        <f t="shared" si="575"/>
        <v>265.64383561643837</v>
      </c>
      <c r="BO258" s="1582">
        <f t="shared" si="576"/>
        <v>231.12328767123287</v>
      </c>
      <c r="BP258" s="1582">
        <f t="shared" si="577"/>
        <v>231.12328767123287</v>
      </c>
      <c r="BQ258" s="637"/>
      <c r="BR258" s="638"/>
      <c r="BU258" s="609"/>
      <c r="BV258" s="608"/>
      <c r="BW258" s="608"/>
      <c r="BX258" s="608"/>
    </row>
    <row r="259" spans="2:76" ht="12.75" customHeight="1">
      <c r="B259" s="721"/>
      <c r="C259" s="1739" t="s">
        <v>37</v>
      </c>
      <c r="D259" s="1621"/>
      <c r="E259" s="1621"/>
      <c r="F259" s="1740"/>
      <c r="G259" s="1612"/>
      <c r="H259" s="1612"/>
      <c r="I259" s="1612"/>
      <c r="J259" s="1617"/>
      <c r="K259" s="1616"/>
      <c r="L259" s="1612"/>
      <c r="M259" s="1612"/>
      <c r="N259" s="1617"/>
      <c r="O259" s="1628">
        <v>110</v>
      </c>
      <c r="P259" s="1629">
        <v>78.819999999999993</v>
      </c>
      <c r="Q259" s="1629">
        <v>16.46</v>
      </c>
      <c r="R259" s="1630">
        <v>16.46</v>
      </c>
      <c r="S259" s="1628">
        <v>16.46</v>
      </c>
      <c r="T259" s="1629">
        <v>20.216666666666669</v>
      </c>
      <c r="U259" s="1629">
        <v>27.73</v>
      </c>
      <c r="V259" s="1630">
        <v>27.73</v>
      </c>
      <c r="W259" s="1644">
        <v>27.73</v>
      </c>
      <c r="X259" s="1644">
        <v>60.483333333333327</v>
      </c>
      <c r="Y259" s="1644">
        <v>125.99</v>
      </c>
      <c r="Z259" s="1645">
        <v>125.99</v>
      </c>
      <c r="AA259" s="1644">
        <v>125.99</v>
      </c>
      <c r="AB259" s="1644">
        <v>129.32666666666668</v>
      </c>
      <c r="AC259" s="1644">
        <v>136</v>
      </c>
      <c r="AD259" s="1645">
        <v>136</v>
      </c>
      <c r="AE259" s="1644">
        <v>136</v>
      </c>
      <c r="AF259" s="1644">
        <v>110.45666666666666</v>
      </c>
      <c r="AG259" s="1644">
        <v>59.37</v>
      </c>
      <c r="AH259" s="1645">
        <v>59.37</v>
      </c>
      <c r="AI259" s="1633">
        <v>59.37</v>
      </c>
      <c r="AJ259" s="1633">
        <v>79.58</v>
      </c>
      <c r="AK259" s="1633">
        <v>120</v>
      </c>
      <c r="AL259" s="1634">
        <v>120</v>
      </c>
      <c r="AM259" s="1633">
        <v>120</v>
      </c>
      <c r="AN259" s="1632">
        <v>134.92333333333335</v>
      </c>
      <c r="AO259" s="1632">
        <v>164.77</v>
      </c>
      <c r="AP259" s="1631">
        <v>164.77</v>
      </c>
      <c r="AQ259" s="1632">
        <v>164.77</v>
      </c>
      <c r="AR259" s="1632">
        <v>143.18</v>
      </c>
      <c r="AS259" s="1632">
        <v>100</v>
      </c>
      <c r="AT259" s="1631">
        <v>100</v>
      </c>
      <c r="AU259" s="1632">
        <v>100</v>
      </c>
      <c r="AV259" s="1632">
        <v>100</v>
      </c>
      <c r="AW259" s="1632">
        <v>76.53</v>
      </c>
      <c r="AX259" s="1631">
        <v>76.53</v>
      </c>
      <c r="AY259" s="1632">
        <v>76.53</v>
      </c>
      <c r="AZ259" s="1632">
        <v>76.53</v>
      </c>
      <c r="BA259" s="1632">
        <v>76.53</v>
      </c>
      <c r="BB259" s="1733">
        <v>76.53</v>
      </c>
      <c r="BC259" s="669"/>
      <c r="BD259" s="700"/>
      <c r="BE259" s="701"/>
      <c r="BF259" s="701"/>
      <c r="BG259" s="701">
        <f t="shared" si="568"/>
        <v>55.435000000000002</v>
      </c>
      <c r="BH259" s="701">
        <f t="shared" si="569"/>
        <v>23.034166666666668</v>
      </c>
      <c r="BI259" s="701">
        <f t="shared" si="570"/>
        <v>85.048333333333332</v>
      </c>
      <c r="BJ259" s="701">
        <f t="shared" si="571"/>
        <v>131.82916666666665</v>
      </c>
      <c r="BK259" s="701">
        <f t="shared" si="572"/>
        <v>91.299166666666665</v>
      </c>
      <c r="BL259" s="701">
        <f t="shared" si="573"/>
        <v>94.737499999999997</v>
      </c>
      <c r="BM259" s="1582">
        <f t="shared" si="574"/>
        <v>146.11583333333334</v>
      </c>
      <c r="BN259" s="1582">
        <f t="shared" si="575"/>
        <v>126.98750000000001</v>
      </c>
      <c r="BO259" s="1582">
        <f t="shared" si="576"/>
        <v>88.264999999999986</v>
      </c>
      <c r="BP259" s="1582">
        <f t="shared" si="577"/>
        <v>76.53</v>
      </c>
      <c r="BQ259" s="637"/>
      <c r="BR259" s="638"/>
      <c r="BU259" s="609"/>
      <c r="BV259" s="608"/>
      <c r="BW259" s="608"/>
      <c r="BX259" s="608"/>
    </row>
    <row r="260" spans="2:76" ht="12.75" customHeight="1">
      <c r="B260" s="721"/>
      <c r="C260" s="1739" t="s">
        <v>38</v>
      </c>
      <c r="D260" s="1621"/>
      <c r="E260" s="1621"/>
      <c r="F260" s="1740"/>
      <c r="G260" s="1612"/>
      <c r="H260" s="1612"/>
      <c r="I260" s="1612"/>
      <c r="J260" s="1617"/>
      <c r="K260" s="1616"/>
      <c r="L260" s="1612"/>
      <c r="M260" s="1612"/>
      <c r="N260" s="1617"/>
      <c r="O260" s="1628">
        <v>110</v>
      </c>
      <c r="P260" s="1629">
        <v>117.79</v>
      </c>
      <c r="Q260" s="1629">
        <v>133.37</v>
      </c>
      <c r="R260" s="1630">
        <v>133.37</v>
      </c>
      <c r="S260" s="1628">
        <v>133.37</v>
      </c>
      <c r="T260" s="1629">
        <v>164.29666666666665</v>
      </c>
      <c r="U260" s="1629">
        <v>226.15</v>
      </c>
      <c r="V260" s="1630">
        <v>226.15</v>
      </c>
      <c r="W260" s="1644">
        <v>226.15</v>
      </c>
      <c r="X260" s="1644">
        <v>196.26666666666665</v>
      </c>
      <c r="Y260" s="1644">
        <v>136.5</v>
      </c>
      <c r="Z260" s="1645">
        <v>136.5</v>
      </c>
      <c r="AA260" s="1644">
        <v>136.5</v>
      </c>
      <c r="AB260" s="1644">
        <v>146.82</v>
      </c>
      <c r="AC260" s="1644">
        <v>167.46</v>
      </c>
      <c r="AD260" s="1645">
        <v>167.46</v>
      </c>
      <c r="AE260" s="1644">
        <v>167.46</v>
      </c>
      <c r="AF260" s="1644">
        <v>151.35</v>
      </c>
      <c r="AG260" s="1644">
        <v>119.13</v>
      </c>
      <c r="AH260" s="1645">
        <v>119.13</v>
      </c>
      <c r="AI260" s="1633">
        <v>119.13</v>
      </c>
      <c r="AJ260" s="1633">
        <v>119.41999999999999</v>
      </c>
      <c r="AK260" s="1633">
        <v>120</v>
      </c>
      <c r="AL260" s="1634">
        <v>120</v>
      </c>
      <c r="AM260" s="1633">
        <v>120</v>
      </c>
      <c r="AN260" s="1632">
        <v>134.92333333333335</v>
      </c>
      <c r="AO260" s="1632">
        <v>164.77</v>
      </c>
      <c r="AP260" s="1631">
        <v>164.77</v>
      </c>
      <c r="AQ260" s="1632">
        <v>164.77</v>
      </c>
      <c r="AR260" s="1632">
        <v>143.18</v>
      </c>
      <c r="AS260" s="1632">
        <v>100</v>
      </c>
      <c r="AT260" s="1631">
        <v>100</v>
      </c>
      <c r="AU260" s="1632">
        <v>100</v>
      </c>
      <c r="AV260" s="1632">
        <v>100</v>
      </c>
      <c r="AW260" s="1632">
        <v>86.04</v>
      </c>
      <c r="AX260" s="1631">
        <v>86.04</v>
      </c>
      <c r="AY260" s="1632">
        <v>86.04</v>
      </c>
      <c r="AZ260" s="1632">
        <v>86.04</v>
      </c>
      <c r="BA260" s="1632">
        <v>86.04</v>
      </c>
      <c r="BB260" s="1733">
        <v>86.04</v>
      </c>
      <c r="BC260" s="669"/>
      <c r="BD260" s="700"/>
      <c r="BE260" s="701"/>
      <c r="BF260" s="701"/>
      <c r="BG260" s="701">
        <f t="shared" si="568"/>
        <v>123.63250000000001</v>
      </c>
      <c r="BH260" s="701">
        <f t="shared" si="569"/>
        <v>187.49166666666665</v>
      </c>
      <c r="BI260" s="701">
        <f t="shared" si="570"/>
        <v>173.85416666666666</v>
      </c>
      <c r="BJ260" s="701">
        <f t="shared" si="571"/>
        <v>154.56</v>
      </c>
      <c r="BK260" s="701">
        <f t="shared" si="572"/>
        <v>139.26749999999998</v>
      </c>
      <c r="BL260" s="701">
        <f t="shared" si="573"/>
        <v>119.63749999999999</v>
      </c>
      <c r="BM260" s="1582">
        <f t="shared" si="574"/>
        <v>146.11583333333334</v>
      </c>
      <c r="BN260" s="1582">
        <f t="shared" si="575"/>
        <v>126.98750000000001</v>
      </c>
      <c r="BO260" s="1582">
        <f t="shared" si="576"/>
        <v>93.02000000000001</v>
      </c>
      <c r="BP260" s="1582">
        <f t="shared" si="577"/>
        <v>86.04</v>
      </c>
      <c r="BQ260" s="637"/>
      <c r="BR260" s="638"/>
      <c r="BU260" s="609"/>
      <c r="BV260" s="608"/>
      <c r="BW260" s="608"/>
      <c r="BX260" s="608"/>
    </row>
    <row r="261" spans="2:76" ht="12.75" customHeight="1">
      <c r="B261" s="721"/>
      <c r="C261" s="1739" t="s">
        <v>39</v>
      </c>
      <c r="D261" s="1621"/>
      <c r="E261" s="1621"/>
      <c r="F261" s="1740"/>
      <c r="G261" s="1612"/>
      <c r="H261" s="1612"/>
      <c r="I261" s="1612"/>
      <c r="J261" s="1617"/>
      <c r="K261" s="1616"/>
      <c r="L261" s="1612"/>
      <c r="M261" s="1612"/>
      <c r="N261" s="1617"/>
      <c r="O261" s="1628">
        <v>110</v>
      </c>
      <c r="P261" s="1629">
        <v>117.79</v>
      </c>
      <c r="Q261" s="1629">
        <v>133.37</v>
      </c>
      <c r="R261" s="1630">
        <v>133.37</v>
      </c>
      <c r="S261" s="1628">
        <v>133.37</v>
      </c>
      <c r="T261" s="1629">
        <v>164.29666666666665</v>
      </c>
      <c r="U261" s="1629">
        <v>226.15</v>
      </c>
      <c r="V261" s="1630">
        <v>226.15</v>
      </c>
      <c r="W261" s="1644">
        <v>226.15</v>
      </c>
      <c r="X261" s="1644">
        <v>196.26666666666665</v>
      </c>
      <c r="Y261" s="1644">
        <v>136.5</v>
      </c>
      <c r="Z261" s="1645">
        <v>136.5</v>
      </c>
      <c r="AA261" s="1644">
        <v>136.5</v>
      </c>
      <c r="AB261" s="1644">
        <v>146.82</v>
      </c>
      <c r="AC261" s="1644">
        <v>167.46</v>
      </c>
      <c r="AD261" s="1645">
        <v>167.46</v>
      </c>
      <c r="AE261" s="1644">
        <v>167.46</v>
      </c>
      <c r="AF261" s="1644">
        <v>151.35</v>
      </c>
      <c r="AG261" s="1644">
        <v>119.13</v>
      </c>
      <c r="AH261" s="1645">
        <v>119.13</v>
      </c>
      <c r="AI261" s="1633">
        <v>119.13</v>
      </c>
      <c r="AJ261" s="1633">
        <v>119.41999999999999</v>
      </c>
      <c r="AK261" s="1633">
        <v>120</v>
      </c>
      <c r="AL261" s="1634">
        <v>120</v>
      </c>
      <c r="AM261" s="1633">
        <v>120</v>
      </c>
      <c r="AN261" s="1632">
        <v>134.92333333333335</v>
      </c>
      <c r="AO261" s="1632">
        <v>164.77</v>
      </c>
      <c r="AP261" s="1631">
        <v>164.77</v>
      </c>
      <c r="AQ261" s="1632">
        <v>164.77</v>
      </c>
      <c r="AR261" s="1632">
        <v>143.18</v>
      </c>
      <c r="AS261" s="1632">
        <v>100</v>
      </c>
      <c r="AT261" s="1631">
        <v>100</v>
      </c>
      <c r="AU261" s="1632">
        <v>100</v>
      </c>
      <c r="AV261" s="1632">
        <v>100</v>
      </c>
      <c r="AW261" s="1632">
        <v>86.04</v>
      </c>
      <c r="AX261" s="1631">
        <v>86.04</v>
      </c>
      <c r="AY261" s="1632">
        <v>86.04</v>
      </c>
      <c r="AZ261" s="1632">
        <v>86.04</v>
      </c>
      <c r="BA261" s="1632">
        <v>86.04</v>
      </c>
      <c r="BB261" s="1733">
        <v>86.04</v>
      </c>
      <c r="BC261" s="669"/>
      <c r="BD261" s="700"/>
      <c r="BE261" s="701"/>
      <c r="BF261" s="701"/>
      <c r="BG261" s="701">
        <f t="shared" si="568"/>
        <v>123.63250000000001</v>
      </c>
      <c r="BH261" s="701">
        <f t="shared" si="569"/>
        <v>187.49166666666665</v>
      </c>
      <c r="BI261" s="701">
        <f t="shared" si="570"/>
        <v>173.85416666666666</v>
      </c>
      <c r="BJ261" s="701">
        <f t="shared" si="571"/>
        <v>154.56</v>
      </c>
      <c r="BK261" s="701">
        <f t="shared" si="572"/>
        <v>139.26749999999998</v>
      </c>
      <c r="BL261" s="701">
        <f t="shared" si="573"/>
        <v>119.63749999999999</v>
      </c>
      <c r="BM261" s="1582">
        <f t="shared" si="574"/>
        <v>146.11583333333334</v>
      </c>
      <c r="BN261" s="1582">
        <f t="shared" si="575"/>
        <v>126.98750000000001</v>
      </c>
      <c r="BO261" s="1582">
        <f t="shared" si="576"/>
        <v>93.02000000000001</v>
      </c>
      <c r="BP261" s="1582">
        <f t="shared" si="577"/>
        <v>86.04</v>
      </c>
      <c r="BQ261" s="637"/>
      <c r="BR261" s="638"/>
      <c r="BU261" s="609"/>
      <c r="BV261" s="608"/>
      <c r="BW261" s="608"/>
      <c r="BX261" s="608"/>
    </row>
    <row r="262" spans="2:76" ht="12.75" customHeight="1">
      <c r="B262" s="721"/>
      <c r="C262" s="1739" t="s">
        <v>40</v>
      </c>
      <c r="D262" s="1621"/>
      <c r="E262" s="1621"/>
      <c r="F262" s="1740"/>
      <c r="G262" s="1612"/>
      <c r="H262" s="1612"/>
      <c r="I262" s="1612"/>
      <c r="J262" s="1617"/>
      <c r="K262" s="1616"/>
      <c r="L262" s="1612"/>
      <c r="M262" s="1612"/>
      <c r="N262" s="1617"/>
      <c r="O262" s="1628">
        <v>110</v>
      </c>
      <c r="P262" s="1629">
        <v>119.91</v>
      </c>
      <c r="Q262" s="1629">
        <v>139.72999999999999</v>
      </c>
      <c r="R262" s="1630">
        <v>139.72999999999999</v>
      </c>
      <c r="S262" s="1628">
        <v>139.72999999999999</v>
      </c>
      <c r="T262" s="1629">
        <v>174.82</v>
      </c>
      <c r="U262" s="1629">
        <v>245</v>
      </c>
      <c r="V262" s="1630">
        <v>245</v>
      </c>
      <c r="W262" s="1644">
        <v>245</v>
      </c>
      <c r="X262" s="1644">
        <v>208.83333333333334</v>
      </c>
      <c r="Y262" s="1644">
        <v>136.5</v>
      </c>
      <c r="Z262" s="1645">
        <v>136.5</v>
      </c>
      <c r="AA262" s="1644">
        <v>136.5</v>
      </c>
      <c r="AB262" s="1644">
        <v>146.82</v>
      </c>
      <c r="AC262" s="1644">
        <v>167.46</v>
      </c>
      <c r="AD262" s="1645">
        <v>167.46</v>
      </c>
      <c r="AE262" s="1644">
        <v>167.46</v>
      </c>
      <c r="AF262" s="1644">
        <v>151.35</v>
      </c>
      <c r="AG262" s="1644">
        <v>119.13</v>
      </c>
      <c r="AH262" s="1645">
        <v>119.13</v>
      </c>
      <c r="AI262" s="1633">
        <v>119.13</v>
      </c>
      <c r="AJ262" s="1633">
        <v>119.41999999999999</v>
      </c>
      <c r="AK262" s="1633">
        <v>120</v>
      </c>
      <c r="AL262" s="1634">
        <v>120</v>
      </c>
      <c r="AM262" s="1633">
        <v>120</v>
      </c>
      <c r="AN262" s="1632">
        <v>155.13999999999999</v>
      </c>
      <c r="AO262" s="1632">
        <v>225.42</v>
      </c>
      <c r="AP262" s="1631">
        <v>225.42</v>
      </c>
      <c r="AQ262" s="1632">
        <v>225.42</v>
      </c>
      <c r="AR262" s="1632">
        <v>190.27999999999997</v>
      </c>
      <c r="AS262" s="1632">
        <v>120</v>
      </c>
      <c r="AT262" s="1631">
        <v>120</v>
      </c>
      <c r="AU262" s="1632">
        <v>120</v>
      </c>
      <c r="AV262" s="1632">
        <v>142.62333333333333</v>
      </c>
      <c r="AW262" s="1632">
        <v>187.87</v>
      </c>
      <c r="AX262" s="1631">
        <v>187.87</v>
      </c>
      <c r="AY262" s="1632">
        <v>187.87</v>
      </c>
      <c r="AZ262" s="1632">
        <v>187.87</v>
      </c>
      <c r="BA262" s="1632">
        <v>187.87</v>
      </c>
      <c r="BB262" s="1733">
        <v>187.87</v>
      </c>
      <c r="BC262" s="700"/>
      <c r="BD262" s="700"/>
      <c r="BE262" s="701"/>
      <c r="BF262" s="701"/>
      <c r="BG262" s="701">
        <f t="shared" si="568"/>
        <v>127.3425</v>
      </c>
      <c r="BH262" s="701">
        <f t="shared" si="569"/>
        <v>201.13749999999999</v>
      </c>
      <c r="BI262" s="701">
        <f t="shared" si="570"/>
        <v>181.70833333333334</v>
      </c>
      <c r="BJ262" s="701">
        <f t="shared" si="571"/>
        <v>154.56</v>
      </c>
      <c r="BK262" s="701">
        <f t="shared" si="572"/>
        <v>139.26749999999998</v>
      </c>
      <c r="BL262" s="701">
        <f t="shared" si="573"/>
        <v>119.63749999999999</v>
      </c>
      <c r="BM262" s="1582">
        <f t="shared" si="574"/>
        <v>181.49499999999998</v>
      </c>
      <c r="BN262" s="1582">
        <f t="shared" si="575"/>
        <v>163.92499999999998</v>
      </c>
      <c r="BO262" s="1582">
        <f t="shared" si="576"/>
        <v>159.59083333333334</v>
      </c>
      <c r="BP262" s="1582">
        <f t="shared" si="577"/>
        <v>187.87</v>
      </c>
      <c r="BQ262" s="637"/>
      <c r="BR262" s="638"/>
      <c r="BU262" s="609"/>
      <c r="BV262" s="608"/>
      <c r="BW262" s="608"/>
      <c r="BX262" s="608"/>
    </row>
    <row r="263" spans="2:76" ht="12.75" customHeight="1">
      <c r="B263" s="721"/>
      <c r="C263" s="1739" t="s">
        <v>41</v>
      </c>
      <c r="D263" s="1621"/>
      <c r="E263" s="1621"/>
      <c r="F263" s="1740"/>
      <c r="G263" s="1612"/>
      <c r="H263" s="1612"/>
      <c r="I263" s="1612"/>
      <c r="J263" s="1617"/>
      <c r="K263" s="1616"/>
      <c r="L263" s="1612"/>
      <c r="M263" s="1612"/>
      <c r="N263" s="1617"/>
      <c r="O263" s="1628">
        <v>110</v>
      </c>
      <c r="P263" s="1629">
        <v>119.91</v>
      </c>
      <c r="Q263" s="1629">
        <v>139.72999999999999</v>
      </c>
      <c r="R263" s="1630">
        <v>139.72999999999999</v>
      </c>
      <c r="S263" s="1628">
        <v>139.72999999999999</v>
      </c>
      <c r="T263" s="1629">
        <v>174.82</v>
      </c>
      <c r="U263" s="1629">
        <v>245</v>
      </c>
      <c r="V263" s="1630">
        <v>245</v>
      </c>
      <c r="W263" s="1644">
        <v>245</v>
      </c>
      <c r="X263" s="1644">
        <v>208.83333333333334</v>
      </c>
      <c r="Y263" s="1644">
        <v>136.5</v>
      </c>
      <c r="Z263" s="1645">
        <v>136.5</v>
      </c>
      <c r="AA263" s="1644">
        <v>136.5</v>
      </c>
      <c r="AB263" s="1644">
        <v>146.82</v>
      </c>
      <c r="AC263" s="1644">
        <v>167.46</v>
      </c>
      <c r="AD263" s="1645">
        <v>167.46</v>
      </c>
      <c r="AE263" s="1644">
        <v>167.46</v>
      </c>
      <c r="AF263" s="1644">
        <v>151.35</v>
      </c>
      <c r="AG263" s="1644">
        <v>119.13</v>
      </c>
      <c r="AH263" s="1645">
        <v>119.13</v>
      </c>
      <c r="AI263" s="1633">
        <v>119.13</v>
      </c>
      <c r="AJ263" s="1633">
        <v>119.41999999999999</v>
      </c>
      <c r="AK263" s="1633">
        <v>120</v>
      </c>
      <c r="AL263" s="1634">
        <v>120</v>
      </c>
      <c r="AM263" s="1633">
        <v>120</v>
      </c>
      <c r="AN263" s="1632">
        <v>155.13999999999999</v>
      </c>
      <c r="AO263" s="1632">
        <v>225.42</v>
      </c>
      <c r="AP263" s="1631">
        <v>225.42</v>
      </c>
      <c r="AQ263" s="1632">
        <v>225.42</v>
      </c>
      <c r="AR263" s="1632">
        <v>190.20333333333332</v>
      </c>
      <c r="AS263" s="1632">
        <v>119.77</v>
      </c>
      <c r="AT263" s="1631">
        <v>119.77</v>
      </c>
      <c r="AU263" s="1632">
        <v>119.77</v>
      </c>
      <c r="AV263" s="1632">
        <v>119.77</v>
      </c>
      <c r="AW263" s="1632">
        <v>187.87</v>
      </c>
      <c r="AX263" s="1631">
        <v>187.87</v>
      </c>
      <c r="AY263" s="1632">
        <v>187.87</v>
      </c>
      <c r="AZ263" s="1632">
        <v>187.87</v>
      </c>
      <c r="BA263" s="1632">
        <v>187.87</v>
      </c>
      <c r="BB263" s="1733">
        <v>187.87</v>
      </c>
      <c r="BC263" s="700"/>
      <c r="BD263" s="700"/>
      <c r="BE263" s="701"/>
      <c r="BF263" s="701"/>
      <c r="BG263" s="701">
        <f t="shared" si="568"/>
        <v>127.3425</v>
      </c>
      <c r="BH263" s="701">
        <f t="shared" si="569"/>
        <v>201.13749999999999</v>
      </c>
      <c r="BI263" s="701">
        <f t="shared" si="570"/>
        <v>181.70833333333334</v>
      </c>
      <c r="BJ263" s="701">
        <f t="shared" si="571"/>
        <v>154.56</v>
      </c>
      <c r="BK263" s="701">
        <f t="shared" si="572"/>
        <v>139.26749999999998</v>
      </c>
      <c r="BL263" s="701">
        <f t="shared" si="573"/>
        <v>119.63749999999999</v>
      </c>
      <c r="BM263" s="1582">
        <f t="shared" si="574"/>
        <v>181.49499999999998</v>
      </c>
      <c r="BN263" s="1582">
        <f t="shared" si="575"/>
        <v>163.79083333333332</v>
      </c>
      <c r="BO263" s="1582">
        <f t="shared" si="576"/>
        <v>153.82</v>
      </c>
      <c r="BP263" s="1582">
        <f t="shared" si="577"/>
        <v>187.87</v>
      </c>
      <c r="BQ263" s="637"/>
      <c r="BR263" s="638"/>
      <c r="BU263" s="609"/>
      <c r="BV263" s="608"/>
      <c r="BW263" s="608"/>
      <c r="BX263" s="608"/>
    </row>
    <row r="264" spans="2:76" ht="12.75" customHeight="1">
      <c r="B264" s="721"/>
      <c r="C264" s="1739" t="s">
        <v>42</v>
      </c>
      <c r="D264" s="1621"/>
      <c r="E264" s="1621"/>
      <c r="F264" s="1740"/>
      <c r="G264" s="1612"/>
      <c r="H264" s="1612"/>
      <c r="I264" s="1612"/>
      <c r="J264" s="1617"/>
      <c r="K264" s="1616"/>
      <c r="L264" s="1612"/>
      <c r="M264" s="1612"/>
      <c r="N264" s="1617"/>
      <c r="O264" s="1628">
        <v>110</v>
      </c>
      <c r="P264" s="1629">
        <v>78.819999999999993</v>
      </c>
      <c r="Q264" s="1629">
        <v>16.46</v>
      </c>
      <c r="R264" s="1630">
        <v>16.46</v>
      </c>
      <c r="S264" s="1628">
        <v>16.46</v>
      </c>
      <c r="T264" s="1629">
        <v>20.216666666666669</v>
      </c>
      <c r="U264" s="1629">
        <v>27.73</v>
      </c>
      <c r="V264" s="1630">
        <v>27.73</v>
      </c>
      <c r="W264" s="1644">
        <v>27.73</v>
      </c>
      <c r="X264" s="1644">
        <v>60.483333333333327</v>
      </c>
      <c r="Y264" s="1644">
        <v>125.99</v>
      </c>
      <c r="Z264" s="1645">
        <v>125.99</v>
      </c>
      <c r="AA264" s="1644">
        <v>125.99</v>
      </c>
      <c r="AB264" s="1644">
        <v>129.32666666666668</v>
      </c>
      <c r="AC264" s="1644">
        <v>136</v>
      </c>
      <c r="AD264" s="1645">
        <v>136</v>
      </c>
      <c r="AE264" s="1644">
        <v>136</v>
      </c>
      <c r="AF264" s="1644">
        <v>110.45666666666666</v>
      </c>
      <c r="AG264" s="1644">
        <v>59.37</v>
      </c>
      <c r="AH264" s="1645">
        <v>59.37</v>
      </c>
      <c r="AI264" s="1633">
        <v>59.37</v>
      </c>
      <c r="AJ264" s="1633">
        <v>79.58</v>
      </c>
      <c r="AK264" s="1633">
        <v>120</v>
      </c>
      <c r="AL264" s="1634">
        <v>120</v>
      </c>
      <c r="AM264" s="1633">
        <v>120</v>
      </c>
      <c r="AN264" s="1632">
        <v>151.66666666666666</v>
      </c>
      <c r="AO264" s="1632">
        <v>215</v>
      </c>
      <c r="AP264" s="1631">
        <v>215</v>
      </c>
      <c r="AQ264" s="1632">
        <v>215</v>
      </c>
      <c r="AR264" s="1632">
        <v>210.92333333333332</v>
      </c>
      <c r="AS264" s="1632">
        <v>202.77</v>
      </c>
      <c r="AT264" s="1631">
        <v>202.77</v>
      </c>
      <c r="AU264" s="1632">
        <v>202.77</v>
      </c>
      <c r="AV264" s="1632">
        <v>202.77</v>
      </c>
      <c r="AW264" s="1632">
        <v>188.12</v>
      </c>
      <c r="AX264" s="1631">
        <v>188.12</v>
      </c>
      <c r="AY264" s="1632">
        <v>188.12</v>
      </c>
      <c r="AZ264" s="1632">
        <v>188.12</v>
      </c>
      <c r="BA264" s="1632">
        <v>188.12</v>
      </c>
      <c r="BB264" s="1733">
        <v>188.12</v>
      </c>
      <c r="BC264" s="700"/>
      <c r="BD264" s="700"/>
      <c r="BE264" s="701"/>
      <c r="BF264" s="701"/>
      <c r="BG264" s="701">
        <f t="shared" si="568"/>
        <v>55.435000000000002</v>
      </c>
      <c r="BH264" s="701">
        <f t="shared" si="569"/>
        <v>23.034166666666668</v>
      </c>
      <c r="BI264" s="701">
        <f t="shared" si="570"/>
        <v>85.048333333333332</v>
      </c>
      <c r="BJ264" s="701">
        <f t="shared" si="571"/>
        <v>131.82916666666665</v>
      </c>
      <c r="BK264" s="701">
        <f t="shared" si="572"/>
        <v>91.299166666666665</v>
      </c>
      <c r="BL264" s="701">
        <f t="shared" si="573"/>
        <v>94.737499999999997</v>
      </c>
      <c r="BM264" s="1582">
        <f t="shared" si="574"/>
        <v>175.41666666666666</v>
      </c>
      <c r="BN264" s="1582">
        <f t="shared" si="575"/>
        <v>207.86583333333331</v>
      </c>
      <c r="BO264" s="1582">
        <f t="shared" si="576"/>
        <v>195.44500000000002</v>
      </c>
      <c r="BP264" s="1582">
        <f t="shared" si="577"/>
        <v>188.12</v>
      </c>
      <c r="BQ264" s="637"/>
      <c r="BR264" s="638"/>
      <c r="BU264" s="609"/>
      <c r="BV264" s="608"/>
      <c r="BW264" s="608"/>
      <c r="BX264" s="608"/>
    </row>
    <row r="265" spans="2:76" ht="12.75" customHeight="1">
      <c r="B265" s="721"/>
      <c r="C265" s="1739" t="s">
        <v>47</v>
      </c>
      <c r="D265" s="1621"/>
      <c r="E265" s="1621"/>
      <c r="F265" s="1740"/>
      <c r="G265" s="1612"/>
      <c r="H265" s="1612"/>
      <c r="I265" s="1612"/>
      <c r="J265" s="1617"/>
      <c r="K265" s="1616"/>
      <c r="L265" s="1612"/>
      <c r="M265" s="1612"/>
      <c r="N265" s="1617"/>
      <c r="O265" s="1628">
        <v>110</v>
      </c>
      <c r="P265" s="1629">
        <v>135</v>
      </c>
      <c r="Q265" s="1629">
        <v>185</v>
      </c>
      <c r="R265" s="1630">
        <v>185</v>
      </c>
      <c r="S265" s="1628">
        <v>185</v>
      </c>
      <c r="T265" s="1629">
        <v>205</v>
      </c>
      <c r="U265" s="1629">
        <v>245</v>
      </c>
      <c r="V265" s="1630">
        <v>245</v>
      </c>
      <c r="W265" s="1644">
        <v>245</v>
      </c>
      <c r="X265" s="1644">
        <v>238.33333333333334</v>
      </c>
      <c r="Y265" s="1644">
        <v>225</v>
      </c>
      <c r="Z265" s="1645">
        <v>225</v>
      </c>
      <c r="AA265" s="1644">
        <v>225</v>
      </c>
      <c r="AB265" s="1644">
        <v>205.82</v>
      </c>
      <c r="AC265" s="1644">
        <v>167.46</v>
      </c>
      <c r="AD265" s="1645">
        <v>167.46</v>
      </c>
      <c r="AE265" s="1644">
        <v>167.46</v>
      </c>
      <c r="AF265" s="1644">
        <v>184.64</v>
      </c>
      <c r="AG265" s="1644">
        <v>219</v>
      </c>
      <c r="AH265" s="1645">
        <v>219</v>
      </c>
      <c r="AI265" s="1633">
        <v>219</v>
      </c>
      <c r="AJ265" s="1633">
        <v>217.66666666666666</v>
      </c>
      <c r="AK265" s="1633">
        <v>215</v>
      </c>
      <c r="AL265" s="1634">
        <v>215</v>
      </c>
      <c r="AM265" s="1633">
        <v>215</v>
      </c>
      <c r="AN265" s="1632">
        <v>218.4733333333333</v>
      </c>
      <c r="AO265" s="1632">
        <v>225.42</v>
      </c>
      <c r="AP265" s="1631">
        <v>225.42</v>
      </c>
      <c r="AQ265" s="1632">
        <v>225.42</v>
      </c>
      <c r="AR265" s="1632">
        <v>190.27999999999997</v>
      </c>
      <c r="AS265" s="1632">
        <v>120</v>
      </c>
      <c r="AT265" s="1631">
        <v>120</v>
      </c>
      <c r="AU265" s="1632">
        <v>120</v>
      </c>
      <c r="AV265" s="1632">
        <v>142.62333333333333</v>
      </c>
      <c r="AW265" s="1632">
        <v>187.87</v>
      </c>
      <c r="AX265" s="1631">
        <v>187.87</v>
      </c>
      <c r="AY265" s="1632">
        <v>187.87</v>
      </c>
      <c r="AZ265" s="1632">
        <v>187.87</v>
      </c>
      <c r="BA265" s="1632">
        <v>187.87</v>
      </c>
      <c r="BB265" s="1733">
        <v>187.87</v>
      </c>
      <c r="BC265" s="700"/>
      <c r="BD265" s="700"/>
      <c r="BE265" s="701"/>
      <c r="BF265" s="701"/>
      <c r="BG265" s="701">
        <f t="shared" si="568"/>
        <v>153.75</v>
      </c>
      <c r="BH265" s="701">
        <f t="shared" si="569"/>
        <v>220</v>
      </c>
      <c r="BI265" s="701">
        <f t="shared" si="570"/>
        <v>233.33333333333334</v>
      </c>
      <c r="BJ265" s="701">
        <f t="shared" si="571"/>
        <v>191.435</v>
      </c>
      <c r="BK265" s="701">
        <f t="shared" si="572"/>
        <v>197.52500000000001</v>
      </c>
      <c r="BL265" s="701">
        <f t="shared" si="573"/>
        <v>216.66666666666666</v>
      </c>
      <c r="BM265" s="1582">
        <f t="shared" si="574"/>
        <v>221.07833333333332</v>
      </c>
      <c r="BN265" s="1582">
        <f t="shared" si="575"/>
        <v>163.92499999999998</v>
      </c>
      <c r="BO265" s="1582">
        <f t="shared" si="576"/>
        <v>159.59083333333334</v>
      </c>
      <c r="BP265" s="1582">
        <f t="shared" si="577"/>
        <v>187.87</v>
      </c>
      <c r="BQ265" s="637"/>
      <c r="BR265" s="638"/>
      <c r="BU265" s="609"/>
      <c r="BV265" s="608"/>
      <c r="BW265" s="608"/>
      <c r="BX265" s="608"/>
    </row>
    <row r="266" spans="2:76" ht="12.75" customHeight="1">
      <c r="B266" s="721"/>
      <c r="C266" s="1739" t="s">
        <v>53</v>
      </c>
      <c r="D266" s="1621"/>
      <c r="E266" s="1621"/>
      <c r="F266" s="1740"/>
      <c r="G266" s="1612"/>
      <c r="H266" s="1612"/>
      <c r="I266" s="1612"/>
      <c r="J266" s="1617"/>
      <c r="K266" s="1616"/>
      <c r="L266" s="1612"/>
      <c r="M266" s="1612"/>
      <c r="N266" s="1617"/>
      <c r="O266" s="1628">
        <v>5</v>
      </c>
      <c r="P266" s="1629">
        <v>29</v>
      </c>
      <c r="Q266" s="1629">
        <v>41</v>
      </c>
      <c r="R266" s="1630">
        <v>31.666666666666668</v>
      </c>
      <c r="S266" s="1628">
        <v>27</v>
      </c>
      <c r="T266" s="1629">
        <v>101</v>
      </c>
      <c r="U266" s="1629">
        <v>138</v>
      </c>
      <c r="V266" s="1630">
        <v>108.66666666666667</v>
      </c>
      <c r="W266" s="1644">
        <v>94</v>
      </c>
      <c r="X266" s="1646">
        <v>144</v>
      </c>
      <c r="Y266" s="1646">
        <v>169</v>
      </c>
      <c r="Z266" s="1647">
        <v>108.38812785388127</v>
      </c>
      <c r="AA266" s="1648">
        <v>78.082191780821915</v>
      </c>
      <c r="AB266" s="1648">
        <v>103.83561643835614</v>
      </c>
      <c r="AC266" s="1648">
        <v>116.71232876712327</v>
      </c>
      <c r="AD266" s="1647">
        <v>63.452054794520535</v>
      </c>
      <c r="AE266" s="1648">
        <v>36.821917808219183</v>
      </c>
      <c r="AF266" s="1648">
        <v>91.61643835616438</v>
      </c>
      <c r="AG266" s="1648">
        <v>119.01369863013699</v>
      </c>
      <c r="AH266" s="1647">
        <v>56.109589041095887</v>
      </c>
      <c r="AI266" s="1648">
        <v>24.657534246575342</v>
      </c>
      <c r="AJ266" s="1648">
        <v>101.36986301369862</v>
      </c>
      <c r="AK266" s="1632">
        <v>139.72602739726028</v>
      </c>
      <c r="AL266" s="1631">
        <v>75.06849315068493</v>
      </c>
      <c r="AM266" s="1632">
        <v>42.739726027397268</v>
      </c>
      <c r="AN266" s="1632">
        <v>123.83561643835615</v>
      </c>
      <c r="AO266" s="1632">
        <v>164.38356164383561</v>
      </c>
      <c r="AP266" s="1631">
        <v>83.287671232876704</v>
      </c>
      <c r="AQ266" s="1632">
        <v>42.739726027397268</v>
      </c>
      <c r="AR266" s="1632">
        <v>123.83561643835615</v>
      </c>
      <c r="AS266" s="1632">
        <v>164.38356164383561</v>
      </c>
      <c r="AT266" s="1631">
        <v>83.287671232876704</v>
      </c>
      <c r="AU266" s="1632">
        <v>42.739726027397268</v>
      </c>
      <c r="AV266" s="1632">
        <v>123.83561643835615</v>
      </c>
      <c r="AW266" s="1632">
        <v>164.38356164383561</v>
      </c>
      <c r="AX266" s="1631">
        <v>83.287671232876704</v>
      </c>
      <c r="AY266" s="1632">
        <v>42.739726027397268</v>
      </c>
      <c r="AZ266" s="1632">
        <v>123.83561643835615</v>
      </c>
      <c r="BA266" s="1632">
        <v>164.38356164383561</v>
      </c>
      <c r="BB266" s="1733">
        <v>83.287671232876704</v>
      </c>
      <c r="BC266" s="700"/>
      <c r="BD266" s="700"/>
      <c r="BE266" s="701"/>
      <c r="BF266" s="701"/>
      <c r="BG266" s="701">
        <f t="shared" si="568"/>
        <v>26.666666666666668</v>
      </c>
      <c r="BH266" s="701">
        <f t="shared" si="569"/>
        <v>93.666666666666671</v>
      </c>
      <c r="BI266" s="701">
        <f t="shared" si="570"/>
        <v>128.84703196347033</v>
      </c>
      <c r="BJ266" s="701">
        <f t="shared" si="571"/>
        <v>90.520547945205465</v>
      </c>
      <c r="BK266" s="701">
        <f t="shared" si="572"/>
        <v>75.890410958904113</v>
      </c>
      <c r="BL266" s="701">
        <f t="shared" si="573"/>
        <v>85.205479452054789</v>
      </c>
      <c r="BM266" s="1582">
        <f t="shared" si="574"/>
        <v>103.56164383561642</v>
      </c>
      <c r="BN266" s="1582">
        <f t="shared" si="575"/>
        <v>103.56164383561642</v>
      </c>
      <c r="BO266" s="1582">
        <f t="shared" si="576"/>
        <v>103.56164383561642</v>
      </c>
      <c r="BP266" s="1582">
        <f t="shared" si="577"/>
        <v>103.56164383561642</v>
      </c>
      <c r="BQ266" s="637"/>
      <c r="BR266" s="638"/>
      <c r="BU266" s="609"/>
      <c r="BV266" s="608"/>
      <c r="BW266" s="608"/>
      <c r="BX266" s="608"/>
    </row>
    <row r="267" spans="2:76" ht="12.75" customHeight="1">
      <c r="B267" s="721"/>
      <c r="C267" s="1739" t="s">
        <v>54</v>
      </c>
      <c r="D267" s="1621"/>
      <c r="E267" s="1621"/>
      <c r="F267" s="1740"/>
      <c r="G267" s="1612"/>
      <c r="H267" s="1612"/>
      <c r="I267" s="1612"/>
      <c r="J267" s="1617"/>
      <c r="K267" s="1616"/>
      <c r="L267" s="1612"/>
      <c r="M267" s="1612"/>
      <c r="N267" s="1617"/>
      <c r="O267" s="1628">
        <v>89</v>
      </c>
      <c r="P267" s="1629">
        <v>286.33333333333331</v>
      </c>
      <c r="Q267" s="1629">
        <v>385</v>
      </c>
      <c r="R267" s="1630">
        <v>227</v>
      </c>
      <c r="S267" s="1628">
        <v>148</v>
      </c>
      <c r="T267" s="1629">
        <v>374</v>
      </c>
      <c r="U267" s="1629">
        <v>487</v>
      </c>
      <c r="V267" s="1630">
        <v>326.33333333333331</v>
      </c>
      <c r="W267" s="1644">
        <v>246</v>
      </c>
      <c r="X267" s="1646">
        <v>437.33333333333331</v>
      </c>
      <c r="Y267" s="1646">
        <v>533</v>
      </c>
      <c r="Z267" s="1647">
        <v>374.05022831050229</v>
      </c>
      <c r="AA267" s="1648">
        <v>294.57534246575347</v>
      </c>
      <c r="AB267" s="1648">
        <v>441.20547945205482</v>
      </c>
      <c r="AC267" s="1648">
        <v>514.52054794520552</v>
      </c>
      <c r="AD267" s="1647">
        <v>299.28767123287673</v>
      </c>
      <c r="AE267" s="1648">
        <v>191.67123287671237</v>
      </c>
      <c r="AF267" s="1648">
        <v>304.76712328767127</v>
      </c>
      <c r="AG267" s="1648">
        <v>361.3150684931507</v>
      </c>
      <c r="AH267" s="1647">
        <v>197.15068493150685</v>
      </c>
      <c r="AI267" s="1648">
        <v>115.06849315068493</v>
      </c>
      <c r="AJ267" s="1648">
        <v>306.84931506849313</v>
      </c>
      <c r="AK267" s="1632">
        <v>402.73972602739724</v>
      </c>
      <c r="AL267" s="1631">
        <v>240.10958904109589</v>
      </c>
      <c r="AM267" s="1632">
        <v>158.79452054794521</v>
      </c>
      <c r="AN267" s="1632">
        <v>321.42465753424653</v>
      </c>
      <c r="AO267" s="1632">
        <v>402.73972602739724</v>
      </c>
      <c r="AP267" s="1631">
        <v>240.10958904109589</v>
      </c>
      <c r="AQ267" s="1632">
        <v>158.79452054794521</v>
      </c>
      <c r="AR267" s="1632">
        <v>321.42465753424653</v>
      </c>
      <c r="AS267" s="1632">
        <v>402.73972602739724</v>
      </c>
      <c r="AT267" s="1631">
        <v>240.10958904109589</v>
      </c>
      <c r="AU267" s="1632">
        <v>158.79452054794521</v>
      </c>
      <c r="AV267" s="1632">
        <v>321.42465753424653</v>
      </c>
      <c r="AW267" s="1632">
        <v>402.73972602739724</v>
      </c>
      <c r="AX267" s="1631">
        <v>240.10958904109589</v>
      </c>
      <c r="AY267" s="1632">
        <v>158.79452054794521</v>
      </c>
      <c r="AZ267" s="1632">
        <v>321.42465753424653</v>
      </c>
      <c r="BA267" s="1632">
        <v>402.73972602739724</v>
      </c>
      <c r="BB267" s="1733">
        <v>240.10958904109589</v>
      </c>
      <c r="BC267" s="700"/>
      <c r="BD267" s="700"/>
      <c r="BE267" s="701"/>
      <c r="BF267" s="701"/>
      <c r="BG267" s="701">
        <f t="shared" si="568"/>
        <v>246.83333333333331</v>
      </c>
      <c r="BH267" s="701">
        <f t="shared" si="569"/>
        <v>333.83333333333331</v>
      </c>
      <c r="BI267" s="701">
        <f t="shared" si="570"/>
        <v>397.59589041095887</v>
      </c>
      <c r="BJ267" s="701">
        <f t="shared" si="571"/>
        <v>387.39726027397262</v>
      </c>
      <c r="BK267" s="701">
        <f t="shared" si="572"/>
        <v>263.72602739726034</v>
      </c>
      <c r="BL267" s="701">
        <f t="shared" si="573"/>
        <v>266.1917808219178</v>
      </c>
      <c r="BM267" s="1582">
        <f t="shared" si="574"/>
        <v>280.76712328767121</v>
      </c>
      <c r="BN267" s="1582">
        <f t="shared" si="575"/>
        <v>280.76712328767121</v>
      </c>
      <c r="BO267" s="1582">
        <f t="shared" si="576"/>
        <v>280.76712328767121</v>
      </c>
      <c r="BP267" s="1582">
        <f t="shared" si="577"/>
        <v>280.76712328767121</v>
      </c>
      <c r="BQ267" s="637"/>
      <c r="BR267" s="638"/>
      <c r="BU267" s="609"/>
      <c r="BV267" s="608"/>
      <c r="BW267" s="608"/>
      <c r="BX267" s="608"/>
    </row>
    <row r="268" spans="2:76" ht="12.75" customHeight="1">
      <c r="B268" s="721"/>
      <c r="C268" s="1739" t="s">
        <v>148</v>
      </c>
      <c r="D268" s="1621"/>
      <c r="E268" s="1621"/>
      <c r="F268" s="1740"/>
      <c r="G268" s="1612"/>
      <c r="H268" s="1612"/>
      <c r="I268" s="1612"/>
      <c r="J268" s="1617"/>
      <c r="K268" s="1616"/>
      <c r="L268" s="1612"/>
      <c r="M268" s="1612"/>
      <c r="N268" s="1617"/>
      <c r="O268" s="1628">
        <v>110</v>
      </c>
      <c r="P268" s="1629">
        <v>78.819999999999993</v>
      </c>
      <c r="Q268" s="1629">
        <v>16.46</v>
      </c>
      <c r="R268" s="1630">
        <v>16.46</v>
      </c>
      <c r="S268" s="1628">
        <v>16.46</v>
      </c>
      <c r="T268" s="1629">
        <v>20.216666666666669</v>
      </c>
      <c r="U268" s="1629">
        <v>27.73</v>
      </c>
      <c r="V268" s="1630">
        <v>27.73</v>
      </c>
      <c r="W268" s="1644">
        <v>27.73</v>
      </c>
      <c r="X268" s="1644">
        <v>60.483333333333327</v>
      </c>
      <c r="Y268" s="1644">
        <v>125.99</v>
      </c>
      <c r="Z268" s="1645">
        <v>125.99</v>
      </c>
      <c r="AA268" s="1644">
        <v>125.99</v>
      </c>
      <c r="AB268" s="1644">
        <v>129.32666666666668</v>
      </c>
      <c r="AC268" s="1644">
        <v>357</v>
      </c>
      <c r="AD268" s="1645">
        <v>357</v>
      </c>
      <c r="AE268" s="1644">
        <v>357</v>
      </c>
      <c r="AF268" s="1644">
        <v>276.07666666666665</v>
      </c>
      <c r="AG268" s="1644">
        <v>114.23</v>
      </c>
      <c r="AH268" s="1645">
        <v>114.23</v>
      </c>
      <c r="AI268" s="1633">
        <v>114.23</v>
      </c>
      <c r="AJ268" s="1633">
        <v>116.15333333333334</v>
      </c>
      <c r="AK268" s="1633">
        <v>120</v>
      </c>
      <c r="AL268" s="1634">
        <v>120</v>
      </c>
      <c r="AM268" s="1633">
        <v>120</v>
      </c>
      <c r="AN268" s="1632">
        <v>134.92333333333335</v>
      </c>
      <c r="AO268" s="1632">
        <v>164.77</v>
      </c>
      <c r="AP268" s="1631">
        <v>164.77</v>
      </c>
      <c r="AQ268" s="1632">
        <v>164.77</v>
      </c>
      <c r="AR268" s="1632">
        <v>143.18</v>
      </c>
      <c r="AS268" s="1632">
        <v>100</v>
      </c>
      <c r="AT268" s="1631">
        <v>100</v>
      </c>
      <c r="AU268" s="1632">
        <v>100</v>
      </c>
      <c r="AV268" s="1632">
        <v>100</v>
      </c>
      <c r="AW268" s="1632">
        <v>76.53</v>
      </c>
      <c r="AX268" s="1631">
        <v>76.53</v>
      </c>
      <c r="AY268" s="1632">
        <v>76.53</v>
      </c>
      <c r="AZ268" s="1632">
        <v>76.53</v>
      </c>
      <c r="BA268" s="1632">
        <v>76.53</v>
      </c>
      <c r="BB268" s="1733">
        <v>76.53</v>
      </c>
      <c r="BC268" s="700"/>
      <c r="BD268" s="700"/>
      <c r="BE268" s="701"/>
      <c r="BF268" s="701"/>
      <c r="BG268" s="701">
        <f t="shared" si="568"/>
        <v>55.435000000000002</v>
      </c>
      <c r="BH268" s="701">
        <f t="shared" si="569"/>
        <v>23.034166666666668</v>
      </c>
      <c r="BI268" s="701">
        <f t="shared" si="570"/>
        <v>85.048333333333332</v>
      </c>
      <c r="BJ268" s="701">
        <f t="shared" si="571"/>
        <v>242.32916666666665</v>
      </c>
      <c r="BK268" s="701">
        <f t="shared" si="572"/>
        <v>215.38416666666666</v>
      </c>
      <c r="BL268" s="701">
        <f t="shared" si="573"/>
        <v>117.59583333333333</v>
      </c>
      <c r="BM268" s="1582">
        <f t="shared" si="574"/>
        <v>146.11583333333334</v>
      </c>
      <c r="BN268" s="1582">
        <f t="shared" si="575"/>
        <v>126.98750000000001</v>
      </c>
      <c r="BO268" s="1582">
        <f t="shared" si="576"/>
        <v>88.264999999999986</v>
      </c>
      <c r="BP268" s="1582">
        <f t="shared" si="577"/>
        <v>76.53</v>
      </c>
      <c r="BQ268" s="637"/>
      <c r="BR268" s="638"/>
      <c r="BU268" s="609"/>
      <c r="BV268" s="608"/>
      <c r="BW268" s="608"/>
      <c r="BX268" s="608"/>
    </row>
    <row r="269" spans="2:76" ht="12.75" customHeight="1">
      <c r="B269" s="721"/>
      <c r="C269" s="1739" t="s">
        <v>828</v>
      </c>
      <c r="D269" s="1621"/>
      <c r="E269" s="1621"/>
      <c r="F269" s="1740"/>
      <c r="G269" s="1612"/>
      <c r="H269" s="1612"/>
      <c r="I269" s="1612"/>
      <c r="J269" s="1617"/>
      <c r="K269" s="1616"/>
      <c r="L269" s="1612"/>
      <c r="M269" s="1612"/>
      <c r="N269" s="1617"/>
      <c r="O269" s="1628">
        <v>0</v>
      </c>
      <c r="P269" s="1629">
        <v>0</v>
      </c>
      <c r="Q269" s="1629">
        <v>0</v>
      </c>
      <c r="R269" s="1630">
        <v>0</v>
      </c>
      <c r="S269" s="1628">
        <v>0.1</v>
      </c>
      <c r="T269" s="1629">
        <v>0.41666666666666669</v>
      </c>
      <c r="U269" s="1629">
        <v>1.05</v>
      </c>
      <c r="V269" s="1630">
        <v>1.05</v>
      </c>
      <c r="W269" s="1644">
        <v>1.05</v>
      </c>
      <c r="X269" s="1644">
        <v>11.516666666666666</v>
      </c>
      <c r="Y269" s="1644">
        <v>16.75</v>
      </c>
      <c r="Z269" s="1645">
        <v>16.75</v>
      </c>
      <c r="AA269" s="1644">
        <v>16.75</v>
      </c>
      <c r="AB269" s="1644">
        <v>105.58333333333333</v>
      </c>
      <c r="AC269" s="1644">
        <v>150</v>
      </c>
      <c r="AD269" s="1645">
        <v>150</v>
      </c>
      <c r="AE269" s="1644">
        <v>150</v>
      </c>
      <c r="AF269" s="1425">
        <v>150</v>
      </c>
      <c r="AG269" s="1425">
        <v>150</v>
      </c>
      <c r="AH269" s="1426">
        <v>150</v>
      </c>
      <c r="AI269" s="1425">
        <v>150</v>
      </c>
      <c r="AJ269" s="1425">
        <v>150</v>
      </c>
      <c r="AK269" s="1425">
        <v>150</v>
      </c>
      <c r="AL269" s="1426">
        <v>150</v>
      </c>
      <c r="AM269" s="1425">
        <v>150</v>
      </c>
      <c r="AN269" s="1425">
        <v>150</v>
      </c>
      <c r="AO269" s="1425">
        <v>150</v>
      </c>
      <c r="AP269" s="1426">
        <v>150</v>
      </c>
      <c r="AQ269" s="1425">
        <v>150</v>
      </c>
      <c r="AR269" s="1632">
        <v>150</v>
      </c>
      <c r="AS269" s="1632">
        <v>150</v>
      </c>
      <c r="AT269" s="1631">
        <v>150</v>
      </c>
      <c r="AU269" s="1632">
        <v>150</v>
      </c>
      <c r="AV269" s="1632">
        <v>150</v>
      </c>
      <c r="AW269" s="1632">
        <v>150</v>
      </c>
      <c r="AX269" s="1631">
        <v>150</v>
      </c>
      <c r="AY269" s="1632">
        <v>150</v>
      </c>
      <c r="AZ269" s="1632">
        <v>150</v>
      </c>
      <c r="BA269" s="1632">
        <v>150</v>
      </c>
      <c r="BB269" s="1733">
        <v>150</v>
      </c>
      <c r="BC269" s="700"/>
      <c r="BD269" s="700"/>
      <c r="BE269" s="701"/>
      <c r="BF269" s="701"/>
      <c r="BG269" s="701">
        <f t="shared" si="568"/>
        <v>0</v>
      </c>
      <c r="BH269" s="701">
        <f t="shared" si="569"/>
        <v>0.65416666666666679</v>
      </c>
      <c r="BI269" s="701">
        <f t="shared" si="570"/>
        <v>11.516666666666666</v>
      </c>
      <c r="BJ269" s="701">
        <f t="shared" si="571"/>
        <v>105.58333333333333</v>
      </c>
      <c r="BK269" s="701">
        <f t="shared" si="572"/>
        <v>150</v>
      </c>
      <c r="BL269" s="701">
        <f t="shared" si="573"/>
        <v>150</v>
      </c>
      <c r="BM269" s="1582">
        <f t="shared" si="574"/>
        <v>150</v>
      </c>
      <c r="BN269" s="1582">
        <f t="shared" si="575"/>
        <v>150</v>
      </c>
      <c r="BO269" s="1582">
        <f t="shared" si="576"/>
        <v>150</v>
      </c>
      <c r="BP269" s="1582">
        <f t="shared" si="577"/>
        <v>150</v>
      </c>
      <c r="BQ269" s="637"/>
      <c r="BR269" s="638"/>
      <c r="BU269" s="609"/>
      <c r="BV269" s="608"/>
      <c r="BW269" s="608"/>
      <c r="BX269" s="608"/>
    </row>
    <row r="270" spans="2:76" ht="12.75" customHeight="1">
      <c r="B270" s="721"/>
      <c r="C270" s="1739" t="s">
        <v>829</v>
      </c>
      <c r="D270" s="1621"/>
      <c r="E270" s="1621"/>
      <c r="F270" s="1740"/>
      <c r="G270" s="1612"/>
      <c r="H270" s="1612"/>
      <c r="I270" s="1612"/>
      <c r="J270" s="1617"/>
      <c r="K270" s="1616"/>
      <c r="L270" s="1612"/>
      <c r="M270" s="1612"/>
      <c r="N270" s="1617"/>
      <c r="O270" s="1628">
        <v>102.54</v>
      </c>
      <c r="P270" s="1629">
        <v>96.14</v>
      </c>
      <c r="Q270" s="1629">
        <v>83.34</v>
      </c>
      <c r="R270" s="1630">
        <v>83.34</v>
      </c>
      <c r="S270" s="1628">
        <v>83.34</v>
      </c>
      <c r="T270" s="1629">
        <v>83.13333333333334</v>
      </c>
      <c r="U270" s="1629">
        <v>82.72</v>
      </c>
      <c r="V270" s="1630">
        <v>82.72</v>
      </c>
      <c r="W270" s="1644">
        <v>82.72</v>
      </c>
      <c r="X270" s="1644">
        <v>86.433333333333337</v>
      </c>
      <c r="Y270" s="1644">
        <v>93.86</v>
      </c>
      <c r="Z270" s="1645">
        <v>93.86</v>
      </c>
      <c r="AA270" s="1644">
        <v>93.86</v>
      </c>
      <c r="AB270" s="1644">
        <v>96.874703196347028</v>
      </c>
      <c r="AC270" s="1644">
        <v>102.9041095890411</v>
      </c>
      <c r="AD270" s="1645">
        <v>102.9041095890411</v>
      </c>
      <c r="AE270" s="1644">
        <v>103</v>
      </c>
      <c r="AF270" s="1644">
        <v>98.89</v>
      </c>
      <c r="AG270" s="1644">
        <v>94.78</v>
      </c>
      <c r="AH270" s="1645">
        <v>94.78</v>
      </c>
      <c r="AI270" s="1633">
        <v>94.78</v>
      </c>
      <c r="AJ270" s="1633">
        <v>140.17296803652968</v>
      </c>
      <c r="AK270" s="1633">
        <v>230.95890410958907</v>
      </c>
      <c r="AL270" s="1634">
        <v>230.95890410958907</v>
      </c>
      <c r="AM270" s="1633">
        <v>230.95890410958907</v>
      </c>
      <c r="AN270" s="1633">
        <v>258.63013698630141</v>
      </c>
      <c r="AO270" s="1633">
        <v>313.97260273972609</v>
      </c>
      <c r="AP270" s="1634">
        <v>313.97260273972609</v>
      </c>
      <c r="AQ270" s="1633">
        <v>313.97260273972609</v>
      </c>
      <c r="AR270" s="1632">
        <v>286.35616438356169</v>
      </c>
      <c r="AS270" s="1632">
        <v>231.12328767123287</v>
      </c>
      <c r="AT270" s="1631">
        <v>231.12328767123287</v>
      </c>
      <c r="AU270" s="1632">
        <v>231.12328767123287</v>
      </c>
      <c r="AV270" s="1632">
        <v>212.13150684931506</v>
      </c>
      <c r="AW270" s="1632">
        <v>174.14794520547943</v>
      </c>
      <c r="AX270" s="1631">
        <v>174.14794520547943</v>
      </c>
      <c r="AY270" s="1632">
        <v>174.14794520547943</v>
      </c>
      <c r="AZ270" s="1632">
        <v>174.14794520547943</v>
      </c>
      <c r="BA270" s="1632">
        <v>174.14794520547943</v>
      </c>
      <c r="BB270" s="1733">
        <v>174.14794520547943</v>
      </c>
      <c r="BC270" s="700"/>
      <c r="BD270" s="700"/>
      <c r="BE270" s="701"/>
      <c r="BF270" s="701"/>
      <c r="BG270" s="701">
        <f t="shared" si="568"/>
        <v>91.34</v>
      </c>
      <c r="BH270" s="701">
        <f t="shared" si="569"/>
        <v>82.978333333333339</v>
      </c>
      <c r="BI270" s="701">
        <f t="shared" si="570"/>
        <v>89.218333333333334</v>
      </c>
      <c r="BJ270" s="701">
        <f t="shared" si="571"/>
        <v>99.13573059360732</v>
      </c>
      <c r="BK270" s="701">
        <f t="shared" si="572"/>
        <v>97.862499999999983</v>
      </c>
      <c r="BL270" s="701">
        <f t="shared" si="573"/>
        <v>174.21769406392696</v>
      </c>
      <c r="BM270" s="1582">
        <f t="shared" si="574"/>
        <v>279.38356164383566</v>
      </c>
      <c r="BN270" s="1582">
        <f t="shared" si="575"/>
        <v>265.64383561643837</v>
      </c>
      <c r="BO270" s="1582">
        <f t="shared" si="576"/>
        <v>197.8876712328767</v>
      </c>
      <c r="BP270" s="1582">
        <f t="shared" si="577"/>
        <v>174.14794520547943</v>
      </c>
      <c r="BQ270" s="637"/>
      <c r="BR270" s="638"/>
      <c r="BU270" s="609"/>
      <c r="BV270" s="608"/>
      <c r="BW270" s="608"/>
      <c r="BX270" s="608"/>
    </row>
    <row r="271" spans="2:76" ht="12.75" customHeight="1">
      <c r="B271" s="721"/>
      <c r="C271" s="1739" t="s">
        <v>830</v>
      </c>
      <c r="D271" s="1621"/>
      <c r="E271" s="1621"/>
      <c r="F271" s="1740"/>
      <c r="G271" s="1612"/>
      <c r="H271" s="1612"/>
      <c r="I271" s="1612"/>
      <c r="J271" s="1617"/>
      <c r="K271" s="1616"/>
      <c r="L271" s="1612"/>
      <c r="M271" s="1612"/>
      <c r="N271" s="1617"/>
      <c r="O271" s="1628">
        <v>102.54</v>
      </c>
      <c r="P271" s="1629">
        <v>96.14</v>
      </c>
      <c r="Q271" s="1629">
        <v>83.34</v>
      </c>
      <c r="R271" s="1630">
        <v>83.34</v>
      </c>
      <c r="S271" s="1628">
        <v>83.34</v>
      </c>
      <c r="T271" s="1629">
        <v>83.13333333333334</v>
      </c>
      <c r="U271" s="1629">
        <v>82.72</v>
      </c>
      <c r="V271" s="1630">
        <v>82.72</v>
      </c>
      <c r="W271" s="1644">
        <v>82.72</v>
      </c>
      <c r="X271" s="1644">
        <v>86.433333333333337</v>
      </c>
      <c r="Y271" s="1644">
        <v>93.86</v>
      </c>
      <c r="Z271" s="1645">
        <v>93.86</v>
      </c>
      <c r="AA271" s="1644">
        <v>93.86</v>
      </c>
      <c r="AB271" s="1644">
        <v>96.874703196347028</v>
      </c>
      <c r="AC271" s="1644">
        <v>102.9041095890411</v>
      </c>
      <c r="AD271" s="1645">
        <v>102.9041095890411</v>
      </c>
      <c r="AE271" s="1644">
        <v>103</v>
      </c>
      <c r="AF271" s="1644">
        <v>161</v>
      </c>
      <c r="AG271" s="1644">
        <v>219</v>
      </c>
      <c r="AH271" s="1645">
        <v>219</v>
      </c>
      <c r="AI271" s="1633">
        <v>219</v>
      </c>
      <c r="AJ271" s="1633">
        <v>310.38356164383561</v>
      </c>
      <c r="AK271" s="1633">
        <v>493.15068493150687</v>
      </c>
      <c r="AL271" s="1634">
        <v>493.15068493150687</v>
      </c>
      <c r="AM271" s="1633">
        <v>493.15068493150687</v>
      </c>
      <c r="AN271" s="1633">
        <v>433.42465753424653</v>
      </c>
      <c r="AO271" s="1633">
        <v>313.97260273972609</v>
      </c>
      <c r="AP271" s="1634">
        <v>313.97260273972609</v>
      </c>
      <c r="AQ271" s="1633">
        <v>313.97260273972609</v>
      </c>
      <c r="AR271" s="1632">
        <v>286.35616438356169</v>
      </c>
      <c r="AS271" s="1632">
        <v>231.12328767123287</v>
      </c>
      <c r="AT271" s="1631">
        <v>231.12328767123287</v>
      </c>
      <c r="AU271" s="1632">
        <v>231.12328767123287</v>
      </c>
      <c r="AV271" s="1632">
        <v>212.13150684931506</v>
      </c>
      <c r="AW271" s="1632">
        <v>174.14794520547943</v>
      </c>
      <c r="AX271" s="1631">
        <v>174.14794520547943</v>
      </c>
      <c r="AY271" s="1632">
        <v>174.14794520547943</v>
      </c>
      <c r="AZ271" s="1632">
        <v>174.14794520547943</v>
      </c>
      <c r="BA271" s="1632">
        <v>174.14794520547943</v>
      </c>
      <c r="BB271" s="1733">
        <v>174.14794520547943</v>
      </c>
      <c r="BC271" s="700"/>
      <c r="BD271" s="700"/>
      <c r="BE271" s="701"/>
      <c r="BF271" s="701"/>
      <c r="BG271" s="701">
        <f t="shared" si="568"/>
        <v>91.34</v>
      </c>
      <c r="BH271" s="701">
        <f t="shared" si="569"/>
        <v>82.978333333333339</v>
      </c>
      <c r="BI271" s="701">
        <f t="shared" si="570"/>
        <v>89.218333333333334</v>
      </c>
      <c r="BJ271" s="701">
        <f t="shared" si="571"/>
        <v>99.13573059360732</v>
      </c>
      <c r="BK271" s="701">
        <f t="shared" si="572"/>
        <v>175.5</v>
      </c>
      <c r="BL271" s="701">
        <f t="shared" si="573"/>
        <v>378.92123287671234</v>
      </c>
      <c r="BM271" s="1582">
        <f t="shared" si="574"/>
        <v>388.63013698630141</v>
      </c>
      <c r="BN271" s="1582">
        <f t="shared" si="575"/>
        <v>265.64383561643837</v>
      </c>
      <c r="BO271" s="1582">
        <f t="shared" si="576"/>
        <v>197.8876712328767</v>
      </c>
      <c r="BP271" s="1582">
        <f t="shared" si="577"/>
        <v>174.14794520547943</v>
      </c>
      <c r="BQ271" s="637"/>
      <c r="BR271" s="638"/>
      <c r="BU271" s="609"/>
      <c r="BV271" s="608"/>
      <c r="BW271" s="608"/>
      <c r="BX271" s="608"/>
    </row>
    <row r="272" spans="2:76" ht="12.75" customHeight="1">
      <c r="B272" s="721"/>
      <c r="C272" s="1744" t="s">
        <v>706</v>
      </c>
      <c r="D272" s="1624"/>
      <c r="E272" s="1624"/>
      <c r="F272" s="1751"/>
      <c r="G272" s="1425"/>
      <c r="H272" s="1425"/>
      <c r="I272" s="1425"/>
      <c r="J272" s="1426"/>
      <c r="K272" s="1642"/>
      <c r="L272" s="1425"/>
      <c r="M272" s="1425"/>
      <c r="N272" s="1426"/>
      <c r="O272" s="1643">
        <v>5</v>
      </c>
      <c r="P272" s="1644">
        <v>29</v>
      </c>
      <c r="Q272" s="1644">
        <v>41</v>
      </c>
      <c r="R272" s="1645">
        <v>31.666666666666668</v>
      </c>
      <c r="S272" s="1643">
        <v>27</v>
      </c>
      <c r="T272" s="1644">
        <v>101</v>
      </c>
      <c r="U272" s="1644">
        <v>138</v>
      </c>
      <c r="V272" s="1645">
        <v>108.66666666666667</v>
      </c>
      <c r="W272" s="1644">
        <v>246</v>
      </c>
      <c r="X272" s="1646">
        <v>300.30136986301369</v>
      </c>
      <c r="Y272" s="1646">
        <v>327.45205479452056</v>
      </c>
      <c r="Z272" s="1647">
        <v>238.46575342465755</v>
      </c>
      <c r="AA272" s="1648">
        <v>193.97260273972606</v>
      </c>
      <c r="AB272" s="1648">
        <v>250.95890410958904</v>
      </c>
      <c r="AC272" s="1648">
        <v>279.45205479452056</v>
      </c>
      <c r="AD272" s="1647">
        <v>174.90410958904107</v>
      </c>
      <c r="AE272" s="1648">
        <v>122.63013698630137</v>
      </c>
      <c r="AF272" s="1648">
        <v>221.69863013698631</v>
      </c>
      <c r="AG272" s="1648">
        <v>271.23287671232879</v>
      </c>
      <c r="AH272" s="1647">
        <v>167.12328767123287</v>
      </c>
      <c r="AI272" s="1648">
        <v>115.06849315068493</v>
      </c>
      <c r="AJ272" s="1648">
        <v>219.17808219178082</v>
      </c>
      <c r="AK272" s="1632">
        <v>271.23287671232879</v>
      </c>
      <c r="AL272" s="1631">
        <v>167.12328767123287</v>
      </c>
      <c r="AM272" s="1632">
        <v>115.06849315068493</v>
      </c>
      <c r="AN272" s="1632">
        <v>219.17808219178082</v>
      </c>
      <c r="AO272" s="1632">
        <v>271.23287671232879</v>
      </c>
      <c r="AP272" s="1631">
        <v>167.12328767123287</v>
      </c>
      <c r="AQ272" s="1632">
        <v>115.06849315068493</v>
      </c>
      <c r="AR272" s="1632">
        <v>219.17808219178082</v>
      </c>
      <c r="AS272" s="1632">
        <v>271.23287671232879</v>
      </c>
      <c r="AT272" s="1631">
        <v>167.12328767123287</v>
      </c>
      <c r="AU272" s="1632">
        <v>115.06849315068493</v>
      </c>
      <c r="AV272" s="1632">
        <v>219.17808219178082</v>
      </c>
      <c r="AW272" s="1632">
        <v>271.23287671232879</v>
      </c>
      <c r="AX272" s="1631">
        <v>167.12328767123287</v>
      </c>
      <c r="AY272" s="1632">
        <v>115.06849315068493</v>
      </c>
      <c r="AZ272" s="1632">
        <v>219.17808219178082</v>
      </c>
      <c r="BA272" s="1632">
        <v>271.23287671232879</v>
      </c>
      <c r="BB272" s="1733">
        <v>167.12328767123287</v>
      </c>
      <c r="BC272" s="700"/>
      <c r="BD272" s="700"/>
      <c r="BE272" s="701"/>
      <c r="BF272" s="701"/>
      <c r="BG272" s="701">
        <f t="shared" ref="BG272:BG273" si="578">AVERAGE(O272:R272)</f>
        <v>26.666666666666668</v>
      </c>
      <c r="BH272" s="701">
        <f t="shared" ref="BH272:BH273" si="579">AVERAGE(S272:V272)</f>
        <v>93.666666666666671</v>
      </c>
      <c r="BI272" s="701">
        <f t="shared" ref="BI272:BI273" si="580">AVERAGE(W272:Z272)</f>
        <v>278.05479452054794</v>
      </c>
      <c r="BJ272" s="701">
        <f t="shared" ref="BJ272:BJ273" si="581">AVERAGE(AA272:AD272)</f>
        <v>224.82191780821921</v>
      </c>
      <c r="BK272" s="701">
        <f t="shared" ref="BK272:BK273" si="582">AVERAGE(AE272:AH272)</f>
        <v>195.67123287671234</v>
      </c>
      <c r="BL272" s="701">
        <f t="shared" ref="BL272:BL273" si="583">AVERAGE(AI272:AL272)</f>
        <v>193.15068493150687</v>
      </c>
      <c r="BM272" s="1582">
        <f t="shared" ref="BM272:BM273" si="584">AVERAGE(AM272:AP272)</f>
        <v>193.15068493150687</v>
      </c>
      <c r="BN272" s="1582">
        <f t="shared" ref="BN272:BN273" si="585">AVERAGE(AQ272:AT272)</f>
        <v>193.15068493150687</v>
      </c>
      <c r="BO272" s="1582">
        <f t="shared" ref="BO272:BO273" si="586">AVERAGE(AU272:AX272)</f>
        <v>193.15068493150687</v>
      </c>
      <c r="BP272" s="1582">
        <f t="shared" si="577"/>
        <v>193.15068493150687</v>
      </c>
      <c r="BQ272" s="637"/>
      <c r="BR272" s="638"/>
      <c r="BU272" s="609"/>
      <c r="BV272" s="608"/>
      <c r="BW272" s="608"/>
      <c r="BX272" s="608"/>
    </row>
    <row r="273" spans="2:78" ht="12.75" customHeight="1">
      <c r="B273" s="721"/>
      <c r="C273" s="1744" t="s">
        <v>888</v>
      </c>
      <c r="D273" s="1624"/>
      <c r="E273" s="1624"/>
      <c r="F273" s="1751"/>
      <c r="G273" s="1735"/>
      <c r="H273" s="1649"/>
      <c r="I273" s="1649"/>
      <c r="J273" s="1650"/>
      <c r="K273" s="1424"/>
      <c r="L273" s="1649"/>
      <c r="M273" s="1649"/>
      <c r="N273" s="1650"/>
      <c r="O273" s="1643">
        <v>102.54</v>
      </c>
      <c r="P273" s="1644">
        <v>96.14</v>
      </c>
      <c r="Q273" s="1644">
        <v>83.34</v>
      </c>
      <c r="R273" s="1645">
        <v>83.34</v>
      </c>
      <c r="S273" s="1643">
        <v>83.34</v>
      </c>
      <c r="T273" s="1644">
        <v>83.13333333333334</v>
      </c>
      <c r="U273" s="1644">
        <v>82.72</v>
      </c>
      <c r="V273" s="1645">
        <v>82.72</v>
      </c>
      <c r="W273" s="1644">
        <v>82.72</v>
      </c>
      <c r="X273" s="1644">
        <v>86.433333333333337</v>
      </c>
      <c r="Y273" s="1644">
        <v>93.86</v>
      </c>
      <c r="Z273" s="1645">
        <v>93.86</v>
      </c>
      <c r="AA273" s="1644">
        <v>93.86</v>
      </c>
      <c r="AB273" s="1644">
        <v>96.874703196347028</v>
      </c>
      <c r="AC273" s="1644">
        <v>102.9041095890411</v>
      </c>
      <c r="AD273" s="1645">
        <v>102.9041095890411</v>
      </c>
      <c r="AE273" s="1644">
        <v>103</v>
      </c>
      <c r="AF273" s="1644">
        <v>98.736666666666665</v>
      </c>
      <c r="AG273" s="1644">
        <v>90.21</v>
      </c>
      <c r="AH273" s="1645">
        <v>90.21</v>
      </c>
      <c r="AI273" s="1633">
        <v>90.21</v>
      </c>
      <c r="AJ273" s="1633">
        <v>137.126301369863</v>
      </c>
      <c r="AK273" s="1633">
        <v>230.95890410958907</v>
      </c>
      <c r="AL273" s="1634">
        <v>230.95890410958907</v>
      </c>
      <c r="AM273" s="1633">
        <v>230.95890410958907</v>
      </c>
      <c r="AN273" s="1633">
        <v>275.39726027397262</v>
      </c>
      <c r="AO273" s="1633">
        <v>364.27397260273972</v>
      </c>
      <c r="AP273" s="1634">
        <v>364.27397260273972</v>
      </c>
      <c r="AQ273" s="1633">
        <v>364.27397260273972</v>
      </c>
      <c r="AR273" s="1632">
        <v>319.89041095890411</v>
      </c>
      <c r="AS273" s="1632">
        <v>231.12328767123287</v>
      </c>
      <c r="AT273" s="1631">
        <v>231.12328767123287</v>
      </c>
      <c r="AU273" s="1632">
        <v>231.12328767123287</v>
      </c>
      <c r="AV273" s="1632">
        <v>212.13150684931506</v>
      </c>
      <c r="AW273" s="1632">
        <v>174.14794520547943</v>
      </c>
      <c r="AX273" s="1631">
        <v>174.14794520547943</v>
      </c>
      <c r="AY273" s="1632">
        <v>174.14794520547943</v>
      </c>
      <c r="AZ273" s="1632">
        <v>174.14794520547943</v>
      </c>
      <c r="BA273" s="1632">
        <v>174.14794520547943</v>
      </c>
      <c r="BB273" s="1733">
        <v>174.14794520547943</v>
      </c>
      <c r="BC273" s="669"/>
      <c r="BD273" s="670"/>
      <c r="BE273" s="671"/>
      <c r="BF273" s="671"/>
      <c r="BG273" s="701">
        <f t="shared" si="578"/>
        <v>91.34</v>
      </c>
      <c r="BH273" s="701">
        <f t="shared" si="579"/>
        <v>82.978333333333339</v>
      </c>
      <c r="BI273" s="701">
        <f t="shared" si="580"/>
        <v>89.218333333333334</v>
      </c>
      <c r="BJ273" s="701">
        <f t="shared" si="581"/>
        <v>99.13573059360732</v>
      </c>
      <c r="BK273" s="701">
        <f t="shared" si="582"/>
        <v>95.539166666666659</v>
      </c>
      <c r="BL273" s="701">
        <f t="shared" si="583"/>
        <v>172.31352739726029</v>
      </c>
      <c r="BM273" s="1582">
        <f t="shared" si="584"/>
        <v>308.72602739726028</v>
      </c>
      <c r="BN273" s="1582">
        <f t="shared" si="585"/>
        <v>286.60273972602738</v>
      </c>
      <c r="BO273" s="1582">
        <f t="shared" si="586"/>
        <v>197.8876712328767</v>
      </c>
      <c r="BP273" s="1582">
        <f t="shared" si="577"/>
        <v>174.14794520547943</v>
      </c>
      <c r="BQ273" s="637"/>
      <c r="BR273" s="638"/>
      <c r="BU273" s="609"/>
      <c r="BV273" s="608"/>
      <c r="BW273" s="608"/>
      <c r="BX273" s="608"/>
    </row>
    <row r="274" spans="2:78" ht="12.75" customHeight="1">
      <c r="B274" s="721"/>
      <c r="C274" s="1741" t="s">
        <v>726</v>
      </c>
      <c r="D274" s="1626"/>
      <c r="E274" s="1626"/>
      <c r="F274" s="1747"/>
      <c r="G274" s="1612"/>
      <c r="H274" s="1612"/>
      <c r="I274" s="1612"/>
      <c r="J274" s="1617"/>
      <c r="K274" s="1616"/>
      <c r="L274" s="1612"/>
      <c r="M274" s="1612"/>
      <c r="N274" s="1617"/>
      <c r="O274" s="1616"/>
      <c r="P274" s="1612"/>
      <c r="Q274" s="1612"/>
      <c r="R274" s="1615"/>
      <c r="S274" s="1614"/>
      <c r="T274" s="1613"/>
      <c r="U274" s="1613"/>
      <c r="V274" s="1615"/>
      <c r="W274" s="1648"/>
      <c r="X274" s="1648"/>
      <c r="Y274" s="1648"/>
      <c r="Z274" s="1647"/>
      <c r="AA274" s="1648"/>
      <c r="AB274" s="1648"/>
      <c r="AC274" s="1648"/>
      <c r="AD274" s="1647"/>
      <c r="AE274" s="1648"/>
      <c r="AF274" s="1648"/>
      <c r="AG274" s="1648"/>
      <c r="AH274" s="1647"/>
      <c r="AI274" s="1646"/>
      <c r="AJ274" s="1646"/>
      <c r="AK274" s="1646"/>
      <c r="AL274" s="1666"/>
      <c r="AM274" s="1425"/>
      <c r="AN274" s="1425"/>
      <c r="AO274" s="1425"/>
      <c r="AP274" s="1426"/>
      <c r="AQ274" s="1425"/>
      <c r="AR274" s="1425"/>
      <c r="AS274" s="1425"/>
      <c r="AT274" s="1426"/>
      <c r="AU274" s="1425"/>
      <c r="AV274" s="1425"/>
      <c r="AW274" s="1425"/>
      <c r="AX274" s="1426"/>
      <c r="AY274" s="1425"/>
      <c r="AZ274" s="1425"/>
      <c r="BA274" s="1425"/>
      <c r="BB274" s="1674"/>
      <c r="BC274" s="700"/>
      <c r="BD274" s="700"/>
      <c r="BE274" s="701"/>
      <c r="BF274" s="701"/>
      <c r="BG274" s="701"/>
      <c r="BH274" s="701"/>
      <c r="BI274" s="701"/>
      <c r="BJ274" s="701"/>
      <c r="BK274" s="701"/>
      <c r="BL274" s="701"/>
      <c r="BM274" s="701"/>
      <c r="BN274" s="701"/>
      <c r="BO274" s="701"/>
      <c r="BP274" s="701"/>
      <c r="BQ274" s="637"/>
      <c r="BR274" s="638"/>
      <c r="BU274" s="609"/>
      <c r="BV274" s="608"/>
      <c r="BW274" s="608"/>
      <c r="BX274" s="608"/>
    </row>
    <row r="275" spans="2:78" ht="12.75" customHeight="1">
      <c r="B275" s="721"/>
      <c r="C275" s="1739" t="s">
        <v>44</v>
      </c>
      <c r="D275" s="1621"/>
      <c r="E275" s="1621"/>
      <c r="F275" s="1740"/>
      <c r="G275" s="1612"/>
      <c r="H275" s="1612"/>
      <c r="I275" s="1612"/>
      <c r="J275" s="1617"/>
      <c r="K275" s="1616"/>
      <c r="L275" s="1613"/>
      <c r="M275" s="1613"/>
      <c r="N275" s="1615"/>
      <c r="O275" s="1614"/>
      <c r="P275" s="1613"/>
      <c r="Q275" s="1613"/>
      <c r="R275" s="1615"/>
      <c r="S275" s="1614">
        <v>0</v>
      </c>
      <c r="T275" s="1613">
        <v>0</v>
      </c>
      <c r="U275" s="1613">
        <v>0</v>
      </c>
      <c r="V275" s="1615">
        <v>0</v>
      </c>
      <c r="W275" s="1648">
        <v>0</v>
      </c>
      <c r="X275" s="1648">
        <v>0</v>
      </c>
      <c r="Y275" s="1648">
        <v>0</v>
      </c>
      <c r="Z275" s="1647">
        <v>0</v>
      </c>
      <c r="AA275" s="1648">
        <v>0</v>
      </c>
      <c r="AB275" s="1648">
        <v>0</v>
      </c>
      <c r="AC275" s="1648">
        <v>0</v>
      </c>
      <c r="AD275" s="1647">
        <v>0</v>
      </c>
      <c r="AE275" s="1648">
        <v>0</v>
      </c>
      <c r="AF275" s="1648">
        <v>0</v>
      </c>
      <c r="AG275" s="1648">
        <v>0</v>
      </c>
      <c r="AH275" s="1647">
        <v>0</v>
      </c>
      <c r="AI275" s="1648">
        <v>0</v>
      </c>
      <c r="AJ275" s="1648">
        <v>0</v>
      </c>
      <c r="AK275" s="1648">
        <v>0</v>
      </c>
      <c r="AL275" s="1647">
        <v>0</v>
      </c>
      <c r="AM275" s="1425">
        <v>0</v>
      </c>
      <c r="AN275" s="1425">
        <v>0</v>
      </c>
      <c r="AO275" s="1425">
        <v>0</v>
      </c>
      <c r="AP275" s="1426">
        <v>0</v>
      </c>
      <c r="AQ275" s="1425">
        <v>0</v>
      </c>
      <c r="AR275" s="1425">
        <v>0</v>
      </c>
      <c r="AS275" s="1425">
        <v>0</v>
      </c>
      <c r="AT275" s="1426">
        <v>0</v>
      </c>
      <c r="AU275" s="1425">
        <v>0</v>
      </c>
      <c r="AV275" s="1425">
        <v>0</v>
      </c>
      <c r="AW275" s="1425">
        <v>0</v>
      </c>
      <c r="AX275" s="1426">
        <v>0</v>
      </c>
      <c r="AY275" s="1425">
        <v>0</v>
      </c>
      <c r="AZ275" s="1425">
        <v>0</v>
      </c>
      <c r="BA275" s="1425">
        <v>0</v>
      </c>
      <c r="BB275" s="1674">
        <v>0</v>
      </c>
      <c r="BC275" s="700"/>
      <c r="BD275" s="700"/>
      <c r="BE275" s="701"/>
      <c r="BF275" s="701"/>
      <c r="BG275" s="701"/>
      <c r="BH275" s="701">
        <f t="shared" ref="BH275:BH281" si="587">AVERAGE(S275:V275)</f>
        <v>0</v>
      </c>
      <c r="BI275" s="701">
        <f t="shared" ref="BI275:BI281" si="588">AVERAGE(W275:Z275)</f>
        <v>0</v>
      </c>
      <c r="BJ275" s="701">
        <f t="shared" ref="BJ275:BJ281" si="589">AVERAGE(AA275:AD275)</f>
        <v>0</v>
      </c>
      <c r="BK275" s="701">
        <f t="shared" ref="BK275:BK281" si="590">AVERAGE(AE275:AH275)</f>
        <v>0</v>
      </c>
      <c r="BL275" s="701">
        <f t="shared" ref="BL275:BL281" si="591">AVERAGE(AI275:AL275)</f>
        <v>0</v>
      </c>
      <c r="BM275" s="1582">
        <f t="shared" ref="BM275:BM281" si="592">AVERAGE(AM275:AP275)</f>
        <v>0</v>
      </c>
      <c r="BN275" s="1582">
        <f t="shared" ref="BN275:BN281" si="593">AVERAGE(AQ275:AT275)</f>
        <v>0</v>
      </c>
      <c r="BO275" s="1582">
        <f t="shared" ref="BO275:BO281" si="594">AVERAGE(AU275:AX275)</f>
        <v>0</v>
      </c>
      <c r="BP275" s="1582">
        <f t="shared" ref="BP275:BP281" si="595">AVERAGE(AY275:BB275)</f>
        <v>0</v>
      </c>
      <c r="BQ275" s="637"/>
      <c r="BR275" s="638"/>
      <c r="BU275" s="609"/>
      <c r="BV275" s="608"/>
      <c r="BW275" s="608"/>
      <c r="BX275" s="608"/>
    </row>
    <row r="276" spans="2:78" ht="12.75" customHeight="1">
      <c r="B276" s="721"/>
      <c r="C276" s="1739" t="s">
        <v>48</v>
      </c>
      <c r="D276" s="1621"/>
      <c r="E276" s="1621"/>
      <c r="F276" s="1740"/>
      <c r="G276" s="1612"/>
      <c r="H276" s="1612"/>
      <c r="I276" s="1612"/>
      <c r="J276" s="1617"/>
      <c r="K276" s="1616"/>
      <c r="L276" s="1613"/>
      <c r="M276" s="1613"/>
      <c r="N276" s="1615"/>
      <c r="O276" s="1614"/>
      <c r="P276" s="1613"/>
      <c r="Q276" s="1613"/>
      <c r="R276" s="1615"/>
      <c r="S276" s="1614">
        <v>1.97</v>
      </c>
      <c r="T276" s="1613">
        <v>1.97</v>
      </c>
      <c r="U276" s="1613">
        <v>1.97</v>
      </c>
      <c r="V276" s="1615">
        <v>1.97</v>
      </c>
      <c r="W276" s="1648">
        <v>4</v>
      </c>
      <c r="X276" s="1648">
        <v>4</v>
      </c>
      <c r="Y276" s="1648">
        <v>4</v>
      </c>
      <c r="Z276" s="1647">
        <v>4</v>
      </c>
      <c r="AA276" s="1648">
        <v>6</v>
      </c>
      <c r="AB276" s="1648">
        <v>6</v>
      </c>
      <c r="AC276" s="1648">
        <v>6</v>
      </c>
      <c r="AD276" s="1647">
        <v>6</v>
      </c>
      <c r="AE276" s="1648">
        <v>8</v>
      </c>
      <c r="AF276" s="1648">
        <v>8</v>
      </c>
      <c r="AG276" s="1648">
        <v>8</v>
      </c>
      <c r="AH276" s="1647">
        <v>8</v>
      </c>
      <c r="AI276" s="1648">
        <v>10</v>
      </c>
      <c r="AJ276" s="1648">
        <v>10</v>
      </c>
      <c r="AK276" s="1648">
        <v>10</v>
      </c>
      <c r="AL276" s="1647">
        <v>10</v>
      </c>
      <c r="AM276" s="1425">
        <v>10</v>
      </c>
      <c r="AN276" s="1425">
        <v>10</v>
      </c>
      <c r="AO276" s="1425">
        <v>10</v>
      </c>
      <c r="AP276" s="1426">
        <v>10</v>
      </c>
      <c r="AQ276" s="1425">
        <v>10</v>
      </c>
      <c r="AR276" s="1425">
        <v>10</v>
      </c>
      <c r="AS276" s="1425">
        <v>10</v>
      </c>
      <c r="AT276" s="1426">
        <v>10</v>
      </c>
      <c r="AU276" s="1425">
        <v>10</v>
      </c>
      <c r="AV276" s="1425">
        <v>10</v>
      </c>
      <c r="AW276" s="1425">
        <v>10</v>
      </c>
      <c r="AX276" s="1426">
        <v>10</v>
      </c>
      <c r="AY276" s="1425">
        <v>10</v>
      </c>
      <c r="AZ276" s="1425">
        <v>10</v>
      </c>
      <c r="BA276" s="1425">
        <v>10</v>
      </c>
      <c r="BB276" s="1674">
        <v>10</v>
      </c>
      <c r="BC276" s="700"/>
      <c r="BD276" s="700"/>
      <c r="BE276" s="701"/>
      <c r="BF276" s="701"/>
      <c r="BG276" s="701"/>
      <c r="BH276" s="701">
        <f t="shared" si="587"/>
        <v>1.97</v>
      </c>
      <c r="BI276" s="701">
        <f t="shared" si="588"/>
        <v>4</v>
      </c>
      <c r="BJ276" s="701">
        <f t="shared" si="589"/>
        <v>6</v>
      </c>
      <c r="BK276" s="701">
        <f t="shared" si="590"/>
        <v>8</v>
      </c>
      <c r="BL276" s="701">
        <f t="shared" si="591"/>
        <v>10</v>
      </c>
      <c r="BM276" s="1582">
        <f t="shared" si="592"/>
        <v>10</v>
      </c>
      <c r="BN276" s="1582">
        <f t="shared" si="593"/>
        <v>10</v>
      </c>
      <c r="BO276" s="1582">
        <f t="shared" si="594"/>
        <v>10</v>
      </c>
      <c r="BP276" s="1582">
        <f t="shared" si="595"/>
        <v>10</v>
      </c>
      <c r="BQ276" s="637"/>
      <c r="BR276" s="638"/>
      <c r="BU276" s="609"/>
      <c r="BV276" s="608"/>
      <c r="BW276" s="608"/>
      <c r="BX276" s="608"/>
    </row>
    <row r="277" spans="2:78" ht="12.75" customHeight="1">
      <c r="B277" s="722"/>
      <c r="C277" s="1739" t="s">
        <v>49</v>
      </c>
      <c r="D277" s="1621"/>
      <c r="E277" s="1621"/>
      <c r="F277" s="1740"/>
      <c r="G277" s="1612"/>
      <c r="H277" s="1612"/>
      <c r="I277" s="1612"/>
      <c r="J277" s="1617"/>
      <c r="K277" s="1616"/>
      <c r="L277" s="1613"/>
      <c r="M277" s="1613"/>
      <c r="N277" s="1615"/>
      <c r="O277" s="1614"/>
      <c r="P277" s="1613"/>
      <c r="Q277" s="1613"/>
      <c r="R277" s="1615"/>
      <c r="S277" s="1614">
        <v>0</v>
      </c>
      <c r="T277" s="1613">
        <v>0</v>
      </c>
      <c r="U277" s="1613">
        <v>0</v>
      </c>
      <c r="V277" s="1615">
        <v>0</v>
      </c>
      <c r="W277" s="1648">
        <v>0</v>
      </c>
      <c r="X277" s="1648">
        <v>0</v>
      </c>
      <c r="Y277" s="1648">
        <v>0</v>
      </c>
      <c r="Z277" s="1647">
        <v>0</v>
      </c>
      <c r="AA277" s="1648">
        <v>0</v>
      </c>
      <c r="AB277" s="1648">
        <v>0</v>
      </c>
      <c r="AC277" s="1648">
        <v>0</v>
      </c>
      <c r="AD277" s="1647">
        <v>0</v>
      </c>
      <c r="AE277" s="1648">
        <v>0</v>
      </c>
      <c r="AF277" s="1648">
        <v>0</v>
      </c>
      <c r="AG277" s="1648">
        <v>0</v>
      </c>
      <c r="AH277" s="1647">
        <v>0</v>
      </c>
      <c r="AI277" s="1648">
        <v>0</v>
      </c>
      <c r="AJ277" s="1648">
        <v>0</v>
      </c>
      <c r="AK277" s="1648">
        <v>0</v>
      </c>
      <c r="AL277" s="1647">
        <v>0</v>
      </c>
      <c r="AM277" s="1425">
        <v>0</v>
      </c>
      <c r="AN277" s="1425">
        <v>0</v>
      </c>
      <c r="AO277" s="1425">
        <v>0</v>
      </c>
      <c r="AP277" s="1426">
        <v>0</v>
      </c>
      <c r="AQ277" s="1425">
        <v>0</v>
      </c>
      <c r="AR277" s="1425">
        <v>0</v>
      </c>
      <c r="AS277" s="1425">
        <v>0</v>
      </c>
      <c r="AT277" s="1426">
        <v>0</v>
      </c>
      <c r="AU277" s="1425">
        <v>0</v>
      </c>
      <c r="AV277" s="1425">
        <v>0</v>
      </c>
      <c r="AW277" s="1425">
        <v>0</v>
      </c>
      <c r="AX277" s="1426">
        <v>0</v>
      </c>
      <c r="AY277" s="1425">
        <v>0</v>
      </c>
      <c r="AZ277" s="1425">
        <v>0</v>
      </c>
      <c r="BA277" s="1425">
        <v>0</v>
      </c>
      <c r="BB277" s="1674">
        <v>0</v>
      </c>
      <c r="BC277" s="700"/>
      <c r="BD277" s="700"/>
      <c r="BE277" s="701"/>
      <c r="BF277" s="701"/>
      <c r="BG277" s="701"/>
      <c r="BH277" s="701">
        <f t="shared" si="587"/>
        <v>0</v>
      </c>
      <c r="BI277" s="701">
        <f t="shared" si="588"/>
        <v>0</v>
      </c>
      <c r="BJ277" s="701">
        <f t="shared" si="589"/>
        <v>0</v>
      </c>
      <c r="BK277" s="701">
        <f t="shared" si="590"/>
        <v>0</v>
      </c>
      <c r="BL277" s="701">
        <f t="shared" si="591"/>
        <v>0</v>
      </c>
      <c r="BM277" s="1582">
        <f t="shared" si="592"/>
        <v>0</v>
      </c>
      <c r="BN277" s="1582">
        <f t="shared" si="593"/>
        <v>0</v>
      </c>
      <c r="BO277" s="1582">
        <f t="shared" si="594"/>
        <v>0</v>
      </c>
      <c r="BP277" s="1582">
        <f t="shared" si="595"/>
        <v>0</v>
      </c>
      <c r="BQ277" s="637"/>
      <c r="BR277" s="638"/>
      <c r="BU277" s="609"/>
      <c r="BV277" s="608"/>
      <c r="BW277" s="608"/>
      <c r="BX277" s="608"/>
    </row>
    <row r="278" spans="2:78" ht="12.75" customHeight="1">
      <c r="B278" s="723"/>
      <c r="C278" s="1739" t="s">
        <v>50</v>
      </c>
      <c r="D278" s="1621"/>
      <c r="E278" s="1621"/>
      <c r="F278" s="1740"/>
      <c r="G278" s="1612"/>
      <c r="H278" s="1612"/>
      <c r="I278" s="1612"/>
      <c r="J278" s="1617"/>
      <c r="K278" s="1616"/>
      <c r="L278" s="1613"/>
      <c r="M278" s="1613"/>
      <c r="N278" s="1615"/>
      <c r="O278" s="1614"/>
      <c r="P278" s="1613"/>
      <c r="Q278" s="1613"/>
      <c r="R278" s="1615"/>
      <c r="S278" s="1614">
        <v>0</v>
      </c>
      <c r="T278" s="1613">
        <v>0</v>
      </c>
      <c r="U278" s="1613">
        <v>0</v>
      </c>
      <c r="V278" s="1615">
        <v>0</v>
      </c>
      <c r="W278" s="1648">
        <v>0</v>
      </c>
      <c r="X278" s="1648">
        <v>0</v>
      </c>
      <c r="Y278" s="1648">
        <v>0</v>
      </c>
      <c r="Z278" s="1647">
        <v>0</v>
      </c>
      <c r="AA278" s="1648">
        <v>0</v>
      </c>
      <c r="AB278" s="1648">
        <v>0</v>
      </c>
      <c r="AC278" s="1648">
        <v>0</v>
      </c>
      <c r="AD278" s="1647">
        <v>0</v>
      </c>
      <c r="AE278" s="1648">
        <v>0</v>
      </c>
      <c r="AF278" s="1648">
        <v>0</v>
      </c>
      <c r="AG278" s="1648">
        <v>0</v>
      </c>
      <c r="AH278" s="1647">
        <v>0</v>
      </c>
      <c r="AI278" s="1648">
        <v>0</v>
      </c>
      <c r="AJ278" s="1648">
        <v>0</v>
      </c>
      <c r="AK278" s="1648">
        <v>0</v>
      </c>
      <c r="AL278" s="1647">
        <v>0</v>
      </c>
      <c r="AM278" s="1425">
        <v>0</v>
      </c>
      <c r="AN278" s="1425">
        <v>0</v>
      </c>
      <c r="AO278" s="1425">
        <v>0</v>
      </c>
      <c r="AP278" s="1426">
        <v>0</v>
      </c>
      <c r="AQ278" s="1425">
        <v>0</v>
      </c>
      <c r="AR278" s="1425">
        <v>0</v>
      </c>
      <c r="AS278" s="1425">
        <v>0</v>
      </c>
      <c r="AT278" s="1426">
        <v>0</v>
      </c>
      <c r="AU278" s="1425">
        <v>0</v>
      </c>
      <c r="AV278" s="1425">
        <v>0</v>
      </c>
      <c r="AW278" s="1425">
        <v>0</v>
      </c>
      <c r="AX278" s="1426">
        <v>0</v>
      </c>
      <c r="AY278" s="1425">
        <v>0</v>
      </c>
      <c r="AZ278" s="1425">
        <v>0</v>
      </c>
      <c r="BA278" s="1425">
        <v>0</v>
      </c>
      <c r="BB278" s="1674">
        <v>0</v>
      </c>
      <c r="BC278" s="700"/>
      <c r="BD278" s="700"/>
      <c r="BE278" s="701"/>
      <c r="BF278" s="701"/>
      <c r="BG278" s="701"/>
      <c r="BH278" s="701">
        <f t="shared" si="587"/>
        <v>0</v>
      </c>
      <c r="BI278" s="701">
        <f t="shared" si="588"/>
        <v>0</v>
      </c>
      <c r="BJ278" s="701">
        <f t="shared" si="589"/>
        <v>0</v>
      </c>
      <c r="BK278" s="701">
        <f t="shared" si="590"/>
        <v>0</v>
      </c>
      <c r="BL278" s="701">
        <f t="shared" si="591"/>
        <v>0</v>
      </c>
      <c r="BM278" s="1582">
        <f t="shared" si="592"/>
        <v>0</v>
      </c>
      <c r="BN278" s="1582">
        <f t="shared" si="593"/>
        <v>0</v>
      </c>
      <c r="BO278" s="1582">
        <f t="shared" si="594"/>
        <v>0</v>
      </c>
      <c r="BP278" s="1582">
        <f t="shared" si="595"/>
        <v>0</v>
      </c>
      <c r="BQ278" s="637"/>
      <c r="BR278" s="638"/>
      <c r="BU278" s="609"/>
      <c r="BV278" s="608"/>
      <c r="BW278" s="608"/>
      <c r="BX278" s="608"/>
    </row>
    <row r="279" spans="2:78" ht="12.75" customHeight="1">
      <c r="B279" s="723"/>
      <c r="C279" s="1739" t="s">
        <v>51</v>
      </c>
      <c r="D279" s="1621"/>
      <c r="E279" s="1621"/>
      <c r="F279" s="1740"/>
      <c r="G279" s="1612"/>
      <c r="H279" s="1612"/>
      <c r="I279" s="1612"/>
      <c r="J279" s="1617"/>
      <c r="K279" s="1616"/>
      <c r="L279" s="1613"/>
      <c r="M279" s="1613"/>
      <c r="N279" s="1615"/>
      <c r="O279" s="1614"/>
      <c r="P279" s="1613"/>
      <c r="Q279" s="1613"/>
      <c r="R279" s="1615"/>
      <c r="S279" s="1614">
        <v>0</v>
      </c>
      <c r="T279" s="1613">
        <v>0</v>
      </c>
      <c r="U279" s="1613">
        <v>0</v>
      </c>
      <c r="V279" s="1615">
        <v>0</v>
      </c>
      <c r="W279" s="1648">
        <v>0</v>
      </c>
      <c r="X279" s="1648">
        <v>0</v>
      </c>
      <c r="Y279" s="1648">
        <v>0</v>
      </c>
      <c r="Z279" s="1647">
        <v>0</v>
      </c>
      <c r="AA279" s="1648">
        <v>0</v>
      </c>
      <c r="AB279" s="1648">
        <v>0</v>
      </c>
      <c r="AC279" s="1648">
        <v>0</v>
      </c>
      <c r="AD279" s="1647">
        <v>0</v>
      </c>
      <c r="AE279" s="1648">
        <v>0</v>
      </c>
      <c r="AF279" s="1648">
        <v>0</v>
      </c>
      <c r="AG279" s="1648">
        <v>0</v>
      </c>
      <c r="AH279" s="1647">
        <v>0</v>
      </c>
      <c r="AI279" s="1648">
        <v>0</v>
      </c>
      <c r="AJ279" s="1648">
        <v>0</v>
      </c>
      <c r="AK279" s="1648">
        <v>0</v>
      </c>
      <c r="AL279" s="1647">
        <v>0</v>
      </c>
      <c r="AM279" s="1425">
        <v>0</v>
      </c>
      <c r="AN279" s="1425">
        <v>0</v>
      </c>
      <c r="AO279" s="1425">
        <v>0</v>
      </c>
      <c r="AP279" s="1426">
        <v>0</v>
      </c>
      <c r="AQ279" s="1425">
        <v>0</v>
      </c>
      <c r="AR279" s="1425">
        <v>0</v>
      </c>
      <c r="AS279" s="1425">
        <v>0</v>
      </c>
      <c r="AT279" s="1426">
        <v>0</v>
      </c>
      <c r="AU279" s="1425">
        <v>0</v>
      </c>
      <c r="AV279" s="1425">
        <v>0</v>
      </c>
      <c r="AW279" s="1425">
        <v>0</v>
      </c>
      <c r="AX279" s="1426">
        <v>0</v>
      </c>
      <c r="AY279" s="1425">
        <v>0</v>
      </c>
      <c r="AZ279" s="1425">
        <v>0</v>
      </c>
      <c r="BA279" s="1425">
        <v>0</v>
      </c>
      <c r="BB279" s="1674">
        <v>0</v>
      </c>
      <c r="BC279" s="700"/>
      <c r="BD279" s="700"/>
      <c r="BE279" s="701"/>
      <c r="BF279" s="701"/>
      <c r="BG279" s="701"/>
      <c r="BH279" s="701">
        <f t="shared" si="587"/>
        <v>0</v>
      </c>
      <c r="BI279" s="701">
        <f t="shared" si="588"/>
        <v>0</v>
      </c>
      <c r="BJ279" s="701">
        <f t="shared" si="589"/>
        <v>0</v>
      </c>
      <c r="BK279" s="701">
        <f t="shared" si="590"/>
        <v>0</v>
      </c>
      <c r="BL279" s="701">
        <f t="shared" si="591"/>
        <v>0</v>
      </c>
      <c r="BM279" s="1582">
        <f t="shared" si="592"/>
        <v>0</v>
      </c>
      <c r="BN279" s="1582">
        <f t="shared" si="593"/>
        <v>0</v>
      </c>
      <c r="BO279" s="1582">
        <f t="shared" si="594"/>
        <v>0</v>
      </c>
      <c r="BP279" s="1582">
        <f t="shared" si="595"/>
        <v>0</v>
      </c>
      <c r="BQ279" s="637"/>
      <c r="BR279" s="638"/>
      <c r="BU279" s="609"/>
      <c r="BV279" s="608"/>
      <c r="BW279" s="608"/>
      <c r="BX279" s="608"/>
    </row>
    <row r="280" spans="2:78" ht="12.75" customHeight="1">
      <c r="B280" s="723"/>
      <c r="C280" s="1739" t="s">
        <v>52</v>
      </c>
      <c r="D280" s="1621"/>
      <c r="E280" s="1621"/>
      <c r="F280" s="1740"/>
      <c r="G280" s="1612"/>
      <c r="H280" s="1612"/>
      <c r="I280" s="1612"/>
      <c r="J280" s="1617"/>
      <c r="K280" s="1616"/>
      <c r="L280" s="1613"/>
      <c r="M280" s="1613"/>
      <c r="N280" s="1615"/>
      <c r="O280" s="1614"/>
      <c r="P280" s="1613"/>
      <c r="Q280" s="1613"/>
      <c r="R280" s="1615"/>
      <c r="S280" s="1614">
        <v>0</v>
      </c>
      <c r="T280" s="1613">
        <v>0</v>
      </c>
      <c r="U280" s="1613">
        <v>0</v>
      </c>
      <c r="V280" s="1615">
        <v>0</v>
      </c>
      <c r="W280" s="1648">
        <v>0</v>
      </c>
      <c r="X280" s="1648">
        <v>0</v>
      </c>
      <c r="Y280" s="1648">
        <v>0</v>
      </c>
      <c r="Z280" s="1647">
        <v>0</v>
      </c>
      <c r="AA280" s="1648">
        <v>0</v>
      </c>
      <c r="AB280" s="1648">
        <v>0</v>
      </c>
      <c r="AC280" s="1648">
        <v>0</v>
      </c>
      <c r="AD280" s="1647">
        <v>0</v>
      </c>
      <c r="AE280" s="1648">
        <v>0</v>
      </c>
      <c r="AF280" s="1648">
        <v>0</v>
      </c>
      <c r="AG280" s="1648">
        <v>0</v>
      </c>
      <c r="AH280" s="1647">
        <v>0</v>
      </c>
      <c r="AI280" s="1648">
        <v>0</v>
      </c>
      <c r="AJ280" s="1648">
        <v>0</v>
      </c>
      <c r="AK280" s="1648">
        <v>0</v>
      </c>
      <c r="AL280" s="1647">
        <v>0</v>
      </c>
      <c r="AM280" s="1425">
        <v>0</v>
      </c>
      <c r="AN280" s="1425">
        <v>0</v>
      </c>
      <c r="AO280" s="1425">
        <v>0</v>
      </c>
      <c r="AP280" s="1426">
        <v>0</v>
      </c>
      <c r="AQ280" s="1425">
        <v>0</v>
      </c>
      <c r="AR280" s="1425">
        <v>0</v>
      </c>
      <c r="AS280" s="1425">
        <v>0</v>
      </c>
      <c r="AT280" s="1426">
        <v>0</v>
      </c>
      <c r="AU280" s="1425">
        <v>0</v>
      </c>
      <c r="AV280" s="1425">
        <v>0</v>
      </c>
      <c r="AW280" s="1425">
        <v>0</v>
      </c>
      <c r="AX280" s="1426">
        <v>0</v>
      </c>
      <c r="AY280" s="1425">
        <v>0</v>
      </c>
      <c r="AZ280" s="1425">
        <v>0</v>
      </c>
      <c r="BA280" s="1425">
        <v>0</v>
      </c>
      <c r="BB280" s="1674">
        <v>0</v>
      </c>
      <c r="BC280" s="700"/>
      <c r="BD280" s="700"/>
      <c r="BE280" s="701"/>
      <c r="BF280" s="701"/>
      <c r="BG280" s="701"/>
      <c r="BH280" s="701">
        <f t="shared" si="587"/>
        <v>0</v>
      </c>
      <c r="BI280" s="701">
        <f t="shared" si="588"/>
        <v>0</v>
      </c>
      <c r="BJ280" s="701">
        <f t="shared" si="589"/>
        <v>0</v>
      </c>
      <c r="BK280" s="701">
        <f t="shared" si="590"/>
        <v>0</v>
      </c>
      <c r="BL280" s="701">
        <f t="shared" si="591"/>
        <v>0</v>
      </c>
      <c r="BM280" s="1582">
        <f t="shared" si="592"/>
        <v>0</v>
      </c>
      <c r="BN280" s="1582">
        <f t="shared" si="593"/>
        <v>0</v>
      </c>
      <c r="BO280" s="1582">
        <f t="shared" si="594"/>
        <v>0</v>
      </c>
      <c r="BP280" s="1582">
        <f t="shared" si="595"/>
        <v>0</v>
      </c>
      <c r="BQ280" s="637"/>
      <c r="BR280" s="638"/>
      <c r="BU280" s="609"/>
      <c r="BV280" s="608"/>
      <c r="BW280" s="608"/>
      <c r="BX280" s="608"/>
    </row>
    <row r="281" spans="2:78" ht="12.75" customHeight="1">
      <c r="B281" s="723"/>
      <c r="C281" s="1739" t="s">
        <v>45</v>
      </c>
      <c r="D281" s="1621"/>
      <c r="E281" s="1621"/>
      <c r="F281" s="1740"/>
      <c r="G281" s="1612"/>
      <c r="H281" s="1612"/>
      <c r="I281" s="1612"/>
      <c r="J281" s="1617"/>
      <c r="K281" s="1616"/>
      <c r="L281" s="1613"/>
      <c r="M281" s="1613"/>
      <c r="N281" s="1615"/>
      <c r="O281" s="1614"/>
      <c r="P281" s="1613"/>
      <c r="Q281" s="1613"/>
      <c r="R281" s="1615"/>
      <c r="S281" s="1614">
        <v>0</v>
      </c>
      <c r="T281" s="1613">
        <v>0</v>
      </c>
      <c r="U281" s="1613">
        <v>0</v>
      </c>
      <c r="V281" s="1615">
        <v>0</v>
      </c>
      <c r="W281" s="1648">
        <v>0</v>
      </c>
      <c r="X281" s="1648">
        <v>0</v>
      </c>
      <c r="Y281" s="1648">
        <v>0</v>
      </c>
      <c r="Z281" s="1647">
        <v>0</v>
      </c>
      <c r="AA281" s="1648">
        <v>0</v>
      </c>
      <c r="AB281" s="1648">
        <v>0</v>
      </c>
      <c r="AC281" s="1648">
        <v>0</v>
      </c>
      <c r="AD281" s="1647">
        <v>0</v>
      </c>
      <c r="AE281" s="1648">
        <v>0</v>
      </c>
      <c r="AF281" s="1648">
        <v>0</v>
      </c>
      <c r="AG281" s="1648">
        <v>0</v>
      </c>
      <c r="AH281" s="1647">
        <v>0</v>
      </c>
      <c r="AI281" s="1648">
        <v>0</v>
      </c>
      <c r="AJ281" s="1648">
        <v>0</v>
      </c>
      <c r="AK281" s="1648">
        <v>0</v>
      </c>
      <c r="AL281" s="1647">
        <v>0</v>
      </c>
      <c r="AM281" s="1425">
        <v>0</v>
      </c>
      <c r="AN281" s="1425">
        <v>0</v>
      </c>
      <c r="AO281" s="1425">
        <v>0</v>
      </c>
      <c r="AP281" s="1426">
        <v>0</v>
      </c>
      <c r="AQ281" s="1425">
        <v>0</v>
      </c>
      <c r="AR281" s="1425">
        <v>0</v>
      </c>
      <c r="AS281" s="1425">
        <v>0</v>
      </c>
      <c r="AT281" s="1426">
        <v>0</v>
      </c>
      <c r="AU281" s="1425">
        <v>0</v>
      </c>
      <c r="AV281" s="1425">
        <v>0</v>
      </c>
      <c r="AW281" s="1425">
        <v>0</v>
      </c>
      <c r="AX281" s="1426">
        <v>0</v>
      </c>
      <c r="AY281" s="1425">
        <v>0</v>
      </c>
      <c r="AZ281" s="1425">
        <v>0</v>
      </c>
      <c r="BA281" s="1425">
        <v>0</v>
      </c>
      <c r="BB281" s="1674">
        <v>0</v>
      </c>
      <c r="BC281" s="700"/>
      <c r="BD281" s="700"/>
      <c r="BE281" s="701"/>
      <c r="BF281" s="701"/>
      <c r="BG281" s="701"/>
      <c r="BH281" s="701">
        <f t="shared" si="587"/>
        <v>0</v>
      </c>
      <c r="BI281" s="701">
        <f t="shared" si="588"/>
        <v>0</v>
      </c>
      <c r="BJ281" s="701">
        <f t="shared" si="589"/>
        <v>0</v>
      </c>
      <c r="BK281" s="701">
        <f t="shared" si="590"/>
        <v>0</v>
      </c>
      <c r="BL281" s="701">
        <f t="shared" si="591"/>
        <v>0</v>
      </c>
      <c r="BM281" s="1582">
        <f t="shared" si="592"/>
        <v>0</v>
      </c>
      <c r="BN281" s="1582">
        <f t="shared" si="593"/>
        <v>0</v>
      </c>
      <c r="BO281" s="1582">
        <f t="shared" si="594"/>
        <v>0</v>
      </c>
      <c r="BP281" s="1582">
        <f t="shared" si="595"/>
        <v>0</v>
      </c>
      <c r="BQ281" s="637"/>
      <c r="BR281" s="638"/>
      <c r="BU281" s="609"/>
      <c r="BV281" s="608"/>
      <c r="BW281" s="608"/>
      <c r="BX281" s="608"/>
    </row>
    <row r="282" spans="2:78" ht="12.75" customHeight="1">
      <c r="B282" s="723"/>
      <c r="C282" s="1485"/>
      <c r="D282" s="681"/>
      <c r="E282" s="681"/>
      <c r="F282" s="1752"/>
      <c r="G282" s="1425"/>
      <c r="H282" s="1425"/>
      <c r="I282" s="1425"/>
      <c r="J282" s="1426"/>
      <c r="K282" s="1423"/>
      <c r="L282" s="1425"/>
      <c r="M282" s="1425"/>
      <c r="N282" s="1426"/>
      <c r="O282" s="1424"/>
      <c r="P282" s="1425"/>
      <c r="Q282" s="1425"/>
      <c r="R282" s="1426"/>
      <c r="S282" s="1424"/>
      <c r="T282" s="1425"/>
      <c r="U282" s="1425"/>
      <c r="V282" s="1426"/>
      <c r="W282" s="1425"/>
      <c r="X282" s="1425"/>
      <c r="Y282" s="1425"/>
      <c r="Z282" s="1426"/>
      <c r="AA282" s="1425"/>
      <c r="AB282" s="1425"/>
      <c r="AC282" s="1425"/>
      <c r="AD282" s="1426"/>
      <c r="AE282" s="1425"/>
      <c r="AF282" s="1425"/>
      <c r="AG282" s="1425"/>
      <c r="AH282" s="1426"/>
      <c r="AI282" s="1425"/>
      <c r="AJ282" s="1425"/>
      <c r="AK282" s="1425"/>
      <c r="AL282" s="1426"/>
      <c r="AM282" s="1425"/>
      <c r="AN282" s="1425"/>
      <c r="AO282" s="1425"/>
      <c r="AP282" s="1426"/>
      <c r="AQ282" s="1425"/>
      <c r="AR282" s="1425"/>
      <c r="AS282" s="1425"/>
      <c r="AT282" s="1426"/>
      <c r="AU282" s="1425"/>
      <c r="AV282" s="1425"/>
      <c r="AW282" s="1425"/>
      <c r="AX282" s="1426"/>
      <c r="AY282" s="1425"/>
      <c r="AZ282" s="1425"/>
      <c r="BA282" s="1425"/>
      <c r="BB282" s="1674"/>
      <c r="BC282" s="707"/>
      <c r="BD282" s="708"/>
      <c r="BE282" s="708"/>
      <c r="BF282" s="708"/>
      <c r="BG282" s="708"/>
      <c r="BH282" s="708"/>
      <c r="BI282" s="708"/>
      <c r="BJ282" s="708"/>
      <c r="BK282" s="708"/>
      <c r="BL282" s="708"/>
      <c r="BM282" s="708"/>
      <c r="BN282" s="708"/>
      <c r="BO282" s="708"/>
      <c r="BP282" s="708"/>
      <c r="BQ282" s="637"/>
      <c r="BR282" s="638"/>
      <c r="BU282" s="609"/>
      <c r="BV282" s="608"/>
      <c r="BW282" s="608"/>
      <c r="BX282" s="608"/>
    </row>
    <row r="283" spans="2:78" ht="12.75" customHeight="1">
      <c r="B283" s="724"/>
      <c r="C283" s="1485"/>
      <c r="D283" s="681"/>
      <c r="E283" s="681"/>
      <c r="F283" s="1753"/>
      <c r="G283" s="641"/>
      <c r="H283" s="641"/>
      <c r="I283" s="641"/>
      <c r="J283" s="642"/>
      <c r="K283" s="710"/>
      <c r="L283" s="641"/>
      <c r="M283" s="641"/>
      <c r="N283" s="642"/>
      <c r="O283" s="640"/>
      <c r="P283" s="641"/>
      <c r="Q283" s="641"/>
      <c r="R283" s="642"/>
      <c r="S283" s="640"/>
      <c r="T283" s="641"/>
      <c r="U283" s="641"/>
      <c r="V283" s="642"/>
      <c r="W283" s="641"/>
      <c r="X283" s="641"/>
      <c r="Y283" s="641"/>
      <c r="Z283" s="642"/>
      <c r="AA283" s="641"/>
      <c r="AB283" s="641"/>
      <c r="AC283" s="641"/>
      <c r="AD283" s="642"/>
      <c r="AE283" s="641"/>
      <c r="AF283" s="641"/>
      <c r="AG283" s="641"/>
      <c r="AH283" s="642"/>
      <c r="AI283" s="641"/>
      <c r="AJ283" s="641"/>
      <c r="AK283" s="641"/>
      <c r="AL283" s="642"/>
      <c r="AM283" s="641"/>
      <c r="AN283" s="641"/>
      <c r="AO283" s="641"/>
      <c r="AP283" s="642"/>
      <c r="AQ283" s="641"/>
      <c r="AR283" s="641"/>
      <c r="AS283" s="641"/>
      <c r="AT283" s="642"/>
      <c r="AU283" s="641"/>
      <c r="AV283" s="641"/>
      <c r="AW283" s="641"/>
      <c r="AX283" s="642"/>
      <c r="AY283" s="641"/>
      <c r="AZ283" s="641"/>
      <c r="BA283" s="641"/>
      <c r="BB283" s="1675"/>
      <c r="BC283" s="711"/>
      <c r="BD283" s="711"/>
      <c r="BE283" s="711"/>
      <c r="BF283" s="711"/>
      <c r="BG283" s="711"/>
      <c r="BH283" s="711"/>
      <c r="BI283" s="711"/>
      <c r="BJ283" s="711"/>
      <c r="BK283" s="711"/>
      <c r="BL283" s="711"/>
      <c r="BM283" s="711"/>
      <c r="BN283" s="711"/>
      <c r="BO283" s="711"/>
      <c r="BP283" s="711"/>
      <c r="BQ283" s="637"/>
      <c r="BR283" s="682"/>
      <c r="BU283" s="609"/>
      <c r="BV283" s="608"/>
      <c r="BW283" s="608"/>
      <c r="BX283" s="608"/>
    </row>
    <row r="284" spans="2:78" ht="12.75" customHeight="1">
      <c r="B284" s="725"/>
      <c r="C284" s="1486"/>
      <c r="D284" s="649"/>
      <c r="E284" s="649"/>
      <c r="F284" s="1754"/>
      <c r="G284" s="714"/>
      <c r="H284" s="714"/>
      <c r="I284" s="714"/>
      <c r="J284" s="715"/>
      <c r="K284" s="714"/>
      <c r="L284" s="714"/>
      <c r="M284" s="714"/>
      <c r="N284" s="715"/>
      <c r="O284" s="710"/>
      <c r="P284" s="714"/>
      <c r="Q284" s="714"/>
      <c r="R284" s="715"/>
      <c r="S284" s="710"/>
      <c r="T284" s="714"/>
      <c r="U284" s="714"/>
      <c r="V284" s="715"/>
      <c r="W284" s="714"/>
      <c r="X284" s="714"/>
      <c r="Y284" s="714"/>
      <c r="Z284" s="715"/>
      <c r="AA284" s="714"/>
      <c r="AB284" s="714"/>
      <c r="AC284" s="714"/>
      <c r="AD284" s="715"/>
      <c r="AE284" s="714"/>
      <c r="AF284" s="714"/>
      <c r="AG284" s="714"/>
      <c r="AH284" s="715"/>
      <c r="AI284" s="714"/>
      <c r="AJ284" s="714"/>
      <c r="AK284" s="714"/>
      <c r="AL284" s="715"/>
      <c r="AM284" s="714"/>
      <c r="AN284" s="714"/>
      <c r="AO284" s="714"/>
      <c r="AP284" s="715"/>
      <c r="AQ284" s="714"/>
      <c r="AR284" s="714"/>
      <c r="AS284" s="714"/>
      <c r="AT284" s="715"/>
      <c r="AU284" s="714"/>
      <c r="AV284" s="714"/>
      <c r="AW284" s="714"/>
      <c r="AX284" s="715"/>
      <c r="AY284" s="714"/>
      <c r="AZ284" s="714"/>
      <c r="BA284" s="714"/>
      <c r="BB284" s="1676"/>
      <c r="BC284" s="681"/>
      <c r="BD284" s="681"/>
      <c r="BE284" s="681"/>
      <c r="BF284" s="681"/>
      <c r="BG284" s="681"/>
      <c r="BH284" s="681"/>
      <c r="BI284" s="681"/>
      <c r="BJ284" s="681"/>
      <c r="BK284" s="681"/>
      <c r="BL284" s="681"/>
      <c r="BM284" s="681"/>
      <c r="BN284" s="681"/>
      <c r="BO284" s="681"/>
      <c r="BP284" s="681"/>
      <c r="BQ284" s="637"/>
      <c r="BR284" s="682"/>
      <c r="BU284" s="609"/>
      <c r="BV284" s="608"/>
      <c r="BW284" s="608"/>
      <c r="BX284" s="608"/>
    </row>
    <row r="285" spans="2:78" ht="12.75" customHeight="1" thickBot="1">
      <c r="B285" s="726"/>
      <c r="C285" s="727"/>
      <c r="D285" s="728"/>
      <c r="E285" s="728"/>
      <c r="F285" s="1487"/>
      <c r="G285" s="729"/>
      <c r="H285" s="728"/>
      <c r="I285" s="730"/>
      <c r="J285" s="730"/>
      <c r="K285" s="730"/>
      <c r="L285" s="730"/>
      <c r="M285" s="730"/>
      <c r="N285" s="730"/>
      <c r="O285" s="730"/>
      <c r="P285" s="730"/>
      <c r="Q285" s="730"/>
      <c r="R285" s="730"/>
      <c r="S285" s="729"/>
      <c r="T285" s="730"/>
      <c r="U285" s="730"/>
      <c r="V285" s="730"/>
      <c r="W285" s="730"/>
      <c r="X285" s="730"/>
      <c r="Y285" s="730"/>
      <c r="Z285" s="729"/>
      <c r="AA285" s="730"/>
      <c r="AB285" s="730"/>
      <c r="AC285" s="730"/>
      <c r="AD285" s="730"/>
      <c r="AE285" s="730"/>
      <c r="AF285" s="730"/>
      <c r="AG285" s="730"/>
      <c r="AH285" s="730"/>
      <c r="AI285" s="730"/>
      <c r="AJ285" s="730"/>
      <c r="AK285" s="730"/>
      <c r="AL285" s="730"/>
      <c r="AM285" s="730"/>
      <c r="AN285" s="730"/>
      <c r="AO285" s="730"/>
      <c r="AP285" s="730"/>
      <c r="AQ285" s="730"/>
      <c r="AR285" s="730"/>
      <c r="AS285" s="730"/>
      <c r="AT285" s="730"/>
      <c r="AU285" s="730"/>
      <c r="AV285" s="730"/>
      <c r="AW285" s="730"/>
      <c r="AX285" s="730"/>
      <c r="AY285" s="730"/>
      <c r="AZ285" s="730"/>
      <c r="BA285" s="730"/>
      <c r="BB285" s="1677"/>
      <c r="BC285" s="719"/>
      <c r="BD285" s="719"/>
      <c r="BE285" s="719"/>
      <c r="BF285" s="719"/>
      <c r="BG285" s="719"/>
      <c r="BH285" s="719"/>
      <c r="BI285" s="719"/>
      <c r="BJ285" s="719"/>
      <c r="BK285" s="719"/>
      <c r="BL285" s="719"/>
      <c r="BM285" s="719"/>
      <c r="BN285" s="719"/>
      <c r="BO285" s="719"/>
      <c r="BP285" s="719"/>
      <c r="BQ285" s="720"/>
      <c r="BR285" s="682"/>
      <c r="BU285" s="609"/>
      <c r="BV285" s="608"/>
      <c r="BW285" s="608"/>
      <c r="BX285" s="608"/>
    </row>
    <row r="286" spans="2:78" ht="12.75" customHeight="1">
      <c r="G286" s="580"/>
      <c r="H286" s="580"/>
      <c r="I286" s="580"/>
      <c r="J286" s="580"/>
      <c r="BG286" s="580"/>
      <c r="BH286" s="580"/>
      <c r="BI286" s="580"/>
      <c r="BJ286" s="580"/>
      <c r="BK286" s="580"/>
      <c r="BL286" s="580"/>
      <c r="BM286" s="580"/>
      <c r="BN286" s="580"/>
      <c r="BO286" s="580"/>
      <c r="BP286" s="580"/>
      <c r="BQ286" s="580"/>
      <c r="BU286" s="609"/>
      <c r="BV286" s="608"/>
      <c r="BW286" s="608"/>
      <c r="BX286" s="608"/>
    </row>
    <row r="287" spans="2:78" ht="12.75" customHeight="1">
      <c r="B287" s="723"/>
      <c r="C287" s="627"/>
      <c r="D287" s="627"/>
      <c r="E287" s="627"/>
      <c r="F287" s="1488"/>
      <c r="G287" s="731"/>
      <c r="H287" s="731"/>
      <c r="I287" s="731"/>
      <c r="J287" s="731"/>
      <c r="K287" s="627"/>
      <c r="L287" s="627"/>
      <c r="M287" s="627"/>
      <c r="N287" s="627"/>
      <c r="O287" s="627"/>
      <c r="P287" s="627"/>
      <c r="Q287" s="627"/>
      <c r="R287" s="627"/>
      <c r="S287" s="627"/>
      <c r="T287" s="627"/>
      <c r="U287" s="627"/>
      <c r="V287" s="627"/>
      <c r="W287" s="627"/>
      <c r="X287" s="627"/>
      <c r="Y287" s="627"/>
      <c r="Z287" s="627"/>
      <c r="AA287" s="627"/>
      <c r="AB287" s="627"/>
      <c r="AC287" s="627"/>
      <c r="AD287" s="627"/>
      <c r="AE287" s="627"/>
      <c r="AF287" s="627"/>
      <c r="AG287" s="627"/>
      <c r="AH287" s="627"/>
      <c r="AI287" s="627"/>
      <c r="AJ287" s="627"/>
      <c r="AK287" s="627"/>
      <c r="AL287" s="627"/>
      <c r="AM287" s="627"/>
      <c r="AN287" s="627"/>
      <c r="AO287" s="627"/>
      <c r="AP287" s="627"/>
      <c r="AQ287" s="627"/>
      <c r="AR287" s="627"/>
      <c r="AS287" s="627"/>
      <c r="AT287" s="627"/>
      <c r="AU287" s="627"/>
      <c r="AV287" s="627"/>
      <c r="AW287" s="627"/>
      <c r="AX287" s="627"/>
      <c r="AY287" s="627"/>
      <c r="AZ287" s="627"/>
      <c r="BA287" s="627"/>
      <c r="BB287" s="627"/>
      <c r="BC287" s="627"/>
      <c r="BD287" s="627"/>
      <c r="BE287" s="627"/>
      <c r="BF287" s="627"/>
      <c r="BR287" s="627"/>
      <c r="BS287" s="627"/>
      <c r="BT287" s="627"/>
      <c r="BU287" s="609"/>
      <c r="BV287" s="608"/>
      <c r="BW287" s="608"/>
      <c r="BX287" s="608"/>
      <c r="BY287" s="627"/>
      <c r="BZ287" s="627"/>
    </row>
    <row r="288" spans="2:78" ht="12.75" customHeight="1">
      <c r="B288" s="723"/>
      <c r="C288" s="627"/>
      <c r="D288" s="627"/>
      <c r="E288" s="627"/>
      <c r="F288" s="1488"/>
      <c r="G288" s="731"/>
      <c r="H288" s="731"/>
      <c r="I288" s="731"/>
      <c r="J288" s="731"/>
      <c r="K288" s="627"/>
      <c r="L288" s="627"/>
      <c r="M288" s="627"/>
      <c r="N288" s="627"/>
      <c r="O288" s="627"/>
      <c r="P288" s="627"/>
      <c r="Q288" s="627"/>
      <c r="R288" s="627"/>
      <c r="S288" s="627"/>
      <c r="T288" s="627"/>
      <c r="U288" s="627"/>
      <c r="V288" s="627"/>
      <c r="W288" s="627"/>
      <c r="X288" s="627"/>
      <c r="Y288" s="627"/>
      <c r="Z288" s="627"/>
      <c r="AA288" s="627"/>
      <c r="AB288" s="627"/>
      <c r="AC288" s="627"/>
      <c r="AD288" s="627"/>
      <c r="AE288" s="627"/>
      <c r="AF288" s="627"/>
      <c r="AG288" s="627"/>
      <c r="AH288" s="627"/>
      <c r="AI288" s="627"/>
      <c r="AJ288" s="627"/>
      <c r="AK288" s="627"/>
      <c r="AL288" s="627"/>
      <c r="AM288" s="627"/>
      <c r="AN288" s="627"/>
      <c r="AO288" s="627"/>
      <c r="AP288" s="627"/>
      <c r="AQ288" s="627"/>
      <c r="AR288" s="627"/>
      <c r="AS288" s="627"/>
      <c r="AT288" s="627"/>
      <c r="AU288" s="627"/>
      <c r="AV288" s="627"/>
      <c r="AW288" s="627"/>
      <c r="AX288" s="627"/>
      <c r="AY288" s="627"/>
      <c r="AZ288" s="627"/>
      <c r="BA288" s="627"/>
      <c r="BB288" s="627"/>
      <c r="BC288" s="627"/>
      <c r="BD288" s="627"/>
      <c r="BE288" s="627"/>
      <c r="BF288" s="627"/>
      <c r="BR288" s="627"/>
      <c r="BS288" s="627"/>
      <c r="BT288" s="627"/>
      <c r="BU288" s="609"/>
      <c r="BV288" s="608"/>
      <c r="BW288" s="608"/>
      <c r="BX288" s="608"/>
      <c r="BY288" s="627"/>
      <c r="BZ288" s="627"/>
    </row>
    <row r="289" spans="2:78" ht="12.75" customHeight="1">
      <c r="B289" s="723"/>
      <c r="C289" s="627"/>
      <c r="D289" s="627"/>
      <c r="E289" s="627"/>
      <c r="F289" s="1488"/>
      <c r="G289" s="731"/>
      <c r="H289" s="731"/>
      <c r="I289" s="731"/>
      <c r="J289" s="731"/>
      <c r="K289" s="627"/>
      <c r="L289" s="627"/>
      <c r="M289" s="627"/>
      <c r="N289" s="627"/>
      <c r="O289" s="627"/>
      <c r="P289" s="627"/>
      <c r="Q289" s="627"/>
      <c r="R289" s="627"/>
      <c r="S289" s="627"/>
      <c r="T289" s="627"/>
      <c r="U289" s="627"/>
      <c r="V289" s="627"/>
      <c r="W289" s="627"/>
      <c r="X289" s="627"/>
      <c r="Y289" s="627"/>
      <c r="Z289" s="627"/>
      <c r="AA289" s="627"/>
      <c r="AB289" s="627"/>
      <c r="AC289" s="627"/>
      <c r="AD289" s="627"/>
      <c r="AE289" s="627"/>
      <c r="AF289" s="627"/>
      <c r="AG289" s="627"/>
      <c r="AH289" s="627"/>
      <c r="AI289" s="627"/>
      <c r="AJ289" s="627"/>
      <c r="AK289" s="627"/>
      <c r="AL289" s="627"/>
      <c r="AM289" s="627"/>
      <c r="AN289" s="627"/>
      <c r="AO289" s="627"/>
      <c r="AP289" s="627"/>
      <c r="AQ289" s="627"/>
      <c r="AR289" s="627"/>
      <c r="AS289" s="627"/>
      <c r="AT289" s="627"/>
      <c r="AU289" s="627"/>
      <c r="AV289" s="627"/>
      <c r="AW289" s="627"/>
      <c r="AX289" s="627"/>
      <c r="AY289" s="627"/>
      <c r="AZ289" s="627"/>
      <c r="BA289" s="627"/>
      <c r="BB289" s="627"/>
      <c r="BC289" s="627"/>
      <c r="BD289" s="627"/>
      <c r="BE289" s="627"/>
      <c r="BF289" s="627"/>
      <c r="BR289" s="627"/>
      <c r="BS289" s="627"/>
      <c r="BT289" s="627"/>
      <c r="BU289" s="609"/>
      <c r="BV289" s="608"/>
      <c r="BW289" s="608"/>
      <c r="BX289" s="608"/>
      <c r="BY289" s="627"/>
      <c r="BZ289" s="627"/>
    </row>
    <row r="290" spans="2:78" ht="12.75" customHeight="1">
      <c r="B290" s="723"/>
      <c r="C290" s="627"/>
      <c r="D290" s="627"/>
      <c r="E290" s="627"/>
      <c r="F290" s="1488"/>
      <c r="G290" s="731"/>
      <c r="H290" s="731"/>
      <c r="I290" s="731"/>
      <c r="J290" s="731"/>
      <c r="K290" s="627"/>
      <c r="L290" s="627"/>
      <c r="M290" s="627"/>
      <c r="N290" s="627"/>
      <c r="O290" s="627"/>
      <c r="P290" s="627"/>
      <c r="Q290" s="627"/>
      <c r="R290" s="627"/>
      <c r="S290" s="627"/>
      <c r="T290" s="627"/>
      <c r="U290" s="627"/>
      <c r="V290" s="627"/>
      <c r="W290" s="627"/>
      <c r="X290" s="627"/>
      <c r="Y290" s="627"/>
      <c r="Z290" s="627"/>
      <c r="AA290" s="627"/>
      <c r="AB290" s="627"/>
      <c r="AC290" s="627"/>
      <c r="AD290" s="627"/>
      <c r="AE290" s="627"/>
      <c r="AF290" s="627"/>
      <c r="AG290" s="627"/>
      <c r="AH290" s="627"/>
      <c r="AI290" s="627"/>
      <c r="AJ290" s="627"/>
      <c r="AK290" s="627"/>
      <c r="AL290" s="627"/>
      <c r="AM290" s="627"/>
      <c r="AN290" s="627"/>
      <c r="AO290" s="627"/>
      <c r="AP290" s="627"/>
      <c r="AQ290" s="627"/>
      <c r="AR290" s="627"/>
      <c r="AS290" s="627"/>
      <c r="AT290" s="627"/>
      <c r="AU290" s="627"/>
      <c r="AV290" s="627"/>
      <c r="AW290" s="627"/>
      <c r="AX290" s="627"/>
      <c r="AY290" s="627"/>
      <c r="AZ290" s="627"/>
      <c r="BA290" s="627"/>
      <c r="BB290" s="627"/>
      <c r="BC290" s="627"/>
      <c r="BD290" s="627"/>
      <c r="BE290" s="627"/>
      <c r="BF290" s="627"/>
      <c r="BR290" s="627"/>
      <c r="BS290" s="627"/>
      <c r="BT290" s="627"/>
      <c r="BU290" s="609"/>
      <c r="BV290" s="608"/>
      <c r="BW290" s="608"/>
      <c r="BX290" s="608"/>
      <c r="BY290" s="627"/>
      <c r="BZ290" s="627"/>
    </row>
    <row r="291" spans="2:78" ht="12.75" customHeight="1">
      <c r="B291" s="723"/>
      <c r="C291" s="627"/>
      <c r="D291" s="627"/>
      <c r="E291" s="627"/>
      <c r="F291" s="1488"/>
      <c r="G291" s="731"/>
      <c r="H291" s="731"/>
      <c r="I291" s="731"/>
      <c r="J291" s="731"/>
      <c r="K291" s="627"/>
      <c r="L291" s="627"/>
      <c r="M291" s="627"/>
      <c r="N291" s="627"/>
      <c r="O291" s="627"/>
      <c r="P291" s="627"/>
      <c r="Q291" s="627"/>
      <c r="R291" s="627"/>
      <c r="S291" s="627"/>
      <c r="T291" s="627"/>
      <c r="U291" s="627"/>
      <c r="V291" s="627"/>
      <c r="W291" s="627"/>
      <c r="X291" s="627"/>
      <c r="Y291" s="627"/>
      <c r="Z291" s="627"/>
      <c r="AA291" s="627"/>
      <c r="AB291" s="627"/>
      <c r="AC291" s="627"/>
      <c r="AD291" s="627"/>
      <c r="AE291" s="627"/>
      <c r="AF291" s="627"/>
      <c r="AG291" s="627"/>
      <c r="AH291" s="627"/>
      <c r="AI291" s="627"/>
      <c r="AJ291" s="627"/>
      <c r="AK291" s="627"/>
      <c r="AL291" s="627"/>
      <c r="AM291" s="627"/>
      <c r="AN291" s="627"/>
      <c r="AO291" s="627"/>
      <c r="AP291" s="627"/>
      <c r="AQ291" s="627"/>
      <c r="AR291" s="627"/>
      <c r="AS291" s="627"/>
      <c r="AT291" s="627"/>
      <c r="AU291" s="627"/>
      <c r="AV291" s="627"/>
      <c r="AW291" s="627"/>
      <c r="AX291" s="627"/>
      <c r="AY291" s="627"/>
      <c r="AZ291" s="627"/>
      <c r="BA291" s="627"/>
      <c r="BB291" s="627"/>
      <c r="BC291" s="627"/>
      <c r="BD291" s="627"/>
      <c r="BE291" s="627"/>
      <c r="BF291" s="627"/>
      <c r="BR291" s="627"/>
      <c r="BS291" s="627"/>
      <c r="BT291" s="627"/>
      <c r="BU291" s="609"/>
      <c r="BV291" s="608"/>
      <c r="BW291" s="608"/>
      <c r="BX291" s="608"/>
      <c r="BY291" s="627"/>
      <c r="BZ291" s="627"/>
    </row>
    <row r="292" spans="2:78" ht="12.75" customHeight="1">
      <c r="B292" s="723"/>
      <c r="C292" s="627"/>
      <c r="D292" s="627"/>
      <c r="E292" s="627"/>
      <c r="F292" s="1488"/>
      <c r="G292" s="731"/>
      <c r="H292" s="731"/>
      <c r="I292" s="731"/>
      <c r="J292" s="731"/>
      <c r="K292" s="627"/>
      <c r="L292" s="627"/>
      <c r="M292" s="627"/>
      <c r="N292" s="627"/>
      <c r="O292" s="627"/>
      <c r="P292" s="627"/>
      <c r="Q292" s="627"/>
      <c r="R292" s="627"/>
      <c r="S292" s="627"/>
      <c r="T292" s="627"/>
      <c r="U292" s="627"/>
      <c r="V292" s="627"/>
      <c r="W292" s="627"/>
      <c r="X292" s="627"/>
      <c r="Y292" s="627"/>
      <c r="Z292" s="627"/>
      <c r="AA292" s="627"/>
      <c r="AB292" s="627"/>
      <c r="AC292" s="627"/>
      <c r="AD292" s="627"/>
      <c r="AE292" s="627"/>
      <c r="AF292" s="627"/>
      <c r="AG292" s="627"/>
      <c r="AH292" s="627"/>
      <c r="AI292" s="627"/>
      <c r="AJ292" s="627"/>
      <c r="AK292" s="627"/>
      <c r="AL292" s="627"/>
      <c r="AM292" s="627"/>
      <c r="AN292" s="627"/>
      <c r="AO292" s="627"/>
      <c r="AP292" s="627"/>
      <c r="AQ292" s="627"/>
      <c r="AR292" s="627"/>
      <c r="AS292" s="627"/>
      <c r="AT292" s="627"/>
      <c r="AU292" s="627"/>
      <c r="AV292" s="627"/>
      <c r="AW292" s="627"/>
      <c r="AX292" s="627"/>
      <c r="AY292" s="627"/>
      <c r="AZ292" s="627"/>
      <c r="BA292" s="627"/>
      <c r="BB292" s="627"/>
      <c r="BC292" s="627"/>
      <c r="BD292" s="627"/>
      <c r="BE292" s="627"/>
      <c r="BF292" s="627"/>
      <c r="BR292" s="627"/>
      <c r="BS292" s="627"/>
      <c r="BT292" s="627"/>
      <c r="BU292" s="609"/>
      <c r="BV292" s="608"/>
      <c r="BW292" s="608"/>
      <c r="BX292" s="608"/>
      <c r="BY292" s="627"/>
      <c r="BZ292" s="627"/>
    </row>
    <row r="293" spans="2:78" ht="12.75" customHeight="1">
      <c r="B293" s="723"/>
      <c r="C293" s="627"/>
      <c r="D293" s="627"/>
      <c r="E293" s="627"/>
      <c r="F293" s="1488"/>
      <c r="G293" s="731"/>
      <c r="H293" s="731"/>
      <c r="I293" s="731"/>
      <c r="J293" s="731"/>
      <c r="K293" s="627"/>
      <c r="L293" s="627"/>
      <c r="M293" s="627"/>
      <c r="N293" s="627"/>
      <c r="O293" s="627"/>
      <c r="P293" s="627"/>
      <c r="Q293" s="627"/>
      <c r="R293" s="627"/>
      <c r="S293" s="627"/>
      <c r="T293" s="627"/>
      <c r="U293" s="627"/>
      <c r="V293" s="627"/>
      <c r="W293" s="627"/>
      <c r="X293" s="627"/>
      <c r="Y293" s="627"/>
      <c r="Z293" s="627"/>
      <c r="AA293" s="627"/>
      <c r="AB293" s="627"/>
      <c r="AC293" s="627"/>
      <c r="AD293" s="627"/>
      <c r="AE293" s="627"/>
      <c r="AF293" s="627"/>
      <c r="AG293" s="627"/>
      <c r="AH293" s="627"/>
      <c r="AI293" s="627"/>
      <c r="AJ293" s="627"/>
      <c r="AK293" s="627"/>
      <c r="AL293" s="627"/>
      <c r="AM293" s="627"/>
      <c r="AN293" s="627"/>
      <c r="AO293" s="627"/>
      <c r="AP293" s="627"/>
      <c r="AQ293" s="627"/>
      <c r="AR293" s="627"/>
      <c r="AS293" s="627"/>
      <c r="AT293" s="627"/>
      <c r="AU293" s="627"/>
      <c r="AV293" s="627"/>
      <c r="AW293" s="627"/>
      <c r="AX293" s="627"/>
      <c r="AY293" s="627"/>
      <c r="AZ293" s="627"/>
      <c r="BA293" s="627"/>
      <c r="BB293" s="627"/>
      <c r="BC293" s="627"/>
      <c r="BD293" s="627"/>
      <c r="BE293" s="627"/>
      <c r="BF293" s="627"/>
      <c r="BR293" s="627"/>
      <c r="BS293" s="627"/>
      <c r="BT293" s="627"/>
      <c r="BU293" s="609"/>
      <c r="BV293" s="608"/>
      <c r="BW293" s="608"/>
      <c r="BX293" s="608"/>
      <c r="BY293" s="627"/>
      <c r="BZ293" s="627"/>
    </row>
    <row r="294" spans="2:78" ht="12.75" customHeight="1">
      <c r="B294" s="723"/>
      <c r="C294" s="627"/>
      <c r="D294" s="627"/>
      <c r="E294" s="627"/>
      <c r="F294" s="1488"/>
      <c r="G294" s="731"/>
      <c r="H294" s="731"/>
      <c r="I294" s="731"/>
      <c r="J294" s="731"/>
      <c r="K294" s="627"/>
      <c r="L294" s="627"/>
      <c r="M294" s="627"/>
      <c r="N294" s="627"/>
      <c r="O294" s="627"/>
      <c r="P294" s="627"/>
      <c r="Q294" s="627"/>
      <c r="R294" s="627"/>
      <c r="S294" s="627"/>
      <c r="T294" s="627"/>
      <c r="U294" s="627"/>
      <c r="V294" s="627"/>
      <c r="W294" s="627"/>
      <c r="X294" s="627"/>
      <c r="Y294" s="627"/>
      <c r="Z294" s="627"/>
      <c r="AA294" s="627"/>
      <c r="AB294" s="627"/>
      <c r="AC294" s="627"/>
      <c r="AD294" s="627"/>
      <c r="AE294" s="627"/>
      <c r="AF294" s="627"/>
      <c r="AG294" s="627"/>
      <c r="AH294" s="627"/>
      <c r="AI294" s="627"/>
      <c r="AJ294" s="627"/>
      <c r="AK294" s="627"/>
      <c r="AL294" s="627"/>
      <c r="AM294" s="627"/>
      <c r="AN294" s="627"/>
      <c r="AO294" s="627"/>
      <c r="AP294" s="627"/>
      <c r="AQ294" s="627"/>
      <c r="AR294" s="627"/>
      <c r="AS294" s="627"/>
      <c r="AT294" s="627"/>
      <c r="AU294" s="627"/>
      <c r="AV294" s="627"/>
      <c r="AW294" s="627"/>
      <c r="AX294" s="627"/>
      <c r="AY294" s="627"/>
      <c r="AZ294" s="627"/>
      <c r="BA294" s="627"/>
      <c r="BB294" s="627"/>
      <c r="BC294" s="627"/>
      <c r="BD294" s="627"/>
      <c r="BE294" s="627"/>
      <c r="BF294" s="627"/>
      <c r="BR294" s="627"/>
      <c r="BS294" s="627"/>
      <c r="BT294" s="627"/>
      <c r="BU294" s="609"/>
      <c r="BV294" s="608"/>
      <c r="BW294" s="608"/>
      <c r="BX294" s="608"/>
      <c r="BY294" s="627"/>
      <c r="BZ294" s="627"/>
    </row>
    <row r="295" spans="2:78" ht="12.75" customHeight="1">
      <c r="B295" s="723"/>
      <c r="C295" s="627"/>
      <c r="D295" s="627"/>
      <c r="E295" s="627"/>
      <c r="F295" s="1488"/>
      <c r="G295" s="731"/>
      <c r="H295" s="731"/>
      <c r="I295" s="731"/>
      <c r="J295" s="731"/>
      <c r="K295" s="627"/>
      <c r="L295" s="627"/>
      <c r="M295" s="627"/>
      <c r="N295" s="627"/>
      <c r="O295" s="627"/>
      <c r="P295" s="627"/>
      <c r="Q295" s="627"/>
      <c r="R295" s="627"/>
      <c r="S295" s="627"/>
      <c r="T295" s="627"/>
      <c r="U295" s="627"/>
      <c r="V295" s="627"/>
      <c r="W295" s="627"/>
      <c r="X295" s="627"/>
      <c r="Y295" s="627"/>
      <c r="Z295" s="627"/>
      <c r="AA295" s="627"/>
      <c r="AB295" s="627"/>
      <c r="AC295" s="627"/>
      <c r="AD295" s="627"/>
      <c r="AE295" s="627"/>
      <c r="AF295" s="627"/>
      <c r="AG295" s="627"/>
      <c r="AH295" s="627"/>
      <c r="AI295" s="627"/>
      <c r="AJ295" s="627"/>
      <c r="AK295" s="627"/>
      <c r="AL295" s="627"/>
      <c r="AM295" s="627"/>
      <c r="AN295" s="627"/>
      <c r="AO295" s="627"/>
      <c r="AP295" s="627"/>
      <c r="AQ295" s="627"/>
      <c r="AR295" s="627"/>
      <c r="AS295" s="627"/>
      <c r="AT295" s="627"/>
      <c r="AU295" s="627"/>
      <c r="AV295" s="627"/>
      <c r="AW295" s="627"/>
      <c r="AX295" s="627"/>
      <c r="AY295" s="627"/>
      <c r="AZ295" s="627"/>
      <c r="BA295" s="627"/>
      <c r="BB295" s="627"/>
      <c r="BC295" s="627"/>
      <c r="BD295" s="627"/>
      <c r="BE295" s="627"/>
      <c r="BF295" s="627"/>
      <c r="BR295" s="627"/>
      <c r="BS295" s="627"/>
      <c r="BT295" s="627"/>
      <c r="BU295" s="609"/>
      <c r="BV295" s="608"/>
      <c r="BW295" s="608"/>
      <c r="BX295" s="608"/>
      <c r="BY295" s="627"/>
      <c r="BZ295" s="627"/>
    </row>
    <row r="296" spans="2:78" ht="12.75" customHeight="1">
      <c r="B296" s="723"/>
      <c r="C296" s="627"/>
      <c r="D296" s="627"/>
      <c r="E296" s="627"/>
      <c r="F296" s="1488"/>
      <c r="G296" s="731"/>
      <c r="H296" s="731"/>
      <c r="I296" s="731"/>
      <c r="J296" s="731"/>
      <c r="K296" s="627"/>
      <c r="L296" s="627"/>
      <c r="M296" s="627"/>
      <c r="N296" s="627"/>
      <c r="O296" s="627"/>
      <c r="P296" s="627"/>
      <c r="Q296" s="627"/>
      <c r="R296" s="627"/>
      <c r="S296" s="627"/>
      <c r="T296" s="627"/>
      <c r="U296" s="627"/>
      <c r="V296" s="627"/>
      <c r="W296" s="627"/>
      <c r="X296" s="627"/>
      <c r="Y296" s="627"/>
      <c r="Z296" s="627"/>
      <c r="AA296" s="627"/>
      <c r="AB296" s="627"/>
      <c r="AC296" s="627"/>
      <c r="AD296" s="627"/>
      <c r="AE296" s="627"/>
      <c r="AF296" s="627"/>
      <c r="AG296" s="627"/>
      <c r="AH296" s="627"/>
      <c r="AI296" s="627"/>
      <c r="AJ296" s="627"/>
      <c r="AK296" s="627"/>
      <c r="AL296" s="627"/>
      <c r="AM296" s="627"/>
      <c r="AN296" s="627"/>
      <c r="AO296" s="627"/>
      <c r="AP296" s="627"/>
      <c r="AQ296" s="627"/>
      <c r="AR296" s="627"/>
      <c r="AS296" s="627"/>
      <c r="AT296" s="627"/>
      <c r="AU296" s="627"/>
      <c r="AV296" s="627"/>
      <c r="AW296" s="627"/>
      <c r="AX296" s="627"/>
      <c r="AY296" s="627"/>
      <c r="AZ296" s="627"/>
      <c r="BA296" s="627"/>
      <c r="BB296" s="627"/>
      <c r="BC296" s="627"/>
      <c r="BD296" s="627"/>
      <c r="BE296" s="627"/>
      <c r="BF296" s="627"/>
      <c r="BR296" s="627"/>
      <c r="BS296" s="627"/>
      <c r="BT296" s="627"/>
      <c r="BU296" s="609"/>
      <c r="BV296" s="608"/>
      <c r="BW296" s="608"/>
      <c r="BX296" s="608"/>
      <c r="BY296" s="627"/>
      <c r="BZ296" s="627"/>
    </row>
    <row r="297" spans="2:78" ht="12.75" customHeight="1">
      <c r="B297" s="723"/>
      <c r="C297" s="627"/>
      <c r="D297" s="627"/>
      <c r="E297" s="627"/>
      <c r="F297" s="1488"/>
      <c r="G297" s="731"/>
      <c r="H297" s="731"/>
      <c r="I297" s="731"/>
      <c r="J297" s="731"/>
      <c r="K297" s="627"/>
      <c r="L297" s="627"/>
      <c r="M297" s="627"/>
      <c r="N297" s="627"/>
      <c r="O297" s="627"/>
      <c r="P297" s="627"/>
      <c r="Q297" s="627"/>
      <c r="R297" s="627"/>
      <c r="S297" s="627"/>
      <c r="T297" s="627"/>
      <c r="U297" s="627"/>
      <c r="V297" s="627"/>
      <c r="W297" s="627"/>
      <c r="X297" s="627"/>
      <c r="Y297" s="627"/>
      <c r="Z297" s="627"/>
      <c r="AA297" s="627"/>
      <c r="AB297" s="627"/>
      <c r="AC297" s="627"/>
      <c r="AD297" s="627"/>
      <c r="AE297" s="627"/>
      <c r="AF297" s="627"/>
      <c r="AG297" s="627"/>
      <c r="AH297" s="627"/>
      <c r="AI297" s="627"/>
      <c r="AJ297" s="627"/>
      <c r="AK297" s="627"/>
      <c r="AL297" s="627"/>
      <c r="AM297" s="627"/>
      <c r="AN297" s="627"/>
      <c r="AO297" s="627"/>
      <c r="AP297" s="627"/>
      <c r="AQ297" s="627"/>
      <c r="AR297" s="627"/>
      <c r="AS297" s="627"/>
      <c r="AT297" s="627"/>
      <c r="AU297" s="627"/>
      <c r="AV297" s="627"/>
      <c r="AW297" s="627"/>
      <c r="AX297" s="627"/>
      <c r="AY297" s="627"/>
      <c r="AZ297" s="627"/>
      <c r="BA297" s="627"/>
      <c r="BB297" s="627"/>
      <c r="BC297" s="627"/>
      <c r="BD297" s="627"/>
      <c r="BE297" s="627"/>
      <c r="BF297" s="627"/>
      <c r="BR297" s="627"/>
      <c r="BS297" s="627"/>
      <c r="BT297" s="627"/>
      <c r="BU297" s="609"/>
      <c r="BV297" s="608"/>
      <c r="BW297" s="608"/>
      <c r="BX297" s="608"/>
      <c r="BY297" s="627"/>
      <c r="BZ297" s="627"/>
    </row>
    <row r="298" spans="2:78" ht="12.75" customHeight="1">
      <c r="B298" s="723"/>
      <c r="C298" s="627"/>
      <c r="D298" s="627"/>
      <c r="E298" s="627"/>
      <c r="F298" s="1488"/>
      <c r="G298" s="731"/>
      <c r="H298" s="731"/>
      <c r="I298" s="731"/>
      <c r="J298" s="731"/>
      <c r="K298" s="627"/>
      <c r="L298" s="627"/>
      <c r="M298" s="627"/>
      <c r="N298" s="627"/>
      <c r="O298" s="627"/>
      <c r="P298" s="627"/>
      <c r="Q298" s="627"/>
      <c r="R298" s="627"/>
      <c r="S298" s="627"/>
      <c r="T298" s="627"/>
      <c r="U298" s="627"/>
      <c r="V298" s="627"/>
      <c r="W298" s="627"/>
      <c r="X298" s="627"/>
      <c r="Y298" s="627"/>
      <c r="Z298" s="627"/>
      <c r="AA298" s="627"/>
      <c r="AB298" s="627"/>
      <c r="AC298" s="627"/>
      <c r="AD298" s="627"/>
      <c r="AE298" s="627"/>
      <c r="AF298" s="627"/>
      <c r="AG298" s="627"/>
      <c r="AH298" s="627"/>
      <c r="AI298" s="627"/>
      <c r="AJ298" s="627"/>
      <c r="AK298" s="627"/>
      <c r="AL298" s="627"/>
      <c r="AM298" s="627"/>
      <c r="AN298" s="627"/>
      <c r="AO298" s="627"/>
      <c r="AP298" s="627"/>
      <c r="AQ298" s="627"/>
      <c r="AR298" s="627"/>
      <c r="AS298" s="627"/>
      <c r="AT298" s="627"/>
      <c r="AU298" s="627"/>
      <c r="AV298" s="627"/>
      <c r="AW298" s="627"/>
      <c r="AX298" s="627"/>
      <c r="AY298" s="627"/>
      <c r="AZ298" s="627"/>
      <c r="BA298" s="627"/>
      <c r="BB298" s="627"/>
      <c r="BC298" s="627"/>
      <c r="BD298" s="627"/>
      <c r="BE298" s="627"/>
      <c r="BF298" s="627"/>
      <c r="BR298" s="627"/>
      <c r="BS298" s="627"/>
      <c r="BT298" s="627"/>
      <c r="BU298" s="609"/>
      <c r="BV298" s="608"/>
      <c r="BW298" s="608"/>
      <c r="BX298" s="608"/>
      <c r="BY298" s="627"/>
      <c r="BZ298" s="627"/>
    </row>
    <row r="299" spans="2:78" ht="12.75" customHeight="1">
      <c r="B299" s="723"/>
      <c r="C299" s="627"/>
      <c r="D299" s="627"/>
      <c r="E299" s="627"/>
      <c r="F299" s="1488"/>
      <c r="G299" s="731"/>
      <c r="H299" s="731"/>
      <c r="I299" s="731"/>
      <c r="J299" s="731"/>
      <c r="K299" s="627"/>
      <c r="L299" s="627"/>
      <c r="M299" s="627"/>
      <c r="N299" s="627"/>
      <c r="O299" s="627"/>
      <c r="P299" s="627"/>
      <c r="Q299" s="627"/>
      <c r="R299" s="627"/>
      <c r="S299" s="627"/>
      <c r="T299" s="627"/>
      <c r="U299" s="627"/>
      <c r="V299" s="627"/>
      <c r="W299" s="627"/>
      <c r="X299" s="627"/>
      <c r="Y299" s="627"/>
      <c r="Z299" s="627"/>
      <c r="AA299" s="627"/>
      <c r="AB299" s="627"/>
      <c r="AC299" s="627"/>
      <c r="AD299" s="627"/>
      <c r="AE299" s="627"/>
      <c r="AF299" s="627"/>
      <c r="AG299" s="627"/>
      <c r="AH299" s="627"/>
      <c r="AI299" s="627"/>
      <c r="AJ299" s="627"/>
      <c r="AK299" s="627"/>
      <c r="AL299" s="627"/>
      <c r="AM299" s="627"/>
      <c r="AN299" s="627"/>
      <c r="AO299" s="627"/>
      <c r="AP299" s="627"/>
      <c r="AQ299" s="627"/>
      <c r="AR299" s="627"/>
      <c r="AS299" s="627"/>
      <c r="AT299" s="627"/>
      <c r="AU299" s="627"/>
      <c r="AV299" s="627"/>
      <c r="AW299" s="627"/>
      <c r="AX299" s="627"/>
      <c r="AY299" s="627"/>
      <c r="AZ299" s="627"/>
      <c r="BA299" s="627"/>
      <c r="BB299" s="627"/>
      <c r="BC299" s="627"/>
      <c r="BD299" s="627"/>
      <c r="BE299" s="627"/>
      <c r="BF299" s="627"/>
      <c r="BR299" s="627"/>
      <c r="BS299" s="627"/>
      <c r="BT299" s="627"/>
      <c r="BU299" s="609"/>
      <c r="BV299" s="608"/>
      <c r="BW299" s="608"/>
      <c r="BX299" s="608"/>
      <c r="BY299" s="627"/>
      <c r="BZ299" s="627"/>
    </row>
    <row r="300" spans="2:78" ht="12.75" customHeight="1">
      <c r="B300" s="723"/>
      <c r="C300" s="627"/>
      <c r="D300" s="627"/>
      <c r="E300" s="627"/>
      <c r="F300" s="1488"/>
      <c r="G300" s="731"/>
      <c r="H300" s="731"/>
      <c r="I300" s="731"/>
      <c r="J300" s="731"/>
      <c r="K300" s="627"/>
      <c r="L300" s="627"/>
      <c r="M300" s="627"/>
      <c r="N300" s="627"/>
      <c r="O300" s="627"/>
      <c r="P300" s="627"/>
      <c r="Q300" s="627"/>
      <c r="R300" s="627"/>
      <c r="S300" s="627"/>
      <c r="T300" s="627"/>
      <c r="U300" s="627"/>
      <c r="V300" s="627"/>
      <c r="W300" s="627"/>
      <c r="X300" s="627"/>
      <c r="Y300" s="627"/>
      <c r="Z300" s="627"/>
      <c r="AA300" s="627"/>
      <c r="AB300" s="627"/>
      <c r="AC300" s="627"/>
      <c r="AD300" s="627"/>
      <c r="AE300" s="627"/>
      <c r="AF300" s="627"/>
      <c r="AG300" s="627"/>
      <c r="AH300" s="627"/>
      <c r="AI300" s="627"/>
      <c r="AJ300" s="627"/>
      <c r="AK300" s="627"/>
      <c r="AL300" s="627"/>
      <c r="AM300" s="627"/>
      <c r="AN300" s="627"/>
      <c r="AO300" s="627"/>
      <c r="AP300" s="627"/>
      <c r="AQ300" s="627"/>
      <c r="AR300" s="627"/>
      <c r="AS300" s="627"/>
      <c r="AT300" s="627"/>
      <c r="AU300" s="627"/>
      <c r="AV300" s="627"/>
      <c r="AW300" s="627"/>
      <c r="AX300" s="627"/>
      <c r="AY300" s="627"/>
      <c r="AZ300" s="627"/>
      <c r="BA300" s="627"/>
      <c r="BB300" s="627"/>
      <c r="BC300" s="627"/>
      <c r="BD300" s="627"/>
      <c r="BE300" s="627"/>
      <c r="BF300" s="627"/>
      <c r="BR300" s="627"/>
      <c r="BS300" s="627"/>
      <c r="BT300" s="627"/>
      <c r="BU300" s="609"/>
      <c r="BV300" s="608"/>
      <c r="BW300" s="608"/>
      <c r="BX300" s="608"/>
      <c r="BY300" s="627"/>
      <c r="BZ300" s="627"/>
    </row>
    <row r="301" spans="2:78" ht="12.75" customHeight="1">
      <c r="B301" s="723"/>
      <c r="C301" s="627"/>
      <c r="D301" s="627"/>
      <c r="E301" s="627"/>
      <c r="F301" s="1488"/>
      <c r="G301" s="731"/>
      <c r="H301" s="731"/>
      <c r="I301" s="731"/>
      <c r="J301" s="731"/>
      <c r="K301" s="627"/>
      <c r="L301" s="627"/>
      <c r="M301" s="627"/>
      <c r="N301" s="627"/>
      <c r="O301" s="627"/>
      <c r="P301" s="627"/>
      <c r="Q301" s="627"/>
      <c r="R301" s="627"/>
      <c r="S301" s="627"/>
      <c r="T301" s="627"/>
      <c r="U301" s="627"/>
      <c r="V301" s="627"/>
      <c r="W301" s="627"/>
      <c r="X301" s="627"/>
      <c r="Y301" s="627"/>
      <c r="Z301" s="627"/>
      <c r="AA301" s="627"/>
      <c r="AB301" s="627"/>
      <c r="AC301" s="627"/>
      <c r="AD301" s="627"/>
      <c r="AE301" s="627"/>
      <c r="AF301" s="627"/>
      <c r="AG301" s="627"/>
      <c r="AH301" s="627"/>
      <c r="AI301" s="627"/>
      <c r="AJ301" s="627"/>
      <c r="AK301" s="627"/>
      <c r="AL301" s="627"/>
      <c r="AM301" s="627"/>
      <c r="AN301" s="627"/>
      <c r="AO301" s="627"/>
      <c r="AP301" s="627"/>
      <c r="AQ301" s="627"/>
      <c r="AR301" s="627"/>
      <c r="AS301" s="627"/>
      <c r="AT301" s="627"/>
      <c r="AU301" s="627"/>
      <c r="AV301" s="627"/>
      <c r="AW301" s="627"/>
      <c r="AX301" s="627"/>
      <c r="AY301" s="627"/>
      <c r="AZ301" s="627"/>
      <c r="BA301" s="627"/>
      <c r="BB301" s="627"/>
      <c r="BC301" s="627"/>
      <c r="BD301" s="627"/>
      <c r="BE301" s="627"/>
      <c r="BF301" s="627"/>
      <c r="BR301" s="627"/>
      <c r="BS301" s="627"/>
      <c r="BT301" s="627"/>
      <c r="BU301" s="609"/>
      <c r="BV301" s="608"/>
      <c r="BW301" s="608"/>
      <c r="BX301" s="608"/>
      <c r="BY301" s="627"/>
      <c r="BZ301" s="627"/>
    </row>
    <row r="302" spans="2:78" ht="12.75" customHeight="1">
      <c r="B302" s="723"/>
      <c r="C302" s="627"/>
      <c r="D302" s="627"/>
      <c r="E302" s="627"/>
      <c r="F302" s="1488"/>
      <c r="G302" s="731"/>
      <c r="H302" s="731"/>
      <c r="I302" s="731"/>
      <c r="J302" s="731"/>
      <c r="K302" s="627"/>
      <c r="L302" s="627"/>
      <c r="M302" s="627"/>
      <c r="N302" s="627"/>
      <c r="O302" s="627"/>
      <c r="P302" s="627"/>
      <c r="Q302" s="627"/>
      <c r="R302" s="627"/>
      <c r="S302" s="627"/>
      <c r="T302" s="627"/>
      <c r="U302" s="627"/>
      <c r="V302" s="627"/>
      <c r="W302" s="627"/>
      <c r="X302" s="627"/>
      <c r="Y302" s="627"/>
      <c r="Z302" s="627"/>
      <c r="AA302" s="627"/>
      <c r="AB302" s="627"/>
      <c r="AC302" s="627"/>
      <c r="AD302" s="627"/>
      <c r="AE302" s="627"/>
      <c r="AF302" s="627"/>
      <c r="AG302" s="627"/>
      <c r="AH302" s="627"/>
      <c r="AI302" s="627"/>
      <c r="AJ302" s="627"/>
      <c r="AK302" s="627"/>
      <c r="AL302" s="627"/>
      <c r="AM302" s="627"/>
      <c r="AN302" s="627"/>
      <c r="AO302" s="627"/>
      <c r="AP302" s="627"/>
      <c r="AQ302" s="627"/>
      <c r="AR302" s="627"/>
      <c r="AS302" s="627"/>
      <c r="AT302" s="627"/>
      <c r="AU302" s="627"/>
      <c r="AV302" s="627"/>
      <c r="AW302" s="627"/>
      <c r="AX302" s="627"/>
      <c r="AY302" s="627"/>
      <c r="AZ302" s="627"/>
      <c r="BA302" s="627"/>
      <c r="BB302" s="627"/>
      <c r="BC302" s="627"/>
      <c r="BD302" s="627"/>
      <c r="BE302" s="627"/>
      <c r="BF302" s="627"/>
      <c r="BR302" s="627"/>
      <c r="BS302" s="627"/>
      <c r="BT302" s="627"/>
      <c r="BU302" s="609"/>
      <c r="BV302" s="608"/>
      <c r="BW302" s="608"/>
      <c r="BX302" s="608"/>
      <c r="BY302" s="627"/>
      <c r="BZ302" s="627"/>
    </row>
    <row r="303" spans="2:78" ht="12.75" customHeight="1">
      <c r="B303" s="723"/>
      <c r="C303" s="627"/>
      <c r="D303" s="627"/>
      <c r="E303" s="627"/>
      <c r="F303" s="1488"/>
      <c r="G303" s="731"/>
      <c r="H303" s="731"/>
      <c r="I303" s="731"/>
      <c r="J303" s="731"/>
      <c r="K303" s="627"/>
      <c r="L303" s="627"/>
      <c r="M303" s="627"/>
      <c r="N303" s="627"/>
      <c r="O303" s="627"/>
      <c r="P303" s="627"/>
      <c r="Q303" s="627"/>
      <c r="R303" s="627"/>
      <c r="S303" s="627"/>
      <c r="T303" s="627"/>
      <c r="U303" s="627"/>
      <c r="V303" s="627"/>
      <c r="W303" s="627"/>
      <c r="X303" s="627"/>
      <c r="Y303" s="627"/>
      <c r="Z303" s="627"/>
      <c r="AA303" s="627"/>
      <c r="AB303" s="627"/>
      <c r="AC303" s="627"/>
      <c r="AD303" s="627"/>
      <c r="AE303" s="627"/>
      <c r="AF303" s="627"/>
      <c r="AG303" s="627"/>
      <c r="AH303" s="627"/>
      <c r="AI303" s="627"/>
      <c r="AJ303" s="627"/>
      <c r="AK303" s="627"/>
      <c r="AL303" s="627"/>
      <c r="AM303" s="627"/>
      <c r="AN303" s="627"/>
      <c r="AO303" s="627"/>
      <c r="AP303" s="627"/>
      <c r="AQ303" s="627"/>
      <c r="AR303" s="627"/>
      <c r="AS303" s="627"/>
      <c r="AT303" s="627"/>
      <c r="AU303" s="627"/>
      <c r="AV303" s="627"/>
      <c r="AW303" s="627"/>
      <c r="AX303" s="627"/>
      <c r="AY303" s="627"/>
      <c r="AZ303" s="627"/>
      <c r="BA303" s="627"/>
      <c r="BB303" s="627"/>
      <c r="BC303" s="627"/>
      <c r="BD303" s="627"/>
      <c r="BE303" s="627"/>
      <c r="BF303" s="627"/>
      <c r="BR303" s="627"/>
      <c r="BS303" s="627"/>
      <c r="BT303" s="627"/>
      <c r="BU303" s="609"/>
      <c r="BV303" s="608"/>
      <c r="BW303" s="608"/>
      <c r="BX303" s="608"/>
      <c r="BY303" s="627"/>
      <c r="BZ303" s="627"/>
    </row>
    <row r="304" spans="2:78" ht="12.75" customHeight="1">
      <c r="B304" s="723"/>
      <c r="C304" s="627"/>
      <c r="D304" s="627"/>
      <c r="E304" s="627"/>
      <c r="F304" s="1488"/>
      <c r="G304" s="731"/>
      <c r="H304" s="731"/>
      <c r="I304" s="731"/>
      <c r="J304" s="731"/>
      <c r="K304" s="627"/>
      <c r="L304" s="627"/>
      <c r="M304" s="627"/>
      <c r="N304" s="627"/>
      <c r="O304" s="627"/>
      <c r="P304" s="627"/>
      <c r="Q304" s="627"/>
      <c r="R304" s="627"/>
      <c r="S304" s="627"/>
      <c r="T304" s="627"/>
      <c r="U304" s="627"/>
      <c r="V304" s="627"/>
      <c r="W304" s="627"/>
      <c r="X304" s="627"/>
      <c r="Y304" s="627"/>
      <c r="Z304" s="627"/>
      <c r="AA304" s="627"/>
      <c r="AB304" s="627"/>
      <c r="AC304" s="627"/>
      <c r="AD304" s="627"/>
      <c r="AE304" s="627"/>
      <c r="AF304" s="627"/>
      <c r="AG304" s="627"/>
      <c r="AH304" s="627"/>
      <c r="AI304" s="627"/>
      <c r="AJ304" s="627"/>
      <c r="AK304" s="627"/>
      <c r="AL304" s="627"/>
      <c r="AM304" s="627"/>
      <c r="AN304" s="627"/>
      <c r="AO304" s="627"/>
      <c r="AP304" s="627"/>
      <c r="AQ304" s="627"/>
      <c r="AR304" s="627"/>
      <c r="AS304" s="627"/>
      <c r="AT304" s="627"/>
      <c r="AU304" s="627"/>
      <c r="AV304" s="627"/>
      <c r="AW304" s="627"/>
      <c r="AX304" s="627"/>
      <c r="AY304" s="627"/>
      <c r="AZ304" s="627"/>
      <c r="BA304" s="627"/>
      <c r="BB304" s="627"/>
      <c r="BC304" s="627"/>
      <c r="BD304" s="627"/>
      <c r="BE304" s="627"/>
      <c r="BF304" s="627"/>
      <c r="BR304" s="627"/>
      <c r="BS304" s="627"/>
      <c r="BT304" s="627"/>
      <c r="BU304" s="609"/>
      <c r="BV304" s="608"/>
      <c r="BW304" s="608"/>
      <c r="BX304" s="608"/>
      <c r="BY304" s="627"/>
      <c r="BZ304" s="627"/>
    </row>
    <row r="305" spans="2:78" ht="12.75" customHeight="1">
      <c r="B305" s="723"/>
      <c r="C305" s="627"/>
      <c r="D305" s="627"/>
      <c r="E305" s="627"/>
      <c r="F305" s="1488"/>
      <c r="G305" s="731"/>
      <c r="H305" s="731"/>
      <c r="I305" s="731"/>
      <c r="J305" s="731"/>
      <c r="K305" s="627"/>
      <c r="L305" s="627"/>
      <c r="M305" s="627"/>
      <c r="N305" s="627"/>
      <c r="O305" s="627"/>
      <c r="P305" s="627"/>
      <c r="Q305" s="627"/>
      <c r="R305" s="627"/>
      <c r="S305" s="627"/>
      <c r="T305" s="627"/>
      <c r="U305" s="627"/>
      <c r="V305" s="627"/>
      <c r="W305" s="627"/>
      <c r="X305" s="627"/>
      <c r="Y305" s="627"/>
      <c r="Z305" s="627"/>
      <c r="AA305" s="627"/>
      <c r="AB305" s="627"/>
      <c r="AC305" s="627"/>
      <c r="AD305" s="627"/>
      <c r="AE305" s="627"/>
      <c r="AF305" s="627"/>
      <c r="AG305" s="627"/>
      <c r="AH305" s="627"/>
      <c r="AI305" s="627"/>
      <c r="AJ305" s="627"/>
      <c r="AK305" s="627"/>
      <c r="AL305" s="627"/>
      <c r="AM305" s="627"/>
      <c r="AN305" s="627"/>
      <c r="AO305" s="627"/>
      <c r="AP305" s="627"/>
      <c r="AQ305" s="627"/>
      <c r="AR305" s="627"/>
      <c r="AS305" s="627"/>
      <c r="AT305" s="627"/>
      <c r="AU305" s="627"/>
      <c r="AV305" s="627"/>
      <c r="AW305" s="627"/>
      <c r="AX305" s="627"/>
      <c r="AY305" s="627"/>
      <c r="AZ305" s="627"/>
      <c r="BA305" s="627"/>
      <c r="BB305" s="627"/>
      <c r="BC305" s="627"/>
      <c r="BD305" s="627"/>
      <c r="BE305" s="627"/>
      <c r="BF305" s="627"/>
      <c r="BR305" s="627"/>
      <c r="BS305" s="627"/>
      <c r="BT305" s="627"/>
      <c r="BU305" s="609"/>
      <c r="BV305" s="608"/>
      <c r="BW305" s="608"/>
      <c r="BX305" s="608"/>
      <c r="BY305" s="627"/>
      <c r="BZ305" s="627"/>
    </row>
    <row r="306" spans="2:78" ht="12.75" customHeight="1">
      <c r="B306" s="723"/>
      <c r="C306" s="627"/>
      <c r="D306" s="627"/>
      <c r="E306" s="627"/>
      <c r="F306" s="1488"/>
      <c r="G306" s="731"/>
      <c r="H306" s="731"/>
      <c r="I306" s="731"/>
      <c r="J306" s="731"/>
      <c r="K306" s="627"/>
      <c r="L306" s="627"/>
      <c r="M306" s="627"/>
      <c r="N306" s="627"/>
      <c r="O306" s="627"/>
      <c r="P306" s="627"/>
      <c r="Q306" s="627"/>
      <c r="R306" s="627"/>
      <c r="S306" s="627"/>
      <c r="T306" s="627"/>
      <c r="U306" s="627"/>
      <c r="V306" s="627"/>
      <c r="W306" s="627"/>
      <c r="X306" s="627"/>
      <c r="Y306" s="627"/>
      <c r="Z306" s="627"/>
      <c r="AA306" s="627"/>
      <c r="AB306" s="627"/>
      <c r="AC306" s="627"/>
      <c r="AD306" s="627"/>
      <c r="AE306" s="627"/>
      <c r="AF306" s="627"/>
      <c r="AG306" s="627"/>
      <c r="AH306" s="627"/>
      <c r="AI306" s="627"/>
      <c r="AJ306" s="627"/>
      <c r="AK306" s="627"/>
      <c r="AL306" s="627"/>
      <c r="AM306" s="627"/>
      <c r="AN306" s="627"/>
      <c r="AO306" s="627"/>
      <c r="AP306" s="627"/>
      <c r="AQ306" s="627"/>
      <c r="AR306" s="627"/>
      <c r="AS306" s="627"/>
      <c r="AT306" s="627"/>
      <c r="AU306" s="627"/>
      <c r="AV306" s="627"/>
      <c r="AW306" s="627"/>
      <c r="AX306" s="627"/>
      <c r="AY306" s="627"/>
      <c r="AZ306" s="627"/>
      <c r="BA306" s="627"/>
      <c r="BB306" s="627"/>
      <c r="BC306" s="627"/>
      <c r="BD306" s="627"/>
      <c r="BE306" s="627"/>
      <c r="BF306" s="627"/>
      <c r="BR306" s="627"/>
      <c r="BS306" s="627"/>
      <c r="BT306" s="627"/>
      <c r="BU306" s="609"/>
      <c r="BV306" s="608"/>
      <c r="BW306" s="608"/>
      <c r="BX306" s="608"/>
      <c r="BY306" s="627"/>
      <c r="BZ306" s="627"/>
    </row>
    <row r="307" spans="2:78" ht="12.75" customHeight="1">
      <c r="B307" s="723"/>
      <c r="C307" s="627"/>
      <c r="D307" s="627"/>
      <c r="E307" s="627"/>
      <c r="F307" s="1488"/>
      <c r="G307" s="731"/>
      <c r="H307" s="731"/>
      <c r="I307" s="731"/>
      <c r="J307" s="731"/>
      <c r="K307" s="627"/>
      <c r="L307" s="627"/>
      <c r="M307" s="627"/>
      <c r="N307" s="627"/>
      <c r="O307" s="627"/>
      <c r="P307" s="627"/>
      <c r="Q307" s="627"/>
      <c r="R307" s="627"/>
      <c r="S307" s="627"/>
      <c r="T307" s="627"/>
      <c r="U307" s="627"/>
      <c r="V307" s="627"/>
      <c r="W307" s="627"/>
      <c r="X307" s="627"/>
      <c r="Y307" s="627"/>
      <c r="Z307" s="627"/>
      <c r="AA307" s="627"/>
      <c r="AB307" s="627"/>
      <c r="AC307" s="627"/>
      <c r="AD307" s="627"/>
      <c r="AE307" s="627"/>
      <c r="AF307" s="627"/>
      <c r="AG307" s="627"/>
      <c r="AH307" s="627"/>
      <c r="AI307" s="627"/>
      <c r="AJ307" s="627"/>
      <c r="AK307" s="627"/>
      <c r="AL307" s="627"/>
      <c r="AM307" s="627"/>
      <c r="AN307" s="627"/>
      <c r="AO307" s="627"/>
      <c r="AP307" s="627"/>
      <c r="AQ307" s="627"/>
      <c r="AR307" s="627"/>
      <c r="AS307" s="627"/>
      <c r="AT307" s="627"/>
      <c r="AU307" s="627"/>
      <c r="AV307" s="627"/>
      <c r="AW307" s="627"/>
      <c r="AX307" s="627"/>
      <c r="AY307" s="627"/>
      <c r="AZ307" s="627"/>
      <c r="BA307" s="627"/>
      <c r="BB307" s="627"/>
      <c r="BC307" s="627"/>
      <c r="BD307" s="627"/>
      <c r="BE307" s="627"/>
      <c r="BF307" s="627"/>
      <c r="BR307" s="627"/>
      <c r="BS307" s="627"/>
      <c r="BT307" s="627"/>
      <c r="BU307" s="609"/>
      <c r="BV307" s="608"/>
      <c r="BW307" s="608"/>
      <c r="BX307" s="608"/>
      <c r="BY307" s="627"/>
      <c r="BZ307" s="627"/>
    </row>
    <row r="308" spans="2:78" ht="12.75" customHeight="1">
      <c r="B308" s="723"/>
      <c r="C308" s="627"/>
      <c r="D308" s="627"/>
      <c r="E308" s="627"/>
      <c r="F308" s="1488"/>
      <c r="G308" s="731"/>
      <c r="H308" s="731"/>
      <c r="I308" s="731"/>
      <c r="J308" s="731"/>
      <c r="K308" s="627"/>
      <c r="L308" s="627"/>
      <c r="M308" s="627"/>
      <c r="N308" s="627"/>
      <c r="O308" s="627"/>
      <c r="P308" s="627"/>
      <c r="Q308" s="627"/>
      <c r="R308" s="627"/>
      <c r="S308" s="627"/>
      <c r="T308" s="627"/>
      <c r="U308" s="627"/>
      <c r="V308" s="627"/>
      <c r="W308" s="627"/>
      <c r="X308" s="627"/>
      <c r="Y308" s="627"/>
      <c r="Z308" s="627"/>
      <c r="AA308" s="627"/>
      <c r="AB308" s="627"/>
      <c r="AC308" s="627"/>
      <c r="AD308" s="627"/>
      <c r="AE308" s="627"/>
      <c r="AF308" s="627"/>
      <c r="AG308" s="627"/>
      <c r="AH308" s="627"/>
      <c r="AI308" s="627"/>
      <c r="AJ308" s="627"/>
      <c r="AK308" s="627"/>
      <c r="AL308" s="627"/>
      <c r="AM308" s="627"/>
      <c r="AN308" s="627"/>
      <c r="AO308" s="627"/>
      <c r="AP308" s="627"/>
      <c r="AQ308" s="627"/>
      <c r="AR308" s="627"/>
      <c r="AS308" s="627"/>
      <c r="AT308" s="627"/>
      <c r="AU308" s="627"/>
      <c r="AV308" s="627"/>
      <c r="AW308" s="627"/>
      <c r="AX308" s="627"/>
      <c r="AY308" s="627"/>
      <c r="AZ308" s="627"/>
      <c r="BA308" s="627"/>
      <c r="BB308" s="627"/>
      <c r="BC308" s="627"/>
      <c r="BD308" s="627"/>
      <c r="BE308" s="627"/>
      <c r="BF308" s="627"/>
      <c r="BR308" s="627"/>
      <c r="BS308" s="627"/>
      <c r="BT308" s="627"/>
      <c r="BU308" s="609"/>
      <c r="BV308" s="608"/>
      <c r="BW308" s="608"/>
      <c r="BX308" s="608"/>
      <c r="BY308" s="627"/>
      <c r="BZ308" s="627"/>
    </row>
    <row r="309" spans="2:78" ht="12.75" customHeight="1">
      <c r="B309" s="723"/>
      <c r="C309" s="627"/>
      <c r="D309" s="627"/>
      <c r="E309" s="627"/>
      <c r="F309" s="1488"/>
      <c r="G309" s="731"/>
      <c r="H309" s="731"/>
      <c r="I309" s="731"/>
      <c r="J309" s="731"/>
      <c r="K309" s="627"/>
      <c r="L309" s="627"/>
      <c r="M309" s="627"/>
      <c r="N309" s="627"/>
      <c r="O309" s="627"/>
      <c r="P309" s="627"/>
      <c r="Q309" s="627"/>
      <c r="R309" s="627"/>
      <c r="S309" s="627"/>
      <c r="T309" s="627"/>
      <c r="U309" s="627"/>
      <c r="V309" s="627"/>
      <c r="W309" s="627"/>
      <c r="X309" s="627"/>
      <c r="Y309" s="627"/>
      <c r="Z309" s="627"/>
      <c r="AA309" s="627"/>
      <c r="AB309" s="627"/>
      <c r="AC309" s="627"/>
      <c r="AD309" s="627"/>
      <c r="AE309" s="627"/>
      <c r="AF309" s="627"/>
      <c r="AG309" s="627"/>
      <c r="AH309" s="627"/>
      <c r="AI309" s="627"/>
      <c r="AJ309" s="627"/>
      <c r="AK309" s="627"/>
      <c r="AL309" s="627"/>
      <c r="AM309" s="627"/>
      <c r="AN309" s="627"/>
      <c r="AO309" s="627"/>
      <c r="AP309" s="627"/>
      <c r="AQ309" s="627"/>
      <c r="AR309" s="627"/>
      <c r="AS309" s="627"/>
      <c r="AT309" s="627"/>
      <c r="AU309" s="627"/>
      <c r="AV309" s="627"/>
      <c r="AW309" s="627"/>
      <c r="AX309" s="627"/>
      <c r="AY309" s="627"/>
      <c r="AZ309" s="627"/>
      <c r="BA309" s="627"/>
      <c r="BB309" s="627"/>
      <c r="BC309" s="627"/>
      <c r="BD309" s="627"/>
      <c r="BE309" s="627"/>
      <c r="BF309" s="627"/>
      <c r="BR309" s="627"/>
      <c r="BS309" s="627"/>
      <c r="BT309" s="627"/>
      <c r="BU309" s="609"/>
      <c r="BV309" s="608"/>
      <c r="BW309" s="608"/>
      <c r="BX309" s="608"/>
      <c r="BY309" s="627"/>
      <c r="BZ309" s="627"/>
    </row>
    <row r="310" spans="2:78" ht="12.75" customHeight="1">
      <c r="B310" s="723"/>
      <c r="C310" s="627"/>
      <c r="D310" s="627"/>
      <c r="E310" s="627"/>
      <c r="F310" s="1488"/>
      <c r="G310" s="731"/>
      <c r="H310" s="731"/>
      <c r="I310" s="731"/>
      <c r="J310" s="731"/>
      <c r="K310" s="627"/>
      <c r="L310" s="627"/>
      <c r="M310" s="627"/>
      <c r="N310" s="627"/>
      <c r="O310" s="627"/>
      <c r="P310" s="627"/>
      <c r="Q310" s="627"/>
      <c r="R310" s="627"/>
      <c r="S310" s="627"/>
      <c r="T310" s="627"/>
      <c r="U310" s="627"/>
      <c r="V310" s="627"/>
      <c r="W310" s="627"/>
      <c r="X310" s="627"/>
      <c r="Y310" s="627"/>
      <c r="Z310" s="627"/>
      <c r="AA310" s="627"/>
      <c r="AB310" s="627"/>
      <c r="AC310" s="627"/>
      <c r="AD310" s="627"/>
      <c r="AE310" s="627"/>
      <c r="AF310" s="627"/>
      <c r="AG310" s="627"/>
      <c r="AH310" s="627"/>
      <c r="AI310" s="627"/>
      <c r="AJ310" s="627"/>
      <c r="AK310" s="627"/>
      <c r="AL310" s="627"/>
      <c r="AM310" s="627"/>
      <c r="AN310" s="627"/>
      <c r="AO310" s="627"/>
      <c r="AP310" s="627"/>
      <c r="AQ310" s="627"/>
      <c r="AR310" s="627"/>
      <c r="AS310" s="627"/>
      <c r="AT310" s="627"/>
      <c r="AU310" s="627"/>
      <c r="AV310" s="627"/>
      <c r="AW310" s="627"/>
      <c r="AX310" s="627"/>
      <c r="AY310" s="627"/>
      <c r="AZ310" s="627"/>
      <c r="BA310" s="627"/>
      <c r="BB310" s="627"/>
      <c r="BC310" s="627"/>
      <c r="BD310" s="627"/>
      <c r="BE310" s="627"/>
      <c r="BF310" s="627"/>
      <c r="BR310" s="627"/>
      <c r="BS310" s="627"/>
      <c r="BT310" s="627"/>
      <c r="BU310" s="609"/>
      <c r="BV310" s="608"/>
      <c r="BW310" s="608"/>
      <c r="BX310" s="608"/>
      <c r="BY310" s="627"/>
      <c r="BZ310" s="627"/>
    </row>
    <row r="311" spans="2:78" ht="12.75" customHeight="1">
      <c r="B311" s="723"/>
      <c r="C311" s="627"/>
      <c r="D311" s="627"/>
      <c r="E311" s="627"/>
      <c r="F311" s="1488"/>
      <c r="G311" s="731"/>
      <c r="H311" s="731"/>
      <c r="I311" s="731"/>
      <c r="J311" s="731"/>
      <c r="K311" s="627"/>
      <c r="L311" s="627"/>
      <c r="M311" s="627"/>
      <c r="N311" s="627"/>
      <c r="O311" s="627"/>
      <c r="P311" s="627"/>
      <c r="Q311" s="627"/>
      <c r="R311" s="627"/>
      <c r="S311" s="627"/>
      <c r="T311" s="627"/>
      <c r="U311" s="627"/>
      <c r="V311" s="627"/>
      <c r="W311" s="627"/>
      <c r="X311" s="627"/>
      <c r="Y311" s="627"/>
      <c r="Z311" s="627"/>
      <c r="AA311" s="627"/>
      <c r="AB311" s="627"/>
      <c r="AC311" s="627"/>
      <c r="AD311" s="627"/>
      <c r="AE311" s="627"/>
      <c r="AF311" s="627"/>
      <c r="AG311" s="627"/>
      <c r="AH311" s="627"/>
      <c r="AI311" s="627"/>
      <c r="AJ311" s="627"/>
      <c r="AK311" s="627"/>
      <c r="AL311" s="627"/>
      <c r="AM311" s="627"/>
      <c r="AN311" s="627"/>
      <c r="AO311" s="627"/>
      <c r="AP311" s="627"/>
      <c r="AQ311" s="627"/>
      <c r="AR311" s="627"/>
      <c r="AS311" s="627"/>
      <c r="AT311" s="627"/>
      <c r="AU311" s="627"/>
      <c r="AV311" s="627"/>
      <c r="AW311" s="627"/>
      <c r="AX311" s="627"/>
      <c r="AY311" s="627"/>
      <c r="AZ311" s="627"/>
      <c r="BA311" s="627"/>
      <c r="BB311" s="627"/>
      <c r="BC311" s="627"/>
      <c r="BD311" s="627"/>
      <c r="BE311" s="627"/>
      <c r="BF311" s="627"/>
      <c r="BR311" s="627"/>
      <c r="BS311" s="627"/>
      <c r="BT311" s="627"/>
      <c r="BU311" s="609"/>
      <c r="BV311" s="608"/>
      <c r="BW311" s="608"/>
      <c r="BX311" s="608"/>
      <c r="BY311" s="627"/>
      <c r="BZ311" s="627"/>
    </row>
    <row r="312" spans="2:78" ht="12.75" customHeight="1">
      <c r="B312" s="723"/>
      <c r="C312" s="627"/>
      <c r="D312" s="627"/>
      <c r="E312" s="627"/>
      <c r="F312" s="1488"/>
      <c r="G312" s="731"/>
      <c r="H312" s="731"/>
      <c r="I312" s="731"/>
      <c r="J312" s="731"/>
      <c r="K312" s="627"/>
      <c r="L312" s="627"/>
      <c r="M312" s="627"/>
      <c r="N312" s="627"/>
      <c r="O312" s="627"/>
      <c r="P312" s="627"/>
      <c r="Q312" s="627"/>
      <c r="R312" s="627"/>
      <c r="S312" s="627"/>
      <c r="T312" s="627"/>
      <c r="U312" s="627"/>
      <c r="V312" s="627"/>
      <c r="W312" s="627"/>
      <c r="X312" s="627"/>
      <c r="Y312" s="627"/>
      <c r="Z312" s="627"/>
      <c r="AA312" s="627"/>
      <c r="AB312" s="627"/>
      <c r="AC312" s="627"/>
      <c r="AD312" s="627"/>
      <c r="AE312" s="627"/>
      <c r="AF312" s="627"/>
      <c r="AG312" s="627"/>
      <c r="AH312" s="627"/>
      <c r="AI312" s="627"/>
      <c r="AJ312" s="627"/>
      <c r="AK312" s="627"/>
      <c r="AL312" s="627"/>
      <c r="AM312" s="627"/>
      <c r="AN312" s="627"/>
      <c r="AO312" s="627"/>
      <c r="AP312" s="627"/>
      <c r="AQ312" s="627"/>
      <c r="AR312" s="627"/>
      <c r="AS312" s="627"/>
      <c r="AT312" s="627"/>
      <c r="AU312" s="627"/>
      <c r="AV312" s="627"/>
      <c r="AW312" s="627"/>
      <c r="AX312" s="627"/>
      <c r="AY312" s="627"/>
      <c r="AZ312" s="627"/>
      <c r="BA312" s="627"/>
      <c r="BB312" s="627"/>
      <c r="BC312" s="627"/>
      <c r="BD312" s="627"/>
      <c r="BE312" s="627"/>
      <c r="BF312" s="627"/>
      <c r="BR312" s="627"/>
      <c r="BS312" s="627"/>
      <c r="BT312" s="627"/>
      <c r="BU312" s="609"/>
      <c r="BV312" s="608"/>
      <c r="BW312" s="608"/>
      <c r="BX312" s="608"/>
      <c r="BY312" s="627"/>
      <c r="BZ312" s="627"/>
    </row>
    <row r="313" spans="2:78" ht="12.75" customHeight="1">
      <c r="B313" s="723"/>
      <c r="C313" s="627"/>
      <c r="D313" s="627"/>
      <c r="E313" s="627"/>
      <c r="F313" s="1488"/>
      <c r="G313" s="731"/>
      <c r="H313" s="731"/>
      <c r="I313" s="731"/>
      <c r="J313" s="731"/>
      <c r="K313" s="627"/>
      <c r="L313" s="627"/>
      <c r="M313" s="627"/>
      <c r="N313" s="627"/>
      <c r="O313" s="627"/>
      <c r="P313" s="627"/>
      <c r="Q313" s="627"/>
      <c r="R313" s="627"/>
      <c r="S313" s="627"/>
      <c r="T313" s="627"/>
      <c r="U313" s="627"/>
      <c r="V313" s="627"/>
      <c r="W313" s="627"/>
      <c r="X313" s="627"/>
      <c r="Y313" s="627"/>
      <c r="Z313" s="627"/>
      <c r="AA313" s="627"/>
      <c r="AB313" s="627"/>
      <c r="AC313" s="627"/>
      <c r="AD313" s="627"/>
      <c r="AE313" s="627"/>
      <c r="AF313" s="627"/>
      <c r="AG313" s="627"/>
      <c r="AH313" s="627"/>
      <c r="AI313" s="627"/>
      <c r="AJ313" s="627"/>
      <c r="AK313" s="627"/>
      <c r="AL313" s="627"/>
      <c r="AM313" s="627"/>
      <c r="AN313" s="627"/>
      <c r="AO313" s="627"/>
      <c r="AP313" s="627"/>
      <c r="AQ313" s="627"/>
      <c r="AR313" s="627"/>
      <c r="AS313" s="627"/>
      <c r="AT313" s="627"/>
      <c r="AU313" s="627"/>
      <c r="AV313" s="627"/>
      <c r="AW313" s="627"/>
      <c r="AX313" s="627"/>
      <c r="AY313" s="627"/>
      <c r="AZ313" s="627"/>
      <c r="BA313" s="627"/>
      <c r="BB313" s="627"/>
      <c r="BC313" s="627"/>
      <c r="BD313" s="627"/>
      <c r="BE313" s="627"/>
      <c r="BF313" s="627"/>
      <c r="BR313" s="627"/>
      <c r="BS313" s="627"/>
      <c r="BT313" s="627"/>
      <c r="BU313" s="609"/>
      <c r="BV313" s="608"/>
      <c r="BW313" s="608"/>
      <c r="BX313" s="608"/>
      <c r="BY313" s="627"/>
      <c r="BZ313" s="627"/>
    </row>
    <row r="314" spans="2:78" ht="12.75" customHeight="1">
      <c r="B314" s="723"/>
      <c r="C314" s="627"/>
      <c r="D314" s="627"/>
      <c r="E314" s="627"/>
      <c r="F314" s="1488"/>
      <c r="G314" s="731"/>
      <c r="H314" s="731"/>
      <c r="I314" s="731"/>
      <c r="J314" s="731"/>
      <c r="K314" s="627"/>
      <c r="L314" s="627"/>
      <c r="M314" s="627"/>
      <c r="N314" s="627"/>
      <c r="O314" s="627"/>
      <c r="P314" s="627"/>
      <c r="Q314" s="627"/>
      <c r="R314" s="627"/>
      <c r="S314" s="627"/>
      <c r="T314" s="627"/>
      <c r="U314" s="627"/>
      <c r="V314" s="627"/>
      <c r="W314" s="627"/>
      <c r="X314" s="627"/>
      <c r="Y314" s="627"/>
      <c r="Z314" s="627"/>
      <c r="AA314" s="627"/>
      <c r="AB314" s="627"/>
      <c r="AC314" s="627"/>
      <c r="AD314" s="627"/>
      <c r="AE314" s="627"/>
      <c r="AF314" s="627"/>
      <c r="AG314" s="627"/>
      <c r="AH314" s="627"/>
      <c r="AI314" s="627"/>
      <c r="AJ314" s="627"/>
      <c r="AK314" s="627"/>
      <c r="AL314" s="627"/>
      <c r="AM314" s="627"/>
      <c r="AN314" s="627"/>
      <c r="AO314" s="627"/>
      <c r="AP314" s="627"/>
      <c r="AQ314" s="627"/>
      <c r="AR314" s="627"/>
      <c r="AS314" s="627"/>
      <c r="AT314" s="627"/>
      <c r="AU314" s="627"/>
      <c r="AV314" s="627"/>
      <c r="AW314" s="627"/>
      <c r="AX314" s="627"/>
      <c r="AY314" s="627"/>
      <c r="AZ314" s="627"/>
      <c r="BA314" s="627"/>
      <c r="BB314" s="627"/>
      <c r="BC314" s="627"/>
      <c r="BD314" s="627"/>
      <c r="BE314" s="627"/>
      <c r="BF314" s="627"/>
      <c r="BR314" s="627"/>
      <c r="BS314" s="627"/>
      <c r="BT314" s="627"/>
      <c r="BU314" s="609"/>
      <c r="BV314" s="608"/>
      <c r="BW314" s="608"/>
      <c r="BX314" s="608"/>
      <c r="BY314" s="627"/>
      <c r="BZ314" s="627"/>
    </row>
    <row r="315" spans="2:78" ht="12.75" customHeight="1">
      <c r="B315" s="723"/>
      <c r="C315" s="627"/>
      <c r="D315" s="627"/>
      <c r="E315" s="627"/>
      <c r="F315" s="1488"/>
      <c r="G315" s="731"/>
      <c r="H315" s="731"/>
      <c r="I315" s="731"/>
      <c r="J315" s="731"/>
      <c r="K315" s="627"/>
      <c r="L315" s="627"/>
      <c r="M315" s="627"/>
      <c r="N315" s="627"/>
      <c r="O315" s="627"/>
      <c r="P315" s="627"/>
      <c r="Q315" s="627"/>
      <c r="R315" s="627"/>
      <c r="S315" s="627"/>
      <c r="T315" s="627"/>
      <c r="U315" s="627"/>
      <c r="V315" s="627"/>
      <c r="W315" s="627"/>
      <c r="X315" s="627"/>
      <c r="Y315" s="627"/>
      <c r="Z315" s="627"/>
      <c r="AA315" s="627"/>
      <c r="AB315" s="627"/>
      <c r="AC315" s="627"/>
      <c r="AD315" s="627"/>
      <c r="AE315" s="627"/>
      <c r="AF315" s="627"/>
      <c r="AG315" s="627"/>
      <c r="AH315" s="627"/>
      <c r="AI315" s="627"/>
      <c r="AJ315" s="627"/>
      <c r="AK315" s="627"/>
      <c r="AL315" s="627"/>
      <c r="AM315" s="627"/>
      <c r="AN315" s="627"/>
      <c r="AO315" s="627"/>
      <c r="AP315" s="627"/>
      <c r="AQ315" s="627"/>
      <c r="AR315" s="627"/>
      <c r="AS315" s="627"/>
      <c r="AT315" s="627"/>
      <c r="AU315" s="627"/>
      <c r="AV315" s="627"/>
      <c r="AW315" s="627"/>
      <c r="AX315" s="627"/>
      <c r="AY315" s="627"/>
      <c r="AZ315" s="627"/>
      <c r="BA315" s="627"/>
      <c r="BB315" s="627"/>
      <c r="BC315" s="627"/>
      <c r="BD315" s="627"/>
      <c r="BE315" s="627"/>
      <c r="BF315" s="627"/>
      <c r="BR315" s="627"/>
      <c r="BS315" s="627"/>
      <c r="BT315" s="627"/>
      <c r="BU315" s="609"/>
      <c r="BV315" s="608"/>
      <c r="BW315" s="608"/>
      <c r="BX315" s="608"/>
      <c r="BY315" s="627"/>
      <c r="BZ315" s="627"/>
    </row>
    <row r="316" spans="2:78" ht="12.75" customHeight="1">
      <c r="B316" s="723"/>
      <c r="C316" s="627"/>
      <c r="D316" s="627"/>
      <c r="E316" s="627"/>
      <c r="F316" s="1488"/>
      <c r="G316" s="731"/>
      <c r="H316" s="731"/>
      <c r="I316" s="731"/>
      <c r="J316" s="731"/>
      <c r="K316" s="627"/>
      <c r="L316" s="627"/>
      <c r="M316" s="627"/>
      <c r="N316" s="627"/>
      <c r="O316" s="627"/>
      <c r="P316" s="627"/>
      <c r="Q316" s="627"/>
      <c r="R316" s="627"/>
      <c r="S316" s="627"/>
      <c r="T316" s="627"/>
      <c r="U316" s="627"/>
      <c r="V316" s="627"/>
      <c r="W316" s="627"/>
      <c r="X316" s="627"/>
      <c r="Y316" s="627"/>
      <c r="Z316" s="627"/>
      <c r="AA316" s="627"/>
      <c r="AB316" s="627"/>
      <c r="AC316" s="627"/>
      <c r="AD316" s="627"/>
      <c r="AE316" s="627"/>
      <c r="AF316" s="627"/>
      <c r="AG316" s="627"/>
      <c r="AH316" s="627"/>
      <c r="AI316" s="627"/>
      <c r="AJ316" s="627"/>
      <c r="AK316" s="627"/>
      <c r="AL316" s="627"/>
      <c r="AM316" s="627"/>
      <c r="AN316" s="627"/>
      <c r="AO316" s="627"/>
      <c r="AP316" s="627"/>
      <c r="AQ316" s="627"/>
      <c r="AR316" s="627"/>
      <c r="AS316" s="627"/>
      <c r="AT316" s="627"/>
      <c r="AU316" s="627"/>
      <c r="AV316" s="627"/>
      <c r="AW316" s="627"/>
      <c r="AX316" s="627"/>
      <c r="AY316" s="627"/>
      <c r="AZ316" s="627"/>
      <c r="BA316" s="627"/>
      <c r="BB316" s="627"/>
      <c r="BC316" s="627"/>
      <c r="BD316" s="627"/>
      <c r="BE316" s="627"/>
      <c r="BF316" s="627"/>
      <c r="BR316" s="627"/>
      <c r="BS316" s="627"/>
      <c r="BT316" s="627"/>
      <c r="BU316" s="609"/>
      <c r="BV316" s="608"/>
      <c r="BW316" s="608"/>
      <c r="BX316" s="608"/>
      <c r="BY316" s="627"/>
      <c r="BZ316" s="627"/>
    </row>
    <row r="317" spans="2:78" ht="12.75" customHeight="1">
      <c r="B317" s="723"/>
      <c r="C317" s="627"/>
      <c r="D317" s="627"/>
      <c r="E317" s="627"/>
      <c r="F317" s="1488"/>
      <c r="G317" s="731"/>
      <c r="H317" s="731"/>
      <c r="I317" s="731"/>
      <c r="J317" s="731"/>
      <c r="K317" s="627"/>
      <c r="L317" s="627"/>
      <c r="M317" s="627"/>
      <c r="N317" s="627"/>
      <c r="O317" s="627"/>
      <c r="P317" s="627"/>
      <c r="Q317" s="627"/>
      <c r="R317" s="627"/>
      <c r="S317" s="627"/>
      <c r="T317" s="627"/>
      <c r="U317" s="627"/>
      <c r="V317" s="627"/>
      <c r="W317" s="627"/>
      <c r="X317" s="627"/>
      <c r="Y317" s="627"/>
      <c r="Z317" s="627"/>
      <c r="AA317" s="627"/>
      <c r="AB317" s="627"/>
      <c r="AC317" s="627"/>
      <c r="AD317" s="627"/>
      <c r="AE317" s="627"/>
      <c r="AF317" s="627"/>
      <c r="AG317" s="627"/>
      <c r="AH317" s="627"/>
      <c r="AI317" s="627"/>
      <c r="AJ317" s="627"/>
      <c r="AK317" s="627"/>
      <c r="AL317" s="627"/>
      <c r="AM317" s="627"/>
      <c r="AN317" s="627"/>
      <c r="AO317" s="627"/>
      <c r="AP317" s="627"/>
      <c r="AQ317" s="627"/>
      <c r="AR317" s="627"/>
      <c r="AS317" s="627"/>
      <c r="AT317" s="627"/>
      <c r="AU317" s="627"/>
      <c r="AV317" s="627"/>
      <c r="AW317" s="627"/>
      <c r="AX317" s="627"/>
      <c r="AY317" s="627"/>
      <c r="AZ317" s="627"/>
      <c r="BA317" s="627"/>
      <c r="BB317" s="627"/>
      <c r="BC317" s="627"/>
      <c r="BD317" s="627"/>
      <c r="BE317" s="627"/>
      <c r="BF317" s="627"/>
      <c r="BR317" s="627"/>
      <c r="BS317" s="627"/>
      <c r="BT317" s="627"/>
      <c r="BU317" s="609"/>
      <c r="BV317" s="608"/>
      <c r="BW317" s="608"/>
      <c r="BX317" s="608"/>
      <c r="BY317" s="627"/>
      <c r="BZ317" s="627"/>
    </row>
    <row r="318" spans="2:78" ht="12.75" customHeight="1">
      <c r="B318" s="723"/>
      <c r="C318" s="627"/>
      <c r="D318" s="627"/>
      <c r="E318" s="627"/>
      <c r="F318" s="1488"/>
      <c r="G318" s="731"/>
      <c r="H318" s="731"/>
      <c r="I318" s="731"/>
      <c r="J318" s="731"/>
      <c r="K318" s="627"/>
      <c r="L318" s="627"/>
      <c r="M318" s="627"/>
      <c r="N318" s="627"/>
      <c r="O318" s="627"/>
      <c r="P318" s="627"/>
      <c r="Q318" s="627"/>
      <c r="R318" s="627"/>
      <c r="S318" s="627"/>
      <c r="T318" s="627"/>
      <c r="U318" s="627"/>
      <c r="V318" s="627"/>
      <c r="W318" s="627"/>
      <c r="X318" s="627"/>
      <c r="Y318" s="627"/>
      <c r="Z318" s="627"/>
      <c r="AA318" s="627"/>
      <c r="AB318" s="627"/>
      <c r="AC318" s="627"/>
      <c r="AD318" s="627"/>
      <c r="AE318" s="627"/>
      <c r="AF318" s="627"/>
      <c r="AG318" s="627"/>
      <c r="AH318" s="627"/>
      <c r="AI318" s="627"/>
      <c r="AJ318" s="627"/>
      <c r="AK318" s="627"/>
      <c r="AL318" s="627"/>
      <c r="AM318" s="627"/>
      <c r="AN318" s="627"/>
      <c r="AO318" s="627"/>
      <c r="AP318" s="627"/>
      <c r="AQ318" s="627"/>
      <c r="AR318" s="627"/>
      <c r="AS318" s="627"/>
      <c r="AT318" s="627"/>
      <c r="AU318" s="627"/>
      <c r="AV318" s="627"/>
      <c r="AW318" s="627"/>
      <c r="AX318" s="627"/>
      <c r="AY318" s="627"/>
      <c r="AZ318" s="627"/>
      <c r="BA318" s="627"/>
      <c r="BB318" s="627"/>
      <c r="BC318" s="627"/>
      <c r="BD318" s="627"/>
      <c r="BE318" s="627"/>
      <c r="BF318" s="627"/>
      <c r="BR318" s="627"/>
      <c r="BS318" s="627"/>
      <c r="BT318" s="627"/>
      <c r="BU318" s="609"/>
      <c r="BV318" s="608"/>
      <c r="BW318" s="608"/>
      <c r="BX318" s="608"/>
      <c r="BY318" s="627"/>
      <c r="BZ318" s="627"/>
    </row>
    <row r="319" spans="2:78" ht="12.75" customHeight="1">
      <c r="B319" s="723"/>
      <c r="C319" s="627"/>
      <c r="D319" s="627"/>
      <c r="E319" s="627"/>
      <c r="F319" s="1488"/>
      <c r="G319" s="731"/>
      <c r="H319" s="731"/>
      <c r="I319" s="731"/>
      <c r="J319" s="731"/>
      <c r="K319" s="627"/>
      <c r="L319" s="627"/>
      <c r="M319" s="627"/>
      <c r="N319" s="627"/>
      <c r="O319" s="627"/>
      <c r="P319" s="627"/>
      <c r="Q319" s="627"/>
      <c r="R319" s="627"/>
      <c r="S319" s="627"/>
      <c r="T319" s="627"/>
      <c r="U319" s="627"/>
      <c r="V319" s="627"/>
      <c r="W319" s="627"/>
      <c r="X319" s="627"/>
      <c r="Y319" s="627"/>
      <c r="Z319" s="627"/>
      <c r="AA319" s="627"/>
      <c r="AB319" s="627"/>
      <c r="AC319" s="627"/>
      <c r="AD319" s="627"/>
      <c r="AE319" s="627"/>
      <c r="AF319" s="627"/>
      <c r="AG319" s="627"/>
      <c r="AH319" s="627"/>
      <c r="AI319" s="627"/>
      <c r="AJ319" s="627"/>
      <c r="AK319" s="627"/>
      <c r="AL319" s="627"/>
      <c r="AM319" s="627"/>
      <c r="AN319" s="627"/>
      <c r="AO319" s="627"/>
      <c r="AP319" s="627"/>
      <c r="AQ319" s="627"/>
      <c r="AR319" s="627"/>
      <c r="AS319" s="627"/>
      <c r="AT319" s="627"/>
      <c r="AU319" s="627"/>
      <c r="AV319" s="627"/>
      <c r="AW319" s="627"/>
      <c r="AX319" s="627"/>
      <c r="AY319" s="627"/>
      <c r="AZ319" s="627"/>
      <c r="BA319" s="627"/>
      <c r="BB319" s="627"/>
      <c r="BC319" s="627"/>
      <c r="BD319" s="627"/>
      <c r="BE319" s="627"/>
      <c r="BF319" s="627"/>
      <c r="BR319" s="627"/>
      <c r="BS319" s="627"/>
      <c r="BT319" s="627"/>
      <c r="BU319" s="609"/>
      <c r="BV319" s="608"/>
      <c r="BW319" s="608"/>
      <c r="BX319" s="608"/>
      <c r="BY319" s="627"/>
      <c r="BZ319" s="627"/>
    </row>
    <row r="320" spans="2:78" ht="12.75" customHeight="1">
      <c r="B320" s="723"/>
      <c r="C320" s="627"/>
      <c r="D320" s="627"/>
      <c r="E320" s="627"/>
      <c r="F320" s="1488"/>
      <c r="G320" s="731"/>
      <c r="H320" s="731"/>
      <c r="I320" s="731"/>
      <c r="J320" s="731"/>
      <c r="K320" s="627"/>
      <c r="L320" s="627"/>
      <c r="M320" s="627"/>
      <c r="N320" s="627"/>
      <c r="O320" s="627"/>
      <c r="P320" s="627"/>
      <c r="Q320" s="627"/>
      <c r="R320" s="627"/>
      <c r="S320" s="627"/>
      <c r="T320" s="627"/>
      <c r="U320" s="627"/>
      <c r="V320" s="627"/>
      <c r="W320" s="627"/>
      <c r="X320" s="627"/>
      <c r="Y320" s="627"/>
      <c r="Z320" s="627"/>
      <c r="AA320" s="627"/>
      <c r="AB320" s="627"/>
      <c r="AC320" s="627"/>
      <c r="AD320" s="627"/>
      <c r="AE320" s="627"/>
      <c r="AF320" s="627"/>
      <c r="AG320" s="627"/>
      <c r="AH320" s="627"/>
      <c r="AI320" s="627"/>
      <c r="AJ320" s="627"/>
      <c r="AK320" s="627"/>
      <c r="AL320" s="627"/>
      <c r="AM320" s="627"/>
      <c r="AN320" s="627"/>
      <c r="AO320" s="627"/>
      <c r="AP320" s="627"/>
      <c r="AQ320" s="627"/>
      <c r="AR320" s="627"/>
      <c r="AS320" s="627"/>
      <c r="AT320" s="627"/>
      <c r="AU320" s="627"/>
      <c r="AV320" s="627"/>
      <c r="AW320" s="627"/>
      <c r="AX320" s="627"/>
      <c r="AY320" s="627"/>
      <c r="AZ320" s="627"/>
      <c r="BA320" s="627"/>
      <c r="BB320" s="627"/>
      <c r="BC320" s="627"/>
      <c r="BD320" s="627"/>
      <c r="BE320" s="627"/>
      <c r="BF320" s="627"/>
      <c r="BR320" s="627"/>
      <c r="BS320" s="627"/>
      <c r="BT320" s="627"/>
      <c r="BU320" s="609"/>
      <c r="BV320" s="608"/>
      <c r="BW320" s="608"/>
      <c r="BX320" s="608"/>
      <c r="BY320" s="627"/>
      <c r="BZ320" s="627"/>
    </row>
    <row r="321" spans="2:78" ht="12.75" customHeight="1">
      <c r="B321" s="723"/>
      <c r="C321" s="627"/>
      <c r="D321" s="627"/>
      <c r="E321" s="627"/>
      <c r="F321" s="1488"/>
      <c r="G321" s="731"/>
      <c r="H321" s="731"/>
      <c r="I321" s="731"/>
      <c r="J321" s="731"/>
      <c r="K321" s="627"/>
      <c r="L321" s="627"/>
      <c r="M321" s="627"/>
      <c r="N321" s="627"/>
      <c r="O321" s="627"/>
      <c r="P321" s="627"/>
      <c r="Q321" s="627"/>
      <c r="R321" s="627"/>
      <c r="S321" s="627"/>
      <c r="T321" s="627"/>
      <c r="U321" s="627"/>
      <c r="V321" s="627"/>
      <c r="W321" s="627"/>
      <c r="X321" s="627"/>
      <c r="Y321" s="627"/>
      <c r="Z321" s="627"/>
      <c r="AA321" s="627"/>
      <c r="AB321" s="627"/>
      <c r="AC321" s="627"/>
      <c r="AD321" s="627"/>
      <c r="AE321" s="627"/>
      <c r="AF321" s="627"/>
      <c r="AG321" s="627"/>
      <c r="AH321" s="627"/>
      <c r="AI321" s="627"/>
      <c r="AJ321" s="627"/>
      <c r="AK321" s="627"/>
      <c r="AL321" s="627"/>
      <c r="AM321" s="627"/>
      <c r="AN321" s="627"/>
      <c r="AO321" s="627"/>
      <c r="AP321" s="627"/>
      <c r="AQ321" s="627"/>
      <c r="AR321" s="627"/>
      <c r="AS321" s="627"/>
      <c r="AT321" s="627"/>
      <c r="AU321" s="627"/>
      <c r="AV321" s="627"/>
      <c r="AW321" s="627"/>
      <c r="AX321" s="627"/>
      <c r="AY321" s="627"/>
      <c r="AZ321" s="627"/>
      <c r="BA321" s="627"/>
      <c r="BB321" s="627"/>
      <c r="BC321" s="627"/>
      <c r="BD321" s="627"/>
      <c r="BE321" s="627"/>
      <c r="BF321" s="627"/>
      <c r="BR321" s="627"/>
      <c r="BS321" s="627"/>
      <c r="BT321" s="627"/>
      <c r="BU321" s="609"/>
      <c r="BV321" s="608"/>
      <c r="BW321" s="608"/>
      <c r="BX321" s="608"/>
      <c r="BY321" s="627"/>
      <c r="BZ321" s="627"/>
    </row>
    <row r="322" spans="2:78" ht="12.75" customHeight="1">
      <c r="B322" s="723"/>
      <c r="C322" s="627"/>
      <c r="D322" s="627"/>
      <c r="E322" s="627"/>
      <c r="F322" s="1488"/>
      <c r="G322" s="731"/>
      <c r="H322" s="731"/>
      <c r="I322" s="731"/>
      <c r="J322" s="731"/>
      <c r="K322" s="627"/>
      <c r="L322" s="627"/>
      <c r="M322" s="627"/>
      <c r="N322" s="627"/>
      <c r="O322" s="627"/>
      <c r="P322" s="627"/>
      <c r="Q322" s="627"/>
      <c r="R322" s="627"/>
      <c r="S322" s="627"/>
      <c r="T322" s="627"/>
      <c r="U322" s="627"/>
      <c r="V322" s="627"/>
      <c r="W322" s="627"/>
      <c r="X322" s="627"/>
      <c r="Y322" s="627"/>
      <c r="Z322" s="627"/>
      <c r="AA322" s="627"/>
      <c r="AB322" s="627"/>
      <c r="AC322" s="627"/>
      <c r="AD322" s="627"/>
      <c r="AE322" s="627"/>
      <c r="AF322" s="627"/>
      <c r="AG322" s="627"/>
      <c r="AH322" s="627"/>
      <c r="AI322" s="627"/>
      <c r="AJ322" s="627"/>
      <c r="AK322" s="627"/>
      <c r="AL322" s="627"/>
      <c r="AM322" s="627"/>
      <c r="AN322" s="627"/>
      <c r="AO322" s="627"/>
      <c r="AP322" s="627"/>
      <c r="AQ322" s="627"/>
      <c r="AR322" s="627"/>
      <c r="AS322" s="627"/>
      <c r="AT322" s="627"/>
      <c r="AU322" s="627"/>
      <c r="AV322" s="627"/>
      <c r="AW322" s="627"/>
      <c r="AX322" s="627"/>
      <c r="AY322" s="627"/>
      <c r="AZ322" s="627"/>
      <c r="BA322" s="627"/>
      <c r="BB322" s="627"/>
      <c r="BC322" s="627"/>
      <c r="BD322" s="627"/>
      <c r="BE322" s="627"/>
      <c r="BF322" s="627"/>
      <c r="BR322" s="627"/>
      <c r="BS322" s="627"/>
      <c r="BT322" s="627"/>
      <c r="BU322" s="609"/>
      <c r="BV322" s="608"/>
      <c r="BW322" s="608"/>
      <c r="BX322" s="608"/>
      <c r="BY322" s="627"/>
      <c r="BZ322" s="627"/>
    </row>
    <row r="323" spans="2:78" ht="12.75" customHeight="1">
      <c r="B323" s="723"/>
      <c r="C323" s="627"/>
      <c r="D323" s="627"/>
      <c r="E323" s="627"/>
      <c r="F323" s="1488"/>
      <c r="G323" s="731"/>
      <c r="H323" s="731"/>
      <c r="I323" s="731"/>
      <c r="J323" s="731"/>
      <c r="K323" s="627"/>
      <c r="L323" s="627"/>
      <c r="M323" s="627"/>
      <c r="N323" s="627"/>
      <c r="O323" s="627"/>
      <c r="P323" s="627"/>
      <c r="Q323" s="627"/>
      <c r="R323" s="627"/>
      <c r="S323" s="627"/>
      <c r="T323" s="627"/>
      <c r="U323" s="627"/>
      <c r="V323" s="627"/>
      <c r="W323" s="627"/>
      <c r="X323" s="627"/>
      <c r="Y323" s="627"/>
      <c r="Z323" s="627"/>
      <c r="AA323" s="627"/>
      <c r="AB323" s="627"/>
      <c r="AC323" s="627"/>
      <c r="AD323" s="627"/>
      <c r="AE323" s="627"/>
      <c r="AF323" s="627"/>
      <c r="AG323" s="627"/>
      <c r="AH323" s="627"/>
      <c r="AI323" s="627"/>
      <c r="AJ323" s="627"/>
      <c r="AK323" s="627"/>
      <c r="AL323" s="627"/>
      <c r="AM323" s="627"/>
      <c r="AN323" s="627"/>
      <c r="AO323" s="627"/>
      <c r="AP323" s="627"/>
      <c r="AQ323" s="627"/>
      <c r="AR323" s="627"/>
      <c r="AS323" s="627"/>
      <c r="AT323" s="627"/>
      <c r="AU323" s="627"/>
      <c r="AV323" s="627"/>
      <c r="AW323" s="627"/>
      <c r="AX323" s="627"/>
      <c r="AY323" s="627"/>
      <c r="AZ323" s="627"/>
      <c r="BA323" s="627"/>
      <c r="BB323" s="627"/>
      <c r="BC323" s="627"/>
      <c r="BD323" s="627"/>
      <c r="BE323" s="627"/>
      <c r="BF323" s="627"/>
      <c r="BR323" s="627"/>
      <c r="BS323" s="627"/>
      <c r="BT323" s="627"/>
      <c r="BU323" s="609"/>
      <c r="BV323" s="608"/>
      <c r="BW323" s="608"/>
      <c r="BX323" s="608"/>
      <c r="BY323" s="627"/>
      <c r="BZ323" s="627"/>
    </row>
    <row r="324" spans="2:78" ht="12.75" customHeight="1">
      <c r="B324" s="723"/>
      <c r="C324" s="627"/>
      <c r="D324" s="627"/>
      <c r="E324" s="627"/>
      <c r="F324" s="1488"/>
      <c r="G324" s="731"/>
      <c r="H324" s="731"/>
      <c r="I324" s="731"/>
      <c r="J324" s="731"/>
      <c r="K324" s="627"/>
      <c r="L324" s="627"/>
      <c r="M324" s="627"/>
      <c r="N324" s="627"/>
      <c r="O324" s="627"/>
      <c r="P324" s="627"/>
      <c r="Q324" s="627"/>
      <c r="R324" s="627"/>
      <c r="S324" s="627"/>
      <c r="T324" s="627"/>
      <c r="U324" s="627"/>
      <c r="V324" s="627"/>
      <c r="W324" s="627"/>
      <c r="X324" s="627"/>
      <c r="Y324" s="627"/>
      <c r="Z324" s="627"/>
      <c r="AA324" s="627"/>
      <c r="AB324" s="627"/>
      <c r="AC324" s="627"/>
      <c r="AD324" s="627"/>
      <c r="AE324" s="627"/>
      <c r="AF324" s="627"/>
      <c r="AG324" s="627"/>
      <c r="AH324" s="627"/>
      <c r="AI324" s="627"/>
      <c r="AJ324" s="627"/>
      <c r="AK324" s="627"/>
      <c r="AL324" s="627"/>
      <c r="AM324" s="627"/>
      <c r="AN324" s="627"/>
      <c r="AO324" s="627"/>
      <c r="AP324" s="627"/>
      <c r="AQ324" s="627"/>
      <c r="AR324" s="627"/>
      <c r="AS324" s="627"/>
      <c r="AT324" s="627"/>
      <c r="AU324" s="627"/>
      <c r="AV324" s="627"/>
      <c r="AW324" s="627"/>
      <c r="AX324" s="627"/>
      <c r="AY324" s="627"/>
      <c r="AZ324" s="627"/>
      <c r="BA324" s="627"/>
      <c r="BB324" s="627"/>
      <c r="BC324" s="627"/>
      <c r="BD324" s="627"/>
      <c r="BE324" s="627"/>
      <c r="BF324" s="627"/>
      <c r="BR324" s="627"/>
      <c r="BS324" s="627"/>
      <c r="BT324" s="627"/>
      <c r="BU324" s="609"/>
      <c r="BV324" s="608"/>
      <c r="BW324" s="608"/>
      <c r="BX324" s="608"/>
      <c r="BY324" s="627"/>
      <c r="BZ324" s="627"/>
    </row>
    <row r="325" spans="2:78" ht="12.75" customHeight="1">
      <c r="B325" s="723"/>
      <c r="C325" s="627"/>
      <c r="D325" s="627"/>
      <c r="E325" s="627"/>
      <c r="F325" s="1488"/>
      <c r="G325" s="731"/>
      <c r="H325" s="731"/>
      <c r="I325" s="731"/>
      <c r="J325" s="731"/>
      <c r="K325" s="627"/>
      <c r="L325" s="627"/>
      <c r="M325" s="627"/>
      <c r="N325" s="627"/>
      <c r="O325" s="627"/>
      <c r="P325" s="627"/>
      <c r="Q325" s="627"/>
      <c r="R325" s="627"/>
      <c r="S325" s="627"/>
      <c r="T325" s="627"/>
      <c r="U325" s="627"/>
      <c r="V325" s="627"/>
      <c r="W325" s="627"/>
      <c r="X325" s="627"/>
      <c r="Y325" s="627"/>
      <c r="Z325" s="627"/>
      <c r="AA325" s="627"/>
      <c r="AB325" s="627"/>
      <c r="AC325" s="627"/>
      <c r="AD325" s="627"/>
      <c r="AE325" s="627"/>
      <c r="AF325" s="627"/>
      <c r="AG325" s="627"/>
      <c r="AH325" s="627"/>
      <c r="AI325" s="627"/>
      <c r="AJ325" s="627"/>
      <c r="AK325" s="627"/>
      <c r="AL325" s="627"/>
      <c r="AM325" s="627"/>
      <c r="AN325" s="627"/>
      <c r="AO325" s="627"/>
      <c r="AP325" s="627"/>
      <c r="AQ325" s="627"/>
      <c r="AR325" s="627"/>
      <c r="AS325" s="627"/>
      <c r="AT325" s="627"/>
      <c r="AU325" s="627"/>
      <c r="AV325" s="627"/>
      <c r="AW325" s="627"/>
      <c r="AX325" s="627"/>
      <c r="AY325" s="627"/>
      <c r="AZ325" s="627"/>
      <c r="BA325" s="627"/>
      <c r="BB325" s="627"/>
      <c r="BC325" s="627"/>
      <c r="BD325" s="627"/>
      <c r="BE325" s="627"/>
      <c r="BF325" s="627"/>
      <c r="BR325" s="627"/>
      <c r="BS325" s="627"/>
      <c r="BT325" s="627"/>
      <c r="BU325" s="609"/>
      <c r="BV325" s="608"/>
      <c r="BW325" s="608"/>
      <c r="BX325" s="608"/>
      <c r="BY325" s="627"/>
      <c r="BZ325" s="627"/>
    </row>
    <row r="326" spans="2:78" ht="12.75" customHeight="1">
      <c r="B326" s="723"/>
      <c r="C326" s="627"/>
      <c r="D326" s="627"/>
      <c r="E326" s="627"/>
      <c r="F326" s="1488"/>
      <c r="G326" s="731"/>
      <c r="H326" s="731"/>
      <c r="I326" s="731"/>
      <c r="J326" s="731"/>
      <c r="K326" s="627"/>
      <c r="L326" s="627"/>
      <c r="M326" s="627"/>
      <c r="N326" s="627"/>
      <c r="O326" s="627"/>
      <c r="P326" s="627"/>
      <c r="Q326" s="627"/>
      <c r="R326" s="627"/>
      <c r="S326" s="627"/>
      <c r="T326" s="627"/>
      <c r="U326" s="627"/>
      <c r="V326" s="627"/>
      <c r="W326" s="627"/>
      <c r="X326" s="627"/>
      <c r="Y326" s="627"/>
      <c r="Z326" s="627"/>
      <c r="AA326" s="627"/>
      <c r="AB326" s="627"/>
      <c r="AC326" s="627"/>
      <c r="AD326" s="627"/>
      <c r="AE326" s="627"/>
      <c r="AF326" s="627"/>
      <c r="AG326" s="627"/>
      <c r="AH326" s="627"/>
      <c r="AI326" s="627"/>
      <c r="AJ326" s="627"/>
      <c r="AK326" s="627"/>
      <c r="AL326" s="627"/>
      <c r="AM326" s="627"/>
      <c r="AN326" s="627"/>
      <c r="AO326" s="627"/>
      <c r="AP326" s="627"/>
      <c r="AQ326" s="627"/>
      <c r="AR326" s="627"/>
      <c r="AS326" s="627"/>
      <c r="AT326" s="627"/>
      <c r="AU326" s="627"/>
      <c r="AV326" s="627"/>
      <c r="AW326" s="627"/>
      <c r="AX326" s="627"/>
      <c r="AY326" s="627"/>
      <c r="AZ326" s="627"/>
      <c r="BA326" s="627"/>
      <c r="BB326" s="627"/>
      <c r="BC326" s="627"/>
      <c r="BD326" s="627"/>
      <c r="BE326" s="627"/>
      <c r="BF326" s="627"/>
      <c r="BR326" s="627"/>
      <c r="BS326" s="627"/>
      <c r="BT326" s="627"/>
      <c r="BU326" s="609"/>
      <c r="BV326" s="608"/>
      <c r="BW326" s="608"/>
      <c r="BX326" s="608"/>
      <c r="BY326" s="627"/>
      <c r="BZ326" s="627"/>
    </row>
    <row r="327" spans="2:78" ht="12.75" customHeight="1">
      <c r="B327" s="723"/>
      <c r="C327" s="627"/>
      <c r="D327" s="627"/>
      <c r="E327" s="627"/>
      <c r="F327" s="1488"/>
      <c r="G327" s="731"/>
      <c r="H327" s="731"/>
      <c r="I327" s="731"/>
      <c r="J327" s="731"/>
      <c r="K327" s="627"/>
      <c r="L327" s="627"/>
      <c r="M327" s="627"/>
      <c r="N327" s="627"/>
      <c r="O327" s="627"/>
      <c r="P327" s="627"/>
      <c r="Q327" s="627"/>
      <c r="R327" s="627"/>
      <c r="S327" s="627"/>
      <c r="T327" s="627"/>
      <c r="U327" s="627"/>
      <c r="V327" s="627"/>
      <c r="W327" s="627"/>
      <c r="X327" s="627"/>
      <c r="Y327" s="627"/>
      <c r="Z327" s="627"/>
      <c r="AA327" s="627"/>
      <c r="AB327" s="627"/>
      <c r="AC327" s="627"/>
      <c r="AD327" s="627"/>
      <c r="AE327" s="627"/>
      <c r="AF327" s="627"/>
      <c r="AG327" s="627"/>
      <c r="AH327" s="627"/>
      <c r="AI327" s="627"/>
      <c r="AJ327" s="627"/>
      <c r="AK327" s="627"/>
      <c r="AL327" s="627"/>
      <c r="AM327" s="627"/>
      <c r="AN327" s="627"/>
      <c r="AO327" s="627"/>
      <c r="AP327" s="627"/>
      <c r="AQ327" s="627"/>
      <c r="AR327" s="627"/>
      <c r="AS327" s="627"/>
      <c r="AT327" s="627"/>
      <c r="AU327" s="627"/>
      <c r="AV327" s="627"/>
      <c r="AW327" s="627"/>
      <c r="AX327" s="627"/>
      <c r="AY327" s="627"/>
      <c r="AZ327" s="627"/>
      <c r="BA327" s="627"/>
      <c r="BB327" s="627"/>
      <c r="BC327" s="627"/>
      <c r="BD327" s="627"/>
      <c r="BE327" s="627"/>
      <c r="BF327" s="627"/>
      <c r="BR327" s="627"/>
      <c r="BS327" s="627"/>
      <c r="BT327" s="627"/>
      <c r="BU327" s="609"/>
      <c r="BV327" s="608"/>
      <c r="BW327" s="608"/>
      <c r="BX327" s="608"/>
      <c r="BY327" s="627"/>
      <c r="BZ327" s="627"/>
    </row>
    <row r="328" spans="2:78" ht="12.75" customHeight="1">
      <c r="B328" s="723"/>
      <c r="C328" s="627"/>
      <c r="D328" s="627"/>
      <c r="E328" s="627"/>
      <c r="F328" s="1488"/>
      <c r="G328" s="731"/>
      <c r="H328" s="731"/>
      <c r="I328" s="731"/>
      <c r="J328" s="731"/>
      <c r="K328" s="627"/>
      <c r="L328" s="627"/>
      <c r="M328" s="627"/>
      <c r="N328" s="627"/>
      <c r="O328" s="627"/>
      <c r="P328" s="627"/>
      <c r="Q328" s="627"/>
      <c r="R328" s="627"/>
      <c r="S328" s="627"/>
      <c r="T328" s="627"/>
      <c r="U328" s="627"/>
      <c r="V328" s="627"/>
      <c r="W328" s="627"/>
      <c r="X328" s="627"/>
      <c r="Y328" s="627"/>
      <c r="Z328" s="627"/>
      <c r="AA328" s="627"/>
      <c r="AB328" s="627"/>
      <c r="AC328" s="627"/>
      <c r="AD328" s="627"/>
      <c r="AE328" s="627"/>
      <c r="AF328" s="627"/>
      <c r="AG328" s="627"/>
      <c r="AH328" s="627"/>
      <c r="AI328" s="627"/>
      <c r="AJ328" s="627"/>
      <c r="AK328" s="627"/>
      <c r="AL328" s="627"/>
      <c r="AM328" s="627"/>
      <c r="AN328" s="627"/>
      <c r="AO328" s="627"/>
      <c r="AP328" s="627"/>
      <c r="AQ328" s="627"/>
      <c r="AR328" s="627"/>
      <c r="AS328" s="627"/>
      <c r="AT328" s="627"/>
      <c r="AU328" s="627"/>
      <c r="AV328" s="627"/>
      <c r="AW328" s="627"/>
      <c r="AX328" s="627"/>
      <c r="AY328" s="627"/>
      <c r="AZ328" s="627"/>
      <c r="BA328" s="627"/>
      <c r="BB328" s="627"/>
      <c r="BC328" s="627"/>
      <c r="BD328" s="627"/>
      <c r="BE328" s="627"/>
      <c r="BF328" s="627"/>
      <c r="BR328" s="627"/>
      <c r="BS328" s="627"/>
      <c r="BT328" s="627"/>
      <c r="BU328" s="609"/>
      <c r="BV328" s="608"/>
      <c r="BW328" s="608"/>
      <c r="BX328" s="608"/>
      <c r="BY328" s="627"/>
      <c r="BZ328" s="627"/>
    </row>
    <row r="329" spans="2:78" ht="12.75" customHeight="1">
      <c r="B329" s="723"/>
      <c r="C329" s="627"/>
      <c r="D329" s="627"/>
      <c r="E329" s="627"/>
      <c r="F329" s="1488"/>
      <c r="G329" s="731"/>
      <c r="H329" s="731"/>
      <c r="I329" s="731"/>
      <c r="J329" s="731"/>
      <c r="K329" s="627"/>
      <c r="L329" s="627"/>
      <c r="M329" s="627"/>
      <c r="N329" s="627"/>
      <c r="O329" s="627"/>
      <c r="P329" s="627"/>
      <c r="Q329" s="627"/>
      <c r="R329" s="627"/>
      <c r="S329" s="627"/>
      <c r="T329" s="627"/>
      <c r="U329" s="627"/>
      <c r="V329" s="627"/>
      <c r="W329" s="627"/>
      <c r="X329" s="627"/>
      <c r="Y329" s="627"/>
      <c r="Z329" s="627"/>
      <c r="AA329" s="627"/>
      <c r="AB329" s="627"/>
      <c r="AC329" s="627"/>
      <c r="AD329" s="627"/>
      <c r="AE329" s="627"/>
      <c r="AF329" s="627"/>
      <c r="AG329" s="627"/>
      <c r="AH329" s="627"/>
      <c r="AI329" s="627"/>
      <c r="AJ329" s="627"/>
      <c r="AK329" s="627"/>
      <c r="AL329" s="627"/>
      <c r="AM329" s="627"/>
      <c r="AN329" s="627"/>
      <c r="AO329" s="627"/>
      <c r="AP329" s="627"/>
      <c r="AQ329" s="627"/>
      <c r="AR329" s="627"/>
      <c r="AS329" s="627"/>
      <c r="AT329" s="627"/>
      <c r="AU329" s="627"/>
      <c r="AV329" s="627"/>
      <c r="AW329" s="627"/>
      <c r="AX329" s="627"/>
      <c r="AY329" s="627"/>
      <c r="AZ329" s="627"/>
      <c r="BA329" s="627"/>
      <c r="BB329" s="627"/>
      <c r="BC329" s="627"/>
      <c r="BD329" s="627"/>
      <c r="BE329" s="627"/>
      <c r="BF329" s="627"/>
      <c r="BR329" s="627"/>
      <c r="BS329" s="627"/>
      <c r="BT329" s="627"/>
      <c r="BU329" s="609"/>
      <c r="BV329" s="608"/>
      <c r="BW329" s="608"/>
      <c r="BX329" s="608"/>
      <c r="BY329" s="627"/>
      <c r="BZ329" s="627"/>
    </row>
    <row r="330" spans="2:78" ht="12.75" customHeight="1">
      <c r="B330" s="723"/>
      <c r="C330" s="627"/>
      <c r="D330" s="627"/>
      <c r="E330" s="627"/>
      <c r="F330" s="1488"/>
      <c r="G330" s="731"/>
      <c r="H330" s="731"/>
      <c r="I330" s="731"/>
      <c r="J330" s="731"/>
      <c r="K330" s="627"/>
      <c r="L330" s="627"/>
      <c r="M330" s="627"/>
      <c r="N330" s="627"/>
      <c r="O330" s="627"/>
      <c r="P330" s="627"/>
      <c r="Q330" s="627"/>
      <c r="R330" s="627"/>
      <c r="S330" s="627"/>
      <c r="T330" s="627"/>
      <c r="U330" s="627"/>
      <c r="V330" s="627"/>
      <c r="W330" s="627"/>
      <c r="X330" s="627"/>
      <c r="Y330" s="627"/>
      <c r="Z330" s="627"/>
      <c r="AA330" s="627"/>
      <c r="AB330" s="627"/>
      <c r="AC330" s="627"/>
      <c r="AD330" s="627"/>
      <c r="AE330" s="627"/>
      <c r="AF330" s="627"/>
      <c r="AG330" s="627"/>
      <c r="AH330" s="627"/>
      <c r="AI330" s="627"/>
      <c r="AJ330" s="627"/>
      <c r="AK330" s="627"/>
      <c r="AL330" s="627"/>
      <c r="AM330" s="627"/>
      <c r="AN330" s="627"/>
      <c r="AO330" s="627"/>
      <c r="AP330" s="627"/>
      <c r="AQ330" s="627"/>
      <c r="AR330" s="627"/>
      <c r="AS330" s="627"/>
      <c r="AT330" s="627"/>
      <c r="AU330" s="627"/>
      <c r="AV330" s="627"/>
      <c r="AW330" s="627"/>
      <c r="AX330" s="627"/>
      <c r="AY330" s="627"/>
      <c r="AZ330" s="627"/>
      <c r="BA330" s="627"/>
      <c r="BB330" s="627"/>
      <c r="BC330" s="627"/>
      <c r="BD330" s="627"/>
      <c r="BE330" s="627"/>
      <c r="BF330" s="627"/>
      <c r="BR330" s="627"/>
      <c r="BS330" s="627"/>
      <c r="BT330" s="627"/>
      <c r="BU330" s="609"/>
      <c r="BV330" s="608"/>
      <c r="BW330" s="608"/>
      <c r="BX330" s="608"/>
      <c r="BY330" s="627"/>
      <c r="BZ330" s="627"/>
    </row>
    <row r="331" spans="2:78" ht="12.75" customHeight="1">
      <c r="B331" s="723"/>
      <c r="C331" s="627"/>
      <c r="D331" s="627"/>
      <c r="E331" s="627"/>
      <c r="F331" s="1488"/>
      <c r="G331" s="731"/>
      <c r="H331" s="731"/>
      <c r="I331" s="731"/>
      <c r="J331" s="731"/>
      <c r="K331" s="627"/>
      <c r="L331" s="627"/>
      <c r="M331" s="627"/>
      <c r="N331" s="627"/>
      <c r="O331" s="627"/>
      <c r="P331" s="627"/>
      <c r="Q331" s="627"/>
      <c r="R331" s="627"/>
      <c r="S331" s="627"/>
      <c r="T331" s="627"/>
      <c r="U331" s="627"/>
      <c r="V331" s="627"/>
      <c r="W331" s="627"/>
      <c r="X331" s="627"/>
      <c r="Y331" s="627"/>
      <c r="Z331" s="627"/>
      <c r="AA331" s="627"/>
      <c r="AB331" s="627"/>
      <c r="AC331" s="627"/>
      <c r="AD331" s="627"/>
      <c r="AE331" s="627"/>
      <c r="AF331" s="627"/>
      <c r="AG331" s="627"/>
      <c r="AH331" s="627"/>
      <c r="AI331" s="627"/>
      <c r="AJ331" s="627"/>
      <c r="AK331" s="627"/>
      <c r="AL331" s="627"/>
      <c r="AM331" s="627"/>
      <c r="AN331" s="627"/>
      <c r="AO331" s="627"/>
      <c r="AP331" s="627"/>
      <c r="AQ331" s="627"/>
      <c r="AR331" s="627"/>
      <c r="AS331" s="627"/>
      <c r="AT331" s="627"/>
      <c r="AU331" s="627"/>
      <c r="AV331" s="627"/>
      <c r="AW331" s="627"/>
      <c r="AX331" s="627"/>
      <c r="AY331" s="627"/>
      <c r="AZ331" s="627"/>
      <c r="BA331" s="627"/>
      <c r="BB331" s="627"/>
      <c r="BC331" s="627"/>
      <c r="BD331" s="627"/>
      <c r="BE331" s="627"/>
      <c r="BF331" s="627"/>
      <c r="BR331" s="627"/>
      <c r="BS331" s="627"/>
      <c r="BT331" s="627"/>
      <c r="BU331" s="609"/>
      <c r="BV331" s="608"/>
      <c r="BW331" s="608"/>
      <c r="BX331" s="608"/>
      <c r="BY331" s="627"/>
      <c r="BZ331" s="627"/>
    </row>
    <row r="332" spans="2:78" ht="12.75" customHeight="1">
      <c r="B332" s="723"/>
      <c r="C332" s="627"/>
      <c r="D332" s="627"/>
      <c r="E332" s="627"/>
      <c r="F332" s="1488"/>
      <c r="G332" s="731"/>
      <c r="H332" s="731"/>
      <c r="I332" s="731"/>
      <c r="J332" s="731"/>
      <c r="K332" s="627"/>
      <c r="L332" s="627"/>
      <c r="M332" s="627"/>
      <c r="N332" s="627"/>
      <c r="O332" s="627"/>
      <c r="P332" s="627"/>
      <c r="Q332" s="627"/>
      <c r="R332" s="627"/>
      <c r="S332" s="627"/>
      <c r="T332" s="627"/>
      <c r="U332" s="627"/>
      <c r="V332" s="627"/>
      <c r="W332" s="627"/>
      <c r="X332" s="627"/>
      <c r="Y332" s="627"/>
      <c r="Z332" s="627"/>
      <c r="AA332" s="627"/>
      <c r="AB332" s="627"/>
      <c r="AC332" s="627"/>
      <c r="AD332" s="627"/>
      <c r="AE332" s="627"/>
      <c r="AF332" s="627"/>
      <c r="AG332" s="627"/>
      <c r="AH332" s="627"/>
      <c r="AI332" s="627"/>
      <c r="AJ332" s="627"/>
      <c r="AK332" s="627"/>
      <c r="AL332" s="627"/>
      <c r="AM332" s="627"/>
      <c r="AN332" s="627"/>
      <c r="AO332" s="627"/>
      <c r="AP332" s="627"/>
      <c r="AQ332" s="627"/>
      <c r="AR332" s="627"/>
      <c r="AS332" s="627"/>
      <c r="AT332" s="627"/>
      <c r="AU332" s="627"/>
      <c r="AV332" s="627"/>
      <c r="AW332" s="627"/>
      <c r="AX332" s="627"/>
      <c r="AY332" s="627"/>
      <c r="AZ332" s="627"/>
      <c r="BA332" s="627"/>
      <c r="BB332" s="627"/>
      <c r="BC332" s="627"/>
      <c r="BD332" s="627"/>
      <c r="BE332" s="627"/>
      <c r="BF332" s="627"/>
      <c r="BR332" s="627"/>
      <c r="BS332" s="627"/>
      <c r="BT332" s="627"/>
      <c r="BU332" s="609"/>
      <c r="BV332" s="608"/>
      <c r="BW332" s="608"/>
      <c r="BX332" s="608"/>
      <c r="BY332" s="627"/>
      <c r="BZ332" s="627"/>
    </row>
    <row r="333" spans="2:78" ht="12.75" customHeight="1">
      <c r="B333" s="723"/>
      <c r="C333" s="627"/>
      <c r="D333" s="627"/>
      <c r="E333" s="627"/>
      <c r="F333" s="1488"/>
      <c r="G333" s="731"/>
      <c r="H333" s="731"/>
      <c r="I333" s="731"/>
      <c r="J333" s="731"/>
      <c r="K333" s="627"/>
      <c r="L333" s="627"/>
      <c r="M333" s="627"/>
      <c r="N333" s="627"/>
      <c r="O333" s="627"/>
      <c r="P333" s="627"/>
      <c r="Q333" s="627"/>
      <c r="R333" s="627"/>
      <c r="S333" s="627"/>
      <c r="T333" s="627"/>
      <c r="U333" s="627"/>
      <c r="V333" s="627"/>
      <c r="W333" s="627"/>
      <c r="X333" s="627"/>
      <c r="Y333" s="627"/>
      <c r="Z333" s="627"/>
      <c r="AA333" s="627"/>
      <c r="AB333" s="627"/>
      <c r="AC333" s="627"/>
      <c r="AD333" s="627"/>
      <c r="AE333" s="627"/>
      <c r="AF333" s="627"/>
      <c r="AG333" s="627"/>
      <c r="AH333" s="627"/>
      <c r="AI333" s="627"/>
      <c r="AJ333" s="627"/>
      <c r="AK333" s="627"/>
      <c r="AL333" s="627"/>
      <c r="AM333" s="627"/>
      <c r="AN333" s="627"/>
      <c r="AO333" s="627"/>
      <c r="AP333" s="627"/>
      <c r="AQ333" s="627"/>
      <c r="AR333" s="627"/>
      <c r="AS333" s="627"/>
      <c r="AT333" s="627"/>
      <c r="AU333" s="627"/>
      <c r="AV333" s="627"/>
      <c r="AW333" s="627"/>
      <c r="AX333" s="627"/>
      <c r="AY333" s="627"/>
      <c r="AZ333" s="627"/>
      <c r="BA333" s="627"/>
      <c r="BB333" s="627"/>
      <c r="BC333" s="627"/>
      <c r="BD333" s="627"/>
      <c r="BE333" s="627"/>
      <c r="BF333" s="627"/>
      <c r="BR333" s="627"/>
      <c r="BS333" s="627"/>
      <c r="BT333" s="627"/>
      <c r="BU333" s="609"/>
      <c r="BV333" s="608"/>
      <c r="BW333" s="608"/>
      <c r="BX333" s="608"/>
      <c r="BY333" s="627"/>
      <c r="BZ333" s="627"/>
    </row>
    <row r="334" spans="2:78" ht="12.75" customHeight="1">
      <c r="B334" s="723"/>
      <c r="C334" s="627"/>
      <c r="D334" s="627"/>
      <c r="E334" s="627"/>
      <c r="F334" s="1488"/>
      <c r="G334" s="731"/>
      <c r="H334" s="731"/>
      <c r="I334" s="731"/>
      <c r="J334" s="731"/>
      <c r="K334" s="627"/>
      <c r="L334" s="627"/>
      <c r="M334" s="627"/>
      <c r="N334" s="627"/>
      <c r="O334" s="627"/>
      <c r="P334" s="627"/>
      <c r="Q334" s="627"/>
      <c r="R334" s="627"/>
      <c r="S334" s="627"/>
      <c r="T334" s="627"/>
      <c r="U334" s="627"/>
      <c r="V334" s="627"/>
      <c r="W334" s="627"/>
      <c r="X334" s="627"/>
      <c r="Y334" s="627"/>
      <c r="Z334" s="627"/>
      <c r="AA334" s="627"/>
      <c r="AB334" s="627"/>
      <c r="AC334" s="627"/>
      <c r="AD334" s="627"/>
      <c r="AE334" s="627"/>
      <c r="AF334" s="627"/>
      <c r="AG334" s="627"/>
      <c r="AH334" s="627"/>
      <c r="AI334" s="627"/>
      <c r="AJ334" s="627"/>
      <c r="AK334" s="627"/>
      <c r="AL334" s="627"/>
      <c r="AM334" s="627"/>
      <c r="AN334" s="627"/>
      <c r="AO334" s="627"/>
      <c r="AP334" s="627"/>
      <c r="AQ334" s="627"/>
      <c r="AR334" s="627"/>
      <c r="AS334" s="627"/>
      <c r="AT334" s="627"/>
      <c r="AU334" s="627"/>
      <c r="AV334" s="627"/>
      <c r="AW334" s="627"/>
      <c r="AX334" s="627"/>
      <c r="AY334" s="627"/>
      <c r="AZ334" s="627"/>
      <c r="BA334" s="627"/>
      <c r="BB334" s="627"/>
      <c r="BC334" s="627"/>
      <c r="BD334" s="627"/>
      <c r="BE334" s="627"/>
      <c r="BF334" s="627"/>
      <c r="BR334" s="627"/>
      <c r="BS334" s="627"/>
      <c r="BT334" s="627"/>
      <c r="BU334" s="609"/>
      <c r="BV334" s="608"/>
      <c r="BW334" s="608"/>
      <c r="BX334" s="608"/>
      <c r="BY334" s="627"/>
      <c r="BZ334" s="627"/>
    </row>
    <row r="335" spans="2:78" ht="12.75" customHeight="1">
      <c r="B335" s="723"/>
      <c r="C335" s="627"/>
      <c r="D335" s="627"/>
      <c r="E335" s="627"/>
      <c r="F335" s="1488"/>
      <c r="G335" s="731"/>
      <c r="H335" s="731"/>
      <c r="I335" s="731"/>
      <c r="J335" s="731"/>
      <c r="K335" s="627"/>
      <c r="L335" s="627"/>
      <c r="M335" s="627"/>
      <c r="N335" s="627"/>
      <c r="O335" s="627"/>
      <c r="P335" s="627"/>
      <c r="Q335" s="627"/>
      <c r="R335" s="627"/>
      <c r="S335" s="627"/>
      <c r="T335" s="627"/>
      <c r="U335" s="627"/>
      <c r="V335" s="627"/>
      <c r="W335" s="627"/>
      <c r="X335" s="627"/>
      <c r="Y335" s="627"/>
      <c r="Z335" s="627"/>
      <c r="AA335" s="627"/>
      <c r="AB335" s="627"/>
      <c r="AC335" s="627"/>
      <c r="AD335" s="627"/>
      <c r="AE335" s="627"/>
      <c r="AF335" s="627"/>
      <c r="AG335" s="627"/>
      <c r="AH335" s="627"/>
      <c r="AI335" s="627"/>
      <c r="AJ335" s="627"/>
      <c r="AK335" s="627"/>
      <c r="AL335" s="627"/>
      <c r="AM335" s="627"/>
      <c r="AN335" s="627"/>
      <c r="AO335" s="627"/>
      <c r="AP335" s="627"/>
      <c r="AQ335" s="627"/>
      <c r="AR335" s="627"/>
      <c r="AS335" s="627"/>
      <c r="AT335" s="627"/>
      <c r="AU335" s="627"/>
      <c r="AV335" s="627"/>
      <c r="AW335" s="627"/>
      <c r="AX335" s="627"/>
      <c r="AY335" s="627"/>
      <c r="AZ335" s="627"/>
      <c r="BA335" s="627"/>
      <c r="BB335" s="627"/>
      <c r="BC335" s="627"/>
      <c r="BD335" s="627"/>
      <c r="BE335" s="627"/>
      <c r="BF335" s="627"/>
      <c r="BR335" s="627"/>
      <c r="BS335" s="627"/>
      <c r="BT335" s="627"/>
      <c r="BU335" s="609"/>
      <c r="BV335" s="608"/>
      <c r="BW335" s="608"/>
      <c r="BX335" s="608"/>
      <c r="BY335" s="627"/>
      <c r="BZ335" s="627"/>
    </row>
    <row r="336" spans="2:78" ht="12.75" customHeight="1">
      <c r="B336" s="723"/>
      <c r="C336" s="627"/>
      <c r="D336" s="627"/>
      <c r="E336" s="627"/>
      <c r="F336" s="1488"/>
      <c r="G336" s="731"/>
      <c r="H336" s="731"/>
      <c r="I336" s="731"/>
      <c r="J336" s="731"/>
      <c r="K336" s="627"/>
      <c r="L336" s="627"/>
      <c r="M336" s="627"/>
      <c r="N336" s="627"/>
      <c r="O336" s="627"/>
      <c r="P336" s="627"/>
      <c r="Q336" s="627"/>
      <c r="R336" s="627"/>
      <c r="S336" s="627"/>
      <c r="T336" s="627"/>
      <c r="U336" s="627"/>
      <c r="V336" s="627"/>
      <c r="W336" s="627"/>
      <c r="X336" s="627"/>
      <c r="Y336" s="627"/>
      <c r="Z336" s="627"/>
      <c r="AA336" s="627"/>
      <c r="AB336" s="627"/>
      <c r="AC336" s="627"/>
      <c r="AD336" s="627"/>
      <c r="AE336" s="627"/>
      <c r="AF336" s="627"/>
      <c r="AG336" s="627"/>
      <c r="AH336" s="627"/>
      <c r="AI336" s="627"/>
      <c r="AJ336" s="627"/>
      <c r="AK336" s="627"/>
      <c r="AL336" s="627"/>
      <c r="AM336" s="627"/>
      <c r="AN336" s="627"/>
      <c r="AO336" s="627"/>
      <c r="AP336" s="627"/>
      <c r="AQ336" s="627"/>
      <c r="AR336" s="627"/>
      <c r="AS336" s="627"/>
      <c r="AT336" s="627"/>
      <c r="AU336" s="627"/>
      <c r="AV336" s="627"/>
      <c r="AW336" s="627"/>
      <c r="AX336" s="627"/>
      <c r="AY336" s="627"/>
      <c r="AZ336" s="627"/>
      <c r="BA336" s="627"/>
      <c r="BB336" s="627"/>
      <c r="BC336" s="627"/>
      <c r="BD336" s="627"/>
      <c r="BE336" s="627"/>
      <c r="BF336" s="627"/>
      <c r="BR336" s="627"/>
      <c r="BS336" s="627"/>
      <c r="BT336" s="627"/>
      <c r="BU336" s="609"/>
      <c r="BV336" s="608"/>
      <c r="BW336" s="608"/>
      <c r="BX336" s="608"/>
      <c r="BY336" s="627"/>
      <c r="BZ336" s="627"/>
    </row>
    <row r="337" spans="2:78" ht="12.75" customHeight="1">
      <c r="B337" s="723"/>
      <c r="C337" s="627"/>
      <c r="D337" s="627"/>
      <c r="E337" s="627"/>
      <c r="F337" s="1488"/>
      <c r="G337" s="731"/>
      <c r="H337" s="731"/>
      <c r="I337" s="731"/>
      <c r="J337" s="731"/>
      <c r="K337" s="627"/>
      <c r="L337" s="627"/>
      <c r="M337" s="627"/>
      <c r="N337" s="627"/>
      <c r="O337" s="627"/>
      <c r="P337" s="627"/>
      <c r="Q337" s="627"/>
      <c r="R337" s="627"/>
      <c r="S337" s="627"/>
      <c r="T337" s="627"/>
      <c r="U337" s="627"/>
      <c r="V337" s="627"/>
      <c r="W337" s="627"/>
      <c r="X337" s="627"/>
      <c r="Y337" s="627"/>
      <c r="Z337" s="627"/>
      <c r="AA337" s="627"/>
      <c r="AB337" s="627"/>
      <c r="AC337" s="627"/>
      <c r="AD337" s="627"/>
      <c r="AE337" s="627"/>
      <c r="AF337" s="627"/>
      <c r="AG337" s="627"/>
      <c r="AH337" s="627"/>
      <c r="AI337" s="627"/>
      <c r="AJ337" s="627"/>
      <c r="AK337" s="627"/>
      <c r="AL337" s="627"/>
      <c r="AM337" s="627"/>
      <c r="AN337" s="627"/>
      <c r="AO337" s="627"/>
      <c r="AP337" s="627"/>
      <c r="AQ337" s="627"/>
      <c r="AR337" s="627"/>
      <c r="AS337" s="627"/>
      <c r="AT337" s="627"/>
      <c r="AU337" s="627"/>
      <c r="AV337" s="627"/>
      <c r="AW337" s="627"/>
      <c r="AX337" s="627"/>
      <c r="AY337" s="627"/>
      <c r="AZ337" s="627"/>
      <c r="BA337" s="627"/>
      <c r="BB337" s="627"/>
      <c r="BC337" s="627"/>
      <c r="BD337" s="627"/>
      <c r="BE337" s="627"/>
      <c r="BF337" s="627"/>
      <c r="BR337" s="627"/>
      <c r="BS337" s="627"/>
      <c r="BT337" s="627"/>
      <c r="BU337" s="609"/>
      <c r="BV337" s="608"/>
      <c r="BW337" s="608"/>
      <c r="BX337" s="608"/>
      <c r="BY337" s="627"/>
      <c r="BZ337" s="627"/>
    </row>
    <row r="338" spans="2:78" ht="12.75" customHeight="1">
      <c r="B338" s="723"/>
      <c r="C338" s="627"/>
      <c r="D338" s="627"/>
      <c r="E338" s="627"/>
      <c r="F338" s="1488"/>
      <c r="G338" s="731"/>
      <c r="H338" s="731"/>
      <c r="I338" s="731"/>
      <c r="J338" s="731"/>
      <c r="K338" s="627"/>
      <c r="L338" s="627"/>
      <c r="M338" s="627"/>
      <c r="N338" s="627"/>
      <c r="O338" s="627"/>
      <c r="P338" s="627"/>
      <c r="Q338" s="627"/>
      <c r="R338" s="627"/>
      <c r="S338" s="627"/>
      <c r="T338" s="627"/>
      <c r="U338" s="627"/>
      <c r="V338" s="627"/>
      <c r="W338" s="627"/>
      <c r="X338" s="627"/>
      <c r="Y338" s="627"/>
      <c r="Z338" s="627"/>
      <c r="AA338" s="627"/>
      <c r="AB338" s="627"/>
      <c r="AC338" s="627"/>
      <c r="AD338" s="627"/>
      <c r="AE338" s="627"/>
      <c r="AF338" s="627"/>
      <c r="AG338" s="627"/>
      <c r="AH338" s="627"/>
      <c r="AI338" s="627"/>
      <c r="AJ338" s="627"/>
      <c r="AK338" s="627"/>
      <c r="AL338" s="627"/>
      <c r="AM338" s="627"/>
      <c r="AN338" s="627"/>
      <c r="AO338" s="627"/>
      <c r="AP338" s="627"/>
      <c r="AQ338" s="627"/>
      <c r="AR338" s="627"/>
      <c r="AS338" s="627"/>
      <c r="AT338" s="627"/>
      <c r="AU338" s="627"/>
      <c r="AV338" s="627"/>
      <c r="AW338" s="627"/>
      <c r="AX338" s="627"/>
      <c r="AY338" s="627"/>
      <c r="AZ338" s="627"/>
      <c r="BA338" s="627"/>
      <c r="BB338" s="627"/>
      <c r="BC338" s="627"/>
      <c r="BD338" s="627"/>
      <c r="BE338" s="627"/>
      <c r="BF338" s="627"/>
      <c r="BR338" s="627"/>
      <c r="BS338" s="627"/>
      <c r="BT338" s="627"/>
      <c r="BU338" s="609"/>
      <c r="BV338" s="608"/>
      <c r="BW338" s="608"/>
      <c r="BX338" s="608"/>
      <c r="BY338" s="627"/>
      <c r="BZ338" s="627"/>
    </row>
    <row r="339" spans="2:78" ht="12.75" customHeight="1">
      <c r="B339" s="723"/>
      <c r="C339" s="627"/>
      <c r="D339" s="627"/>
      <c r="E339" s="627"/>
      <c r="F339" s="1488"/>
      <c r="G339" s="731"/>
      <c r="H339" s="731"/>
      <c r="I339" s="731"/>
      <c r="J339" s="731"/>
      <c r="K339" s="627"/>
      <c r="L339" s="627"/>
      <c r="M339" s="627"/>
      <c r="N339" s="627"/>
      <c r="O339" s="627"/>
      <c r="P339" s="627"/>
      <c r="Q339" s="627"/>
      <c r="R339" s="627"/>
      <c r="S339" s="627"/>
      <c r="T339" s="627"/>
      <c r="U339" s="627"/>
      <c r="V339" s="627"/>
      <c r="W339" s="627"/>
      <c r="X339" s="627"/>
      <c r="Y339" s="627"/>
      <c r="Z339" s="627"/>
      <c r="AA339" s="627"/>
      <c r="AB339" s="627"/>
      <c r="AC339" s="627"/>
      <c r="AD339" s="627"/>
      <c r="AE339" s="627"/>
      <c r="AF339" s="627"/>
      <c r="AG339" s="627"/>
      <c r="AH339" s="627"/>
      <c r="AI339" s="627"/>
      <c r="AJ339" s="627"/>
      <c r="AK339" s="627"/>
      <c r="AL339" s="627"/>
      <c r="AM339" s="627"/>
      <c r="AN339" s="627"/>
      <c r="AO339" s="627"/>
      <c r="AP339" s="627"/>
      <c r="AQ339" s="627"/>
      <c r="AR339" s="627"/>
      <c r="AS339" s="627"/>
      <c r="AT339" s="627"/>
      <c r="AU339" s="627"/>
      <c r="AV339" s="627"/>
      <c r="AW339" s="627"/>
      <c r="AX339" s="627"/>
      <c r="AY339" s="627"/>
      <c r="AZ339" s="627"/>
      <c r="BA339" s="627"/>
      <c r="BB339" s="627"/>
      <c r="BC339" s="627"/>
      <c r="BD339" s="627"/>
      <c r="BE339" s="627"/>
      <c r="BF339" s="627"/>
      <c r="BR339" s="627"/>
      <c r="BS339" s="627"/>
      <c r="BT339" s="627"/>
      <c r="BU339" s="609"/>
      <c r="BV339" s="608"/>
      <c r="BW339" s="608"/>
      <c r="BX339" s="608"/>
      <c r="BY339" s="627"/>
      <c r="BZ339" s="627"/>
    </row>
    <row r="340" spans="2:78" ht="12.75" customHeight="1">
      <c r="B340" s="723"/>
      <c r="C340" s="627"/>
      <c r="D340" s="627"/>
      <c r="E340" s="627"/>
      <c r="F340" s="1488"/>
      <c r="G340" s="731"/>
      <c r="H340" s="731"/>
      <c r="I340" s="731"/>
      <c r="J340" s="731"/>
      <c r="K340" s="627"/>
      <c r="L340" s="627"/>
      <c r="M340" s="627"/>
      <c r="N340" s="627"/>
      <c r="O340" s="627"/>
      <c r="P340" s="627"/>
      <c r="Q340" s="627"/>
      <c r="R340" s="627"/>
      <c r="S340" s="627"/>
      <c r="T340" s="627"/>
      <c r="U340" s="627"/>
      <c r="V340" s="627"/>
      <c r="W340" s="627"/>
      <c r="X340" s="627"/>
      <c r="Y340" s="627"/>
      <c r="Z340" s="627"/>
      <c r="AA340" s="627"/>
      <c r="AB340" s="627"/>
      <c r="AC340" s="627"/>
      <c r="AD340" s="627"/>
      <c r="AE340" s="627"/>
      <c r="AF340" s="627"/>
      <c r="AG340" s="627"/>
      <c r="AH340" s="627"/>
      <c r="AI340" s="627"/>
      <c r="AJ340" s="627"/>
      <c r="AK340" s="627"/>
      <c r="AL340" s="627"/>
      <c r="AM340" s="627"/>
      <c r="AN340" s="627"/>
      <c r="AO340" s="627"/>
      <c r="AP340" s="627"/>
      <c r="AQ340" s="627"/>
      <c r="AR340" s="627"/>
      <c r="AS340" s="627"/>
      <c r="AT340" s="627"/>
      <c r="AU340" s="627"/>
      <c r="AV340" s="627"/>
      <c r="AW340" s="627"/>
      <c r="AX340" s="627"/>
      <c r="AY340" s="627"/>
      <c r="AZ340" s="627"/>
      <c r="BA340" s="627"/>
      <c r="BB340" s="627"/>
      <c r="BC340" s="627"/>
      <c r="BD340" s="627"/>
      <c r="BE340" s="627"/>
      <c r="BF340" s="627"/>
      <c r="BR340" s="627"/>
      <c r="BS340" s="627"/>
      <c r="BT340" s="627"/>
      <c r="BU340" s="609"/>
      <c r="BV340" s="608"/>
      <c r="BW340" s="608"/>
      <c r="BX340" s="608"/>
      <c r="BY340" s="627"/>
      <c r="BZ340" s="627"/>
    </row>
    <row r="341" spans="2:78" ht="12.75" customHeight="1">
      <c r="B341" s="723"/>
      <c r="C341" s="627"/>
      <c r="D341" s="627"/>
      <c r="E341" s="627"/>
      <c r="F341" s="1488"/>
      <c r="G341" s="731"/>
      <c r="H341" s="731"/>
      <c r="I341" s="731"/>
      <c r="J341" s="731"/>
      <c r="K341" s="627"/>
      <c r="L341" s="627"/>
      <c r="M341" s="627"/>
      <c r="N341" s="627"/>
      <c r="O341" s="627"/>
      <c r="P341" s="627"/>
      <c r="Q341" s="627"/>
      <c r="R341" s="627"/>
      <c r="S341" s="627"/>
      <c r="T341" s="627"/>
      <c r="U341" s="627"/>
      <c r="V341" s="627"/>
      <c r="W341" s="627"/>
      <c r="X341" s="627"/>
      <c r="Y341" s="627"/>
      <c r="Z341" s="627"/>
      <c r="AA341" s="627"/>
      <c r="AB341" s="627"/>
      <c r="AC341" s="627"/>
      <c r="AD341" s="627"/>
      <c r="AE341" s="627"/>
      <c r="AF341" s="627"/>
      <c r="AG341" s="627"/>
      <c r="AH341" s="627"/>
      <c r="AI341" s="627"/>
      <c r="AJ341" s="627"/>
      <c r="AK341" s="627"/>
      <c r="AL341" s="627"/>
      <c r="AM341" s="627"/>
      <c r="AN341" s="627"/>
      <c r="AO341" s="627"/>
      <c r="AP341" s="627"/>
      <c r="AQ341" s="627"/>
      <c r="AR341" s="627"/>
      <c r="AS341" s="627"/>
      <c r="AT341" s="627"/>
      <c r="AU341" s="627"/>
      <c r="AV341" s="627"/>
      <c r="AW341" s="627"/>
      <c r="AX341" s="627"/>
      <c r="AY341" s="627"/>
      <c r="AZ341" s="627"/>
      <c r="BA341" s="627"/>
      <c r="BB341" s="627"/>
      <c r="BC341" s="627"/>
      <c r="BD341" s="627"/>
      <c r="BE341" s="627"/>
      <c r="BF341" s="627"/>
      <c r="BR341" s="627"/>
      <c r="BS341" s="627"/>
      <c r="BT341" s="627"/>
      <c r="BU341" s="609"/>
      <c r="BV341" s="608"/>
      <c r="BW341" s="608"/>
      <c r="BX341" s="608"/>
      <c r="BY341" s="627"/>
      <c r="BZ341" s="627"/>
    </row>
    <row r="342" spans="2:78" ht="12.75" customHeight="1">
      <c r="B342" s="723"/>
      <c r="C342" s="627"/>
      <c r="D342" s="627"/>
      <c r="E342" s="627"/>
      <c r="F342" s="1488"/>
      <c r="G342" s="731"/>
      <c r="H342" s="731"/>
      <c r="I342" s="731"/>
      <c r="J342" s="731"/>
      <c r="K342" s="627"/>
      <c r="L342" s="627"/>
      <c r="M342" s="627"/>
      <c r="N342" s="627"/>
      <c r="O342" s="627"/>
      <c r="P342" s="627"/>
      <c r="Q342" s="627"/>
      <c r="R342" s="627"/>
      <c r="S342" s="627"/>
      <c r="T342" s="627"/>
      <c r="U342" s="627"/>
      <c r="V342" s="627"/>
      <c r="W342" s="627"/>
      <c r="X342" s="627"/>
      <c r="Y342" s="627"/>
      <c r="Z342" s="627"/>
      <c r="AA342" s="627"/>
      <c r="AB342" s="627"/>
      <c r="AC342" s="627"/>
      <c r="AD342" s="627"/>
      <c r="AE342" s="627"/>
      <c r="AF342" s="627"/>
      <c r="AG342" s="627"/>
      <c r="AH342" s="627"/>
      <c r="AI342" s="627"/>
      <c r="AJ342" s="627"/>
      <c r="AK342" s="627"/>
      <c r="AL342" s="627"/>
      <c r="AM342" s="627"/>
      <c r="AN342" s="627"/>
      <c r="AO342" s="627"/>
      <c r="AP342" s="627"/>
      <c r="AQ342" s="627"/>
      <c r="AR342" s="627"/>
      <c r="AS342" s="627"/>
      <c r="AT342" s="627"/>
      <c r="AU342" s="627"/>
      <c r="AV342" s="627"/>
      <c r="AW342" s="627"/>
      <c r="AX342" s="627"/>
      <c r="AY342" s="627"/>
      <c r="AZ342" s="627"/>
      <c r="BA342" s="627"/>
      <c r="BB342" s="627"/>
      <c r="BC342" s="627"/>
      <c r="BD342" s="627"/>
      <c r="BE342" s="627"/>
      <c r="BF342" s="627"/>
      <c r="BR342" s="627"/>
      <c r="BS342" s="627"/>
      <c r="BT342" s="627"/>
      <c r="BU342" s="609"/>
      <c r="BV342" s="608"/>
      <c r="BW342" s="608"/>
      <c r="BX342" s="608"/>
      <c r="BY342" s="627"/>
      <c r="BZ342" s="627"/>
    </row>
    <row r="343" spans="2:78" ht="12.75" customHeight="1">
      <c r="B343" s="723"/>
      <c r="C343" s="627"/>
      <c r="D343" s="627"/>
      <c r="E343" s="627"/>
      <c r="F343" s="1488"/>
      <c r="G343" s="731"/>
      <c r="H343" s="731"/>
      <c r="I343" s="731"/>
      <c r="J343" s="731"/>
      <c r="K343" s="627"/>
      <c r="L343" s="627"/>
      <c r="M343" s="627"/>
      <c r="N343" s="627"/>
      <c r="O343" s="627"/>
      <c r="P343" s="627"/>
      <c r="Q343" s="627"/>
      <c r="R343" s="627"/>
      <c r="S343" s="627"/>
      <c r="T343" s="627"/>
      <c r="U343" s="627"/>
      <c r="V343" s="627"/>
      <c r="W343" s="627"/>
      <c r="X343" s="627"/>
      <c r="Y343" s="627"/>
      <c r="Z343" s="627"/>
      <c r="AA343" s="627"/>
      <c r="AB343" s="627"/>
      <c r="AC343" s="627"/>
      <c r="AD343" s="627"/>
      <c r="AE343" s="627"/>
      <c r="AF343" s="627"/>
      <c r="AG343" s="627"/>
      <c r="AH343" s="627"/>
      <c r="AI343" s="627"/>
      <c r="AJ343" s="627"/>
      <c r="AK343" s="627"/>
      <c r="AL343" s="627"/>
      <c r="AM343" s="627"/>
      <c r="AN343" s="627"/>
      <c r="AO343" s="627"/>
      <c r="AP343" s="627"/>
      <c r="AQ343" s="627"/>
      <c r="AR343" s="627"/>
      <c r="AS343" s="627"/>
      <c r="AT343" s="627"/>
      <c r="AU343" s="627"/>
      <c r="AV343" s="627"/>
      <c r="AW343" s="627"/>
      <c r="AX343" s="627"/>
      <c r="AY343" s="627"/>
      <c r="AZ343" s="627"/>
      <c r="BA343" s="627"/>
      <c r="BB343" s="627"/>
      <c r="BC343" s="627"/>
      <c r="BD343" s="627"/>
      <c r="BE343" s="627"/>
      <c r="BF343" s="627"/>
      <c r="BR343" s="627"/>
      <c r="BS343" s="627"/>
      <c r="BT343" s="627"/>
      <c r="BU343" s="609"/>
      <c r="BV343" s="608"/>
      <c r="BW343" s="608"/>
      <c r="BX343" s="608"/>
      <c r="BY343" s="627"/>
      <c r="BZ343" s="627"/>
    </row>
    <row r="344" spans="2:78" ht="12.75" customHeight="1">
      <c r="B344" s="723"/>
      <c r="C344" s="627"/>
      <c r="D344" s="627"/>
      <c r="E344" s="627"/>
      <c r="F344" s="1488"/>
      <c r="G344" s="731"/>
      <c r="H344" s="731"/>
      <c r="I344" s="731"/>
      <c r="J344" s="731"/>
      <c r="K344" s="627"/>
      <c r="L344" s="627"/>
      <c r="M344" s="627"/>
      <c r="N344" s="627"/>
      <c r="O344" s="627"/>
      <c r="P344" s="627"/>
      <c r="Q344" s="627"/>
      <c r="R344" s="627"/>
      <c r="S344" s="627"/>
      <c r="T344" s="627"/>
      <c r="U344" s="627"/>
      <c r="V344" s="627"/>
      <c r="W344" s="627"/>
      <c r="X344" s="627"/>
      <c r="Y344" s="627"/>
      <c r="Z344" s="627"/>
      <c r="AA344" s="627"/>
      <c r="AB344" s="627"/>
      <c r="AC344" s="627"/>
      <c r="AD344" s="627"/>
      <c r="AE344" s="627"/>
      <c r="AF344" s="627"/>
      <c r="AG344" s="627"/>
      <c r="AH344" s="627"/>
      <c r="AI344" s="627"/>
      <c r="AJ344" s="627"/>
      <c r="AK344" s="627"/>
      <c r="AL344" s="627"/>
      <c r="AM344" s="627"/>
      <c r="AN344" s="627"/>
      <c r="AO344" s="627"/>
      <c r="AP344" s="627"/>
      <c r="AQ344" s="627"/>
      <c r="AR344" s="627"/>
      <c r="AS344" s="627"/>
      <c r="AT344" s="627"/>
      <c r="AU344" s="627"/>
      <c r="AV344" s="627"/>
      <c r="AW344" s="627"/>
      <c r="AX344" s="627"/>
      <c r="AY344" s="627"/>
      <c r="AZ344" s="627"/>
      <c r="BA344" s="627"/>
      <c r="BB344" s="627"/>
      <c r="BC344" s="627"/>
      <c r="BD344" s="627"/>
      <c r="BE344" s="627"/>
      <c r="BF344" s="627"/>
      <c r="BR344" s="627"/>
      <c r="BS344" s="627"/>
      <c r="BT344" s="627"/>
      <c r="BU344" s="609"/>
      <c r="BV344" s="608"/>
      <c r="BW344" s="608"/>
      <c r="BX344" s="608"/>
      <c r="BY344" s="627"/>
      <c r="BZ344" s="627"/>
    </row>
    <row r="345" spans="2:78" ht="12.75" customHeight="1">
      <c r="B345" s="723"/>
      <c r="C345" s="627"/>
      <c r="D345" s="627"/>
      <c r="E345" s="627"/>
      <c r="F345" s="1488"/>
      <c r="G345" s="731"/>
      <c r="H345" s="731"/>
      <c r="I345" s="731"/>
      <c r="J345" s="731"/>
      <c r="K345" s="627"/>
      <c r="L345" s="627"/>
      <c r="M345" s="627"/>
      <c r="N345" s="627"/>
      <c r="O345" s="627"/>
      <c r="P345" s="627"/>
      <c r="Q345" s="627"/>
      <c r="R345" s="627"/>
      <c r="S345" s="627"/>
      <c r="T345" s="627"/>
      <c r="U345" s="627"/>
      <c r="V345" s="627"/>
      <c r="W345" s="627"/>
      <c r="X345" s="627"/>
      <c r="Y345" s="627"/>
      <c r="Z345" s="627"/>
      <c r="AA345" s="627"/>
      <c r="AB345" s="627"/>
      <c r="AC345" s="627"/>
      <c r="AD345" s="627"/>
      <c r="AE345" s="627"/>
      <c r="AF345" s="627"/>
      <c r="AG345" s="627"/>
      <c r="AH345" s="627"/>
      <c r="AI345" s="627"/>
      <c r="AJ345" s="627"/>
      <c r="AK345" s="627"/>
      <c r="AL345" s="627"/>
      <c r="AM345" s="627"/>
      <c r="AN345" s="627"/>
      <c r="AO345" s="627"/>
      <c r="AP345" s="627"/>
      <c r="AQ345" s="627"/>
      <c r="AR345" s="627"/>
      <c r="AS345" s="627"/>
      <c r="AT345" s="627"/>
      <c r="AU345" s="627"/>
      <c r="AV345" s="627"/>
      <c r="AW345" s="627"/>
      <c r="AX345" s="627"/>
      <c r="AY345" s="627"/>
      <c r="AZ345" s="627"/>
      <c r="BA345" s="627"/>
      <c r="BB345" s="627"/>
      <c r="BC345" s="627"/>
      <c r="BD345" s="627"/>
      <c r="BE345" s="627"/>
      <c r="BF345" s="627"/>
      <c r="BR345" s="627"/>
      <c r="BS345" s="627"/>
      <c r="BT345" s="627"/>
      <c r="BU345" s="609"/>
      <c r="BV345" s="608"/>
      <c r="BW345" s="608"/>
      <c r="BX345" s="608"/>
      <c r="BY345" s="627"/>
      <c r="BZ345" s="627"/>
    </row>
    <row r="346" spans="2:78" ht="12.75" customHeight="1">
      <c r="B346" s="723"/>
      <c r="C346" s="627"/>
      <c r="D346" s="627"/>
      <c r="E346" s="627"/>
      <c r="F346" s="1488"/>
      <c r="G346" s="731"/>
      <c r="H346" s="731"/>
      <c r="I346" s="731"/>
      <c r="J346" s="731"/>
      <c r="K346" s="627"/>
      <c r="L346" s="627"/>
      <c r="M346" s="627"/>
      <c r="N346" s="627"/>
      <c r="O346" s="627"/>
      <c r="P346" s="627"/>
      <c r="Q346" s="627"/>
      <c r="R346" s="627"/>
      <c r="S346" s="627"/>
      <c r="T346" s="627"/>
      <c r="U346" s="627"/>
      <c r="V346" s="627"/>
      <c r="W346" s="627"/>
      <c r="X346" s="627"/>
      <c r="Y346" s="627"/>
      <c r="Z346" s="627"/>
      <c r="AA346" s="627"/>
      <c r="AB346" s="627"/>
      <c r="AC346" s="627"/>
      <c r="AD346" s="627"/>
      <c r="AE346" s="627"/>
      <c r="AF346" s="627"/>
      <c r="AG346" s="627"/>
      <c r="AH346" s="627"/>
      <c r="AI346" s="627"/>
      <c r="AJ346" s="627"/>
      <c r="AK346" s="627"/>
      <c r="AL346" s="627"/>
      <c r="AM346" s="627"/>
      <c r="AN346" s="627"/>
      <c r="AO346" s="627"/>
      <c r="AP346" s="627"/>
      <c r="AQ346" s="627"/>
      <c r="AR346" s="627"/>
      <c r="AS346" s="627"/>
      <c r="AT346" s="627"/>
      <c r="AU346" s="627"/>
      <c r="AV346" s="627"/>
      <c r="AW346" s="627"/>
      <c r="AX346" s="627"/>
      <c r="AY346" s="627"/>
      <c r="AZ346" s="627"/>
      <c r="BA346" s="627"/>
      <c r="BB346" s="627"/>
      <c r="BC346" s="627"/>
      <c r="BD346" s="627"/>
      <c r="BE346" s="627"/>
      <c r="BF346" s="627"/>
      <c r="BR346" s="627"/>
      <c r="BS346" s="627"/>
      <c r="BT346" s="627"/>
      <c r="BU346" s="609"/>
      <c r="BV346" s="608"/>
      <c r="BW346" s="608"/>
      <c r="BX346" s="608"/>
      <c r="BY346" s="627"/>
      <c r="BZ346" s="627"/>
    </row>
    <row r="347" spans="2:78" ht="12.75" customHeight="1">
      <c r="B347" s="723"/>
      <c r="C347" s="627"/>
      <c r="D347" s="627"/>
      <c r="E347" s="627"/>
      <c r="F347" s="1488"/>
      <c r="G347" s="731"/>
      <c r="H347" s="731"/>
      <c r="I347" s="731"/>
      <c r="J347" s="731"/>
      <c r="K347" s="627"/>
      <c r="L347" s="627"/>
      <c r="M347" s="627"/>
      <c r="N347" s="627"/>
      <c r="O347" s="627"/>
      <c r="P347" s="627"/>
      <c r="Q347" s="627"/>
      <c r="R347" s="627"/>
      <c r="S347" s="627"/>
      <c r="T347" s="627"/>
      <c r="U347" s="627"/>
      <c r="V347" s="627"/>
      <c r="W347" s="627"/>
      <c r="X347" s="627"/>
      <c r="Y347" s="627"/>
      <c r="Z347" s="627"/>
      <c r="AA347" s="627"/>
      <c r="AB347" s="627"/>
      <c r="AC347" s="627"/>
      <c r="AD347" s="627"/>
      <c r="AE347" s="627"/>
      <c r="AF347" s="627"/>
      <c r="AG347" s="627"/>
      <c r="AH347" s="627"/>
      <c r="AI347" s="627"/>
      <c r="AJ347" s="627"/>
      <c r="AK347" s="627"/>
      <c r="AL347" s="627"/>
      <c r="AM347" s="627"/>
      <c r="AN347" s="627"/>
      <c r="AO347" s="627"/>
      <c r="AP347" s="627"/>
      <c r="AQ347" s="627"/>
      <c r="AR347" s="627"/>
      <c r="AS347" s="627"/>
      <c r="AT347" s="627"/>
      <c r="AU347" s="627"/>
      <c r="AV347" s="627"/>
      <c r="AW347" s="627"/>
      <c r="AX347" s="627"/>
      <c r="AY347" s="627"/>
      <c r="AZ347" s="627"/>
      <c r="BA347" s="627"/>
      <c r="BB347" s="627"/>
      <c r="BC347" s="627"/>
      <c r="BD347" s="627"/>
      <c r="BE347" s="627"/>
      <c r="BF347" s="627"/>
      <c r="BR347" s="627"/>
      <c r="BS347" s="627"/>
      <c r="BT347" s="627"/>
      <c r="BU347" s="609"/>
      <c r="BV347" s="608"/>
      <c r="BW347" s="608"/>
      <c r="BX347" s="608"/>
      <c r="BY347" s="627"/>
      <c r="BZ347" s="627"/>
    </row>
    <row r="348" spans="2:78" ht="12.75" customHeight="1">
      <c r="B348" s="723"/>
      <c r="C348" s="627"/>
      <c r="D348" s="627"/>
      <c r="E348" s="627"/>
      <c r="F348" s="1488"/>
      <c r="G348" s="731"/>
      <c r="H348" s="731"/>
      <c r="I348" s="731"/>
      <c r="J348" s="731"/>
      <c r="K348" s="627"/>
      <c r="L348" s="627"/>
      <c r="M348" s="627"/>
      <c r="N348" s="627"/>
      <c r="O348" s="627"/>
      <c r="P348" s="627"/>
      <c r="Q348" s="627"/>
      <c r="R348" s="627"/>
      <c r="S348" s="627"/>
      <c r="T348" s="627"/>
      <c r="U348" s="627"/>
      <c r="V348" s="627"/>
      <c r="W348" s="627"/>
      <c r="X348" s="627"/>
      <c r="Y348" s="627"/>
      <c r="Z348" s="627"/>
      <c r="AA348" s="627"/>
      <c r="AB348" s="627"/>
      <c r="AC348" s="627"/>
      <c r="AD348" s="627"/>
      <c r="AE348" s="627"/>
      <c r="AF348" s="627"/>
      <c r="AG348" s="627"/>
      <c r="AH348" s="627"/>
      <c r="AI348" s="627"/>
      <c r="AJ348" s="627"/>
      <c r="AK348" s="627"/>
      <c r="AL348" s="627"/>
      <c r="AM348" s="627"/>
      <c r="AN348" s="627"/>
      <c r="AO348" s="627"/>
      <c r="AP348" s="627"/>
      <c r="AQ348" s="627"/>
      <c r="AR348" s="627"/>
      <c r="AS348" s="627"/>
      <c r="AT348" s="627"/>
      <c r="AU348" s="627"/>
      <c r="AV348" s="627"/>
      <c r="AW348" s="627"/>
      <c r="AX348" s="627"/>
      <c r="AY348" s="627"/>
      <c r="AZ348" s="627"/>
      <c r="BA348" s="627"/>
      <c r="BB348" s="627"/>
      <c r="BC348" s="627"/>
      <c r="BD348" s="627"/>
      <c r="BE348" s="627"/>
      <c r="BF348" s="627"/>
      <c r="BR348" s="627"/>
      <c r="BS348" s="627"/>
      <c r="BT348" s="627"/>
      <c r="BU348" s="609"/>
      <c r="BV348" s="608"/>
      <c r="BW348" s="608"/>
      <c r="BX348" s="608"/>
      <c r="BY348" s="627"/>
      <c r="BZ348" s="627"/>
    </row>
    <row r="349" spans="2:78" ht="12.75" customHeight="1">
      <c r="B349" s="723"/>
      <c r="C349" s="627"/>
      <c r="D349" s="627"/>
      <c r="E349" s="627"/>
      <c r="F349" s="1488"/>
      <c r="G349" s="731"/>
      <c r="H349" s="731"/>
      <c r="I349" s="731"/>
      <c r="J349" s="731"/>
      <c r="K349" s="627"/>
      <c r="L349" s="627"/>
      <c r="M349" s="627"/>
      <c r="N349" s="627"/>
      <c r="O349" s="627"/>
      <c r="P349" s="627"/>
      <c r="Q349" s="627"/>
      <c r="R349" s="627"/>
      <c r="S349" s="627"/>
      <c r="T349" s="627"/>
      <c r="U349" s="627"/>
      <c r="V349" s="627"/>
      <c r="W349" s="627"/>
      <c r="X349" s="627"/>
      <c r="Y349" s="627"/>
      <c r="Z349" s="627"/>
      <c r="AA349" s="627"/>
      <c r="AB349" s="627"/>
      <c r="AC349" s="627"/>
      <c r="AD349" s="627"/>
      <c r="AE349" s="627"/>
      <c r="AF349" s="627"/>
      <c r="AG349" s="627"/>
      <c r="AH349" s="627"/>
      <c r="AI349" s="627"/>
      <c r="AJ349" s="627"/>
      <c r="AK349" s="627"/>
      <c r="AL349" s="627"/>
      <c r="AM349" s="627"/>
      <c r="AN349" s="627"/>
      <c r="AO349" s="627"/>
      <c r="AP349" s="627"/>
      <c r="AQ349" s="627"/>
      <c r="AR349" s="627"/>
      <c r="AS349" s="627"/>
      <c r="AT349" s="627"/>
      <c r="AU349" s="627"/>
      <c r="AV349" s="627"/>
      <c r="AW349" s="627"/>
      <c r="AX349" s="627"/>
      <c r="AY349" s="627"/>
      <c r="AZ349" s="627"/>
      <c r="BA349" s="627"/>
      <c r="BB349" s="627"/>
      <c r="BC349" s="627"/>
      <c r="BD349" s="627"/>
      <c r="BE349" s="627"/>
      <c r="BF349" s="627"/>
      <c r="BR349" s="627"/>
      <c r="BS349" s="627"/>
      <c r="BT349" s="627"/>
      <c r="BU349" s="609"/>
      <c r="BV349" s="608"/>
      <c r="BW349" s="608"/>
      <c r="BX349" s="608"/>
      <c r="BY349" s="627"/>
      <c r="BZ349" s="627"/>
    </row>
    <row r="350" spans="2:78" ht="12.75" customHeight="1">
      <c r="B350" s="723"/>
      <c r="C350" s="627"/>
      <c r="D350" s="627"/>
      <c r="E350" s="627"/>
      <c r="F350" s="1488"/>
      <c r="G350" s="731"/>
      <c r="H350" s="731"/>
      <c r="I350" s="731"/>
      <c r="J350" s="731"/>
      <c r="K350" s="627"/>
      <c r="L350" s="627"/>
      <c r="M350" s="627"/>
      <c r="N350" s="627"/>
      <c r="O350" s="627"/>
      <c r="P350" s="627"/>
      <c r="Q350" s="627"/>
      <c r="R350" s="627"/>
      <c r="S350" s="627"/>
      <c r="T350" s="627"/>
      <c r="U350" s="627"/>
      <c r="V350" s="627"/>
      <c r="W350" s="627"/>
      <c r="X350" s="627"/>
      <c r="Y350" s="627"/>
      <c r="Z350" s="627"/>
      <c r="AA350" s="627"/>
      <c r="AB350" s="627"/>
      <c r="AC350" s="627"/>
      <c r="AD350" s="627"/>
      <c r="AE350" s="627"/>
      <c r="AF350" s="627"/>
      <c r="AG350" s="627"/>
      <c r="AH350" s="627"/>
      <c r="AI350" s="627"/>
      <c r="AJ350" s="627"/>
      <c r="AK350" s="627"/>
      <c r="AL350" s="627"/>
      <c r="AM350" s="627"/>
      <c r="AN350" s="627"/>
      <c r="AO350" s="627"/>
      <c r="AP350" s="627"/>
      <c r="AQ350" s="627"/>
      <c r="AR350" s="627"/>
      <c r="AS350" s="627"/>
      <c r="AT350" s="627"/>
      <c r="AU350" s="627"/>
      <c r="AV350" s="627"/>
      <c r="AW350" s="627"/>
      <c r="AX350" s="627"/>
      <c r="AY350" s="627"/>
      <c r="AZ350" s="627"/>
      <c r="BA350" s="627"/>
      <c r="BB350" s="627"/>
      <c r="BC350" s="627"/>
      <c r="BD350" s="627"/>
      <c r="BE350" s="627"/>
      <c r="BF350" s="627"/>
      <c r="BR350" s="627"/>
      <c r="BS350" s="627"/>
      <c r="BT350" s="627"/>
      <c r="BU350" s="609"/>
      <c r="BV350" s="608"/>
      <c r="BW350" s="608"/>
      <c r="BX350" s="608"/>
      <c r="BY350" s="627"/>
      <c r="BZ350" s="627"/>
    </row>
    <row r="351" spans="2:78" ht="12.75" customHeight="1">
      <c r="B351" s="723"/>
      <c r="C351" s="627"/>
      <c r="D351" s="627"/>
      <c r="E351" s="627"/>
      <c r="F351" s="1488"/>
      <c r="G351" s="731"/>
      <c r="H351" s="731"/>
      <c r="I351" s="731"/>
      <c r="J351" s="731"/>
      <c r="K351" s="627"/>
      <c r="L351" s="627"/>
      <c r="M351" s="627"/>
      <c r="N351" s="627"/>
      <c r="O351" s="627"/>
      <c r="P351" s="627"/>
      <c r="Q351" s="627"/>
      <c r="R351" s="627"/>
      <c r="S351" s="627"/>
      <c r="T351" s="627"/>
      <c r="U351" s="627"/>
      <c r="V351" s="627"/>
      <c r="W351" s="627"/>
      <c r="X351" s="627"/>
      <c r="Y351" s="627"/>
      <c r="Z351" s="627"/>
      <c r="AA351" s="627"/>
      <c r="AB351" s="627"/>
      <c r="AC351" s="627"/>
      <c r="AD351" s="627"/>
      <c r="AE351" s="627"/>
      <c r="AF351" s="627"/>
      <c r="AG351" s="627"/>
      <c r="AH351" s="627"/>
      <c r="AI351" s="627"/>
      <c r="AJ351" s="627"/>
      <c r="AK351" s="627"/>
      <c r="AL351" s="627"/>
      <c r="AM351" s="627"/>
      <c r="AN351" s="627"/>
      <c r="AO351" s="627"/>
      <c r="AP351" s="627"/>
      <c r="AQ351" s="627"/>
      <c r="AR351" s="627"/>
      <c r="AS351" s="627"/>
      <c r="AT351" s="627"/>
      <c r="AU351" s="627"/>
      <c r="AV351" s="627"/>
      <c r="AW351" s="627"/>
      <c r="AX351" s="627"/>
      <c r="AY351" s="627"/>
      <c r="AZ351" s="627"/>
      <c r="BA351" s="627"/>
      <c r="BB351" s="627"/>
      <c r="BC351" s="627"/>
      <c r="BD351" s="627"/>
      <c r="BE351" s="627"/>
      <c r="BF351" s="627"/>
      <c r="BR351" s="627"/>
      <c r="BS351" s="627"/>
      <c r="BT351" s="627"/>
      <c r="BU351" s="609"/>
      <c r="BV351" s="608"/>
      <c r="BW351" s="608"/>
      <c r="BX351" s="608"/>
      <c r="BY351" s="627"/>
      <c r="BZ351" s="627"/>
    </row>
    <row r="352" spans="2:78" ht="12.75" customHeight="1">
      <c r="B352" s="723"/>
      <c r="C352" s="627"/>
      <c r="D352" s="627"/>
      <c r="E352" s="627"/>
      <c r="F352" s="1488"/>
      <c r="G352" s="731"/>
      <c r="H352" s="731"/>
      <c r="I352" s="731"/>
      <c r="J352" s="731"/>
      <c r="K352" s="627"/>
      <c r="L352" s="627"/>
      <c r="M352" s="627"/>
      <c r="N352" s="627"/>
      <c r="O352" s="627"/>
      <c r="P352" s="627"/>
      <c r="Q352" s="627"/>
      <c r="R352" s="627"/>
      <c r="S352" s="627"/>
      <c r="T352" s="627"/>
      <c r="U352" s="627"/>
      <c r="V352" s="627"/>
      <c r="W352" s="627"/>
      <c r="X352" s="627"/>
      <c r="Y352" s="627"/>
      <c r="Z352" s="627"/>
      <c r="AA352" s="627"/>
      <c r="AB352" s="627"/>
      <c r="AC352" s="627"/>
      <c r="AD352" s="627"/>
      <c r="AE352" s="627"/>
      <c r="AF352" s="627"/>
      <c r="AG352" s="627"/>
      <c r="AH352" s="627"/>
      <c r="AI352" s="627"/>
      <c r="AJ352" s="627"/>
      <c r="AK352" s="627"/>
      <c r="AL352" s="627"/>
      <c r="AM352" s="627"/>
      <c r="AN352" s="627"/>
      <c r="AO352" s="627"/>
      <c r="AP352" s="627"/>
      <c r="AQ352" s="627"/>
      <c r="AR352" s="627"/>
      <c r="AS352" s="627"/>
      <c r="AT352" s="627"/>
      <c r="AU352" s="627"/>
      <c r="AV352" s="627"/>
      <c r="AW352" s="627"/>
      <c r="AX352" s="627"/>
      <c r="AY352" s="627"/>
      <c r="AZ352" s="627"/>
      <c r="BA352" s="627"/>
      <c r="BB352" s="627"/>
      <c r="BC352" s="627"/>
      <c r="BD352" s="627"/>
      <c r="BE352" s="627"/>
      <c r="BF352" s="627"/>
      <c r="BR352" s="627"/>
      <c r="BS352" s="627"/>
      <c r="BT352" s="627"/>
      <c r="BU352" s="609"/>
      <c r="BV352" s="608"/>
      <c r="BW352" s="608"/>
      <c r="BX352" s="608"/>
      <c r="BY352" s="627"/>
      <c r="BZ352" s="627"/>
    </row>
    <row r="353" spans="2:78" ht="12.75" customHeight="1">
      <c r="B353" s="723"/>
      <c r="C353" s="627"/>
      <c r="D353" s="627"/>
      <c r="E353" s="627"/>
      <c r="F353" s="1488"/>
      <c r="G353" s="731"/>
      <c r="H353" s="731"/>
      <c r="I353" s="731"/>
      <c r="J353" s="731"/>
      <c r="K353" s="627"/>
      <c r="L353" s="627"/>
      <c r="M353" s="627"/>
      <c r="N353" s="627"/>
      <c r="O353" s="627"/>
      <c r="P353" s="627"/>
      <c r="Q353" s="627"/>
      <c r="R353" s="627"/>
      <c r="S353" s="627"/>
      <c r="T353" s="627"/>
      <c r="U353" s="627"/>
      <c r="V353" s="627"/>
      <c r="W353" s="627"/>
      <c r="X353" s="627"/>
      <c r="Y353" s="627"/>
      <c r="Z353" s="627"/>
      <c r="AA353" s="627"/>
      <c r="AB353" s="627"/>
      <c r="AC353" s="627"/>
      <c r="AD353" s="627"/>
      <c r="AE353" s="627"/>
      <c r="AF353" s="627"/>
      <c r="AG353" s="627"/>
      <c r="AH353" s="627"/>
      <c r="AI353" s="627"/>
      <c r="AJ353" s="627"/>
      <c r="AK353" s="627"/>
      <c r="AL353" s="627"/>
      <c r="AM353" s="627"/>
      <c r="AN353" s="627"/>
      <c r="AO353" s="627"/>
      <c r="AP353" s="627"/>
      <c r="AQ353" s="627"/>
      <c r="AR353" s="627"/>
      <c r="AS353" s="627"/>
      <c r="AT353" s="627"/>
      <c r="AU353" s="627"/>
      <c r="AV353" s="627"/>
      <c r="AW353" s="627"/>
      <c r="AX353" s="627"/>
      <c r="AY353" s="627"/>
      <c r="AZ353" s="627"/>
      <c r="BA353" s="627"/>
      <c r="BB353" s="627"/>
      <c r="BC353" s="627"/>
      <c r="BD353" s="627"/>
      <c r="BE353" s="627"/>
      <c r="BF353" s="627"/>
      <c r="BR353" s="627"/>
      <c r="BS353" s="627"/>
      <c r="BT353" s="627"/>
      <c r="BU353" s="609"/>
      <c r="BV353" s="608"/>
      <c r="BW353" s="608"/>
      <c r="BX353" s="608"/>
      <c r="BY353" s="627"/>
      <c r="BZ353" s="627"/>
    </row>
    <row r="354" spans="2:78" ht="12.75" customHeight="1">
      <c r="B354" s="723"/>
      <c r="C354" s="627"/>
      <c r="D354" s="627"/>
      <c r="E354" s="627"/>
      <c r="F354" s="1488"/>
      <c r="G354" s="731"/>
      <c r="H354" s="731"/>
      <c r="I354" s="731"/>
      <c r="J354" s="731"/>
      <c r="K354" s="627"/>
      <c r="L354" s="627"/>
      <c r="M354" s="627"/>
      <c r="N354" s="627"/>
      <c r="O354" s="627"/>
      <c r="P354" s="627"/>
      <c r="Q354" s="627"/>
      <c r="R354" s="627"/>
      <c r="S354" s="627"/>
      <c r="T354" s="627"/>
      <c r="U354" s="627"/>
      <c r="V354" s="627"/>
      <c r="W354" s="627"/>
      <c r="X354" s="627"/>
      <c r="Y354" s="627"/>
      <c r="Z354" s="627"/>
      <c r="AA354" s="627"/>
      <c r="AB354" s="627"/>
      <c r="AC354" s="627"/>
      <c r="AD354" s="627"/>
      <c r="AE354" s="627"/>
      <c r="AF354" s="627"/>
      <c r="AG354" s="627"/>
      <c r="AH354" s="627"/>
      <c r="AI354" s="627"/>
      <c r="AJ354" s="627"/>
      <c r="AK354" s="627"/>
      <c r="AL354" s="627"/>
      <c r="AM354" s="627"/>
      <c r="AN354" s="627"/>
      <c r="AO354" s="627"/>
      <c r="AP354" s="627"/>
      <c r="AQ354" s="627"/>
      <c r="AR354" s="627"/>
      <c r="AS354" s="627"/>
      <c r="AT354" s="627"/>
      <c r="AU354" s="627"/>
      <c r="AV354" s="627"/>
      <c r="AW354" s="627"/>
      <c r="AX354" s="627"/>
      <c r="AY354" s="627"/>
      <c r="AZ354" s="627"/>
      <c r="BA354" s="627"/>
      <c r="BB354" s="627"/>
      <c r="BC354" s="627"/>
      <c r="BD354" s="627"/>
      <c r="BE354" s="627"/>
      <c r="BF354" s="627"/>
      <c r="BR354" s="627"/>
      <c r="BS354" s="627"/>
      <c r="BT354" s="627"/>
      <c r="BU354" s="609"/>
      <c r="BV354" s="608"/>
      <c r="BW354" s="608"/>
      <c r="BX354" s="608"/>
      <c r="BY354" s="627"/>
      <c r="BZ354" s="627"/>
    </row>
    <row r="355" spans="2:78" ht="12.75" customHeight="1">
      <c r="B355" s="723"/>
      <c r="C355" s="627"/>
      <c r="D355" s="627"/>
      <c r="E355" s="627"/>
      <c r="F355" s="1488"/>
      <c r="G355" s="731"/>
      <c r="H355" s="731"/>
      <c r="I355" s="731"/>
      <c r="J355" s="731"/>
      <c r="K355" s="627"/>
      <c r="L355" s="627"/>
      <c r="M355" s="627"/>
      <c r="N355" s="627"/>
      <c r="O355" s="627"/>
      <c r="P355" s="627"/>
      <c r="Q355" s="627"/>
      <c r="R355" s="627"/>
      <c r="S355" s="627"/>
      <c r="T355" s="627"/>
      <c r="U355" s="627"/>
      <c r="V355" s="627"/>
      <c r="W355" s="627"/>
      <c r="X355" s="627"/>
      <c r="Y355" s="627"/>
      <c r="Z355" s="627"/>
      <c r="AA355" s="627"/>
      <c r="AB355" s="627"/>
      <c r="AC355" s="627"/>
      <c r="AD355" s="627"/>
      <c r="AE355" s="627"/>
      <c r="AF355" s="627"/>
      <c r="AG355" s="627"/>
      <c r="AH355" s="627"/>
      <c r="AI355" s="627"/>
      <c r="AJ355" s="627"/>
      <c r="AK355" s="627"/>
      <c r="AL355" s="627"/>
      <c r="AM355" s="627"/>
      <c r="AN355" s="627"/>
      <c r="AO355" s="627"/>
      <c r="AP355" s="627"/>
      <c r="AQ355" s="627"/>
      <c r="AR355" s="627"/>
      <c r="AS355" s="627"/>
      <c r="AT355" s="627"/>
      <c r="AU355" s="627"/>
      <c r="AV355" s="627"/>
      <c r="AW355" s="627"/>
      <c r="AX355" s="627"/>
      <c r="AY355" s="627"/>
      <c r="AZ355" s="627"/>
      <c r="BA355" s="627"/>
      <c r="BB355" s="627"/>
      <c r="BC355" s="627"/>
      <c r="BD355" s="627"/>
      <c r="BE355" s="627"/>
      <c r="BF355" s="627"/>
      <c r="BR355" s="627"/>
      <c r="BS355" s="627"/>
      <c r="BT355" s="627"/>
      <c r="BU355" s="609"/>
      <c r="BV355" s="608"/>
      <c r="BW355" s="608"/>
      <c r="BX355" s="608"/>
      <c r="BY355" s="627"/>
      <c r="BZ355" s="627"/>
    </row>
    <row r="356" spans="2:78" ht="12.75" customHeight="1">
      <c r="B356" s="723"/>
      <c r="C356" s="627"/>
      <c r="D356" s="627"/>
      <c r="E356" s="627"/>
      <c r="F356" s="1488"/>
      <c r="G356" s="731"/>
      <c r="H356" s="731"/>
      <c r="I356" s="731"/>
      <c r="J356" s="731"/>
      <c r="K356" s="627"/>
      <c r="L356" s="627"/>
      <c r="M356" s="627"/>
      <c r="N356" s="627"/>
      <c r="O356" s="627"/>
      <c r="P356" s="627"/>
      <c r="Q356" s="627"/>
      <c r="R356" s="627"/>
      <c r="S356" s="627"/>
      <c r="T356" s="627"/>
      <c r="U356" s="627"/>
      <c r="V356" s="627"/>
      <c r="W356" s="627"/>
      <c r="X356" s="627"/>
      <c r="Y356" s="627"/>
      <c r="Z356" s="627"/>
      <c r="AA356" s="627"/>
      <c r="AB356" s="627"/>
      <c r="AC356" s="627"/>
      <c r="AD356" s="627"/>
      <c r="AE356" s="627"/>
      <c r="AF356" s="627"/>
      <c r="AG356" s="627"/>
      <c r="AH356" s="627"/>
      <c r="AI356" s="627"/>
      <c r="AJ356" s="627"/>
      <c r="AK356" s="627"/>
      <c r="AL356" s="627"/>
      <c r="AM356" s="627"/>
      <c r="AN356" s="627"/>
      <c r="AO356" s="627"/>
      <c r="AP356" s="627"/>
      <c r="AQ356" s="627"/>
      <c r="AR356" s="627"/>
      <c r="AS356" s="627"/>
      <c r="AT356" s="627"/>
      <c r="AU356" s="627"/>
      <c r="AV356" s="627"/>
      <c r="AW356" s="627"/>
      <c r="AX356" s="627"/>
      <c r="AY356" s="627"/>
      <c r="AZ356" s="627"/>
      <c r="BA356" s="627"/>
      <c r="BB356" s="627"/>
      <c r="BC356" s="627"/>
      <c r="BD356" s="627"/>
      <c r="BE356" s="627"/>
      <c r="BF356" s="627"/>
      <c r="BR356" s="627"/>
      <c r="BS356" s="627"/>
      <c r="BT356" s="627"/>
      <c r="BU356" s="609"/>
      <c r="BV356" s="608"/>
      <c r="BW356" s="608"/>
      <c r="BX356" s="608"/>
      <c r="BY356" s="627"/>
      <c r="BZ356" s="627"/>
    </row>
    <row r="357" spans="2:78" ht="12.75" customHeight="1">
      <c r="B357" s="723"/>
      <c r="C357" s="627"/>
      <c r="D357" s="627"/>
      <c r="E357" s="627"/>
      <c r="F357" s="1488"/>
      <c r="G357" s="731"/>
      <c r="H357" s="731"/>
      <c r="I357" s="731"/>
      <c r="J357" s="731"/>
      <c r="K357" s="627"/>
      <c r="L357" s="627"/>
      <c r="M357" s="627"/>
      <c r="N357" s="627"/>
      <c r="O357" s="627"/>
      <c r="P357" s="627"/>
      <c r="Q357" s="627"/>
      <c r="R357" s="627"/>
      <c r="S357" s="627"/>
      <c r="T357" s="627"/>
      <c r="U357" s="627"/>
      <c r="V357" s="627"/>
      <c r="W357" s="627"/>
      <c r="X357" s="627"/>
      <c r="Y357" s="627"/>
      <c r="Z357" s="627"/>
      <c r="AA357" s="627"/>
      <c r="AB357" s="627"/>
      <c r="AC357" s="627"/>
      <c r="AD357" s="627"/>
      <c r="AE357" s="627"/>
      <c r="AF357" s="627"/>
      <c r="AG357" s="627"/>
      <c r="AH357" s="627"/>
      <c r="AI357" s="627"/>
      <c r="AJ357" s="627"/>
      <c r="AK357" s="627"/>
      <c r="AL357" s="627"/>
      <c r="AM357" s="627"/>
      <c r="AN357" s="627"/>
      <c r="AO357" s="627"/>
      <c r="AP357" s="627"/>
      <c r="AQ357" s="627"/>
      <c r="AR357" s="627"/>
      <c r="AS357" s="627"/>
      <c r="AT357" s="627"/>
      <c r="AU357" s="627"/>
      <c r="AV357" s="627"/>
      <c r="AW357" s="627"/>
      <c r="AX357" s="627"/>
      <c r="AY357" s="627"/>
      <c r="AZ357" s="627"/>
      <c r="BA357" s="627"/>
      <c r="BB357" s="627"/>
      <c r="BC357" s="627"/>
      <c r="BD357" s="627"/>
      <c r="BE357" s="627"/>
      <c r="BF357" s="627"/>
      <c r="BR357" s="627"/>
      <c r="BS357" s="627"/>
      <c r="BT357" s="627"/>
      <c r="BU357" s="609"/>
      <c r="BV357" s="608"/>
      <c r="BW357" s="608"/>
      <c r="BX357" s="608"/>
      <c r="BY357" s="627"/>
      <c r="BZ357" s="627"/>
    </row>
    <row r="358" spans="2:78" ht="12.75" customHeight="1">
      <c r="B358" s="723"/>
      <c r="C358" s="627"/>
      <c r="D358" s="627"/>
      <c r="E358" s="627"/>
      <c r="F358" s="1488"/>
      <c r="G358" s="731"/>
      <c r="H358" s="731"/>
      <c r="I358" s="731"/>
      <c r="J358" s="731"/>
      <c r="K358" s="627"/>
      <c r="L358" s="627"/>
      <c r="M358" s="627"/>
      <c r="N358" s="627"/>
      <c r="O358" s="627"/>
      <c r="P358" s="627"/>
      <c r="Q358" s="627"/>
      <c r="R358" s="627"/>
      <c r="S358" s="627"/>
      <c r="T358" s="627"/>
      <c r="U358" s="627"/>
      <c r="V358" s="627"/>
      <c r="W358" s="627"/>
      <c r="X358" s="627"/>
      <c r="Y358" s="627"/>
      <c r="Z358" s="627"/>
      <c r="AA358" s="627"/>
      <c r="AB358" s="627"/>
      <c r="AC358" s="627"/>
      <c r="AD358" s="627"/>
      <c r="AE358" s="627"/>
      <c r="AF358" s="627"/>
      <c r="AG358" s="627"/>
      <c r="AH358" s="627"/>
      <c r="AI358" s="627"/>
      <c r="AJ358" s="627"/>
      <c r="AK358" s="627"/>
      <c r="AL358" s="627"/>
      <c r="AM358" s="627"/>
      <c r="AN358" s="627"/>
      <c r="AO358" s="627"/>
      <c r="AP358" s="627"/>
      <c r="AQ358" s="627"/>
      <c r="AR358" s="627"/>
      <c r="AS358" s="627"/>
      <c r="AT358" s="627"/>
      <c r="AU358" s="627"/>
      <c r="AV358" s="627"/>
      <c r="AW358" s="627"/>
      <c r="AX358" s="627"/>
      <c r="AY358" s="627"/>
      <c r="AZ358" s="627"/>
      <c r="BA358" s="627"/>
      <c r="BB358" s="627"/>
      <c r="BC358" s="627"/>
      <c r="BD358" s="627"/>
      <c r="BE358" s="627"/>
      <c r="BF358" s="627"/>
      <c r="BR358" s="627"/>
      <c r="BS358" s="627"/>
      <c r="BT358" s="627"/>
      <c r="BU358" s="609"/>
      <c r="BV358" s="608"/>
      <c r="BW358" s="608"/>
      <c r="BX358" s="608"/>
      <c r="BY358" s="627"/>
      <c r="BZ358" s="627"/>
    </row>
    <row r="359" spans="2:78" ht="12.75" customHeight="1">
      <c r="B359" s="723"/>
      <c r="C359" s="627"/>
      <c r="D359" s="627"/>
      <c r="E359" s="627"/>
      <c r="F359" s="1488"/>
      <c r="G359" s="731"/>
      <c r="H359" s="731"/>
      <c r="I359" s="731"/>
      <c r="J359" s="731"/>
      <c r="K359" s="627"/>
      <c r="L359" s="627"/>
      <c r="M359" s="627"/>
      <c r="N359" s="627"/>
      <c r="O359" s="627"/>
      <c r="P359" s="627"/>
      <c r="Q359" s="627"/>
      <c r="R359" s="627"/>
      <c r="S359" s="627"/>
      <c r="T359" s="627"/>
      <c r="U359" s="627"/>
      <c r="V359" s="627"/>
      <c r="W359" s="627"/>
      <c r="X359" s="627"/>
      <c r="Y359" s="627"/>
      <c r="Z359" s="627"/>
      <c r="AA359" s="627"/>
      <c r="AB359" s="627"/>
      <c r="AC359" s="627"/>
      <c r="AD359" s="627"/>
      <c r="AE359" s="627"/>
      <c r="AF359" s="627"/>
      <c r="AG359" s="627"/>
      <c r="AH359" s="627"/>
      <c r="AI359" s="627"/>
      <c r="AJ359" s="627"/>
      <c r="AK359" s="627"/>
      <c r="AL359" s="627"/>
      <c r="AM359" s="627"/>
      <c r="AN359" s="627"/>
      <c r="AO359" s="627"/>
      <c r="AP359" s="627"/>
      <c r="AQ359" s="627"/>
      <c r="AR359" s="627"/>
      <c r="AS359" s="627"/>
      <c r="AT359" s="627"/>
      <c r="AU359" s="627"/>
      <c r="AV359" s="627"/>
      <c r="AW359" s="627"/>
      <c r="AX359" s="627"/>
      <c r="AY359" s="627"/>
      <c r="AZ359" s="627"/>
      <c r="BA359" s="627"/>
      <c r="BB359" s="627"/>
      <c r="BC359" s="627"/>
      <c r="BD359" s="627"/>
      <c r="BE359" s="627"/>
      <c r="BF359" s="627"/>
      <c r="BR359" s="627"/>
      <c r="BS359" s="627"/>
      <c r="BT359" s="627"/>
      <c r="BU359" s="609"/>
      <c r="BV359" s="627"/>
      <c r="BW359" s="627"/>
      <c r="BX359" s="627"/>
      <c r="BY359" s="627"/>
      <c r="BZ359" s="627"/>
    </row>
    <row r="360" spans="2:78" ht="12.75" customHeight="1">
      <c r="B360" s="723"/>
      <c r="C360" s="627"/>
      <c r="D360" s="627"/>
      <c r="E360" s="627"/>
      <c r="F360" s="1488"/>
      <c r="G360" s="731"/>
      <c r="H360" s="731"/>
      <c r="I360" s="731"/>
      <c r="J360" s="731"/>
      <c r="K360" s="627"/>
      <c r="L360" s="627"/>
      <c r="M360" s="627"/>
      <c r="N360" s="627"/>
      <c r="O360" s="627"/>
      <c r="P360" s="627"/>
      <c r="Q360" s="627"/>
      <c r="R360" s="627"/>
      <c r="S360" s="627"/>
      <c r="T360" s="627"/>
      <c r="U360" s="627"/>
      <c r="V360" s="627"/>
      <c r="W360" s="627"/>
      <c r="X360" s="627"/>
      <c r="Y360" s="627"/>
      <c r="Z360" s="627"/>
      <c r="AA360" s="627"/>
      <c r="AB360" s="627"/>
      <c r="AC360" s="627"/>
      <c r="AD360" s="627"/>
      <c r="AE360" s="627"/>
      <c r="AF360" s="627"/>
      <c r="AG360" s="627"/>
      <c r="AH360" s="627"/>
      <c r="AI360" s="627"/>
      <c r="AJ360" s="627"/>
      <c r="AK360" s="627"/>
      <c r="AL360" s="627"/>
      <c r="AM360" s="627"/>
      <c r="AN360" s="627"/>
      <c r="AO360" s="627"/>
      <c r="AP360" s="627"/>
      <c r="AQ360" s="627"/>
      <c r="AR360" s="627"/>
      <c r="AS360" s="627"/>
      <c r="AT360" s="627"/>
      <c r="AU360" s="627"/>
      <c r="AV360" s="627"/>
      <c r="AW360" s="627"/>
      <c r="AX360" s="627"/>
      <c r="AY360" s="627"/>
      <c r="AZ360" s="627"/>
      <c r="BA360" s="627"/>
      <c r="BB360" s="627"/>
      <c r="BC360" s="627"/>
      <c r="BD360" s="627"/>
      <c r="BE360" s="627"/>
      <c r="BF360" s="627"/>
      <c r="BR360" s="627"/>
      <c r="BS360" s="627"/>
      <c r="BT360" s="627"/>
      <c r="BU360" s="609"/>
      <c r="BV360" s="627"/>
      <c r="BW360" s="627"/>
      <c r="BX360" s="627"/>
      <c r="BY360" s="627"/>
      <c r="BZ360" s="627"/>
    </row>
    <row r="361" spans="2:78" ht="12.75" customHeight="1">
      <c r="B361" s="723"/>
      <c r="C361" s="627"/>
      <c r="D361" s="627"/>
      <c r="E361" s="627"/>
      <c r="F361" s="1488"/>
      <c r="G361" s="731"/>
      <c r="H361" s="731"/>
      <c r="I361" s="731"/>
      <c r="J361" s="731"/>
      <c r="K361" s="627"/>
      <c r="L361" s="627"/>
      <c r="M361" s="627"/>
      <c r="N361" s="627"/>
      <c r="O361" s="627"/>
      <c r="P361" s="627"/>
      <c r="Q361" s="627"/>
      <c r="R361" s="627"/>
      <c r="S361" s="627"/>
      <c r="T361" s="627"/>
      <c r="U361" s="627"/>
      <c r="V361" s="627"/>
      <c r="W361" s="627"/>
      <c r="X361" s="627"/>
      <c r="Y361" s="627"/>
      <c r="Z361" s="627"/>
      <c r="AA361" s="627"/>
      <c r="AB361" s="627"/>
      <c r="AC361" s="627"/>
      <c r="AD361" s="627"/>
      <c r="AE361" s="627"/>
      <c r="AF361" s="627"/>
      <c r="AG361" s="627"/>
      <c r="AH361" s="627"/>
      <c r="AI361" s="627"/>
      <c r="AJ361" s="627"/>
      <c r="AK361" s="627"/>
      <c r="AL361" s="627"/>
      <c r="AM361" s="627"/>
      <c r="AN361" s="627"/>
      <c r="AO361" s="627"/>
      <c r="AP361" s="627"/>
      <c r="AQ361" s="627"/>
      <c r="AR361" s="627"/>
      <c r="AS361" s="627"/>
      <c r="AT361" s="627"/>
      <c r="AU361" s="627"/>
      <c r="AV361" s="627"/>
      <c r="AW361" s="627"/>
      <c r="AX361" s="627"/>
      <c r="AY361" s="627"/>
      <c r="AZ361" s="627"/>
      <c r="BA361" s="627"/>
      <c r="BB361" s="627"/>
      <c r="BC361" s="627"/>
      <c r="BD361" s="627"/>
      <c r="BE361" s="627"/>
      <c r="BF361" s="627"/>
      <c r="BR361" s="627"/>
      <c r="BS361" s="627"/>
      <c r="BT361" s="627"/>
      <c r="BU361" s="609"/>
      <c r="BV361" s="627"/>
      <c r="BW361" s="627"/>
      <c r="BX361" s="627"/>
      <c r="BY361" s="627"/>
      <c r="BZ361" s="627"/>
    </row>
    <row r="362" spans="2:78" ht="12.75" customHeight="1">
      <c r="B362" s="723"/>
      <c r="C362" s="627"/>
      <c r="D362" s="627"/>
      <c r="E362" s="627"/>
      <c r="F362" s="1488"/>
      <c r="G362" s="731"/>
      <c r="H362" s="731"/>
      <c r="I362" s="731"/>
      <c r="J362" s="731"/>
      <c r="K362" s="627"/>
      <c r="L362" s="627"/>
      <c r="M362" s="627"/>
      <c r="N362" s="627"/>
      <c r="O362" s="627"/>
      <c r="P362" s="627"/>
      <c r="Q362" s="627"/>
      <c r="R362" s="627"/>
      <c r="S362" s="627"/>
      <c r="T362" s="627"/>
      <c r="U362" s="627"/>
      <c r="V362" s="627"/>
      <c r="W362" s="627"/>
      <c r="X362" s="627"/>
      <c r="Y362" s="627"/>
      <c r="Z362" s="627"/>
      <c r="AA362" s="627"/>
      <c r="AB362" s="627"/>
      <c r="AC362" s="627"/>
      <c r="AD362" s="627"/>
      <c r="AE362" s="627"/>
      <c r="AF362" s="627"/>
      <c r="AG362" s="627"/>
      <c r="AH362" s="627"/>
      <c r="AI362" s="627"/>
      <c r="AJ362" s="627"/>
      <c r="AK362" s="627"/>
      <c r="AL362" s="627"/>
      <c r="AM362" s="627"/>
      <c r="AN362" s="627"/>
      <c r="AO362" s="627"/>
      <c r="AP362" s="627"/>
      <c r="AQ362" s="627"/>
      <c r="AR362" s="627"/>
      <c r="AS362" s="627"/>
      <c r="AT362" s="627"/>
      <c r="AU362" s="627"/>
      <c r="AV362" s="627"/>
      <c r="AW362" s="627"/>
      <c r="AX362" s="627"/>
      <c r="AY362" s="627"/>
      <c r="AZ362" s="627"/>
      <c r="BA362" s="627"/>
      <c r="BB362" s="627"/>
      <c r="BC362" s="627"/>
      <c r="BD362" s="627"/>
      <c r="BE362" s="627"/>
      <c r="BF362" s="627"/>
      <c r="BR362" s="627"/>
      <c r="BS362" s="627"/>
      <c r="BT362" s="627"/>
      <c r="BU362" s="609"/>
      <c r="BV362" s="627"/>
      <c r="BW362" s="627"/>
      <c r="BX362" s="627"/>
      <c r="BY362" s="627"/>
      <c r="BZ362" s="627"/>
    </row>
    <row r="363" spans="2:78" ht="12.75" customHeight="1">
      <c r="B363" s="723"/>
      <c r="C363" s="627"/>
      <c r="D363" s="627"/>
      <c r="E363" s="627"/>
      <c r="F363" s="1488"/>
      <c r="G363" s="731"/>
      <c r="H363" s="731"/>
      <c r="I363" s="731"/>
      <c r="J363" s="731"/>
      <c r="K363" s="627"/>
      <c r="L363" s="627"/>
      <c r="M363" s="627"/>
      <c r="N363" s="627"/>
      <c r="O363" s="627"/>
      <c r="P363" s="627"/>
      <c r="Q363" s="627"/>
      <c r="R363" s="627"/>
      <c r="S363" s="627"/>
      <c r="T363" s="627"/>
      <c r="U363" s="627"/>
      <c r="V363" s="627"/>
      <c r="W363" s="627"/>
      <c r="X363" s="627"/>
      <c r="Y363" s="627"/>
      <c r="Z363" s="627"/>
      <c r="AA363" s="627"/>
      <c r="AB363" s="627"/>
      <c r="AC363" s="627"/>
      <c r="AD363" s="627"/>
      <c r="AE363" s="627"/>
      <c r="AF363" s="627"/>
      <c r="AG363" s="627"/>
      <c r="AH363" s="627"/>
      <c r="AI363" s="627"/>
      <c r="AJ363" s="627"/>
      <c r="AK363" s="627"/>
      <c r="AL363" s="627"/>
      <c r="AM363" s="627"/>
      <c r="AN363" s="627"/>
      <c r="AO363" s="627"/>
      <c r="AP363" s="627"/>
      <c r="AQ363" s="627"/>
      <c r="AR363" s="627"/>
      <c r="AS363" s="627"/>
      <c r="AT363" s="627"/>
      <c r="AU363" s="627"/>
      <c r="AV363" s="627"/>
      <c r="AW363" s="627"/>
      <c r="AX363" s="627"/>
      <c r="AY363" s="627"/>
      <c r="AZ363" s="627"/>
      <c r="BA363" s="627"/>
      <c r="BB363" s="627"/>
      <c r="BC363" s="627"/>
      <c r="BD363" s="627"/>
      <c r="BE363" s="627"/>
      <c r="BF363" s="627"/>
      <c r="BR363" s="627"/>
      <c r="BS363" s="627"/>
      <c r="BT363" s="627"/>
      <c r="BU363" s="609"/>
      <c r="BV363" s="627"/>
      <c r="BW363" s="627"/>
      <c r="BX363" s="627"/>
      <c r="BY363" s="627"/>
      <c r="BZ363" s="627"/>
    </row>
    <row r="364" spans="2:78" ht="12.75" customHeight="1">
      <c r="B364" s="723"/>
      <c r="C364" s="627"/>
      <c r="D364" s="627"/>
      <c r="E364" s="627"/>
      <c r="F364" s="1488"/>
      <c r="G364" s="731"/>
      <c r="H364" s="731"/>
      <c r="I364" s="731"/>
      <c r="J364" s="731"/>
      <c r="K364" s="627"/>
      <c r="L364" s="627"/>
      <c r="M364" s="627"/>
      <c r="N364" s="627"/>
      <c r="O364" s="627"/>
      <c r="P364" s="627"/>
      <c r="Q364" s="627"/>
      <c r="R364" s="627"/>
      <c r="S364" s="627"/>
      <c r="T364" s="627"/>
      <c r="U364" s="627"/>
      <c r="V364" s="627"/>
      <c r="W364" s="627"/>
      <c r="X364" s="627"/>
      <c r="Y364" s="627"/>
      <c r="Z364" s="627"/>
      <c r="AA364" s="627"/>
      <c r="AB364" s="627"/>
      <c r="AC364" s="627"/>
      <c r="AD364" s="627"/>
      <c r="AE364" s="627"/>
      <c r="AF364" s="627"/>
      <c r="AG364" s="627"/>
      <c r="AH364" s="627"/>
      <c r="AI364" s="627"/>
      <c r="AJ364" s="627"/>
      <c r="AK364" s="627"/>
      <c r="AL364" s="627"/>
      <c r="AM364" s="627"/>
      <c r="AN364" s="627"/>
      <c r="AO364" s="627"/>
      <c r="AP364" s="627"/>
      <c r="AQ364" s="627"/>
      <c r="AR364" s="627"/>
      <c r="AS364" s="627"/>
      <c r="AT364" s="627"/>
      <c r="AU364" s="627"/>
      <c r="AV364" s="627"/>
      <c r="AW364" s="627"/>
      <c r="AX364" s="627"/>
      <c r="AY364" s="627"/>
      <c r="AZ364" s="627"/>
      <c r="BA364" s="627"/>
      <c r="BB364" s="627"/>
      <c r="BC364" s="627"/>
      <c r="BD364" s="627"/>
      <c r="BE364" s="627"/>
      <c r="BF364" s="627"/>
      <c r="BR364" s="627"/>
      <c r="BS364" s="627"/>
      <c r="BT364" s="627"/>
      <c r="BU364" s="609"/>
      <c r="BV364" s="627"/>
      <c r="BW364" s="627"/>
      <c r="BX364" s="627"/>
      <c r="BY364" s="627"/>
      <c r="BZ364" s="627"/>
    </row>
    <row r="365" spans="2:78" ht="12.75" customHeight="1">
      <c r="B365" s="723"/>
      <c r="C365" s="627"/>
      <c r="D365" s="627"/>
      <c r="E365" s="627"/>
      <c r="F365" s="1488"/>
      <c r="G365" s="731"/>
      <c r="H365" s="731"/>
      <c r="I365" s="731"/>
      <c r="J365" s="731"/>
      <c r="K365" s="627"/>
      <c r="L365" s="627"/>
      <c r="M365" s="627"/>
      <c r="N365" s="627"/>
      <c r="O365" s="627"/>
      <c r="P365" s="627"/>
      <c r="Q365" s="627"/>
      <c r="R365" s="627"/>
      <c r="S365" s="627"/>
      <c r="T365" s="627"/>
      <c r="U365" s="627"/>
      <c r="V365" s="627"/>
      <c r="W365" s="627"/>
      <c r="X365" s="627"/>
      <c r="Y365" s="627"/>
      <c r="Z365" s="627"/>
      <c r="AA365" s="627"/>
      <c r="AB365" s="627"/>
      <c r="AC365" s="627"/>
      <c r="AD365" s="627"/>
      <c r="AE365" s="627"/>
      <c r="AF365" s="627"/>
      <c r="AG365" s="627"/>
      <c r="AH365" s="627"/>
      <c r="AI365" s="627"/>
      <c r="AJ365" s="627"/>
      <c r="AK365" s="627"/>
      <c r="AL365" s="627"/>
      <c r="AM365" s="627"/>
      <c r="AN365" s="627"/>
      <c r="AO365" s="627"/>
      <c r="AP365" s="627"/>
      <c r="AQ365" s="627"/>
      <c r="AR365" s="627"/>
      <c r="AS365" s="627"/>
      <c r="AT365" s="627"/>
      <c r="AU365" s="627"/>
      <c r="AV365" s="627"/>
      <c r="AW365" s="627"/>
      <c r="AX365" s="627"/>
      <c r="AY365" s="627"/>
      <c r="AZ365" s="627"/>
      <c r="BA365" s="627"/>
      <c r="BB365" s="627"/>
      <c r="BC365" s="627"/>
      <c r="BD365" s="627"/>
      <c r="BE365" s="627"/>
      <c r="BF365" s="627"/>
      <c r="BR365" s="627"/>
      <c r="BS365" s="627"/>
      <c r="BT365" s="627"/>
      <c r="BU365" s="609"/>
      <c r="BV365" s="627"/>
      <c r="BW365" s="627"/>
      <c r="BX365" s="627"/>
      <c r="BY365" s="627"/>
      <c r="BZ365" s="627"/>
    </row>
    <row r="366" spans="2:78" ht="12.75" customHeight="1">
      <c r="B366" s="723"/>
      <c r="C366" s="627"/>
      <c r="D366" s="627"/>
      <c r="E366" s="627"/>
      <c r="F366" s="1488"/>
      <c r="G366" s="731"/>
      <c r="H366" s="731"/>
      <c r="I366" s="731"/>
      <c r="J366" s="731"/>
      <c r="K366" s="627"/>
      <c r="L366" s="627"/>
      <c r="M366" s="627"/>
      <c r="N366" s="627"/>
      <c r="O366" s="627"/>
      <c r="P366" s="627"/>
      <c r="Q366" s="627"/>
      <c r="R366" s="627"/>
      <c r="S366" s="627"/>
      <c r="T366" s="627"/>
      <c r="U366" s="627"/>
      <c r="V366" s="627"/>
      <c r="W366" s="627"/>
      <c r="X366" s="627"/>
      <c r="Y366" s="627"/>
      <c r="Z366" s="627"/>
      <c r="AA366" s="627"/>
      <c r="AB366" s="627"/>
      <c r="AC366" s="627"/>
      <c r="AD366" s="627"/>
      <c r="AE366" s="627"/>
      <c r="AF366" s="627"/>
      <c r="AG366" s="627"/>
      <c r="AH366" s="627"/>
      <c r="AI366" s="627"/>
      <c r="AJ366" s="627"/>
      <c r="AK366" s="627"/>
      <c r="AL366" s="627"/>
      <c r="AM366" s="627"/>
      <c r="AN366" s="627"/>
      <c r="AO366" s="627"/>
      <c r="AP366" s="627"/>
      <c r="AQ366" s="627"/>
      <c r="AR366" s="627"/>
      <c r="AS366" s="627"/>
      <c r="AT366" s="627"/>
      <c r="AU366" s="627"/>
      <c r="AV366" s="627"/>
      <c r="AW366" s="627"/>
      <c r="AX366" s="627"/>
      <c r="AY366" s="627"/>
      <c r="AZ366" s="627"/>
      <c r="BA366" s="627"/>
      <c r="BB366" s="627"/>
      <c r="BC366" s="627"/>
      <c r="BD366" s="627"/>
      <c r="BE366" s="627"/>
      <c r="BF366" s="627"/>
      <c r="BR366" s="627"/>
      <c r="BS366" s="627"/>
      <c r="BT366" s="627"/>
      <c r="BU366" s="609"/>
      <c r="BV366" s="627"/>
      <c r="BW366" s="627"/>
      <c r="BX366" s="627"/>
      <c r="BY366" s="627"/>
      <c r="BZ366" s="627"/>
    </row>
    <row r="367" spans="2:78" ht="12.75" customHeight="1">
      <c r="B367" s="723"/>
      <c r="C367" s="627"/>
      <c r="D367" s="627"/>
      <c r="E367" s="627"/>
      <c r="F367" s="1488"/>
      <c r="G367" s="731"/>
      <c r="H367" s="731"/>
      <c r="I367" s="731"/>
      <c r="J367" s="731"/>
      <c r="K367" s="627"/>
      <c r="L367" s="627"/>
      <c r="M367" s="627"/>
      <c r="N367" s="627"/>
      <c r="O367" s="627"/>
      <c r="P367" s="627"/>
      <c r="Q367" s="627"/>
      <c r="R367" s="627"/>
      <c r="S367" s="627"/>
      <c r="T367" s="627"/>
      <c r="U367" s="627"/>
      <c r="V367" s="627"/>
      <c r="W367" s="627"/>
      <c r="X367" s="627"/>
      <c r="Y367" s="627"/>
      <c r="Z367" s="627"/>
      <c r="AA367" s="627"/>
      <c r="AB367" s="627"/>
      <c r="AC367" s="627"/>
      <c r="AD367" s="627"/>
      <c r="AE367" s="627"/>
      <c r="AF367" s="627"/>
      <c r="AG367" s="627"/>
      <c r="AH367" s="627"/>
      <c r="AI367" s="627"/>
      <c r="AJ367" s="627"/>
      <c r="AK367" s="627"/>
      <c r="AL367" s="627"/>
      <c r="AM367" s="627"/>
      <c r="AN367" s="627"/>
      <c r="AO367" s="627"/>
      <c r="AP367" s="627"/>
      <c r="AQ367" s="627"/>
      <c r="AR367" s="627"/>
      <c r="AS367" s="627"/>
      <c r="AT367" s="627"/>
      <c r="AU367" s="627"/>
      <c r="AV367" s="627"/>
      <c r="AW367" s="627"/>
      <c r="AX367" s="627"/>
      <c r="AY367" s="627"/>
      <c r="AZ367" s="627"/>
      <c r="BA367" s="627"/>
      <c r="BB367" s="627"/>
      <c r="BC367" s="627"/>
      <c r="BD367" s="627"/>
      <c r="BE367" s="627"/>
      <c r="BF367" s="627"/>
      <c r="BR367" s="627"/>
      <c r="BS367" s="627"/>
      <c r="BT367" s="627"/>
      <c r="BU367" s="609"/>
      <c r="BV367" s="627"/>
      <c r="BW367" s="627"/>
      <c r="BX367" s="627"/>
      <c r="BY367" s="627"/>
      <c r="BZ367" s="627"/>
    </row>
    <row r="368" spans="2:78" ht="12.75" customHeight="1">
      <c r="B368" s="723"/>
      <c r="C368" s="627"/>
      <c r="D368" s="627"/>
      <c r="E368" s="627"/>
      <c r="F368" s="1488"/>
      <c r="G368" s="731"/>
      <c r="H368" s="731"/>
      <c r="I368" s="731"/>
      <c r="J368" s="731"/>
      <c r="K368" s="627"/>
      <c r="L368" s="627"/>
      <c r="M368" s="627"/>
      <c r="N368" s="627"/>
      <c r="O368" s="627"/>
      <c r="P368" s="627"/>
      <c r="Q368" s="627"/>
      <c r="R368" s="627"/>
      <c r="S368" s="627"/>
      <c r="T368" s="627"/>
      <c r="U368" s="627"/>
      <c r="V368" s="627"/>
      <c r="W368" s="627"/>
      <c r="X368" s="627"/>
      <c r="Y368" s="627"/>
      <c r="Z368" s="627"/>
      <c r="AA368" s="627"/>
      <c r="AB368" s="627"/>
      <c r="AC368" s="627"/>
      <c r="AD368" s="627"/>
      <c r="AE368" s="627"/>
      <c r="AF368" s="627"/>
      <c r="AG368" s="627"/>
      <c r="AH368" s="627"/>
      <c r="AI368" s="627"/>
      <c r="AJ368" s="627"/>
      <c r="AK368" s="627"/>
      <c r="AL368" s="627"/>
      <c r="AM368" s="627"/>
      <c r="AN368" s="627"/>
      <c r="AO368" s="627"/>
      <c r="AP368" s="627"/>
      <c r="AQ368" s="627"/>
      <c r="AR368" s="627"/>
      <c r="AS368" s="627"/>
      <c r="AT368" s="627"/>
      <c r="AU368" s="627"/>
      <c r="AV368" s="627"/>
      <c r="AW368" s="627"/>
      <c r="AX368" s="627"/>
      <c r="AY368" s="627"/>
      <c r="AZ368" s="627"/>
      <c r="BA368" s="627"/>
      <c r="BB368" s="627"/>
      <c r="BC368" s="627"/>
      <c r="BD368" s="627"/>
      <c r="BE368" s="627"/>
      <c r="BF368" s="627"/>
      <c r="BR368" s="627"/>
      <c r="BS368" s="627"/>
      <c r="BT368" s="627"/>
      <c r="BU368" s="609"/>
      <c r="BV368" s="627"/>
      <c r="BW368" s="627"/>
      <c r="BX368" s="627"/>
      <c r="BY368" s="627"/>
      <c r="BZ368" s="627"/>
    </row>
    <row r="369" spans="2:78" ht="12.75" customHeight="1">
      <c r="B369" s="723"/>
      <c r="C369" s="627"/>
      <c r="D369" s="627"/>
      <c r="E369" s="627"/>
      <c r="F369" s="1488"/>
      <c r="G369" s="731"/>
      <c r="H369" s="731"/>
      <c r="I369" s="731"/>
      <c r="J369" s="731"/>
      <c r="K369" s="627"/>
      <c r="L369" s="627"/>
      <c r="M369" s="627"/>
      <c r="N369" s="627"/>
      <c r="O369" s="627"/>
      <c r="P369" s="627"/>
      <c r="Q369" s="627"/>
      <c r="R369" s="627"/>
      <c r="S369" s="627"/>
      <c r="T369" s="627"/>
      <c r="U369" s="627"/>
      <c r="V369" s="627"/>
      <c r="W369" s="627"/>
      <c r="X369" s="627"/>
      <c r="Y369" s="627"/>
      <c r="Z369" s="627"/>
      <c r="AA369" s="627"/>
      <c r="AB369" s="627"/>
      <c r="AC369" s="627"/>
      <c r="AD369" s="627"/>
      <c r="AE369" s="627"/>
      <c r="AF369" s="627"/>
      <c r="AG369" s="627"/>
      <c r="AH369" s="627"/>
      <c r="AI369" s="627"/>
      <c r="AJ369" s="627"/>
      <c r="AK369" s="627"/>
      <c r="AL369" s="627"/>
      <c r="AM369" s="627"/>
      <c r="AN369" s="627"/>
      <c r="AO369" s="627"/>
      <c r="AP369" s="627"/>
      <c r="AQ369" s="627"/>
      <c r="AR369" s="627"/>
      <c r="AS369" s="627"/>
      <c r="AT369" s="627"/>
      <c r="AU369" s="627"/>
      <c r="AV369" s="627"/>
      <c r="AW369" s="627"/>
      <c r="AX369" s="627"/>
      <c r="AY369" s="627"/>
      <c r="AZ369" s="627"/>
      <c r="BA369" s="627"/>
      <c r="BB369" s="627"/>
      <c r="BC369" s="627"/>
      <c r="BD369" s="627"/>
      <c r="BE369" s="627"/>
      <c r="BF369" s="627"/>
      <c r="BR369" s="627"/>
      <c r="BS369" s="627"/>
      <c r="BT369" s="627"/>
      <c r="BU369" s="609"/>
      <c r="BV369" s="627"/>
      <c r="BW369" s="627"/>
      <c r="BX369" s="627"/>
      <c r="BY369" s="627"/>
      <c r="BZ369" s="627"/>
    </row>
    <row r="370" spans="2:78" ht="12.75" customHeight="1">
      <c r="B370" s="723"/>
      <c r="C370" s="627"/>
      <c r="D370" s="627"/>
      <c r="E370" s="627"/>
      <c r="F370" s="1488"/>
      <c r="G370" s="731"/>
      <c r="H370" s="731"/>
      <c r="I370" s="731"/>
      <c r="J370" s="731"/>
      <c r="K370" s="627"/>
      <c r="L370" s="627"/>
      <c r="M370" s="627"/>
      <c r="N370" s="627"/>
      <c r="O370" s="627"/>
      <c r="P370" s="627"/>
      <c r="Q370" s="627"/>
      <c r="R370" s="627"/>
      <c r="S370" s="627"/>
      <c r="T370" s="627"/>
      <c r="U370" s="627"/>
      <c r="V370" s="627"/>
      <c r="W370" s="627"/>
      <c r="X370" s="627"/>
      <c r="Y370" s="627"/>
      <c r="Z370" s="627"/>
      <c r="AA370" s="627"/>
      <c r="AB370" s="627"/>
      <c r="AC370" s="627"/>
      <c r="AD370" s="627"/>
      <c r="AE370" s="627"/>
      <c r="AF370" s="627"/>
      <c r="AG370" s="627"/>
      <c r="AH370" s="627"/>
      <c r="AI370" s="627"/>
      <c r="AJ370" s="627"/>
      <c r="AK370" s="627"/>
      <c r="AL370" s="627"/>
      <c r="AM370" s="627"/>
      <c r="AN370" s="627"/>
      <c r="AO370" s="627"/>
      <c r="AP370" s="627"/>
      <c r="AQ370" s="627"/>
      <c r="AR370" s="627"/>
      <c r="AS370" s="627"/>
      <c r="AT370" s="627"/>
      <c r="AU370" s="627"/>
      <c r="AV370" s="627"/>
      <c r="AW370" s="627"/>
      <c r="AX370" s="627"/>
      <c r="AY370" s="627"/>
      <c r="AZ370" s="627"/>
      <c r="BA370" s="627"/>
      <c r="BB370" s="627"/>
      <c r="BC370" s="627"/>
      <c r="BD370" s="627"/>
      <c r="BE370" s="627"/>
      <c r="BF370" s="627"/>
      <c r="BR370" s="627"/>
      <c r="BS370" s="627"/>
      <c r="BT370" s="627"/>
      <c r="BU370" s="609"/>
      <c r="BV370" s="627"/>
      <c r="BW370" s="627"/>
      <c r="BX370" s="627"/>
      <c r="BY370" s="627"/>
      <c r="BZ370" s="627"/>
    </row>
    <row r="371" spans="2:78" ht="12.75" customHeight="1">
      <c r="B371" s="723"/>
      <c r="C371" s="627"/>
      <c r="D371" s="627"/>
      <c r="E371" s="627"/>
      <c r="F371" s="1488"/>
      <c r="G371" s="731"/>
      <c r="H371" s="731"/>
      <c r="I371" s="731"/>
      <c r="J371" s="731"/>
      <c r="K371" s="627"/>
      <c r="L371" s="627"/>
      <c r="M371" s="627"/>
      <c r="N371" s="627"/>
      <c r="O371" s="627"/>
      <c r="P371" s="627"/>
      <c r="Q371" s="627"/>
      <c r="R371" s="627"/>
      <c r="S371" s="627"/>
      <c r="T371" s="627"/>
      <c r="U371" s="627"/>
      <c r="V371" s="627"/>
      <c r="W371" s="627"/>
      <c r="X371" s="627"/>
      <c r="Y371" s="627"/>
      <c r="Z371" s="627"/>
      <c r="AA371" s="627"/>
      <c r="AB371" s="627"/>
      <c r="AC371" s="627"/>
      <c r="AD371" s="627"/>
      <c r="AE371" s="627"/>
      <c r="AF371" s="627"/>
      <c r="AG371" s="627"/>
      <c r="AH371" s="627"/>
      <c r="AI371" s="627"/>
      <c r="AJ371" s="627"/>
      <c r="AK371" s="627"/>
      <c r="AL371" s="627"/>
      <c r="AM371" s="627"/>
      <c r="AN371" s="627"/>
      <c r="AO371" s="627"/>
      <c r="AP371" s="627"/>
      <c r="AQ371" s="627"/>
      <c r="AR371" s="627"/>
      <c r="AS371" s="627"/>
      <c r="AT371" s="627"/>
      <c r="AU371" s="627"/>
      <c r="AV371" s="627"/>
      <c r="AW371" s="627"/>
      <c r="AX371" s="627"/>
      <c r="AY371" s="627"/>
      <c r="AZ371" s="627"/>
      <c r="BA371" s="627"/>
      <c r="BB371" s="627"/>
      <c r="BC371" s="627"/>
      <c r="BD371" s="627"/>
      <c r="BE371" s="627"/>
      <c r="BF371" s="627"/>
      <c r="BR371" s="627"/>
      <c r="BS371" s="627"/>
      <c r="BT371" s="627"/>
      <c r="BU371" s="609"/>
      <c r="BV371" s="627"/>
      <c r="BW371" s="627"/>
      <c r="BX371" s="627"/>
      <c r="BY371" s="627"/>
      <c r="BZ371" s="627"/>
    </row>
    <row r="372" spans="2:78" ht="12.75" customHeight="1">
      <c r="B372" s="723"/>
      <c r="C372" s="627"/>
      <c r="D372" s="627"/>
      <c r="E372" s="627"/>
      <c r="F372" s="1488"/>
      <c r="G372" s="731"/>
      <c r="H372" s="731"/>
      <c r="I372" s="731"/>
      <c r="J372" s="731"/>
      <c r="K372" s="627"/>
      <c r="L372" s="627"/>
      <c r="M372" s="627"/>
      <c r="N372" s="627"/>
      <c r="O372" s="627"/>
      <c r="P372" s="627"/>
      <c r="Q372" s="627"/>
      <c r="R372" s="627"/>
      <c r="S372" s="627"/>
      <c r="T372" s="627"/>
      <c r="U372" s="627"/>
      <c r="V372" s="627"/>
      <c r="W372" s="627"/>
      <c r="X372" s="627"/>
      <c r="Y372" s="627"/>
      <c r="Z372" s="627"/>
      <c r="AA372" s="627"/>
      <c r="AB372" s="627"/>
      <c r="AC372" s="627"/>
      <c r="AD372" s="627"/>
      <c r="AE372" s="627"/>
      <c r="AF372" s="627"/>
      <c r="AG372" s="627"/>
      <c r="AH372" s="627"/>
      <c r="AI372" s="627"/>
      <c r="AJ372" s="627"/>
      <c r="AK372" s="627"/>
      <c r="AL372" s="627"/>
      <c r="AM372" s="627"/>
      <c r="AN372" s="627"/>
      <c r="AO372" s="627"/>
      <c r="AP372" s="627"/>
      <c r="AQ372" s="627"/>
      <c r="AR372" s="627"/>
      <c r="AS372" s="627"/>
      <c r="AT372" s="627"/>
      <c r="AU372" s="627"/>
      <c r="AV372" s="627"/>
      <c r="AW372" s="627"/>
      <c r="AX372" s="627"/>
      <c r="AY372" s="627"/>
      <c r="AZ372" s="627"/>
      <c r="BA372" s="627"/>
      <c r="BB372" s="627"/>
      <c r="BC372" s="627"/>
      <c r="BD372" s="627"/>
      <c r="BE372" s="627"/>
      <c r="BF372" s="627"/>
      <c r="BR372" s="627"/>
      <c r="BS372" s="627"/>
      <c r="BT372" s="627"/>
      <c r="BU372" s="609"/>
      <c r="BV372" s="627"/>
      <c r="BW372" s="627"/>
      <c r="BX372" s="627"/>
      <c r="BY372" s="627"/>
      <c r="BZ372" s="627"/>
    </row>
    <row r="373" spans="2:78" ht="12.75" customHeight="1">
      <c r="B373" s="723"/>
      <c r="C373" s="627"/>
      <c r="D373" s="627"/>
      <c r="E373" s="627"/>
      <c r="F373" s="1488"/>
      <c r="G373" s="731"/>
      <c r="H373" s="731"/>
      <c r="I373" s="731"/>
      <c r="J373" s="731"/>
      <c r="K373" s="627"/>
      <c r="L373" s="627"/>
      <c r="M373" s="627"/>
      <c r="N373" s="627"/>
      <c r="O373" s="627"/>
      <c r="P373" s="627"/>
      <c r="Q373" s="627"/>
      <c r="R373" s="627"/>
      <c r="S373" s="627"/>
      <c r="T373" s="627"/>
      <c r="U373" s="627"/>
      <c r="V373" s="627"/>
      <c r="W373" s="627"/>
      <c r="X373" s="627"/>
      <c r="Y373" s="627"/>
      <c r="Z373" s="627"/>
      <c r="AA373" s="627"/>
      <c r="AB373" s="627"/>
      <c r="AC373" s="627"/>
      <c r="AD373" s="627"/>
      <c r="AE373" s="627"/>
      <c r="AF373" s="627"/>
      <c r="AG373" s="627"/>
      <c r="AH373" s="627"/>
      <c r="AI373" s="627"/>
      <c r="AJ373" s="627"/>
      <c r="AK373" s="627"/>
      <c r="AL373" s="627"/>
      <c r="AM373" s="627"/>
      <c r="AN373" s="627"/>
      <c r="AO373" s="627"/>
      <c r="AP373" s="627"/>
      <c r="AQ373" s="627"/>
      <c r="AR373" s="627"/>
      <c r="AS373" s="627"/>
      <c r="AT373" s="627"/>
      <c r="AU373" s="627"/>
      <c r="AV373" s="627"/>
      <c r="AW373" s="627"/>
      <c r="AX373" s="627"/>
      <c r="AY373" s="627"/>
      <c r="AZ373" s="627"/>
      <c r="BA373" s="627"/>
      <c r="BB373" s="627"/>
      <c r="BC373" s="627"/>
      <c r="BD373" s="627"/>
      <c r="BE373" s="627"/>
      <c r="BF373" s="627"/>
      <c r="BR373" s="627"/>
      <c r="BS373" s="627"/>
      <c r="BT373" s="627"/>
      <c r="BU373" s="609"/>
      <c r="BV373" s="627"/>
      <c r="BW373" s="627"/>
      <c r="BX373" s="627"/>
      <c r="BY373" s="627"/>
      <c r="BZ373" s="627"/>
    </row>
    <row r="374" spans="2:78" ht="12.75" customHeight="1">
      <c r="B374" s="723"/>
      <c r="C374" s="627"/>
      <c r="D374" s="627"/>
      <c r="E374" s="627"/>
      <c r="F374" s="1488"/>
      <c r="G374" s="731"/>
      <c r="H374" s="731"/>
      <c r="I374" s="731"/>
      <c r="J374" s="731"/>
      <c r="K374" s="627"/>
      <c r="L374" s="627"/>
      <c r="M374" s="627"/>
      <c r="N374" s="627"/>
      <c r="O374" s="627"/>
      <c r="P374" s="627"/>
      <c r="Q374" s="627"/>
      <c r="R374" s="627"/>
      <c r="S374" s="627"/>
      <c r="T374" s="627"/>
      <c r="U374" s="627"/>
      <c r="V374" s="627"/>
      <c r="W374" s="627"/>
      <c r="X374" s="627"/>
      <c r="Y374" s="627"/>
      <c r="Z374" s="627"/>
      <c r="AA374" s="627"/>
      <c r="AB374" s="627"/>
      <c r="AC374" s="627"/>
      <c r="AD374" s="627"/>
      <c r="AE374" s="627"/>
      <c r="AF374" s="627"/>
      <c r="AG374" s="627"/>
      <c r="AH374" s="627"/>
      <c r="AI374" s="627"/>
      <c r="AJ374" s="627"/>
      <c r="AK374" s="627"/>
      <c r="AL374" s="627"/>
      <c r="AM374" s="627"/>
      <c r="AN374" s="627"/>
      <c r="AO374" s="627"/>
      <c r="AP374" s="627"/>
      <c r="AQ374" s="627"/>
      <c r="AR374" s="627"/>
      <c r="AS374" s="627"/>
      <c r="AT374" s="627"/>
      <c r="AU374" s="627"/>
      <c r="AV374" s="627"/>
      <c r="AW374" s="627"/>
      <c r="AX374" s="627"/>
      <c r="AY374" s="627"/>
      <c r="AZ374" s="627"/>
      <c r="BA374" s="627"/>
      <c r="BB374" s="627"/>
      <c r="BC374" s="627"/>
      <c r="BD374" s="627"/>
      <c r="BE374" s="627"/>
      <c r="BF374" s="627"/>
      <c r="BR374" s="627"/>
      <c r="BS374" s="627"/>
      <c r="BT374" s="627"/>
      <c r="BU374" s="609"/>
      <c r="BV374" s="627"/>
      <c r="BW374" s="627"/>
      <c r="BX374" s="627"/>
      <c r="BY374" s="627"/>
      <c r="BZ374" s="627"/>
    </row>
    <row r="375" spans="2:78" ht="12.75" customHeight="1">
      <c r="B375" s="723"/>
      <c r="C375" s="627"/>
      <c r="D375" s="627"/>
      <c r="E375" s="627"/>
      <c r="F375" s="1488"/>
      <c r="G375" s="731"/>
      <c r="H375" s="731"/>
      <c r="I375" s="731"/>
      <c r="J375" s="731"/>
      <c r="K375" s="627"/>
      <c r="L375" s="627"/>
      <c r="M375" s="627"/>
      <c r="N375" s="627"/>
      <c r="O375" s="627"/>
      <c r="P375" s="627"/>
      <c r="Q375" s="627"/>
      <c r="R375" s="627"/>
      <c r="S375" s="627"/>
      <c r="T375" s="627"/>
      <c r="U375" s="627"/>
      <c r="V375" s="627"/>
      <c r="W375" s="627"/>
      <c r="X375" s="627"/>
      <c r="Y375" s="627"/>
      <c r="Z375" s="627"/>
      <c r="AA375" s="627"/>
      <c r="AB375" s="627"/>
      <c r="AC375" s="627"/>
      <c r="AD375" s="627"/>
      <c r="AE375" s="627"/>
      <c r="AF375" s="627"/>
      <c r="AG375" s="627"/>
      <c r="AH375" s="627"/>
      <c r="AI375" s="627"/>
      <c r="AJ375" s="627"/>
      <c r="AK375" s="627"/>
      <c r="AL375" s="627"/>
      <c r="AM375" s="627"/>
      <c r="AN375" s="627"/>
      <c r="AO375" s="627"/>
      <c r="AP375" s="627"/>
      <c r="AQ375" s="627"/>
      <c r="AR375" s="627"/>
      <c r="AS375" s="627"/>
      <c r="AT375" s="627"/>
      <c r="AU375" s="627"/>
      <c r="AV375" s="627"/>
      <c r="AW375" s="627"/>
      <c r="AX375" s="627"/>
      <c r="AY375" s="627"/>
      <c r="AZ375" s="627"/>
      <c r="BA375" s="627"/>
      <c r="BB375" s="627"/>
      <c r="BC375" s="627"/>
      <c r="BD375" s="627"/>
      <c r="BE375" s="627"/>
      <c r="BF375" s="627"/>
      <c r="BR375" s="627"/>
      <c r="BS375" s="627"/>
      <c r="BT375" s="627"/>
      <c r="BU375" s="609"/>
      <c r="BV375" s="627"/>
      <c r="BW375" s="627"/>
      <c r="BX375" s="627"/>
      <c r="BY375" s="627"/>
      <c r="BZ375" s="627"/>
    </row>
    <row r="376" spans="2:78" ht="12.75" customHeight="1">
      <c r="B376" s="723"/>
      <c r="C376" s="627"/>
      <c r="D376" s="627"/>
      <c r="E376" s="627"/>
      <c r="F376" s="1488"/>
      <c r="G376" s="731"/>
      <c r="H376" s="731"/>
      <c r="I376" s="731"/>
      <c r="J376" s="731"/>
      <c r="K376" s="627"/>
      <c r="L376" s="627"/>
      <c r="M376" s="627"/>
      <c r="N376" s="627"/>
      <c r="O376" s="627"/>
      <c r="P376" s="627"/>
      <c r="Q376" s="627"/>
      <c r="R376" s="627"/>
      <c r="S376" s="627"/>
      <c r="T376" s="627"/>
      <c r="U376" s="627"/>
      <c r="V376" s="627"/>
      <c r="W376" s="627"/>
      <c r="X376" s="627"/>
      <c r="Y376" s="627"/>
      <c r="Z376" s="627"/>
      <c r="AA376" s="627"/>
      <c r="AB376" s="627"/>
      <c r="AC376" s="627"/>
      <c r="AD376" s="627"/>
      <c r="AE376" s="627"/>
      <c r="AF376" s="627"/>
      <c r="AG376" s="627"/>
      <c r="AH376" s="627"/>
      <c r="AI376" s="627"/>
      <c r="AJ376" s="627"/>
      <c r="AK376" s="627"/>
      <c r="AL376" s="627"/>
      <c r="AM376" s="627"/>
      <c r="AN376" s="627"/>
      <c r="AO376" s="627"/>
      <c r="AP376" s="627"/>
      <c r="AQ376" s="627"/>
      <c r="AR376" s="627"/>
      <c r="AS376" s="627"/>
      <c r="AT376" s="627"/>
      <c r="AU376" s="627"/>
      <c r="AV376" s="627"/>
      <c r="AW376" s="627"/>
      <c r="AX376" s="627"/>
      <c r="AY376" s="627"/>
      <c r="AZ376" s="627"/>
      <c r="BA376" s="627"/>
      <c r="BB376" s="627"/>
      <c r="BC376" s="627"/>
      <c r="BD376" s="627"/>
      <c r="BE376" s="627"/>
      <c r="BF376" s="627"/>
      <c r="BR376" s="627"/>
      <c r="BS376" s="627"/>
      <c r="BT376" s="627"/>
      <c r="BU376" s="609"/>
      <c r="BV376" s="627"/>
      <c r="BW376" s="627"/>
      <c r="BX376" s="627"/>
      <c r="BY376" s="627"/>
      <c r="BZ376" s="627"/>
    </row>
    <row r="377" spans="2:78" ht="12.75" customHeight="1">
      <c r="B377" s="723"/>
      <c r="C377" s="627"/>
      <c r="D377" s="627"/>
      <c r="E377" s="627"/>
      <c r="F377" s="1488"/>
      <c r="G377" s="731"/>
      <c r="H377" s="731"/>
      <c r="I377" s="731"/>
      <c r="J377" s="731"/>
      <c r="K377" s="627"/>
      <c r="L377" s="627"/>
      <c r="M377" s="627"/>
      <c r="N377" s="627"/>
      <c r="O377" s="627"/>
      <c r="P377" s="627"/>
      <c r="Q377" s="627"/>
      <c r="R377" s="627"/>
      <c r="S377" s="627"/>
      <c r="T377" s="627"/>
      <c r="U377" s="627"/>
      <c r="V377" s="627"/>
      <c r="W377" s="627"/>
      <c r="X377" s="627"/>
      <c r="Y377" s="627"/>
      <c r="Z377" s="627"/>
      <c r="AA377" s="627"/>
      <c r="AB377" s="627"/>
      <c r="AC377" s="627"/>
      <c r="AD377" s="627"/>
      <c r="AE377" s="627"/>
      <c r="AF377" s="627"/>
      <c r="AG377" s="627"/>
      <c r="AH377" s="627"/>
      <c r="AI377" s="627"/>
      <c r="AJ377" s="627"/>
      <c r="AK377" s="627"/>
      <c r="AL377" s="627"/>
      <c r="AM377" s="627"/>
      <c r="AN377" s="627"/>
      <c r="AO377" s="627"/>
      <c r="AP377" s="627"/>
      <c r="AQ377" s="627"/>
      <c r="AR377" s="627"/>
      <c r="AS377" s="627"/>
      <c r="AT377" s="627"/>
      <c r="AU377" s="627"/>
      <c r="AV377" s="627"/>
      <c r="AW377" s="627"/>
      <c r="AX377" s="627"/>
      <c r="AY377" s="627"/>
      <c r="AZ377" s="627"/>
      <c r="BA377" s="627"/>
      <c r="BB377" s="627"/>
      <c r="BC377" s="627"/>
      <c r="BD377" s="627"/>
      <c r="BE377" s="627"/>
      <c r="BF377" s="627"/>
      <c r="BR377" s="627"/>
      <c r="BS377" s="627"/>
      <c r="BT377" s="627"/>
      <c r="BU377" s="609"/>
      <c r="BV377" s="627"/>
      <c r="BW377" s="627"/>
      <c r="BX377" s="627"/>
      <c r="BY377" s="627"/>
      <c r="BZ377" s="627"/>
    </row>
    <row r="378" spans="2:78" ht="12.75" customHeight="1">
      <c r="B378" s="723"/>
      <c r="C378" s="627"/>
      <c r="D378" s="627"/>
      <c r="E378" s="627"/>
      <c r="F378" s="1488"/>
      <c r="G378" s="731"/>
      <c r="H378" s="731"/>
      <c r="I378" s="731"/>
      <c r="J378" s="731"/>
      <c r="K378" s="627"/>
      <c r="L378" s="627"/>
      <c r="M378" s="627"/>
      <c r="N378" s="627"/>
      <c r="O378" s="627"/>
      <c r="P378" s="627"/>
      <c r="Q378" s="627"/>
      <c r="R378" s="627"/>
      <c r="S378" s="627"/>
      <c r="T378" s="627"/>
      <c r="U378" s="627"/>
      <c r="V378" s="627"/>
      <c r="W378" s="627"/>
      <c r="X378" s="627"/>
      <c r="Y378" s="627"/>
      <c r="Z378" s="627"/>
      <c r="AA378" s="627"/>
      <c r="AB378" s="627"/>
      <c r="AC378" s="627"/>
      <c r="AD378" s="627"/>
      <c r="AE378" s="627"/>
      <c r="AF378" s="627"/>
      <c r="AG378" s="627"/>
      <c r="AH378" s="627"/>
      <c r="AI378" s="627"/>
      <c r="AJ378" s="627"/>
      <c r="AK378" s="627"/>
      <c r="AL378" s="627"/>
      <c r="AM378" s="627"/>
      <c r="AN378" s="627"/>
      <c r="AO378" s="627"/>
      <c r="AP378" s="627"/>
      <c r="AQ378" s="627"/>
      <c r="AR378" s="627"/>
      <c r="AS378" s="627"/>
      <c r="AT378" s="627"/>
      <c r="AU378" s="627"/>
      <c r="AV378" s="627"/>
      <c r="AW378" s="627"/>
      <c r="AX378" s="627"/>
      <c r="AY378" s="627"/>
      <c r="AZ378" s="627"/>
      <c r="BA378" s="627"/>
      <c r="BB378" s="627"/>
      <c r="BC378" s="627"/>
      <c r="BD378" s="627"/>
      <c r="BE378" s="627"/>
      <c r="BF378" s="627"/>
      <c r="BR378" s="627"/>
      <c r="BS378" s="627"/>
      <c r="BT378" s="627"/>
      <c r="BU378" s="609"/>
      <c r="BV378" s="627"/>
      <c r="BW378" s="627"/>
      <c r="BX378" s="627"/>
      <c r="BY378" s="627"/>
      <c r="BZ378" s="627"/>
    </row>
    <row r="379" spans="2:78" ht="12.75" customHeight="1">
      <c r="B379" s="723"/>
      <c r="C379" s="627"/>
      <c r="D379" s="627"/>
      <c r="E379" s="627"/>
      <c r="F379" s="1488"/>
      <c r="G379" s="731"/>
      <c r="H379" s="731"/>
      <c r="I379" s="731"/>
      <c r="J379" s="731"/>
      <c r="K379" s="627"/>
      <c r="L379" s="627"/>
      <c r="M379" s="627"/>
      <c r="N379" s="627"/>
      <c r="O379" s="627"/>
      <c r="P379" s="627"/>
      <c r="Q379" s="627"/>
      <c r="R379" s="627"/>
      <c r="S379" s="627"/>
      <c r="T379" s="627"/>
      <c r="U379" s="627"/>
      <c r="V379" s="627"/>
      <c r="W379" s="627"/>
      <c r="X379" s="627"/>
      <c r="Y379" s="627"/>
      <c r="Z379" s="627"/>
      <c r="AA379" s="627"/>
      <c r="AB379" s="627"/>
      <c r="AC379" s="627"/>
      <c r="AD379" s="627"/>
      <c r="AE379" s="627"/>
      <c r="AF379" s="627"/>
      <c r="AG379" s="627"/>
      <c r="AH379" s="627"/>
      <c r="AI379" s="627"/>
      <c r="AJ379" s="627"/>
      <c r="AK379" s="627"/>
      <c r="AL379" s="627"/>
      <c r="AM379" s="627"/>
      <c r="AN379" s="627"/>
      <c r="AO379" s="627"/>
      <c r="AP379" s="627"/>
      <c r="AQ379" s="627"/>
      <c r="AR379" s="627"/>
      <c r="AS379" s="627"/>
      <c r="AT379" s="627"/>
      <c r="AU379" s="627"/>
      <c r="AV379" s="627"/>
      <c r="AW379" s="627"/>
      <c r="AX379" s="627"/>
      <c r="AY379" s="627"/>
      <c r="AZ379" s="627"/>
      <c r="BA379" s="627"/>
      <c r="BB379" s="627"/>
      <c r="BC379" s="627"/>
      <c r="BD379" s="627"/>
      <c r="BE379" s="627"/>
      <c r="BF379" s="627"/>
      <c r="BR379" s="627"/>
      <c r="BS379" s="627"/>
      <c r="BT379" s="627"/>
      <c r="BU379" s="609"/>
      <c r="BV379" s="627"/>
      <c r="BW379" s="627"/>
      <c r="BX379" s="627"/>
      <c r="BY379" s="627"/>
      <c r="BZ379" s="627"/>
    </row>
    <row r="380" spans="2:78" ht="12.75" customHeight="1">
      <c r="B380" s="723"/>
      <c r="C380" s="627"/>
      <c r="D380" s="627"/>
      <c r="E380" s="627"/>
      <c r="F380" s="1488"/>
      <c r="G380" s="731"/>
      <c r="H380" s="731"/>
      <c r="I380" s="731"/>
      <c r="J380" s="731"/>
      <c r="K380" s="627"/>
      <c r="L380" s="627"/>
      <c r="M380" s="627"/>
      <c r="N380" s="627"/>
      <c r="O380" s="627"/>
      <c r="P380" s="627"/>
      <c r="Q380" s="627"/>
      <c r="R380" s="627"/>
      <c r="S380" s="627"/>
      <c r="T380" s="627"/>
      <c r="U380" s="627"/>
      <c r="V380" s="627"/>
      <c r="W380" s="627"/>
      <c r="X380" s="627"/>
      <c r="Y380" s="627"/>
      <c r="Z380" s="627"/>
      <c r="AA380" s="627"/>
      <c r="AB380" s="627"/>
      <c r="AC380" s="627"/>
      <c r="AD380" s="627"/>
      <c r="AE380" s="627"/>
      <c r="AF380" s="627"/>
      <c r="AG380" s="627"/>
      <c r="AH380" s="627"/>
      <c r="AI380" s="627"/>
      <c r="AJ380" s="627"/>
      <c r="AK380" s="627"/>
      <c r="AL380" s="627"/>
      <c r="AM380" s="627"/>
      <c r="AN380" s="627"/>
      <c r="AO380" s="627"/>
      <c r="AP380" s="627"/>
      <c r="AQ380" s="627"/>
      <c r="AR380" s="627"/>
      <c r="AS380" s="627"/>
      <c r="AT380" s="627"/>
      <c r="AU380" s="627"/>
      <c r="AV380" s="627"/>
      <c r="AW380" s="627"/>
      <c r="AX380" s="627"/>
      <c r="AY380" s="627"/>
      <c r="AZ380" s="627"/>
      <c r="BA380" s="627"/>
      <c r="BB380" s="627"/>
      <c r="BC380" s="627"/>
      <c r="BD380" s="627"/>
      <c r="BE380" s="627"/>
      <c r="BF380" s="627"/>
      <c r="BR380" s="627"/>
      <c r="BS380" s="627"/>
      <c r="BT380" s="627"/>
      <c r="BU380" s="609"/>
      <c r="BV380" s="627"/>
      <c r="BW380" s="627"/>
      <c r="BX380" s="627"/>
      <c r="BY380" s="627"/>
      <c r="BZ380" s="627"/>
    </row>
    <row r="381" spans="2:78" ht="12.75" customHeight="1">
      <c r="B381" s="723"/>
      <c r="C381" s="627"/>
      <c r="D381" s="627"/>
      <c r="E381" s="627"/>
      <c r="F381" s="1488"/>
      <c r="G381" s="731"/>
      <c r="H381" s="731"/>
      <c r="I381" s="731"/>
      <c r="J381" s="731"/>
      <c r="K381" s="627"/>
      <c r="L381" s="627"/>
      <c r="M381" s="627"/>
      <c r="N381" s="627"/>
      <c r="O381" s="627"/>
      <c r="P381" s="627"/>
      <c r="Q381" s="627"/>
      <c r="R381" s="627"/>
      <c r="S381" s="627"/>
      <c r="T381" s="627"/>
      <c r="U381" s="627"/>
      <c r="V381" s="627"/>
      <c r="W381" s="627"/>
      <c r="X381" s="627"/>
      <c r="Y381" s="627"/>
      <c r="Z381" s="627"/>
      <c r="AA381" s="627"/>
      <c r="AB381" s="627"/>
      <c r="AC381" s="627"/>
      <c r="AD381" s="627"/>
      <c r="AE381" s="627"/>
      <c r="AF381" s="627"/>
      <c r="AG381" s="627"/>
      <c r="AH381" s="627"/>
      <c r="AI381" s="627"/>
      <c r="AJ381" s="627"/>
      <c r="AK381" s="627"/>
      <c r="AL381" s="627"/>
      <c r="AM381" s="627"/>
      <c r="AN381" s="627"/>
      <c r="AO381" s="627"/>
      <c r="AP381" s="627"/>
      <c r="AQ381" s="627"/>
      <c r="AR381" s="627"/>
      <c r="AS381" s="627"/>
      <c r="AT381" s="627"/>
      <c r="AU381" s="627"/>
      <c r="AV381" s="627"/>
      <c r="AW381" s="627"/>
      <c r="AX381" s="627"/>
      <c r="AY381" s="627"/>
      <c r="AZ381" s="627"/>
      <c r="BA381" s="627"/>
      <c r="BB381" s="627"/>
      <c r="BC381" s="627"/>
      <c r="BD381" s="627"/>
      <c r="BE381" s="627"/>
      <c r="BF381" s="627"/>
      <c r="BR381" s="627"/>
      <c r="BS381" s="627"/>
      <c r="BT381" s="627"/>
      <c r="BU381" s="609"/>
      <c r="BV381" s="627"/>
      <c r="BW381" s="627"/>
      <c r="BX381" s="627"/>
      <c r="BY381" s="627"/>
      <c r="BZ381" s="627"/>
    </row>
    <row r="382" spans="2:78" ht="12.75" customHeight="1">
      <c r="B382" s="723"/>
      <c r="C382" s="627"/>
      <c r="D382" s="627"/>
      <c r="E382" s="627"/>
      <c r="F382" s="1488"/>
      <c r="G382" s="731"/>
      <c r="H382" s="731"/>
      <c r="I382" s="731"/>
      <c r="J382" s="731"/>
      <c r="K382" s="627"/>
      <c r="L382" s="627"/>
      <c r="M382" s="627"/>
      <c r="N382" s="627"/>
      <c r="O382" s="627"/>
      <c r="P382" s="627"/>
      <c r="Q382" s="627"/>
      <c r="R382" s="627"/>
      <c r="S382" s="627"/>
      <c r="T382" s="627"/>
      <c r="U382" s="627"/>
      <c r="V382" s="627"/>
      <c r="W382" s="627"/>
      <c r="X382" s="627"/>
      <c r="Y382" s="627"/>
      <c r="Z382" s="627"/>
      <c r="AA382" s="627"/>
      <c r="AB382" s="627"/>
      <c r="AC382" s="627"/>
      <c r="AD382" s="627"/>
      <c r="AE382" s="627"/>
      <c r="AF382" s="627"/>
      <c r="AG382" s="627"/>
      <c r="AH382" s="627"/>
      <c r="AI382" s="627"/>
      <c r="AJ382" s="627"/>
      <c r="AK382" s="627"/>
      <c r="AL382" s="627"/>
      <c r="AM382" s="627"/>
      <c r="AN382" s="627"/>
      <c r="AO382" s="627"/>
      <c r="AP382" s="627"/>
      <c r="AQ382" s="627"/>
      <c r="AR382" s="627"/>
      <c r="AS382" s="627"/>
      <c r="AT382" s="627"/>
      <c r="AU382" s="627"/>
      <c r="AV382" s="627"/>
      <c r="AW382" s="627"/>
      <c r="AX382" s="627"/>
      <c r="AY382" s="627"/>
      <c r="AZ382" s="627"/>
      <c r="BA382" s="627"/>
      <c r="BB382" s="627"/>
      <c r="BC382" s="627"/>
      <c r="BD382" s="627"/>
      <c r="BE382" s="627"/>
      <c r="BF382" s="627"/>
      <c r="BR382" s="627"/>
      <c r="BS382" s="627"/>
      <c r="BT382" s="627"/>
      <c r="BU382" s="609"/>
      <c r="BV382" s="627"/>
      <c r="BW382" s="627"/>
      <c r="BX382" s="627"/>
      <c r="BY382" s="627"/>
      <c r="BZ382" s="627"/>
    </row>
    <row r="383" spans="2:78" ht="12.75" customHeight="1">
      <c r="B383" s="723"/>
      <c r="C383" s="627"/>
      <c r="D383" s="627"/>
      <c r="E383" s="627"/>
      <c r="F383" s="1488"/>
      <c r="G383" s="731"/>
      <c r="H383" s="731"/>
      <c r="I383" s="731"/>
      <c r="J383" s="731"/>
      <c r="K383" s="627"/>
      <c r="L383" s="627"/>
      <c r="M383" s="627"/>
      <c r="N383" s="627"/>
      <c r="O383" s="627"/>
      <c r="P383" s="627"/>
      <c r="Q383" s="627"/>
      <c r="R383" s="627"/>
      <c r="S383" s="627"/>
      <c r="T383" s="627"/>
      <c r="U383" s="627"/>
      <c r="V383" s="627"/>
      <c r="W383" s="627"/>
      <c r="X383" s="627"/>
      <c r="Y383" s="627"/>
      <c r="Z383" s="627"/>
      <c r="AA383" s="627"/>
      <c r="AB383" s="627"/>
      <c r="AC383" s="627"/>
      <c r="AD383" s="627"/>
      <c r="AE383" s="627"/>
      <c r="AF383" s="627"/>
      <c r="AG383" s="627"/>
      <c r="AH383" s="627"/>
      <c r="AI383" s="627"/>
      <c r="AJ383" s="627"/>
      <c r="AK383" s="627"/>
      <c r="AL383" s="627"/>
      <c r="AM383" s="627"/>
      <c r="AN383" s="627"/>
      <c r="AO383" s="627"/>
      <c r="AP383" s="627"/>
      <c r="AQ383" s="627"/>
      <c r="AR383" s="627"/>
      <c r="AS383" s="627"/>
      <c r="AT383" s="627"/>
      <c r="AU383" s="627"/>
      <c r="AV383" s="627"/>
      <c r="AW383" s="627"/>
      <c r="AX383" s="627"/>
      <c r="AY383" s="627"/>
      <c r="AZ383" s="627"/>
      <c r="BA383" s="627"/>
      <c r="BB383" s="627"/>
      <c r="BC383" s="627"/>
      <c r="BD383" s="627"/>
      <c r="BE383" s="627"/>
      <c r="BF383" s="627"/>
      <c r="BR383" s="627"/>
      <c r="BS383" s="627"/>
      <c r="BT383" s="627"/>
      <c r="BU383" s="609"/>
      <c r="BV383" s="627"/>
      <c r="BW383" s="627"/>
      <c r="BX383" s="627"/>
      <c r="BY383" s="627"/>
      <c r="BZ383" s="627"/>
    </row>
    <row r="384" spans="2:78" ht="12.75" customHeight="1">
      <c r="B384" s="723"/>
      <c r="C384" s="627"/>
      <c r="D384" s="627"/>
      <c r="E384" s="627"/>
      <c r="F384" s="1488"/>
      <c r="G384" s="731"/>
      <c r="H384" s="731"/>
      <c r="I384" s="731"/>
      <c r="J384" s="731"/>
      <c r="K384" s="627"/>
      <c r="L384" s="627"/>
      <c r="M384" s="627"/>
      <c r="N384" s="627"/>
      <c r="O384" s="627"/>
      <c r="P384" s="627"/>
      <c r="Q384" s="627"/>
      <c r="R384" s="627"/>
      <c r="S384" s="627"/>
      <c r="T384" s="627"/>
      <c r="U384" s="627"/>
      <c r="V384" s="627"/>
      <c r="W384" s="627"/>
      <c r="X384" s="627"/>
      <c r="Y384" s="627"/>
      <c r="Z384" s="627"/>
      <c r="AA384" s="627"/>
      <c r="AB384" s="627"/>
      <c r="AC384" s="627"/>
      <c r="AD384" s="627"/>
      <c r="AE384" s="627"/>
      <c r="AF384" s="627"/>
      <c r="AG384" s="627"/>
      <c r="AH384" s="627"/>
      <c r="AI384" s="627"/>
      <c r="AJ384" s="627"/>
      <c r="AK384" s="627"/>
      <c r="AL384" s="627"/>
      <c r="AM384" s="627"/>
      <c r="AN384" s="627"/>
      <c r="AO384" s="627"/>
      <c r="AP384" s="627"/>
      <c r="AQ384" s="627"/>
      <c r="AR384" s="627"/>
      <c r="AS384" s="627"/>
      <c r="AT384" s="627"/>
      <c r="AU384" s="627"/>
      <c r="AV384" s="627"/>
      <c r="AW384" s="627"/>
      <c r="AX384" s="627"/>
      <c r="AY384" s="627"/>
      <c r="AZ384" s="627"/>
      <c r="BA384" s="627"/>
      <c r="BB384" s="627"/>
      <c r="BC384" s="627"/>
      <c r="BD384" s="627"/>
      <c r="BE384" s="627"/>
      <c r="BF384" s="627"/>
      <c r="BR384" s="627"/>
      <c r="BS384" s="627"/>
      <c r="BT384" s="627"/>
      <c r="BU384" s="609"/>
      <c r="BV384" s="627"/>
      <c r="BW384" s="627"/>
      <c r="BX384" s="627"/>
      <c r="BY384" s="627"/>
      <c r="BZ384" s="627"/>
    </row>
    <row r="385" spans="2:78" ht="12.75" customHeight="1">
      <c r="B385" s="723"/>
      <c r="C385" s="627"/>
      <c r="D385" s="627"/>
      <c r="E385" s="627"/>
      <c r="F385" s="1488"/>
      <c r="G385" s="731"/>
      <c r="H385" s="731"/>
      <c r="I385" s="731"/>
      <c r="J385" s="731"/>
      <c r="K385" s="627"/>
      <c r="L385" s="627"/>
      <c r="M385" s="627"/>
      <c r="N385" s="627"/>
      <c r="O385" s="627"/>
      <c r="P385" s="627"/>
      <c r="Q385" s="627"/>
      <c r="R385" s="627"/>
      <c r="S385" s="627"/>
      <c r="T385" s="627"/>
      <c r="U385" s="627"/>
      <c r="V385" s="627"/>
      <c r="W385" s="627"/>
      <c r="X385" s="627"/>
      <c r="Y385" s="627"/>
      <c r="Z385" s="627"/>
      <c r="AA385" s="627"/>
      <c r="AB385" s="627"/>
      <c r="AC385" s="627"/>
      <c r="AD385" s="627"/>
      <c r="AE385" s="627"/>
      <c r="AF385" s="627"/>
      <c r="AG385" s="627"/>
      <c r="AH385" s="627"/>
      <c r="AI385" s="627"/>
      <c r="AJ385" s="627"/>
      <c r="AK385" s="627"/>
      <c r="AL385" s="627"/>
      <c r="AM385" s="627"/>
      <c r="AN385" s="627"/>
      <c r="AO385" s="627"/>
      <c r="AP385" s="627"/>
      <c r="AQ385" s="627"/>
      <c r="AR385" s="627"/>
      <c r="AS385" s="627"/>
      <c r="AT385" s="627"/>
      <c r="AU385" s="627"/>
      <c r="AV385" s="627"/>
      <c r="AW385" s="627"/>
      <c r="AX385" s="627"/>
      <c r="AY385" s="627"/>
      <c r="AZ385" s="627"/>
      <c r="BA385" s="627"/>
      <c r="BB385" s="627"/>
      <c r="BC385" s="627"/>
      <c r="BD385" s="627"/>
      <c r="BE385" s="627"/>
      <c r="BF385" s="627"/>
      <c r="BR385" s="627"/>
      <c r="BS385" s="627"/>
      <c r="BT385" s="627"/>
      <c r="BU385" s="609"/>
      <c r="BV385" s="627"/>
      <c r="BW385" s="627"/>
      <c r="BX385" s="627"/>
      <c r="BY385" s="627"/>
      <c r="BZ385" s="627"/>
    </row>
    <row r="386" spans="2:78" ht="12.75" customHeight="1">
      <c r="B386" s="723"/>
      <c r="C386" s="627"/>
      <c r="D386" s="627"/>
      <c r="E386" s="627"/>
      <c r="F386" s="1488"/>
      <c r="G386" s="731"/>
      <c r="H386" s="731"/>
      <c r="I386" s="731"/>
      <c r="J386" s="731"/>
      <c r="K386" s="627"/>
      <c r="L386" s="627"/>
      <c r="M386" s="627"/>
      <c r="N386" s="627"/>
      <c r="O386" s="627"/>
      <c r="P386" s="627"/>
      <c r="Q386" s="627"/>
      <c r="R386" s="627"/>
      <c r="S386" s="627"/>
      <c r="T386" s="627"/>
      <c r="U386" s="627"/>
      <c r="V386" s="627"/>
      <c r="W386" s="627"/>
      <c r="X386" s="627"/>
      <c r="Y386" s="627"/>
      <c r="Z386" s="627"/>
      <c r="AA386" s="627"/>
      <c r="AB386" s="627"/>
      <c r="AC386" s="627"/>
      <c r="AD386" s="627"/>
      <c r="AE386" s="627"/>
      <c r="AF386" s="627"/>
      <c r="AG386" s="627"/>
      <c r="AH386" s="627"/>
      <c r="AI386" s="627"/>
      <c r="AJ386" s="627"/>
      <c r="AK386" s="627"/>
      <c r="AL386" s="627"/>
      <c r="AM386" s="627"/>
      <c r="AN386" s="627"/>
      <c r="AO386" s="627"/>
      <c r="AP386" s="627"/>
      <c r="AQ386" s="627"/>
      <c r="AR386" s="627"/>
      <c r="AS386" s="627"/>
      <c r="AT386" s="627"/>
      <c r="AU386" s="627"/>
      <c r="AV386" s="627"/>
      <c r="AW386" s="627"/>
      <c r="AX386" s="627"/>
      <c r="AY386" s="627"/>
      <c r="AZ386" s="627"/>
      <c r="BA386" s="627"/>
      <c r="BB386" s="627"/>
      <c r="BC386" s="627"/>
      <c r="BD386" s="627"/>
      <c r="BE386" s="627"/>
      <c r="BF386" s="627"/>
      <c r="BR386" s="627"/>
      <c r="BS386" s="627"/>
      <c r="BT386" s="627"/>
      <c r="BU386" s="609"/>
      <c r="BV386" s="627"/>
      <c r="BW386" s="627"/>
      <c r="BX386" s="627"/>
      <c r="BY386" s="627"/>
      <c r="BZ386" s="627"/>
    </row>
    <row r="387" spans="2:78" ht="12.75" customHeight="1">
      <c r="B387" s="723"/>
      <c r="C387" s="627"/>
      <c r="D387" s="627"/>
      <c r="E387" s="627"/>
      <c r="F387" s="1488"/>
      <c r="G387" s="731"/>
      <c r="H387" s="731"/>
      <c r="I387" s="731"/>
      <c r="J387" s="731"/>
      <c r="K387" s="627"/>
      <c r="L387" s="627"/>
      <c r="M387" s="627"/>
      <c r="N387" s="627"/>
      <c r="O387" s="627"/>
      <c r="P387" s="627"/>
      <c r="Q387" s="627"/>
      <c r="R387" s="627"/>
      <c r="S387" s="627"/>
      <c r="T387" s="627"/>
      <c r="U387" s="627"/>
      <c r="V387" s="627"/>
      <c r="W387" s="627"/>
      <c r="X387" s="627"/>
      <c r="Y387" s="627"/>
      <c r="Z387" s="627"/>
      <c r="AA387" s="627"/>
      <c r="AB387" s="627"/>
      <c r="AC387" s="627"/>
      <c r="AD387" s="627"/>
      <c r="AE387" s="627"/>
      <c r="AF387" s="627"/>
      <c r="AG387" s="627"/>
      <c r="AH387" s="627"/>
      <c r="AI387" s="627"/>
      <c r="AJ387" s="627"/>
      <c r="AK387" s="627"/>
      <c r="AL387" s="627"/>
      <c r="AM387" s="627"/>
      <c r="AN387" s="627"/>
      <c r="AO387" s="627"/>
      <c r="AP387" s="627"/>
      <c r="AQ387" s="627"/>
      <c r="AR387" s="627"/>
      <c r="AS387" s="627"/>
      <c r="AT387" s="627"/>
      <c r="AU387" s="627"/>
      <c r="AV387" s="627"/>
      <c r="AW387" s="627"/>
      <c r="AX387" s="627"/>
      <c r="AY387" s="627"/>
      <c r="AZ387" s="627"/>
      <c r="BA387" s="627"/>
      <c r="BB387" s="627"/>
      <c r="BC387" s="627"/>
      <c r="BD387" s="627"/>
      <c r="BE387" s="627"/>
      <c r="BF387" s="627"/>
      <c r="BR387" s="627"/>
      <c r="BS387" s="627"/>
      <c r="BT387" s="627"/>
      <c r="BU387" s="609"/>
      <c r="BV387" s="627"/>
      <c r="BW387" s="627"/>
      <c r="BX387" s="627"/>
      <c r="BY387" s="627"/>
      <c r="BZ387" s="627"/>
    </row>
    <row r="388" spans="2:78" ht="12.75" customHeight="1">
      <c r="B388" s="723"/>
      <c r="C388" s="627"/>
      <c r="D388" s="627"/>
      <c r="E388" s="627"/>
      <c r="F388" s="1488"/>
      <c r="G388" s="731"/>
      <c r="H388" s="731"/>
      <c r="I388" s="731"/>
      <c r="J388" s="731"/>
      <c r="K388" s="627"/>
      <c r="L388" s="627"/>
      <c r="M388" s="627"/>
      <c r="N388" s="627"/>
      <c r="O388" s="627"/>
      <c r="P388" s="627"/>
      <c r="Q388" s="627"/>
      <c r="R388" s="627"/>
      <c r="S388" s="627"/>
      <c r="T388" s="627"/>
      <c r="U388" s="627"/>
      <c r="V388" s="627"/>
      <c r="W388" s="627"/>
      <c r="X388" s="627"/>
      <c r="Y388" s="627"/>
      <c r="Z388" s="627"/>
      <c r="AA388" s="627"/>
      <c r="AB388" s="627"/>
      <c r="AC388" s="627"/>
      <c r="AD388" s="627"/>
      <c r="AE388" s="627"/>
      <c r="AF388" s="627"/>
      <c r="AG388" s="627"/>
      <c r="AH388" s="627"/>
      <c r="AI388" s="627"/>
      <c r="AJ388" s="627"/>
      <c r="AK388" s="627"/>
      <c r="AL388" s="627"/>
      <c r="AM388" s="627"/>
      <c r="AN388" s="627"/>
      <c r="AO388" s="627"/>
      <c r="AP388" s="627"/>
      <c r="AQ388" s="627"/>
      <c r="AR388" s="627"/>
      <c r="AS388" s="627"/>
      <c r="AT388" s="627"/>
      <c r="AU388" s="627"/>
      <c r="AV388" s="627"/>
      <c r="AW388" s="627"/>
      <c r="AX388" s="627"/>
      <c r="AY388" s="627"/>
      <c r="AZ388" s="627"/>
      <c r="BA388" s="627"/>
      <c r="BB388" s="627"/>
      <c r="BC388" s="627"/>
      <c r="BD388" s="627"/>
      <c r="BE388" s="627"/>
      <c r="BF388" s="627"/>
      <c r="BR388" s="627"/>
      <c r="BS388" s="627"/>
      <c r="BT388" s="627"/>
      <c r="BU388" s="609"/>
      <c r="BV388" s="627"/>
      <c r="BW388" s="627"/>
      <c r="BX388" s="627"/>
      <c r="BY388" s="627"/>
      <c r="BZ388" s="627"/>
    </row>
    <row r="389" spans="2:78" ht="12.75" customHeight="1">
      <c r="B389" s="723"/>
      <c r="C389" s="627"/>
      <c r="D389" s="627"/>
      <c r="E389" s="627"/>
      <c r="F389" s="1488"/>
      <c r="G389" s="731"/>
      <c r="H389" s="731"/>
      <c r="I389" s="731"/>
      <c r="J389" s="731"/>
      <c r="K389" s="627"/>
      <c r="L389" s="627"/>
      <c r="M389" s="627"/>
      <c r="N389" s="627"/>
      <c r="O389" s="627"/>
      <c r="P389" s="627"/>
      <c r="Q389" s="627"/>
      <c r="R389" s="627"/>
      <c r="S389" s="627"/>
      <c r="T389" s="627"/>
      <c r="U389" s="627"/>
      <c r="V389" s="627"/>
      <c r="W389" s="627"/>
      <c r="X389" s="627"/>
      <c r="Y389" s="627"/>
      <c r="Z389" s="627"/>
      <c r="AA389" s="627"/>
      <c r="AB389" s="627"/>
      <c r="AC389" s="627"/>
      <c r="AD389" s="627"/>
      <c r="AE389" s="627"/>
      <c r="AF389" s="627"/>
      <c r="AG389" s="627"/>
      <c r="AH389" s="627"/>
      <c r="AI389" s="627"/>
      <c r="AJ389" s="627"/>
      <c r="AK389" s="627"/>
      <c r="AL389" s="627"/>
      <c r="AM389" s="627"/>
      <c r="AN389" s="627"/>
      <c r="AO389" s="627"/>
      <c r="AP389" s="627"/>
      <c r="AQ389" s="627"/>
      <c r="AR389" s="627"/>
      <c r="AS389" s="627"/>
      <c r="AT389" s="627"/>
      <c r="AU389" s="627"/>
      <c r="AV389" s="627"/>
      <c r="AW389" s="627"/>
      <c r="AX389" s="627"/>
      <c r="AY389" s="627"/>
      <c r="AZ389" s="627"/>
      <c r="BA389" s="627"/>
      <c r="BB389" s="627"/>
      <c r="BC389" s="627"/>
      <c r="BD389" s="627"/>
      <c r="BE389" s="627"/>
      <c r="BF389" s="627"/>
      <c r="BR389" s="627"/>
      <c r="BS389" s="627"/>
      <c r="BT389" s="627"/>
      <c r="BU389" s="609"/>
      <c r="BV389" s="627"/>
      <c r="BW389" s="627"/>
      <c r="BX389" s="627"/>
      <c r="BY389" s="627"/>
      <c r="BZ389" s="627"/>
    </row>
    <row r="390" spans="2:78" ht="12.75" customHeight="1">
      <c r="B390" s="723"/>
      <c r="C390" s="627"/>
      <c r="D390" s="627"/>
      <c r="E390" s="627"/>
      <c r="F390" s="1488"/>
      <c r="G390" s="731"/>
      <c r="H390" s="731"/>
      <c r="I390" s="731"/>
      <c r="J390" s="731"/>
      <c r="K390" s="627"/>
      <c r="L390" s="627"/>
      <c r="M390" s="627"/>
      <c r="N390" s="627"/>
      <c r="O390" s="627"/>
      <c r="P390" s="627"/>
      <c r="Q390" s="627"/>
      <c r="R390" s="627"/>
      <c r="S390" s="627"/>
      <c r="T390" s="627"/>
      <c r="U390" s="627"/>
      <c r="V390" s="627"/>
      <c r="W390" s="627"/>
      <c r="X390" s="627"/>
      <c r="Y390" s="627"/>
      <c r="Z390" s="627"/>
      <c r="AA390" s="627"/>
      <c r="AB390" s="627"/>
      <c r="AC390" s="627"/>
      <c r="AD390" s="627"/>
      <c r="AE390" s="627"/>
      <c r="AF390" s="627"/>
      <c r="AG390" s="627"/>
      <c r="AH390" s="627"/>
      <c r="AI390" s="627"/>
      <c r="AJ390" s="627"/>
      <c r="AK390" s="627"/>
      <c r="AL390" s="627"/>
      <c r="AM390" s="627"/>
      <c r="AN390" s="627"/>
      <c r="AO390" s="627"/>
      <c r="AP390" s="627"/>
      <c r="AQ390" s="627"/>
      <c r="AR390" s="627"/>
      <c r="AS390" s="627"/>
      <c r="AT390" s="627"/>
      <c r="AU390" s="627"/>
      <c r="AV390" s="627"/>
      <c r="AW390" s="627"/>
      <c r="AX390" s="627"/>
      <c r="AY390" s="627"/>
      <c r="AZ390" s="627"/>
      <c r="BA390" s="627"/>
      <c r="BB390" s="627"/>
      <c r="BC390" s="627"/>
      <c r="BD390" s="627"/>
      <c r="BE390" s="627"/>
      <c r="BF390" s="627"/>
      <c r="BR390" s="627"/>
      <c r="BS390" s="627"/>
      <c r="BT390" s="627"/>
      <c r="BU390" s="609"/>
      <c r="BV390" s="627"/>
      <c r="BW390" s="627"/>
      <c r="BX390" s="627"/>
      <c r="BY390" s="627"/>
      <c r="BZ390" s="627"/>
    </row>
    <row r="391" spans="2:78" ht="12.75" customHeight="1">
      <c r="B391" s="723"/>
      <c r="C391" s="627"/>
      <c r="D391" s="627"/>
      <c r="E391" s="627"/>
      <c r="F391" s="1488"/>
      <c r="G391" s="731"/>
      <c r="H391" s="731"/>
      <c r="I391" s="731"/>
      <c r="J391" s="731"/>
      <c r="K391" s="627"/>
      <c r="L391" s="627"/>
      <c r="M391" s="627"/>
      <c r="N391" s="627"/>
      <c r="O391" s="627"/>
      <c r="P391" s="627"/>
      <c r="Q391" s="627"/>
      <c r="R391" s="627"/>
      <c r="S391" s="627"/>
      <c r="T391" s="627"/>
      <c r="U391" s="627"/>
      <c r="V391" s="627"/>
      <c r="W391" s="627"/>
      <c r="X391" s="627"/>
      <c r="Y391" s="627"/>
      <c r="Z391" s="627"/>
      <c r="AA391" s="627"/>
      <c r="AB391" s="627"/>
      <c r="AC391" s="627"/>
      <c r="AD391" s="627"/>
      <c r="AE391" s="627"/>
      <c r="AF391" s="627"/>
      <c r="AG391" s="627"/>
      <c r="AH391" s="627"/>
      <c r="AI391" s="627"/>
      <c r="AJ391" s="627"/>
      <c r="AK391" s="627"/>
      <c r="AL391" s="627"/>
      <c r="AM391" s="627"/>
      <c r="AN391" s="627"/>
      <c r="AO391" s="627"/>
      <c r="AP391" s="627"/>
      <c r="AQ391" s="627"/>
      <c r="AR391" s="627"/>
      <c r="AS391" s="627"/>
      <c r="AT391" s="627"/>
      <c r="AU391" s="627"/>
      <c r="AV391" s="627"/>
      <c r="AW391" s="627"/>
      <c r="AX391" s="627"/>
      <c r="AY391" s="627"/>
      <c r="AZ391" s="627"/>
      <c r="BA391" s="627"/>
      <c r="BB391" s="627"/>
      <c r="BC391" s="627"/>
      <c r="BD391" s="627"/>
      <c r="BE391" s="627"/>
      <c r="BF391" s="627"/>
      <c r="BR391" s="627"/>
      <c r="BS391" s="627"/>
      <c r="BT391" s="627"/>
      <c r="BU391" s="609"/>
      <c r="BV391" s="627"/>
      <c r="BW391" s="627"/>
      <c r="BX391" s="627"/>
      <c r="BY391" s="627"/>
      <c r="BZ391" s="627"/>
    </row>
    <row r="392" spans="2:78" ht="12.75" customHeight="1">
      <c r="BR392" s="627"/>
      <c r="BU392" s="609"/>
    </row>
    <row r="393" spans="2:78" ht="12.75" customHeight="1">
      <c r="BR393" s="627"/>
      <c r="BU393" s="609"/>
    </row>
    <row r="394" spans="2:78" ht="12.75" customHeight="1">
      <c r="BR394" s="627"/>
      <c r="BU394" s="609"/>
    </row>
    <row r="395" spans="2:78" ht="12.75" customHeight="1">
      <c r="BR395" s="627"/>
      <c r="BU395" s="609"/>
    </row>
    <row r="396" spans="2:78" ht="12.75" customHeight="1">
      <c r="BR396" s="627"/>
      <c r="BU396" s="609"/>
    </row>
    <row r="397" spans="2:78" ht="12.75" customHeight="1">
      <c r="BR397" s="627"/>
      <c r="BU397" s="609"/>
    </row>
    <row r="398" spans="2:78" ht="12.75" customHeight="1">
      <c r="BR398" s="627"/>
      <c r="BU398" s="609"/>
    </row>
    <row r="399" spans="2:78" ht="12.75" customHeight="1">
      <c r="BR399" s="627"/>
      <c r="BU399" s="609"/>
    </row>
    <row r="400" spans="2:78" ht="12.75" customHeight="1">
      <c r="BR400" s="627"/>
      <c r="BU400" s="609"/>
    </row>
    <row r="401" spans="70:73" ht="12.75" customHeight="1">
      <c r="BR401" s="627"/>
      <c r="BU401" s="609"/>
    </row>
    <row r="402" spans="70:73" ht="12.75" customHeight="1">
      <c r="BR402" s="627"/>
      <c r="BU402" s="609"/>
    </row>
    <row r="403" spans="70:73" ht="12.75" customHeight="1">
      <c r="BR403" s="627"/>
      <c r="BU403" s="609"/>
    </row>
    <row r="404" spans="70:73" ht="12.75" customHeight="1">
      <c r="BR404" s="627"/>
      <c r="BU404" s="609"/>
    </row>
    <row r="405" spans="70:73" ht="12.75" customHeight="1">
      <c r="BR405" s="627"/>
      <c r="BU405" s="609"/>
    </row>
    <row r="406" spans="70:73" ht="12.75" customHeight="1">
      <c r="BR406" s="627"/>
      <c r="BU406" s="609"/>
    </row>
    <row r="407" spans="70:73" ht="12.75" customHeight="1">
      <c r="BR407" s="627"/>
      <c r="BU407" s="609"/>
    </row>
    <row r="408" spans="70:73" ht="12.75" customHeight="1">
      <c r="BU408" s="609"/>
    </row>
    <row r="409" spans="70:73" ht="12.75" customHeight="1">
      <c r="BU409" s="609"/>
    </row>
    <row r="410" spans="70:73" ht="12.75" customHeight="1">
      <c r="BU410" s="609"/>
    </row>
    <row r="411" spans="70:73" ht="12.75" customHeight="1">
      <c r="BU411" s="609"/>
    </row>
    <row r="412" spans="70:73" ht="12.75" customHeight="1">
      <c r="BU412" s="609"/>
    </row>
    <row r="413" spans="70:73" ht="12.75" customHeight="1">
      <c r="BU413" s="609"/>
    </row>
    <row r="414" spans="70:73" ht="12.75" customHeight="1">
      <c r="BU414" s="609"/>
    </row>
    <row r="415" spans="70:73" ht="12.75" customHeight="1">
      <c r="BU415" s="609"/>
    </row>
    <row r="416" spans="70:73" ht="12.75" customHeight="1">
      <c r="BU416" s="609"/>
    </row>
    <row r="417" spans="73:73" ht="12.75" customHeight="1">
      <c r="BU417" s="609"/>
    </row>
    <row r="418" spans="73:73" ht="12.75" customHeight="1">
      <c r="BU418" s="609"/>
    </row>
    <row r="419" spans="73:73" ht="12.75" customHeight="1">
      <c r="BU419" s="609"/>
    </row>
    <row r="420" spans="73:73" ht="12.75" customHeight="1">
      <c r="BU420" s="609"/>
    </row>
    <row r="421" spans="73:73" ht="12.75" customHeight="1">
      <c r="BU421" s="609"/>
    </row>
    <row r="422" spans="73:73" ht="12.75" customHeight="1">
      <c r="BU422" s="609"/>
    </row>
    <row r="423" spans="73:73" ht="12.75" customHeight="1">
      <c r="BU423" s="609"/>
    </row>
    <row r="424" spans="73:73" ht="12.75" customHeight="1">
      <c r="BU424" s="609"/>
    </row>
    <row r="425" spans="73:73" ht="12.75" customHeight="1">
      <c r="BU425" s="609"/>
    </row>
    <row r="426" spans="73:73" ht="12.75" customHeight="1">
      <c r="BU426" s="609"/>
    </row>
    <row r="427" spans="73:73" ht="12.75" customHeight="1">
      <c r="BU427" s="609"/>
    </row>
    <row r="428" spans="73:73" ht="12.75" customHeight="1">
      <c r="BU428" s="609"/>
    </row>
    <row r="429" spans="73:73" ht="12.75" customHeight="1">
      <c r="BU429" s="609"/>
    </row>
    <row r="430" spans="73:73" ht="12.75" customHeight="1">
      <c r="BU430" s="609"/>
    </row>
    <row r="431" spans="73:73" ht="12.75" customHeight="1">
      <c r="BU431" s="609"/>
    </row>
    <row r="432" spans="73:73" ht="12.75" customHeight="1">
      <c r="BU432" s="609"/>
    </row>
    <row r="433" spans="73:73" ht="12.75" customHeight="1">
      <c r="BU433" s="609"/>
    </row>
    <row r="434" spans="73:73" ht="12.75" customHeight="1">
      <c r="BU434" s="609"/>
    </row>
    <row r="435" spans="73:73" ht="12.75" customHeight="1">
      <c r="BU435" s="609"/>
    </row>
    <row r="436" spans="73:73" ht="12.75" customHeight="1">
      <c r="BU436" s="609"/>
    </row>
    <row r="437" spans="73:73" ht="12.75" customHeight="1">
      <c r="BU437" s="609"/>
    </row>
    <row r="438" spans="73:73" ht="12.75" customHeight="1">
      <c r="BU438" s="609"/>
    </row>
    <row r="439" spans="73:73" ht="12.75" customHeight="1">
      <c r="BU439" s="609"/>
    </row>
    <row r="440" spans="73:73" ht="12.75" customHeight="1">
      <c r="BU440" s="609"/>
    </row>
    <row r="441" spans="73:73" ht="12.75" customHeight="1">
      <c r="BU441" s="609"/>
    </row>
    <row r="442" spans="73:73" ht="12.75" customHeight="1">
      <c r="BU442" s="609"/>
    </row>
    <row r="443" spans="73:73" ht="12.75" customHeight="1">
      <c r="BU443" s="609"/>
    </row>
    <row r="444" spans="73:73" ht="12.75" customHeight="1">
      <c r="BU444" s="609"/>
    </row>
    <row r="445" spans="73:73" ht="12.75" customHeight="1">
      <c r="BU445" s="609"/>
    </row>
    <row r="446" spans="73:73" ht="12.75" customHeight="1">
      <c r="BU446" s="609"/>
    </row>
    <row r="447" spans="73:73" ht="12.75" customHeight="1">
      <c r="BU447" s="609"/>
    </row>
    <row r="448" spans="73:73" ht="12.75" customHeight="1">
      <c r="BU448" s="609"/>
    </row>
    <row r="449" spans="73:73" ht="12.75" customHeight="1">
      <c r="BU449" s="609"/>
    </row>
    <row r="450" spans="73:73" ht="12.75" customHeight="1">
      <c r="BU450" s="609"/>
    </row>
    <row r="451" spans="73:73" ht="12.75" customHeight="1"/>
    <row r="452" spans="73:73" ht="12.75" customHeight="1"/>
    <row r="453" spans="73:73" ht="12.75" customHeight="1"/>
    <row r="454" spans="73:73" ht="12.75" customHeight="1"/>
    <row r="455" spans="73:73" ht="12.75" customHeight="1"/>
    <row r="456" spans="73:73" ht="12.75" customHeight="1"/>
    <row r="457" spans="73:73" ht="12.75" customHeight="1"/>
    <row r="458" spans="73:73" ht="12.75" customHeight="1"/>
    <row r="459" spans="73:73" ht="12.75" customHeight="1"/>
    <row r="460" spans="73:73" ht="12.75" customHeight="1"/>
    <row r="461" spans="73:73" ht="12.75" customHeight="1"/>
    <row r="462" spans="73:73" ht="12.75" customHeight="1"/>
    <row r="463" spans="73:73" ht="12.75" customHeight="1"/>
    <row r="464" spans="73:73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</sheetData>
  <phoneticPr fontId="7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2052" bestFit="1" customWidth="1"/>
    <col min="2" max="2" width="19.85546875" style="2074" customWidth="1"/>
    <col min="3" max="3" width="12" style="2052" bestFit="1" customWidth="1"/>
    <col min="4" max="256" width="9.140625" style="2052"/>
    <col min="257" max="257" width="29.5703125" style="2052" bestFit="1" customWidth="1"/>
    <col min="258" max="258" width="19.85546875" style="2052" customWidth="1"/>
    <col min="259" max="259" width="12" style="2052" bestFit="1" customWidth="1"/>
    <col min="260" max="512" width="9.140625" style="2052"/>
    <col min="513" max="513" width="29.5703125" style="2052" bestFit="1" customWidth="1"/>
    <col min="514" max="514" width="19.85546875" style="2052" customWidth="1"/>
    <col min="515" max="515" width="12" style="2052" bestFit="1" customWidth="1"/>
    <col min="516" max="768" width="9.140625" style="2052"/>
    <col min="769" max="769" width="29.5703125" style="2052" bestFit="1" customWidth="1"/>
    <col min="770" max="770" width="19.85546875" style="2052" customWidth="1"/>
    <col min="771" max="771" width="12" style="2052" bestFit="1" customWidth="1"/>
    <col min="772" max="1024" width="9.140625" style="2052"/>
    <col min="1025" max="1025" width="29.5703125" style="2052" bestFit="1" customWidth="1"/>
    <col min="1026" max="1026" width="19.85546875" style="2052" customWidth="1"/>
    <col min="1027" max="1027" width="12" style="2052" bestFit="1" customWidth="1"/>
    <col min="1028" max="1280" width="9.140625" style="2052"/>
    <col min="1281" max="1281" width="29.5703125" style="2052" bestFit="1" customWidth="1"/>
    <col min="1282" max="1282" width="19.85546875" style="2052" customWidth="1"/>
    <col min="1283" max="1283" width="12" style="2052" bestFit="1" customWidth="1"/>
    <col min="1284" max="1536" width="9.140625" style="2052"/>
    <col min="1537" max="1537" width="29.5703125" style="2052" bestFit="1" customWidth="1"/>
    <col min="1538" max="1538" width="19.85546875" style="2052" customWidth="1"/>
    <col min="1539" max="1539" width="12" style="2052" bestFit="1" customWidth="1"/>
    <col min="1540" max="1792" width="9.140625" style="2052"/>
    <col min="1793" max="1793" width="29.5703125" style="2052" bestFit="1" customWidth="1"/>
    <col min="1794" max="1794" width="19.85546875" style="2052" customWidth="1"/>
    <col min="1795" max="1795" width="12" style="2052" bestFit="1" customWidth="1"/>
    <col min="1796" max="2048" width="9.140625" style="2052"/>
    <col min="2049" max="2049" width="29.5703125" style="2052" bestFit="1" customWidth="1"/>
    <col min="2050" max="2050" width="19.85546875" style="2052" customWidth="1"/>
    <col min="2051" max="2051" width="12" style="2052" bestFit="1" customWidth="1"/>
    <col min="2052" max="2304" width="9.140625" style="2052"/>
    <col min="2305" max="2305" width="29.5703125" style="2052" bestFit="1" customWidth="1"/>
    <col min="2306" max="2306" width="19.85546875" style="2052" customWidth="1"/>
    <col min="2307" max="2307" width="12" style="2052" bestFit="1" customWidth="1"/>
    <col min="2308" max="2560" width="9.140625" style="2052"/>
    <col min="2561" max="2561" width="29.5703125" style="2052" bestFit="1" customWidth="1"/>
    <col min="2562" max="2562" width="19.85546875" style="2052" customWidth="1"/>
    <col min="2563" max="2563" width="12" style="2052" bestFit="1" customWidth="1"/>
    <col min="2564" max="2816" width="9.140625" style="2052"/>
    <col min="2817" max="2817" width="29.5703125" style="2052" bestFit="1" customWidth="1"/>
    <col min="2818" max="2818" width="19.85546875" style="2052" customWidth="1"/>
    <col min="2819" max="2819" width="12" style="2052" bestFit="1" customWidth="1"/>
    <col min="2820" max="3072" width="9.140625" style="2052"/>
    <col min="3073" max="3073" width="29.5703125" style="2052" bestFit="1" customWidth="1"/>
    <col min="3074" max="3074" width="19.85546875" style="2052" customWidth="1"/>
    <col min="3075" max="3075" width="12" style="2052" bestFit="1" customWidth="1"/>
    <col min="3076" max="3328" width="9.140625" style="2052"/>
    <col min="3329" max="3329" width="29.5703125" style="2052" bestFit="1" customWidth="1"/>
    <col min="3330" max="3330" width="19.85546875" style="2052" customWidth="1"/>
    <col min="3331" max="3331" width="12" style="2052" bestFit="1" customWidth="1"/>
    <col min="3332" max="3584" width="9.140625" style="2052"/>
    <col min="3585" max="3585" width="29.5703125" style="2052" bestFit="1" customWidth="1"/>
    <col min="3586" max="3586" width="19.85546875" style="2052" customWidth="1"/>
    <col min="3587" max="3587" width="12" style="2052" bestFit="1" customWidth="1"/>
    <col min="3588" max="3840" width="9.140625" style="2052"/>
    <col min="3841" max="3841" width="29.5703125" style="2052" bestFit="1" customWidth="1"/>
    <col min="3842" max="3842" width="19.85546875" style="2052" customWidth="1"/>
    <col min="3843" max="3843" width="12" style="2052" bestFit="1" customWidth="1"/>
    <col min="3844" max="4096" width="9.140625" style="2052"/>
    <col min="4097" max="4097" width="29.5703125" style="2052" bestFit="1" customWidth="1"/>
    <col min="4098" max="4098" width="19.85546875" style="2052" customWidth="1"/>
    <col min="4099" max="4099" width="12" style="2052" bestFit="1" customWidth="1"/>
    <col min="4100" max="4352" width="9.140625" style="2052"/>
    <col min="4353" max="4353" width="29.5703125" style="2052" bestFit="1" customWidth="1"/>
    <col min="4354" max="4354" width="19.85546875" style="2052" customWidth="1"/>
    <col min="4355" max="4355" width="12" style="2052" bestFit="1" customWidth="1"/>
    <col min="4356" max="4608" width="9.140625" style="2052"/>
    <col min="4609" max="4609" width="29.5703125" style="2052" bestFit="1" customWidth="1"/>
    <col min="4610" max="4610" width="19.85546875" style="2052" customWidth="1"/>
    <col min="4611" max="4611" width="12" style="2052" bestFit="1" customWidth="1"/>
    <col min="4612" max="4864" width="9.140625" style="2052"/>
    <col min="4865" max="4865" width="29.5703125" style="2052" bestFit="1" customWidth="1"/>
    <col min="4866" max="4866" width="19.85546875" style="2052" customWidth="1"/>
    <col min="4867" max="4867" width="12" style="2052" bestFit="1" customWidth="1"/>
    <col min="4868" max="5120" width="9.140625" style="2052"/>
    <col min="5121" max="5121" width="29.5703125" style="2052" bestFit="1" customWidth="1"/>
    <col min="5122" max="5122" width="19.85546875" style="2052" customWidth="1"/>
    <col min="5123" max="5123" width="12" style="2052" bestFit="1" customWidth="1"/>
    <col min="5124" max="5376" width="9.140625" style="2052"/>
    <col min="5377" max="5377" width="29.5703125" style="2052" bestFit="1" customWidth="1"/>
    <col min="5378" max="5378" width="19.85546875" style="2052" customWidth="1"/>
    <col min="5379" max="5379" width="12" style="2052" bestFit="1" customWidth="1"/>
    <col min="5380" max="5632" width="9.140625" style="2052"/>
    <col min="5633" max="5633" width="29.5703125" style="2052" bestFit="1" customWidth="1"/>
    <col min="5634" max="5634" width="19.85546875" style="2052" customWidth="1"/>
    <col min="5635" max="5635" width="12" style="2052" bestFit="1" customWidth="1"/>
    <col min="5636" max="5888" width="9.140625" style="2052"/>
    <col min="5889" max="5889" width="29.5703125" style="2052" bestFit="1" customWidth="1"/>
    <col min="5890" max="5890" width="19.85546875" style="2052" customWidth="1"/>
    <col min="5891" max="5891" width="12" style="2052" bestFit="1" customWidth="1"/>
    <col min="5892" max="6144" width="9.140625" style="2052"/>
    <col min="6145" max="6145" width="29.5703125" style="2052" bestFit="1" customWidth="1"/>
    <col min="6146" max="6146" width="19.85546875" style="2052" customWidth="1"/>
    <col min="6147" max="6147" width="12" style="2052" bestFit="1" customWidth="1"/>
    <col min="6148" max="6400" width="9.140625" style="2052"/>
    <col min="6401" max="6401" width="29.5703125" style="2052" bestFit="1" customWidth="1"/>
    <col min="6402" max="6402" width="19.85546875" style="2052" customWidth="1"/>
    <col min="6403" max="6403" width="12" style="2052" bestFit="1" customWidth="1"/>
    <col min="6404" max="6656" width="9.140625" style="2052"/>
    <col min="6657" max="6657" width="29.5703125" style="2052" bestFit="1" customWidth="1"/>
    <col min="6658" max="6658" width="19.85546875" style="2052" customWidth="1"/>
    <col min="6659" max="6659" width="12" style="2052" bestFit="1" customWidth="1"/>
    <col min="6660" max="6912" width="9.140625" style="2052"/>
    <col min="6913" max="6913" width="29.5703125" style="2052" bestFit="1" customWidth="1"/>
    <col min="6914" max="6914" width="19.85546875" style="2052" customWidth="1"/>
    <col min="6915" max="6915" width="12" style="2052" bestFit="1" customWidth="1"/>
    <col min="6916" max="7168" width="9.140625" style="2052"/>
    <col min="7169" max="7169" width="29.5703125" style="2052" bestFit="1" customWidth="1"/>
    <col min="7170" max="7170" width="19.85546875" style="2052" customWidth="1"/>
    <col min="7171" max="7171" width="12" style="2052" bestFit="1" customWidth="1"/>
    <col min="7172" max="7424" width="9.140625" style="2052"/>
    <col min="7425" max="7425" width="29.5703125" style="2052" bestFit="1" customWidth="1"/>
    <col min="7426" max="7426" width="19.85546875" style="2052" customWidth="1"/>
    <col min="7427" max="7427" width="12" style="2052" bestFit="1" customWidth="1"/>
    <col min="7428" max="7680" width="9.140625" style="2052"/>
    <col min="7681" max="7681" width="29.5703125" style="2052" bestFit="1" customWidth="1"/>
    <col min="7682" max="7682" width="19.85546875" style="2052" customWidth="1"/>
    <col min="7683" max="7683" width="12" style="2052" bestFit="1" customWidth="1"/>
    <col min="7684" max="7936" width="9.140625" style="2052"/>
    <col min="7937" max="7937" width="29.5703125" style="2052" bestFit="1" customWidth="1"/>
    <col min="7938" max="7938" width="19.85546875" style="2052" customWidth="1"/>
    <col min="7939" max="7939" width="12" style="2052" bestFit="1" customWidth="1"/>
    <col min="7940" max="8192" width="9.140625" style="2052"/>
    <col min="8193" max="8193" width="29.5703125" style="2052" bestFit="1" customWidth="1"/>
    <col min="8194" max="8194" width="19.85546875" style="2052" customWidth="1"/>
    <col min="8195" max="8195" width="12" style="2052" bestFit="1" customWidth="1"/>
    <col min="8196" max="8448" width="9.140625" style="2052"/>
    <col min="8449" max="8449" width="29.5703125" style="2052" bestFit="1" customWidth="1"/>
    <col min="8450" max="8450" width="19.85546875" style="2052" customWidth="1"/>
    <col min="8451" max="8451" width="12" style="2052" bestFit="1" customWidth="1"/>
    <col min="8452" max="8704" width="9.140625" style="2052"/>
    <col min="8705" max="8705" width="29.5703125" style="2052" bestFit="1" customWidth="1"/>
    <col min="8706" max="8706" width="19.85546875" style="2052" customWidth="1"/>
    <col min="8707" max="8707" width="12" style="2052" bestFit="1" customWidth="1"/>
    <col min="8708" max="8960" width="9.140625" style="2052"/>
    <col min="8961" max="8961" width="29.5703125" style="2052" bestFit="1" customWidth="1"/>
    <col min="8962" max="8962" width="19.85546875" style="2052" customWidth="1"/>
    <col min="8963" max="8963" width="12" style="2052" bestFit="1" customWidth="1"/>
    <col min="8964" max="9216" width="9.140625" style="2052"/>
    <col min="9217" max="9217" width="29.5703125" style="2052" bestFit="1" customWidth="1"/>
    <col min="9218" max="9218" width="19.85546875" style="2052" customWidth="1"/>
    <col min="9219" max="9219" width="12" style="2052" bestFit="1" customWidth="1"/>
    <col min="9220" max="9472" width="9.140625" style="2052"/>
    <col min="9473" max="9473" width="29.5703125" style="2052" bestFit="1" customWidth="1"/>
    <col min="9474" max="9474" width="19.85546875" style="2052" customWidth="1"/>
    <col min="9475" max="9475" width="12" style="2052" bestFit="1" customWidth="1"/>
    <col min="9476" max="9728" width="9.140625" style="2052"/>
    <col min="9729" max="9729" width="29.5703125" style="2052" bestFit="1" customWidth="1"/>
    <col min="9730" max="9730" width="19.85546875" style="2052" customWidth="1"/>
    <col min="9731" max="9731" width="12" style="2052" bestFit="1" customWidth="1"/>
    <col min="9732" max="9984" width="9.140625" style="2052"/>
    <col min="9985" max="9985" width="29.5703125" style="2052" bestFit="1" customWidth="1"/>
    <col min="9986" max="9986" width="19.85546875" style="2052" customWidth="1"/>
    <col min="9987" max="9987" width="12" style="2052" bestFit="1" customWidth="1"/>
    <col min="9988" max="10240" width="9.140625" style="2052"/>
    <col min="10241" max="10241" width="29.5703125" style="2052" bestFit="1" customWidth="1"/>
    <col min="10242" max="10242" width="19.85546875" style="2052" customWidth="1"/>
    <col min="10243" max="10243" width="12" style="2052" bestFit="1" customWidth="1"/>
    <col min="10244" max="10496" width="9.140625" style="2052"/>
    <col min="10497" max="10497" width="29.5703125" style="2052" bestFit="1" customWidth="1"/>
    <col min="10498" max="10498" width="19.85546875" style="2052" customWidth="1"/>
    <col min="10499" max="10499" width="12" style="2052" bestFit="1" customWidth="1"/>
    <col min="10500" max="10752" width="9.140625" style="2052"/>
    <col min="10753" max="10753" width="29.5703125" style="2052" bestFit="1" customWidth="1"/>
    <col min="10754" max="10754" width="19.85546875" style="2052" customWidth="1"/>
    <col min="10755" max="10755" width="12" style="2052" bestFit="1" customWidth="1"/>
    <col min="10756" max="11008" width="9.140625" style="2052"/>
    <col min="11009" max="11009" width="29.5703125" style="2052" bestFit="1" customWidth="1"/>
    <col min="11010" max="11010" width="19.85546875" style="2052" customWidth="1"/>
    <col min="11011" max="11011" width="12" style="2052" bestFit="1" customWidth="1"/>
    <col min="11012" max="11264" width="9.140625" style="2052"/>
    <col min="11265" max="11265" width="29.5703125" style="2052" bestFit="1" customWidth="1"/>
    <col min="11266" max="11266" width="19.85546875" style="2052" customWidth="1"/>
    <col min="11267" max="11267" width="12" style="2052" bestFit="1" customWidth="1"/>
    <col min="11268" max="11520" width="9.140625" style="2052"/>
    <col min="11521" max="11521" width="29.5703125" style="2052" bestFit="1" customWidth="1"/>
    <col min="11522" max="11522" width="19.85546875" style="2052" customWidth="1"/>
    <col min="11523" max="11523" width="12" style="2052" bestFit="1" customWidth="1"/>
    <col min="11524" max="11776" width="9.140625" style="2052"/>
    <col min="11777" max="11777" width="29.5703125" style="2052" bestFit="1" customWidth="1"/>
    <col min="11778" max="11778" width="19.85546875" style="2052" customWidth="1"/>
    <col min="11779" max="11779" width="12" style="2052" bestFit="1" customWidth="1"/>
    <col min="11780" max="12032" width="9.140625" style="2052"/>
    <col min="12033" max="12033" width="29.5703125" style="2052" bestFit="1" customWidth="1"/>
    <col min="12034" max="12034" width="19.85546875" style="2052" customWidth="1"/>
    <col min="12035" max="12035" width="12" style="2052" bestFit="1" customWidth="1"/>
    <col min="12036" max="12288" width="9.140625" style="2052"/>
    <col min="12289" max="12289" width="29.5703125" style="2052" bestFit="1" customWidth="1"/>
    <col min="12290" max="12290" width="19.85546875" style="2052" customWidth="1"/>
    <col min="12291" max="12291" width="12" style="2052" bestFit="1" customWidth="1"/>
    <col min="12292" max="12544" width="9.140625" style="2052"/>
    <col min="12545" max="12545" width="29.5703125" style="2052" bestFit="1" customWidth="1"/>
    <col min="12546" max="12546" width="19.85546875" style="2052" customWidth="1"/>
    <col min="12547" max="12547" width="12" style="2052" bestFit="1" customWidth="1"/>
    <col min="12548" max="12800" width="9.140625" style="2052"/>
    <col min="12801" max="12801" width="29.5703125" style="2052" bestFit="1" customWidth="1"/>
    <col min="12802" max="12802" width="19.85546875" style="2052" customWidth="1"/>
    <col min="12803" max="12803" width="12" style="2052" bestFit="1" customWidth="1"/>
    <col min="12804" max="13056" width="9.140625" style="2052"/>
    <col min="13057" max="13057" width="29.5703125" style="2052" bestFit="1" customWidth="1"/>
    <col min="13058" max="13058" width="19.85546875" style="2052" customWidth="1"/>
    <col min="13059" max="13059" width="12" style="2052" bestFit="1" customWidth="1"/>
    <col min="13060" max="13312" width="9.140625" style="2052"/>
    <col min="13313" max="13313" width="29.5703125" style="2052" bestFit="1" customWidth="1"/>
    <col min="13314" max="13314" width="19.85546875" style="2052" customWidth="1"/>
    <col min="13315" max="13315" width="12" style="2052" bestFit="1" customWidth="1"/>
    <col min="13316" max="13568" width="9.140625" style="2052"/>
    <col min="13569" max="13569" width="29.5703125" style="2052" bestFit="1" customWidth="1"/>
    <col min="13570" max="13570" width="19.85546875" style="2052" customWidth="1"/>
    <col min="13571" max="13571" width="12" style="2052" bestFit="1" customWidth="1"/>
    <col min="13572" max="13824" width="9.140625" style="2052"/>
    <col min="13825" max="13825" width="29.5703125" style="2052" bestFit="1" customWidth="1"/>
    <col min="13826" max="13826" width="19.85546875" style="2052" customWidth="1"/>
    <col min="13827" max="13827" width="12" style="2052" bestFit="1" customWidth="1"/>
    <col min="13828" max="14080" width="9.140625" style="2052"/>
    <col min="14081" max="14081" width="29.5703125" style="2052" bestFit="1" customWidth="1"/>
    <col min="14082" max="14082" width="19.85546875" style="2052" customWidth="1"/>
    <col min="14083" max="14083" width="12" style="2052" bestFit="1" customWidth="1"/>
    <col min="14084" max="14336" width="9.140625" style="2052"/>
    <col min="14337" max="14337" width="29.5703125" style="2052" bestFit="1" customWidth="1"/>
    <col min="14338" max="14338" width="19.85546875" style="2052" customWidth="1"/>
    <col min="14339" max="14339" width="12" style="2052" bestFit="1" customWidth="1"/>
    <col min="14340" max="14592" width="9.140625" style="2052"/>
    <col min="14593" max="14593" width="29.5703125" style="2052" bestFit="1" customWidth="1"/>
    <col min="14594" max="14594" width="19.85546875" style="2052" customWidth="1"/>
    <col min="14595" max="14595" width="12" style="2052" bestFit="1" customWidth="1"/>
    <col min="14596" max="14848" width="9.140625" style="2052"/>
    <col min="14849" max="14849" width="29.5703125" style="2052" bestFit="1" customWidth="1"/>
    <col min="14850" max="14850" width="19.85546875" style="2052" customWidth="1"/>
    <col min="14851" max="14851" width="12" style="2052" bestFit="1" customWidth="1"/>
    <col min="14852" max="15104" width="9.140625" style="2052"/>
    <col min="15105" max="15105" width="29.5703125" style="2052" bestFit="1" customWidth="1"/>
    <col min="15106" max="15106" width="19.85546875" style="2052" customWidth="1"/>
    <col min="15107" max="15107" width="12" style="2052" bestFit="1" customWidth="1"/>
    <col min="15108" max="15360" width="9.140625" style="2052"/>
    <col min="15361" max="15361" width="29.5703125" style="2052" bestFit="1" customWidth="1"/>
    <col min="15362" max="15362" width="19.85546875" style="2052" customWidth="1"/>
    <col min="15363" max="15363" width="12" style="2052" bestFit="1" customWidth="1"/>
    <col min="15364" max="15616" width="9.140625" style="2052"/>
    <col min="15617" max="15617" width="29.5703125" style="2052" bestFit="1" customWidth="1"/>
    <col min="15618" max="15618" width="19.85546875" style="2052" customWidth="1"/>
    <col min="15619" max="15619" width="12" style="2052" bestFit="1" customWidth="1"/>
    <col min="15620" max="15872" width="9.140625" style="2052"/>
    <col min="15873" max="15873" width="29.5703125" style="2052" bestFit="1" customWidth="1"/>
    <col min="15874" max="15874" width="19.85546875" style="2052" customWidth="1"/>
    <col min="15875" max="15875" width="12" style="2052" bestFit="1" customWidth="1"/>
    <col min="15876" max="16128" width="9.140625" style="2052"/>
    <col min="16129" max="16129" width="29.5703125" style="2052" bestFit="1" customWidth="1"/>
    <col min="16130" max="16130" width="19.85546875" style="2052" customWidth="1"/>
    <col min="16131" max="16131" width="12" style="2052" bestFit="1" customWidth="1"/>
    <col min="16132" max="16384" width="9.140625" style="2052"/>
  </cols>
  <sheetData>
    <row r="1" spans="1:2">
      <c r="A1" s="2052" t="s">
        <v>1348</v>
      </c>
      <c r="B1" s="2073">
        <v>6.1</v>
      </c>
    </row>
    <row r="2" spans="1:2">
      <c r="A2" s="2052" t="s">
        <v>1349</v>
      </c>
      <c r="B2" s="2077">
        <v>43203.71465277778</v>
      </c>
    </row>
    <row r="3" spans="1:2">
      <c r="A3" s="2052" t="s">
        <v>1350</v>
      </c>
      <c r="B3" s="2074" t="s">
        <v>1044</v>
      </c>
    </row>
    <row r="4" spans="1:2">
      <c r="A4" s="2052" t="s">
        <v>1351</v>
      </c>
      <c r="B4" s="2074" t="s">
        <v>1352</v>
      </c>
    </row>
    <row r="5" spans="1:2">
      <c r="A5" s="2052" t="s">
        <v>1353</v>
      </c>
      <c r="B5" s="2074" t="s">
        <v>119</v>
      </c>
    </row>
    <row r="6" spans="1:2">
      <c r="A6" s="2052" t="s">
        <v>1354</v>
      </c>
    </row>
    <row r="7" spans="1:2">
      <c r="A7" s="2052" t="s">
        <v>1355</v>
      </c>
      <c r="B7" s="2074" t="s">
        <v>874</v>
      </c>
    </row>
    <row r="8" spans="1:2">
      <c r="A8" s="2052" t="s">
        <v>1356</v>
      </c>
      <c r="B8" s="2074" t="s">
        <v>1357</v>
      </c>
    </row>
    <row r="9" spans="1:2">
      <c r="A9" s="2052" t="s">
        <v>1358</v>
      </c>
      <c r="B9" s="2074" t="s">
        <v>1395</v>
      </c>
    </row>
    <row r="10" spans="1:2">
      <c r="A10" s="2052" t="s">
        <v>1359</v>
      </c>
    </row>
    <row r="11" spans="1:2">
      <c r="A11" s="2052" t="s">
        <v>1360</v>
      </c>
    </row>
    <row r="12" spans="1:2">
      <c r="A12" s="2052" t="s">
        <v>1361</v>
      </c>
    </row>
    <row r="13" spans="1:2">
      <c r="A13" s="2052" t="s">
        <v>1362</v>
      </c>
    </row>
    <row r="14" spans="1:2">
      <c r="A14" s="2052" t="s">
        <v>1363</v>
      </c>
    </row>
    <row r="15" spans="1:2">
      <c r="A15" s="2052" t="s">
        <v>1364</v>
      </c>
    </row>
    <row r="16" spans="1:2">
      <c r="A16" s="2052" t="s">
        <v>1365</v>
      </c>
    </row>
    <row r="17" spans="1:4">
      <c r="A17" s="2052" t="s">
        <v>1366</v>
      </c>
      <c r="B17" s="2074" t="s">
        <v>1396</v>
      </c>
    </row>
    <row r="18" spans="1:4">
      <c r="A18" s="2052" t="s">
        <v>1367</v>
      </c>
      <c r="B18" s="2074" t="s">
        <v>1045</v>
      </c>
    </row>
    <row r="19" spans="1:4">
      <c r="A19" s="2052" t="s">
        <v>1368</v>
      </c>
      <c r="B19" s="2074" t="s">
        <v>873</v>
      </c>
    </row>
    <row r="20" spans="1:4">
      <c r="A20" s="2052" t="s">
        <v>1369</v>
      </c>
      <c r="B20" s="2075" t="s">
        <v>1399</v>
      </c>
    </row>
    <row r="21" spans="1:4">
      <c r="A21" s="2052" t="s">
        <v>1370</v>
      </c>
      <c r="B21" s="2074" t="s">
        <v>873</v>
      </c>
    </row>
    <row r="22" spans="1:4">
      <c r="A22" s="2052" t="s">
        <v>1371</v>
      </c>
      <c r="B22" s="2075">
        <v>2317087</v>
      </c>
    </row>
    <row r="23" spans="1:4">
      <c r="A23" s="2052" t="s">
        <v>225</v>
      </c>
      <c r="B23" s="2073">
        <v>78.650000000000006</v>
      </c>
    </row>
    <row r="24" spans="1:4">
      <c r="A24" s="2052" t="s">
        <v>738</v>
      </c>
      <c r="B24" s="2074" t="s">
        <v>154</v>
      </c>
      <c r="D24" s="2052" t="s">
        <v>319</v>
      </c>
    </row>
    <row r="25" spans="1:4">
      <c r="A25" s="2052" t="s">
        <v>1372</v>
      </c>
      <c r="B25" s="2074" t="s">
        <v>1400</v>
      </c>
    </row>
    <row r="26" spans="1:4">
      <c r="A26" s="2052" t="s">
        <v>1373</v>
      </c>
      <c r="B26" s="2074">
        <v>0</v>
      </c>
    </row>
    <row r="27" spans="1:4">
      <c r="A27" s="2052" t="s">
        <v>1374</v>
      </c>
      <c r="B27" s="2074" t="s">
        <v>1375</v>
      </c>
    </row>
    <row r="28" spans="1:4">
      <c r="A28" s="2052" t="s">
        <v>1376</v>
      </c>
      <c r="B28" s="2074" t="s">
        <v>1377</v>
      </c>
    </row>
    <row r="29" spans="1:4">
      <c r="A29" s="2052" t="s">
        <v>1378</v>
      </c>
    </row>
    <row r="30" spans="1:4">
      <c r="A30" s="2052" t="s">
        <v>1379</v>
      </c>
    </row>
    <row r="31" spans="1:4">
      <c r="A31" s="2052" t="s">
        <v>1380</v>
      </c>
    </row>
    <row r="32" spans="1:4">
      <c r="A32" s="2052" t="s">
        <v>1381</v>
      </c>
      <c r="B32" s="2073"/>
    </row>
    <row r="33" spans="1:2">
      <c r="A33" s="2052" t="s">
        <v>1382</v>
      </c>
      <c r="B33" s="2073"/>
    </row>
    <row r="34" spans="1:2">
      <c r="A34" s="2052" t="s">
        <v>1383</v>
      </c>
      <c r="B34" s="2073"/>
    </row>
    <row r="35" spans="1:2">
      <c r="A35" s="2052" t="s">
        <v>1384</v>
      </c>
      <c r="B35" s="2074">
        <v>1000000</v>
      </c>
    </row>
    <row r="36" spans="1:2">
      <c r="A36" s="2052" t="s">
        <v>1385</v>
      </c>
      <c r="B36" s="2074" t="s">
        <v>1397</v>
      </c>
    </row>
    <row r="37" spans="1:2">
      <c r="A37" s="2052" t="s">
        <v>1386</v>
      </c>
      <c r="B37" s="2074" t="s">
        <v>1387</v>
      </c>
    </row>
    <row r="38" spans="1:2">
      <c r="A38" s="2052" t="s">
        <v>1388</v>
      </c>
      <c r="B38" s="2074" t="s">
        <v>1389</v>
      </c>
    </row>
    <row r="39" spans="1:2">
      <c r="A39" s="2052" t="s">
        <v>1390</v>
      </c>
      <c r="B39" s="2074" t="s">
        <v>1398</v>
      </c>
    </row>
    <row r="40" spans="1:2">
      <c r="A40" s="2052" t="s">
        <v>1391</v>
      </c>
      <c r="B40" s="2074">
        <v>1500005508</v>
      </c>
    </row>
    <row r="41" spans="1:2">
      <c r="A41" s="2052" t="s">
        <v>1392</v>
      </c>
      <c r="B41" s="2074">
        <v>1</v>
      </c>
    </row>
    <row r="42" spans="1:2">
      <c r="A42" s="2076" t="s">
        <v>1393</v>
      </c>
    </row>
    <row r="43" spans="1:2">
      <c r="A43" s="2052" t="s">
        <v>1394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style="2052" bestFit="1" customWidth="1"/>
    <col min="2" max="256" width="9.140625" style="2052"/>
    <col min="257" max="257" width="28.5703125" style="2052" bestFit="1" customWidth="1"/>
    <col min="258" max="512" width="9.140625" style="2052"/>
    <col min="513" max="513" width="28.5703125" style="2052" bestFit="1" customWidth="1"/>
    <col min="514" max="768" width="9.140625" style="2052"/>
    <col min="769" max="769" width="28.5703125" style="2052" bestFit="1" customWidth="1"/>
    <col min="770" max="1024" width="9.140625" style="2052"/>
    <col min="1025" max="1025" width="28.5703125" style="2052" bestFit="1" customWidth="1"/>
    <col min="1026" max="1280" width="9.140625" style="2052"/>
    <col min="1281" max="1281" width="28.5703125" style="2052" bestFit="1" customWidth="1"/>
    <col min="1282" max="1536" width="9.140625" style="2052"/>
    <col min="1537" max="1537" width="28.5703125" style="2052" bestFit="1" customWidth="1"/>
    <col min="1538" max="1792" width="9.140625" style="2052"/>
    <col min="1793" max="1793" width="28.5703125" style="2052" bestFit="1" customWidth="1"/>
    <col min="1794" max="2048" width="9.140625" style="2052"/>
    <col min="2049" max="2049" width="28.5703125" style="2052" bestFit="1" customWidth="1"/>
    <col min="2050" max="2304" width="9.140625" style="2052"/>
    <col min="2305" max="2305" width="28.5703125" style="2052" bestFit="1" customWidth="1"/>
    <col min="2306" max="2560" width="9.140625" style="2052"/>
    <col min="2561" max="2561" width="28.5703125" style="2052" bestFit="1" customWidth="1"/>
    <col min="2562" max="2816" width="9.140625" style="2052"/>
    <col min="2817" max="2817" width="28.5703125" style="2052" bestFit="1" customWidth="1"/>
    <col min="2818" max="3072" width="9.140625" style="2052"/>
    <col min="3073" max="3073" width="28.5703125" style="2052" bestFit="1" customWidth="1"/>
    <col min="3074" max="3328" width="9.140625" style="2052"/>
    <col min="3329" max="3329" width="28.5703125" style="2052" bestFit="1" customWidth="1"/>
    <col min="3330" max="3584" width="9.140625" style="2052"/>
    <col min="3585" max="3585" width="28.5703125" style="2052" bestFit="1" customWidth="1"/>
    <col min="3586" max="3840" width="9.140625" style="2052"/>
    <col min="3841" max="3841" width="28.5703125" style="2052" bestFit="1" customWidth="1"/>
    <col min="3842" max="4096" width="9.140625" style="2052"/>
    <col min="4097" max="4097" width="28.5703125" style="2052" bestFit="1" customWidth="1"/>
    <col min="4098" max="4352" width="9.140625" style="2052"/>
    <col min="4353" max="4353" width="28.5703125" style="2052" bestFit="1" customWidth="1"/>
    <col min="4354" max="4608" width="9.140625" style="2052"/>
    <col min="4609" max="4609" width="28.5703125" style="2052" bestFit="1" customWidth="1"/>
    <col min="4610" max="4864" width="9.140625" style="2052"/>
    <col min="4865" max="4865" width="28.5703125" style="2052" bestFit="1" customWidth="1"/>
    <col min="4866" max="5120" width="9.140625" style="2052"/>
    <col min="5121" max="5121" width="28.5703125" style="2052" bestFit="1" customWidth="1"/>
    <col min="5122" max="5376" width="9.140625" style="2052"/>
    <col min="5377" max="5377" width="28.5703125" style="2052" bestFit="1" customWidth="1"/>
    <col min="5378" max="5632" width="9.140625" style="2052"/>
    <col min="5633" max="5633" width="28.5703125" style="2052" bestFit="1" customWidth="1"/>
    <col min="5634" max="5888" width="9.140625" style="2052"/>
    <col min="5889" max="5889" width="28.5703125" style="2052" bestFit="1" customWidth="1"/>
    <col min="5890" max="6144" width="9.140625" style="2052"/>
    <col min="6145" max="6145" width="28.5703125" style="2052" bestFit="1" customWidth="1"/>
    <col min="6146" max="6400" width="9.140625" style="2052"/>
    <col min="6401" max="6401" width="28.5703125" style="2052" bestFit="1" customWidth="1"/>
    <col min="6402" max="6656" width="9.140625" style="2052"/>
    <col min="6657" max="6657" width="28.5703125" style="2052" bestFit="1" customWidth="1"/>
    <col min="6658" max="6912" width="9.140625" style="2052"/>
    <col min="6913" max="6913" width="28.5703125" style="2052" bestFit="1" customWidth="1"/>
    <col min="6914" max="7168" width="9.140625" style="2052"/>
    <col min="7169" max="7169" width="28.5703125" style="2052" bestFit="1" customWidth="1"/>
    <col min="7170" max="7424" width="9.140625" style="2052"/>
    <col min="7425" max="7425" width="28.5703125" style="2052" bestFit="1" customWidth="1"/>
    <col min="7426" max="7680" width="9.140625" style="2052"/>
    <col min="7681" max="7681" width="28.5703125" style="2052" bestFit="1" customWidth="1"/>
    <col min="7682" max="7936" width="9.140625" style="2052"/>
    <col min="7937" max="7937" width="28.5703125" style="2052" bestFit="1" customWidth="1"/>
    <col min="7938" max="8192" width="9.140625" style="2052"/>
    <col min="8193" max="8193" width="28.5703125" style="2052" bestFit="1" customWidth="1"/>
    <col min="8194" max="8448" width="9.140625" style="2052"/>
    <col min="8449" max="8449" width="28.5703125" style="2052" bestFit="1" customWidth="1"/>
    <col min="8450" max="8704" width="9.140625" style="2052"/>
    <col min="8705" max="8705" width="28.5703125" style="2052" bestFit="1" customWidth="1"/>
    <col min="8706" max="8960" width="9.140625" style="2052"/>
    <col min="8961" max="8961" width="28.5703125" style="2052" bestFit="1" customWidth="1"/>
    <col min="8962" max="9216" width="9.140625" style="2052"/>
    <col min="9217" max="9217" width="28.5703125" style="2052" bestFit="1" customWidth="1"/>
    <col min="9218" max="9472" width="9.140625" style="2052"/>
    <col min="9473" max="9473" width="28.5703125" style="2052" bestFit="1" customWidth="1"/>
    <col min="9474" max="9728" width="9.140625" style="2052"/>
    <col min="9729" max="9729" width="28.5703125" style="2052" bestFit="1" customWidth="1"/>
    <col min="9730" max="9984" width="9.140625" style="2052"/>
    <col min="9985" max="9985" width="28.5703125" style="2052" bestFit="1" customWidth="1"/>
    <col min="9986" max="10240" width="9.140625" style="2052"/>
    <col min="10241" max="10241" width="28.5703125" style="2052" bestFit="1" customWidth="1"/>
    <col min="10242" max="10496" width="9.140625" style="2052"/>
    <col min="10497" max="10497" width="28.5703125" style="2052" bestFit="1" customWidth="1"/>
    <col min="10498" max="10752" width="9.140625" style="2052"/>
    <col min="10753" max="10753" width="28.5703125" style="2052" bestFit="1" customWidth="1"/>
    <col min="10754" max="11008" width="9.140625" style="2052"/>
    <col min="11009" max="11009" width="28.5703125" style="2052" bestFit="1" customWidth="1"/>
    <col min="11010" max="11264" width="9.140625" style="2052"/>
    <col min="11265" max="11265" width="28.5703125" style="2052" bestFit="1" customWidth="1"/>
    <col min="11266" max="11520" width="9.140625" style="2052"/>
    <col min="11521" max="11521" width="28.5703125" style="2052" bestFit="1" customWidth="1"/>
    <col min="11522" max="11776" width="9.140625" style="2052"/>
    <col min="11777" max="11777" width="28.5703125" style="2052" bestFit="1" customWidth="1"/>
    <col min="11778" max="12032" width="9.140625" style="2052"/>
    <col min="12033" max="12033" width="28.5703125" style="2052" bestFit="1" customWidth="1"/>
    <col min="12034" max="12288" width="9.140625" style="2052"/>
    <col min="12289" max="12289" width="28.5703125" style="2052" bestFit="1" customWidth="1"/>
    <col min="12290" max="12544" width="9.140625" style="2052"/>
    <col min="12545" max="12545" width="28.5703125" style="2052" bestFit="1" customWidth="1"/>
    <col min="12546" max="12800" width="9.140625" style="2052"/>
    <col min="12801" max="12801" width="28.5703125" style="2052" bestFit="1" customWidth="1"/>
    <col min="12802" max="13056" width="9.140625" style="2052"/>
    <col min="13057" max="13057" width="28.5703125" style="2052" bestFit="1" customWidth="1"/>
    <col min="13058" max="13312" width="9.140625" style="2052"/>
    <col min="13313" max="13313" width="28.5703125" style="2052" bestFit="1" customWidth="1"/>
    <col min="13314" max="13568" width="9.140625" style="2052"/>
    <col min="13569" max="13569" width="28.5703125" style="2052" bestFit="1" customWidth="1"/>
    <col min="13570" max="13824" width="9.140625" style="2052"/>
    <col min="13825" max="13825" width="28.5703125" style="2052" bestFit="1" customWidth="1"/>
    <col min="13826" max="14080" width="9.140625" style="2052"/>
    <col min="14081" max="14081" width="28.5703125" style="2052" bestFit="1" customWidth="1"/>
    <col min="14082" max="14336" width="9.140625" style="2052"/>
    <col min="14337" max="14337" width="28.5703125" style="2052" bestFit="1" customWidth="1"/>
    <col min="14338" max="14592" width="9.140625" style="2052"/>
    <col min="14593" max="14593" width="28.5703125" style="2052" bestFit="1" customWidth="1"/>
    <col min="14594" max="14848" width="9.140625" style="2052"/>
    <col min="14849" max="14849" width="28.5703125" style="2052" bestFit="1" customWidth="1"/>
    <col min="14850" max="15104" width="9.140625" style="2052"/>
    <col min="15105" max="15105" width="28.5703125" style="2052" bestFit="1" customWidth="1"/>
    <col min="15106" max="15360" width="9.140625" style="2052"/>
    <col min="15361" max="15361" width="28.5703125" style="2052" bestFit="1" customWidth="1"/>
    <col min="15362" max="15616" width="9.140625" style="2052"/>
    <col min="15617" max="15617" width="28.5703125" style="2052" bestFit="1" customWidth="1"/>
    <col min="15618" max="15872" width="9.140625" style="2052"/>
    <col min="15873" max="15873" width="28.5703125" style="2052" bestFit="1" customWidth="1"/>
    <col min="15874" max="16128" width="9.140625" style="2052"/>
    <col min="16129" max="16129" width="28.5703125" style="2052" bestFit="1" customWidth="1"/>
    <col min="16130" max="16384" width="9.140625" style="2052"/>
  </cols>
  <sheetData>
    <row r="1" spans="1:1">
      <c r="A1" s="2078" t="s">
        <v>1401</v>
      </c>
    </row>
    <row r="2" spans="1:1">
      <c r="A2" s="2078" t="s">
        <v>1406</v>
      </c>
    </row>
    <row r="3" spans="1:1">
      <c r="A3" s="2078" t="s">
        <v>1407</v>
      </c>
    </row>
    <row r="4" spans="1:1">
      <c r="A4" s="2078" t="s">
        <v>1408</v>
      </c>
    </row>
    <row r="5" spans="1:1">
      <c r="A5" s="2078" t="s">
        <v>1409</v>
      </c>
    </row>
    <row r="6" spans="1:1">
      <c r="A6" s="2078" t="s">
        <v>1402</v>
      </c>
    </row>
    <row r="7" spans="1:1">
      <c r="A7" s="2078" t="s">
        <v>1410</v>
      </c>
    </row>
    <row r="8" spans="1:1">
      <c r="A8" s="2078" t="s">
        <v>1411</v>
      </c>
    </row>
    <row r="9" spans="1:1">
      <c r="A9" s="2078" t="s">
        <v>1412</v>
      </c>
    </row>
    <row r="10" spans="1:1">
      <c r="A10" s="2078" t="s">
        <v>1403</v>
      </c>
    </row>
    <row r="11" spans="1:1">
      <c r="A11" s="2078" t="s">
        <v>1413</v>
      </c>
    </row>
    <row r="12" spans="1:1">
      <c r="A12" s="2078" t="s">
        <v>1404</v>
      </c>
    </row>
    <row r="13" spans="1:1">
      <c r="A13" s="2078" t="s">
        <v>1405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2"/>
  <sheetViews>
    <sheetView workbookViewId="0"/>
  </sheetViews>
  <sheetFormatPr defaultRowHeight="12.75"/>
  <sheetData>
    <row r="1" spans="1:20">
      <c r="A1" t="s">
        <v>610</v>
      </c>
    </row>
    <row r="2" spans="1:20">
      <c r="A2" s="38" t="s">
        <v>609</v>
      </c>
      <c r="B2" s="38" t="s">
        <v>306</v>
      </c>
      <c r="C2" s="38" t="s">
        <v>304</v>
      </c>
      <c r="D2" s="38" t="s">
        <v>306</v>
      </c>
      <c r="E2" s="38" t="s">
        <v>606</v>
      </c>
      <c r="F2" s="38" t="s">
        <v>306</v>
      </c>
      <c r="G2" s="38" t="s">
        <v>303</v>
      </c>
      <c r="H2" s="38" t="s">
        <v>306</v>
      </c>
      <c r="I2" s="38" t="s">
        <v>876</v>
      </c>
      <c r="J2" s="38" t="s">
        <v>1027</v>
      </c>
      <c r="K2" s="38" t="s">
        <v>305</v>
      </c>
      <c r="L2" s="38" t="s">
        <v>306</v>
      </c>
      <c r="M2" s="38" t="s">
        <v>608</v>
      </c>
      <c r="N2" s="38" t="s">
        <v>306</v>
      </c>
      <c r="O2" s="38" t="s">
        <v>607</v>
      </c>
      <c r="P2" s="38" t="s">
        <v>306</v>
      </c>
      <c r="Q2" s="38" t="s">
        <v>19</v>
      </c>
      <c r="R2" s="38" t="s">
        <v>650</v>
      </c>
      <c r="S2" s="38" t="s">
        <v>875</v>
      </c>
      <c r="T2" s="38" t="s">
        <v>154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690F431B-8CCF-4B89-A7D7-D66144265020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189B8C56-2E85-43D4-962A-95E11582987F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100</vt:i4>
      </vt:variant>
    </vt:vector>
  </HeadingPairs>
  <TitlesOfParts>
    <vt:vector size="112" baseType="lpstr">
      <vt:lpstr>ImportantDisclosures</vt:lpstr>
      <vt:lpstr>Cover</vt:lpstr>
      <vt:lpstr>Valuation</vt:lpstr>
      <vt:lpstr>Financial</vt:lpstr>
      <vt:lpstr>ETR</vt:lpstr>
      <vt:lpstr>Utility</vt:lpstr>
      <vt:lpstr>EWC</vt:lpstr>
      <vt:lpstr>Parent</vt:lpstr>
      <vt:lpstr>Debt</vt:lpstr>
      <vt:lpstr>Market Prices</vt:lpstr>
      <vt:lpstr>IndexInformation</vt:lpstr>
      <vt:lpstr>ModPubIndex</vt:lpstr>
      <vt:lpstr>Financial!_bdm.48BD514DC04A4AB4891E926213491EC9.edm</vt:lpstr>
      <vt:lpstr>Financial!_bdm.530488839E8A407C8F1C1B550BFC2836.edm</vt:lpstr>
      <vt:lpstr>Financial!_bdm.7264DC3258CD40029D96B7569D540AD9.edm</vt:lpstr>
      <vt:lpstr>Financial!_bdm.E967D92EDBF846E2B7B774FBF88F28E1.edm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Valuation!basept</vt:lpstr>
      <vt:lpstr>Valuation!bearpt</vt:lpstr>
      <vt:lpstr>ModPubIndex!BRO</vt:lpstr>
      <vt:lpstr>Valuation!bullpt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EPS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GenCo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Financial!Linking_Range_1</vt:lpstr>
      <vt:lpstr>Linking_Range_14</vt:lpstr>
      <vt:lpstr>Linking_Range_15</vt:lpstr>
      <vt:lpstr>Linking_Range_7</vt:lpstr>
      <vt:lpstr>Linking_Range_8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Premium</vt:lpstr>
      <vt:lpstr>ETR!Print_Area</vt:lpstr>
      <vt:lpstr>Financial!Print_Area</vt:lpstr>
      <vt:lpstr>Utility!Print_Area</vt:lpstr>
      <vt:lpstr>Valuation!Print_Area</vt:lpstr>
      <vt:lpstr>ETR!Print_Titles</vt:lpstr>
      <vt:lpstr>EWC!Print_Titles</vt:lpstr>
      <vt:lpstr>Utility!Print_Titles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Financial!RegPct</vt:lpstr>
      <vt:lpstr>IndexInformation!ResearchTopic</vt:lpstr>
      <vt:lpstr>IndexInformation!RIC</vt:lpstr>
      <vt:lpstr>IndexInformation!SEDOL</vt:lpstr>
      <vt:lpstr>Financial!SO</vt:lpstr>
      <vt:lpstr>ImportantDisclosures!SourceDefined</vt:lpstr>
      <vt:lpstr>ImportantDisclosures!StockRating</vt:lpstr>
      <vt:lpstr>IndexInformation!SubjectCode</vt:lpstr>
      <vt:lpstr>SubmitterUserId</vt:lpstr>
      <vt:lpstr>Financial!Subs</vt:lpstr>
      <vt:lpstr>ModPubIndex!SUPPRESSED</vt:lpstr>
      <vt:lpstr>ImportantDisclosures!TargetPrice</vt:lpstr>
      <vt:lpstr>TemplateRegion</vt:lpstr>
      <vt:lpstr>ImportantDisclosures!Ticker</vt:lpstr>
      <vt:lpstr>Valuation!ticker</vt:lpstr>
      <vt:lpstr>TickerRegion</vt:lpstr>
      <vt:lpstr>IndexInformation!Tickers</vt:lpstr>
      <vt:lpstr>IndexInformation!UpdateReason</vt:lpstr>
      <vt:lpstr>'Market Prices'!Uplift</vt:lpstr>
      <vt:lpstr>UtilityEPS</vt:lpstr>
      <vt:lpstr>UtilityPE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2009-06-05T15:21:31Z</dcterms:created>
  <dc:creator>Jonathan Cohen</dc:creator>
  <cp:lastModifiedBy>Arcaro, David (Research)</cp:lastModifiedBy>
  <cp:lastPrinted>2017-09-20T22:21:09Z</cp:lastPrinted>
  <dcterms:modified xsi:type="dcterms:W3CDTF">2018-04-13T21:09:07Z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9</vt:lpwstr>
  </property>
  <property fmtid="{D5CDD505-2E9C-101B-9397-08002B2CF9AE}" name="{A44787D4-0540-4523-9961-78E4036D8C6D}" pid="3">
    <vt:lpwstr>{6BEEED34-9B6B-43E7-B81D-CE5B2DFEA52E}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761665</vt:lpwstr>
  </property>
  <property fmtid="{D5CDD505-2E9C-101B-9397-08002B2CF9AE}" name="ERModPubCompanyName" pid="7">
    <vt:lpwstr>Entergy Corp</vt:lpwstr>
  </property>
  <property fmtid="{D5CDD505-2E9C-101B-9397-08002B2CF9AE}" name="MSDH34TAG" pid="8">
    <vt:lpwstr>.TEZUF76X5TAHATHESADREYAK-00-INB160+*94600-06=e984c8be/-3f5e/-11e8/-b3f7/-7a79cfe26848,MD=20180413171449/-0400,ZZ=000Z-895c.</vt:lpwstr>
  </property>
</Properties>
</file>